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Sheet1" sheetId="1" state="visible" r:id="rId1"/>
    <sheet name="Week 32-2026" sheetId="2" state="visible" r:id="rId2"/>
    <sheet name="Week 33-2026" sheetId="3" state="visible" r:id="rId3"/>
    <sheet name="Week 34-2026" sheetId="4" state="visible" r:id="rId4"/>
    <sheet name="Week 35-2026" sheetId="5" state="visible" r:id="rId5"/>
    <sheet name="Week 36-2026" sheetId="6" state="visible" r:id="rId6"/>
    <sheet name="Week 37-2026" sheetId="7" state="visible" r:id="rId7"/>
    <sheet name="Week 38-2026" sheetId="8" state="visible" r:id="rId8"/>
    <sheet name="Week 39-2026" sheetId="9" state="visible" r:id="rId9"/>
    <sheet name="Week 40-2026" sheetId="10" state="visible" r:id="rId10"/>
    <sheet name="Week 41-2026" sheetId="11" state="visible" r:id="rId11"/>
    <sheet name="Week 42-2026" sheetId="12" state="visible" r:id="rId12"/>
    <sheet name="Week 43-2026" sheetId="13" state="visible" r:id="rId13"/>
    <sheet name="Week 44-2026" sheetId="14" state="visible" r:id="rId14"/>
    <sheet name="trends" sheetId="15" state="visible" r:id="rId15"/>
  </sheets>
  <definedNames>
    <definedName name="_xlnm._FilterDatabase" localSheetId="1" hidden="1">'Week 32-2026'!$A$1:$N$901</definedName>
    <definedName name="_xlnm._FilterDatabase" localSheetId="2" hidden="1">'Week 33-2026'!$A$1:$N$901</definedName>
    <definedName name="_xlnm._FilterDatabase" localSheetId="3" hidden="1">'Week 34-2026'!$A$1:$N$901</definedName>
    <definedName name="_xlnm._FilterDatabase" localSheetId="4" hidden="1">'Week 35-2026'!$A$1:$N$901</definedName>
    <definedName name="_xlnm._FilterDatabase" localSheetId="5" hidden="1">'Week 36-2026'!$A$1:$N$901</definedName>
    <definedName name="_xlnm._FilterDatabase" localSheetId="6" hidden="1">'Week 37-2026'!$A$1:$N$901</definedName>
    <definedName name="_xlnm._FilterDatabase" localSheetId="7" hidden="1">'Week 38-2026'!$A$1:$N$901</definedName>
    <definedName name="_xlnm._FilterDatabase" localSheetId="8" hidden="1">'Week 39-2026'!$A$1:$N$901</definedName>
    <definedName name="_xlnm._FilterDatabase" localSheetId="9" hidden="1">'Week 40-2026'!$A$1:$N$901</definedName>
    <definedName name="_xlnm._FilterDatabase" localSheetId="10" hidden="1">'Week 41-2026'!$A$1:$N$901</definedName>
    <definedName name="_xlnm._FilterDatabase" localSheetId="11" hidden="1">'Week 42-2026'!$A$1:$N$901</definedName>
    <definedName name="_xlnm._FilterDatabase" localSheetId="12" hidden="1">'Week 43-2026'!$A$1:$N$901</definedName>
    <definedName name="_xlnm._FilterDatabase" localSheetId="13" hidden="1">'Week 44-2026'!$A$1:$N$901</definedName>
    <definedName name="_xlnm._FilterDatabase" localSheetId="14" hidden="1">'trends'!$A$1:$K$901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Aptos Narrow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18560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26.3</v>
      </c>
      <c r="J2" s="4" t="n">
        <v>331</v>
      </c>
      <c r="K2" t="inlineStr">
        <is>
          <t>178 / 153</t>
        </is>
      </c>
      <c r="L2" t="inlineStr">
        <is>
          <t>2 / 1</t>
        </is>
      </c>
      <c r="M2" s="5" t="n">
        <v>0.54</v>
      </c>
      <c r="N2" s="5" t="n">
        <v>0.67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10800</v>
      </c>
      <c r="F3" s="4" t="n">
        <v>22</v>
      </c>
      <c r="G3" t="inlineStr">
        <is>
          <t>Ontario Tennis Association</t>
        </is>
      </c>
      <c r="H3" t="inlineStr">
        <is>
          <t>Valan Tennis Academy</t>
        </is>
      </c>
      <c r="I3" t="n">
        <v>28.7</v>
      </c>
      <c r="J3" s="4" t="n">
        <v>335</v>
      </c>
      <c r="K3" t="inlineStr">
        <is>
          <t>200 / 135</t>
        </is>
      </c>
      <c r="L3" t="inlineStr">
        <is>
          <t>8 / 8</t>
        </is>
      </c>
      <c r="M3" s="5" t="n">
        <v>0.6</v>
      </c>
      <c r="N3" s="5" t="n">
        <v>0.5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9895.576999999999</v>
      </c>
      <c r="F4" s="4" t="n">
        <v>12</v>
      </c>
      <c r="G4" t="inlineStr">
        <is>
          <t>Tennis Québec</t>
        </is>
      </c>
      <c r="H4" t="inlineStr">
        <is>
          <t>Tennis Montréal Excellence</t>
        </is>
      </c>
      <c r="I4" t="n">
        <v>27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14</v>
      </c>
      <c r="G5" t="inlineStr">
        <is>
          <t>Ontario Tennis Association</t>
        </is>
      </c>
      <c r="H5" t="inlineStr">
        <is>
          <t>City of Kitchener</t>
        </is>
      </c>
      <c r="I5" t="n">
        <v>25.7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Victoria Koniouchine</t>
        </is>
      </c>
      <c r="D6">
        <f>HYPERLINK("https://ota.tournamentsoftware.com/player-profile/4F2575CB-84B4-4072-ABEF-7652A7E74DBA", "Link")</f>
        <v/>
      </c>
      <c r="E6" s="3" t="n">
        <v>8177</v>
      </c>
      <c r="F6" s="4" t="n">
        <v>14</v>
      </c>
      <c r="G6" t="inlineStr">
        <is>
          <t>Tennis Québec</t>
        </is>
      </c>
      <c r="H6" t="inlineStr">
        <is>
          <t>Tennis Montréal Excellence</t>
        </is>
      </c>
      <c r="I6" t="n">
        <v>27.6</v>
      </c>
      <c r="J6" s="4" t="n">
        <v>374</v>
      </c>
      <c r="K6" t="inlineStr">
        <is>
          <t>240 / 134</t>
        </is>
      </c>
      <c r="L6" t="inlineStr">
        <is>
          <t>18 / 4</t>
        </is>
      </c>
      <c r="M6" s="5" t="n">
        <v>0.64</v>
      </c>
      <c r="N6" s="5" t="n">
        <v>0.82</v>
      </c>
    </row>
    <row r="7">
      <c r="A7" t="n">
        <v>6</v>
      </c>
      <c r="B7" t="n">
        <v>2012</v>
      </c>
      <c r="C7" t="inlineStr">
        <is>
          <t>Ruijing Chen</t>
        </is>
      </c>
      <c r="D7">
        <f>HYPERLINK("https://ota.tournamentsoftware.com/player-profile/CF3F9020-5B8A-4448-8412-B206DFD70D34", "Link")</f>
        <v/>
      </c>
      <c r="E7" s="3" t="n">
        <v>7050.04</v>
      </c>
      <c r="F7" s="4" t="n">
        <v>19</v>
      </c>
      <c r="G7" t="inlineStr">
        <is>
          <t>British Columbia</t>
        </is>
      </c>
      <c r="H7" t="inlineStr">
        <is>
          <t>North Vancouver Tennis Centre</t>
        </is>
      </c>
      <c r="I7" t="n">
        <v>28.8</v>
      </c>
      <c r="J7" s="4" t="n">
        <v>266</v>
      </c>
      <c r="K7" t="inlineStr">
        <is>
          <t>153 / 113</t>
        </is>
      </c>
      <c r="L7" t="inlineStr">
        <is>
          <t>35 / 18</t>
        </is>
      </c>
      <c r="M7" s="5" t="n">
        <v>0.58</v>
      </c>
      <c r="N7" s="5" t="n">
        <v>0.66</v>
      </c>
    </row>
    <row r="8">
      <c r="A8" t="n">
        <v>7</v>
      </c>
      <c r="B8" t="n">
        <v>2013</v>
      </c>
      <c r="C8" t="inlineStr">
        <is>
          <t>Callie Raharinosy</t>
        </is>
      </c>
      <c r="D8">
        <f>HYPERLINK("https://ota.tournamentsoftware.com/player-profile/C3BB19C9-39F8-4DF4-A576-AAB3D92B85C3", "Link")</f>
        <v/>
      </c>
      <c r="E8" s="3" t="n">
        <v>6722.294</v>
      </c>
      <c r="F8" s="4" t="n">
        <v>14</v>
      </c>
      <c r="G8" t="inlineStr">
        <is>
          <t>Ontario Tennis Association</t>
        </is>
      </c>
      <c r="H8" t="inlineStr">
        <is>
          <t>Richmondhill Golf &amp; Country Club</t>
        </is>
      </c>
      <c r="I8" t="n">
        <v>29.5</v>
      </c>
      <c r="J8" s="4" t="n">
        <v>237</v>
      </c>
      <c r="K8" t="inlineStr">
        <is>
          <t>152 / 85</t>
        </is>
      </c>
      <c r="L8" t="inlineStr">
        <is>
          <t>21 / 10</t>
        </is>
      </c>
      <c r="M8" s="5" t="n">
        <v>0.64</v>
      </c>
      <c r="N8" s="5" t="n">
        <v>0.68</v>
      </c>
    </row>
    <row r="9">
      <c r="A9" t="n">
        <v>8</v>
      </c>
      <c r="B9" t="n">
        <v>2012</v>
      </c>
      <c r="C9" t="inlineStr">
        <is>
          <t>Karina Swaminath</t>
        </is>
      </c>
      <c r="D9">
        <f>HYPERLINK("https://ota.tournamentsoftware.com/player-profile/4DB9D061-D74F-4482-87A3-9C7480D14EFD", "Link")</f>
        <v/>
      </c>
      <c r="E9" s="3" t="n">
        <v>6397.318</v>
      </c>
      <c r="F9" s="4" t="n">
        <v>19</v>
      </c>
      <c r="G9" t="inlineStr">
        <is>
          <t>Ontario Tennis Association</t>
        </is>
      </c>
      <c r="H9" t="inlineStr">
        <is>
          <t>Premier Racquet Clubs – Mississauga</t>
        </is>
      </c>
      <c r="I9" t="n">
        <v>27.7</v>
      </c>
      <c r="J9" s="4" t="n">
        <v>305</v>
      </c>
      <c r="K9" t="inlineStr">
        <is>
          <t>199 / 106</t>
        </is>
      </c>
      <c r="L9" t="inlineStr">
        <is>
          <t>36 / 13</t>
        </is>
      </c>
      <c r="M9" s="5" t="n">
        <v>0.65</v>
      </c>
      <c r="N9" s="5" t="n">
        <v>0.73</v>
      </c>
    </row>
    <row r="10">
      <c r="A10" t="n">
        <v>9</v>
      </c>
      <c r="B10" t="n">
        <v>2012</v>
      </c>
      <c r="C10" t="inlineStr">
        <is>
          <t>kendra zhang</t>
        </is>
      </c>
      <c r="D10">
        <f>HYPERLINK("https://ota.tournamentsoftware.com/player-profile/23508257-17E1-4A1F-A208-90A41A8C5BC8", "Link")</f>
        <v/>
      </c>
      <c r="E10" s="3" t="n">
        <v>6166.12</v>
      </c>
      <c r="F10" s="4" t="n">
        <v>16</v>
      </c>
      <c r="G10" t="inlineStr">
        <is>
          <t>Tennis Alberta</t>
        </is>
      </c>
      <c r="H10" t="inlineStr">
        <is>
          <t>Osten &amp; Victor Alberta Tennis Centre</t>
        </is>
      </c>
      <c r="I10" t="n">
        <v>27.4</v>
      </c>
      <c r="J10" s="4" t="n">
        <v>310</v>
      </c>
      <c r="K10" t="inlineStr">
        <is>
          <t>245 / 65</t>
        </is>
      </c>
      <c r="L10" t="inlineStr">
        <is>
          <t>36 / 3</t>
        </is>
      </c>
      <c r="M10" s="5" t="n">
        <v>0.79</v>
      </c>
      <c r="N10" s="5" t="n">
        <v>0.92</v>
      </c>
    </row>
    <row r="11">
      <c r="A11" t="n">
        <v>10</v>
      </c>
      <c r="B11" t="n">
        <v>2012</v>
      </c>
      <c r="C11" t="inlineStr">
        <is>
          <t>Zimo Xiang</t>
        </is>
      </c>
      <c r="D11">
        <f>HYPERLINK("https://ota.tournamentsoftware.com/player-profile/16758178-BB4B-49F9-847E-3024E74D5A86", "Link")</f>
        <v/>
      </c>
      <c r="E11" s="3" t="n">
        <v>5677.076</v>
      </c>
      <c r="F11" s="4" t="n">
        <v>20</v>
      </c>
      <c r="G11" t="inlineStr">
        <is>
          <t>Tennis Alberta</t>
        </is>
      </c>
      <c r="H11" t="inlineStr">
        <is>
          <t>Osten &amp; Victor Alberta Tennis Centre</t>
        </is>
      </c>
      <c r="I11" t="n">
        <v>26.7</v>
      </c>
      <c r="J11" s="4" t="n">
        <v>336</v>
      </c>
      <c r="K11" t="inlineStr">
        <is>
          <t>256 / 80</t>
        </is>
      </c>
      <c r="L11" t="inlineStr">
        <is>
          <t>42 / 7</t>
        </is>
      </c>
      <c r="M11" s="5" t="n">
        <v>0.76</v>
      </c>
      <c r="N11" s="5" t="n">
        <v>0.86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5600.6</v>
      </c>
      <c r="F12" s="4" t="n">
        <v>20</v>
      </c>
      <c r="G12" t="inlineStr">
        <is>
          <t>British Columbia</t>
        </is>
      </c>
      <c r="H12" t="inlineStr">
        <is>
          <t>Kamloops Tennis Centre</t>
        </is>
      </c>
      <c r="I12" t="n">
        <v>28.8</v>
      </c>
      <c r="J12" s="4" t="n">
        <v>229</v>
      </c>
      <c r="K12" t="inlineStr">
        <is>
          <t>153 / 76</t>
        </is>
      </c>
      <c r="L12" t="inlineStr">
        <is>
          <t>32 / 14</t>
        </is>
      </c>
      <c r="M12" s="5" t="n">
        <v>0.67</v>
      </c>
      <c r="N12" s="5" t="n">
        <v>0.7</v>
      </c>
    </row>
    <row r="13">
      <c r="A13" t="n">
        <v>12</v>
      </c>
      <c r="B13" t="n">
        <v>2013</v>
      </c>
      <c r="C13" t="inlineStr">
        <is>
          <t>Paris Radovic</t>
        </is>
      </c>
      <c r="D13">
        <f>HYPERLINK("https://ota.tournamentsoftware.com/player-profile/F1F29E41-D080-473C-93A3-FEF9F1122EE3", "Link")</f>
        <v/>
      </c>
      <c r="E13" s="3" t="n">
        <v>5430</v>
      </c>
      <c r="F13" s="4" t="n">
        <v>17</v>
      </c>
      <c r="G13" t="inlineStr">
        <is>
          <t>Ontario Tennis Association</t>
        </is>
      </c>
      <c r="H13" t="inlineStr">
        <is>
          <t>Advantage Tennis International at Veneto</t>
        </is>
      </c>
      <c r="I13" t="n">
        <v>29.2</v>
      </c>
      <c r="J13" s="4" t="n">
        <v>281</v>
      </c>
      <c r="K13" t="inlineStr">
        <is>
          <t>181 / 100</t>
        </is>
      </c>
      <c r="L13" t="inlineStr">
        <is>
          <t>25 / 10</t>
        </is>
      </c>
      <c r="M13" s="5" t="n">
        <v>0.64</v>
      </c>
      <c r="N13" s="5" t="n">
        <v>0.71</v>
      </c>
    </row>
    <row r="14">
      <c r="A14" t="n">
        <v>13</v>
      </c>
      <c r="B14" t="n">
        <v>2013</v>
      </c>
      <c r="C14" t="inlineStr">
        <is>
          <t>Urvi Singh</t>
        </is>
      </c>
      <c r="D14">
        <f>HYPERLINK("https://ota.tournamentsoftware.com/player-profile/20590827-22F8-402F-BC87-449928EE4236", "Link")</f>
        <v/>
      </c>
      <c r="E14" s="3" t="n">
        <v>5247.216</v>
      </c>
      <c r="F14" s="4" t="n">
        <v>17</v>
      </c>
      <c r="G14" t="inlineStr">
        <is>
          <t>Ontario Tennis Association</t>
        </is>
      </c>
      <c r="H14" t="inlineStr">
        <is>
          <t>Guildwood Tennis Club</t>
        </is>
      </c>
      <c r="I14" t="n">
        <v>28.3</v>
      </c>
      <c r="J14" s="4" t="n">
        <v>250</v>
      </c>
      <c r="K14" t="inlineStr">
        <is>
          <t>156 / 94</t>
        </is>
      </c>
      <c r="L14" t="inlineStr">
        <is>
          <t>28 / 12</t>
        </is>
      </c>
      <c r="M14" s="5" t="n">
        <v>0.62</v>
      </c>
      <c r="N14" s="5" t="n">
        <v>0.7</v>
      </c>
    </row>
    <row r="15">
      <c r="A15" t="n">
        <v>14</v>
      </c>
      <c r="B15" t="n">
        <v>2012</v>
      </c>
      <c r="C15" t="inlineStr">
        <is>
          <t>Angelica Panzieri</t>
        </is>
      </c>
      <c r="D15">
        <f>HYPERLINK("https://ota.tournamentsoftware.com/player-profile/E0ECCDC8-BEA7-4546-BAF7-5DF193FA2378", "Link")</f>
        <v/>
      </c>
      <c r="E15" s="3" t="n">
        <v>5079.44</v>
      </c>
      <c r="F15" s="4" t="n">
        <v>22</v>
      </c>
      <c r="G15" t="inlineStr">
        <is>
          <t>British Columbia</t>
        </is>
      </c>
      <c r="H15" t="inlineStr">
        <is>
          <t>North Vancouver Tennis Centre</t>
        </is>
      </c>
      <c r="I15" t="n">
        <v>29.7</v>
      </c>
      <c r="J15" s="4" t="n">
        <v>345</v>
      </c>
      <c r="K15" t="inlineStr">
        <is>
          <t>198 / 147</t>
        </is>
      </c>
      <c r="L15" t="inlineStr">
        <is>
          <t>41 / 20</t>
        </is>
      </c>
      <c r="M15" s="5" t="n">
        <v>0.57</v>
      </c>
      <c r="N15" s="5" t="n">
        <v>0.67</v>
      </c>
    </row>
    <row r="16">
      <c r="A16" t="n">
        <v>15</v>
      </c>
      <c r="B16" t="n">
        <v>2012</v>
      </c>
      <c r="C16" t="inlineStr">
        <is>
          <t>Amelia Mishelle Simutin</t>
        </is>
      </c>
      <c r="D16">
        <f>HYPERLINK("https://ota.tournamentsoftware.com/player-profile/35C4C9E4-BC47-4EAA-A89B-06AB12C19B49", "Link")</f>
        <v/>
      </c>
      <c r="E16" s="3" t="n">
        <v>4696.2</v>
      </c>
      <c r="F16" s="4" t="n">
        <v>21</v>
      </c>
      <c r="G16" t="inlineStr">
        <is>
          <t>Ontario Tennis Association</t>
        </is>
      </c>
      <c r="H16" t="inlineStr">
        <is>
          <t>North Toronto Tennis Club</t>
        </is>
      </c>
      <c r="I16" t="n">
        <v>29.2</v>
      </c>
      <c r="J16" s="4" t="n">
        <v>294</v>
      </c>
      <c r="K16" t="inlineStr">
        <is>
          <t>202 / 92</t>
        </is>
      </c>
      <c r="L16" t="inlineStr">
        <is>
          <t>30 / 17</t>
        </is>
      </c>
      <c r="M16" s="5" t="n">
        <v>0.6899999999999999</v>
      </c>
      <c r="N16" s="5" t="n">
        <v>0.64</v>
      </c>
    </row>
    <row r="17">
      <c r="A17" t="n">
        <v>16</v>
      </c>
      <c r="B17" t="n">
        <v>2012</v>
      </c>
      <c r="C17" t="inlineStr">
        <is>
          <t>Elise Chen</t>
        </is>
      </c>
      <c r="D17">
        <f>HYPERLINK("https://ota.tournamentsoftware.com/player-profile/8E8A2CD5-37E0-4690-A780-846D1895BB0A", "Link")</f>
        <v/>
      </c>
      <c r="E17" s="3" t="n">
        <v>4625.573</v>
      </c>
      <c r="F17" s="4" t="n">
        <v>17</v>
      </c>
      <c r="G17" t="inlineStr">
        <is>
          <t>Tennis Québec</t>
        </is>
      </c>
      <c r="H17" t="inlineStr">
        <is>
          <t>AA Autre club</t>
        </is>
      </c>
      <c r="I17" t="n">
        <v>29.6</v>
      </c>
      <c r="J17" s="4" t="n">
        <v>332</v>
      </c>
      <c r="K17" t="inlineStr">
        <is>
          <t>218 / 114</t>
        </is>
      </c>
      <c r="L17" t="inlineStr">
        <is>
          <t>37 / 12</t>
        </is>
      </c>
      <c r="M17" s="5" t="n">
        <v>0.66</v>
      </c>
      <c r="N17" s="5" t="n">
        <v>0.76</v>
      </c>
    </row>
    <row r="18">
      <c r="A18" t="n">
        <v>17</v>
      </c>
      <c r="B18" t="n">
        <v>2013</v>
      </c>
      <c r="C18" t="inlineStr">
        <is>
          <t>Charlotte MacDonald</t>
        </is>
      </c>
      <c r="D18">
        <f>HYPERLINK("https://ota.tournamentsoftware.com/player-profile/C865FA15-1CF7-4628-A8F7-6AB8ED124599", "Link")</f>
        <v/>
      </c>
      <c r="E18" s="3" t="n">
        <v>4624.909</v>
      </c>
      <c r="F18" s="4" t="n">
        <v>20</v>
      </c>
      <c r="G18" t="inlineStr">
        <is>
          <t>Ontario Tennis Association</t>
        </is>
      </c>
      <c r="H18" t="inlineStr">
        <is>
          <t>10XTO</t>
        </is>
      </c>
      <c r="I18" t="n">
        <v>29.6</v>
      </c>
      <c r="J18" s="4" t="n">
        <v>328</v>
      </c>
      <c r="K18" t="inlineStr">
        <is>
          <t>227 / 101</t>
        </is>
      </c>
      <c r="L18" t="inlineStr">
        <is>
          <t>35 / 17</t>
        </is>
      </c>
      <c r="M18" s="5" t="n">
        <v>0.6899999999999999</v>
      </c>
      <c r="N18" s="5" t="n">
        <v>0.67</v>
      </c>
    </row>
    <row r="19">
      <c r="A19" t="n">
        <v>18</v>
      </c>
      <c r="B19" t="n">
        <v>2012</v>
      </c>
      <c r="C19" t="inlineStr">
        <is>
          <t>Clara Vicol</t>
        </is>
      </c>
      <c r="D19">
        <f>HYPERLINK("https://ota.tournamentsoftware.com/player-profile/A71836FF-9A71-48AD-96B3-DD39B38970B6", "Link")</f>
        <v/>
      </c>
      <c r="E19" s="3" t="n">
        <v>4462.04</v>
      </c>
      <c r="F19" s="4" t="n">
        <v>12</v>
      </c>
      <c r="G19" t="inlineStr">
        <is>
          <t>British Columbia</t>
        </is>
      </c>
      <c r="H19" t="inlineStr">
        <is>
          <t>Jericho Tennis Club</t>
        </is>
      </c>
      <c r="I19" t="n">
        <v>28.5</v>
      </c>
      <c r="J19" s="4" t="n">
        <v>402</v>
      </c>
      <c r="K19" t="inlineStr">
        <is>
          <t>248 / 154</t>
        </is>
      </c>
      <c r="L19" t="inlineStr">
        <is>
          <t>16 / 6</t>
        </is>
      </c>
      <c r="M19" s="5" t="n">
        <v>0.62</v>
      </c>
      <c r="N19" s="5" t="n">
        <v>0.73</v>
      </c>
    </row>
    <row r="20">
      <c r="A20" t="n">
        <v>19</v>
      </c>
      <c r="B20" t="n">
        <v>2013</v>
      </c>
      <c r="C20" t="inlineStr">
        <is>
          <t>Bishop Yonna Grossutti</t>
        </is>
      </c>
      <c r="D20">
        <f>HYPERLINK("https://ota.tournamentsoftware.com/player-profile/3FE8248C-2DBE-46EB-8C24-0AC82A0EC942", "Link")</f>
        <v/>
      </c>
      <c r="E20" s="3" t="n">
        <v>4190.901</v>
      </c>
      <c r="F20" s="4" t="n">
        <v>14</v>
      </c>
      <c r="G20" t="inlineStr">
        <is>
          <t>British Columbia</t>
        </is>
      </c>
      <c r="H20" t="inlineStr">
        <is>
          <t>No Club</t>
        </is>
      </c>
      <c r="I20" t="n">
        <v>29.8</v>
      </c>
      <c r="J20" s="4" t="n">
        <v>213</v>
      </c>
      <c r="K20" t="inlineStr">
        <is>
          <t>144 / 69</t>
        </is>
      </c>
      <c r="L20" t="inlineStr">
        <is>
          <t>34 / 11</t>
        </is>
      </c>
      <c r="M20" s="5" t="n">
        <v>0.68</v>
      </c>
      <c r="N20" s="5" t="n">
        <v>0.76</v>
      </c>
    </row>
    <row r="21">
      <c r="A21" t="n">
        <v>20</v>
      </c>
      <c r="B21" t="n">
        <v>2012</v>
      </c>
      <c r="C21" t="inlineStr">
        <is>
          <t>Olivia Laberge</t>
        </is>
      </c>
      <c r="D21">
        <f>HYPERLINK("https://ota.tournamentsoftware.com/player-profile/A7EF36D6-49FF-4272-A982-22FEC5F0ECCD", "Link")</f>
        <v/>
      </c>
      <c r="E21" s="3" t="n">
        <v>4084.733</v>
      </c>
      <c r="F21" s="4" t="n">
        <v>20</v>
      </c>
      <c r="G21" t="inlineStr">
        <is>
          <t>Tennis Québec</t>
        </is>
      </c>
      <c r="H21" t="inlineStr">
        <is>
          <t>Tennis 13</t>
        </is>
      </c>
      <c r="I21" t="n">
        <v>30</v>
      </c>
      <c r="J21" s="4" t="n">
        <v>304</v>
      </c>
      <c r="K21" t="inlineStr">
        <is>
          <t>193 / 111</t>
        </is>
      </c>
      <c r="L21" t="inlineStr">
        <is>
          <t>49 / 18</t>
        </is>
      </c>
      <c r="M21" s="5" t="n">
        <v>0.63</v>
      </c>
      <c r="N21" s="5" t="n">
        <v>0.73</v>
      </c>
    </row>
    <row r="22">
      <c r="A22" t="n">
        <v>21</v>
      </c>
      <c r="B22" t="n">
        <v>2012</v>
      </c>
      <c r="C22" t="inlineStr">
        <is>
          <t>Emma Ciobanu</t>
        </is>
      </c>
      <c r="D22">
        <f>HYPERLINK("https://ota.tournamentsoftware.com/player-profile/3FF64A25-D930-4C5E-8E36-3F04D7602157", "Link")</f>
        <v/>
      </c>
      <c r="E22" s="3" t="n">
        <v>4015.186</v>
      </c>
      <c r="F22" s="4" t="n">
        <v>18</v>
      </c>
      <c r="G22" t="inlineStr">
        <is>
          <t>Tennis Québec</t>
        </is>
      </c>
      <c r="H22" t="inlineStr">
        <is>
          <t>No Club</t>
        </is>
      </c>
      <c r="I22" t="n">
        <v>29.7</v>
      </c>
      <c r="J22" s="4" t="n">
        <v>444</v>
      </c>
      <c r="K22" t="inlineStr">
        <is>
          <t>254 / 190</t>
        </is>
      </c>
      <c r="L22" t="inlineStr">
        <is>
          <t>12 / 8</t>
        </is>
      </c>
      <c r="M22" s="5" t="n">
        <v>0.57</v>
      </c>
      <c r="N22" s="5" t="n">
        <v>0.6</v>
      </c>
    </row>
    <row r="23">
      <c r="A23" t="n">
        <v>22</v>
      </c>
      <c r="B23" t="n">
        <v>2012</v>
      </c>
      <c r="C23" t="inlineStr">
        <is>
          <t>Tabitha Olivia Morisette</t>
        </is>
      </c>
      <c r="D23">
        <f>HYPERLINK("https://ota.tournamentsoftware.com/player-profile/805BE387-8522-4C5E-A95F-857E21DC38E1", "Link")</f>
        <v/>
      </c>
      <c r="E23" s="3" t="n">
        <v>3960.808</v>
      </c>
      <c r="F23" s="4" t="n">
        <v>15</v>
      </c>
      <c r="G23" t="inlineStr">
        <is>
          <t>British Columbia</t>
        </is>
      </c>
      <c r="H23" t="inlineStr">
        <is>
          <t>Tennis BC Hub @ Richmond</t>
        </is>
      </c>
      <c r="I23" t="n">
        <v>29.9</v>
      </c>
      <c r="J23" s="4" t="n">
        <v>300</v>
      </c>
      <c r="K23" t="inlineStr">
        <is>
          <t>175 / 125</t>
        </is>
      </c>
      <c r="L23" t="inlineStr">
        <is>
          <t>17 / 11</t>
        </is>
      </c>
      <c r="M23" s="5" t="n">
        <v>0.58</v>
      </c>
      <c r="N23" s="5" t="n">
        <v>0.61</v>
      </c>
    </row>
    <row r="24">
      <c r="A24" t="n">
        <v>23</v>
      </c>
      <c r="B24" t="n">
        <v>2014</v>
      </c>
      <c r="C24" t="inlineStr">
        <is>
          <t>Zoe Mao</t>
        </is>
      </c>
      <c r="D24">
        <f>HYPERLINK("https://ota.tournamentsoftware.com/player-profile/9C661BB4-74A2-44E0-A97C-93470EF4AE2B", "Link")</f>
        <v/>
      </c>
      <c r="E24" s="3" t="n">
        <v>3649.12</v>
      </c>
      <c r="F24" s="4" t="n">
        <v>21</v>
      </c>
      <c r="G24" t="inlineStr">
        <is>
          <t>Tennis Alberta</t>
        </is>
      </c>
      <c r="H24" t="inlineStr">
        <is>
          <t>No Club</t>
        </is>
      </c>
      <c r="I24" t="n">
        <v>31.4</v>
      </c>
      <c r="J24" s="4" t="n">
        <v>204</v>
      </c>
      <c r="K24" t="inlineStr">
        <is>
          <t>140 / 64</t>
        </is>
      </c>
      <c r="L24" t="inlineStr">
        <is>
          <t>57 / 10</t>
        </is>
      </c>
      <c r="M24" s="5" t="n">
        <v>0.6899999999999999</v>
      </c>
      <c r="N24" s="5" t="n">
        <v>0.85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3369.047</v>
      </c>
      <c r="F25" s="4" t="n">
        <v>13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29.5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3368.771</v>
      </c>
      <c r="F26" s="4" t="n">
        <v>15</v>
      </c>
      <c r="G26" t="inlineStr">
        <is>
          <t>Tennis Québec</t>
        </is>
      </c>
      <c r="H26" t="inlineStr">
        <is>
          <t>Tennis Ile- des- Soeurs</t>
        </is>
      </c>
      <c r="I26" t="n">
        <v>30.6</v>
      </c>
      <c r="J26" s="4" t="n">
        <v>257</v>
      </c>
      <c r="K26" t="inlineStr">
        <is>
          <t>174 / 83</t>
        </is>
      </c>
      <c r="L26" t="inlineStr">
        <is>
          <t>38 / 12</t>
        </is>
      </c>
      <c r="M26" s="5" t="n">
        <v>0.68</v>
      </c>
      <c r="N26" s="5" t="n">
        <v>0.76</v>
      </c>
    </row>
    <row r="27">
      <c r="A27" t="n">
        <v>26</v>
      </c>
      <c r="B27" t="n">
        <v>2013</v>
      </c>
      <c r="C27" t="inlineStr">
        <is>
          <t>Vera Wing</t>
        </is>
      </c>
      <c r="D27">
        <f>HYPERLINK("https://ota.tournamentsoftware.com/player-profile/9436679B-ADF6-41C9-A343-AB5B05F342AE", "Link")</f>
        <v/>
      </c>
      <c r="E27" s="3" t="n">
        <v>3359.944</v>
      </c>
      <c r="F27" s="4" t="n">
        <v>20</v>
      </c>
      <c r="G27" t="inlineStr">
        <is>
          <t>Tennis Alberta</t>
        </is>
      </c>
      <c r="H27" t="inlineStr">
        <is>
          <t>Aforza</t>
        </is>
      </c>
      <c r="I27" t="n">
        <v>30</v>
      </c>
      <c r="J27" s="4" t="n">
        <v>341</v>
      </c>
      <c r="K27" t="inlineStr">
        <is>
          <t>216 / 125</t>
        </is>
      </c>
      <c r="L27" t="inlineStr">
        <is>
          <t>37 / 18</t>
        </is>
      </c>
      <c r="M27" s="5" t="n">
        <v>0.63</v>
      </c>
      <c r="N27" s="5" t="n">
        <v>0.67</v>
      </c>
    </row>
    <row r="28">
      <c r="A28" t="n">
        <v>27</v>
      </c>
      <c r="B28" t="n">
        <v>2012</v>
      </c>
      <c r="C28" t="inlineStr">
        <is>
          <t>Joni Faye Colburne</t>
        </is>
      </c>
      <c r="D28">
        <f>HYPERLINK("https://ota.tournamentsoftware.com/player-profile/497EB335-7B19-4354-A8BD-7D257EE2CBEF", "Link")</f>
        <v/>
      </c>
      <c r="E28" s="3" t="n">
        <v>3356.812</v>
      </c>
      <c r="F28" s="4" t="n">
        <v>10</v>
      </c>
      <c r="G28" t="inlineStr">
        <is>
          <t>Tennis Québec</t>
        </is>
      </c>
      <c r="H28" t="inlineStr">
        <is>
          <t>Stade IGA</t>
        </is>
      </c>
      <c r="I28" t="n">
        <v>29.8</v>
      </c>
      <c r="J28" s="4" t="n">
        <v>320</v>
      </c>
      <c r="K28" t="inlineStr">
        <is>
          <t>198 / 122</t>
        </is>
      </c>
      <c r="L28" t="inlineStr">
        <is>
          <t>4 / 1</t>
        </is>
      </c>
      <c r="M28" s="5" t="n">
        <v>0.62</v>
      </c>
      <c r="N28" s="5" t="n">
        <v>0.8</v>
      </c>
    </row>
    <row r="29">
      <c r="A29" t="n">
        <v>28</v>
      </c>
      <c r="B29" t="n">
        <v>2012</v>
      </c>
      <c r="C29" t="inlineStr">
        <is>
          <t>Ariel Desbiens</t>
        </is>
      </c>
      <c r="D29">
        <f>HYPERLINK("https://ota.tournamentsoftware.com/player-profile/7381CFF5-5BA3-457C-9F6C-499D0F36D2DD", "Link")</f>
        <v/>
      </c>
      <c r="E29" s="3" t="n">
        <v>3288</v>
      </c>
      <c r="F29" s="4" t="n">
        <v>29</v>
      </c>
      <c r="G29" t="inlineStr">
        <is>
          <t>Tennis Québec</t>
        </is>
      </c>
      <c r="H29" t="inlineStr">
        <is>
          <t>SANI Sport</t>
        </is>
      </c>
      <c r="I29" t="n">
        <v>31.5</v>
      </c>
      <c r="J29" s="4" t="n">
        <v>379</v>
      </c>
      <c r="K29" t="inlineStr">
        <is>
          <t>236 / 143</t>
        </is>
      </c>
      <c r="L29" t="inlineStr">
        <is>
          <t>45 / 24</t>
        </is>
      </c>
      <c r="M29" s="5" t="n">
        <v>0.62</v>
      </c>
      <c r="N29" s="5" t="n">
        <v>0.65</v>
      </c>
    </row>
    <row r="30">
      <c r="A30" t="n">
        <v>29</v>
      </c>
      <c r="B30" t="n">
        <v>2014</v>
      </c>
      <c r="C30" t="inlineStr">
        <is>
          <t>Yoyo Siyi Li</t>
        </is>
      </c>
      <c r="D30">
        <f>HYPERLINK("https://ota.tournamentsoftware.com/player-profile/E0E18831-EA34-4F88-BD1F-E79079687846", "Link")</f>
        <v/>
      </c>
      <c r="E30" s="3" t="n">
        <v>3252.016</v>
      </c>
      <c r="F30" s="4" t="n">
        <v>11</v>
      </c>
      <c r="G30" t="inlineStr">
        <is>
          <t>Tennis Saskatchewan</t>
        </is>
      </c>
      <c r="H30" t="inlineStr">
        <is>
          <t>Lakeshore Tennis Club</t>
        </is>
      </c>
      <c r="I30" t="inlineStr">
        <is>
          <t>unavailable</t>
        </is>
      </c>
      <c r="J30" s="4" t="n">
        <v>241</v>
      </c>
      <c r="K30" t="inlineStr">
        <is>
          <t>171 / 70</t>
        </is>
      </c>
      <c r="L30" t="inlineStr">
        <is>
          <t>53 / 7</t>
        </is>
      </c>
      <c r="M30" s="5" t="n">
        <v>0.71</v>
      </c>
      <c r="N30" s="5" t="n">
        <v>0.88</v>
      </c>
    </row>
    <row r="31">
      <c r="A31" t="n">
        <v>30</v>
      </c>
      <c r="B31" t="n">
        <v>2013</v>
      </c>
      <c r="C31" t="inlineStr">
        <is>
          <t>YASMINE SOUISSI</t>
        </is>
      </c>
      <c r="D31">
        <f>HYPERLINK("https://ota.tournamentsoftware.com/player-profile/1B8E66F9-8E72-48A5-A280-1ADD14488B21", "Link")</f>
        <v/>
      </c>
      <c r="E31" s="3" t="n">
        <v>3080.814</v>
      </c>
      <c r="F31" s="4" t="n">
        <v>10</v>
      </c>
      <c r="G31" t="inlineStr">
        <is>
          <t>Tennis Québec</t>
        </is>
      </c>
      <c r="H31" t="inlineStr">
        <is>
          <t>Tennis 13</t>
        </is>
      </c>
      <c r="I31" t="n">
        <v>30.7</v>
      </c>
      <c r="J31" s="4" t="n">
        <v>242</v>
      </c>
      <c r="K31" t="inlineStr">
        <is>
          <t>163 / 79</t>
        </is>
      </c>
      <c r="L31" t="inlineStr">
        <is>
          <t>20 / 11</t>
        </is>
      </c>
      <c r="M31" s="5" t="n">
        <v>0.67</v>
      </c>
      <c r="N31" s="5" t="n">
        <v>0.65</v>
      </c>
    </row>
    <row r="32">
      <c r="A32" t="n">
        <v>31</v>
      </c>
      <c r="B32" t="n">
        <v>2012</v>
      </c>
      <c r="C32" t="inlineStr">
        <is>
          <t>Sophie Rachel Murray</t>
        </is>
      </c>
      <c r="D32">
        <f>HYPERLINK("https://ota.tournamentsoftware.com/player-profile/ADAA4094-7084-435C-80A6-9DA79EB19D3F", "Link")</f>
        <v/>
      </c>
      <c r="E32" s="3" t="n">
        <v>2878.56</v>
      </c>
      <c r="F32" s="4" t="n">
        <v>16</v>
      </c>
      <c r="G32" t="inlineStr">
        <is>
          <t>Tennis Alberta</t>
        </is>
      </c>
      <c r="H32" t="inlineStr">
        <is>
          <t>Osten &amp; Victor Alberta Tennis Centre</t>
        </is>
      </c>
      <c r="I32" t="n">
        <v>29.9</v>
      </c>
      <c r="J32" s="4" t="n">
        <v>322</v>
      </c>
      <c r="K32" t="inlineStr">
        <is>
          <t>194 / 128</t>
        </is>
      </c>
      <c r="L32" t="inlineStr">
        <is>
          <t>20 / 6</t>
        </is>
      </c>
      <c r="M32" s="5" t="n">
        <v>0.6</v>
      </c>
      <c r="N32" s="5" t="n">
        <v>0.77</v>
      </c>
    </row>
    <row r="33">
      <c r="A33" t="n">
        <v>32</v>
      </c>
      <c r="B33" t="n">
        <v>2013</v>
      </c>
      <c r="C33" t="inlineStr">
        <is>
          <t>Janelle Mao</t>
        </is>
      </c>
      <c r="D33">
        <f>HYPERLINK("https://ota.tournamentsoftware.com/player-profile/25605052-7047-4B82-9C15-5D4C8CE7946D", "Link")</f>
        <v/>
      </c>
      <c r="E33" s="3" t="n">
        <v>2800.744</v>
      </c>
      <c r="F33" s="4" t="n">
        <v>15</v>
      </c>
      <c r="G33" t="inlineStr">
        <is>
          <t>Ontario Tennis Association</t>
        </is>
      </c>
      <c r="H33" t="inlineStr">
        <is>
          <t>London Hunt &amp; Country Club</t>
        </is>
      </c>
      <c r="I33" t="n">
        <v>31.9</v>
      </c>
      <c r="J33" s="4" t="n">
        <v>209</v>
      </c>
      <c r="K33" t="inlineStr">
        <is>
          <t>124 / 85</t>
        </is>
      </c>
      <c r="L33" t="inlineStr">
        <is>
          <t>19 / 17</t>
        </is>
      </c>
      <c r="M33" s="5" t="n">
        <v>0.59</v>
      </c>
      <c r="N33" s="5" t="n">
        <v>0.53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2675.936</v>
      </c>
      <c r="F34" s="4" t="n">
        <v>22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31.5</v>
      </c>
      <c r="J34" s="4" t="n">
        <v>246</v>
      </c>
      <c r="K34" t="inlineStr">
        <is>
          <t>137 / 109</t>
        </is>
      </c>
      <c r="L34" t="inlineStr">
        <is>
          <t>36 / 21</t>
        </is>
      </c>
      <c r="M34" s="5" t="n">
        <v>0.5600000000000001</v>
      </c>
      <c r="N34" s="5" t="n">
        <v>0.63</v>
      </c>
    </row>
    <row r="35">
      <c r="A35" t="n">
        <v>34</v>
      </c>
      <c r="B35" t="n">
        <v>2012</v>
      </c>
      <c r="C35" t="inlineStr">
        <is>
          <t>Daisy Okechukwu</t>
        </is>
      </c>
      <c r="D35">
        <f>HYPERLINK("https://ota.tournamentsoftware.com/player-profile/9909D668-CC24-45D1-AD61-DE790BE62029", "Link")</f>
        <v/>
      </c>
      <c r="E35" s="3" t="n">
        <v>2463.6</v>
      </c>
      <c r="F35" s="4" t="n">
        <v>13</v>
      </c>
      <c r="G35" t="inlineStr">
        <is>
          <t>Ontario Tennis Association</t>
        </is>
      </c>
      <c r="H35" t="inlineStr">
        <is>
          <t>Carleton Tennis Centre</t>
        </is>
      </c>
      <c r="I35" t="n">
        <v>33.6</v>
      </c>
      <c r="J35" s="4" t="n">
        <v>129</v>
      </c>
      <c r="K35" t="inlineStr">
        <is>
          <t>36 / 93</t>
        </is>
      </c>
      <c r="L35" t="inlineStr">
        <is>
          <t>0 / 0</t>
        </is>
      </c>
      <c r="M35" s="5" t="n">
        <v>0.28</v>
      </c>
      <c r="N35" s="5" t="n">
        <v>0</v>
      </c>
    </row>
    <row r="36">
      <c r="A36" t="n">
        <v>35</v>
      </c>
      <c r="B36" t="n">
        <v>2012</v>
      </c>
      <c r="C36" t="inlineStr">
        <is>
          <t>Victoria Cui</t>
        </is>
      </c>
      <c r="D36">
        <f>HYPERLINK("https://ota.tournamentsoftware.com/player-profile/0645977B-E01D-437B-A80F-04D3BC7B5871", "Link")</f>
        <v/>
      </c>
      <c r="E36" s="3" t="n">
        <v>2377.36</v>
      </c>
      <c r="F36" s="4" t="n">
        <v>20</v>
      </c>
      <c r="G36" t="inlineStr">
        <is>
          <t>Ontario Tennis Association</t>
        </is>
      </c>
      <c r="H36" t="inlineStr">
        <is>
          <t>Mayfair East Racquet Club</t>
        </is>
      </c>
      <c r="I36" t="n">
        <v>31.1</v>
      </c>
      <c r="J36" s="4" t="n">
        <v>240</v>
      </c>
      <c r="K36" t="inlineStr">
        <is>
          <t>153 / 87</t>
        </is>
      </c>
      <c r="L36" t="inlineStr">
        <is>
          <t>25 / 14</t>
        </is>
      </c>
      <c r="M36" s="5" t="n">
        <v>0.64</v>
      </c>
      <c r="N36" s="5" t="n">
        <v>0.64</v>
      </c>
    </row>
    <row r="37">
      <c r="A37" t="n">
        <v>36</v>
      </c>
      <c r="B37" t="n">
        <v>2012</v>
      </c>
      <c r="C37" t="inlineStr">
        <is>
          <t>Misaki Rukovanjski</t>
        </is>
      </c>
      <c r="D37">
        <f>HYPERLINK("https://ota.tournamentsoftware.com/player-profile/CECDBF80-C74F-40ED-B426-04CA75BF14C1", "Link")</f>
        <v/>
      </c>
      <c r="E37" s="3" t="n">
        <v>2370.158</v>
      </c>
      <c r="F37" s="4" t="n">
        <v>24</v>
      </c>
      <c r="G37" t="inlineStr">
        <is>
          <t>Ontario Tennis Association</t>
        </is>
      </c>
      <c r="H37" t="inlineStr">
        <is>
          <t>No Club</t>
        </is>
      </c>
      <c r="I37" t="n">
        <v>32.8</v>
      </c>
      <c r="J37" s="4" t="n">
        <v>262</v>
      </c>
      <c r="K37" t="inlineStr">
        <is>
          <t>166 / 96</t>
        </is>
      </c>
      <c r="L37" t="inlineStr">
        <is>
          <t>22 / 16</t>
        </is>
      </c>
      <c r="M37" s="5" t="n">
        <v>0.63</v>
      </c>
      <c r="N37" s="5" t="n">
        <v>0.58</v>
      </c>
    </row>
    <row r="38">
      <c r="A38" t="n">
        <v>37</v>
      </c>
      <c r="B38" t="n">
        <v>2012</v>
      </c>
      <c r="C38" t="inlineStr">
        <is>
          <t>scarlett Ai</t>
        </is>
      </c>
      <c r="D38">
        <f>HYPERLINK("https://ota.tournamentsoftware.com/player-profile/99B381B6-120A-4EAE-A001-756292C53927", "Link")</f>
        <v/>
      </c>
      <c r="E38" s="3" t="n">
        <v>2328.047</v>
      </c>
      <c r="F38" s="4" t="n">
        <v>17</v>
      </c>
      <c r="G38" t="inlineStr">
        <is>
          <t>Ontario Tennis Association</t>
        </is>
      </c>
      <c r="H38" t="inlineStr">
        <is>
          <t>Toronto Tennis Academy</t>
        </is>
      </c>
      <c r="I38" t="n">
        <v>32.2</v>
      </c>
      <c r="J38" s="4" t="n">
        <v>218</v>
      </c>
      <c r="K38" t="inlineStr">
        <is>
          <t>119 / 99</t>
        </is>
      </c>
      <c r="L38" t="inlineStr">
        <is>
          <t>22 / 14</t>
        </is>
      </c>
      <c r="M38" s="5" t="n">
        <v>0.55</v>
      </c>
      <c r="N38" s="5" t="n">
        <v>0.61</v>
      </c>
    </row>
    <row r="39">
      <c r="A39" t="n">
        <v>38</v>
      </c>
      <c r="B39" t="n">
        <v>2012</v>
      </c>
      <c r="C39" t="inlineStr">
        <is>
          <t>Xinyi Kwan</t>
        </is>
      </c>
      <c r="D39">
        <f>HYPERLINK("https://ota.tournamentsoftware.com/player-profile/5146AC8F-EF0E-4E7A-A6A0-D65D12E5BF6E", "Link")</f>
        <v/>
      </c>
      <c r="E39" s="3" t="n">
        <v>2169.55</v>
      </c>
      <c r="F39" s="4" t="n">
        <v>23</v>
      </c>
      <c r="G39" t="inlineStr">
        <is>
          <t>Ontario Tennis Association</t>
        </is>
      </c>
      <c r="H39" t="inlineStr">
        <is>
          <t>Burlington Hall Sporting Club</t>
        </is>
      </c>
      <c r="I39" t="n">
        <v>30.5</v>
      </c>
      <c r="J39" s="4" t="n">
        <v>204</v>
      </c>
      <c r="K39" t="inlineStr">
        <is>
          <t>100 / 104</t>
        </is>
      </c>
      <c r="L39" t="inlineStr">
        <is>
          <t>23 / 15</t>
        </is>
      </c>
      <c r="M39" s="5" t="n">
        <v>0.49</v>
      </c>
      <c r="N39" s="5" t="n">
        <v>0.61</v>
      </c>
    </row>
    <row r="40">
      <c r="A40" t="n">
        <v>39</v>
      </c>
      <c r="B40" t="n">
        <v>2013</v>
      </c>
      <c r="C40" t="inlineStr">
        <is>
          <t>Valesca Calabrese</t>
        </is>
      </c>
      <c r="D40">
        <f>HYPERLINK("https://ota.tournamentsoftware.com/player-profile/B0833DD4-B006-4DA5-A204-F5A1B4F3FABB", "Link")</f>
        <v/>
      </c>
      <c r="E40" s="3" t="n">
        <v>2075.42</v>
      </c>
      <c r="F40" s="4" t="n">
        <v>22</v>
      </c>
      <c r="G40" t="inlineStr">
        <is>
          <t>Ontario Tennis Association</t>
        </is>
      </c>
      <c r="H40" t="inlineStr">
        <is>
          <t>Kingston Racquet Centre</t>
        </is>
      </c>
      <c r="I40" t="n">
        <v>32.7</v>
      </c>
      <c r="J40" s="4" t="n">
        <v>256</v>
      </c>
      <c r="K40" t="inlineStr">
        <is>
          <t>169 / 87</t>
        </is>
      </c>
      <c r="L40" t="inlineStr">
        <is>
          <t>20 / 11</t>
        </is>
      </c>
      <c r="M40" s="5" t="n">
        <v>0.66</v>
      </c>
      <c r="N40" s="5" t="n">
        <v>0.65</v>
      </c>
    </row>
    <row r="41">
      <c r="A41" t="n">
        <v>40</v>
      </c>
      <c r="B41" t="n">
        <v>2014</v>
      </c>
      <c r="C41" t="inlineStr">
        <is>
          <t>Adelina Tanashikova</t>
        </is>
      </c>
      <c r="D41">
        <f>HYPERLINK("https://ota.tournamentsoftware.com/player-profile/AD7F41D2-B208-4518-963D-851BBA4276F4", "Link")</f>
        <v/>
      </c>
      <c r="E41" s="3" t="n">
        <v>2032.278</v>
      </c>
      <c r="F41" s="4" t="n">
        <v>15</v>
      </c>
      <c r="G41" t="inlineStr">
        <is>
          <t>Ontario Tennis Association</t>
        </is>
      </c>
      <c r="H41" t="inlineStr">
        <is>
          <t>No Club</t>
        </is>
      </c>
      <c r="I41" t="n">
        <v>31.1</v>
      </c>
      <c r="J41" s="4" t="n">
        <v>263</v>
      </c>
      <c r="K41" t="inlineStr">
        <is>
          <t>140 / 123</t>
        </is>
      </c>
      <c r="L41" t="inlineStr">
        <is>
          <t>23 / 6</t>
        </is>
      </c>
      <c r="M41" s="5" t="n">
        <v>0.53</v>
      </c>
      <c r="N41" s="5" t="n">
        <v>0.79</v>
      </c>
    </row>
    <row r="42">
      <c r="A42" t="n">
        <v>41</v>
      </c>
      <c r="B42" t="n">
        <v>2012</v>
      </c>
      <c r="C42" t="inlineStr">
        <is>
          <t>Amaliia Bakumenko</t>
        </is>
      </c>
      <c r="D42">
        <f>HYPERLINK("https://ota.tournamentsoftware.com/player-profile/E789F167-880C-4307-840C-31D5E72C32F0", "Link")</f>
        <v/>
      </c>
      <c r="E42" s="3" t="n">
        <v>1923.936</v>
      </c>
      <c r="F42" s="4" t="n">
        <v>2</v>
      </c>
      <c r="G42" t="inlineStr">
        <is>
          <t>Tennis Québec</t>
        </is>
      </c>
      <c r="H42" t="inlineStr">
        <is>
          <t>Tennis 13 / Académie Ménard et associé</t>
        </is>
      </c>
      <c r="I42" t="n">
        <v>25.2</v>
      </c>
      <c r="J42" s="4" t="n">
        <v>80</v>
      </c>
      <c r="K42" t="inlineStr">
        <is>
          <t>60 / 20</t>
        </is>
      </c>
      <c r="L42" t="inlineStr">
        <is>
          <t>0 / 0</t>
        </is>
      </c>
      <c r="M42" s="5" t="n">
        <v>0.75</v>
      </c>
      <c r="N42" s="5" t="n">
        <v>0</v>
      </c>
    </row>
    <row r="43">
      <c r="A43" t="n">
        <v>42</v>
      </c>
      <c r="B43" t="n">
        <v>2012</v>
      </c>
      <c r="C43" t="inlineStr">
        <is>
          <t>Marilyn deBruin-Sawutz</t>
        </is>
      </c>
      <c r="D43">
        <f>HYPERLINK("https://ota.tournamentsoftware.com/player-profile/3DC26724-8571-4345-A75C-D904297288CB", "Link")</f>
        <v/>
      </c>
      <c r="E43" s="3" t="n">
        <v>1832.323</v>
      </c>
      <c r="F43" s="4" t="n">
        <v>26</v>
      </c>
      <c r="G43" t="inlineStr">
        <is>
          <t>Ontario Tennis Association</t>
        </is>
      </c>
      <c r="H43" t="inlineStr">
        <is>
          <t>Advantage Tennis International at Veneto</t>
        </is>
      </c>
      <c r="I43" t="n">
        <v>32.3</v>
      </c>
      <c r="J43" s="4" t="n">
        <v>280</v>
      </c>
      <c r="K43" t="inlineStr">
        <is>
          <t>144 / 136</t>
        </is>
      </c>
      <c r="L43" t="inlineStr">
        <is>
          <t>23 / 17</t>
        </is>
      </c>
      <c r="M43" s="5" t="n">
        <v>0.51</v>
      </c>
      <c r="N43" s="5" t="n">
        <v>0.57</v>
      </c>
    </row>
    <row r="44">
      <c r="A44" t="n">
        <v>43</v>
      </c>
      <c r="B44" t="n">
        <v>2014</v>
      </c>
      <c r="C44" t="inlineStr">
        <is>
          <t>Wilma Wai Bo Yue</t>
        </is>
      </c>
      <c r="D44">
        <f>HYPERLINK("https://ota.tournamentsoftware.com/player-profile/6CAEB488-574A-45E0-B597-01F96FA5C987", "Link")</f>
        <v/>
      </c>
      <c r="E44" s="3" t="n">
        <v>1828.64</v>
      </c>
      <c r="F44" s="4" t="n">
        <v>14</v>
      </c>
      <c r="G44" t="inlineStr">
        <is>
          <t>Ontario Tennis Association</t>
        </is>
      </c>
      <c r="H44" t="inlineStr">
        <is>
          <t>No Club</t>
        </is>
      </c>
      <c r="I44" t="n">
        <v>32.8</v>
      </c>
      <c r="J44" s="4" t="n">
        <v>201</v>
      </c>
      <c r="K44" t="inlineStr">
        <is>
          <t>145 / 56</t>
        </is>
      </c>
      <c r="L44" t="inlineStr">
        <is>
          <t>30 / 10</t>
        </is>
      </c>
      <c r="M44" s="5" t="n">
        <v>0.72</v>
      </c>
      <c r="N44" s="5" t="n">
        <v>0.75</v>
      </c>
    </row>
    <row r="45">
      <c r="A45" t="n">
        <v>44</v>
      </c>
      <c r="B45" t="n">
        <v>2014</v>
      </c>
      <c r="C45" t="inlineStr">
        <is>
          <t>Fiona Huang</t>
        </is>
      </c>
      <c r="D45">
        <f>HYPERLINK("https://ota.tournamentsoftware.com/player-profile/701ADA13-714A-48E5-B54F-4DB9E25DBDB3", "Link")</f>
        <v/>
      </c>
      <c r="E45" s="3" t="n">
        <v>1815.25</v>
      </c>
      <c r="F45" s="4" t="n">
        <v>15</v>
      </c>
      <c r="G45" t="inlineStr">
        <is>
          <t>British Columbia</t>
        </is>
      </c>
      <c r="H45" t="inlineStr">
        <is>
          <t>No Club</t>
        </is>
      </c>
      <c r="I45" t="n">
        <v>32.1</v>
      </c>
      <c r="J45" s="4" t="n">
        <v>216</v>
      </c>
      <c r="K45" t="inlineStr">
        <is>
          <t>137 / 79</t>
        </is>
      </c>
      <c r="L45" t="inlineStr">
        <is>
          <t>29 / 12</t>
        </is>
      </c>
      <c r="M45" s="5" t="n">
        <v>0.63</v>
      </c>
      <c r="N45" s="5" t="n">
        <v>0.71</v>
      </c>
    </row>
    <row r="46">
      <c r="A46" t="n">
        <v>45</v>
      </c>
      <c r="B46" t="n">
        <v>2012</v>
      </c>
      <c r="C46" t="inlineStr">
        <is>
          <t>Hannah Yiwei Wang</t>
        </is>
      </c>
      <c r="D46">
        <f>HYPERLINK("https://ota.tournamentsoftware.com/player-profile/CEB4A334-7BA1-4478-96B0-66580448520A", "Link")</f>
        <v/>
      </c>
      <c r="E46" s="3" t="n">
        <v>1798.023</v>
      </c>
      <c r="F46" s="4" t="n">
        <v>17</v>
      </c>
      <c r="G46" t="inlineStr">
        <is>
          <t>Ontario Tennis Association</t>
        </is>
      </c>
      <c r="H46" t="inlineStr">
        <is>
          <t>Richmondhill Golf &amp; Country Club</t>
        </is>
      </c>
      <c r="I46" t="n">
        <v>31.5</v>
      </c>
      <c r="J46" s="4" t="n">
        <v>172</v>
      </c>
      <c r="K46" t="inlineStr">
        <is>
          <t>90 / 82</t>
        </is>
      </c>
      <c r="L46" t="inlineStr">
        <is>
          <t>20 / 16</t>
        </is>
      </c>
      <c r="M46" s="5" t="n">
        <v>0.52</v>
      </c>
      <c r="N46" s="5" t="n">
        <v>0.5600000000000001</v>
      </c>
    </row>
    <row r="47">
      <c r="A47" t="n">
        <v>46</v>
      </c>
      <c r="B47" t="n">
        <v>2013</v>
      </c>
      <c r="C47" t="inlineStr">
        <is>
          <t>Anvitha Mahadevaswamy</t>
        </is>
      </c>
      <c r="D47">
        <f>HYPERLINK("https://ota.tournamentsoftware.com/player-profile/09DB8B30-6DCB-4B0E-9241-CA7456F2AD6D", "Link")</f>
        <v/>
      </c>
      <c r="E47" s="3" t="n">
        <v>1779.55</v>
      </c>
      <c r="F47" s="4" t="n">
        <v>14</v>
      </c>
      <c r="G47" t="inlineStr">
        <is>
          <t>Tennis New Brunswick</t>
        </is>
      </c>
      <c r="H47" t="inlineStr">
        <is>
          <t>Abony Family Tennis Center</t>
        </is>
      </c>
      <c r="I47" t="n">
        <v>33.2</v>
      </c>
      <c r="J47" s="4" t="n">
        <v>232</v>
      </c>
      <c r="K47" t="inlineStr">
        <is>
          <t>137 / 95</t>
        </is>
      </c>
      <c r="L47" t="inlineStr">
        <is>
          <t>37 / 21</t>
        </is>
      </c>
      <c r="M47" s="5" t="n">
        <v>0.59</v>
      </c>
      <c r="N47" s="5" t="n">
        <v>0.64</v>
      </c>
    </row>
    <row r="48">
      <c r="A48" t="n">
        <v>47</v>
      </c>
      <c r="B48" t="n">
        <v>2013</v>
      </c>
      <c r="C48" t="inlineStr">
        <is>
          <t>Haeun (Emily) Jo</t>
        </is>
      </c>
      <c r="D48">
        <f>HYPERLINK("https://ota.tournamentsoftware.com/player-profile/BBD49A71-6CAE-4AC7-908B-9DB5263DA715", "Link")</f>
        <v/>
      </c>
      <c r="E48" s="3" t="n">
        <v>1714.8</v>
      </c>
      <c r="F48" s="4" t="n">
        <v>13</v>
      </c>
      <c r="G48" t="inlineStr">
        <is>
          <t>Tennis Nova Scotia</t>
        </is>
      </c>
      <c r="H48" t="inlineStr">
        <is>
          <t>Atlantic Tennis Centre</t>
        </is>
      </c>
      <c r="I48" t="n">
        <v>31.7</v>
      </c>
      <c r="J48" s="4" t="n">
        <v>284</v>
      </c>
      <c r="K48" t="inlineStr">
        <is>
          <t>190 / 94</t>
        </is>
      </c>
      <c r="L48" t="inlineStr">
        <is>
          <t>41 / 15</t>
        </is>
      </c>
      <c r="M48" s="5" t="n">
        <v>0.67</v>
      </c>
      <c r="N48" s="5" t="n">
        <v>0.73</v>
      </c>
    </row>
    <row r="49">
      <c r="A49" t="n">
        <v>48</v>
      </c>
      <c r="B49" t="n">
        <v>2012</v>
      </c>
      <c r="C49" t="inlineStr">
        <is>
          <t>Katelyn Pasula</t>
        </is>
      </c>
      <c r="D49">
        <f>HYPERLINK("https://ota.tournamentsoftware.com/player-profile/2F075CB1-8090-4588-823C-59BF58DDDA64", "Link")</f>
        <v/>
      </c>
      <c r="E49" s="3" t="n">
        <v>1661.687</v>
      </c>
      <c r="F49" s="4" t="n">
        <v>6</v>
      </c>
      <c r="G49" t="inlineStr">
        <is>
          <t>British Columbia</t>
        </is>
      </c>
      <c r="H49" t="inlineStr">
        <is>
          <t>BC NI No Club</t>
        </is>
      </c>
      <c r="I49" t="inlineStr">
        <is>
          <t>unavailable</t>
        </is>
      </c>
      <c r="J49" s="4" t="n">
        <v>32</v>
      </c>
      <c r="K49" t="inlineStr">
        <is>
          <t>18 / 14</t>
        </is>
      </c>
      <c r="L49" t="inlineStr">
        <is>
          <t>5 / 5</t>
        </is>
      </c>
      <c r="M49" s="5" t="n">
        <v>0.5600000000000001</v>
      </c>
      <c r="N49" s="5" t="n">
        <v>0.5</v>
      </c>
    </row>
    <row r="50">
      <c r="A50" t="n">
        <v>49</v>
      </c>
      <c r="B50" t="n">
        <v>2014</v>
      </c>
      <c r="C50" t="inlineStr">
        <is>
          <t>Aleksandra Alymov</t>
        </is>
      </c>
      <c r="D50">
        <f>HYPERLINK("https://ota.tournamentsoftware.com/player-profile/3ED01243-78C8-4179-A634-27E1B1E8443A", "Link")</f>
        <v/>
      </c>
      <c r="E50" s="3" t="n">
        <v>1624.264</v>
      </c>
      <c r="F50" s="4" t="n">
        <v>14</v>
      </c>
      <c r="G50" t="inlineStr">
        <is>
          <t>Ontario Tennis Association</t>
        </is>
      </c>
      <c r="H50" t="inlineStr">
        <is>
          <t>Rexall Centre</t>
        </is>
      </c>
      <c r="I50" t="n">
        <v>32.4</v>
      </c>
      <c r="J50" s="4" t="n">
        <v>209</v>
      </c>
      <c r="K50" t="inlineStr">
        <is>
          <t>132 / 77</t>
        </is>
      </c>
      <c r="L50" t="inlineStr">
        <is>
          <t>31 / 8</t>
        </is>
      </c>
      <c r="M50" s="5" t="n">
        <v>0.63</v>
      </c>
      <c r="N50" s="5" t="n">
        <v>0.79</v>
      </c>
    </row>
    <row r="51">
      <c r="A51" t="n">
        <v>50</v>
      </c>
      <c r="B51" t="n">
        <v>2013</v>
      </c>
      <c r="C51" t="inlineStr">
        <is>
          <t>xiayue(Cecelia) Bi</t>
        </is>
      </c>
      <c r="D51">
        <f>HYPERLINK("https://ota.tournamentsoftware.com/player-profile/081CD41C-A9E4-4340-A239-2D92F6639919", "Link")</f>
        <v/>
      </c>
      <c r="E51" s="3" t="n">
        <v>1614.716</v>
      </c>
      <c r="F51" s="4" t="n">
        <v>13</v>
      </c>
      <c r="G51" t="inlineStr">
        <is>
          <t>British Columbia</t>
        </is>
      </c>
      <c r="H51" t="inlineStr">
        <is>
          <t>North Vancouver Tennis Centre</t>
        </is>
      </c>
      <c r="I51" t="n">
        <v>32</v>
      </c>
      <c r="J51" s="4" t="n">
        <v>242</v>
      </c>
      <c r="K51" t="inlineStr">
        <is>
          <t>155 / 87</t>
        </is>
      </c>
      <c r="L51" t="inlineStr">
        <is>
          <t>16 / 19</t>
        </is>
      </c>
      <c r="M51" s="5" t="n">
        <v>0.64</v>
      </c>
      <c r="N51" s="5" t="n">
        <v>0.46</v>
      </c>
    </row>
    <row r="52">
      <c r="A52" t="n">
        <v>51</v>
      </c>
      <c r="B52" t="n">
        <v>2013</v>
      </c>
      <c r="C52" t="inlineStr">
        <is>
          <t>Elena Rusic</t>
        </is>
      </c>
      <c r="D52">
        <f>HYPERLINK("https://ota.tournamentsoftware.com/player-profile/C202F0BA-61C5-459D-993A-2D56C17C2B04", "Link")</f>
        <v/>
      </c>
      <c r="E52" s="3" t="n">
        <v>1612.81</v>
      </c>
      <c r="F52" s="4" t="n">
        <v>24</v>
      </c>
      <c r="G52" t="inlineStr">
        <is>
          <t>Ontario Tennis Association</t>
        </is>
      </c>
      <c r="H52" t="inlineStr">
        <is>
          <t>Joshua Creek Golf &amp; Tennis</t>
        </is>
      </c>
      <c r="I52" t="n">
        <v>33.2</v>
      </c>
      <c r="J52" s="4" t="n">
        <v>256</v>
      </c>
      <c r="K52" t="inlineStr">
        <is>
          <t>182 / 74</t>
        </is>
      </c>
      <c r="L52" t="inlineStr">
        <is>
          <t>23 / 19</t>
        </is>
      </c>
      <c r="M52" s="5" t="n">
        <v>0.71</v>
      </c>
      <c r="N52" s="5" t="n">
        <v>0.55</v>
      </c>
    </row>
    <row r="53">
      <c r="A53" t="n">
        <v>52</v>
      </c>
      <c r="B53" t="n">
        <v>2014</v>
      </c>
      <c r="C53" t="inlineStr">
        <is>
          <t>SOPHIA JIAJIA DENG</t>
        </is>
      </c>
      <c r="D53">
        <f>HYPERLINK("https://ota.tournamentsoftware.com/player-profile/FE6DD2AD-9E29-4128-BE09-D1E88B84D2C8", "Link")</f>
        <v/>
      </c>
      <c r="E53" s="3" t="n">
        <v>1517.542</v>
      </c>
      <c r="F53" s="4" t="n">
        <v>18</v>
      </c>
      <c r="G53" t="inlineStr">
        <is>
          <t>Ontario Tennis Association</t>
        </is>
      </c>
      <c r="H53" t="inlineStr">
        <is>
          <t>Mayfair West Fitness &amp; Racquet Club</t>
        </is>
      </c>
      <c r="I53" t="n">
        <v>32.6</v>
      </c>
      <c r="J53" s="4" t="n">
        <v>177</v>
      </c>
      <c r="K53" t="inlineStr">
        <is>
          <t>130 / 47</t>
        </is>
      </c>
      <c r="L53" t="inlineStr">
        <is>
          <t>30 / 13</t>
        </is>
      </c>
      <c r="M53" s="5" t="n">
        <v>0.73</v>
      </c>
      <c r="N53" s="5" t="n">
        <v>0.7</v>
      </c>
    </row>
    <row r="54">
      <c r="A54" t="n">
        <v>53</v>
      </c>
      <c r="B54" t="n">
        <v>2012</v>
      </c>
      <c r="C54" t="inlineStr">
        <is>
          <t>Natalie Le'er Sang</t>
        </is>
      </c>
      <c r="D54">
        <f>HYPERLINK("https://ota.tournamentsoftware.com/player-profile/993E5845-6FAB-4557-A6F0-C3D60CD8BB97", "Link")</f>
        <v/>
      </c>
      <c r="E54" s="3" t="n">
        <v>1488.96</v>
      </c>
      <c r="F54" s="4" t="n">
        <v>17</v>
      </c>
      <c r="G54" t="inlineStr">
        <is>
          <t>British Columbia</t>
        </is>
      </c>
      <c r="H54" t="inlineStr">
        <is>
          <t>No Club</t>
        </is>
      </c>
      <c r="I54" t="n">
        <v>33</v>
      </c>
      <c r="J54" s="4" t="n">
        <v>111</v>
      </c>
      <c r="K54" t="inlineStr">
        <is>
          <t>78 / 33</t>
        </is>
      </c>
      <c r="L54" t="inlineStr">
        <is>
          <t>21 / 19</t>
        </is>
      </c>
      <c r="M54" s="5" t="n">
        <v>0.7</v>
      </c>
      <c r="N54" s="5" t="n">
        <v>0.53</v>
      </c>
    </row>
    <row r="55">
      <c r="A55" t="n">
        <v>54</v>
      </c>
      <c r="B55" t="n">
        <v>2012</v>
      </c>
      <c r="C55" t="inlineStr">
        <is>
          <t>Allyson Experience</t>
        </is>
      </c>
      <c r="D55">
        <f>HYPERLINK("https://ota.tournamentsoftware.com/player-profile/9A5D0B4A-A8C7-47DA-8CAD-CA25D28C69CE", "Link")</f>
        <v/>
      </c>
      <c r="E55" s="3" t="n">
        <v>1453.995</v>
      </c>
      <c r="F55" s="4" t="n">
        <v>24</v>
      </c>
      <c r="G55" t="inlineStr">
        <is>
          <t>Tennis Québec</t>
        </is>
      </c>
      <c r="H55" t="inlineStr">
        <is>
          <t>Tennis Montréal Excellence</t>
        </is>
      </c>
      <c r="I55" t="n">
        <v>34</v>
      </c>
      <c r="J55" s="4" t="n">
        <v>256</v>
      </c>
      <c r="K55" t="inlineStr">
        <is>
          <t>117 / 139</t>
        </is>
      </c>
      <c r="L55" t="inlineStr">
        <is>
          <t>16 / 20</t>
        </is>
      </c>
      <c r="M55" s="5" t="n">
        <v>0.46</v>
      </c>
      <c r="N55" s="5" t="n">
        <v>0.44</v>
      </c>
    </row>
    <row r="56">
      <c r="A56" t="n">
        <v>55</v>
      </c>
      <c r="B56" t="n">
        <v>2014</v>
      </c>
      <c r="C56" t="inlineStr">
        <is>
          <t>Roseline Nana</t>
        </is>
      </c>
      <c r="D56">
        <f>HYPERLINK("https://ota.tournamentsoftware.com/player-profile/B0A425C4-2F23-4C29-8447-4FFBF9D90967", "Link")</f>
        <v/>
      </c>
      <c r="E56" s="3" t="n">
        <v>1437.2</v>
      </c>
      <c r="F56" s="4" t="n">
        <v>27</v>
      </c>
      <c r="G56" t="inlineStr">
        <is>
          <t>Tennis Québec</t>
        </is>
      </c>
      <c r="H56" t="inlineStr">
        <is>
          <t>Tennis Montréal Excellence</t>
        </is>
      </c>
      <c r="I56" t="n">
        <v>33</v>
      </c>
      <c r="J56" s="4" t="n">
        <v>190</v>
      </c>
      <c r="K56" t="inlineStr">
        <is>
          <t>134 / 56</t>
        </is>
      </c>
      <c r="L56" t="inlineStr">
        <is>
          <t>47 / 17</t>
        </is>
      </c>
      <c r="M56" s="5" t="n">
        <v>0.71</v>
      </c>
      <c r="N56" s="5" t="n">
        <v>0.73</v>
      </c>
    </row>
    <row r="57">
      <c r="A57" t="n">
        <v>56</v>
      </c>
      <c r="B57" t="n">
        <v>2014</v>
      </c>
      <c r="C57" t="inlineStr">
        <is>
          <t>Amelia Grace Balasuriya</t>
        </is>
      </c>
      <c r="D57">
        <f>HYPERLINK("https://ota.tournamentsoftware.com/player-profile/741A3060-1EA3-4E29-A0BE-1717DEF32CEA", "Link")</f>
        <v/>
      </c>
      <c r="E57" s="3" t="n">
        <v>1404.762</v>
      </c>
      <c r="F57" s="4" t="n">
        <v>27</v>
      </c>
      <c r="G57" t="inlineStr">
        <is>
          <t>Ontario Tennis Association</t>
        </is>
      </c>
      <c r="H57" t="inlineStr">
        <is>
          <t>The Supreme Court Tennis Club</t>
        </is>
      </c>
      <c r="I57" t="n">
        <v>33.3</v>
      </c>
      <c r="J57" s="4" t="n">
        <v>260</v>
      </c>
      <c r="K57" t="inlineStr">
        <is>
          <t>168 / 92</t>
        </is>
      </c>
      <c r="L57" t="inlineStr">
        <is>
          <t>45 / 22</t>
        </is>
      </c>
      <c r="M57" s="5" t="n">
        <v>0.65</v>
      </c>
      <c r="N57" s="5" t="n">
        <v>0.67</v>
      </c>
    </row>
    <row r="58">
      <c r="A58" t="n">
        <v>57</v>
      </c>
      <c r="B58" t="n">
        <v>2014</v>
      </c>
      <c r="C58" t="inlineStr">
        <is>
          <t>jocelyn ai</t>
        </is>
      </c>
      <c r="D58">
        <f>HYPERLINK("https://ota.tournamentsoftware.com/player-profile/EADED953-942B-4335-BE21-C0DE8F31626D", "Link")</f>
        <v/>
      </c>
      <c r="E58" s="3" t="n">
        <v>1398.47</v>
      </c>
      <c r="F58" s="4" t="n">
        <v>22</v>
      </c>
      <c r="G58" t="inlineStr">
        <is>
          <t>Ontario Tennis Association</t>
        </is>
      </c>
      <c r="H58" t="inlineStr">
        <is>
          <t>No Club</t>
        </is>
      </c>
      <c r="I58" t="n">
        <v>33.6</v>
      </c>
      <c r="J58" s="4" t="n">
        <v>213</v>
      </c>
      <c r="K58" t="inlineStr">
        <is>
          <t>128 / 85</t>
        </is>
      </c>
      <c r="L58" t="inlineStr">
        <is>
          <t>34 / 22</t>
        </is>
      </c>
      <c r="M58" s="5" t="n">
        <v>0.6</v>
      </c>
      <c r="N58" s="5" t="n">
        <v>0.61</v>
      </c>
    </row>
    <row r="59">
      <c r="A59" t="n">
        <v>58</v>
      </c>
      <c r="B59" t="n">
        <v>2013</v>
      </c>
      <c r="C59" t="inlineStr">
        <is>
          <t>Eleanor Victoria Paura</t>
        </is>
      </c>
      <c r="D59">
        <f>HYPERLINK("https://ota.tournamentsoftware.com/player-profile/4D9EBB83-94D7-44A3-BD6F-1D98EF9559DF", "Link")</f>
        <v/>
      </c>
      <c r="E59" s="3" t="n">
        <v>1376.144</v>
      </c>
      <c r="F59" s="4" t="n">
        <v>12</v>
      </c>
      <c r="G59" t="inlineStr">
        <is>
          <t>Tennis Saskatchewan</t>
        </is>
      </c>
      <c r="H59" t="inlineStr">
        <is>
          <t>Lakeshore Tennis Club</t>
        </is>
      </c>
      <c r="I59" t="n">
        <v>34.7</v>
      </c>
      <c r="J59" s="4" t="n">
        <v>196</v>
      </c>
      <c r="K59" t="inlineStr">
        <is>
          <t>85 / 111</t>
        </is>
      </c>
      <c r="L59" t="inlineStr">
        <is>
          <t>27 / 22</t>
        </is>
      </c>
      <c r="M59" s="5" t="n">
        <v>0.43</v>
      </c>
      <c r="N59" s="5" t="n">
        <v>0.55</v>
      </c>
    </row>
    <row r="60">
      <c r="A60" t="n">
        <v>59</v>
      </c>
      <c r="B60" t="n">
        <v>2013</v>
      </c>
      <c r="C60" t="inlineStr">
        <is>
          <t>Aida Idrissi Serghini</t>
        </is>
      </c>
      <c r="D60">
        <f>HYPERLINK("https://ota.tournamentsoftware.com/player-profile/F5E49767-E427-41A0-B6F2-79E8AC4CB7AE", "Link")</f>
        <v/>
      </c>
      <c r="E60" s="3" t="n">
        <v>1370.516</v>
      </c>
      <c r="F60" s="4" t="n">
        <v>19</v>
      </c>
      <c r="G60" t="inlineStr">
        <is>
          <t>Tennis Québec</t>
        </is>
      </c>
      <c r="H60" t="inlineStr">
        <is>
          <t>Centre récréatif de Repentigny / Académie Tennis Momentum</t>
        </is>
      </c>
      <c r="I60" t="n">
        <v>32.9</v>
      </c>
      <c r="J60" s="4" t="n">
        <v>219</v>
      </c>
      <c r="K60" t="inlineStr">
        <is>
          <t>151 / 68</t>
        </is>
      </c>
      <c r="L60" t="inlineStr">
        <is>
          <t>25 / 15</t>
        </is>
      </c>
      <c r="M60" s="5" t="n">
        <v>0.6899999999999999</v>
      </c>
      <c r="N60" s="5" t="n">
        <v>0.62</v>
      </c>
    </row>
    <row r="61">
      <c r="A61" t="n">
        <v>60</v>
      </c>
      <c r="B61" t="n">
        <v>2013</v>
      </c>
      <c r="C61" t="inlineStr">
        <is>
          <t>Charlotte Dawes</t>
        </is>
      </c>
      <c r="D61">
        <f>HYPERLINK("https://ota.tournamentsoftware.com/player-profile/F2AC6B3A-37CF-4522-9228-9A614DED4E6F", "Link")</f>
        <v/>
      </c>
      <c r="E61" s="3" t="n">
        <v>1333.136</v>
      </c>
      <c r="F61" s="4" t="n">
        <v>14</v>
      </c>
      <c r="G61" t="inlineStr">
        <is>
          <t>Tennis Alberta</t>
        </is>
      </c>
      <c r="H61" t="inlineStr">
        <is>
          <t>Osten &amp; Victor Alberta Tennis Centre</t>
        </is>
      </c>
      <c r="I61" t="n">
        <v>33.1</v>
      </c>
      <c r="J61" s="4" t="n">
        <v>225</v>
      </c>
      <c r="K61" t="inlineStr">
        <is>
          <t>112 / 113</t>
        </is>
      </c>
      <c r="L61" t="inlineStr">
        <is>
          <t>25 / 18</t>
        </is>
      </c>
      <c r="M61" s="5" t="n">
        <v>0.5</v>
      </c>
      <c r="N61" s="5" t="n">
        <v>0.58</v>
      </c>
    </row>
    <row r="62">
      <c r="A62" t="n">
        <v>61</v>
      </c>
      <c r="B62" t="n">
        <v>2013</v>
      </c>
      <c r="C62" t="inlineStr">
        <is>
          <t>Adèle Juneau</t>
        </is>
      </c>
      <c r="D62">
        <f>HYPERLINK("https://ota.tournamentsoftware.com/player-profile/3A8C3EB0-444C-4108-A91E-FC74701A660D", "Link")</f>
        <v/>
      </c>
      <c r="E62" s="3" t="n">
        <v>1297.566</v>
      </c>
      <c r="F62" s="4" t="n">
        <v>18</v>
      </c>
      <c r="G62" t="inlineStr">
        <is>
          <t>Tennis Québec</t>
        </is>
      </c>
      <c r="H62" t="inlineStr">
        <is>
          <t>Tennis 13 / Académie Ménard et associé</t>
        </is>
      </c>
      <c r="I62" t="n">
        <v>32.6</v>
      </c>
      <c r="J62" s="4" t="n">
        <v>330</v>
      </c>
      <c r="K62" t="inlineStr">
        <is>
          <t>186 / 144</t>
        </is>
      </c>
      <c r="L62" t="inlineStr">
        <is>
          <t>18 / 19</t>
        </is>
      </c>
      <c r="M62" s="5" t="n">
        <v>0.5600000000000001</v>
      </c>
      <c r="N62" s="5" t="n">
        <v>0.49</v>
      </c>
    </row>
    <row r="63">
      <c r="A63" t="n">
        <v>62</v>
      </c>
      <c r="B63" t="n">
        <v>2014</v>
      </c>
      <c r="C63" t="inlineStr">
        <is>
          <t>Naomi Danyod</t>
        </is>
      </c>
      <c r="D63">
        <f>HYPERLINK("https://ota.tournamentsoftware.com/player-profile/2037E4D8-F8CE-4A2B-858E-7FBBA84F2BC7", "Link")</f>
        <v/>
      </c>
      <c r="E63" s="3" t="n">
        <v>1281.058</v>
      </c>
      <c r="F63" s="4" t="n">
        <v>17</v>
      </c>
      <c r="G63" t="inlineStr">
        <is>
          <t>Tennis Québec</t>
        </is>
      </c>
      <c r="H63" t="inlineStr">
        <is>
          <t>Rouge et Or - Université Laval</t>
        </is>
      </c>
      <c r="I63" t="n">
        <v>32.9</v>
      </c>
      <c r="J63" s="4" t="n">
        <v>153</v>
      </c>
      <c r="K63" t="inlineStr">
        <is>
          <t>99 / 54</t>
        </is>
      </c>
      <c r="L63" t="inlineStr">
        <is>
          <t>29 / 15</t>
        </is>
      </c>
      <c r="M63" s="5" t="n">
        <v>0.65</v>
      </c>
      <c r="N63" s="5" t="n">
        <v>0.66</v>
      </c>
    </row>
    <row r="64">
      <c r="A64" t="n">
        <v>63</v>
      </c>
      <c r="B64" t="n">
        <v>2013</v>
      </c>
      <c r="C64" t="inlineStr">
        <is>
          <t>Alexane Deschênes</t>
        </is>
      </c>
      <c r="D64">
        <f>HYPERLINK("https://ota.tournamentsoftware.com/player-profile/124D1E6B-E463-4461-A5D1-9C844DE2C6D9", "Link")</f>
        <v/>
      </c>
      <c r="E64" s="3" t="n">
        <v>1259.201</v>
      </c>
      <c r="F64" s="4" t="n">
        <v>20</v>
      </c>
      <c r="G64" t="inlineStr">
        <is>
          <t>Tennis Québec</t>
        </is>
      </c>
      <c r="H64" t="inlineStr">
        <is>
          <t>Centre récréatif de Repentigny / Académie Tennis Momentum</t>
        </is>
      </c>
      <c r="I64" t="n">
        <v>33.6</v>
      </c>
      <c r="J64" s="4" t="n">
        <v>279</v>
      </c>
      <c r="K64" t="inlineStr">
        <is>
          <t>148 / 131</t>
        </is>
      </c>
      <c r="L64" t="inlineStr">
        <is>
          <t>28 / 29</t>
        </is>
      </c>
      <c r="M64" s="5" t="n">
        <v>0.53</v>
      </c>
      <c r="N64" s="5" t="n">
        <v>0.49</v>
      </c>
    </row>
    <row r="65">
      <c r="A65" t="n">
        <v>64</v>
      </c>
      <c r="B65" t="n">
        <v>2012</v>
      </c>
      <c r="C65" t="inlineStr">
        <is>
          <t>Zahava Olszynko</t>
        </is>
      </c>
      <c r="D65">
        <f>HYPERLINK("https://ota.tournamentsoftware.com/player-profile/B6F84042-B29D-4CD8-984E-787094BFA8A4", "Link")</f>
        <v/>
      </c>
      <c r="E65" s="3" t="n">
        <v>1253.258</v>
      </c>
      <c r="F65" s="4" t="n">
        <v>29</v>
      </c>
      <c r="G65" t="inlineStr">
        <is>
          <t>Ontario Tennis Association</t>
        </is>
      </c>
      <c r="H65" t="inlineStr">
        <is>
          <t>Rideau Sports Centre</t>
        </is>
      </c>
      <c r="I65" t="n">
        <v>33.4</v>
      </c>
      <c r="J65" s="4" t="n">
        <v>218</v>
      </c>
      <c r="K65" t="inlineStr">
        <is>
          <t>120 / 98</t>
        </is>
      </c>
      <c r="L65" t="inlineStr">
        <is>
          <t>28 / 18</t>
        </is>
      </c>
      <c r="M65" s="5" t="n">
        <v>0.55</v>
      </c>
      <c r="N65" s="5" t="n">
        <v>0.61</v>
      </c>
    </row>
    <row r="66">
      <c r="A66" t="n">
        <v>65</v>
      </c>
      <c r="B66" t="n">
        <v>2013</v>
      </c>
      <c r="C66" t="inlineStr">
        <is>
          <t>Iris Fu</t>
        </is>
      </c>
      <c r="D66">
        <f>HYPERLINK("https://ota.tournamentsoftware.com/player-profile/0A3A4B5A-8950-4E67-BAA9-3F132754A3FD", "Link")</f>
        <v/>
      </c>
      <c r="E66" s="3" t="n">
        <v>1248.201</v>
      </c>
      <c r="F66" s="4" t="n">
        <v>17</v>
      </c>
      <c r="G66" t="inlineStr">
        <is>
          <t>Ontario Tennis Association</t>
        </is>
      </c>
      <c r="H66" t="inlineStr">
        <is>
          <t>Premier Racquet Clubs – Mississauga</t>
        </is>
      </c>
      <c r="I66" t="inlineStr">
        <is>
          <t>unavailable</t>
        </is>
      </c>
      <c r="J66" s="4" t="n">
        <v>240</v>
      </c>
      <c r="K66" t="inlineStr">
        <is>
          <t>138 / 102</t>
        </is>
      </c>
      <c r="L66" t="inlineStr">
        <is>
          <t>23 / 12</t>
        </is>
      </c>
      <c r="M66" s="5" t="n">
        <v>0.57</v>
      </c>
      <c r="N66" s="5" t="n">
        <v>0.66</v>
      </c>
    </row>
    <row r="67">
      <c r="A67" t="n">
        <v>66</v>
      </c>
      <c r="B67" t="n">
        <v>2013</v>
      </c>
      <c r="C67" t="inlineStr">
        <is>
          <t>Avery Badyal</t>
        </is>
      </c>
      <c r="D67">
        <f>HYPERLINK("https://ota.tournamentsoftware.com/player-profile/9486479F-C8FD-48FB-BCCD-0246C53A632C", "Link")</f>
        <v/>
      </c>
      <c r="E67" s="3" t="n">
        <v>1248.194</v>
      </c>
      <c r="F67" s="4" t="n">
        <v>12</v>
      </c>
      <c r="G67" t="inlineStr">
        <is>
          <t>British Columbia</t>
        </is>
      </c>
      <c r="H67" t="inlineStr">
        <is>
          <t>The Tennis Centre</t>
        </is>
      </c>
      <c r="I67" t="n">
        <v>32.7</v>
      </c>
      <c r="J67" s="4" t="n">
        <v>233</v>
      </c>
      <c r="K67" t="inlineStr">
        <is>
          <t>143 / 90</t>
        </is>
      </c>
      <c r="L67" t="inlineStr">
        <is>
          <t>15 / 15</t>
        </is>
      </c>
      <c r="M67" s="5" t="n">
        <v>0.61</v>
      </c>
      <c r="N67" s="5" t="n">
        <v>0.5</v>
      </c>
    </row>
    <row r="68">
      <c r="A68" t="n">
        <v>67</v>
      </c>
      <c r="B68" t="n">
        <v>2012</v>
      </c>
      <c r="C68" t="inlineStr">
        <is>
          <t>Alecia Yahan Liu</t>
        </is>
      </c>
      <c r="D68">
        <f>HYPERLINK("https://ota.tournamentsoftware.com/player-profile/3FBB1729-DE66-45FA-864E-C010DC83E5AD", "Link")</f>
        <v/>
      </c>
      <c r="E68" s="3" t="n">
        <v>1215.679</v>
      </c>
      <c r="F68" s="4" t="n">
        <v>20</v>
      </c>
      <c r="G68" t="inlineStr">
        <is>
          <t>Tennis Alberta</t>
        </is>
      </c>
      <c r="H68" t="inlineStr">
        <is>
          <t>Saville Community Sports Centre</t>
        </is>
      </c>
      <c r="I68" t="n">
        <v>33.2</v>
      </c>
      <c r="J68" s="4" t="n">
        <v>242</v>
      </c>
      <c r="K68" t="inlineStr">
        <is>
          <t>125 / 117</t>
        </is>
      </c>
      <c r="L68" t="inlineStr">
        <is>
          <t>23 / 22</t>
        </is>
      </c>
      <c r="M68" s="5" t="n">
        <v>0.52</v>
      </c>
      <c r="N68" s="5" t="n">
        <v>0.51</v>
      </c>
    </row>
    <row r="69">
      <c r="A69" t="n">
        <v>68</v>
      </c>
      <c r="B69" t="n">
        <v>2012</v>
      </c>
      <c r="C69" t="inlineStr">
        <is>
          <t>Alessia Lungu</t>
        </is>
      </c>
      <c r="D69">
        <f>HYPERLINK("https://ota.tournamentsoftware.com/player-profile/99FF719F-9C8F-4394-BE76-5455D457977A", "Link")</f>
        <v/>
      </c>
      <c r="E69" s="3" t="n">
        <v>1212.805</v>
      </c>
      <c r="F69" s="4" t="n">
        <v>10</v>
      </c>
      <c r="G69" t="inlineStr">
        <is>
          <t>Ontario Tennis Association</t>
        </is>
      </c>
      <c r="H69" t="inlineStr">
        <is>
          <t>Joshua Creek Golf &amp; Tennis</t>
        </is>
      </c>
      <c r="I69" t="n">
        <v>30.1</v>
      </c>
      <c r="J69" s="4" t="n">
        <v>181</v>
      </c>
      <c r="K69" t="inlineStr">
        <is>
          <t>116 / 65</t>
        </is>
      </c>
      <c r="L69" t="inlineStr">
        <is>
          <t>5 / 3</t>
        </is>
      </c>
      <c r="M69" s="5" t="n">
        <v>0.64</v>
      </c>
      <c r="N69" s="5" t="n">
        <v>0.62</v>
      </c>
    </row>
    <row r="70">
      <c r="A70" t="n">
        <v>69</v>
      </c>
      <c r="B70" t="n">
        <v>2012</v>
      </c>
      <c r="C70" t="inlineStr">
        <is>
          <t>Karina Zhang</t>
        </is>
      </c>
      <c r="D70">
        <f>HYPERLINK("https://ota.tournamentsoftware.com/player-profile/7BB53E38-BBB9-4E1E-B8A2-8EFC2E762653", "Link")</f>
        <v/>
      </c>
      <c r="E70" s="3" t="n">
        <v>1204.716</v>
      </c>
      <c r="F70" s="4" t="n">
        <v>27</v>
      </c>
      <c r="G70" t="inlineStr">
        <is>
          <t>Ontario Tennis Association</t>
        </is>
      </c>
      <c r="H70" t="inlineStr">
        <is>
          <t>Richmondhill Golf &amp; Country Club</t>
        </is>
      </c>
      <c r="I70" t="n">
        <v>33</v>
      </c>
      <c r="J70" s="4" t="n">
        <v>201</v>
      </c>
      <c r="K70" t="inlineStr">
        <is>
          <t>126 / 75</t>
        </is>
      </c>
      <c r="L70" t="inlineStr">
        <is>
          <t>26 / 19</t>
        </is>
      </c>
      <c r="M70" s="5" t="n">
        <v>0.63</v>
      </c>
      <c r="N70" s="5" t="n">
        <v>0.58</v>
      </c>
    </row>
    <row r="71">
      <c r="A71" t="n">
        <v>70</v>
      </c>
      <c r="B71" t="n">
        <v>2012</v>
      </c>
      <c r="C71" t="inlineStr">
        <is>
          <t>Meika Sebastian</t>
        </is>
      </c>
      <c r="D71">
        <f>HYPERLINK("https://ota.tournamentsoftware.com/player-profile/0CA7407B-419A-43BA-82FB-32200AA68BA2", "Link")</f>
        <v/>
      </c>
      <c r="E71" s="3" t="n">
        <v>1185.911</v>
      </c>
      <c r="F71" s="4" t="n">
        <v>9</v>
      </c>
      <c r="G71" t="inlineStr">
        <is>
          <t>Ontario Tennis Association</t>
        </is>
      </c>
      <c r="H71" t="inlineStr">
        <is>
          <t>City of Kingston</t>
        </is>
      </c>
      <c r="I71" t="n">
        <v>31.7</v>
      </c>
      <c r="J71" s="4" t="n">
        <v>287</v>
      </c>
      <c r="K71" t="inlineStr">
        <is>
          <t>147 / 140</t>
        </is>
      </c>
      <c r="L71" t="inlineStr">
        <is>
          <t>0 / 4</t>
        </is>
      </c>
      <c r="M71" s="5" t="n">
        <v>0.51</v>
      </c>
      <c r="N71" s="5" t="n">
        <v>0</v>
      </c>
    </row>
    <row r="72">
      <c r="A72" t="n">
        <v>71</v>
      </c>
      <c r="B72" t="n">
        <v>2012</v>
      </c>
      <c r="C72" t="inlineStr">
        <is>
          <t>Ashlee Hanul Yoo</t>
        </is>
      </c>
      <c r="D72">
        <f>HYPERLINK("https://ota.tournamentsoftware.com/player-profile/BA09F220-C66B-4A96-9C0C-1BEE71ADDA56", "Link")</f>
        <v/>
      </c>
      <c r="E72" s="3" t="n">
        <v>1170.503</v>
      </c>
      <c r="F72" s="4" t="n">
        <v>14</v>
      </c>
      <c r="G72" t="inlineStr">
        <is>
          <t>British Columbia</t>
        </is>
      </c>
      <c r="H72" t="inlineStr">
        <is>
          <t>No Club</t>
        </is>
      </c>
      <c r="I72" t="inlineStr">
        <is>
          <t>unavailable</t>
        </is>
      </c>
      <c r="J72" s="4" t="n">
        <v>205</v>
      </c>
      <c r="K72" t="inlineStr">
        <is>
          <t>109 / 96</t>
        </is>
      </c>
      <c r="L72" t="inlineStr">
        <is>
          <t>18 / 18</t>
        </is>
      </c>
      <c r="M72" s="5" t="n">
        <v>0.53</v>
      </c>
      <c r="N72" s="5" t="n">
        <v>0.5</v>
      </c>
    </row>
    <row r="73">
      <c r="A73" t="n">
        <v>72</v>
      </c>
      <c r="B73" t="n">
        <v>2012</v>
      </c>
      <c r="C73" t="inlineStr">
        <is>
          <t>Kate Louise Violet Dee</t>
        </is>
      </c>
      <c r="D73">
        <f>HYPERLINK("https://ota.tournamentsoftware.com/player-profile/807F7468-99D8-4717-B3DF-3F2ED69EFA0A", "Link")</f>
        <v/>
      </c>
      <c r="E73" s="3" t="n">
        <v>1135.533</v>
      </c>
      <c r="F73" s="4" t="n">
        <v>12</v>
      </c>
      <c r="G73" t="inlineStr">
        <is>
          <t>British Columbia</t>
        </is>
      </c>
      <c r="H73" t="inlineStr">
        <is>
          <t>North Vancouver Tennis Centre</t>
        </is>
      </c>
      <c r="I73" t="n">
        <v>32.8</v>
      </c>
      <c r="J73" s="4" t="n">
        <v>244</v>
      </c>
      <c r="K73" t="inlineStr">
        <is>
          <t>136 / 108</t>
        </is>
      </c>
      <c r="L73" t="inlineStr">
        <is>
          <t>14 / 16</t>
        </is>
      </c>
      <c r="M73" s="5" t="n">
        <v>0.5600000000000001</v>
      </c>
      <c r="N73" s="5" t="n">
        <v>0.47</v>
      </c>
    </row>
    <row r="74">
      <c r="A74" t="n">
        <v>73</v>
      </c>
      <c r="B74" t="n">
        <v>2013</v>
      </c>
      <c r="C74" t="inlineStr">
        <is>
          <t>Cindy Liu</t>
        </is>
      </c>
      <c r="D74">
        <f>HYPERLINK("https://ota.tournamentsoftware.com/player-profile/89018759-835F-4CE0-A297-3449F2A42D00", "Link")</f>
        <v/>
      </c>
      <c r="E74" s="3" t="n">
        <v>1113.273</v>
      </c>
      <c r="F74" s="4" t="n">
        <v>24</v>
      </c>
      <c r="G74" t="inlineStr">
        <is>
          <t>British Columbia</t>
        </is>
      </c>
      <c r="H74" t="inlineStr">
        <is>
          <t>The Tennis Centre</t>
        </is>
      </c>
      <c r="I74" t="n">
        <v>32.9</v>
      </c>
      <c r="J74" s="4" t="n">
        <v>195</v>
      </c>
      <c r="K74" t="inlineStr">
        <is>
          <t>104 / 91</t>
        </is>
      </c>
      <c r="L74" t="inlineStr">
        <is>
          <t>34 / 18</t>
        </is>
      </c>
      <c r="M74" s="5" t="n">
        <v>0.53</v>
      </c>
      <c r="N74" s="5" t="n">
        <v>0.65</v>
      </c>
    </row>
    <row r="75">
      <c r="A75" t="n">
        <v>74</v>
      </c>
      <c r="B75" t="n">
        <v>2014</v>
      </c>
      <c r="C75" t="inlineStr">
        <is>
          <t>Nanette Du</t>
        </is>
      </c>
      <c r="D75">
        <f>HYPERLINK("https://ota.tournamentsoftware.com/player-profile/53190390-CC68-4E5E-8079-A41733ADF41A", "Link")</f>
        <v/>
      </c>
      <c r="E75" s="3" t="n">
        <v>1108.596</v>
      </c>
      <c r="F75" s="4" t="n">
        <v>17</v>
      </c>
      <c r="G75" t="inlineStr">
        <is>
          <t>Ontario Tennis Association</t>
        </is>
      </c>
      <c r="H75" t="inlineStr">
        <is>
          <t>Advantage Tennis International at Veneto</t>
        </is>
      </c>
      <c r="I75" t="n">
        <v>33.5</v>
      </c>
      <c r="J75" s="4" t="n">
        <v>146</v>
      </c>
      <c r="K75" t="inlineStr">
        <is>
          <t>90 / 56</t>
        </is>
      </c>
      <c r="L75" t="inlineStr">
        <is>
          <t>24 / 12</t>
        </is>
      </c>
      <c r="M75" s="5" t="n">
        <v>0.62</v>
      </c>
      <c r="N75" s="5" t="n">
        <v>0.67</v>
      </c>
    </row>
    <row r="76">
      <c r="A76" t="n">
        <v>75</v>
      </c>
      <c r="B76" t="n">
        <v>2013</v>
      </c>
      <c r="C76" t="inlineStr">
        <is>
          <t>Dewa Ayu Devin Sum</t>
        </is>
      </c>
      <c r="D76">
        <f>HYPERLINK("https://ota.tournamentsoftware.com/player-profile/9DB24D5C-3B5C-4B40-BE7E-B331240C1B21", "Link")</f>
        <v/>
      </c>
      <c r="E76" s="3" t="n">
        <v>1092.589</v>
      </c>
      <c r="F76" s="4" t="n">
        <v>30</v>
      </c>
      <c r="G76" t="inlineStr">
        <is>
          <t>Ontario Tennis Association</t>
        </is>
      </c>
      <c r="H76" t="inlineStr">
        <is>
          <t>Premier Racquet Clubs – Mississauga</t>
        </is>
      </c>
      <c r="I76" t="n">
        <v>34.9</v>
      </c>
      <c r="J76" s="4" t="n">
        <v>169</v>
      </c>
      <c r="K76" t="inlineStr">
        <is>
          <t>85 / 84</t>
        </is>
      </c>
      <c r="L76" t="inlineStr">
        <is>
          <t>19 / 19</t>
        </is>
      </c>
      <c r="M76" s="5" t="n">
        <v>0.5</v>
      </c>
      <c r="N76" s="5" t="n">
        <v>0.5</v>
      </c>
    </row>
    <row r="77">
      <c r="A77" t="n">
        <v>76</v>
      </c>
      <c r="B77" t="n">
        <v>2013</v>
      </c>
      <c r="C77" t="inlineStr">
        <is>
          <t>Etooluwa Michelle Bammeke</t>
        </is>
      </c>
      <c r="D77">
        <f>HYPERLINK("https://ota.tournamentsoftware.com/player-profile/7C02D882-BDA0-4F5A-9586-AF17737417F7", "Link")</f>
        <v/>
      </c>
      <c r="E77" s="3" t="n">
        <v>1085</v>
      </c>
      <c r="F77" s="4" t="n">
        <v>29</v>
      </c>
      <c r="G77" t="inlineStr">
        <is>
          <t>Ontario Tennis Association</t>
        </is>
      </c>
      <c r="H77" t="inlineStr">
        <is>
          <t>Joshua Creek Golf &amp; Tennis</t>
        </is>
      </c>
      <c r="I77" t="n">
        <v>34.2</v>
      </c>
      <c r="J77" s="4" t="n">
        <v>264</v>
      </c>
      <c r="K77" t="inlineStr">
        <is>
          <t>162 / 102</t>
        </is>
      </c>
      <c r="L77" t="inlineStr">
        <is>
          <t>18 / 12</t>
        </is>
      </c>
      <c r="M77" s="5" t="n">
        <v>0.61</v>
      </c>
      <c r="N77" s="5" t="n">
        <v>0.6</v>
      </c>
    </row>
    <row r="78">
      <c r="A78" t="n">
        <v>77</v>
      </c>
      <c r="B78" t="n">
        <v>2014</v>
      </c>
      <c r="C78" t="inlineStr">
        <is>
          <t>Naella Sehic</t>
        </is>
      </c>
      <c r="D78">
        <f>HYPERLINK("https://ota.tournamentsoftware.com/player-profile/C86BA5BA-97F0-463B-BBE7-6A41452E0D47", "Link")</f>
        <v/>
      </c>
      <c r="E78" s="3" t="n">
        <v>1078.951</v>
      </c>
      <c r="F78" s="4" t="n">
        <v>18</v>
      </c>
      <c r="G78" t="inlineStr">
        <is>
          <t>Tennis Québec</t>
        </is>
      </c>
      <c r="H78" t="inlineStr">
        <is>
          <t>Tennis Ile- des- Soeurs</t>
        </is>
      </c>
      <c r="I78" t="n">
        <v>33.2</v>
      </c>
      <c r="J78" s="4" t="n">
        <v>286</v>
      </c>
      <c r="K78" t="inlineStr">
        <is>
          <t>174 / 112</t>
        </is>
      </c>
      <c r="L78" t="inlineStr">
        <is>
          <t>39 / 14</t>
        </is>
      </c>
      <c r="M78" s="5" t="n">
        <v>0.61</v>
      </c>
      <c r="N78" s="5" t="n">
        <v>0.74</v>
      </c>
    </row>
    <row r="79">
      <c r="A79" t="n">
        <v>78</v>
      </c>
      <c r="B79" t="n">
        <v>2012</v>
      </c>
      <c r="C79" t="inlineStr">
        <is>
          <t>Emilia Klimek</t>
        </is>
      </c>
      <c r="D79">
        <f>HYPERLINK("https://ota.tournamentsoftware.com/player-profile/B65F75BD-7091-433B-817C-EC3472CCA6E3", "Link")</f>
        <v/>
      </c>
      <c r="E79" s="3" t="n">
        <v>1074.821</v>
      </c>
      <c r="F79" s="4" t="n">
        <v>21</v>
      </c>
      <c r="G79" t="inlineStr">
        <is>
          <t>British Columbia</t>
        </is>
      </c>
      <c r="H79" t="inlineStr">
        <is>
          <t>No Club</t>
        </is>
      </c>
      <c r="I79" t="n">
        <v>32.9</v>
      </c>
      <c r="J79" s="4" t="n">
        <v>221</v>
      </c>
      <c r="K79" t="inlineStr">
        <is>
          <t>119 / 102</t>
        </is>
      </c>
      <c r="L79" t="inlineStr">
        <is>
          <t>31 / 17</t>
        </is>
      </c>
      <c r="M79" s="5" t="n">
        <v>0.54</v>
      </c>
      <c r="N79" s="5" t="n">
        <v>0.65</v>
      </c>
    </row>
    <row r="80">
      <c r="A80" t="n">
        <v>79</v>
      </c>
      <c r="B80" t="n">
        <v>2015</v>
      </c>
      <c r="C80" t="inlineStr">
        <is>
          <t>Sofia Tabunshchyk</t>
        </is>
      </c>
      <c r="D80">
        <f>HYPERLINK("https://ota.tournamentsoftware.com/player-profile/3714FE82-9045-425F-937B-7104A43D57F9", "Link")</f>
        <v/>
      </c>
      <c r="E80" s="3" t="n">
        <v>1067.083</v>
      </c>
      <c r="F80" s="4" t="n">
        <v>38</v>
      </c>
      <c r="G80" t="inlineStr">
        <is>
          <t>Ontario Tennis Association</t>
        </is>
      </c>
      <c r="H80" t="inlineStr">
        <is>
          <t>ACE Tennis - Burlington</t>
        </is>
      </c>
      <c r="I80" t="inlineStr">
        <is>
          <t>unavailable</t>
        </is>
      </c>
      <c r="J80" s="4" t="n">
        <v>317</v>
      </c>
      <c r="K80" t="inlineStr">
        <is>
          <t>158 / 159</t>
        </is>
      </c>
      <c r="L80" t="inlineStr">
        <is>
          <t>48 / 23</t>
        </is>
      </c>
      <c r="M80" s="5" t="n">
        <v>0.5</v>
      </c>
      <c r="N80" s="5" t="n">
        <v>0.68</v>
      </c>
    </row>
    <row r="81">
      <c r="A81" t="n">
        <v>80</v>
      </c>
      <c r="B81" t="n">
        <v>2013</v>
      </c>
      <c r="C81" t="inlineStr">
        <is>
          <t>Halo Boyu Li</t>
        </is>
      </c>
      <c r="D81">
        <f>HYPERLINK("https://ota.tournamentsoftware.com/player-profile/42371346-12B9-439B-B9EB-FB5DD0ABCB73", "Link")</f>
        <v/>
      </c>
      <c r="E81" s="3" t="n">
        <v>1061.845</v>
      </c>
      <c r="F81" s="4" t="n">
        <v>11</v>
      </c>
      <c r="G81" t="inlineStr">
        <is>
          <t>Tennis Saskatchewan</t>
        </is>
      </c>
      <c r="H81" t="inlineStr">
        <is>
          <t>No Club</t>
        </is>
      </c>
      <c r="I81" t="n">
        <v>36.2</v>
      </c>
      <c r="J81" s="4" t="n">
        <v>173</v>
      </c>
      <c r="K81" t="inlineStr">
        <is>
          <t>77 / 96</t>
        </is>
      </c>
      <c r="L81" t="inlineStr">
        <is>
          <t>27 / 21</t>
        </is>
      </c>
      <c r="M81" s="5" t="n">
        <v>0.45</v>
      </c>
      <c r="N81" s="5" t="n">
        <v>0.5600000000000001</v>
      </c>
    </row>
    <row r="82">
      <c r="A82" t="n">
        <v>81</v>
      </c>
      <c r="B82" t="n">
        <v>2013</v>
      </c>
      <c r="C82" t="inlineStr">
        <is>
          <t>Sophia Gettle</t>
        </is>
      </c>
      <c r="D82">
        <f>HYPERLINK("https://ota.tournamentsoftware.com/player-profile/5CC0A57F-C369-42D6-B845-B30A38F24F56", "Link")</f>
        <v/>
      </c>
      <c r="E82" s="3" t="n">
        <v>1060.252</v>
      </c>
      <c r="F82" s="4" t="n">
        <v>13</v>
      </c>
      <c r="G82" t="inlineStr">
        <is>
          <t>Tennis Saskatchewan</t>
        </is>
      </c>
      <c r="H82" t="inlineStr">
        <is>
          <t>Lakeshore Tennis Club</t>
        </is>
      </c>
      <c r="I82" t="inlineStr">
        <is>
          <t>unavailable</t>
        </is>
      </c>
      <c r="J82" s="4" t="n">
        <v>206</v>
      </c>
      <c r="K82" t="inlineStr">
        <is>
          <t>90 / 116</t>
        </is>
      </c>
      <c r="L82" t="inlineStr">
        <is>
          <t>21 / 30</t>
        </is>
      </c>
      <c r="M82" s="5" t="n">
        <v>0.44</v>
      </c>
      <c r="N82" s="5" t="n">
        <v>0.41</v>
      </c>
    </row>
    <row r="83">
      <c r="A83" t="n">
        <v>82</v>
      </c>
      <c r="B83" t="n">
        <v>2014</v>
      </c>
      <c r="C83" t="inlineStr">
        <is>
          <t>Emma Allen</t>
        </is>
      </c>
      <c r="D83">
        <f>HYPERLINK("https://ota.tournamentsoftware.com/player-profile/5640B61E-0EE7-4BB3-ABC3-AD9CB508E4E9", "Link")</f>
        <v/>
      </c>
      <c r="E83" s="3" t="n">
        <v>1054.397</v>
      </c>
      <c r="F83" s="4" t="n">
        <v>20</v>
      </c>
      <c r="G83" t="inlineStr">
        <is>
          <t>Ontario Tennis Association</t>
        </is>
      </c>
      <c r="H83" t="inlineStr">
        <is>
          <t>Joshua Creek Golf &amp; Tennis</t>
        </is>
      </c>
      <c r="I83" t="n">
        <v>33.6</v>
      </c>
      <c r="J83" s="4" t="n">
        <v>249</v>
      </c>
      <c r="K83" t="inlineStr">
        <is>
          <t>180 / 69</t>
        </is>
      </c>
      <c r="L83" t="inlineStr">
        <is>
          <t>32 / 17</t>
        </is>
      </c>
      <c r="M83" s="5" t="n">
        <v>0.72</v>
      </c>
      <c r="N83" s="5" t="n">
        <v>0.65</v>
      </c>
    </row>
    <row r="84">
      <c r="A84" t="n">
        <v>83</v>
      </c>
      <c r="B84" t="n">
        <v>2013</v>
      </c>
      <c r="C84" t="inlineStr">
        <is>
          <t>Chloé Normandin</t>
        </is>
      </c>
      <c r="D84">
        <f>HYPERLINK("https://ota.tournamentsoftware.com/player-profile/A22608C6-6D99-476C-9EC7-9A31F3CACB0A", "Link")</f>
        <v/>
      </c>
      <c r="E84" s="3" t="n">
        <v>1038.169</v>
      </c>
      <c r="F84" s="4" t="n">
        <v>21</v>
      </c>
      <c r="G84" t="inlineStr">
        <is>
          <t>Tennis Québec</t>
        </is>
      </c>
      <c r="H84" t="inlineStr">
        <is>
          <t>Tennis Ile- des- Soeurs</t>
        </is>
      </c>
      <c r="I84" t="n">
        <v>34.2</v>
      </c>
      <c r="J84" s="4" t="n">
        <v>260</v>
      </c>
      <c r="K84" t="inlineStr">
        <is>
          <t>142 / 118</t>
        </is>
      </c>
      <c r="L84" t="inlineStr">
        <is>
          <t>33 / 18</t>
        </is>
      </c>
      <c r="M84" s="5" t="n">
        <v>0.55</v>
      </c>
      <c r="N84" s="5" t="n">
        <v>0.65</v>
      </c>
    </row>
    <row r="85">
      <c r="A85" t="n">
        <v>84</v>
      </c>
      <c r="B85" t="n">
        <v>2014</v>
      </c>
      <c r="C85" t="inlineStr">
        <is>
          <t>Ruoran Hou</t>
        </is>
      </c>
      <c r="D85">
        <f>HYPERLINK("https://ota.tournamentsoftware.com/player-profile/01D9A845-667C-4EDB-ABF5-CFE1C5418675", "Link")</f>
        <v/>
      </c>
      <c r="E85" s="3" t="n">
        <v>1036.365</v>
      </c>
      <c r="F85" s="4" t="n">
        <v>15</v>
      </c>
      <c r="G85" t="inlineStr">
        <is>
          <t>Tennis Nova Scotia</t>
        </is>
      </c>
      <c r="H85" t="inlineStr">
        <is>
          <t>Atlantic Tennis Centre</t>
        </is>
      </c>
      <c r="I85" t="n">
        <v>33.7</v>
      </c>
      <c r="J85" s="4" t="n">
        <v>224</v>
      </c>
      <c r="K85" t="inlineStr">
        <is>
          <t>134 / 90</t>
        </is>
      </c>
      <c r="L85" t="inlineStr">
        <is>
          <t>36 / 17</t>
        </is>
      </c>
      <c r="M85" s="5" t="n">
        <v>0.6</v>
      </c>
      <c r="N85" s="5" t="n">
        <v>0.68</v>
      </c>
    </row>
    <row r="86">
      <c r="A86" t="n">
        <v>85</v>
      </c>
      <c r="B86" t="n">
        <v>2012</v>
      </c>
      <c r="C86" t="inlineStr">
        <is>
          <t>Margarita Ter-Grigoryan</t>
        </is>
      </c>
      <c r="D86">
        <f>HYPERLINK("https://ota.tournamentsoftware.com/player-profile/A86B3E87-30AA-4D57-86CF-572CF663421E", "Link")</f>
        <v/>
      </c>
      <c r="E86" s="3" t="n">
        <v>1020.42</v>
      </c>
      <c r="F86" s="4" t="n">
        <v>14</v>
      </c>
      <c r="G86" t="inlineStr">
        <is>
          <t>Tennis Saskatchewan</t>
        </is>
      </c>
      <c r="H86" t="inlineStr">
        <is>
          <t>No Club</t>
        </is>
      </c>
      <c r="I86" t="n">
        <v>36.4</v>
      </c>
      <c r="J86" s="4" t="n">
        <v>127</v>
      </c>
      <c r="K86" t="inlineStr">
        <is>
          <t>67 / 60</t>
        </is>
      </c>
      <c r="L86" t="inlineStr">
        <is>
          <t>27 / 30</t>
        </is>
      </c>
      <c r="M86" s="5" t="n">
        <v>0.53</v>
      </c>
      <c r="N86" s="5" t="n">
        <v>0.47</v>
      </c>
    </row>
    <row r="87">
      <c r="A87" t="n">
        <v>86</v>
      </c>
      <c r="B87" t="n">
        <v>2012</v>
      </c>
      <c r="C87" t="inlineStr">
        <is>
          <t>Annika Richards</t>
        </is>
      </c>
      <c r="D87">
        <f>HYPERLINK("https://ota.tournamentsoftware.com/player-profile/CFED81F9-9EA3-48DF-84C4-507456D5D68B", "Link")</f>
        <v/>
      </c>
      <c r="E87" s="3" t="n">
        <v>994.5170000000001</v>
      </c>
      <c r="F87" s="4" t="n">
        <v>18</v>
      </c>
      <c r="G87" t="inlineStr">
        <is>
          <t>Ontario Tennis Association</t>
        </is>
      </c>
      <c r="H87" t="inlineStr">
        <is>
          <t>Toronto Cricket Skating &amp; Curling</t>
        </is>
      </c>
      <c r="I87" t="n">
        <v>34.6</v>
      </c>
      <c r="J87" s="4" t="n">
        <v>186</v>
      </c>
      <c r="K87" t="inlineStr">
        <is>
          <t>79 / 107</t>
        </is>
      </c>
      <c r="L87" t="inlineStr">
        <is>
          <t>6 / 16</t>
        </is>
      </c>
      <c r="M87" s="5" t="n">
        <v>0.42</v>
      </c>
      <c r="N87" s="5" t="n">
        <v>0.27</v>
      </c>
    </row>
    <row r="88">
      <c r="A88" t="n">
        <v>87</v>
      </c>
      <c r="B88" t="n">
        <v>2013</v>
      </c>
      <c r="C88" t="inlineStr">
        <is>
          <t>Varvara Lutsyk</t>
        </is>
      </c>
      <c r="D88">
        <f>HYPERLINK("https://ota.tournamentsoftware.com/player-profile/5197490D-6996-4375-892E-2696E508FF34", "Link")</f>
        <v/>
      </c>
      <c r="E88" s="3" t="n">
        <v>982.403</v>
      </c>
      <c r="F88" s="4" t="n">
        <v>21</v>
      </c>
      <c r="G88" t="inlineStr">
        <is>
          <t>Tennis Québec</t>
        </is>
      </c>
      <c r="H88" t="inlineStr">
        <is>
          <t>Club Sportif Côte-de-Liesse</t>
        </is>
      </c>
      <c r="I88" t="n">
        <v>33</v>
      </c>
      <c r="J88" s="4" t="n">
        <v>197</v>
      </c>
      <c r="K88" t="inlineStr">
        <is>
          <t>128 / 69</t>
        </is>
      </c>
      <c r="L88" t="inlineStr">
        <is>
          <t>22 / 13</t>
        </is>
      </c>
      <c r="M88" s="5" t="n">
        <v>0.65</v>
      </c>
      <c r="N88" s="5" t="n">
        <v>0.63</v>
      </c>
    </row>
    <row r="89">
      <c r="A89" t="n">
        <v>88</v>
      </c>
      <c r="B89" t="n">
        <v>2012</v>
      </c>
      <c r="C89" t="inlineStr">
        <is>
          <t>Chloe Lou Friesen</t>
        </is>
      </c>
      <c r="D89">
        <f>HYPERLINK("https://ota.tournamentsoftware.com/player-profile/A0A11672-F1E8-4BD3-A43A-BB82984EDDA5", "Link")</f>
        <v/>
      </c>
      <c r="E89" s="3" t="n">
        <v>978.4109999999999</v>
      </c>
      <c r="F89" s="4" t="n">
        <v>21</v>
      </c>
      <c r="G89" t="inlineStr">
        <is>
          <t>British Columbia</t>
        </is>
      </c>
      <c r="H89" t="inlineStr">
        <is>
          <t>Vancouver Lawn Tennis and Badminton Club</t>
        </is>
      </c>
      <c r="I89" t="n">
        <v>32.6</v>
      </c>
      <c r="J89" s="4" t="n">
        <v>235</v>
      </c>
      <c r="K89" t="inlineStr">
        <is>
          <t>129 / 106</t>
        </is>
      </c>
      <c r="L89" t="inlineStr">
        <is>
          <t>24 / 16</t>
        </is>
      </c>
      <c r="M89" s="5" t="n">
        <v>0.55</v>
      </c>
      <c r="N89" s="5" t="n">
        <v>0.6</v>
      </c>
    </row>
    <row r="90">
      <c r="A90" t="n">
        <v>89</v>
      </c>
      <c r="B90" t="n">
        <v>2013</v>
      </c>
      <c r="C90" t="inlineStr">
        <is>
          <t>Aubrianna Ellen York</t>
        </is>
      </c>
      <c r="D90">
        <f>HYPERLINK("https://ota.tournamentsoftware.com/player-profile/FDFD6FEF-AD8B-4B1E-ADE3-15417E1BCF05", "Link")</f>
        <v/>
      </c>
      <c r="E90" s="3" t="n">
        <v>970.944</v>
      </c>
      <c r="F90" s="4" t="n">
        <v>19</v>
      </c>
      <c r="G90" t="inlineStr">
        <is>
          <t>Tennis Alberta</t>
        </is>
      </c>
      <c r="H90" t="inlineStr">
        <is>
          <t>Aforza</t>
        </is>
      </c>
      <c r="I90" t="n">
        <v>34.1</v>
      </c>
      <c r="J90" s="4" t="n">
        <v>214</v>
      </c>
      <c r="K90" t="inlineStr">
        <is>
          <t>113 / 101</t>
        </is>
      </c>
      <c r="L90" t="inlineStr">
        <is>
          <t>28 / 19</t>
        </is>
      </c>
      <c r="M90" s="5" t="n">
        <v>0.53</v>
      </c>
      <c r="N90" s="5" t="n">
        <v>0.6</v>
      </c>
    </row>
    <row r="91">
      <c r="A91" t="n">
        <v>90</v>
      </c>
      <c r="B91" t="n">
        <v>2015</v>
      </c>
      <c r="C91" t="inlineStr">
        <is>
          <t>Aahana Guha</t>
        </is>
      </c>
      <c r="D91">
        <f>HYPERLINK("https://ota.tournamentsoftware.com/player-profile/B6BFAEC0-924F-4635-B45C-E700061D4B03", "Link")</f>
        <v/>
      </c>
      <c r="E91" s="3" t="n">
        <v>939.28</v>
      </c>
      <c r="F91" s="4" t="n">
        <v>10</v>
      </c>
      <c r="G91" t="inlineStr">
        <is>
          <t>Tennis Saskatchewan</t>
        </is>
      </c>
      <c r="H91" t="inlineStr">
        <is>
          <t>Lakeshore Tennis Club</t>
        </is>
      </c>
      <c r="I91" t="n">
        <v>34.5</v>
      </c>
      <c r="J91" s="4" t="n">
        <v>159</v>
      </c>
      <c r="K91" t="inlineStr">
        <is>
          <t>89 / 70</t>
        </is>
      </c>
      <c r="L91" t="inlineStr">
        <is>
          <t>33 / 12</t>
        </is>
      </c>
      <c r="M91" s="5" t="n">
        <v>0.5600000000000001</v>
      </c>
      <c r="N91" s="5" t="n">
        <v>0.73</v>
      </c>
    </row>
    <row r="92">
      <c r="A92" t="n">
        <v>91</v>
      </c>
      <c r="B92" t="n">
        <v>2014</v>
      </c>
      <c r="C92" t="inlineStr">
        <is>
          <t>JOANNA QIHENG FEI</t>
        </is>
      </c>
      <c r="D92">
        <f>HYPERLINK("https://ota.tournamentsoftware.com/player-profile/1DD48A17-96B6-42F9-8D67-EE4CBF6DFA95", "Link")</f>
        <v/>
      </c>
      <c r="E92" s="3" t="n">
        <v>932.457</v>
      </c>
      <c r="F92" s="4" t="n">
        <v>22</v>
      </c>
      <c r="G92" t="inlineStr">
        <is>
          <t>British Columbia</t>
        </is>
      </c>
      <c r="H92" t="inlineStr">
        <is>
          <t>No Club</t>
        </is>
      </c>
      <c r="I92" t="n">
        <v>33.3</v>
      </c>
      <c r="J92" s="4" t="n">
        <v>256</v>
      </c>
      <c r="K92" t="inlineStr">
        <is>
          <t>123 / 133</t>
        </is>
      </c>
      <c r="L92" t="inlineStr">
        <is>
          <t>30 / 17</t>
        </is>
      </c>
      <c r="M92" s="5" t="n">
        <v>0.48</v>
      </c>
      <c r="N92" s="5" t="n">
        <v>0.64</v>
      </c>
    </row>
    <row r="93">
      <c r="A93" t="n">
        <v>92</v>
      </c>
      <c r="B93" t="n">
        <v>2014</v>
      </c>
      <c r="C93" t="inlineStr">
        <is>
          <t>Victoria Markova</t>
        </is>
      </c>
      <c r="D93">
        <f>HYPERLINK("https://ota.tournamentsoftware.com/player-profile/DE909631-ADF4-4157-ABE4-0097B95C4307", "Link")</f>
        <v/>
      </c>
      <c r="E93" s="3" t="n">
        <v>915.742</v>
      </c>
      <c r="F93" s="4" t="n">
        <v>23</v>
      </c>
      <c r="G93" t="inlineStr">
        <is>
          <t>Tennis Québec</t>
        </is>
      </c>
      <c r="H93" t="inlineStr">
        <is>
          <t>Carrefour Multisports</t>
        </is>
      </c>
      <c r="I93" t="n">
        <v>34.9</v>
      </c>
      <c r="J93" s="4" t="n">
        <v>212</v>
      </c>
      <c r="K93" t="inlineStr">
        <is>
          <t>117 / 95</t>
        </is>
      </c>
      <c r="L93" t="inlineStr">
        <is>
          <t>32 / 18</t>
        </is>
      </c>
      <c r="M93" s="5" t="n">
        <v>0.55</v>
      </c>
      <c r="N93" s="5" t="n">
        <v>0.64</v>
      </c>
    </row>
    <row r="94">
      <c r="A94" t="n">
        <v>93</v>
      </c>
      <c r="B94" t="n">
        <v>2012</v>
      </c>
      <c r="C94" t="inlineStr">
        <is>
          <t>Adrienne Keaton Nelson</t>
        </is>
      </c>
      <c r="D94">
        <f>HYPERLINK("https://ota.tournamentsoftware.com/player-profile/1D977DD3-331D-4977-B4D6-E3202A6C56BD", "Link")</f>
        <v/>
      </c>
      <c r="E94" s="3" t="n">
        <v>912.347</v>
      </c>
      <c r="F94" s="4" t="n">
        <v>44</v>
      </c>
      <c r="G94" t="inlineStr">
        <is>
          <t>Ontario Tennis Association</t>
        </is>
      </c>
      <c r="H94" t="inlineStr">
        <is>
          <t>Blackmore Tennis Club</t>
        </is>
      </c>
      <c r="I94" t="n">
        <v>34.5</v>
      </c>
      <c r="J94" s="4" t="n">
        <v>223</v>
      </c>
      <c r="K94" t="inlineStr">
        <is>
          <t>109 / 114</t>
        </is>
      </c>
      <c r="L94" t="inlineStr">
        <is>
          <t>23 / 19</t>
        </is>
      </c>
      <c r="M94" s="5" t="n">
        <v>0.49</v>
      </c>
      <c r="N94" s="5" t="n">
        <v>0.55</v>
      </c>
    </row>
    <row r="95">
      <c r="A95" t="n">
        <v>94</v>
      </c>
      <c r="B95" t="n">
        <v>2013</v>
      </c>
      <c r="C95" t="inlineStr">
        <is>
          <t>Charlotte Ng</t>
        </is>
      </c>
      <c r="D95">
        <f>HYPERLINK("https://ota.tournamentsoftware.com/player-profile/1FAB3C52-8224-4122-A705-ED95AC2AE538", "Link")</f>
        <v/>
      </c>
      <c r="E95" s="3" t="n">
        <v>898.023</v>
      </c>
      <c r="F95" s="4" t="n">
        <v>31</v>
      </c>
      <c r="G95" t="inlineStr">
        <is>
          <t>Ontario Tennis Association</t>
        </is>
      </c>
      <c r="H95" t="inlineStr">
        <is>
          <t>Blackmore Tennis Club</t>
        </is>
      </c>
      <c r="I95" t="n">
        <v>35.7</v>
      </c>
      <c r="J95" s="4" t="n">
        <v>211</v>
      </c>
      <c r="K95" t="inlineStr">
        <is>
          <t>121 / 90</t>
        </is>
      </c>
      <c r="L95" t="inlineStr">
        <is>
          <t>30 / 16</t>
        </is>
      </c>
      <c r="M95" s="5" t="n">
        <v>0.57</v>
      </c>
      <c r="N95" s="5" t="n">
        <v>0.65</v>
      </c>
    </row>
    <row r="96">
      <c r="A96" t="n">
        <v>95</v>
      </c>
      <c r="B96" t="n">
        <v>2012</v>
      </c>
      <c r="C96" t="inlineStr">
        <is>
          <t>Kelly L Zhang</t>
        </is>
      </c>
      <c r="D96">
        <f>HYPERLINK("https://ota.tournamentsoftware.com/player-profile/2504E03B-B05C-4307-B90E-F3F72DD94827", "Link")</f>
        <v/>
      </c>
      <c r="E96" s="3" t="n">
        <v>870.414</v>
      </c>
      <c r="F96" s="4" t="n">
        <v>22</v>
      </c>
      <c r="G96" t="inlineStr">
        <is>
          <t>Ontario Tennis Association</t>
        </is>
      </c>
      <c r="H96" t="inlineStr">
        <is>
          <t>NYTA Winter Tennis Club</t>
        </is>
      </c>
      <c r="I96" t="n">
        <v>34.6</v>
      </c>
      <c r="J96" s="4" t="n">
        <v>178</v>
      </c>
      <c r="K96" t="inlineStr">
        <is>
          <t>87 / 91</t>
        </is>
      </c>
      <c r="L96" t="inlineStr">
        <is>
          <t>20 / 13</t>
        </is>
      </c>
      <c r="M96" s="5" t="n">
        <v>0.49</v>
      </c>
      <c r="N96" s="5" t="n">
        <v>0.61</v>
      </c>
    </row>
    <row r="97">
      <c r="A97" t="n">
        <v>96</v>
      </c>
      <c r="B97" t="n">
        <v>2012</v>
      </c>
      <c r="C97" t="inlineStr">
        <is>
          <t>Hailey MacDonald</t>
        </is>
      </c>
      <c r="D97">
        <f>HYPERLINK("https://ota.tournamentsoftware.com/player-profile/7B752A16-6837-4A5A-AFD8-83F950F37834", "Link")</f>
        <v/>
      </c>
      <c r="E97" s="3" t="n">
        <v>851.106</v>
      </c>
      <c r="F97" s="4" t="n">
        <v>14</v>
      </c>
      <c r="G97" t="inlineStr">
        <is>
          <t>Ontario Tennis Association</t>
        </is>
      </c>
      <c r="H97" t="inlineStr">
        <is>
          <t>Advantage Tennis International at Veneto</t>
        </is>
      </c>
      <c r="I97" t="n">
        <v>31</v>
      </c>
      <c r="J97" s="4" t="n">
        <v>318</v>
      </c>
      <c r="K97" t="inlineStr">
        <is>
          <t>214 / 104</t>
        </is>
      </c>
      <c r="L97" t="inlineStr">
        <is>
          <t>12 / 9</t>
        </is>
      </c>
      <c r="M97" s="5" t="n">
        <v>0.67</v>
      </c>
      <c r="N97" s="5" t="n">
        <v>0.57</v>
      </c>
    </row>
    <row r="98">
      <c r="A98" t="n">
        <v>97</v>
      </c>
      <c r="B98" t="n">
        <v>2013</v>
      </c>
      <c r="C98" t="inlineStr">
        <is>
          <t>Jeanne Lampron</t>
        </is>
      </c>
      <c r="D98">
        <f>HYPERLINK("https://ota.tournamentsoftware.com/player-profile/DBA36429-C15E-4F24-9832-7D6BA94887C6", "Link")</f>
        <v/>
      </c>
      <c r="E98" s="3" t="n">
        <v>850.005</v>
      </c>
      <c r="F98" s="4" t="n">
        <v>26</v>
      </c>
      <c r="G98" t="inlineStr">
        <is>
          <t>Tennis Québec</t>
        </is>
      </c>
      <c r="H98" t="inlineStr">
        <is>
          <t>Tennis Montréal Excellence</t>
        </is>
      </c>
      <c r="I98" t="n">
        <v>33.9</v>
      </c>
      <c r="J98" s="4" t="n">
        <v>133</v>
      </c>
      <c r="K98" t="inlineStr">
        <is>
          <t>63 / 70</t>
        </is>
      </c>
      <c r="L98" t="inlineStr">
        <is>
          <t>28 / 23</t>
        </is>
      </c>
      <c r="M98" s="5" t="n">
        <v>0.47</v>
      </c>
      <c r="N98" s="5" t="n">
        <v>0.55</v>
      </c>
    </row>
    <row r="99">
      <c r="A99" t="n">
        <v>98</v>
      </c>
      <c r="B99" t="n">
        <v>2012</v>
      </c>
      <c r="C99" t="inlineStr">
        <is>
          <t>Alexsandra Stanislavksy</t>
        </is>
      </c>
      <c r="D99">
        <f>HYPERLINK("https://ota.tournamentsoftware.com/player-profile/A067EDC1-6B71-4023-8C13-88CA87AA808B", "Link")</f>
        <v/>
      </c>
      <c r="E99" s="3" t="n">
        <v>849.433</v>
      </c>
      <c r="F99" s="4" t="n">
        <v>32</v>
      </c>
      <c r="G99" t="inlineStr">
        <is>
          <t>Ontario Tennis Association</t>
        </is>
      </c>
      <c r="H99" t="inlineStr">
        <is>
          <t>No Club</t>
        </is>
      </c>
      <c r="I99" t="n">
        <v>34.8</v>
      </c>
      <c r="J99" s="4" t="n">
        <v>183</v>
      </c>
      <c r="K99" t="inlineStr">
        <is>
          <t>81 / 102</t>
        </is>
      </c>
      <c r="L99" t="inlineStr">
        <is>
          <t>18 / 21</t>
        </is>
      </c>
      <c r="M99" s="5" t="n">
        <v>0.44</v>
      </c>
      <c r="N99" s="5" t="n">
        <v>0.46</v>
      </c>
    </row>
    <row r="100">
      <c r="A100" t="n">
        <v>99</v>
      </c>
      <c r="B100" t="n">
        <v>2012</v>
      </c>
      <c r="C100" t="inlineStr">
        <is>
          <t>Laura Patsynka</t>
        </is>
      </c>
      <c r="D100">
        <f>HYPERLINK("https://ota.tournamentsoftware.com/player-profile/49340E93-6E30-4683-9E0F-4D50A1C584F1", "Link")</f>
        <v/>
      </c>
      <c r="E100" s="3" t="n">
        <v>838.826</v>
      </c>
      <c r="F100" s="4" t="n">
        <v>31</v>
      </c>
      <c r="G100" t="inlineStr">
        <is>
          <t>Ontario Tennis Association</t>
        </is>
      </c>
      <c r="H100" t="inlineStr">
        <is>
          <t>Peak Performance Tennis Academy</t>
        </is>
      </c>
      <c r="I100" t="inlineStr">
        <is>
          <t>unavailable</t>
        </is>
      </c>
      <c r="J100" s="4" t="n">
        <v>194</v>
      </c>
      <c r="K100" t="inlineStr">
        <is>
          <t>78 / 116</t>
        </is>
      </c>
      <c r="L100" t="inlineStr">
        <is>
          <t>9 / 17</t>
        </is>
      </c>
      <c r="M100" s="5" t="n">
        <v>0.4</v>
      </c>
      <c r="N100" s="5" t="n">
        <v>0.35</v>
      </c>
    </row>
    <row r="101">
      <c r="A101" t="n">
        <v>100</v>
      </c>
      <c r="B101" t="n">
        <v>2013</v>
      </c>
      <c r="C101" t="inlineStr">
        <is>
          <t>Navya Chawla</t>
        </is>
      </c>
      <c r="D101">
        <f>HYPERLINK("https://ota.tournamentsoftware.com/player-profile/26838C23-66D4-4CAD-825B-C69620EB242D", "Link")</f>
        <v/>
      </c>
      <c r="E101" s="3" t="n">
        <v>838.197</v>
      </c>
      <c r="F101" s="4" t="n">
        <v>19</v>
      </c>
      <c r="G101" t="inlineStr">
        <is>
          <t>Tennis Alberta</t>
        </is>
      </c>
      <c r="H101" t="inlineStr">
        <is>
          <t>Osten &amp; Victor Alberta Tennis Centre</t>
        </is>
      </c>
      <c r="I101" t="n">
        <v>31.9</v>
      </c>
      <c r="J101" s="4" t="n">
        <v>281</v>
      </c>
      <c r="K101" t="inlineStr">
        <is>
          <t>178 / 103</t>
        </is>
      </c>
      <c r="L101" t="inlineStr">
        <is>
          <t>14 / 13</t>
        </is>
      </c>
      <c r="M101" s="5" t="n">
        <v>0.63</v>
      </c>
      <c r="N101" s="5" t="n">
        <v>0.52</v>
      </c>
    </row>
    <row r="102">
      <c r="A102" t="n">
        <v>101</v>
      </c>
      <c r="B102" t="n">
        <v>2012</v>
      </c>
      <c r="C102" t="inlineStr">
        <is>
          <t>Olivia Escobar</t>
        </is>
      </c>
      <c r="D102">
        <f>HYPERLINK("https://ota.tournamentsoftware.com/player-profile/9E3A15EA-D947-4048-B7A7-6C2437D34132", "Link")</f>
        <v/>
      </c>
      <c r="E102" s="3" t="n">
        <v>836.9160000000001</v>
      </c>
      <c r="F102" s="4" t="n">
        <v>37</v>
      </c>
      <c r="G102" t="inlineStr">
        <is>
          <t>Tennis Québec</t>
        </is>
      </c>
      <c r="H102" t="inlineStr">
        <is>
          <t>Tennis Ile- des- Soeurs</t>
        </is>
      </c>
      <c r="I102" t="n">
        <v>35.2</v>
      </c>
      <c r="J102" s="4" t="n">
        <v>345</v>
      </c>
      <c r="K102" t="inlineStr">
        <is>
          <t>131 / 214</t>
        </is>
      </c>
      <c r="L102" t="inlineStr">
        <is>
          <t>19 / 23</t>
        </is>
      </c>
      <c r="M102" s="5" t="n">
        <v>0.38</v>
      </c>
      <c r="N102" s="5" t="n">
        <v>0.45</v>
      </c>
    </row>
    <row r="103">
      <c r="A103" t="n">
        <v>102</v>
      </c>
      <c r="B103" t="n">
        <v>2012</v>
      </c>
      <c r="C103" t="inlineStr">
        <is>
          <t>Maia-Alexandra Popa</t>
        </is>
      </c>
      <c r="D103">
        <f>HYPERLINK("https://ota.tournamentsoftware.com/player-profile/1D5E0C32-9DDE-4B44-ADF9-FDB75BF638BC", "Link")</f>
        <v/>
      </c>
      <c r="E103" s="3" t="n">
        <v>827.341</v>
      </c>
      <c r="F103" s="4" t="n">
        <v>21</v>
      </c>
      <c r="G103" t="inlineStr">
        <is>
          <t>Ontario Tennis Association</t>
        </is>
      </c>
      <c r="H103" t="inlineStr">
        <is>
          <t>No Club</t>
        </is>
      </c>
      <c r="I103" t="n">
        <v>32.8</v>
      </c>
      <c r="J103" s="4" t="n">
        <v>193</v>
      </c>
      <c r="K103" t="inlineStr">
        <is>
          <t>99 / 94</t>
        </is>
      </c>
      <c r="L103" t="inlineStr">
        <is>
          <t>17 / 9</t>
        </is>
      </c>
      <c r="M103" s="5" t="n">
        <v>0.51</v>
      </c>
      <c r="N103" s="5" t="n">
        <v>0.65</v>
      </c>
    </row>
    <row r="104">
      <c r="A104" t="n">
        <v>103</v>
      </c>
      <c r="B104" t="n">
        <v>2012</v>
      </c>
      <c r="C104" t="inlineStr">
        <is>
          <t>Daria Glinna</t>
        </is>
      </c>
      <c r="D104">
        <f>HYPERLINK("https://ota.tournamentsoftware.com/player-profile/75F31A41-BD9F-46AC-A064-06ECE54741E7", "Link")</f>
        <v/>
      </c>
      <c r="E104" s="3" t="n">
        <v>817.88</v>
      </c>
      <c r="F104" s="4" t="n">
        <v>13</v>
      </c>
      <c r="G104" t="inlineStr">
        <is>
          <t>Ontario Tennis Association</t>
        </is>
      </c>
      <c r="H104" t="inlineStr">
        <is>
          <t>Premier Racquet Clubs – Mississauga</t>
        </is>
      </c>
      <c r="I104" t="n">
        <v>34.5</v>
      </c>
      <c r="J104" s="4" t="n">
        <v>158</v>
      </c>
      <c r="K104" t="inlineStr">
        <is>
          <t>59 / 99</t>
        </is>
      </c>
      <c r="L104" t="inlineStr">
        <is>
          <t>4 / 8</t>
        </is>
      </c>
      <c r="M104" s="5" t="n">
        <v>0.37</v>
      </c>
      <c r="N104" s="5" t="n">
        <v>0.33</v>
      </c>
    </row>
    <row r="105">
      <c r="A105" t="n">
        <v>104</v>
      </c>
      <c r="B105" t="n">
        <v>2015</v>
      </c>
      <c r="C105" t="inlineStr">
        <is>
          <t>Evelyn J.C. Liu</t>
        </is>
      </c>
      <c r="D105">
        <f>HYPERLINK("https://ota.tournamentsoftware.com/player-profile/193F9EEB-1528-48A2-A0D8-C6448E62254A", "Link")</f>
        <v/>
      </c>
      <c r="E105" s="3" t="n">
        <v>807.245</v>
      </c>
      <c r="F105" s="4" t="n">
        <v>21</v>
      </c>
      <c r="G105" t="inlineStr">
        <is>
          <t>British Columbia</t>
        </is>
      </c>
      <c r="H105" t="inlineStr">
        <is>
          <t>Vancouver Lawn Tennis and Badminton Club</t>
        </is>
      </c>
      <c r="I105" t="n">
        <v>34.2</v>
      </c>
      <c r="J105" s="4" t="n">
        <v>263</v>
      </c>
      <c r="K105" t="inlineStr">
        <is>
          <t>147 / 116</t>
        </is>
      </c>
      <c r="L105" t="inlineStr">
        <is>
          <t>36 / 19</t>
        </is>
      </c>
      <c r="M105" s="5" t="n">
        <v>0.5600000000000001</v>
      </c>
      <c r="N105" s="5" t="n">
        <v>0.65</v>
      </c>
    </row>
    <row r="106">
      <c r="A106" t="n">
        <v>105</v>
      </c>
      <c r="B106" t="n">
        <v>2014</v>
      </c>
      <c r="C106" t="inlineStr">
        <is>
          <t>Nyah Morgan</t>
        </is>
      </c>
      <c r="D106">
        <f>HYPERLINK("https://ota.tournamentsoftware.com/player-profile/D9CA028A-3366-4954-9B65-F9840B84F93D", "Link")</f>
        <v/>
      </c>
      <c r="E106" s="3" t="n">
        <v>794.096</v>
      </c>
      <c r="F106" s="4" t="n">
        <v>22</v>
      </c>
      <c r="G106" t="inlineStr">
        <is>
          <t>Ontario Tennis Association</t>
        </is>
      </c>
      <c r="H106" t="inlineStr">
        <is>
          <t>Premier Racquet Clubs – Mississauga</t>
        </is>
      </c>
      <c r="I106" t="n">
        <v>34.2</v>
      </c>
      <c r="J106" s="4" t="n">
        <v>197</v>
      </c>
      <c r="K106" t="inlineStr">
        <is>
          <t>127 / 70</t>
        </is>
      </c>
      <c r="L106" t="inlineStr">
        <is>
          <t>25 / 14</t>
        </is>
      </c>
      <c r="M106" s="5" t="n">
        <v>0.64</v>
      </c>
      <c r="N106" s="5" t="n">
        <v>0.64</v>
      </c>
    </row>
    <row r="107">
      <c r="A107" t="n">
        <v>106</v>
      </c>
      <c r="B107" t="n">
        <v>2012</v>
      </c>
      <c r="C107" t="inlineStr">
        <is>
          <t>Penelope Brandt</t>
        </is>
      </c>
      <c r="D107">
        <f>HYPERLINK("https://ota.tournamentsoftware.com/player-profile/AA2E46A9-EC33-4492-A527-0C8E0CA405B0", "Link")</f>
        <v/>
      </c>
      <c r="E107" s="3" t="n">
        <v>784.1559999999999</v>
      </c>
      <c r="F107" s="4" t="n">
        <v>26</v>
      </c>
      <c r="G107" t="inlineStr">
        <is>
          <t>Tennis Québec</t>
        </is>
      </c>
      <c r="H107" t="inlineStr">
        <is>
          <t>SANI Sport</t>
        </is>
      </c>
      <c r="I107" t="n">
        <v>34.5</v>
      </c>
      <c r="J107" s="4" t="n">
        <v>244</v>
      </c>
      <c r="K107" t="inlineStr">
        <is>
          <t>123 / 121</t>
        </is>
      </c>
      <c r="L107" t="inlineStr">
        <is>
          <t>32 / 20</t>
        </is>
      </c>
      <c r="M107" s="5" t="n">
        <v>0.5</v>
      </c>
      <c r="N107" s="5" t="n">
        <v>0.62</v>
      </c>
    </row>
    <row r="108">
      <c r="A108" t="n">
        <v>107</v>
      </c>
      <c r="B108" t="n">
        <v>2012</v>
      </c>
      <c r="C108" t="inlineStr">
        <is>
          <t>Jaydalie Isaac</t>
        </is>
      </c>
      <c r="D108">
        <f>HYPERLINK("https://ota.tournamentsoftware.com/player-profile/A56DDC7B-03D0-424A-907D-63A363906F9A", "Link")</f>
        <v/>
      </c>
      <c r="E108" s="3" t="n">
        <v>780.429</v>
      </c>
      <c r="F108" s="4" t="n">
        <v>12</v>
      </c>
      <c r="G108" t="inlineStr">
        <is>
          <t>Tennis Québec</t>
        </is>
      </c>
      <c r="H108" t="inlineStr">
        <is>
          <t>No Club</t>
        </is>
      </c>
      <c r="I108" t="n">
        <v>34.3</v>
      </c>
      <c r="J108" s="4" t="n">
        <v>233</v>
      </c>
      <c r="K108" t="inlineStr">
        <is>
          <t>110 / 123</t>
        </is>
      </c>
      <c r="L108" t="inlineStr">
        <is>
          <t>20 / 11</t>
        </is>
      </c>
      <c r="M108" s="5" t="n">
        <v>0.47</v>
      </c>
      <c r="N108" s="5" t="n">
        <v>0.65</v>
      </c>
    </row>
    <row r="109">
      <c r="A109" t="n">
        <v>108</v>
      </c>
      <c r="B109" t="n">
        <v>2014</v>
      </c>
      <c r="C109" t="inlineStr">
        <is>
          <t>Edwina Ed Xue</t>
        </is>
      </c>
      <c r="D109">
        <f>HYPERLINK("https://ota.tournamentsoftware.com/player-profile/16F3FDF7-F098-4A63-9D5F-87B196D248B5", "Link")</f>
        <v/>
      </c>
      <c r="E109" s="3" t="n">
        <v>779.297</v>
      </c>
      <c r="F109" s="4" t="n">
        <v>26</v>
      </c>
      <c r="G109" t="inlineStr">
        <is>
          <t>Ontario Tennis Association</t>
        </is>
      </c>
      <c r="H109" t="inlineStr">
        <is>
          <t>Granite Club</t>
        </is>
      </c>
      <c r="I109" t="n">
        <v>34.3</v>
      </c>
      <c r="J109" s="4" t="n">
        <v>280</v>
      </c>
      <c r="K109" t="inlineStr">
        <is>
          <t>166 / 114</t>
        </is>
      </c>
      <c r="L109" t="inlineStr">
        <is>
          <t>26 / 18</t>
        </is>
      </c>
      <c r="M109" s="5" t="n">
        <v>0.59</v>
      </c>
      <c r="N109" s="5" t="n">
        <v>0.59</v>
      </c>
    </row>
    <row r="110">
      <c r="A110" t="n">
        <v>109</v>
      </c>
      <c r="B110" t="n">
        <v>2013</v>
      </c>
      <c r="C110" t="inlineStr">
        <is>
          <t>Mia Nikolovska</t>
        </is>
      </c>
      <c r="D110">
        <f>HYPERLINK("https://ota.tournamentsoftware.com/player-profile/52158395-8ADB-4430-ABAA-C56A79756D09", "Link")</f>
        <v/>
      </c>
      <c r="E110" s="3" t="n">
        <v>767.96</v>
      </c>
      <c r="F110" s="4" t="n">
        <v>39</v>
      </c>
      <c r="G110" t="inlineStr">
        <is>
          <t>Ontario Tennis Association</t>
        </is>
      </c>
      <c r="H110" t="inlineStr">
        <is>
          <t>No Club</t>
        </is>
      </c>
      <c r="I110" t="inlineStr">
        <is>
          <t>unavailable</t>
        </is>
      </c>
      <c r="J110" s="4" t="n">
        <v>355</v>
      </c>
      <c r="K110" t="inlineStr">
        <is>
          <t>215 / 140</t>
        </is>
      </c>
      <c r="L110" t="inlineStr">
        <is>
          <t>25 / 19</t>
        </is>
      </c>
      <c r="M110" s="5" t="n">
        <v>0.61</v>
      </c>
      <c r="N110" s="5" t="n">
        <v>0.57</v>
      </c>
    </row>
    <row r="111">
      <c r="A111" t="n">
        <v>110</v>
      </c>
      <c r="B111" t="n">
        <v>2013</v>
      </c>
      <c r="C111" t="inlineStr">
        <is>
          <t>Amelia Karapalevski</t>
        </is>
      </c>
      <c r="D111">
        <f>HYPERLINK("https://ota.tournamentsoftware.com/player-profile/FA2D2790-6EBD-4928-94F7-17F54621E2B4", "Link")</f>
        <v/>
      </c>
      <c r="E111" s="3" t="n">
        <v>760.4400000000001</v>
      </c>
      <c r="F111" s="4" t="n">
        <v>35</v>
      </c>
      <c r="G111" t="inlineStr">
        <is>
          <t>Ontario Tennis Association</t>
        </is>
      </c>
      <c r="H111" t="inlineStr">
        <is>
          <t>No Club</t>
        </is>
      </c>
      <c r="I111" t="n">
        <v>34.5</v>
      </c>
      <c r="J111" s="4" t="n">
        <v>210</v>
      </c>
      <c r="K111" t="inlineStr">
        <is>
          <t>122 / 88</t>
        </is>
      </c>
      <c r="L111" t="inlineStr">
        <is>
          <t>28 / 17</t>
        </is>
      </c>
      <c r="M111" s="5" t="n">
        <v>0.58</v>
      </c>
      <c r="N111" s="5" t="n">
        <v>0.62</v>
      </c>
    </row>
    <row r="112">
      <c r="A112" t="n">
        <v>111</v>
      </c>
      <c r="B112" t="n">
        <v>2014</v>
      </c>
      <c r="C112" t="inlineStr">
        <is>
          <t>Thanida (Belle) Shaipanich</t>
        </is>
      </c>
      <c r="D112">
        <f>HYPERLINK("https://ota.tournamentsoftware.com/player-profile/98546C72-5CCA-44E8-AFB9-20B9D560E5E3", "Link")</f>
        <v/>
      </c>
      <c r="E112" s="3" t="n">
        <v>744.032</v>
      </c>
      <c r="F112" s="4" t="n">
        <v>16</v>
      </c>
      <c r="G112" t="inlineStr">
        <is>
          <t>British Columbia</t>
        </is>
      </c>
      <c r="H112" t="inlineStr">
        <is>
          <t>UBC Tennis Centre</t>
        </is>
      </c>
      <c r="I112" t="n">
        <v>33.7</v>
      </c>
      <c r="J112" s="4" t="n">
        <v>198</v>
      </c>
      <c r="K112" t="inlineStr">
        <is>
          <t>144 / 54</t>
        </is>
      </c>
      <c r="L112" t="inlineStr">
        <is>
          <t>27 / 17</t>
        </is>
      </c>
      <c r="M112" s="5" t="n">
        <v>0.73</v>
      </c>
      <c r="N112" s="5" t="n">
        <v>0.61</v>
      </c>
    </row>
    <row r="113">
      <c r="A113" t="n">
        <v>112</v>
      </c>
      <c r="B113" t="n">
        <v>2012</v>
      </c>
      <c r="C113" t="inlineStr">
        <is>
          <t>Victoria Chow</t>
        </is>
      </c>
      <c r="D113">
        <f>HYPERLINK("https://ota.tournamentsoftware.com/player-profile/7A966C5F-11C4-49ED-9F9D-2B1D18AB7E3B", "Link")</f>
        <v/>
      </c>
      <c r="E113" s="3" t="n">
        <v>743.375</v>
      </c>
      <c r="F113" s="4" t="n">
        <v>16</v>
      </c>
      <c r="G113" t="inlineStr">
        <is>
          <t>Ontario Tennis Association</t>
        </is>
      </c>
      <c r="H113" t="inlineStr">
        <is>
          <t>No Club</t>
        </is>
      </c>
      <c r="I113" t="inlineStr">
        <is>
          <t>unavailable</t>
        </is>
      </c>
      <c r="J113" s="4" t="n">
        <v>272</v>
      </c>
      <c r="K113" t="inlineStr">
        <is>
          <t>139 / 133</t>
        </is>
      </c>
      <c r="L113" t="inlineStr">
        <is>
          <t>13 / 19</t>
        </is>
      </c>
      <c r="M113" s="5" t="n">
        <v>0.51</v>
      </c>
      <c r="N113" s="5" t="n">
        <v>0.41</v>
      </c>
    </row>
    <row r="114">
      <c r="A114" t="n">
        <v>113</v>
      </c>
      <c r="B114" t="n">
        <v>2012</v>
      </c>
      <c r="C114" t="inlineStr">
        <is>
          <t>Estelle Kroupetski</t>
        </is>
      </c>
      <c r="D114">
        <f>HYPERLINK("https://ota.tournamentsoftware.com/player-profile/7A8D0D40-A77C-429C-81D6-05DC21DB8D28", "Link")</f>
        <v/>
      </c>
      <c r="E114" s="3" t="n">
        <v>730.5839999999999</v>
      </c>
      <c r="F114" s="4" t="n">
        <v>17</v>
      </c>
      <c r="G114" t="inlineStr">
        <is>
          <t>Ontario Tennis Association</t>
        </is>
      </c>
      <c r="H114" t="inlineStr">
        <is>
          <t>Ontario Racquet Club</t>
        </is>
      </c>
      <c r="I114" t="n">
        <v>34</v>
      </c>
      <c r="J114" s="4" t="n">
        <v>139</v>
      </c>
      <c r="K114" t="inlineStr">
        <is>
          <t>69 / 70</t>
        </is>
      </c>
      <c r="L114" t="inlineStr">
        <is>
          <t>25 / 8</t>
        </is>
      </c>
      <c r="M114" s="5" t="n">
        <v>0.5</v>
      </c>
      <c r="N114" s="5" t="n">
        <v>0.76</v>
      </c>
    </row>
    <row r="115">
      <c r="A115" t="n">
        <v>114</v>
      </c>
      <c r="B115" t="n">
        <v>2013</v>
      </c>
      <c r="C115" t="inlineStr">
        <is>
          <t>Élianne Bouchard</t>
        </is>
      </c>
      <c r="D115">
        <f>HYPERLINK("https://ota.tournamentsoftware.com/player-profile/44233F45-64EC-49B2-AA72-859E176C2987", "Link")</f>
        <v/>
      </c>
      <c r="E115" s="3" t="n">
        <v>713.631</v>
      </c>
      <c r="F115" s="4" t="n">
        <v>28</v>
      </c>
      <c r="G115" t="inlineStr">
        <is>
          <t>Tennis Québec</t>
        </is>
      </c>
      <c r="H115" t="inlineStr">
        <is>
          <t>Tennis Interclub Piedmont</t>
        </is>
      </c>
      <c r="I115" t="n">
        <v>35.6</v>
      </c>
      <c r="J115" s="4" t="n">
        <v>238</v>
      </c>
      <c r="K115" t="inlineStr">
        <is>
          <t>111 / 127</t>
        </is>
      </c>
      <c r="L115" t="inlineStr">
        <is>
          <t>25 / 19</t>
        </is>
      </c>
      <c r="M115" s="5" t="n">
        <v>0.47</v>
      </c>
      <c r="N115" s="5" t="n">
        <v>0.57</v>
      </c>
    </row>
    <row r="116">
      <c r="A116" t="n">
        <v>115</v>
      </c>
      <c r="B116" t="n">
        <v>2012</v>
      </c>
      <c r="C116" t="inlineStr">
        <is>
          <t>Dina Yijia Zhang</t>
        </is>
      </c>
      <c r="D116">
        <f>HYPERLINK("https://ota.tournamentsoftware.com/player-profile/CF7261D5-5723-40A9-853D-2B21D7A35985", "Link")</f>
        <v/>
      </c>
      <c r="E116" s="3" t="n">
        <v>703.611</v>
      </c>
      <c r="F116" s="4" t="n">
        <v>10</v>
      </c>
      <c r="G116" t="inlineStr">
        <is>
          <t>Tennis Nova Scotia</t>
        </is>
      </c>
      <c r="H116" t="inlineStr">
        <is>
          <t>HEADSTART</t>
        </is>
      </c>
      <c r="I116" t="n">
        <v>35.4</v>
      </c>
      <c r="J116" s="4" t="n">
        <v>157</v>
      </c>
      <c r="K116" t="inlineStr">
        <is>
          <t>64 / 93</t>
        </is>
      </c>
      <c r="L116" t="inlineStr">
        <is>
          <t>8 / 14</t>
        </is>
      </c>
      <c r="M116" s="5" t="n">
        <v>0.41</v>
      </c>
      <c r="N116" s="5" t="n">
        <v>0.36</v>
      </c>
    </row>
    <row r="117">
      <c r="A117" t="n">
        <v>116</v>
      </c>
      <c r="B117" t="n">
        <v>2016</v>
      </c>
      <c r="C117" t="inlineStr">
        <is>
          <t>Kaili Ear Gui</t>
        </is>
      </c>
      <c r="D117">
        <f>HYPERLINK("https://ota.tournamentsoftware.com/player-profile/6E1FCBA7-1BA6-4DCA-9440-D121E3710638", "Link")</f>
        <v/>
      </c>
      <c r="E117" s="3" t="n">
        <v>695.772</v>
      </c>
      <c r="F117" s="4" t="n">
        <v>12</v>
      </c>
      <c r="G117" t="inlineStr">
        <is>
          <t>Tennis Saskatchewan</t>
        </is>
      </c>
      <c r="H117" t="inlineStr">
        <is>
          <t>Lakeshore Tennis Club</t>
        </is>
      </c>
      <c r="I117" t="n">
        <v>37.2</v>
      </c>
      <c r="J117" s="4" t="n">
        <v>138</v>
      </c>
      <c r="K117" t="inlineStr">
        <is>
          <t>80 / 58</t>
        </is>
      </c>
      <c r="L117" t="inlineStr">
        <is>
          <t>31 / 25</t>
        </is>
      </c>
      <c r="M117" s="5" t="n">
        <v>0.58</v>
      </c>
      <c r="N117" s="5" t="n">
        <v>0.55</v>
      </c>
    </row>
    <row r="118">
      <c r="A118" t="n">
        <v>117</v>
      </c>
      <c r="B118" t="n">
        <v>2012</v>
      </c>
      <c r="C118" t="inlineStr">
        <is>
          <t>Luisa Victoria Davis</t>
        </is>
      </c>
      <c r="D118">
        <f>HYPERLINK("https://ota.tournamentsoftware.com/player-profile/F5AE6D4A-50BA-4E57-AD34-589189161D57", "Link")</f>
        <v/>
      </c>
      <c r="E118" s="3" t="n">
        <v>677.647</v>
      </c>
      <c r="F118" s="4" t="n">
        <v>16</v>
      </c>
      <c r="G118" t="inlineStr">
        <is>
          <t>Ontario Tennis Association</t>
        </is>
      </c>
      <c r="H118" t="inlineStr">
        <is>
          <t>Mayfair West Fitness &amp; Racquet Club</t>
        </is>
      </c>
      <c r="I118" t="inlineStr">
        <is>
          <t>unavailable</t>
        </is>
      </c>
      <c r="J118" s="4" t="n">
        <v>200</v>
      </c>
      <c r="K118" t="inlineStr">
        <is>
          <t>128 / 72</t>
        </is>
      </c>
      <c r="L118" t="inlineStr">
        <is>
          <t>6 / 10</t>
        </is>
      </c>
      <c r="M118" s="5" t="n">
        <v>0.64</v>
      </c>
      <c r="N118" s="5" t="n">
        <v>0.38</v>
      </c>
    </row>
    <row r="119">
      <c r="A119" t="n">
        <v>118</v>
      </c>
      <c r="B119" t="n">
        <v>2013</v>
      </c>
      <c r="C119" t="inlineStr">
        <is>
          <t>Akshara Bavanaka</t>
        </is>
      </c>
      <c r="D119">
        <f>HYPERLINK("https://ota.tournamentsoftware.com/player-profile/DB56F65D-8A18-4169-BE31-18F89B25E14B", "Link")</f>
        <v/>
      </c>
      <c r="E119" s="3" t="n">
        <v>672.159</v>
      </c>
      <c r="F119" s="4" t="n">
        <v>37</v>
      </c>
      <c r="G119" t="inlineStr">
        <is>
          <t>Ontario Tennis Association</t>
        </is>
      </c>
      <c r="H119" t="inlineStr">
        <is>
          <t>Advantage Tennis International at Veneto</t>
        </is>
      </c>
      <c r="I119" t="n">
        <v>36.9</v>
      </c>
      <c r="J119" s="4" t="n">
        <v>218</v>
      </c>
      <c r="K119" t="inlineStr">
        <is>
          <t>110 / 108</t>
        </is>
      </c>
      <c r="L119" t="inlineStr">
        <is>
          <t>9 / 17</t>
        </is>
      </c>
      <c r="M119" s="5" t="n">
        <v>0.5</v>
      </c>
      <c r="N119" s="5" t="n">
        <v>0.35</v>
      </c>
    </row>
    <row r="120">
      <c r="A120" t="n">
        <v>119</v>
      </c>
      <c r="B120" t="n">
        <v>2013</v>
      </c>
      <c r="C120" t="inlineStr">
        <is>
          <t>EMMA ANTONIA DOBREAN</t>
        </is>
      </c>
      <c r="D120">
        <f>HYPERLINK("https://ota.tournamentsoftware.com/player-profile/A556E1FC-8159-42C1-A5DB-35375535B6F4", "Link")</f>
        <v/>
      </c>
      <c r="E120" s="3" t="n">
        <v>663.673</v>
      </c>
      <c r="F120" s="4" t="n">
        <v>4</v>
      </c>
      <c r="G120" t="inlineStr">
        <is>
          <t>Ontario Tennis Association</t>
        </is>
      </c>
      <c r="H120" t="inlineStr">
        <is>
          <t>No Club</t>
        </is>
      </c>
      <c r="I120" t="inlineStr">
        <is>
          <t>unavailable</t>
        </is>
      </c>
      <c r="J120" s="4" t="n">
        <v>137</v>
      </c>
      <c r="K120" t="inlineStr">
        <is>
          <t>98 / 39</t>
        </is>
      </c>
      <c r="L120" t="inlineStr">
        <is>
          <t>2 / 3</t>
        </is>
      </c>
      <c r="M120" s="5" t="n">
        <v>0.72</v>
      </c>
      <c r="N120" s="5" t="n">
        <v>0.4</v>
      </c>
    </row>
    <row r="121">
      <c r="A121" t="n">
        <v>120</v>
      </c>
      <c r="B121" t="n">
        <v>2012</v>
      </c>
      <c r="C121" t="inlineStr">
        <is>
          <t>Emma Abdou</t>
        </is>
      </c>
      <c r="D121">
        <f>HYPERLINK("https://ota.tournamentsoftware.com/player-profile/FD6387AB-774D-491E-8A68-CE4DD20FAEF7", "Link")</f>
        <v/>
      </c>
      <c r="E121" s="3" t="n">
        <v>662.182</v>
      </c>
      <c r="F121" s="4" t="n">
        <v>31</v>
      </c>
      <c r="G121" t="inlineStr">
        <is>
          <t>Ontario Tennis Association</t>
        </is>
      </c>
      <c r="H121" t="inlineStr">
        <is>
          <t>Granite Club</t>
        </is>
      </c>
      <c r="I121" t="n">
        <v>34.7</v>
      </c>
      <c r="J121" s="4" t="n">
        <v>201</v>
      </c>
      <c r="K121" t="inlineStr">
        <is>
          <t>97 / 104</t>
        </is>
      </c>
      <c r="L121" t="inlineStr">
        <is>
          <t>29 / 21</t>
        </is>
      </c>
      <c r="M121" s="5" t="n">
        <v>0.48</v>
      </c>
      <c r="N121" s="5" t="n">
        <v>0.58</v>
      </c>
    </row>
    <row r="122">
      <c r="A122" t="n">
        <v>121</v>
      </c>
      <c r="B122" t="n">
        <v>2012</v>
      </c>
      <c r="C122" t="inlineStr">
        <is>
          <t>Cindy Zixuan Li</t>
        </is>
      </c>
      <c r="D122">
        <f>HYPERLINK("https://ota.tournamentsoftware.com/player-profile/23E61DC5-74BF-4612-8E7F-7DA0B013D911", "Link")</f>
        <v/>
      </c>
      <c r="E122" s="3" t="n">
        <v>661.299</v>
      </c>
      <c r="F122" s="4" t="n">
        <v>10</v>
      </c>
      <c r="G122" t="inlineStr">
        <is>
          <t>British Columbia</t>
        </is>
      </c>
      <c r="H122" t="inlineStr">
        <is>
          <t>Vanguard Tennis Academy</t>
        </is>
      </c>
      <c r="I122" t="n">
        <v>33.5</v>
      </c>
      <c r="J122" s="4" t="n">
        <v>137</v>
      </c>
      <c r="K122" t="inlineStr">
        <is>
          <t>69 / 68</t>
        </is>
      </c>
      <c r="L122" t="inlineStr">
        <is>
          <t>8 / 7</t>
        </is>
      </c>
      <c r="M122" s="5" t="n">
        <v>0.5</v>
      </c>
      <c r="N122" s="5" t="n">
        <v>0.53</v>
      </c>
    </row>
    <row r="123">
      <c r="A123" t="n">
        <v>122</v>
      </c>
      <c r="B123" t="n">
        <v>2012</v>
      </c>
      <c r="C123" t="inlineStr">
        <is>
          <t>Zenaida May Kolesnikov</t>
        </is>
      </c>
      <c r="D123">
        <f>HYPERLINK("https://ota.tournamentsoftware.com/player-profile/0D20CA06-CC79-483F-87DD-AD6F5FC76972", "Link")</f>
        <v/>
      </c>
      <c r="E123" s="3" t="n">
        <v>655.871</v>
      </c>
      <c r="F123" s="4" t="n">
        <v>5</v>
      </c>
      <c r="G123" t="inlineStr">
        <is>
          <t>Ontario Tennis Association</t>
        </is>
      </c>
      <c r="H123" t="inlineStr">
        <is>
          <t>Kew Gardens Tennis Club</t>
        </is>
      </c>
      <c r="I123" t="n">
        <v>30.6</v>
      </c>
      <c r="J123" s="4" t="n">
        <v>76</v>
      </c>
      <c r="K123" t="inlineStr">
        <is>
          <t>59 / 17</t>
        </is>
      </c>
      <c r="L123" t="inlineStr">
        <is>
          <t>5 / 0</t>
        </is>
      </c>
      <c r="M123" s="5" t="n">
        <v>0.78</v>
      </c>
      <c r="N123" s="5" t="n">
        <v>1</v>
      </c>
    </row>
    <row r="124">
      <c r="A124" t="n">
        <v>123</v>
      </c>
      <c r="B124" t="n">
        <v>2013</v>
      </c>
      <c r="C124" t="inlineStr">
        <is>
          <t>Nelly Campagna</t>
        </is>
      </c>
      <c r="D124">
        <f>HYPERLINK("https://ota.tournamentsoftware.com/player-profile/57A742FF-F88B-4C14-A895-DA6559972095", "Link")</f>
        <v/>
      </c>
      <c r="E124" s="3" t="n">
        <v>653.731</v>
      </c>
      <c r="F124" s="4" t="n">
        <v>20</v>
      </c>
      <c r="G124" t="inlineStr">
        <is>
          <t>Tennis Québec</t>
        </is>
      </c>
      <c r="H124" t="inlineStr">
        <is>
          <t>Centre récréatif de Repentigny / Académie Tennis Momentum</t>
        </is>
      </c>
      <c r="I124" t="n">
        <v>35.5</v>
      </c>
      <c r="J124" s="4" t="n">
        <v>167</v>
      </c>
      <c r="K124" t="inlineStr">
        <is>
          <t>89 / 78</t>
        </is>
      </c>
      <c r="L124" t="inlineStr">
        <is>
          <t>21 / 16</t>
        </is>
      </c>
      <c r="M124" s="5" t="n">
        <v>0.53</v>
      </c>
      <c r="N124" s="5" t="n">
        <v>0.57</v>
      </c>
    </row>
    <row r="125">
      <c r="A125" t="n">
        <v>124</v>
      </c>
      <c r="B125" t="n">
        <v>2014</v>
      </c>
      <c r="C125" t="inlineStr">
        <is>
          <t>Nuanyi Li</t>
        </is>
      </c>
      <c r="D125">
        <f>HYPERLINK("https://ota.tournamentsoftware.com/player-profile/341DA394-9039-4254-B369-B8C52872A168", "Link")</f>
        <v/>
      </c>
      <c r="E125" s="3" t="n">
        <v>646.429</v>
      </c>
      <c r="F125" s="4" t="n">
        <v>31</v>
      </c>
      <c r="G125" t="inlineStr">
        <is>
          <t>Ontario Tennis Association</t>
        </is>
      </c>
      <c r="H125" t="inlineStr">
        <is>
          <t>Fainblum Tennis Academy</t>
        </is>
      </c>
      <c r="I125" t="n">
        <v>34.6</v>
      </c>
      <c r="J125" s="4" t="n">
        <v>278</v>
      </c>
      <c r="K125" t="inlineStr">
        <is>
          <t>172 / 106</t>
        </is>
      </c>
      <c r="L125" t="inlineStr">
        <is>
          <t>21 / 23</t>
        </is>
      </c>
      <c r="M125" s="5" t="n">
        <v>0.62</v>
      </c>
      <c r="N125" s="5" t="n">
        <v>0.48</v>
      </c>
    </row>
    <row r="126">
      <c r="A126" t="n">
        <v>125</v>
      </c>
      <c r="B126" t="n">
        <v>2015</v>
      </c>
      <c r="C126" t="inlineStr">
        <is>
          <t>Emilie Joly</t>
        </is>
      </c>
      <c r="D126">
        <f>HYPERLINK("https://ota.tournamentsoftware.com/player-profile/57736008-B9CA-4FCE-BEF6-90222787F336", "Link")</f>
        <v/>
      </c>
      <c r="E126" s="3" t="n">
        <v>638.96</v>
      </c>
      <c r="F126" s="4" t="n">
        <v>15</v>
      </c>
      <c r="G126" t="inlineStr">
        <is>
          <t>Ontario Tennis Association</t>
        </is>
      </c>
      <c r="H126" t="inlineStr">
        <is>
          <t>Kingston Racquet Centre</t>
        </is>
      </c>
      <c r="I126" t="n">
        <v>32.7</v>
      </c>
      <c r="J126" s="4" t="n">
        <v>215</v>
      </c>
      <c r="K126" t="inlineStr">
        <is>
          <t>150 / 65</t>
        </is>
      </c>
      <c r="L126" t="inlineStr">
        <is>
          <t>27 / 5</t>
        </is>
      </c>
      <c r="M126" s="5" t="n">
        <v>0.7</v>
      </c>
      <c r="N126" s="5" t="n">
        <v>0.84</v>
      </c>
    </row>
    <row r="127">
      <c r="A127" t="n">
        <v>126</v>
      </c>
      <c r="B127" t="n">
        <v>2012</v>
      </c>
      <c r="C127" t="inlineStr">
        <is>
          <t>Yutong (Olivia) Ha</t>
        </is>
      </c>
      <c r="D127">
        <f>HYPERLINK("https://ota.tournamentsoftware.com/player-profile/53AE0DB5-1F76-4FB8-9870-3B236A9DAA97", "Link")</f>
        <v/>
      </c>
      <c r="E127" s="3" t="n">
        <v>624.7430000000001</v>
      </c>
      <c r="F127" s="4" t="n">
        <v>20</v>
      </c>
      <c r="G127" t="inlineStr">
        <is>
          <t>Ontario Tennis Association</t>
        </is>
      </c>
      <c r="H127" t="inlineStr">
        <is>
          <t>Richmondhill Golf &amp; Country Club</t>
        </is>
      </c>
      <c r="I127" t="inlineStr">
        <is>
          <t>unavailable</t>
        </is>
      </c>
      <c r="J127" s="4" t="n">
        <v>195</v>
      </c>
      <c r="K127" t="inlineStr">
        <is>
          <t>84 / 111</t>
        </is>
      </c>
      <c r="L127" t="inlineStr">
        <is>
          <t>6 / 16</t>
        </is>
      </c>
      <c r="M127" s="5" t="n">
        <v>0.43</v>
      </c>
      <c r="N127" s="5" t="n">
        <v>0.27</v>
      </c>
    </row>
    <row r="128">
      <c r="A128" t="n">
        <v>127</v>
      </c>
      <c r="B128" t="n">
        <v>2015</v>
      </c>
      <c r="C128" t="inlineStr">
        <is>
          <t>Emma Yin</t>
        </is>
      </c>
      <c r="D128">
        <f>HYPERLINK("https://ota.tournamentsoftware.com/player-profile/F90E2576-5989-4051-9E1F-45C789378967", "Link")</f>
        <v/>
      </c>
      <c r="E128" s="3" t="n">
        <v>613.705</v>
      </c>
      <c r="F128" s="4" t="n">
        <v>11</v>
      </c>
      <c r="G128" t="inlineStr">
        <is>
          <t>Tennis Saskatchewan</t>
        </is>
      </c>
      <c r="H128" t="inlineStr">
        <is>
          <t>Lakeshore Tennis Club</t>
        </is>
      </c>
      <c r="I128" t="n">
        <v>36.2</v>
      </c>
      <c r="J128" s="4" t="n">
        <v>154</v>
      </c>
      <c r="K128" t="inlineStr">
        <is>
          <t>78 / 76</t>
        </is>
      </c>
      <c r="L128" t="inlineStr">
        <is>
          <t>32 / 21</t>
        </is>
      </c>
      <c r="M128" s="5" t="n">
        <v>0.51</v>
      </c>
      <c r="N128" s="5" t="n">
        <v>0.6</v>
      </c>
    </row>
    <row r="129">
      <c r="A129" t="n">
        <v>128</v>
      </c>
      <c r="B129" t="n">
        <v>2014</v>
      </c>
      <c r="C129" t="inlineStr">
        <is>
          <t>Naomi Iamandi</t>
        </is>
      </c>
      <c r="D129">
        <f>HYPERLINK("https://ota.tournamentsoftware.com/player-profile/5653599F-FFB6-46FA-B574-E53D7FBC278E", "Link")</f>
        <v/>
      </c>
      <c r="E129" s="3" t="n">
        <v>602.866</v>
      </c>
      <c r="F129" s="4" t="n">
        <v>25</v>
      </c>
      <c r="G129" t="inlineStr">
        <is>
          <t>Ontario Tennis Association</t>
        </is>
      </c>
      <c r="H129" t="inlineStr">
        <is>
          <t>Joshua Creek Golf &amp; Tennis</t>
        </is>
      </c>
      <c r="I129" t="n">
        <v>35.5</v>
      </c>
      <c r="J129" s="4" t="n">
        <v>221</v>
      </c>
      <c r="K129" t="inlineStr">
        <is>
          <t>122 / 99</t>
        </is>
      </c>
      <c r="L129" t="inlineStr">
        <is>
          <t>13 / 18</t>
        </is>
      </c>
      <c r="M129" s="5" t="n">
        <v>0.55</v>
      </c>
      <c r="N129" s="5" t="n">
        <v>0.42</v>
      </c>
    </row>
    <row r="130">
      <c r="A130" t="n">
        <v>129</v>
      </c>
      <c r="B130" t="n">
        <v>2013</v>
      </c>
      <c r="C130" t="inlineStr">
        <is>
          <t>Blaire Ming min kaminski</t>
        </is>
      </c>
      <c r="D130">
        <f>HYPERLINK("https://ota.tournamentsoftware.com/player-profile/F1255585-993D-4DBF-ADE9-E5818DCBA131", "Link")</f>
        <v/>
      </c>
      <c r="E130" s="3" t="n">
        <v>601.103</v>
      </c>
      <c r="F130" s="4" t="n">
        <v>17</v>
      </c>
      <c r="G130" t="inlineStr">
        <is>
          <t>Tennis Alberta</t>
        </is>
      </c>
      <c r="H130" t="inlineStr">
        <is>
          <t>Osten &amp; Victor Alberta Tennis Centre</t>
        </is>
      </c>
      <c r="I130" t="inlineStr">
        <is>
          <t>unavailable</t>
        </is>
      </c>
      <c r="J130" s="4" t="n">
        <v>124</v>
      </c>
      <c r="K130" t="inlineStr">
        <is>
          <t>60 / 64</t>
        </is>
      </c>
      <c r="L130" t="inlineStr">
        <is>
          <t>15 / 13</t>
        </is>
      </c>
      <c r="M130" s="5" t="n">
        <v>0.48</v>
      </c>
      <c r="N130" s="5" t="n">
        <v>0.54</v>
      </c>
    </row>
    <row r="131">
      <c r="A131" t="n">
        <v>130</v>
      </c>
      <c r="B131" t="n">
        <v>2012</v>
      </c>
      <c r="C131" t="inlineStr">
        <is>
          <t>Avea Ungureanu Pinto</t>
        </is>
      </c>
      <c r="D131">
        <f>HYPERLINK("https://ota.tournamentsoftware.com/player-profile/527FEC9E-D920-4439-9E01-51A3CFDED939", "Link")</f>
        <v/>
      </c>
      <c r="E131" s="3" t="n">
        <v>592.149</v>
      </c>
      <c r="F131" s="4" t="n">
        <v>27</v>
      </c>
      <c r="G131" t="inlineStr">
        <is>
          <t>Ontario Tennis Association</t>
        </is>
      </c>
      <c r="H131" t="inlineStr">
        <is>
          <t>Mayfair East Racquet Club</t>
        </is>
      </c>
      <c r="I131" t="n">
        <v>35</v>
      </c>
      <c r="J131" s="4" t="n">
        <v>135</v>
      </c>
      <c r="K131" t="inlineStr">
        <is>
          <t>72 / 63</t>
        </is>
      </c>
      <c r="L131" t="inlineStr">
        <is>
          <t>17 / 14</t>
        </is>
      </c>
      <c r="M131" s="5" t="n">
        <v>0.53</v>
      </c>
      <c r="N131" s="5" t="n">
        <v>0.55</v>
      </c>
    </row>
    <row r="132">
      <c r="A132" t="n">
        <v>131</v>
      </c>
      <c r="B132" t="n">
        <v>2013</v>
      </c>
      <c r="C132" t="inlineStr">
        <is>
          <t>Elena Vamoser</t>
        </is>
      </c>
      <c r="D132">
        <f>HYPERLINK("https://ota.tournamentsoftware.com/player-profile/F839ADA6-2875-4712-9FE7-C958E075D669", "Link")</f>
        <v/>
      </c>
      <c r="E132" s="3" t="n">
        <v>589.066</v>
      </c>
      <c r="F132" s="4" t="n">
        <v>29</v>
      </c>
      <c r="G132" t="inlineStr">
        <is>
          <t>Ontario Tennis Association</t>
        </is>
      </c>
      <c r="H132" t="inlineStr">
        <is>
          <t>ACE Tennis - Burlington</t>
        </is>
      </c>
      <c r="I132" t="n">
        <v>35.9</v>
      </c>
      <c r="J132" s="4" t="n">
        <v>126</v>
      </c>
      <c r="K132" t="inlineStr">
        <is>
          <t>73 / 53</t>
        </is>
      </c>
      <c r="L132" t="inlineStr">
        <is>
          <t>14 / 16</t>
        </is>
      </c>
      <c r="M132" s="5" t="n">
        <v>0.58</v>
      </c>
      <c r="N132" s="5" t="n">
        <v>0.47</v>
      </c>
    </row>
    <row r="133">
      <c r="A133" t="n">
        <v>132</v>
      </c>
      <c r="B133" t="n">
        <v>2013</v>
      </c>
      <c r="C133" t="inlineStr">
        <is>
          <t>Zoe Yeung</t>
        </is>
      </c>
      <c r="D133">
        <f>HYPERLINK("https://ota.tournamentsoftware.com/player-profile/69712725-5DA5-49A3-9C42-5A05BBB6B230", "Link")</f>
        <v/>
      </c>
      <c r="E133" s="3" t="n">
        <v>583.942</v>
      </c>
      <c r="F133" s="4" t="n">
        <v>17</v>
      </c>
      <c r="G133" t="inlineStr">
        <is>
          <t>Tennis Alberta</t>
        </is>
      </c>
      <c r="H133" t="inlineStr">
        <is>
          <t>Osten &amp; Victor Alberta Tennis Centre</t>
        </is>
      </c>
      <c r="I133" t="n">
        <v>35.1</v>
      </c>
      <c r="J133" s="4" t="n">
        <v>184</v>
      </c>
      <c r="K133" t="inlineStr">
        <is>
          <t>87 / 97</t>
        </is>
      </c>
      <c r="L133" t="inlineStr">
        <is>
          <t>13 / 16</t>
        </is>
      </c>
      <c r="M133" s="5" t="n">
        <v>0.47</v>
      </c>
      <c r="N133" s="5" t="n">
        <v>0.45</v>
      </c>
    </row>
    <row r="134">
      <c r="A134" t="n">
        <v>133</v>
      </c>
      <c r="B134" t="n">
        <v>2012</v>
      </c>
      <c r="C134" t="inlineStr">
        <is>
          <t>Malia Lee Datta</t>
        </is>
      </c>
      <c r="D134">
        <f>HYPERLINK("https://ota.tournamentsoftware.com/player-profile/0FC1E5E7-0316-49C4-95C5-C429E3032398", "Link")</f>
        <v/>
      </c>
      <c r="E134" s="3" t="n">
        <v>583.375</v>
      </c>
      <c r="F134" s="4" t="n">
        <v>17</v>
      </c>
      <c r="G134" t="inlineStr">
        <is>
          <t>Tennis Alberta</t>
        </is>
      </c>
      <c r="H134" t="inlineStr">
        <is>
          <t>Calgary Winter Club</t>
        </is>
      </c>
      <c r="I134" t="n">
        <v>34.3</v>
      </c>
      <c r="J134" s="4" t="n">
        <v>149</v>
      </c>
      <c r="K134" t="inlineStr">
        <is>
          <t>64 / 85</t>
        </is>
      </c>
      <c r="L134" t="inlineStr">
        <is>
          <t>13 / 18</t>
        </is>
      </c>
      <c r="M134" s="5" t="n">
        <v>0.43</v>
      </c>
      <c r="N134" s="5" t="n">
        <v>0.42</v>
      </c>
    </row>
    <row r="135">
      <c r="A135" t="n">
        <v>134</v>
      </c>
      <c r="B135" t="n">
        <v>2014</v>
      </c>
      <c r="C135" t="inlineStr">
        <is>
          <t>Evelyn Wang</t>
        </is>
      </c>
      <c r="D135">
        <f>HYPERLINK("https://ota.tournamentsoftware.com/player-profile/3A43E7FB-647C-4296-8E8D-106421DC2080", "Link")</f>
        <v/>
      </c>
      <c r="E135" s="3" t="n">
        <v>579.64</v>
      </c>
      <c r="F135" s="4" t="n">
        <v>19</v>
      </c>
      <c r="G135" t="inlineStr">
        <is>
          <t>British Columbia</t>
        </is>
      </c>
      <c r="H135" t="inlineStr">
        <is>
          <t>UBC Tennis Centre</t>
        </is>
      </c>
      <c r="I135" t="n">
        <v>34.6</v>
      </c>
      <c r="J135" s="4" t="n">
        <v>239</v>
      </c>
      <c r="K135" t="inlineStr">
        <is>
          <t>120 / 119</t>
        </is>
      </c>
      <c r="L135" t="inlineStr">
        <is>
          <t>24 / 20</t>
        </is>
      </c>
      <c r="M135" s="5" t="n">
        <v>0.5</v>
      </c>
      <c r="N135" s="5" t="n">
        <v>0.55</v>
      </c>
    </row>
    <row r="136">
      <c r="A136" t="n">
        <v>135</v>
      </c>
      <c r="B136" t="n">
        <v>2012</v>
      </c>
      <c r="C136" t="inlineStr">
        <is>
          <t>Eliana Cantin</t>
        </is>
      </c>
      <c r="D136">
        <f>HYPERLINK("https://ota.tournamentsoftware.com/player-profile/D4DBD3FF-74D7-4D84-BB8F-104CA729E69E", "Link")</f>
        <v/>
      </c>
      <c r="E136" s="3" t="n">
        <v>579.148</v>
      </c>
      <c r="F136" s="4" t="n">
        <v>14</v>
      </c>
      <c r="G136" t="inlineStr">
        <is>
          <t>Tennis Québec</t>
        </is>
      </c>
      <c r="H136" t="inlineStr">
        <is>
          <t>Centre récréatif de Repentigny / Académie Tennis Momentum</t>
        </is>
      </c>
      <c r="I136" t="n">
        <v>35.8</v>
      </c>
      <c r="J136" s="4" t="n">
        <v>186</v>
      </c>
      <c r="K136" t="inlineStr">
        <is>
          <t>91 / 95</t>
        </is>
      </c>
      <c r="L136" t="inlineStr">
        <is>
          <t>9 / 16</t>
        </is>
      </c>
      <c r="M136" s="5" t="n">
        <v>0.49</v>
      </c>
      <c r="N136" s="5" t="n">
        <v>0.36</v>
      </c>
    </row>
    <row r="137">
      <c r="A137" t="n">
        <v>136</v>
      </c>
      <c r="B137" t="n">
        <v>2014</v>
      </c>
      <c r="C137" t="inlineStr">
        <is>
          <t>Emmanuella Ibrahim</t>
        </is>
      </c>
      <c r="D137">
        <f>HYPERLINK("https://ota.tournamentsoftware.com/player-profile/8CFFE2B1-9508-4CB2-8E6A-6761AA8394EA", "Link")</f>
        <v/>
      </c>
      <c r="E137" s="3" t="n">
        <v>578.7430000000001</v>
      </c>
      <c r="F137" s="4" t="n">
        <v>18</v>
      </c>
      <c r="G137" t="inlineStr">
        <is>
          <t>Tennis Alberta</t>
        </is>
      </c>
      <c r="H137" t="inlineStr">
        <is>
          <t>Aforza</t>
        </is>
      </c>
      <c r="I137" t="inlineStr">
        <is>
          <t>unavailable</t>
        </is>
      </c>
      <c r="J137" s="4" t="n">
        <v>183</v>
      </c>
      <c r="K137" t="inlineStr">
        <is>
          <t>134 / 49</t>
        </is>
      </c>
      <c r="L137" t="inlineStr">
        <is>
          <t>36 / 12</t>
        </is>
      </c>
      <c r="M137" s="5" t="n">
        <v>0.73</v>
      </c>
      <c r="N137" s="5" t="n">
        <v>0.75</v>
      </c>
    </row>
    <row r="138">
      <c r="A138" t="n">
        <v>137</v>
      </c>
      <c r="B138" t="n">
        <v>2013</v>
      </c>
      <c r="C138" t="inlineStr">
        <is>
          <t>Maliah Morgan</t>
        </is>
      </c>
      <c r="D138">
        <f>HYPERLINK("https://ota.tournamentsoftware.com/player-profile/9A3C1326-AE04-42FE-BCE6-AF95D32715F8", "Link")</f>
        <v/>
      </c>
      <c r="E138" s="3" t="n">
        <v>577.035</v>
      </c>
      <c r="F138" s="4" t="n">
        <v>20</v>
      </c>
      <c r="G138" t="inlineStr">
        <is>
          <t>Ontario Tennis Association</t>
        </is>
      </c>
      <c r="H138" t="inlineStr">
        <is>
          <t>Joshua Creek Golf &amp; Tennis</t>
        </is>
      </c>
      <c r="I138" t="n">
        <v>35.2</v>
      </c>
      <c r="J138" s="4" t="n">
        <v>186</v>
      </c>
      <c r="K138" t="inlineStr">
        <is>
          <t>111 / 75</t>
        </is>
      </c>
      <c r="L138" t="inlineStr">
        <is>
          <t>11 / 12</t>
        </is>
      </c>
      <c r="M138" s="5" t="n">
        <v>0.6</v>
      </c>
      <c r="N138" s="5" t="n">
        <v>0.48</v>
      </c>
    </row>
    <row r="139">
      <c r="A139" t="n">
        <v>138</v>
      </c>
      <c r="B139" t="n">
        <v>2013</v>
      </c>
      <c r="C139" t="inlineStr">
        <is>
          <t>Leyan Isabella Yik Sum Leung</t>
        </is>
      </c>
      <c r="D139">
        <f>HYPERLINK("https://ota.tournamentsoftware.com/player-profile/7FB2D792-ABB2-4F05-B9D4-757321E9FA35", "Link")</f>
        <v/>
      </c>
      <c r="E139" s="3" t="n">
        <v>574.508</v>
      </c>
      <c r="F139" s="4" t="n">
        <v>19</v>
      </c>
      <c r="G139" t="inlineStr">
        <is>
          <t>British Columbia</t>
        </is>
      </c>
      <c r="H139" t="inlineStr">
        <is>
          <t>Vanguard Tennis Academy</t>
        </is>
      </c>
      <c r="I139" t="n">
        <v>34.3</v>
      </c>
      <c r="J139" s="4" t="n">
        <v>118</v>
      </c>
      <c r="K139" t="inlineStr">
        <is>
          <t>76 / 42</t>
        </is>
      </c>
      <c r="L139" t="inlineStr">
        <is>
          <t>26 / 14</t>
        </is>
      </c>
      <c r="M139" s="5" t="n">
        <v>0.64</v>
      </c>
      <c r="N139" s="5" t="n">
        <v>0.65</v>
      </c>
    </row>
    <row r="140">
      <c r="A140" t="n">
        <v>139</v>
      </c>
      <c r="B140" t="n">
        <v>2012</v>
      </c>
      <c r="C140" t="inlineStr">
        <is>
          <t>Caroline ChuYun Yang</t>
        </is>
      </c>
      <c r="D140">
        <f>HYPERLINK("https://ota.tournamentsoftware.com/player-profile/973A8D96-42F5-42BC-9DF2-0A195E1A983F", "Link")</f>
        <v/>
      </c>
      <c r="E140" s="3" t="n">
        <v>574.0700000000001</v>
      </c>
      <c r="F140" s="4" t="n">
        <v>22</v>
      </c>
      <c r="G140" t="inlineStr">
        <is>
          <t>British Columbia</t>
        </is>
      </c>
      <c r="H140" t="inlineStr">
        <is>
          <t>The Tennis Centre</t>
        </is>
      </c>
      <c r="I140" t="n">
        <v>34.5</v>
      </c>
      <c r="J140" s="4" t="n">
        <v>265</v>
      </c>
      <c r="K140" t="inlineStr">
        <is>
          <t>159 / 106</t>
        </is>
      </c>
      <c r="L140" t="inlineStr">
        <is>
          <t>27 / 20</t>
        </is>
      </c>
      <c r="M140" s="5" t="n">
        <v>0.6</v>
      </c>
      <c r="N140" s="5" t="n">
        <v>0.57</v>
      </c>
    </row>
    <row r="141">
      <c r="A141" t="n">
        <v>140</v>
      </c>
      <c r="B141" t="n">
        <v>2012</v>
      </c>
      <c r="C141" t="inlineStr">
        <is>
          <t>Madison Tam</t>
        </is>
      </c>
      <c r="D141">
        <f>HYPERLINK("https://ota.tournamentsoftware.com/player-profile/827C7FCD-2D7D-406E-B5C0-29D0720096DC", "Link")</f>
        <v/>
      </c>
      <c r="E141" s="3" t="n">
        <v>572.6</v>
      </c>
      <c r="F141" s="4" t="n">
        <v>24</v>
      </c>
      <c r="G141" t="inlineStr">
        <is>
          <t>Ontario Tennis Association</t>
        </is>
      </c>
      <c r="H141" t="inlineStr">
        <is>
          <t>Sir Winston Churchill Tennis Club</t>
        </is>
      </c>
      <c r="I141" t="n">
        <v>34.5</v>
      </c>
      <c r="J141" s="4" t="n">
        <v>435</v>
      </c>
      <c r="K141" t="inlineStr">
        <is>
          <t>311 / 124</t>
        </is>
      </c>
      <c r="L141" t="inlineStr">
        <is>
          <t>14 / 9</t>
        </is>
      </c>
      <c r="M141" s="5" t="n">
        <v>0.71</v>
      </c>
      <c r="N141" s="5" t="n">
        <v>0.61</v>
      </c>
    </row>
    <row r="142">
      <c r="A142" t="n">
        <v>141</v>
      </c>
      <c r="B142" t="n">
        <v>2012</v>
      </c>
      <c r="C142" t="inlineStr">
        <is>
          <t>Izibeyle Bhopal</t>
        </is>
      </c>
      <c r="D142">
        <f>HYPERLINK("https://ota.tournamentsoftware.com/player-profile/E9C7A60A-D097-4925-9456-764C57DCF01A", "Link")</f>
        <v/>
      </c>
      <c r="E142" s="3" t="n">
        <v>570.199</v>
      </c>
      <c r="F142" s="4" t="n">
        <v>4</v>
      </c>
      <c r="G142" t="inlineStr">
        <is>
          <t>British Columbia</t>
        </is>
      </c>
      <c r="H142" t="inlineStr">
        <is>
          <t>Bear Mountain Tennis Centre</t>
        </is>
      </c>
      <c r="I142" t="n">
        <v>31.3</v>
      </c>
      <c r="J142" s="4" t="n">
        <v>64</v>
      </c>
      <c r="K142" t="inlineStr">
        <is>
          <t>39 / 25</t>
        </is>
      </c>
      <c r="L142" t="inlineStr">
        <is>
          <t>4 / 0</t>
        </is>
      </c>
      <c r="M142" s="5" t="n">
        <v>0.61</v>
      </c>
      <c r="N142" s="5" t="n">
        <v>1</v>
      </c>
    </row>
    <row r="143">
      <c r="A143" t="n">
        <v>142</v>
      </c>
      <c r="B143" t="n">
        <v>2012</v>
      </c>
      <c r="C143" t="inlineStr">
        <is>
          <t>Alexandra Dorobantu</t>
        </is>
      </c>
      <c r="D143">
        <f>HYPERLINK("https://ota.tournamentsoftware.com/player-profile/CE7FB59F-F5CB-4CA3-A3EB-27DC05EB2B7D", "Link")</f>
        <v/>
      </c>
      <c r="E143" s="3" t="n">
        <v>568.771</v>
      </c>
      <c r="F143" s="4" t="n">
        <v>13</v>
      </c>
      <c r="G143" t="inlineStr">
        <is>
          <t>Tennis Alberta</t>
        </is>
      </c>
      <c r="H143" t="inlineStr">
        <is>
          <t>Saville Community Sports Centre</t>
        </is>
      </c>
      <c r="I143" t="inlineStr">
        <is>
          <t>unavailable</t>
        </is>
      </c>
      <c r="J143" s="4" t="n">
        <v>156</v>
      </c>
      <c r="K143" t="inlineStr">
        <is>
          <t>76 / 80</t>
        </is>
      </c>
      <c r="L143" t="inlineStr">
        <is>
          <t>14 / 17</t>
        </is>
      </c>
      <c r="M143" s="5" t="n">
        <v>0.49</v>
      </c>
      <c r="N143" s="5" t="n">
        <v>0.45</v>
      </c>
    </row>
    <row r="144">
      <c r="A144" t="n">
        <v>143</v>
      </c>
      <c r="B144" t="n">
        <v>2012</v>
      </c>
      <c r="C144" t="inlineStr">
        <is>
          <t>Anna Lucenti</t>
        </is>
      </c>
      <c r="D144">
        <f>HYPERLINK("https://ota.tournamentsoftware.com/player-profile/332E40CD-AB90-41CE-81C3-858501B2FAD3", "Link")</f>
        <v/>
      </c>
      <c r="E144" s="3" t="n">
        <v>559.466</v>
      </c>
      <c r="F144" s="4" t="n">
        <v>30</v>
      </c>
      <c r="G144" t="inlineStr">
        <is>
          <t>Ontario Tennis Association</t>
        </is>
      </c>
      <c r="H144" t="inlineStr">
        <is>
          <t>SmartVMC Racquetsports by ACE</t>
        </is>
      </c>
      <c r="I144" t="n">
        <v>35.7</v>
      </c>
      <c r="J144" s="4" t="n">
        <v>127</v>
      </c>
      <c r="K144" t="inlineStr">
        <is>
          <t>51 / 76</t>
        </is>
      </c>
      <c r="L144" t="inlineStr">
        <is>
          <t>18 / 13</t>
        </is>
      </c>
      <c r="M144" s="5" t="n">
        <v>0.4</v>
      </c>
      <c r="N144" s="5" t="n">
        <v>0.58</v>
      </c>
    </row>
    <row r="145">
      <c r="A145" t="n">
        <v>144</v>
      </c>
      <c r="B145" t="n">
        <v>2012</v>
      </c>
      <c r="C145" t="inlineStr">
        <is>
          <t>Emilie Chen</t>
        </is>
      </c>
      <c r="D145">
        <f>HYPERLINK("https://ota.tournamentsoftware.com/player-profile/829AD033-5D37-4AE8-9F34-8C50F25B20C3", "Link")</f>
        <v/>
      </c>
      <c r="E145" s="3" t="n">
        <v>558.1849999999999</v>
      </c>
      <c r="F145" s="4" t="n">
        <v>12</v>
      </c>
      <c r="G145" t="inlineStr">
        <is>
          <t>Ontario Tennis Association</t>
        </is>
      </c>
      <c r="H145" t="inlineStr">
        <is>
          <t>Toronto Cricket Skating &amp; Curling</t>
        </is>
      </c>
      <c r="I145" t="n">
        <v>33.3</v>
      </c>
      <c r="J145" s="4" t="n">
        <v>204</v>
      </c>
      <c r="K145" t="inlineStr">
        <is>
          <t>85 / 119</t>
        </is>
      </c>
      <c r="L145" t="inlineStr">
        <is>
          <t>8 / 7</t>
        </is>
      </c>
      <c r="M145" s="5" t="n">
        <v>0.42</v>
      </c>
      <c r="N145" s="5" t="n">
        <v>0.53</v>
      </c>
    </row>
    <row r="146">
      <c r="A146" t="n">
        <v>145</v>
      </c>
      <c r="B146" t="n">
        <v>2012</v>
      </c>
      <c r="C146" t="inlineStr">
        <is>
          <t>Riddhi Jha</t>
        </is>
      </c>
      <c r="D146">
        <f>HYPERLINK("https://ota.tournamentsoftware.com/player-profile/3B4B01BB-2AAD-49DD-B186-312576B12DC9", "Link")</f>
        <v/>
      </c>
      <c r="E146" s="3" t="n">
        <v>540.386</v>
      </c>
      <c r="F146" s="4" t="n">
        <v>11</v>
      </c>
      <c r="G146" t="inlineStr">
        <is>
          <t>Ontario Tennis Association</t>
        </is>
      </c>
      <c r="H146" t="inlineStr">
        <is>
          <t>Bramalea Tennis Club</t>
        </is>
      </c>
      <c r="I146" t="n">
        <v>36.1</v>
      </c>
      <c r="J146" s="4" t="n">
        <v>233</v>
      </c>
      <c r="K146" t="inlineStr">
        <is>
          <t>85 / 148</t>
        </is>
      </c>
      <c r="L146" t="inlineStr">
        <is>
          <t>14 / 7</t>
        </is>
      </c>
      <c r="M146" s="5" t="n">
        <v>0.36</v>
      </c>
      <c r="N146" s="5" t="n">
        <v>0.67</v>
      </c>
    </row>
    <row r="147">
      <c r="A147" t="n">
        <v>146</v>
      </c>
      <c r="B147" t="n">
        <v>2014</v>
      </c>
      <c r="C147" t="inlineStr">
        <is>
          <t>Alice Yu-Qi Ren</t>
        </is>
      </c>
      <c r="D147">
        <f>HYPERLINK("https://ota.tournamentsoftware.com/player-profile/FE127D3B-825E-4C4F-9666-BA4529348FE4", "Link")</f>
        <v/>
      </c>
      <c r="E147" s="3" t="n">
        <v>535.64</v>
      </c>
      <c r="F147" s="4" t="n">
        <v>18</v>
      </c>
      <c r="G147" t="inlineStr">
        <is>
          <t>Tennis Alberta</t>
        </is>
      </c>
      <c r="H147" t="inlineStr">
        <is>
          <t>Saville Community Sports Centre</t>
        </is>
      </c>
      <c r="I147" t="n">
        <v>33.9</v>
      </c>
      <c r="J147" s="4" t="n">
        <v>201</v>
      </c>
      <c r="K147" t="inlineStr">
        <is>
          <t>138 / 63</t>
        </is>
      </c>
      <c r="L147" t="inlineStr">
        <is>
          <t>35 / 14</t>
        </is>
      </c>
      <c r="M147" s="5" t="n">
        <v>0.6899999999999999</v>
      </c>
      <c r="N147" s="5" t="n">
        <v>0.71</v>
      </c>
    </row>
    <row r="148">
      <c r="A148" t="n">
        <v>147</v>
      </c>
      <c r="B148" t="n">
        <v>2012</v>
      </c>
      <c r="C148" t="inlineStr">
        <is>
          <t>Yuehan DONG</t>
        </is>
      </c>
      <c r="D148">
        <f>HYPERLINK("https://ota.tournamentsoftware.com/player-profile/F5996998-771E-46C9-A222-1C90911DD4C3", "Link")</f>
        <v/>
      </c>
      <c r="E148" s="3" t="n">
        <v>534.77</v>
      </c>
      <c r="F148" s="4" t="n">
        <v>31</v>
      </c>
      <c r="G148" t="inlineStr">
        <is>
          <t>Ontario Tennis Association</t>
        </is>
      </c>
      <c r="H148" t="inlineStr">
        <is>
          <t>Fainblum Tennis Academy</t>
        </is>
      </c>
      <c r="I148" t="n">
        <v>36.8</v>
      </c>
      <c r="J148" s="4" t="n">
        <v>125</v>
      </c>
      <c r="K148" t="inlineStr">
        <is>
          <t>56 / 69</t>
        </is>
      </c>
      <c r="L148" t="inlineStr">
        <is>
          <t>8 / 18</t>
        </is>
      </c>
      <c r="M148" s="5" t="n">
        <v>0.45</v>
      </c>
      <c r="N148" s="5" t="n">
        <v>0.31</v>
      </c>
    </row>
    <row r="149">
      <c r="A149" t="n">
        <v>148</v>
      </c>
      <c r="B149" t="n">
        <v>2015</v>
      </c>
      <c r="C149" t="inlineStr">
        <is>
          <t>Amy Jiao</t>
        </is>
      </c>
      <c r="D149">
        <f>HYPERLINK("https://ota.tournamentsoftware.com/player-profile/5977984B-8EC9-4812-BCFA-CD93C4FFD7AF", "Link")</f>
        <v/>
      </c>
      <c r="E149" s="3" t="n">
        <v>533.683</v>
      </c>
      <c r="F149" s="4" t="n">
        <v>21</v>
      </c>
      <c r="G149" t="inlineStr">
        <is>
          <t>Ontario Tennis Association</t>
        </is>
      </c>
      <c r="H149" t="inlineStr">
        <is>
          <t>Rideau Sports Centre</t>
        </is>
      </c>
      <c r="I149" t="n">
        <v>35</v>
      </c>
      <c r="J149" s="4" t="n">
        <v>281</v>
      </c>
      <c r="K149" t="inlineStr">
        <is>
          <t>157 / 124</t>
        </is>
      </c>
      <c r="L149" t="inlineStr">
        <is>
          <t>38 / 22</t>
        </is>
      </c>
      <c r="M149" s="5" t="n">
        <v>0.5600000000000001</v>
      </c>
      <c r="N149" s="5" t="n">
        <v>0.63</v>
      </c>
    </row>
    <row r="150">
      <c r="A150" t="n">
        <v>149</v>
      </c>
      <c r="B150" t="n">
        <v>2012</v>
      </c>
      <c r="C150" t="inlineStr">
        <is>
          <t>Marisol Hilal</t>
        </is>
      </c>
      <c r="D150">
        <f>HYPERLINK("https://ota.tournamentsoftware.com/player-profile/A59841ED-F3F4-4773-A197-5502453988FE", "Link")</f>
        <v/>
      </c>
      <c r="E150" s="3" t="n">
        <v>532.003</v>
      </c>
      <c r="F150" s="4" t="n">
        <v>30</v>
      </c>
      <c r="G150" t="inlineStr">
        <is>
          <t>Tennis Québec</t>
        </is>
      </c>
      <c r="H150" t="inlineStr">
        <is>
          <t>Carrefour Multisports</t>
        </is>
      </c>
      <c r="I150" t="n">
        <v>35.8</v>
      </c>
      <c r="J150" s="4" t="n">
        <v>279</v>
      </c>
      <c r="K150" t="inlineStr">
        <is>
          <t>112 / 167</t>
        </is>
      </c>
      <c r="L150" t="inlineStr">
        <is>
          <t>15 / 22</t>
        </is>
      </c>
      <c r="M150" s="5" t="n">
        <v>0.4</v>
      </c>
      <c r="N150" s="5" t="n">
        <v>0.41</v>
      </c>
    </row>
    <row r="151">
      <c r="A151" t="n">
        <v>150</v>
      </c>
      <c r="B151" t="n">
        <v>2012</v>
      </c>
      <c r="C151" t="inlineStr">
        <is>
          <t>Emma Sun</t>
        </is>
      </c>
      <c r="D151">
        <f>HYPERLINK("https://ota.tournamentsoftware.com/player-profile/00B8EFA4-17DF-49B4-90DE-B5A577BC8620", "Link")</f>
        <v/>
      </c>
      <c r="E151" s="3" t="n">
        <v>530.172</v>
      </c>
      <c r="F151" s="4" t="n">
        <v>17</v>
      </c>
      <c r="G151" t="inlineStr">
        <is>
          <t>British Columbia</t>
        </is>
      </c>
      <c r="H151" t="inlineStr">
        <is>
          <t>The Tennis Centre</t>
        </is>
      </c>
      <c r="I151" t="n">
        <v>34.6</v>
      </c>
      <c r="J151" s="4" t="n">
        <v>258</v>
      </c>
      <c r="K151" t="inlineStr">
        <is>
          <t>123 / 135</t>
        </is>
      </c>
      <c r="L151" t="inlineStr">
        <is>
          <t>14 / 14</t>
        </is>
      </c>
      <c r="M151" s="5" t="n">
        <v>0.48</v>
      </c>
      <c r="N151" s="5" t="n">
        <v>0.5</v>
      </c>
    </row>
    <row r="152">
      <c r="A152" t="n">
        <v>151</v>
      </c>
      <c r="B152" t="n">
        <v>2014</v>
      </c>
      <c r="C152" t="inlineStr">
        <is>
          <t>Fengfei ZHANG</t>
        </is>
      </c>
      <c r="D152">
        <f>HYPERLINK("https://ota.tournamentsoftware.com/player-profile/AB18AFB2-DEDF-42AF-BFB1-458553AF250C", "Link")</f>
        <v/>
      </c>
      <c r="E152" s="3" t="n">
        <v>529.083</v>
      </c>
      <c r="F152" s="4" t="n">
        <v>26</v>
      </c>
      <c r="G152" t="inlineStr">
        <is>
          <t>Tennis Québec</t>
        </is>
      </c>
      <c r="H152" t="inlineStr">
        <is>
          <t>Tennis Ile- des- Soeurs</t>
        </is>
      </c>
      <c r="I152" t="n">
        <v>35.9</v>
      </c>
      <c r="J152" s="4" t="n">
        <v>219</v>
      </c>
      <c r="K152" t="inlineStr">
        <is>
          <t>94 / 125</t>
        </is>
      </c>
      <c r="L152" t="inlineStr">
        <is>
          <t>28 / 26</t>
        </is>
      </c>
      <c r="M152" s="5" t="n">
        <v>0.43</v>
      </c>
      <c r="N152" s="5" t="n">
        <v>0.52</v>
      </c>
    </row>
    <row r="153">
      <c r="A153" t="n">
        <v>152</v>
      </c>
      <c r="B153" t="n">
        <v>2015</v>
      </c>
      <c r="C153" t="inlineStr">
        <is>
          <t>Alexia Djomo</t>
        </is>
      </c>
      <c r="D153">
        <f>HYPERLINK("https://ota.tournamentsoftware.com/player-profile/DCE433A3-22C1-4484-BA5B-62931094794E", "Link")</f>
        <v/>
      </c>
      <c r="E153" s="3" t="n">
        <v>529.005</v>
      </c>
      <c r="F153" s="4" t="n">
        <v>12</v>
      </c>
      <c r="G153" t="inlineStr">
        <is>
          <t>Tennis Manitoba</t>
        </is>
      </c>
      <c r="H153" t="inlineStr">
        <is>
          <t>Winnipeg Winter Club</t>
        </is>
      </c>
      <c r="I153" t="n">
        <v>37.5</v>
      </c>
      <c r="J153" s="4" t="n">
        <v>72</v>
      </c>
      <c r="K153" t="inlineStr">
        <is>
          <t>30 / 42</t>
        </is>
      </c>
      <c r="L153" t="inlineStr">
        <is>
          <t>23 / 23</t>
        </is>
      </c>
      <c r="M153" s="5" t="n">
        <v>0.42</v>
      </c>
      <c r="N153" s="5" t="n">
        <v>0.5</v>
      </c>
    </row>
    <row r="154">
      <c r="A154" t="n">
        <v>153</v>
      </c>
      <c r="B154" t="n">
        <v>2014</v>
      </c>
      <c r="C154" t="inlineStr">
        <is>
          <t>Sophie Lu</t>
        </is>
      </c>
      <c r="D154">
        <f>HYPERLINK("https://ota.tournamentsoftware.com/player-profile/5C3C8ABA-3BF6-4232-B65C-B26C16207D0A", "Link")</f>
        <v/>
      </c>
      <c r="E154" s="3" t="n">
        <v>528.918</v>
      </c>
      <c r="F154" s="4" t="n">
        <v>19</v>
      </c>
      <c r="G154" t="inlineStr">
        <is>
          <t>Tennis Québec</t>
        </is>
      </c>
      <c r="H154" t="inlineStr">
        <is>
          <t>Tennis Ile- des- Soeurs</t>
        </is>
      </c>
      <c r="I154" t="inlineStr">
        <is>
          <t>unavailable</t>
        </is>
      </c>
      <c r="J154" s="4" t="n">
        <v>203</v>
      </c>
      <c r="K154" t="inlineStr">
        <is>
          <t>104 / 99</t>
        </is>
      </c>
      <c r="L154" t="inlineStr">
        <is>
          <t>33 / 20</t>
        </is>
      </c>
      <c r="M154" s="5" t="n">
        <v>0.51</v>
      </c>
      <c r="N154" s="5" t="n">
        <v>0.62</v>
      </c>
    </row>
    <row r="155">
      <c r="A155" t="n">
        <v>154</v>
      </c>
      <c r="B155" t="n">
        <v>2014</v>
      </c>
      <c r="C155" t="inlineStr">
        <is>
          <t>Charlie Thomas-Simard</t>
        </is>
      </c>
      <c r="D155">
        <f>HYPERLINK("https://ota.tournamentsoftware.com/player-profile/E101E3D0-39D8-4861-AB44-D9BE1C346E1E", "Link")</f>
        <v/>
      </c>
      <c r="E155" s="3" t="n">
        <v>528.784</v>
      </c>
      <c r="F155" s="4" t="n">
        <v>23</v>
      </c>
      <c r="G155" t="inlineStr">
        <is>
          <t>Tennis Québec</t>
        </is>
      </c>
      <c r="H155" t="inlineStr">
        <is>
          <t>Club Avantage Multi-sports / Académie de tennis Hérisset Bordeleau</t>
        </is>
      </c>
      <c r="I155" t="n">
        <v>35.9</v>
      </c>
      <c r="J155" s="4" t="n">
        <v>114</v>
      </c>
      <c r="K155" t="inlineStr">
        <is>
          <t>64 / 50</t>
        </is>
      </c>
      <c r="L155" t="inlineStr">
        <is>
          <t>28 / 22</t>
        </is>
      </c>
      <c r="M155" s="5" t="n">
        <v>0.5600000000000001</v>
      </c>
      <c r="N155" s="5" t="n">
        <v>0.5600000000000001</v>
      </c>
    </row>
    <row r="156">
      <c r="A156" t="n">
        <v>155</v>
      </c>
      <c r="B156" t="n">
        <v>2013</v>
      </c>
      <c r="C156" t="inlineStr">
        <is>
          <t>Sonya Notta</t>
        </is>
      </c>
      <c r="D156">
        <f>HYPERLINK("https://ota.tournamentsoftware.com/player-profile/6AF626BE-D8F1-4939-AF03-813D0A17EE25", "Link")</f>
        <v/>
      </c>
      <c r="E156" s="3" t="n">
        <v>527.968</v>
      </c>
      <c r="F156" s="4" t="n">
        <v>10</v>
      </c>
      <c r="G156" t="inlineStr">
        <is>
          <t>Ontario Tennis Association</t>
        </is>
      </c>
      <c r="H156" t="inlineStr">
        <is>
          <t>Mayfair East Racquet Club</t>
        </is>
      </c>
      <c r="I156" t="inlineStr">
        <is>
          <t>unavailable</t>
        </is>
      </c>
      <c r="J156" s="4" t="n">
        <v>76</v>
      </c>
      <c r="K156" t="inlineStr">
        <is>
          <t>51 / 25</t>
        </is>
      </c>
      <c r="L156" t="inlineStr">
        <is>
          <t>8 / 3</t>
        </is>
      </c>
      <c r="M156" s="5" t="n">
        <v>0.67</v>
      </c>
      <c r="N156" s="5" t="n">
        <v>0.73</v>
      </c>
    </row>
    <row r="157">
      <c r="A157" t="n">
        <v>156</v>
      </c>
      <c r="B157" t="n">
        <v>2012</v>
      </c>
      <c r="C157" t="inlineStr">
        <is>
          <t>Lourdes Valentina Haun</t>
        </is>
      </c>
      <c r="D157">
        <f>HYPERLINK("https://ota.tournamentsoftware.com/player-profile/97D1640C-AAFD-43B2-8C9A-BAA1649A3937", "Link")</f>
        <v/>
      </c>
      <c r="E157" s="3" t="n">
        <v>527.521</v>
      </c>
      <c r="F157" s="4" t="n">
        <v>13</v>
      </c>
      <c r="G157" t="inlineStr">
        <is>
          <t>Tennis Alberta</t>
        </is>
      </c>
      <c r="H157" t="inlineStr">
        <is>
          <t>Osten &amp; Victor Alberta Tennis Centre</t>
        </is>
      </c>
      <c r="I157" t="n">
        <v>32.4</v>
      </c>
      <c r="J157" s="4" t="n">
        <v>286</v>
      </c>
      <c r="K157" t="inlineStr">
        <is>
          <t>169 / 117</t>
        </is>
      </c>
      <c r="L157" t="inlineStr">
        <is>
          <t>20 / 11</t>
        </is>
      </c>
      <c r="M157" s="5" t="n">
        <v>0.59</v>
      </c>
      <c r="N157" s="5" t="n">
        <v>0.65</v>
      </c>
    </row>
    <row r="158">
      <c r="A158" t="n">
        <v>157</v>
      </c>
      <c r="B158" t="n">
        <v>2012</v>
      </c>
      <c r="C158" t="inlineStr">
        <is>
          <t>Meeth Kaur Rai</t>
        </is>
      </c>
      <c r="D158">
        <f>HYPERLINK("https://ota.tournamentsoftware.com/player-profile/3C191393-570A-4DF7-80D4-0613143CE54B", "Link")</f>
        <v/>
      </c>
      <c r="E158" s="3" t="n">
        <v>522.904</v>
      </c>
      <c r="F158" s="4" t="n">
        <v>20</v>
      </c>
      <c r="G158" t="inlineStr">
        <is>
          <t>British Columbia</t>
        </is>
      </c>
      <c r="H158" t="inlineStr">
        <is>
          <t>No Club</t>
        </is>
      </c>
      <c r="I158" t="n">
        <v>35.1</v>
      </c>
      <c r="J158" s="4" t="n">
        <v>221</v>
      </c>
      <c r="K158" t="inlineStr">
        <is>
          <t>121 / 100</t>
        </is>
      </c>
      <c r="L158" t="inlineStr">
        <is>
          <t>11 / 23</t>
        </is>
      </c>
      <c r="M158" s="5" t="n">
        <v>0.55</v>
      </c>
      <c r="N158" s="5" t="n">
        <v>0.32</v>
      </c>
    </row>
    <row r="159">
      <c r="A159" t="n">
        <v>158</v>
      </c>
      <c r="B159" t="n">
        <v>2013</v>
      </c>
      <c r="C159" t="inlineStr">
        <is>
          <t>Natalia Sena</t>
        </is>
      </c>
      <c r="D159">
        <f>HYPERLINK("https://ota.tournamentsoftware.com/player-profile/D89592D5-D2EA-499E-9A9C-8B20B391C761", "Link")</f>
        <v/>
      </c>
      <c r="E159" s="3" t="n">
        <v>521.412</v>
      </c>
      <c r="F159" s="4" t="n">
        <v>26</v>
      </c>
      <c r="G159" t="inlineStr">
        <is>
          <t>Tennis Québec</t>
        </is>
      </c>
      <c r="H159" t="inlineStr">
        <is>
          <t>No Club</t>
        </is>
      </c>
      <c r="I159" t="n">
        <v>35.5</v>
      </c>
      <c r="J159" s="4" t="n">
        <v>77</v>
      </c>
      <c r="K159" t="inlineStr">
        <is>
          <t>37 / 40</t>
        </is>
      </c>
      <c r="L159" t="inlineStr">
        <is>
          <t>18 / 11</t>
        </is>
      </c>
      <c r="M159" s="5" t="n">
        <v>0.48</v>
      </c>
      <c r="N159" s="5" t="n">
        <v>0.62</v>
      </c>
    </row>
    <row r="160">
      <c r="A160" t="n">
        <v>159</v>
      </c>
      <c r="B160" t="n">
        <v>2012</v>
      </c>
      <c r="C160" t="inlineStr">
        <is>
          <t>Chloe Fischer</t>
        </is>
      </c>
      <c r="D160">
        <f>HYPERLINK("https://ota.tournamentsoftware.com/player-profile/4F19921D-D25C-4DFA-8A7D-90DE48FEB722", "Link")</f>
        <v/>
      </c>
      <c r="E160" s="3" t="n">
        <v>518.341</v>
      </c>
      <c r="F160" s="4" t="n">
        <v>26</v>
      </c>
      <c r="G160" t="inlineStr">
        <is>
          <t>Ontario Tennis Association</t>
        </is>
      </c>
      <c r="H160" t="inlineStr">
        <is>
          <t>No Club</t>
        </is>
      </c>
      <c r="I160" t="n">
        <v>38.3</v>
      </c>
      <c r="J160" s="4" t="n">
        <v>213</v>
      </c>
      <c r="K160" t="inlineStr">
        <is>
          <t>99 / 114</t>
        </is>
      </c>
      <c r="L160" t="inlineStr">
        <is>
          <t>5 / 20</t>
        </is>
      </c>
      <c r="M160" s="5" t="n">
        <v>0.46</v>
      </c>
      <c r="N160" s="5" t="n">
        <v>0.2</v>
      </c>
    </row>
    <row r="161">
      <c r="A161" t="n">
        <v>160</v>
      </c>
      <c r="B161" t="n">
        <v>2014</v>
      </c>
      <c r="C161" t="inlineStr">
        <is>
          <t>Michelle Zhang</t>
        </is>
      </c>
      <c r="D161">
        <f>HYPERLINK("https://ota.tournamentsoftware.com/player-profile/9912697B-2876-4A36-8F98-3B7F524694E1", "Link")</f>
        <v/>
      </c>
      <c r="E161" s="3" t="n">
        <v>514.627</v>
      </c>
      <c r="F161" s="4" t="n">
        <v>10</v>
      </c>
      <c r="G161" t="inlineStr">
        <is>
          <t>Tennis Nova Scotia</t>
        </is>
      </c>
      <c r="H161" t="inlineStr">
        <is>
          <t>Atlantic Tennis Centre</t>
        </is>
      </c>
      <c r="I161" t="n">
        <v>35.2</v>
      </c>
      <c r="J161" s="4" t="n">
        <v>144</v>
      </c>
      <c r="K161" t="inlineStr">
        <is>
          <t>85 / 59</t>
        </is>
      </c>
      <c r="L161" t="inlineStr">
        <is>
          <t>23 / 18</t>
        </is>
      </c>
      <c r="M161" s="5" t="n">
        <v>0.59</v>
      </c>
      <c r="N161" s="5" t="n">
        <v>0.5600000000000001</v>
      </c>
    </row>
    <row r="162">
      <c r="A162" t="n">
        <v>161</v>
      </c>
      <c r="B162" t="n">
        <v>2014</v>
      </c>
      <c r="C162" t="inlineStr">
        <is>
          <t>Laetitia Thuy Van Nguyen</t>
        </is>
      </c>
      <c r="D162">
        <f>HYPERLINK("https://ota.tournamentsoftware.com/player-profile/B151CB64-D12D-48B2-8087-4EABB50157E8", "Link")</f>
        <v/>
      </c>
      <c r="E162" s="3" t="n">
        <v>508.37</v>
      </c>
      <c r="F162" s="4" t="n">
        <v>22</v>
      </c>
      <c r="G162" t="inlineStr">
        <is>
          <t>Tennis Québec</t>
        </is>
      </c>
      <c r="H162" t="inlineStr">
        <is>
          <t>Tennis Outaouais Performance (TOP)</t>
        </is>
      </c>
      <c r="I162" t="n">
        <v>35</v>
      </c>
      <c r="J162" s="4" t="n">
        <v>210</v>
      </c>
      <c r="K162" t="inlineStr">
        <is>
          <t>116 / 94</t>
        </is>
      </c>
      <c r="L162" t="inlineStr">
        <is>
          <t>30 / 19</t>
        </is>
      </c>
      <c r="M162" s="5" t="n">
        <v>0.55</v>
      </c>
      <c r="N162" s="5" t="n">
        <v>0.61</v>
      </c>
    </row>
    <row r="163">
      <c r="A163" t="n">
        <v>162</v>
      </c>
      <c r="B163" t="n">
        <v>2015</v>
      </c>
      <c r="C163" t="inlineStr">
        <is>
          <t>Grace Wang</t>
        </is>
      </c>
      <c r="D163">
        <f>HYPERLINK("https://ota.tournamentsoftware.com/player-profile/2F68C1DC-1A19-4E3A-AF58-6DC4541843F2", "Link")</f>
        <v/>
      </c>
      <c r="E163" s="3" t="n">
        <v>502.704</v>
      </c>
      <c r="F163" s="4" t="n">
        <v>25</v>
      </c>
      <c r="G163" t="inlineStr">
        <is>
          <t>British Columbia</t>
        </is>
      </c>
      <c r="H163" t="inlineStr">
        <is>
          <t>The Tennis Centre</t>
        </is>
      </c>
      <c r="I163" t="n">
        <v>35.2</v>
      </c>
      <c r="J163" s="4" t="n">
        <v>230</v>
      </c>
      <c r="K163" t="inlineStr">
        <is>
          <t>138 / 92</t>
        </is>
      </c>
      <c r="L163" t="inlineStr">
        <is>
          <t>37 / 19</t>
        </is>
      </c>
      <c r="M163" s="5" t="n">
        <v>0.6</v>
      </c>
      <c r="N163" s="5" t="n">
        <v>0.66</v>
      </c>
    </row>
    <row r="164">
      <c r="A164" t="n">
        <v>163</v>
      </c>
      <c r="B164" t="n">
        <v>2015</v>
      </c>
      <c r="C164" t="inlineStr">
        <is>
          <t>Abbey Crump</t>
        </is>
      </c>
      <c r="D164">
        <f>HYPERLINK("https://ota.tournamentsoftware.com/player-profile/92F0423F-2B57-40B1-A6AA-5C7DC6477800", "Link")</f>
        <v/>
      </c>
      <c r="E164" s="3" t="n">
        <v>493.889</v>
      </c>
      <c r="F164" s="4" t="n">
        <v>16</v>
      </c>
      <c r="G164" t="inlineStr">
        <is>
          <t>Ontario Tennis Association</t>
        </is>
      </c>
      <c r="H164" t="inlineStr">
        <is>
          <t>Joshua Creek Golf &amp; Tennis</t>
        </is>
      </c>
      <c r="I164" t="n">
        <v>35</v>
      </c>
      <c r="J164" s="4" t="n">
        <v>146</v>
      </c>
      <c r="K164" t="inlineStr">
        <is>
          <t>120 / 26</t>
        </is>
      </c>
      <c r="L164" t="inlineStr">
        <is>
          <t>28 / 15</t>
        </is>
      </c>
      <c r="M164" s="5" t="n">
        <v>0.82</v>
      </c>
      <c r="N164" s="5" t="n">
        <v>0.65</v>
      </c>
    </row>
    <row r="165">
      <c r="A165" t="n">
        <v>164</v>
      </c>
      <c r="B165" t="n">
        <v>2012</v>
      </c>
      <c r="C165" t="inlineStr">
        <is>
          <t>Maya Sophia Abdullah</t>
        </is>
      </c>
      <c r="D165">
        <f>HYPERLINK("https://ota.tournamentsoftware.com/player-profile/6169AD2A-5AC2-4220-8B87-C5D54BAF6AD4", "Link")</f>
        <v/>
      </c>
      <c r="E165" s="3" t="n">
        <v>485.934</v>
      </c>
      <c r="F165" s="4" t="n">
        <v>19</v>
      </c>
      <c r="G165" t="inlineStr">
        <is>
          <t>Tennis Alberta</t>
        </is>
      </c>
      <c r="H165" t="inlineStr">
        <is>
          <t>Aforza</t>
        </is>
      </c>
      <c r="I165" t="n">
        <v>36.6</v>
      </c>
      <c r="J165" s="4" t="n">
        <v>58</v>
      </c>
      <c r="K165" t="inlineStr">
        <is>
          <t>28 / 30</t>
        </is>
      </c>
      <c r="L165" t="inlineStr">
        <is>
          <t>16 / 18</t>
        </is>
      </c>
      <c r="M165" s="5" t="n">
        <v>0.48</v>
      </c>
      <c r="N165" s="5" t="n">
        <v>0.47</v>
      </c>
    </row>
    <row r="166">
      <c r="A166" t="n">
        <v>165</v>
      </c>
      <c r="B166" t="n">
        <v>2013</v>
      </c>
      <c r="C166" t="inlineStr">
        <is>
          <t>Melanie Moon</t>
        </is>
      </c>
      <c r="D166">
        <f>HYPERLINK("https://ota.tournamentsoftware.com/player-profile/90FC60A1-D48C-4A9A-97D8-A17B60CF6D4A", "Link")</f>
        <v/>
      </c>
      <c r="E166" s="3" t="n">
        <v>483.719</v>
      </c>
      <c r="F166" s="4" t="n">
        <v>15</v>
      </c>
      <c r="G166" t="inlineStr">
        <is>
          <t>British Columbia</t>
        </is>
      </c>
      <c r="H166" t="inlineStr">
        <is>
          <t>Vancouver Lawn Tennis and Badminton Club</t>
        </is>
      </c>
      <c r="I166" t="n">
        <v>35</v>
      </c>
      <c r="J166" s="4" t="n">
        <v>232</v>
      </c>
      <c r="K166" t="inlineStr">
        <is>
          <t>115 / 117</t>
        </is>
      </c>
      <c r="L166" t="inlineStr">
        <is>
          <t>6 / 17</t>
        </is>
      </c>
      <c r="M166" s="5" t="n">
        <v>0.5</v>
      </c>
      <c r="N166" s="5" t="n">
        <v>0.26</v>
      </c>
    </row>
    <row r="167">
      <c r="A167" t="n">
        <v>166</v>
      </c>
      <c r="B167" t="n">
        <v>2013</v>
      </c>
      <c r="C167" t="inlineStr">
        <is>
          <t>Alexandra Choe</t>
        </is>
      </c>
      <c r="D167">
        <f>HYPERLINK("https://ota.tournamentsoftware.com/player-profile/0BFF8F09-A612-40D9-B491-E305A472672B", "Link")</f>
        <v/>
      </c>
      <c r="E167" s="3" t="n">
        <v>481.947</v>
      </c>
      <c r="F167" s="4" t="n">
        <v>20</v>
      </c>
      <c r="G167" t="inlineStr">
        <is>
          <t>Ontario Tennis Association</t>
        </is>
      </c>
      <c r="H167" t="inlineStr">
        <is>
          <t>Joshua Creek Golf &amp; Tennis</t>
        </is>
      </c>
      <c r="I167" t="n">
        <v>34.9</v>
      </c>
      <c r="J167" s="4" t="n">
        <v>221</v>
      </c>
      <c r="K167" t="inlineStr">
        <is>
          <t>135 / 86</t>
        </is>
      </c>
      <c r="L167" t="inlineStr">
        <is>
          <t>8 / 4</t>
        </is>
      </c>
      <c r="M167" s="5" t="n">
        <v>0.61</v>
      </c>
      <c r="N167" s="5" t="n">
        <v>0.67</v>
      </c>
    </row>
    <row r="168">
      <c r="A168" t="n">
        <v>167</v>
      </c>
      <c r="B168" t="n">
        <v>2012</v>
      </c>
      <c r="C168" t="inlineStr">
        <is>
          <t>Margot de Candé</t>
        </is>
      </c>
      <c r="D168">
        <f>HYPERLINK("https://ota.tournamentsoftware.com/player-profile/695315EE-6360-44B7-9352-E2A867A09DAD", "Link")</f>
        <v/>
      </c>
      <c r="E168" s="3" t="n">
        <v>478.435</v>
      </c>
      <c r="F168" s="4" t="n">
        <v>13</v>
      </c>
      <c r="G168" t="inlineStr">
        <is>
          <t>Tennis Québec</t>
        </is>
      </c>
      <c r="H168" t="inlineStr">
        <is>
          <t>Tennis Ile- des- Soeurs</t>
        </is>
      </c>
      <c r="I168" t="n">
        <v>35.4</v>
      </c>
      <c r="J168" s="4" t="n">
        <v>110</v>
      </c>
      <c r="K168" t="inlineStr">
        <is>
          <t>52 / 58</t>
        </is>
      </c>
      <c r="L168" t="inlineStr">
        <is>
          <t>12 / 3</t>
        </is>
      </c>
      <c r="M168" s="5" t="n">
        <v>0.47</v>
      </c>
      <c r="N168" s="5" t="n">
        <v>0.8</v>
      </c>
    </row>
    <row r="169">
      <c r="A169" t="n">
        <v>168</v>
      </c>
      <c r="B169" t="n">
        <v>2012</v>
      </c>
      <c r="C169" t="inlineStr">
        <is>
          <t>Ella Zhao</t>
        </is>
      </c>
      <c r="D169">
        <f>HYPERLINK("https://ota.tournamentsoftware.com/player-profile/4CFC4B61-0F67-4AD7-8CC6-03CC7A224737", "Link")</f>
        <v/>
      </c>
      <c r="E169" s="3" t="n">
        <v>469.642</v>
      </c>
      <c r="F169" s="4" t="n">
        <v>11</v>
      </c>
      <c r="G169" t="inlineStr">
        <is>
          <t>British Columbia</t>
        </is>
      </c>
      <c r="H169" t="inlineStr">
        <is>
          <t>North Shore Winter Club</t>
        </is>
      </c>
      <c r="I169" t="n">
        <v>32.9</v>
      </c>
      <c r="J169" s="4" t="n">
        <v>121</v>
      </c>
      <c r="K169" t="inlineStr">
        <is>
          <t>89 / 32</t>
        </is>
      </c>
      <c r="L169" t="inlineStr">
        <is>
          <t>9 / 7</t>
        </is>
      </c>
      <c r="M169" s="5" t="n">
        <v>0.74</v>
      </c>
      <c r="N169" s="5" t="n">
        <v>0.5600000000000001</v>
      </c>
    </row>
    <row r="170">
      <c r="A170" t="n">
        <v>169</v>
      </c>
      <c r="B170" t="n">
        <v>2012</v>
      </c>
      <c r="C170" t="inlineStr">
        <is>
          <t>Daniella Kulemin</t>
        </is>
      </c>
      <c r="D170">
        <f>HYPERLINK("https://ota.tournamentsoftware.com/player-profile/665847C2-A172-4164-B9E1-C1030269B793", "Link")</f>
        <v/>
      </c>
      <c r="E170" s="3" t="n">
        <v>464.042</v>
      </c>
      <c r="F170" s="4" t="n">
        <v>18</v>
      </c>
      <c r="G170" t="inlineStr">
        <is>
          <t>Ontario Tennis Association</t>
        </is>
      </c>
      <c r="H170" t="inlineStr">
        <is>
          <t>Concord Tennis Academy</t>
        </is>
      </c>
      <c r="I170" t="n">
        <v>36</v>
      </c>
      <c r="J170" s="4" t="n">
        <v>52</v>
      </c>
      <c r="K170" t="inlineStr">
        <is>
          <t>25 / 27</t>
        </is>
      </c>
      <c r="L170" t="inlineStr">
        <is>
          <t>15 / 13</t>
        </is>
      </c>
      <c r="M170" s="5" t="n">
        <v>0.48</v>
      </c>
      <c r="N170" s="5" t="n">
        <v>0.54</v>
      </c>
    </row>
    <row r="171">
      <c r="A171" t="n">
        <v>170</v>
      </c>
      <c r="B171" t="n">
        <v>2013</v>
      </c>
      <c r="C171" t="inlineStr">
        <is>
          <t>Isidora Trkulja</t>
        </is>
      </c>
      <c r="D171">
        <f>HYPERLINK("https://ota.tournamentsoftware.com/player-profile/1A3F3EE8-FB93-483C-A52C-E761E6FA42CE", "Link")</f>
        <v/>
      </c>
      <c r="E171" s="3" t="n">
        <v>458.3</v>
      </c>
      <c r="F171" s="4" t="n">
        <v>9</v>
      </c>
      <c r="G171" t="inlineStr">
        <is>
          <t>Tennis Alberta</t>
        </is>
      </c>
      <c r="H171" t="inlineStr">
        <is>
          <t>Saville Community Sports Centre</t>
        </is>
      </c>
      <c r="I171" t="n">
        <v>32.9</v>
      </c>
      <c r="J171" s="4" t="n">
        <v>194</v>
      </c>
      <c r="K171" t="inlineStr">
        <is>
          <t>125 / 69</t>
        </is>
      </c>
      <c r="L171" t="inlineStr">
        <is>
          <t>8 / 6</t>
        </is>
      </c>
      <c r="M171" s="5" t="n">
        <v>0.64</v>
      </c>
      <c r="N171" s="5" t="n">
        <v>0.57</v>
      </c>
    </row>
    <row r="172">
      <c r="A172" t="n">
        <v>171</v>
      </c>
      <c r="B172" t="n">
        <v>2012</v>
      </c>
      <c r="C172" t="inlineStr">
        <is>
          <t>Tiffany Ren Jun Cao</t>
        </is>
      </c>
      <c r="D172">
        <f>HYPERLINK("https://ota.tournamentsoftware.com/player-profile/07B17DA5-DD47-4C90-B575-478C58AD7465", "Link")</f>
        <v/>
      </c>
      <c r="E172" s="3" t="n">
        <v>453.144</v>
      </c>
      <c r="F172" s="4" t="n">
        <v>25</v>
      </c>
      <c r="G172" t="inlineStr">
        <is>
          <t>British Columbia</t>
        </is>
      </c>
      <c r="H172" t="inlineStr">
        <is>
          <t>Richmond Country Club</t>
        </is>
      </c>
      <c r="I172" t="n">
        <v>35.8</v>
      </c>
      <c r="J172" s="4" t="n">
        <v>202</v>
      </c>
      <c r="K172" t="inlineStr">
        <is>
          <t>102 / 100</t>
        </is>
      </c>
      <c r="L172" t="inlineStr">
        <is>
          <t>15 / 20</t>
        </is>
      </c>
      <c r="M172" s="5" t="n">
        <v>0.5</v>
      </c>
      <c r="N172" s="5" t="n">
        <v>0.43</v>
      </c>
    </row>
    <row r="173">
      <c r="A173" t="n">
        <v>172</v>
      </c>
      <c r="B173" t="n">
        <v>2013</v>
      </c>
      <c r="C173" t="inlineStr">
        <is>
          <t>Bianca Nestor</t>
        </is>
      </c>
      <c r="D173">
        <f>HYPERLINK("https://ota.tournamentsoftware.com/player-profile/8BAE5D37-8145-43F6-9016-30DDC5E4E994", "Link")</f>
        <v/>
      </c>
      <c r="E173" s="3" t="n">
        <v>450.581</v>
      </c>
      <c r="F173" s="4" t="n">
        <v>23</v>
      </c>
      <c r="G173" t="inlineStr">
        <is>
          <t>Ontario Tennis Association</t>
        </is>
      </c>
      <c r="H173" t="inlineStr">
        <is>
          <t>Toronto Lawn Tennis Club</t>
        </is>
      </c>
      <c r="I173" t="n">
        <v>35.6</v>
      </c>
      <c r="J173" s="4" t="n">
        <v>192</v>
      </c>
      <c r="K173" t="inlineStr">
        <is>
          <t>94 / 98</t>
        </is>
      </c>
      <c r="L173" t="inlineStr">
        <is>
          <t>13 / 12</t>
        </is>
      </c>
      <c r="M173" s="5" t="n">
        <v>0.49</v>
      </c>
      <c r="N173" s="5" t="n">
        <v>0.52</v>
      </c>
    </row>
    <row r="174">
      <c r="A174" t="n">
        <v>173</v>
      </c>
      <c r="B174" t="n">
        <v>2015</v>
      </c>
      <c r="C174" t="inlineStr">
        <is>
          <t>Alyanna Jane Principe</t>
        </is>
      </c>
      <c r="D174">
        <f>HYPERLINK("https://ota.tournamentsoftware.com/player-profile/DF18434B-FE2E-4647-9481-0DA91B5C9B92", "Link")</f>
        <v/>
      </c>
      <c r="E174" s="3" t="n">
        <v>449.433</v>
      </c>
      <c r="F174" s="4" t="n">
        <v>26</v>
      </c>
      <c r="G174" t="inlineStr">
        <is>
          <t>British Columbia</t>
        </is>
      </c>
      <c r="H174" t="inlineStr">
        <is>
          <t>The Tennis Centre</t>
        </is>
      </c>
      <c r="I174" t="n">
        <v>35.2</v>
      </c>
      <c r="J174" s="4" t="n">
        <v>229</v>
      </c>
      <c r="K174" t="inlineStr">
        <is>
          <t>151 / 78</t>
        </is>
      </c>
      <c r="L174" t="inlineStr">
        <is>
          <t>29 / 19</t>
        </is>
      </c>
      <c r="M174" s="5" t="n">
        <v>0.66</v>
      </c>
      <c r="N174" s="5" t="n">
        <v>0.6</v>
      </c>
    </row>
    <row r="175">
      <c r="A175" t="n">
        <v>174</v>
      </c>
      <c r="B175" t="n">
        <v>2012</v>
      </c>
      <c r="C175" t="inlineStr">
        <is>
          <t>MISHIKA SURESH BALAJI</t>
        </is>
      </c>
      <c r="D175">
        <f>HYPERLINK("https://ota.tournamentsoftware.com/player-profile/B11C615C-6BB8-4655-BCAA-370D01C186B1", "Link")</f>
        <v/>
      </c>
      <c r="E175" s="3" t="n">
        <v>448</v>
      </c>
      <c r="F175" s="4" t="n">
        <v>15</v>
      </c>
      <c r="G175" t="inlineStr">
        <is>
          <t>Tennis Nova Scotia</t>
        </is>
      </c>
      <c r="H175" t="inlineStr">
        <is>
          <t>Atlantic Tennis Centre</t>
        </is>
      </c>
      <c r="I175" t="n">
        <v>33.6</v>
      </c>
      <c r="J175" s="4" t="n">
        <v>169</v>
      </c>
      <c r="K175" t="inlineStr">
        <is>
          <t>87 / 82</t>
        </is>
      </c>
      <c r="L175" t="inlineStr">
        <is>
          <t>22 / 14</t>
        </is>
      </c>
      <c r="M175" s="5" t="n">
        <v>0.51</v>
      </c>
      <c r="N175" s="5" t="n">
        <v>0.61</v>
      </c>
    </row>
    <row r="176">
      <c r="A176" t="n">
        <v>175</v>
      </c>
      <c r="B176" t="n">
        <v>2013</v>
      </c>
      <c r="C176" t="inlineStr">
        <is>
          <t>Bianca Bordogna</t>
        </is>
      </c>
      <c r="D176">
        <f>HYPERLINK("https://ota.tournamentsoftware.com/player-profile/71A0B4E7-3A92-4F64-82D6-42A032600DC7", "Link")</f>
        <v/>
      </c>
      <c r="E176" s="3" t="n">
        <v>445.52</v>
      </c>
      <c r="F176" s="4" t="n">
        <v>11</v>
      </c>
      <c r="G176" t="inlineStr">
        <is>
          <t>Ontario Tennis Association</t>
        </is>
      </c>
      <c r="H176" t="inlineStr">
        <is>
          <t>Carleton Tennis Centre</t>
        </is>
      </c>
      <c r="I176" t="n">
        <v>36.6</v>
      </c>
      <c r="J176" s="4" t="n">
        <v>99</v>
      </c>
      <c r="K176" t="inlineStr">
        <is>
          <t>50 / 49</t>
        </is>
      </c>
      <c r="L176" t="inlineStr">
        <is>
          <t>7 / 9</t>
        </is>
      </c>
      <c r="M176" s="5" t="n">
        <v>0.51</v>
      </c>
      <c r="N176" s="5" t="n">
        <v>0.44</v>
      </c>
    </row>
    <row r="177">
      <c r="A177" t="n">
        <v>176</v>
      </c>
      <c r="B177" t="n">
        <v>2014</v>
      </c>
      <c r="C177" t="inlineStr">
        <is>
          <t>KENZA JERBI</t>
        </is>
      </c>
      <c r="D177">
        <f>HYPERLINK("https://ota.tournamentsoftware.com/player-profile/C6A8B859-96DA-46D9-A270-B08DA27DDE5C", "Link")</f>
        <v/>
      </c>
      <c r="E177" s="3" t="n">
        <v>442.895</v>
      </c>
      <c r="F177" s="4" t="n">
        <v>15</v>
      </c>
      <c r="G177" t="inlineStr">
        <is>
          <t>Tennis Québec</t>
        </is>
      </c>
      <c r="H177" t="inlineStr">
        <is>
          <t>Tennis Montréal Excellence</t>
        </is>
      </c>
      <c r="I177" t="n">
        <v>36.3</v>
      </c>
      <c r="J177" s="4" t="n">
        <v>108</v>
      </c>
      <c r="K177" t="inlineStr">
        <is>
          <t>65 / 43</t>
        </is>
      </c>
      <c r="L177" t="inlineStr">
        <is>
          <t>7 / 11</t>
        </is>
      </c>
      <c r="M177" s="5" t="n">
        <v>0.6</v>
      </c>
      <c r="N177" s="5" t="n">
        <v>0.39</v>
      </c>
    </row>
    <row r="178">
      <c r="A178" t="n">
        <v>177</v>
      </c>
      <c r="B178" t="n">
        <v>2013</v>
      </c>
      <c r="C178" t="inlineStr">
        <is>
          <t>Juliana Sophie Ho</t>
        </is>
      </c>
      <c r="D178">
        <f>HYPERLINK("https://ota.tournamentsoftware.com/player-profile/D79AC720-EA55-42CC-ACCB-558E5C86D00C", "Link")</f>
        <v/>
      </c>
      <c r="E178" s="3" t="n">
        <v>442.834</v>
      </c>
      <c r="F178" s="4" t="n">
        <v>30</v>
      </c>
      <c r="G178" t="inlineStr">
        <is>
          <t>Ontario Tennis Association</t>
        </is>
      </c>
      <c r="H178" t="inlineStr">
        <is>
          <t>Ontario Racquet Club</t>
        </is>
      </c>
      <c r="I178" t="n">
        <v>36.6</v>
      </c>
      <c r="J178" s="4" t="n">
        <v>137</v>
      </c>
      <c r="K178" t="inlineStr">
        <is>
          <t>69 / 68</t>
        </is>
      </c>
      <c r="L178" t="inlineStr">
        <is>
          <t>17 / 17</t>
        </is>
      </c>
      <c r="M178" s="5" t="n">
        <v>0.5</v>
      </c>
      <c r="N178" s="5" t="n">
        <v>0.5</v>
      </c>
    </row>
    <row r="179">
      <c r="A179" t="n">
        <v>178</v>
      </c>
      <c r="B179" t="n">
        <v>2013</v>
      </c>
      <c r="C179" t="inlineStr">
        <is>
          <t>Mila Anna Kodjian</t>
        </is>
      </c>
      <c r="D179">
        <f>HYPERLINK("https://ota.tournamentsoftware.com/player-profile/CE1F1BC7-04CB-4652-A947-AF91FA03ECD5", "Link")</f>
        <v/>
      </c>
      <c r="E179" s="3" t="n">
        <v>440.264</v>
      </c>
      <c r="F179" s="4" t="n">
        <v>19</v>
      </c>
      <c r="G179" t="inlineStr">
        <is>
          <t>Ontario Tennis Association</t>
        </is>
      </c>
      <c r="H179" t="inlineStr">
        <is>
          <t>Rosethorn Tennis Club</t>
        </is>
      </c>
      <c r="I179" t="n">
        <v>36.1</v>
      </c>
      <c r="J179" s="4" t="n">
        <v>111</v>
      </c>
      <c r="K179" t="inlineStr">
        <is>
          <t>63 / 48</t>
        </is>
      </c>
      <c r="L179" t="inlineStr">
        <is>
          <t>22 / 10</t>
        </is>
      </c>
      <c r="M179" s="5" t="n">
        <v>0.57</v>
      </c>
      <c r="N179" s="5" t="n">
        <v>0.6899999999999999</v>
      </c>
    </row>
    <row r="180">
      <c r="A180" t="n">
        <v>179</v>
      </c>
      <c r="B180" t="n">
        <v>2014</v>
      </c>
      <c r="C180" t="inlineStr">
        <is>
          <t>Anica Yachun Liu</t>
        </is>
      </c>
      <c r="D180">
        <f>HYPERLINK("https://ota.tournamentsoftware.com/player-profile/B58148E6-4895-4918-B4B6-ADFAA5FEE0D2", "Link")</f>
        <v/>
      </c>
      <c r="E180" s="3" t="n">
        <v>429.425</v>
      </c>
      <c r="F180" s="4" t="n">
        <v>22</v>
      </c>
      <c r="G180" t="inlineStr">
        <is>
          <t>Tennis Alberta</t>
        </is>
      </c>
      <c r="H180" t="inlineStr">
        <is>
          <t>Saville Community Sports Centre</t>
        </is>
      </c>
      <c r="I180" t="n">
        <v>35.6</v>
      </c>
      <c r="J180" s="4" t="n">
        <v>217</v>
      </c>
      <c r="K180" t="inlineStr">
        <is>
          <t>109 / 108</t>
        </is>
      </c>
      <c r="L180" t="inlineStr">
        <is>
          <t>28 / 30</t>
        </is>
      </c>
      <c r="M180" s="5" t="n">
        <v>0.5</v>
      </c>
      <c r="N180" s="5" t="n">
        <v>0.48</v>
      </c>
    </row>
    <row r="181">
      <c r="A181" t="n">
        <v>180</v>
      </c>
      <c r="B181" t="n">
        <v>2012</v>
      </c>
      <c r="C181" t="inlineStr">
        <is>
          <t>Ira Karthi</t>
        </is>
      </c>
      <c r="D181">
        <f>HYPERLINK("https://ota.tournamentsoftware.com/player-profile/87DFD688-7475-43FD-B605-7E13CDDC471C", "Link")</f>
        <v/>
      </c>
      <c r="E181" s="3" t="n">
        <v>428.808</v>
      </c>
      <c r="F181" s="4" t="n">
        <v>20</v>
      </c>
      <c r="G181" t="inlineStr">
        <is>
          <t>Ontario Tennis Association</t>
        </is>
      </c>
      <c r="H181" t="inlineStr">
        <is>
          <t>Sandy Beach Tennis Club</t>
        </is>
      </c>
      <c r="I181" t="n">
        <v>38.2</v>
      </c>
      <c r="J181" s="4" t="n">
        <v>68</v>
      </c>
      <c r="K181" t="inlineStr">
        <is>
          <t>18 / 50</t>
        </is>
      </c>
      <c r="L181" t="inlineStr">
        <is>
          <t>7 / 12</t>
        </is>
      </c>
      <c r="M181" s="5" t="n">
        <v>0.26</v>
      </c>
      <c r="N181" s="5" t="n">
        <v>0.37</v>
      </c>
    </row>
    <row r="182">
      <c r="A182" t="n">
        <v>181</v>
      </c>
      <c r="B182" t="n">
        <v>2013</v>
      </c>
      <c r="C182" t="inlineStr">
        <is>
          <t>Mariela Ibrahim</t>
        </is>
      </c>
      <c r="D182">
        <f>HYPERLINK("https://ota.tournamentsoftware.com/player-profile/D80C965C-4117-4C2C-9F46-F371E9E47454", "Link")</f>
        <v/>
      </c>
      <c r="E182" s="3" t="n">
        <v>428.642</v>
      </c>
      <c r="F182" s="4" t="n">
        <v>25</v>
      </c>
      <c r="G182" t="inlineStr">
        <is>
          <t>Ontario Tennis Association</t>
        </is>
      </c>
      <c r="H182" t="inlineStr">
        <is>
          <t>Concord Tennis Academy</t>
        </is>
      </c>
      <c r="I182" t="inlineStr">
        <is>
          <t>unavailable</t>
        </is>
      </c>
      <c r="J182" s="4" t="n">
        <v>95</v>
      </c>
      <c r="K182" t="inlineStr">
        <is>
          <t>55 / 40</t>
        </is>
      </c>
      <c r="L182" t="inlineStr">
        <is>
          <t>21 / 14</t>
        </is>
      </c>
      <c r="M182" s="5" t="n">
        <v>0.58</v>
      </c>
      <c r="N182" s="5" t="n">
        <v>0.6</v>
      </c>
    </row>
    <row r="183">
      <c r="A183" t="n">
        <v>182</v>
      </c>
      <c r="B183" t="n">
        <v>2012</v>
      </c>
      <c r="C183" t="inlineStr">
        <is>
          <t>Aliya Star Michel</t>
        </is>
      </c>
      <c r="D183">
        <f>HYPERLINK("https://ota.tournamentsoftware.com/player-profile/B34E6AA6-2962-4DB5-93DB-BCA4DBF97316", "Link")</f>
        <v/>
      </c>
      <c r="E183" s="3" t="n">
        <v>427.02</v>
      </c>
      <c r="F183" s="4" t="n">
        <v>8</v>
      </c>
      <c r="G183" t="inlineStr">
        <is>
          <t>Tennis Québec</t>
        </is>
      </c>
      <c r="H183" t="inlineStr">
        <is>
          <t>Carrefour Multisports</t>
        </is>
      </c>
      <c r="I183" t="n">
        <v>35.6</v>
      </c>
      <c r="J183" s="4" t="n">
        <v>184</v>
      </c>
      <c r="K183" t="inlineStr">
        <is>
          <t>96 / 88</t>
        </is>
      </c>
      <c r="L183" t="inlineStr">
        <is>
          <t>2 / 2</t>
        </is>
      </c>
      <c r="M183" s="5" t="n">
        <v>0.52</v>
      </c>
      <c r="N183" s="5" t="n">
        <v>0.5</v>
      </c>
    </row>
    <row r="184">
      <c r="A184" t="n">
        <v>183</v>
      </c>
      <c r="B184" t="n">
        <v>2012</v>
      </c>
      <c r="C184" t="inlineStr">
        <is>
          <t>Joanna Pananchickal</t>
        </is>
      </c>
      <c r="D184">
        <f>HYPERLINK("https://ota.tournamentsoftware.com/player-profile/6487D297-D67D-4189-9D3C-05A8EA398E60", "Link")</f>
        <v/>
      </c>
      <c r="E184" s="3" t="n">
        <v>424.811</v>
      </c>
      <c r="F184" s="4" t="n">
        <v>9</v>
      </c>
      <c r="G184" t="inlineStr">
        <is>
          <t>Ontario Tennis Association</t>
        </is>
      </c>
      <c r="H184" t="inlineStr">
        <is>
          <t>No Club</t>
        </is>
      </c>
      <c r="I184" t="n">
        <v>35.2</v>
      </c>
      <c r="J184" s="4" t="n">
        <v>59</v>
      </c>
      <c r="K184" t="inlineStr">
        <is>
          <t>26 / 33</t>
        </is>
      </c>
      <c r="L184" t="inlineStr">
        <is>
          <t>8 / 5</t>
        </is>
      </c>
      <c r="M184" s="5" t="n">
        <v>0.44</v>
      </c>
      <c r="N184" s="5" t="n">
        <v>0.62</v>
      </c>
    </row>
    <row r="185">
      <c r="A185" t="n">
        <v>184</v>
      </c>
      <c r="B185" t="n">
        <v>2015</v>
      </c>
      <c r="C185" t="inlineStr">
        <is>
          <t>Sunandita Pal</t>
        </is>
      </c>
      <c r="D185">
        <f>HYPERLINK("https://ota.tournamentsoftware.com/player-profile/10185E41-C6E2-4C6A-9A47-A3AF6C77F2A4", "Link")</f>
        <v/>
      </c>
      <c r="E185" s="3" t="n">
        <v>418.017</v>
      </c>
      <c r="F185" s="4" t="n">
        <v>28</v>
      </c>
      <c r="G185" t="inlineStr">
        <is>
          <t>Ontario Tennis Association</t>
        </is>
      </c>
      <c r="H185" t="inlineStr">
        <is>
          <t>No Club</t>
        </is>
      </c>
      <c r="I185" t="n">
        <v>37.6</v>
      </c>
      <c r="J185" s="4" t="n">
        <v>226</v>
      </c>
      <c r="K185" t="inlineStr">
        <is>
          <t>105 / 121</t>
        </is>
      </c>
      <c r="L185" t="inlineStr">
        <is>
          <t>21 / 20</t>
        </is>
      </c>
      <c r="M185" s="5" t="n">
        <v>0.46</v>
      </c>
      <c r="N185" s="5" t="n">
        <v>0.51</v>
      </c>
    </row>
    <row r="186">
      <c r="A186" t="n">
        <v>185</v>
      </c>
      <c r="B186" t="n">
        <v>2014</v>
      </c>
      <c r="C186" t="inlineStr">
        <is>
          <t>Sophia Pavlovska</t>
        </is>
      </c>
      <c r="D186">
        <f>HYPERLINK("https://ota.tournamentsoftware.com/player-profile/5C58F1EE-F291-431D-AC00-FB9096274E0A", "Link")</f>
        <v/>
      </c>
      <c r="E186" s="3" t="n">
        <v>413.785</v>
      </c>
      <c r="F186" s="4" t="n">
        <v>14</v>
      </c>
      <c r="G186" t="inlineStr">
        <is>
          <t>Tennis New Brunswick</t>
        </is>
      </c>
      <c r="H186" t="inlineStr">
        <is>
          <t>Dieppe</t>
        </is>
      </c>
      <c r="I186" t="n">
        <v>37.8</v>
      </c>
      <c r="J186" s="4" t="n">
        <v>165</v>
      </c>
      <c r="K186" t="inlineStr">
        <is>
          <t>55 / 110</t>
        </is>
      </c>
      <c r="L186" t="inlineStr">
        <is>
          <t>13 / 15</t>
        </is>
      </c>
      <c r="M186" s="5" t="n">
        <v>0.33</v>
      </c>
      <c r="N186" s="5" t="n">
        <v>0.46</v>
      </c>
    </row>
    <row r="187">
      <c r="A187" t="n">
        <v>186</v>
      </c>
      <c r="B187" t="n">
        <v>2013</v>
      </c>
      <c r="C187" t="inlineStr">
        <is>
          <t>Arya Kaur Dhillon</t>
        </is>
      </c>
      <c r="D187">
        <f>HYPERLINK("https://ota.tournamentsoftware.com/player-profile/3DBC0BDE-C3D6-40A5-992E-F7274098EF5D", "Link")</f>
        <v/>
      </c>
      <c r="E187" s="3" t="n">
        <v>405.446</v>
      </c>
      <c r="F187" s="4" t="n">
        <v>18</v>
      </c>
      <c r="G187" t="inlineStr">
        <is>
          <t>Tennis Alberta</t>
        </is>
      </c>
      <c r="H187" t="inlineStr">
        <is>
          <t>Saville Community Sports Centre</t>
        </is>
      </c>
      <c r="I187" t="n">
        <v>35.5</v>
      </c>
      <c r="J187" s="4" t="n">
        <v>173</v>
      </c>
      <c r="K187" t="inlineStr">
        <is>
          <t>85 / 88</t>
        </is>
      </c>
      <c r="L187" t="inlineStr">
        <is>
          <t>23 / 20</t>
        </is>
      </c>
      <c r="M187" s="5" t="n">
        <v>0.49</v>
      </c>
      <c r="N187" s="5" t="n">
        <v>0.53</v>
      </c>
    </row>
    <row r="188">
      <c r="A188" t="n">
        <v>187</v>
      </c>
      <c r="B188" t="n">
        <v>2015</v>
      </c>
      <c r="C188" t="inlineStr">
        <is>
          <t>Tina liu</t>
        </is>
      </c>
      <c r="D188">
        <f>HYPERLINK("https://ota.tournamentsoftware.com/player-profile/E7D1FBAC-8033-480E-A688-28CBCEF6D907", "Link")</f>
        <v/>
      </c>
      <c r="E188" s="3" t="n">
        <v>403.184</v>
      </c>
      <c r="F188" s="4" t="n">
        <v>32</v>
      </c>
      <c r="G188" t="inlineStr">
        <is>
          <t>Ontario Tennis Association</t>
        </is>
      </c>
      <c r="H188" t="inlineStr">
        <is>
          <t>No Club</t>
        </is>
      </c>
      <c r="I188" t="n">
        <v>36.5</v>
      </c>
      <c r="J188" s="4" t="n">
        <v>198</v>
      </c>
      <c r="K188" t="inlineStr">
        <is>
          <t>128 / 70</t>
        </is>
      </c>
      <c r="L188" t="inlineStr">
        <is>
          <t>32 / 17</t>
        </is>
      </c>
      <c r="M188" s="5" t="n">
        <v>0.65</v>
      </c>
      <c r="N188" s="5" t="n">
        <v>0.65</v>
      </c>
    </row>
    <row r="189">
      <c r="A189" t="n">
        <v>188</v>
      </c>
      <c r="B189" t="n">
        <v>2014</v>
      </c>
      <c r="C189" t="inlineStr">
        <is>
          <t>Eva Larose</t>
        </is>
      </c>
      <c r="D189">
        <f>HYPERLINK("https://ota.tournamentsoftware.com/player-profile/BC2D4F14-515B-4F2A-AD3B-8DA03F3E5E5B", "Link")</f>
        <v/>
      </c>
      <c r="E189" s="3" t="n">
        <v>400.296</v>
      </c>
      <c r="F189" s="4" t="n">
        <v>21</v>
      </c>
      <c r="G189" t="inlineStr">
        <is>
          <t>Tennis Québec</t>
        </is>
      </c>
      <c r="H189" t="inlineStr">
        <is>
          <t>Tennis Ile- des- Soeurs</t>
        </is>
      </c>
      <c r="I189" t="inlineStr">
        <is>
          <t>unavailable</t>
        </is>
      </c>
      <c r="J189" s="4" t="n">
        <v>155</v>
      </c>
      <c r="K189" t="inlineStr">
        <is>
          <t>91 / 64</t>
        </is>
      </c>
      <c r="L189" t="inlineStr">
        <is>
          <t>39 / 16</t>
        </is>
      </c>
      <c r="M189" s="5" t="n">
        <v>0.59</v>
      </c>
      <c r="N189" s="5" t="n">
        <v>0.71</v>
      </c>
    </row>
    <row r="190">
      <c r="A190" t="n">
        <v>189</v>
      </c>
      <c r="B190" t="n">
        <v>2015</v>
      </c>
      <c r="C190" t="inlineStr">
        <is>
          <t>Mila Caporusso</t>
        </is>
      </c>
      <c r="D190">
        <f>HYPERLINK("https://ota.tournamentsoftware.com/player-profile/71A1C940-3E73-49DA-929B-3B90328FC4BC", "Link")</f>
        <v/>
      </c>
      <c r="E190" s="3" t="n">
        <v>392.138</v>
      </c>
      <c r="F190" s="4" t="n">
        <v>8</v>
      </c>
      <c r="G190" t="inlineStr">
        <is>
          <t>Tennis Québec</t>
        </is>
      </c>
      <c r="H190" t="inlineStr">
        <is>
          <t>Tennis 13 / Académie Ménard et associé</t>
        </is>
      </c>
      <c r="I190" t="n">
        <v>35.5</v>
      </c>
      <c r="J190" s="4" t="n">
        <v>109</v>
      </c>
      <c r="K190" t="inlineStr">
        <is>
          <t>71 / 38</t>
        </is>
      </c>
      <c r="L190" t="inlineStr">
        <is>
          <t>10 / 10</t>
        </is>
      </c>
      <c r="M190" s="5" t="n">
        <v>0.65</v>
      </c>
      <c r="N190" s="5" t="n">
        <v>0.5</v>
      </c>
    </row>
    <row r="191">
      <c r="A191" t="n">
        <v>190</v>
      </c>
      <c r="B191" t="n">
        <v>2015</v>
      </c>
      <c r="C191" t="inlineStr">
        <is>
          <t>Elina Wang</t>
        </is>
      </c>
      <c r="D191">
        <f>HYPERLINK("https://ota.tournamentsoftware.com/player-profile/D1A88E02-8A26-413B-866E-8A72948B268F", "Link")</f>
        <v/>
      </c>
      <c r="E191" s="3" t="n">
        <v>390.661</v>
      </c>
      <c r="F191" s="4" t="n">
        <v>22</v>
      </c>
      <c r="G191" t="inlineStr">
        <is>
          <t>Ontario Tennis Association</t>
        </is>
      </c>
      <c r="H191" t="inlineStr">
        <is>
          <t>Richmondhill Golf &amp; Country Club</t>
        </is>
      </c>
      <c r="I191" t="n">
        <v>35.3</v>
      </c>
      <c r="J191" s="4" t="n">
        <v>227</v>
      </c>
      <c r="K191" t="inlineStr">
        <is>
          <t>149 / 78</t>
        </is>
      </c>
      <c r="L191" t="inlineStr">
        <is>
          <t>32 / 13</t>
        </is>
      </c>
      <c r="M191" s="5" t="n">
        <v>0.66</v>
      </c>
      <c r="N191" s="5" t="n">
        <v>0.71</v>
      </c>
    </row>
    <row r="192">
      <c r="A192" t="n">
        <v>191</v>
      </c>
      <c r="B192" t="n">
        <v>2013</v>
      </c>
      <c r="C192" t="inlineStr">
        <is>
          <t>Rihanna Kulyk</t>
        </is>
      </c>
      <c r="D192">
        <f>HYPERLINK("https://ota.tournamentsoftware.com/player-profile/6E1703BA-DB25-4B47-9BB7-314BDDCFDBAC", "Link")</f>
        <v/>
      </c>
      <c r="E192" s="3" t="n">
        <v>389.844</v>
      </c>
      <c r="F192" s="4" t="n">
        <v>21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237</v>
      </c>
      <c r="K192" t="inlineStr">
        <is>
          <t>105 / 132</t>
        </is>
      </c>
      <c r="L192" t="inlineStr">
        <is>
          <t>12 / 18</t>
        </is>
      </c>
      <c r="M192" s="5" t="n">
        <v>0.44</v>
      </c>
      <c r="N192" s="5" t="n">
        <v>0.4</v>
      </c>
    </row>
    <row r="193">
      <c r="A193" t="n">
        <v>192</v>
      </c>
      <c r="B193" t="n">
        <v>2013</v>
      </c>
      <c r="C193" t="inlineStr">
        <is>
          <t>Coralie D'Amours</t>
        </is>
      </c>
      <c r="D193">
        <f>HYPERLINK("https://ota.tournamentsoftware.com/player-profile/35A6230C-9F9D-4861-B1DB-6367FB38A039", "Link")</f>
        <v/>
      </c>
      <c r="E193" s="3" t="n">
        <v>389.814</v>
      </c>
      <c r="F193" s="4" t="n">
        <v>13</v>
      </c>
      <c r="G193" t="inlineStr">
        <is>
          <t>Ontario Tennis Association</t>
        </is>
      </c>
      <c r="H193" t="inlineStr">
        <is>
          <t>Rideau Sports Centre</t>
        </is>
      </c>
      <c r="I193" t="n">
        <v>37.5</v>
      </c>
      <c r="J193" s="4" t="n">
        <v>49</v>
      </c>
      <c r="K193" t="inlineStr">
        <is>
          <t>17 / 32</t>
        </is>
      </c>
      <c r="L193" t="inlineStr">
        <is>
          <t>9 / 10</t>
        </is>
      </c>
      <c r="M193" s="5" t="n">
        <v>0.35</v>
      </c>
      <c r="N193" s="5" t="n">
        <v>0.47</v>
      </c>
    </row>
    <row r="194">
      <c r="A194" t="n">
        <v>193</v>
      </c>
      <c r="B194" t="n">
        <v>2012</v>
      </c>
      <c r="C194" t="inlineStr">
        <is>
          <t>Victoria Perez Vargas</t>
        </is>
      </c>
      <c r="D194">
        <f>HYPERLINK("https://ota.tournamentsoftware.com/player-profile/6649B15F-628D-4ED7-81D6-AEB9036DF19A", "Link")</f>
        <v/>
      </c>
      <c r="E194" s="3" t="n">
        <v>389.181</v>
      </c>
      <c r="F194" s="4" t="n">
        <v>20</v>
      </c>
      <c r="G194" t="inlineStr">
        <is>
          <t>Tennis Québec</t>
        </is>
      </c>
      <c r="H194" t="inlineStr">
        <is>
          <t>Centre récréatif de Repentigny / Académie Tennis Momentum</t>
        </is>
      </c>
      <c r="I194" t="n">
        <v>36.9</v>
      </c>
      <c r="J194" s="4" t="n">
        <v>96</v>
      </c>
      <c r="K194" t="inlineStr">
        <is>
          <t>47 / 49</t>
        </is>
      </c>
      <c r="L194" t="inlineStr">
        <is>
          <t>22 / 12</t>
        </is>
      </c>
      <c r="M194" s="5" t="n">
        <v>0.49</v>
      </c>
      <c r="N194" s="5" t="n">
        <v>0.65</v>
      </c>
    </row>
    <row r="195">
      <c r="A195" t="n">
        <v>194</v>
      </c>
      <c r="B195" t="n">
        <v>2013</v>
      </c>
      <c r="C195" t="inlineStr">
        <is>
          <t>Audrey Yiyi Xu</t>
        </is>
      </c>
      <c r="D195">
        <f>HYPERLINK("https://ota.tournamentsoftware.com/player-profile/25D8C643-E3DC-418B-948B-22520C94F8E3", "Link")</f>
        <v/>
      </c>
      <c r="E195" s="3" t="n">
        <v>387.8</v>
      </c>
      <c r="F195" s="4" t="n">
        <v>22</v>
      </c>
      <c r="G195" t="inlineStr">
        <is>
          <t>Ontario Tennis Association</t>
        </is>
      </c>
      <c r="H195" t="inlineStr">
        <is>
          <t>Joshua Creek Golf &amp; Tennis</t>
        </is>
      </c>
      <c r="I195" t="n">
        <v>36.1</v>
      </c>
      <c r="J195" s="4" t="n">
        <v>135</v>
      </c>
      <c r="K195" t="inlineStr">
        <is>
          <t>58 / 77</t>
        </is>
      </c>
      <c r="L195" t="inlineStr">
        <is>
          <t>19 / 13</t>
        </is>
      </c>
      <c r="M195" s="5" t="n">
        <v>0.43</v>
      </c>
      <c r="N195" s="5" t="n">
        <v>0.59</v>
      </c>
    </row>
    <row r="196">
      <c r="A196" t="n">
        <v>195</v>
      </c>
      <c r="B196" t="n">
        <v>2014</v>
      </c>
      <c r="C196" t="inlineStr">
        <is>
          <t>Veronica Mourlatov</t>
        </is>
      </c>
      <c r="D196">
        <f>HYPERLINK("https://ota.tournamentsoftware.com/player-profile/B6154A4C-BA94-41F6-A39C-E106D7116C1A", "Link")</f>
        <v/>
      </c>
      <c r="E196" s="3" t="n">
        <v>386.477</v>
      </c>
      <c r="F196" s="4" t="n">
        <v>32</v>
      </c>
      <c r="G196" t="inlineStr">
        <is>
          <t>Ontario Tennis Association</t>
        </is>
      </c>
      <c r="H196" t="inlineStr">
        <is>
          <t>SmartVMC Racquetsports by ACE</t>
        </is>
      </c>
      <c r="I196" t="n">
        <v>35.5</v>
      </c>
      <c r="J196" s="4" t="n">
        <v>206</v>
      </c>
      <c r="K196" t="inlineStr">
        <is>
          <t>128 / 78</t>
        </is>
      </c>
      <c r="L196" t="inlineStr">
        <is>
          <t>31 / 15</t>
        </is>
      </c>
      <c r="M196" s="5" t="n">
        <v>0.62</v>
      </c>
      <c r="N196" s="5" t="n">
        <v>0.67</v>
      </c>
    </row>
    <row r="197">
      <c r="A197" t="n">
        <v>196</v>
      </c>
      <c r="B197" t="n">
        <v>2012</v>
      </c>
      <c r="C197" t="inlineStr">
        <is>
          <t>Milena Mavrin</t>
        </is>
      </c>
      <c r="D197">
        <f>HYPERLINK("https://ota.tournamentsoftware.com/player-profile/E6DED1E8-57C3-4627-8D59-94A636610A6B", "Link")</f>
        <v/>
      </c>
      <c r="E197" s="3" t="n">
        <v>386.04</v>
      </c>
      <c r="F197" s="4" t="n">
        <v>24</v>
      </c>
      <c r="G197" t="inlineStr">
        <is>
          <t>Ontario Tennis Association</t>
        </is>
      </c>
      <c r="H197" t="inlineStr">
        <is>
          <t>Blackmore Tennis Club</t>
        </is>
      </c>
      <c r="I197" t="n">
        <v>36.1</v>
      </c>
      <c r="J197" s="4" t="n">
        <v>70</v>
      </c>
      <c r="K197" t="inlineStr">
        <is>
          <t>32 / 38</t>
        </is>
      </c>
      <c r="L197" t="inlineStr">
        <is>
          <t>24 / 18</t>
        </is>
      </c>
      <c r="M197" s="5" t="n">
        <v>0.46</v>
      </c>
      <c r="N197" s="5" t="n">
        <v>0.57</v>
      </c>
    </row>
    <row r="198">
      <c r="A198" t="n">
        <v>197</v>
      </c>
      <c r="B198" t="n">
        <v>2013</v>
      </c>
      <c r="C198" t="inlineStr">
        <is>
          <t>Rosemarie Gagnon</t>
        </is>
      </c>
      <c r="D198">
        <f>HYPERLINK("https://ota.tournamentsoftware.com/player-profile/55A370D6-4FAD-414D-9E3D-2889C644855A", "Link")</f>
        <v/>
      </c>
      <c r="E198" s="3" t="n">
        <v>382.781</v>
      </c>
      <c r="F198" s="4" t="n">
        <v>19</v>
      </c>
      <c r="G198" t="inlineStr">
        <is>
          <t>Tennis Québec</t>
        </is>
      </c>
      <c r="H198" t="inlineStr">
        <is>
          <t>Club de tennis intérieur Saguenay / École de tennis Delisle-Poirel</t>
        </is>
      </c>
      <c r="I198" t="n">
        <v>38</v>
      </c>
      <c r="J198" s="4" t="n">
        <v>106</v>
      </c>
      <c r="K198" t="inlineStr">
        <is>
          <t>46 / 60</t>
        </is>
      </c>
      <c r="L198" t="inlineStr">
        <is>
          <t>8 / 15</t>
        </is>
      </c>
      <c r="M198" s="5" t="n">
        <v>0.43</v>
      </c>
      <c r="N198" s="5" t="n">
        <v>0.35</v>
      </c>
    </row>
    <row r="199">
      <c r="A199" t="n">
        <v>198</v>
      </c>
      <c r="B199" t="n">
        <v>2012</v>
      </c>
      <c r="C199" t="inlineStr">
        <is>
          <t>OLIVIA JUNHAN CAO</t>
        </is>
      </c>
      <c r="D199">
        <f>HYPERLINK("https://ota.tournamentsoftware.com/player-profile/3D68BE77-5DE2-40D9-BCC3-C836A764F3EF", "Link")</f>
        <v/>
      </c>
      <c r="E199" s="3" t="n">
        <v>379.674</v>
      </c>
      <c r="F199" s="4" t="n">
        <v>17</v>
      </c>
      <c r="G199" t="inlineStr">
        <is>
          <t>British Columbia</t>
        </is>
      </c>
      <c r="H199" t="inlineStr">
        <is>
          <t>Richmond Country Club</t>
        </is>
      </c>
      <c r="I199" t="n">
        <v>34.5</v>
      </c>
      <c r="J199" s="4" t="n">
        <v>139</v>
      </c>
      <c r="K199" t="inlineStr">
        <is>
          <t>93 / 46</t>
        </is>
      </c>
      <c r="L199" t="inlineStr">
        <is>
          <t>30 / 15</t>
        </is>
      </c>
      <c r="M199" s="5" t="n">
        <v>0.67</v>
      </c>
      <c r="N199" s="5" t="n">
        <v>0.67</v>
      </c>
    </row>
    <row r="200">
      <c r="A200" t="n">
        <v>199</v>
      </c>
      <c r="B200" t="n">
        <v>2014</v>
      </c>
      <c r="C200" t="inlineStr">
        <is>
          <t>Olivia Zhang</t>
        </is>
      </c>
      <c r="D200">
        <f>HYPERLINK("https://ota.tournamentsoftware.com/player-profile/8A1E61A8-3535-4F88-8C90-68A511D75AC2", "Link")</f>
        <v/>
      </c>
      <c r="E200" s="3" t="n">
        <v>371.704</v>
      </c>
      <c r="F200" s="4" t="n">
        <v>16</v>
      </c>
      <c r="G200" t="inlineStr">
        <is>
          <t>Ontario Tennis Association</t>
        </is>
      </c>
      <c r="H200" t="inlineStr">
        <is>
          <t>Richmondhill Golf &amp; Country Club</t>
        </is>
      </c>
      <c r="I200" t="n">
        <v>35.2</v>
      </c>
      <c r="J200" s="4" t="n">
        <v>95</v>
      </c>
      <c r="K200" t="inlineStr">
        <is>
          <t>58 / 37</t>
        </is>
      </c>
      <c r="L200" t="inlineStr">
        <is>
          <t>27 / 14</t>
        </is>
      </c>
      <c r="M200" s="5" t="n">
        <v>0.61</v>
      </c>
      <c r="N200" s="5" t="n">
        <v>0.66</v>
      </c>
    </row>
    <row r="201">
      <c r="A201" t="n">
        <v>200</v>
      </c>
      <c r="B201" t="n">
        <v>2013</v>
      </c>
      <c r="C201" t="inlineStr">
        <is>
          <t>Noelle Coyne</t>
        </is>
      </c>
      <c r="D201">
        <f>HYPERLINK("https://ota.tournamentsoftware.com/player-profile/F9F10EB5-F22D-4997-85F1-78377170C70A", "Link")</f>
        <v/>
      </c>
      <c r="E201" s="3" t="n">
        <v>367.853</v>
      </c>
      <c r="F201" s="4" t="n">
        <v>26</v>
      </c>
      <c r="G201" t="inlineStr">
        <is>
          <t>Tennis Alberta</t>
        </is>
      </c>
      <c r="H201" t="inlineStr">
        <is>
          <t>Osten &amp; Victor Alberta Tennis Centre</t>
        </is>
      </c>
      <c r="I201" t="n">
        <v>37.4</v>
      </c>
      <c r="J201" s="4" t="n">
        <v>118</v>
      </c>
      <c r="K201" t="inlineStr">
        <is>
          <t>47 / 71</t>
        </is>
      </c>
      <c r="L201" t="inlineStr">
        <is>
          <t>19 / 32</t>
        </is>
      </c>
      <c r="M201" s="5" t="n">
        <v>0.4</v>
      </c>
      <c r="N201" s="5" t="n">
        <v>0.37</v>
      </c>
    </row>
    <row r="202">
      <c r="A202" t="n">
        <v>201</v>
      </c>
      <c r="B202" t="n">
        <v>2013</v>
      </c>
      <c r="C202" t="inlineStr">
        <is>
          <t>Mary Grace MacDonnell Doak</t>
        </is>
      </c>
      <c r="D202">
        <f>HYPERLINK("https://ota.tournamentsoftware.com/player-profile/7E3C3388-CB92-4FE9-B0C8-FE6415D966E4", "Link")</f>
        <v/>
      </c>
      <c r="E202" s="3" t="n">
        <v>366.079</v>
      </c>
      <c r="F202" s="4" t="n">
        <v>18</v>
      </c>
      <c r="G202" t="inlineStr">
        <is>
          <t>Ontario Tennis Association</t>
        </is>
      </c>
      <c r="H202" t="inlineStr">
        <is>
          <t>St. James Tennis Club</t>
        </is>
      </c>
      <c r="I202" t="n">
        <v>39.2</v>
      </c>
      <c r="J202" s="4" t="n">
        <v>142</v>
      </c>
      <c r="K202" t="inlineStr">
        <is>
          <t>69 / 73</t>
        </is>
      </c>
      <c r="L202" t="inlineStr">
        <is>
          <t>5 / 11</t>
        </is>
      </c>
      <c r="M202" s="5" t="n">
        <v>0.49</v>
      </c>
      <c r="N202" s="5" t="n">
        <v>0.31</v>
      </c>
    </row>
    <row r="203">
      <c r="A203" t="n">
        <v>202</v>
      </c>
      <c r="B203" t="n">
        <v>2013</v>
      </c>
      <c r="C203" t="inlineStr">
        <is>
          <t>Mathilde Labeeuw</t>
        </is>
      </c>
      <c r="D203">
        <f>HYPERLINK("https://ota.tournamentsoftware.com/player-profile/ACCBCF37-0334-4ED1-B564-DFD6E35F3445", "Link")</f>
        <v/>
      </c>
      <c r="E203" s="3" t="n">
        <v>364.66</v>
      </c>
      <c r="F203" s="4" t="n">
        <v>20</v>
      </c>
      <c r="G203" t="inlineStr">
        <is>
          <t>Tennis Québec</t>
        </is>
      </c>
      <c r="H203" t="inlineStr">
        <is>
          <t>SANI Sport</t>
        </is>
      </c>
      <c r="I203" t="n">
        <v>37</v>
      </c>
      <c r="J203" s="4" t="n">
        <v>184</v>
      </c>
      <c r="K203" t="inlineStr">
        <is>
          <t>85 / 99</t>
        </is>
      </c>
      <c r="L203" t="inlineStr">
        <is>
          <t>7 / 13</t>
        </is>
      </c>
      <c r="M203" s="5" t="n">
        <v>0.46</v>
      </c>
      <c r="N203" s="5" t="n">
        <v>0.35</v>
      </c>
    </row>
    <row r="204">
      <c r="A204" t="n">
        <v>203</v>
      </c>
      <c r="B204" t="n">
        <v>2014</v>
      </c>
      <c r="C204" t="inlineStr">
        <is>
          <t>Naima Majumdar-Moreau</t>
        </is>
      </c>
      <c r="D204">
        <f>HYPERLINK("https://ota.tournamentsoftware.com/player-profile/DCA02929-B08F-46CE-9CFE-852A987CEBF8", "Link")</f>
        <v/>
      </c>
      <c r="E204" s="3" t="n">
        <v>362.25</v>
      </c>
      <c r="F204" s="4" t="n">
        <v>25</v>
      </c>
      <c r="G204" t="inlineStr">
        <is>
          <t>Tennis Québec</t>
        </is>
      </c>
      <c r="H204" t="inlineStr">
        <is>
          <t>Tennis Ile- des- Soeurs</t>
        </is>
      </c>
      <c r="I204" t="inlineStr">
        <is>
          <t>unavailable</t>
        </is>
      </c>
      <c r="J204" s="4" t="n">
        <v>147</v>
      </c>
      <c r="K204" t="inlineStr">
        <is>
          <t>68 / 79</t>
        </is>
      </c>
      <c r="L204" t="inlineStr">
        <is>
          <t>24 / 24</t>
        </is>
      </c>
      <c r="M204" s="5" t="n">
        <v>0.46</v>
      </c>
      <c r="N204" s="5" t="n">
        <v>0.5</v>
      </c>
    </row>
    <row r="205">
      <c r="A205" t="n">
        <v>204</v>
      </c>
      <c r="B205" t="n">
        <v>2014</v>
      </c>
      <c r="C205" t="inlineStr">
        <is>
          <t>Qiuyue Li</t>
        </is>
      </c>
      <c r="D205">
        <f>HYPERLINK("https://ota.tournamentsoftware.com/player-profile/20DDEF60-3700-4387-8C53-C32DB7F857D4", "Link")</f>
        <v/>
      </c>
      <c r="E205" s="3" t="n">
        <v>360.8</v>
      </c>
      <c r="F205" s="4" t="n">
        <v>5</v>
      </c>
      <c r="G205" t="inlineStr">
        <is>
          <t>Ontario Tennis Association</t>
        </is>
      </c>
      <c r="H205" t="inlineStr">
        <is>
          <t>No Club</t>
        </is>
      </c>
      <c r="I205" t="n">
        <v>32.2</v>
      </c>
      <c r="J205" s="4" t="n">
        <v>20</v>
      </c>
      <c r="K205" t="inlineStr">
        <is>
          <t>19 / 1</t>
        </is>
      </c>
      <c r="L205" t="inlineStr">
        <is>
          <t>9 / 0</t>
        </is>
      </c>
      <c r="M205" s="5" t="n">
        <v>0.95</v>
      </c>
      <c r="N205" s="5" t="n">
        <v>1</v>
      </c>
    </row>
    <row r="206">
      <c r="A206" t="n">
        <v>205</v>
      </c>
      <c r="B206" t="n">
        <v>2014</v>
      </c>
      <c r="C206" t="inlineStr">
        <is>
          <t>Hanna Julia Barta</t>
        </is>
      </c>
      <c r="D206">
        <f>HYPERLINK("https://ota.tournamentsoftware.com/player-profile/BAF4D69B-39E5-4A7E-BB04-5AF0EDC7734B", "Link")</f>
        <v/>
      </c>
      <c r="E206" s="3" t="n">
        <v>355.103</v>
      </c>
      <c r="F206" s="4" t="n">
        <v>29</v>
      </c>
      <c r="G206" t="inlineStr">
        <is>
          <t>Ontario Tennis Association</t>
        </is>
      </c>
      <c r="H206" t="inlineStr">
        <is>
          <t>Advantage Tennis International at Veneto</t>
        </is>
      </c>
      <c r="I206" t="n">
        <v>36.4</v>
      </c>
      <c r="J206" s="4" t="n">
        <v>201</v>
      </c>
      <c r="K206" t="inlineStr">
        <is>
          <t>98 / 103</t>
        </is>
      </c>
      <c r="L206" t="inlineStr">
        <is>
          <t>18 / 17</t>
        </is>
      </c>
      <c r="M206" s="5" t="n">
        <v>0.49</v>
      </c>
      <c r="N206" s="5" t="n">
        <v>0.51</v>
      </c>
    </row>
    <row r="207">
      <c r="A207" t="n">
        <v>206</v>
      </c>
      <c r="B207" t="n">
        <v>2014</v>
      </c>
      <c r="C207" t="inlineStr">
        <is>
          <t>Adrianna Gianvito</t>
        </is>
      </c>
      <c r="D207">
        <f>HYPERLINK("https://ota.tournamentsoftware.com/player-profile/1412F0F4-82D3-410D-980E-969EFE386B01", "Link")</f>
        <v/>
      </c>
      <c r="E207" s="3" t="n">
        <v>347.056</v>
      </c>
      <c r="F207" s="4" t="n">
        <v>18</v>
      </c>
      <c r="G207" t="inlineStr">
        <is>
          <t>Tennis Québec</t>
        </is>
      </c>
      <c r="H207" t="inlineStr">
        <is>
          <t>No Club</t>
        </is>
      </c>
      <c r="I207" t="inlineStr">
        <is>
          <t>unavailable</t>
        </is>
      </c>
      <c r="J207" s="4" t="n">
        <v>144</v>
      </c>
      <c r="K207" t="inlineStr">
        <is>
          <t>75 / 69</t>
        </is>
      </c>
      <c r="L207" t="inlineStr">
        <is>
          <t>25 / 17</t>
        </is>
      </c>
      <c r="M207" s="5" t="n">
        <v>0.52</v>
      </c>
      <c r="N207" s="5" t="n">
        <v>0.6</v>
      </c>
    </row>
    <row r="208">
      <c r="A208" t="n">
        <v>207</v>
      </c>
      <c r="B208" t="n">
        <v>2015</v>
      </c>
      <c r="C208" t="inlineStr">
        <is>
          <t>Olivia Lu</t>
        </is>
      </c>
      <c r="D208">
        <f>HYPERLINK("https://ota.tournamentsoftware.com/player-profile/807CAE71-A1FD-4ED2-952F-E0EDBF0E66E6", "Link")</f>
        <v/>
      </c>
      <c r="E208" s="3" t="n">
        <v>346.233</v>
      </c>
      <c r="F208" s="4" t="n">
        <v>25</v>
      </c>
      <c r="G208" t="inlineStr">
        <is>
          <t>Ontario Tennis Association</t>
        </is>
      </c>
      <c r="H208" t="inlineStr">
        <is>
          <t>Advantage Tennis International at Veneto</t>
        </is>
      </c>
      <c r="I208" t="n">
        <v>35.9</v>
      </c>
      <c r="J208" s="4" t="n">
        <v>152</v>
      </c>
      <c r="K208" t="inlineStr">
        <is>
          <t>86 / 66</t>
        </is>
      </c>
      <c r="L208" t="inlineStr">
        <is>
          <t>19 / 14</t>
        </is>
      </c>
      <c r="M208" s="5" t="n">
        <v>0.57</v>
      </c>
      <c r="N208" s="5" t="n">
        <v>0.58</v>
      </c>
    </row>
    <row r="209">
      <c r="A209" t="n">
        <v>208</v>
      </c>
      <c r="B209" t="n">
        <v>2012</v>
      </c>
      <c r="C209" t="inlineStr">
        <is>
          <t>Anne-Frédérique Jacob</t>
        </is>
      </c>
      <c r="D209">
        <f>HYPERLINK("https://ota.tournamentsoftware.com/player-profile/6FDF9E24-9EF2-40B8-AA29-4E8DB70822F9", "Link")</f>
        <v/>
      </c>
      <c r="E209" s="3" t="n">
        <v>339.237</v>
      </c>
      <c r="F209" s="4" t="n">
        <v>15</v>
      </c>
      <c r="G209" t="inlineStr">
        <is>
          <t>Tennis Québec</t>
        </is>
      </c>
      <c r="H209" t="inlineStr">
        <is>
          <t>SANI Sport</t>
        </is>
      </c>
      <c r="I209" t="n">
        <v>36.3</v>
      </c>
      <c r="J209" s="4" t="n">
        <v>147</v>
      </c>
      <c r="K209" t="inlineStr">
        <is>
          <t>73 / 74</t>
        </is>
      </c>
      <c r="L209" t="inlineStr">
        <is>
          <t>5 / 11</t>
        </is>
      </c>
      <c r="M209" s="5" t="n">
        <v>0.5</v>
      </c>
      <c r="N209" s="5" t="n">
        <v>0.31</v>
      </c>
    </row>
    <row r="210">
      <c r="A210" t="n">
        <v>209</v>
      </c>
      <c r="B210" t="n">
        <v>2013</v>
      </c>
      <c r="C210" t="inlineStr">
        <is>
          <t>Kany Kaba</t>
        </is>
      </c>
      <c r="D210">
        <f>HYPERLINK("https://ota.tournamentsoftware.com/player-profile/7816DF47-252D-402D-BF26-B906A8AB6ED7", "Link")</f>
        <v/>
      </c>
      <c r="E210" s="3" t="n">
        <v>339.211</v>
      </c>
      <c r="F210" s="4" t="n">
        <v>8</v>
      </c>
      <c r="G210" t="inlineStr">
        <is>
          <t>Tennis Québec</t>
        </is>
      </c>
      <c r="H210" t="inlineStr">
        <is>
          <t>EB Tennis inc.</t>
        </is>
      </c>
      <c r="I210" t="n">
        <v>37.4</v>
      </c>
      <c r="J210" s="4" t="n">
        <v>134</v>
      </c>
      <c r="K210" t="inlineStr">
        <is>
          <t>83 / 51</t>
        </is>
      </c>
      <c r="L210" t="inlineStr">
        <is>
          <t>5 / 8</t>
        </is>
      </c>
      <c r="M210" s="5" t="n">
        <v>0.62</v>
      </c>
      <c r="N210" s="5" t="n">
        <v>0.38</v>
      </c>
    </row>
    <row r="211">
      <c r="A211" t="n">
        <v>210</v>
      </c>
      <c r="B211" t="n">
        <v>2014</v>
      </c>
      <c r="C211" t="inlineStr">
        <is>
          <t>Isabelle Prusinkiewicz</t>
        </is>
      </c>
      <c r="D211">
        <f>HYPERLINK("https://ota.tournamentsoftware.com/player-profile/15F8CE0F-EF62-4029-B13B-F131581B8B29", "Link")</f>
        <v/>
      </c>
      <c r="E211" s="3" t="n">
        <v>338.545</v>
      </c>
      <c r="F211" s="4" t="n">
        <v>23</v>
      </c>
      <c r="G211" t="inlineStr">
        <is>
          <t>Tennis Alberta</t>
        </is>
      </c>
      <c r="H211" t="inlineStr">
        <is>
          <t>Aforza</t>
        </is>
      </c>
      <c r="I211" t="n">
        <v>36.3</v>
      </c>
      <c r="J211" s="4" t="n">
        <v>173</v>
      </c>
      <c r="K211" t="inlineStr">
        <is>
          <t>99 / 74</t>
        </is>
      </c>
      <c r="L211" t="inlineStr">
        <is>
          <t>27 / 18</t>
        </is>
      </c>
      <c r="M211" s="5" t="n">
        <v>0.57</v>
      </c>
      <c r="N211" s="5" t="n">
        <v>0.6</v>
      </c>
    </row>
    <row r="212">
      <c r="A212" t="n">
        <v>211</v>
      </c>
      <c r="B212" t="n">
        <v>2016</v>
      </c>
      <c r="C212" t="inlineStr">
        <is>
          <t>Alisha Goel</t>
        </is>
      </c>
      <c r="D212">
        <f>HYPERLINK("https://ota.tournamentsoftware.com/player-profile/7F9E9DD0-77A1-4F40-B2B5-C4B89592B089", "Link")</f>
        <v/>
      </c>
      <c r="E212" s="3" t="n">
        <v>337.414</v>
      </c>
      <c r="F212" s="4" t="n">
        <v>20</v>
      </c>
      <c r="G212" t="inlineStr">
        <is>
          <t>Ontario Tennis Association</t>
        </is>
      </c>
      <c r="H212" t="inlineStr">
        <is>
          <t>The Supreme Court Tennis Club</t>
        </is>
      </c>
      <c r="I212" t="n">
        <v>36.2</v>
      </c>
      <c r="J212" s="4" t="n">
        <v>175</v>
      </c>
      <c r="K212" t="inlineStr">
        <is>
          <t>120 / 55</t>
        </is>
      </c>
      <c r="L212" t="inlineStr">
        <is>
          <t>33 / 17</t>
        </is>
      </c>
      <c r="M212" s="5" t="n">
        <v>0.6899999999999999</v>
      </c>
      <c r="N212" s="5" t="n">
        <v>0.66</v>
      </c>
    </row>
    <row r="213">
      <c r="A213" t="n">
        <v>212</v>
      </c>
      <c r="B213" t="n">
        <v>2013</v>
      </c>
      <c r="C213" t="inlineStr">
        <is>
          <t>Jessica Rosemary Hill</t>
        </is>
      </c>
      <c r="D213">
        <f>HYPERLINK("https://ota.tournamentsoftware.com/player-profile/9F68BF9A-4FFA-4754-8023-C9F4ABCF0003", "Link")</f>
        <v/>
      </c>
      <c r="E213" s="3" t="n">
        <v>336.999</v>
      </c>
      <c r="F213" s="4" t="n">
        <v>21</v>
      </c>
      <c r="G213" t="inlineStr">
        <is>
          <t>British Columbia</t>
        </is>
      </c>
      <c r="H213" t="inlineStr">
        <is>
          <t>Vancouver International Tennis Academy</t>
        </is>
      </c>
      <c r="I213" t="n">
        <v>36.1</v>
      </c>
      <c r="J213" s="4" t="n">
        <v>163</v>
      </c>
      <c r="K213" t="inlineStr">
        <is>
          <t>92 / 71</t>
        </is>
      </c>
      <c r="L213" t="inlineStr">
        <is>
          <t>22 / 16</t>
        </is>
      </c>
      <c r="M213" s="5" t="n">
        <v>0.5600000000000001</v>
      </c>
      <c r="N213" s="5" t="n">
        <v>0.58</v>
      </c>
    </row>
    <row r="214">
      <c r="A214" t="n">
        <v>213</v>
      </c>
      <c r="B214" t="n">
        <v>2014</v>
      </c>
      <c r="C214" t="inlineStr">
        <is>
          <t>Erin Yida Li</t>
        </is>
      </c>
      <c r="D214">
        <f>HYPERLINK("https://ota.tournamentsoftware.com/player-profile/48592A27-18BE-4C04-BE24-73F536B6D5D5", "Link")</f>
        <v/>
      </c>
      <c r="E214" s="3" t="n">
        <v>336.352</v>
      </c>
      <c r="F214" s="4" t="n">
        <v>18</v>
      </c>
      <c r="G214" t="inlineStr">
        <is>
          <t>Ontario Tennis Association</t>
        </is>
      </c>
      <c r="H214" t="inlineStr">
        <is>
          <t>Richmondhill Golf &amp; Country Club</t>
        </is>
      </c>
      <c r="I214" t="n">
        <v>36.5</v>
      </c>
      <c r="J214" s="4" t="n">
        <v>80</v>
      </c>
      <c r="K214" t="inlineStr">
        <is>
          <t>40 / 40</t>
        </is>
      </c>
      <c r="L214" t="inlineStr">
        <is>
          <t>17 / 15</t>
        </is>
      </c>
      <c r="M214" s="5" t="n">
        <v>0.5</v>
      </c>
      <c r="N214" s="5" t="n">
        <v>0.53</v>
      </c>
    </row>
    <row r="215">
      <c r="A215" t="n">
        <v>214</v>
      </c>
      <c r="B215" t="n">
        <v>2013</v>
      </c>
      <c r="C215" t="inlineStr">
        <is>
          <t>Kmar ELHOUIJ</t>
        </is>
      </c>
      <c r="D215">
        <f>HYPERLINK("https://ota.tournamentsoftware.com/player-profile/D690466C-B3D9-45B2-B453-BA40F436A5C1", "Link")</f>
        <v/>
      </c>
      <c r="E215" s="3" t="n">
        <v>335.176</v>
      </c>
      <c r="F215" s="4" t="n">
        <v>4</v>
      </c>
      <c r="G215" t="inlineStr">
        <is>
          <t>Tennis New Brunswick</t>
        </is>
      </c>
      <c r="H215" t="inlineStr">
        <is>
          <t>No Club</t>
        </is>
      </c>
      <c r="I215" t="n">
        <v>31</v>
      </c>
      <c r="J215" s="4" t="n">
        <v>39</v>
      </c>
      <c r="K215" t="inlineStr">
        <is>
          <t>30 / 9</t>
        </is>
      </c>
      <c r="L215" t="inlineStr">
        <is>
          <t>19 / 6</t>
        </is>
      </c>
      <c r="M215" s="5" t="n">
        <v>0.77</v>
      </c>
      <c r="N215" s="5" t="n">
        <v>0.76</v>
      </c>
    </row>
    <row r="216">
      <c r="A216" t="n">
        <v>215</v>
      </c>
      <c r="B216" t="n">
        <v>2014</v>
      </c>
      <c r="C216" t="inlineStr">
        <is>
          <t>Eva Paquette</t>
        </is>
      </c>
      <c r="D216">
        <f>HYPERLINK("https://ota.tournamentsoftware.com/player-profile/631BF8EC-5FD6-41F7-A4BC-1B4980693D40", "Link")</f>
        <v/>
      </c>
      <c r="E216" s="3" t="n">
        <v>335.088</v>
      </c>
      <c r="F216" s="4" t="n">
        <v>32</v>
      </c>
      <c r="G216" t="inlineStr">
        <is>
          <t>Tennis Québec</t>
        </is>
      </c>
      <c r="H216" t="inlineStr">
        <is>
          <t>Club Sportif Côte-de-Liesse</t>
        </is>
      </c>
      <c r="I216" t="n">
        <v>36.8</v>
      </c>
      <c r="J216" s="4" t="n">
        <v>200</v>
      </c>
      <c r="K216" t="inlineStr">
        <is>
          <t>103 / 97</t>
        </is>
      </c>
      <c r="L216" t="inlineStr">
        <is>
          <t>39 / 22</t>
        </is>
      </c>
      <c r="M216" s="5" t="n">
        <v>0.52</v>
      </c>
      <c r="N216" s="5" t="n">
        <v>0.64</v>
      </c>
    </row>
    <row r="217">
      <c r="A217" t="n">
        <v>216</v>
      </c>
      <c r="B217" t="n">
        <v>2013</v>
      </c>
      <c r="C217" t="inlineStr">
        <is>
          <t>Aicha Ben Ali</t>
        </is>
      </c>
      <c r="D217">
        <f>HYPERLINK("https://ota.tournamentsoftware.com/player-profile/87F8F2BE-10FE-41D7-8382-85524C1D5D23", "Link")</f>
        <v/>
      </c>
      <c r="E217" s="3" t="n">
        <v>330.988</v>
      </c>
      <c r="F217" s="4" t="n">
        <v>9</v>
      </c>
      <c r="G217" t="inlineStr">
        <is>
          <t>Tennis Saskatchewan</t>
        </is>
      </c>
      <c r="H217" t="inlineStr">
        <is>
          <t>Lakeshore Tennis Club</t>
        </is>
      </c>
      <c r="I217" t="inlineStr">
        <is>
          <t>unavailable</t>
        </is>
      </c>
      <c r="J217" s="4" t="n">
        <v>28</v>
      </c>
      <c r="K217" t="inlineStr">
        <is>
          <t>1 / 27</t>
        </is>
      </c>
      <c r="L217" t="inlineStr">
        <is>
          <t>1 / 23</t>
        </is>
      </c>
      <c r="M217" s="5" t="n">
        <v>0.04</v>
      </c>
      <c r="N217" s="5" t="n">
        <v>0.04</v>
      </c>
    </row>
    <row r="218">
      <c r="A218" t="n">
        <v>217</v>
      </c>
      <c r="B218" t="n">
        <v>2014</v>
      </c>
      <c r="C218" t="inlineStr">
        <is>
          <t>Ema Zonjic</t>
        </is>
      </c>
      <c r="D218">
        <f>HYPERLINK("https://ota.tournamentsoftware.com/player-profile/42A43C76-E08F-4134-B876-2E9D05859D92", "Link")</f>
        <v/>
      </c>
      <c r="E218" s="3" t="n">
        <v>328.951</v>
      </c>
      <c r="F218" s="4" t="n">
        <v>25</v>
      </c>
      <c r="G218" t="inlineStr">
        <is>
          <t>Ontario Tennis Association</t>
        </is>
      </c>
      <c r="H218" t="inlineStr">
        <is>
          <t>Rideau Sports Centre</t>
        </is>
      </c>
      <c r="I218" t="n">
        <v>36.7</v>
      </c>
      <c r="J218" s="4" t="n">
        <v>174</v>
      </c>
      <c r="K218" t="inlineStr">
        <is>
          <t>97 / 77</t>
        </is>
      </c>
      <c r="L218" t="inlineStr">
        <is>
          <t>29 / 20</t>
        </is>
      </c>
      <c r="M218" s="5" t="n">
        <v>0.5600000000000001</v>
      </c>
      <c r="N218" s="5" t="n">
        <v>0.59</v>
      </c>
    </row>
    <row r="219">
      <c r="A219" t="n">
        <v>218</v>
      </c>
      <c r="B219" t="n">
        <v>2012</v>
      </c>
      <c r="C219" t="inlineStr">
        <is>
          <t>Alexandra Bayentin</t>
        </is>
      </c>
      <c r="D219">
        <f>HYPERLINK("https://ota.tournamentsoftware.com/player-profile/EFF894D9-35F7-45C9-9C57-06584708D213", "Link")</f>
        <v/>
      </c>
      <c r="E219" s="3" t="n">
        <v>327.269</v>
      </c>
      <c r="F219" s="4" t="n">
        <v>13</v>
      </c>
      <c r="G219" t="inlineStr">
        <is>
          <t>Tennis Alberta</t>
        </is>
      </c>
      <c r="H219" t="inlineStr">
        <is>
          <t>Osten &amp; Victor Alberta Tennis Centre</t>
        </is>
      </c>
      <c r="I219" t="n">
        <v>35.3</v>
      </c>
      <c r="J219" s="4" t="n">
        <v>167</v>
      </c>
      <c r="K219" t="inlineStr">
        <is>
          <t>81 / 86</t>
        </is>
      </c>
      <c r="L219" t="inlineStr">
        <is>
          <t>11 / 12</t>
        </is>
      </c>
      <c r="M219" s="5" t="n">
        <v>0.49</v>
      </c>
      <c r="N219" s="5" t="n">
        <v>0.48</v>
      </c>
    </row>
    <row r="220">
      <c r="A220" t="n">
        <v>219</v>
      </c>
      <c r="B220" t="n">
        <v>2012</v>
      </c>
      <c r="C220" t="inlineStr">
        <is>
          <t>Ariyana Usharah Mahanandan</t>
        </is>
      </c>
      <c r="D220">
        <f>HYPERLINK("https://ota.tournamentsoftware.com/player-profile/FE0B9224-EA2B-4B60-AB52-7A0A2ACA90DA", "Link")</f>
        <v/>
      </c>
      <c r="E220" s="3" t="n">
        <v>327.166</v>
      </c>
      <c r="F220" s="4" t="n">
        <v>21</v>
      </c>
      <c r="G220" t="inlineStr">
        <is>
          <t>Ontario Tennis Association</t>
        </is>
      </c>
      <c r="H220" t="inlineStr">
        <is>
          <t>Premier Racquet Clubs – Mississauga</t>
        </is>
      </c>
      <c r="I220" t="inlineStr">
        <is>
          <t>unavailable</t>
        </is>
      </c>
      <c r="J220" s="4" t="n">
        <v>132</v>
      </c>
      <c r="K220" t="inlineStr">
        <is>
          <t>56 / 76</t>
        </is>
      </c>
      <c r="L220" t="inlineStr">
        <is>
          <t>10 / 18</t>
        </is>
      </c>
      <c r="M220" s="5" t="n">
        <v>0.42</v>
      </c>
      <c r="N220" s="5" t="n">
        <v>0.36</v>
      </c>
    </row>
    <row r="221">
      <c r="A221" t="n">
        <v>220</v>
      </c>
      <c r="B221" t="n">
        <v>2013</v>
      </c>
      <c r="C221" t="inlineStr">
        <is>
          <t>Livia Seguin</t>
        </is>
      </c>
      <c r="D221">
        <f>HYPERLINK("https://ota.tournamentsoftware.com/player-profile/2B987274-8A56-4EE6-B85D-948871231CC0", "Link")</f>
        <v/>
      </c>
      <c r="E221" s="3" t="n">
        <v>322.76</v>
      </c>
      <c r="F221" s="4" t="n">
        <v>33</v>
      </c>
      <c r="G221" t="inlineStr">
        <is>
          <t>Tennis Québec</t>
        </is>
      </c>
      <c r="H221" t="inlineStr">
        <is>
          <t>Tennis Interclub Piedmont</t>
        </is>
      </c>
      <c r="I221" t="n">
        <v>38.3</v>
      </c>
      <c r="J221" s="4" t="n">
        <v>124</v>
      </c>
      <c r="K221" t="inlineStr">
        <is>
          <t>37 / 87</t>
        </is>
      </c>
      <c r="L221" t="inlineStr">
        <is>
          <t>13 / 26</t>
        </is>
      </c>
      <c r="M221" s="5" t="n">
        <v>0.3</v>
      </c>
      <c r="N221" s="5" t="n">
        <v>0.33</v>
      </c>
    </row>
    <row r="222">
      <c r="A222" t="n">
        <v>221</v>
      </c>
      <c r="B222" t="n">
        <v>2015</v>
      </c>
      <c r="C222" t="inlineStr">
        <is>
          <t>Josephine Yitong Wu</t>
        </is>
      </c>
      <c r="D222">
        <f>HYPERLINK("https://ota.tournamentsoftware.com/player-profile/1DF0BC06-9057-4469-9CEF-A9B5D864D9C9", "Link")</f>
        <v/>
      </c>
      <c r="E222" s="3" t="n">
        <v>321.68</v>
      </c>
      <c r="F222" s="4" t="n">
        <v>22</v>
      </c>
      <c r="G222" t="inlineStr">
        <is>
          <t>British Columbia</t>
        </is>
      </c>
      <c r="H222" t="inlineStr">
        <is>
          <t>North Vancouver Tennis Centre</t>
        </is>
      </c>
      <c r="I222" t="n">
        <v>35.3</v>
      </c>
      <c r="J222" s="4" t="n">
        <v>167</v>
      </c>
      <c r="K222" t="inlineStr">
        <is>
          <t>99 / 68</t>
        </is>
      </c>
      <c r="L222" t="inlineStr">
        <is>
          <t>22 / 12</t>
        </is>
      </c>
      <c r="M222" s="5" t="n">
        <v>0.59</v>
      </c>
      <c r="N222" s="5" t="n">
        <v>0.65</v>
      </c>
    </row>
    <row r="223">
      <c r="A223" t="n">
        <v>222</v>
      </c>
      <c r="B223" t="n">
        <v>2015</v>
      </c>
      <c r="C223" t="inlineStr">
        <is>
          <t>NELIA BERKOUD</t>
        </is>
      </c>
      <c r="D223">
        <f>HYPERLINK("https://ota.tournamentsoftware.com/player-profile/2E73021E-DEDD-484B-95FC-00429D223FB2", "Link")</f>
        <v/>
      </c>
      <c r="E223" s="3" t="n">
        <v>319.496</v>
      </c>
      <c r="F223" s="4" t="n">
        <v>24</v>
      </c>
      <c r="G223" t="inlineStr">
        <is>
          <t>Tennis Québec</t>
        </is>
      </c>
      <c r="H223" t="inlineStr">
        <is>
          <t>Carrefour Multisports</t>
        </is>
      </c>
      <c r="I223" t="n">
        <v>36.2</v>
      </c>
      <c r="J223" s="4" t="n">
        <v>133</v>
      </c>
      <c r="K223" t="inlineStr">
        <is>
          <t>82 / 51</t>
        </is>
      </c>
      <c r="L223" t="inlineStr">
        <is>
          <t>26 / 23</t>
        </is>
      </c>
      <c r="M223" s="5" t="n">
        <v>0.62</v>
      </c>
      <c r="N223" s="5" t="n">
        <v>0.53</v>
      </c>
    </row>
    <row r="224">
      <c r="A224" t="n">
        <v>223</v>
      </c>
      <c r="B224" t="n">
        <v>2012</v>
      </c>
      <c r="C224" t="inlineStr">
        <is>
          <t>Abby Jean Tobac</t>
        </is>
      </c>
      <c r="D224">
        <f>HYPERLINK("https://ota.tournamentsoftware.com/player-profile/CDFDF0FB-A147-4D3C-BF4D-24E115B9EC1A", "Link")</f>
        <v/>
      </c>
      <c r="E224" s="3" t="n">
        <v>318.528</v>
      </c>
      <c r="F224" s="4" t="n">
        <v>6</v>
      </c>
      <c r="G224" t="inlineStr">
        <is>
          <t>Tennis Manitoba</t>
        </is>
      </c>
      <c r="H224" t="inlineStr">
        <is>
          <t>Taylor Tennis</t>
        </is>
      </c>
      <c r="I224" t="n">
        <v>37</v>
      </c>
      <c r="J224" s="4" t="n">
        <v>49</v>
      </c>
      <c r="K224" t="inlineStr">
        <is>
          <t>14 / 35</t>
        </is>
      </c>
      <c r="L224" t="inlineStr">
        <is>
          <t>2 / 9</t>
        </is>
      </c>
      <c r="M224" s="5" t="n">
        <v>0.29</v>
      </c>
      <c r="N224" s="5" t="n">
        <v>0.18</v>
      </c>
    </row>
    <row r="225">
      <c r="A225" t="n">
        <v>224</v>
      </c>
      <c r="B225" t="n">
        <v>2013</v>
      </c>
      <c r="C225" t="inlineStr">
        <is>
          <t>Alina Luo</t>
        </is>
      </c>
      <c r="D225">
        <f>HYPERLINK("https://ota.tournamentsoftware.com/player-profile/848C25E0-4CBB-4051-8AB5-C8460313D4A3", "Link")</f>
        <v/>
      </c>
      <c r="E225" s="3" t="n">
        <v>317.425</v>
      </c>
      <c r="F225" s="4" t="n">
        <v>22</v>
      </c>
      <c r="G225" t="inlineStr">
        <is>
          <t>Tennis Québec</t>
        </is>
      </c>
      <c r="H225" t="inlineStr">
        <is>
          <t>SANI Sport</t>
        </is>
      </c>
      <c r="I225" t="n">
        <v>38.6</v>
      </c>
      <c r="J225" s="4" t="n">
        <v>216</v>
      </c>
      <c r="K225" t="inlineStr">
        <is>
          <t>103 / 113</t>
        </is>
      </c>
      <c r="L225" t="inlineStr">
        <is>
          <t>3 / 16</t>
        </is>
      </c>
      <c r="M225" s="5" t="n">
        <v>0.48</v>
      </c>
      <c r="N225" s="5" t="n">
        <v>0.16</v>
      </c>
    </row>
    <row r="226">
      <c r="A226" t="n">
        <v>225</v>
      </c>
      <c r="B226" t="n">
        <v>2012</v>
      </c>
      <c r="C226" t="inlineStr">
        <is>
          <t>Camie Wang</t>
        </is>
      </c>
      <c r="D226">
        <f>HYPERLINK("https://ota.tournamentsoftware.com/player-profile/5CE5CCC5-E821-48EF-86C9-6973D97D1F92", "Link")</f>
        <v/>
      </c>
      <c r="E226" s="3" t="n">
        <v>311.911</v>
      </c>
      <c r="F226" s="4" t="n">
        <v>17</v>
      </c>
      <c r="G226" t="inlineStr">
        <is>
          <t>Tennis Alberta</t>
        </is>
      </c>
      <c r="H226" t="inlineStr">
        <is>
          <t>Osten &amp; Victor Alberta Tennis Centre</t>
        </is>
      </c>
      <c r="I226" t="n">
        <v>34.2</v>
      </c>
      <c r="J226" s="4" t="n">
        <v>115</v>
      </c>
      <c r="K226" t="inlineStr">
        <is>
          <t>61 / 54</t>
        </is>
      </c>
      <c r="L226" t="inlineStr">
        <is>
          <t>20 / 19</t>
        </is>
      </c>
      <c r="M226" s="5" t="n">
        <v>0.53</v>
      </c>
      <c r="N226" s="5" t="n">
        <v>0.51</v>
      </c>
    </row>
    <row r="227">
      <c r="A227" t="n">
        <v>226</v>
      </c>
      <c r="B227" t="n">
        <v>2012</v>
      </c>
      <c r="C227" t="inlineStr">
        <is>
          <t>Sneha Sahiba Bhatti</t>
        </is>
      </c>
      <c r="D227">
        <f>HYPERLINK("https://ota.tournamentsoftware.com/player-profile/16EA0E7B-0025-4333-9A2A-28395C436A40", "Link")</f>
        <v/>
      </c>
      <c r="E227" s="3" t="n">
        <v>311.382</v>
      </c>
      <c r="F227" s="4" t="n">
        <v>17</v>
      </c>
      <c r="G227" t="inlineStr">
        <is>
          <t>British Columbia</t>
        </is>
      </c>
      <c r="H227" t="inlineStr">
        <is>
          <t>Coquitlam Tennis Club</t>
        </is>
      </c>
      <c r="I227" t="n">
        <v>36.3</v>
      </c>
      <c r="J227" s="4" t="n">
        <v>179</v>
      </c>
      <c r="K227" t="inlineStr">
        <is>
          <t>90 / 89</t>
        </is>
      </c>
      <c r="L227" t="inlineStr">
        <is>
          <t>12 / 15</t>
        </is>
      </c>
      <c r="M227" s="5" t="n">
        <v>0.5</v>
      </c>
      <c r="N227" s="5" t="n">
        <v>0.44</v>
      </c>
    </row>
    <row r="228">
      <c r="A228" t="n">
        <v>227</v>
      </c>
      <c r="B228" t="n">
        <v>2012</v>
      </c>
      <c r="C228" t="inlineStr">
        <is>
          <t>Daisy Tingru Wang</t>
        </is>
      </c>
      <c r="D228">
        <f>HYPERLINK("https://ota.tournamentsoftware.com/player-profile/40DA5F9F-8E70-4030-A0ED-A54E3D8832D2", "Link")</f>
        <v/>
      </c>
      <c r="E228" s="3" t="n">
        <v>310.853</v>
      </c>
      <c r="F228" s="4" t="n">
        <v>7</v>
      </c>
      <c r="G228" t="inlineStr">
        <is>
          <t>Tennis Nova Scotia</t>
        </is>
      </c>
      <c r="H228" t="inlineStr">
        <is>
          <t>Atlantic Tennis Centre</t>
        </is>
      </c>
      <c r="I228" t="n">
        <v>39</v>
      </c>
      <c r="J228" s="4" t="n">
        <v>32</v>
      </c>
      <c r="K228" t="inlineStr">
        <is>
          <t>6 / 26</t>
        </is>
      </c>
      <c r="L228" t="inlineStr">
        <is>
          <t>3 / 16</t>
        </is>
      </c>
      <c r="M228" s="5" t="n">
        <v>0.19</v>
      </c>
      <c r="N228" s="5" t="n">
        <v>0.16</v>
      </c>
    </row>
    <row r="229">
      <c r="A229" t="n">
        <v>228</v>
      </c>
      <c r="B229" t="n">
        <v>2014</v>
      </c>
      <c r="C229" t="inlineStr">
        <is>
          <t>Isabella Quintero-Gonzalez</t>
        </is>
      </c>
      <c r="D229">
        <f>HYPERLINK("https://ota.tournamentsoftware.com/player-profile/7215E114-BC9E-4292-9B97-03B766DB64EA", "Link")</f>
        <v/>
      </c>
      <c r="E229" s="3" t="n">
        <v>309.855</v>
      </c>
      <c r="F229" s="4" t="n">
        <v>12</v>
      </c>
      <c r="G229" t="inlineStr">
        <is>
          <t>Tennis Nova Scotia</t>
        </is>
      </c>
      <c r="H229" t="inlineStr">
        <is>
          <t>Atlantic Tennis Centre</t>
        </is>
      </c>
      <c r="I229" t="n">
        <v>36.1</v>
      </c>
      <c r="J229" s="4" t="n">
        <v>117</v>
      </c>
      <c r="K229" t="inlineStr">
        <is>
          <t>61 / 56</t>
        </is>
      </c>
      <c r="L229" t="inlineStr">
        <is>
          <t>25 / 16</t>
        </is>
      </c>
      <c r="M229" s="5" t="n">
        <v>0.52</v>
      </c>
      <c r="N229" s="5" t="n">
        <v>0.61</v>
      </c>
    </row>
    <row r="230">
      <c r="A230" t="n">
        <v>229</v>
      </c>
      <c r="B230" t="n">
        <v>2015</v>
      </c>
      <c r="C230" t="inlineStr">
        <is>
          <t>Mia Louise LADEWIG</t>
        </is>
      </c>
      <c r="D230">
        <f>HYPERLINK("https://ota.tournamentsoftware.com/player-profile/25055713-74C7-482D-8A9B-00D94FB7068B", "Link")</f>
        <v/>
      </c>
      <c r="E230" s="3" t="n">
        <v>309.295</v>
      </c>
      <c r="F230" s="4" t="n">
        <v>23</v>
      </c>
      <c r="G230" t="inlineStr">
        <is>
          <t>British Columbia</t>
        </is>
      </c>
      <c r="H230" t="inlineStr">
        <is>
          <t>North Vancouver Tennis Centre</t>
        </is>
      </c>
      <c r="I230" t="n">
        <v>35.2</v>
      </c>
      <c r="J230" s="4" t="n">
        <v>221</v>
      </c>
      <c r="K230" t="inlineStr">
        <is>
          <t>140 / 81</t>
        </is>
      </c>
      <c r="L230" t="inlineStr">
        <is>
          <t>30 / 19</t>
        </is>
      </c>
      <c r="M230" s="5" t="n">
        <v>0.63</v>
      </c>
      <c r="N230" s="5" t="n">
        <v>0.61</v>
      </c>
    </row>
    <row r="231">
      <c r="A231" t="n">
        <v>230</v>
      </c>
      <c r="B231" t="n">
        <v>2013</v>
      </c>
      <c r="C231" t="inlineStr">
        <is>
          <t>Keona Asogwa</t>
        </is>
      </c>
      <c r="D231">
        <f>HYPERLINK("https://ota.tournamentsoftware.com/player-profile/1F426AE8-5B0F-4535-AD10-450570C37073", "Link")</f>
        <v/>
      </c>
      <c r="E231" s="3" t="n">
        <v>308.808</v>
      </c>
      <c r="F231" s="4" t="n">
        <v>15</v>
      </c>
      <c r="G231" t="inlineStr">
        <is>
          <t>Ontario Tennis Association</t>
        </is>
      </c>
      <c r="H231" t="inlineStr">
        <is>
          <t>Carleton Tennis Centre</t>
        </is>
      </c>
      <c r="I231" t="inlineStr">
        <is>
          <t>unavailable</t>
        </is>
      </c>
      <c r="J231" s="4" t="n">
        <v>104</v>
      </c>
      <c r="K231" t="inlineStr">
        <is>
          <t>39 / 65</t>
        </is>
      </c>
      <c r="L231" t="inlineStr">
        <is>
          <t>3 / 9</t>
        </is>
      </c>
      <c r="M231" s="5" t="n">
        <v>0.38</v>
      </c>
      <c r="N231" s="5" t="n">
        <v>0.25</v>
      </c>
    </row>
    <row r="232">
      <c r="A232" t="n">
        <v>231</v>
      </c>
      <c r="B232" t="n">
        <v>2015</v>
      </c>
      <c r="C232" t="inlineStr">
        <is>
          <t>Maya Lupu</t>
        </is>
      </c>
      <c r="D232">
        <f>HYPERLINK("https://ota.tournamentsoftware.com/player-profile/C02052CF-6FBB-4C91-8237-A96FF9B4C794", "Link")</f>
        <v/>
      </c>
      <c r="E232" s="3" t="n">
        <v>308.771</v>
      </c>
      <c r="F232" s="4" t="n">
        <v>16</v>
      </c>
      <c r="G232" t="inlineStr">
        <is>
          <t>Tennis Alberta</t>
        </is>
      </c>
      <c r="H232" t="inlineStr">
        <is>
          <t>Saville Community Sports Centre</t>
        </is>
      </c>
      <c r="I232" t="n">
        <v>36.4</v>
      </c>
      <c r="J232" s="4" t="n">
        <v>162</v>
      </c>
      <c r="K232" t="inlineStr">
        <is>
          <t>104 / 58</t>
        </is>
      </c>
      <c r="L232" t="inlineStr">
        <is>
          <t>19 / 23</t>
        </is>
      </c>
      <c r="M232" s="5" t="n">
        <v>0.64</v>
      </c>
      <c r="N232" s="5" t="n">
        <v>0.45</v>
      </c>
    </row>
    <row r="233">
      <c r="A233" t="n">
        <v>232</v>
      </c>
      <c r="B233" t="n">
        <v>2013</v>
      </c>
      <c r="C233" t="inlineStr">
        <is>
          <t>ZOE SOFIA CARDENAS PANIAGUA</t>
        </is>
      </c>
      <c r="D233">
        <f>HYPERLINK("https://ota.tournamentsoftware.com/player-profile/6ADCA248-D68F-47BB-9ED7-CDC7448C4AE9", "Link")</f>
        <v/>
      </c>
      <c r="E233" s="3" t="n">
        <v>307.118</v>
      </c>
      <c r="F233" s="4" t="n">
        <v>6</v>
      </c>
      <c r="G233" t="inlineStr">
        <is>
          <t>Tennis Manitoba</t>
        </is>
      </c>
      <c r="H233" t="inlineStr">
        <is>
          <t>Tuxedo Tennis Club</t>
        </is>
      </c>
      <c r="I233" t="inlineStr">
        <is>
          <t>unavailable</t>
        </is>
      </c>
      <c r="J233" s="4" t="n">
        <v>59</v>
      </c>
      <c r="K233" t="inlineStr">
        <is>
          <t>22 / 37</t>
        </is>
      </c>
      <c r="L233" t="inlineStr">
        <is>
          <t>6 / 8</t>
        </is>
      </c>
      <c r="M233" s="5" t="n">
        <v>0.37</v>
      </c>
      <c r="N233" s="5" t="n">
        <v>0.43</v>
      </c>
    </row>
    <row r="234">
      <c r="A234" t="n">
        <v>233</v>
      </c>
      <c r="B234" t="n">
        <v>2013</v>
      </c>
      <c r="C234" t="inlineStr">
        <is>
          <t>Anastazia De Lain</t>
        </is>
      </c>
      <c r="D234">
        <f>HYPERLINK("https://ota.tournamentsoftware.com/player-profile/BEE8D838-8464-4CCF-9268-D0D58F108999", "Link")</f>
        <v/>
      </c>
      <c r="E234" s="3" t="n">
        <v>306.39</v>
      </c>
      <c r="F234" s="4" t="n">
        <v>19</v>
      </c>
      <c r="G234" t="inlineStr">
        <is>
          <t>Tennis Québec</t>
        </is>
      </c>
      <c r="H234" t="inlineStr">
        <is>
          <t>EB Tennis inc.</t>
        </is>
      </c>
      <c r="I234" t="n">
        <v>40</v>
      </c>
      <c r="J234" s="4" t="n">
        <v>171</v>
      </c>
      <c r="K234" t="inlineStr">
        <is>
          <t>37 / 134</t>
        </is>
      </c>
      <c r="L234" t="inlineStr">
        <is>
          <t>4 / 20</t>
        </is>
      </c>
      <c r="M234" s="5" t="n">
        <v>0.22</v>
      </c>
      <c r="N234" s="5" t="n">
        <v>0.17</v>
      </c>
    </row>
    <row r="235">
      <c r="A235" t="n">
        <v>234</v>
      </c>
      <c r="B235" t="n">
        <v>2012</v>
      </c>
      <c r="C235" t="inlineStr">
        <is>
          <t>Sophia Zhang</t>
        </is>
      </c>
      <c r="D235">
        <f>HYPERLINK("https://ota.tournamentsoftware.com/player-profile/D3858E79-6F6D-42C3-B497-74590CD50165", "Link")</f>
        <v/>
      </c>
      <c r="E235" s="3" t="n">
        <v>306.074</v>
      </c>
      <c r="F235" s="4" t="n">
        <v>11</v>
      </c>
      <c r="G235" t="inlineStr">
        <is>
          <t>British Columbia</t>
        </is>
      </c>
      <c r="H235" t="inlineStr">
        <is>
          <t>Richmond Country Club</t>
        </is>
      </c>
      <c r="I235" t="n">
        <v>37.6</v>
      </c>
      <c r="J235" s="4" t="n">
        <v>118</v>
      </c>
      <c r="K235" t="inlineStr">
        <is>
          <t>33 / 85</t>
        </is>
      </c>
      <c r="L235" t="inlineStr">
        <is>
          <t>1 / 8</t>
        </is>
      </c>
      <c r="M235" s="5" t="n">
        <v>0.28</v>
      </c>
      <c r="N235" s="5" t="n">
        <v>0.11</v>
      </c>
    </row>
    <row r="236">
      <c r="A236" t="n">
        <v>235</v>
      </c>
      <c r="B236" t="n">
        <v>2013</v>
      </c>
      <c r="C236" t="inlineStr">
        <is>
          <t>Élisabeth Circé</t>
        </is>
      </c>
      <c r="D236">
        <f>HYPERLINK("https://ota.tournamentsoftware.com/player-profile/6616439A-F3CD-4D57-876F-DCE4AC4B88C9", "Link")</f>
        <v/>
      </c>
      <c r="E236" s="3" t="n">
        <v>305.808</v>
      </c>
      <c r="F236" s="4" t="n">
        <v>30</v>
      </c>
      <c r="G236" t="inlineStr">
        <is>
          <t>Tennis Québec</t>
        </is>
      </c>
      <c r="H236" t="inlineStr">
        <is>
          <t>Tennis Interclub Piedmont</t>
        </is>
      </c>
      <c r="I236" t="inlineStr">
        <is>
          <t>unavailable</t>
        </is>
      </c>
      <c r="J236" s="4" t="n">
        <v>143</v>
      </c>
      <c r="K236" t="inlineStr">
        <is>
          <t>46 / 97</t>
        </is>
      </c>
      <c r="L236" t="inlineStr">
        <is>
          <t>12 / 21</t>
        </is>
      </c>
      <c r="M236" s="5" t="n">
        <v>0.32</v>
      </c>
      <c r="N236" s="5" t="n">
        <v>0.36</v>
      </c>
    </row>
    <row r="237">
      <c r="A237" t="n">
        <v>236</v>
      </c>
      <c r="B237" t="n">
        <v>2013</v>
      </c>
      <c r="C237" t="inlineStr">
        <is>
          <t>Sonya Resnikova</t>
        </is>
      </c>
      <c r="D237">
        <f>HYPERLINK("https://ota.tournamentsoftware.com/player-profile/083F5EEA-6E2D-488B-B778-27E4248C2F0D", "Link")</f>
        <v/>
      </c>
      <c r="E237" s="3" t="n">
        <v>304.84</v>
      </c>
      <c r="F237" s="4" t="n">
        <v>20</v>
      </c>
      <c r="G237" t="inlineStr">
        <is>
          <t>Ontario Tennis Association</t>
        </is>
      </c>
      <c r="H237" t="inlineStr">
        <is>
          <t>Concord Tennis Academy</t>
        </is>
      </c>
      <c r="I237" t="n">
        <v>36.3</v>
      </c>
      <c r="J237" s="4" t="n">
        <v>73</v>
      </c>
      <c r="K237" t="inlineStr">
        <is>
          <t>46 / 27</t>
        </is>
      </c>
      <c r="L237" t="inlineStr">
        <is>
          <t>14 / 13</t>
        </is>
      </c>
      <c r="M237" s="5" t="n">
        <v>0.63</v>
      </c>
      <c r="N237" s="5" t="n">
        <v>0.52</v>
      </c>
    </row>
    <row r="238">
      <c r="A238" t="n">
        <v>237</v>
      </c>
      <c r="B238" t="n">
        <v>2014</v>
      </c>
      <c r="C238" t="inlineStr">
        <is>
          <t>Rosie Mai Kowalewski</t>
        </is>
      </c>
      <c r="D238">
        <f>HYPERLINK("https://ota.tournamentsoftware.com/player-profile/6AE6D507-C7A4-4B8D-AF2E-EBFE848DD41B", "Link")</f>
        <v/>
      </c>
      <c r="E238" s="3" t="n">
        <v>303.327</v>
      </c>
      <c r="F238" s="4" t="n">
        <v>22</v>
      </c>
      <c r="G238" t="inlineStr">
        <is>
          <t>Ontario Tennis Association</t>
        </is>
      </c>
      <c r="H238" t="inlineStr">
        <is>
          <t>No Club</t>
        </is>
      </c>
      <c r="I238" t="n">
        <v>35.8</v>
      </c>
      <c r="J238" s="4" t="n">
        <v>192</v>
      </c>
      <c r="K238" t="inlineStr">
        <is>
          <t>113 / 79</t>
        </is>
      </c>
      <c r="L238" t="inlineStr">
        <is>
          <t>14 / 11</t>
        </is>
      </c>
      <c r="M238" s="5" t="n">
        <v>0.59</v>
      </c>
      <c r="N238" s="5" t="n">
        <v>0.5600000000000001</v>
      </c>
    </row>
    <row r="239">
      <c r="A239" t="n">
        <v>238</v>
      </c>
      <c r="B239" t="n">
        <v>2014</v>
      </c>
      <c r="C239" t="inlineStr">
        <is>
          <t>Maeva Cantin</t>
        </is>
      </c>
      <c r="D239">
        <f>HYPERLINK("https://ota.tournamentsoftware.com/player-profile/B46D6374-4A68-4FB0-8516-4056AFA1047A", "Link")</f>
        <v/>
      </c>
      <c r="E239" s="3" t="n">
        <v>301.371</v>
      </c>
      <c r="F239" s="4" t="n">
        <v>15</v>
      </c>
      <c r="G239" t="inlineStr">
        <is>
          <t>Tennis Québec</t>
        </is>
      </c>
      <c r="H239" t="inlineStr">
        <is>
          <t>Centre récréatif de Repentigny / Académie Tennis Momentum</t>
        </is>
      </c>
      <c r="I239" t="n">
        <v>35.6</v>
      </c>
      <c r="J239" s="4" t="n">
        <v>146</v>
      </c>
      <c r="K239" t="inlineStr">
        <is>
          <t>78 / 68</t>
        </is>
      </c>
      <c r="L239" t="inlineStr">
        <is>
          <t>25 / 15</t>
        </is>
      </c>
      <c r="M239" s="5" t="n">
        <v>0.53</v>
      </c>
      <c r="N239" s="5" t="n">
        <v>0.62</v>
      </c>
    </row>
    <row r="240">
      <c r="A240" t="n">
        <v>239</v>
      </c>
      <c r="B240" t="n">
        <v>2013</v>
      </c>
      <c r="C240" t="inlineStr">
        <is>
          <t>Chloe Lu</t>
        </is>
      </c>
      <c r="D240">
        <f>HYPERLINK("https://ota.tournamentsoftware.com/player-profile/30F898AC-1C96-41C5-BBB0-3BFD30EC0D0D", "Link")</f>
        <v/>
      </c>
      <c r="E240" s="3" t="n">
        <v>300.706</v>
      </c>
      <c r="F240" s="4" t="n">
        <v>27</v>
      </c>
      <c r="G240" t="inlineStr">
        <is>
          <t>British Columbia</t>
        </is>
      </c>
      <c r="H240" t="inlineStr">
        <is>
          <t>UBC Tennis Centre</t>
        </is>
      </c>
      <c r="I240" t="n">
        <v>37.5</v>
      </c>
      <c r="J240" s="4" t="n">
        <v>162</v>
      </c>
      <c r="K240" t="inlineStr">
        <is>
          <t>61 / 101</t>
        </is>
      </c>
      <c r="L240" t="inlineStr">
        <is>
          <t>21 / 23</t>
        </is>
      </c>
      <c r="M240" s="5" t="n">
        <v>0.38</v>
      </c>
      <c r="N240" s="5" t="n">
        <v>0.48</v>
      </c>
    </row>
    <row r="241">
      <c r="A241" t="n">
        <v>240</v>
      </c>
      <c r="B241" t="n">
        <v>2015</v>
      </c>
      <c r="C241" t="inlineStr">
        <is>
          <t>Clara Fanoos</t>
        </is>
      </c>
      <c r="D241">
        <f>HYPERLINK("https://ota.tournamentsoftware.com/player-profile/4AE431B3-C9E6-49D8-8003-48666B13F94B", "Link")</f>
        <v/>
      </c>
      <c r="E241" s="3" t="n">
        <v>299.229</v>
      </c>
      <c r="F241" s="4" t="n">
        <v>20</v>
      </c>
      <c r="G241" t="inlineStr">
        <is>
          <t>Tennis Québec</t>
        </is>
      </c>
      <c r="H241" t="inlineStr">
        <is>
          <t>Complexe de tennis de St-Augustin</t>
        </is>
      </c>
      <c r="I241" t="n">
        <v>36.5</v>
      </c>
      <c r="J241" s="4" t="n">
        <v>191</v>
      </c>
      <c r="K241" t="inlineStr">
        <is>
          <t>117 / 74</t>
        </is>
      </c>
      <c r="L241" t="inlineStr">
        <is>
          <t>29 / 18</t>
        </is>
      </c>
      <c r="M241" s="5" t="n">
        <v>0.61</v>
      </c>
      <c r="N241" s="5" t="n">
        <v>0.62</v>
      </c>
    </row>
    <row r="242">
      <c r="A242" t="n">
        <v>241</v>
      </c>
      <c r="B242" t="n">
        <v>2015</v>
      </c>
      <c r="C242" t="inlineStr">
        <is>
          <t>Sofia Chan</t>
        </is>
      </c>
      <c r="D242">
        <f>HYPERLINK("https://ota.tournamentsoftware.com/player-profile/62C41ADF-8A1D-416E-AAF9-4C80ECB74645", "Link")</f>
        <v/>
      </c>
      <c r="E242" s="3" t="n">
        <v>291.583</v>
      </c>
      <c r="F242" s="4" t="n">
        <v>32</v>
      </c>
      <c r="G242" t="inlineStr">
        <is>
          <t>Ontario Tennis Association</t>
        </is>
      </c>
      <c r="H242" t="inlineStr">
        <is>
          <t>No Club</t>
        </is>
      </c>
      <c r="I242" t="n">
        <v>36.5</v>
      </c>
      <c r="J242" s="4" t="n">
        <v>142</v>
      </c>
      <c r="K242" t="inlineStr">
        <is>
          <t>89 / 53</t>
        </is>
      </c>
      <c r="L242" t="inlineStr">
        <is>
          <t>32 / 22</t>
        </is>
      </c>
      <c r="M242" s="5" t="n">
        <v>0.63</v>
      </c>
      <c r="N242" s="5" t="n">
        <v>0.59</v>
      </c>
    </row>
    <row r="243">
      <c r="A243" t="n">
        <v>242</v>
      </c>
      <c r="B243" t="n">
        <v>2014</v>
      </c>
      <c r="C243" t="inlineStr">
        <is>
          <t>Krystal Xuan Sun</t>
        </is>
      </c>
      <c r="D243">
        <f>HYPERLINK("https://ota.tournamentsoftware.com/player-profile/683C106F-AE4B-4C63-B1A3-D9C25FFAD31B", "Link")</f>
        <v/>
      </c>
      <c r="E243" s="3" t="n">
        <v>289.981</v>
      </c>
      <c r="F243" s="4" t="n">
        <v>11</v>
      </c>
      <c r="G243" t="inlineStr">
        <is>
          <t>Tennis Manitoba</t>
        </is>
      </c>
      <c r="H243" t="inlineStr">
        <is>
          <t>Taylor Tennis</t>
        </is>
      </c>
      <c r="I243" t="inlineStr">
        <is>
          <t>unavailable</t>
        </is>
      </c>
      <c r="J243" s="4" t="n">
        <v>74</v>
      </c>
      <c r="K243" t="inlineStr">
        <is>
          <t>21 / 53</t>
        </is>
      </c>
      <c r="L243" t="inlineStr">
        <is>
          <t>10 / 29</t>
        </is>
      </c>
      <c r="M243" s="5" t="n">
        <v>0.28</v>
      </c>
      <c r="N243" s="5" t="n">
        <v>0.26</v>
      </c>
    </row>
    <row r="244">
      <c r="A244" t="n">
        <v>243</v>
      </c>
      <c r="B244" t="n">
        <v>2012</v>
      </c>
      <c r="C244" t="inlineStr">
        <is>
          <t>helena Khorsid-G-Mahdi</t>
        </is>
      </c>
      <c r="D244">
        <f>HYPERLINK("https://ota.tournamentsoftware.com/player-profile/D9FB3068-A1A7-4F96-B728-095D292B805C", "Link")</f>
        <v/>
      </c>
      <c r="E244" s="3" t="n">
        <v>287.604</v>
      </c>
      <c r="F244" s="4" t="n">
        <v>16</v>
      </c>
      <c r="G244" t="inlineStr">
        <is>
          <t>Ontario Tennis Association</t>
        </is>
      </c>
      <c r="H244" t="inlineStr">
        <is>
          <t>Cottingham Tennis Club</t>
        </is>
      </c>
      <c r="I244" t="inlineStr">
        <is>
          <t>unavailable</t>
        </is>
      </c>
      <c r="J244" s="4" t="n">
        <v>48</v>
      </c>
      <c r="K244" t="inlineStr">
        <is>
          <t>30 / 18</t>
        </is>
      </c>
      <c r="L244" t="inlineStr">
        <is>
          <t>16 / 11</t>
        </is>
      </c>
      <c r="M244" s="5" t="n">
        <v>0.62</v>
      </c>
      <c r="N244" s="5" t="n">
        <v>0.59</v>
      </c>
    </row>
    <row r="245">
      <c r="A245" t="n">
        <v>244</v>
      </c>
      <c r="B245" t="n">
        <v>2013</v>
      </c>
      <c r="C245" t="inlineStr">
        <is>
          <t>Sasha Stack</t>
        </is>
      </c>
      <c r="D245">
        <f>HYPERLINK("https://ota.tournamentsoftware.com/player-profile/C0B95842-5E69-4EBF-8E5C-398666A7112E", "Link")</f>
        <v/>
      </c>
      <c r="E245" s="3" t="n">
        <v>283.679</v>
      </c>
      <c r="F245" s="4" t="n">
        <v>15</v>
      </c>
      <c r="G245" t="inlineStr">
        <is>
          <t>British Columbia</t>
        </is>
      </c>
      <c r="H245" t="inlineStr">
        <is>
          <t>Hollyburn Country Club</t>
        </is>
      </c>
      <c r="I245" t="n">
        <v>38.1</v>
      </c>
      <c r="J245" s="4" t="n">
        <v>113</v>
      </c>
      <c r="K245" t="inlineStr">
        <is>
          <t>52 / 61</t>
        </is>
      </c>
      <c r="L245" t="inlineStr">
        <is>
          <t>8 / 15</t>
        </is>
      </c>
      <c r="M245" s="5" t="n">
        <v>0.46</v>
      </c>
      <c r="N245" s="5" t="n">
        <v>0.35</v>
      </c>
    </row>
    <row r="246">
      <c r="A246" t="n">
        <v>245</v>
      </c>
      <c r="B246" t="n">
        <v>2014</v>
      </c>
      <c r="C246" t="inlineStr">
        <is>
          <t>Avelyn Deepak</t>
        </is>
      </c>
      <c r="D246">
        <f>HYPERLINK("https://ota.tournamentsoftware.com/player-profile/4412DB09-5DE9-45DA-AB13-46B4F24B409F", "Link")</f>
        <v/>
      </c>
      <c r="E246" s="3" t="n">
        <v>282.546</v>
      </c>
      <c r="F246" s="4" t="n">
        <v>10</v>
      </c>
      <c r="G246" t="inlineStr">
        <is>
          <t>Tennis Manitoba</t>
        </is>
      </c>
      <c r="H246" t="inlineStr">
        <is>
          <t>Winnipeg Winter Club</t>
        </is>
      </c>
      <c r="I246" t="n">
        <v>38.8</v>
      </c>
      <c r="J246" s="4" t="n">
        <v>35</v>
      </c>
      <c r="K246" t="inlineStr">
        <is>
          <t>9 / 26</t>
        </is>
      </c>
      <c r="L246" t="inlineStr">
        <is>
          <t>9 / 26</t>
        </is>
      </c>
      <c r="M246" s="5" t="n">
        <v>0.26</v>
      </c>
      <c r="N246" s="5" t="n">
        <v>0.26</v>
      </c>
    </row>
    <row r="247">
      <c r="A247" t="n">
        <v>246</v>
      </c>
      <c r="B247" t="n">
        <v>2015</v>
      </c>
      <c r="C247" t="inlineStr">
        <is>
          <t>Zoë Crago</t>
        </is>
      </c>
      <c r="D247">
        <f>HYPERLINK("https://ota.tournamentsoftware.com/player-profile/C2D18227-6075-4F1E-83A2-40A822F874D3", "Link")</f>
        <v/>
      </c>
      <c r="E247" s="3" t="n">
        <v>281.27</v>
      </c>
      <c r="F247" s="4" t="n">
        <v>23</v>
      </c>
      <c r="G247" t="inlineStr">
        <is>
          <t>Tennis Québec</t>
        </is>
      </c>
      <c r="H247" t="inlineStr">
        <is>
          <t>Tennis Montréal Excellence</t>
        </is>
      </c>
      <c r="I247" t="n">
        <v>36.8</v>
      </c>
      <c r="J247" s="4" t="n">
        <v>189</v>
      </c>
      <c r="K247" t="inlineStr">
        <is>
          <t>101 / 88</t>
        </is>
      </c>
      <c r="L247" t="inlineStr">
        <is>
          <t>29 / 20</t>
        </is>
      </c>
      <c r="M247" s="5" t="n">
        <v>0.53</v>
      </c>
      <c r="N247" s="5" t="n">
        <v>0.59</v>
      </c>
    </row>
    <row r="248">
      <c r="A248" t="n">
        <v>247</v>
      </c>
      <c r="B248" t="n">
        <v>2013</v>
      </c>
      <c r="C248" t="inlineStr">
        <is>
          <t>Chanjoban Kaur Birdi</t>
        </is>
      </c>
      <c r="D248">
        <f>HYPERLINK("https://ota.tournamentsoftware.com/player-profile/26D50988-CF95-4A0A-9087-8DC8E38F0BDB", "Link")</f>
        <v/>
      </c>
      <c r="E248" s="3" t="n">
        <v>278.58</v>
      </c>
      <c r="F248" s="4" t="n">
        <v>20</v>
      </c>
      <c r="G248" t="inlineStr">
        <is>
          <t>British Columbia</t>
        </is>
      </c>
      <c r="H248" t="inlineStr">
        <is>
          <t>Newton Tennis Club</t>
        </is>
      </c>
      <c r="I248" t="n">
        <v>36.2</v>
      </c>
      <c r="J248" s="4" t="n">
        <v>196</v>
      </c>
      <c r="K248" t="inlineStr">
        <is>
          <t>96 / 100</t>
        </is>
      </c>
      <c r="L248" t="inlineStr">
        <is>
          <t>21 / 13</t>
        </is>
      </c>
      <c r="M248" s="5" t="n">
        <v>0.49</v>
      </c>
      <c r="N248" s="5" t="n">
        <v>0.62</v>
      </c>
    </row>
    <row r="249">
      <c r="A249" t="n">
        <v>248</v>
      </c>
      <c r="B249" t="n">
        <v>2014</v>
      </c>
      <c r="C249" t="inlineStr">
        <is>
          <t>Elliette Leah Tran</t>
        </is>
      </c>
      <c r="D249">
        <f>HYPERLINK("https://ota.tournamentsoftware.com/player-profile/9986D752-4364-42A6-9A1B-E1BC239760F0", "Link")</f>
        <v/>
      </c>
      <c r="E249" s="3" t="n">
        <v>278.539</v>
      </c>
      <c r="F249" s="4" t="n">
        <v>17</v>
      </c>
      <c r="G249" t="inlineStr">
        <is>
          <t>Tennis Alberta</t>
        </is>
      </c>
      <c r="H249" t="inlineStr">
        <is>
          <t>Saville Community Sports Centre</t>
        </is>
      </c>
      <c r="I249" t="inlineStr">
        <is>
          <t>unavailable</t>
        </is>
      </c>
      <c r="J249" s="4" t="n">
        <v>118</v>
      </c>
      <c r="K249" t="inlineStr">
        <is>
          <t>59 / 59</t>
        </is>
      </c>
      <c r="L249" t="inlineStr">
        <is>
          <t>24 / 19</t>
        </is>
      </c>
      <c r="M249" s="5" t="n">
        <v>0.5</v>
      </c>
      <c r="N249" s="5" t="n">
        <v>0.5600000000000001</v>
      </c>
    </row>
    <row r="250">
      <c r="A250" t="n">
        <v>249</v>
      </c>
      <c r="B250" t="n">
        <v>2013</v>
      </c>
      <c r="C250" t="inlineStr">
        <is>
          <t>Maddie Kershaw</t>
        </is>
      </c>
      <c r="D250">
        <f>HYPERLINK("https://ota.tournamentsoftware.com/player-profile/14F8911D-BF5A-4FE7-BFF6-D5A71E72307F", "Link")</f>
        <v/>
      </c>
      <c r="E250" s="3" t="n">
        <v>278.432</v>
      </c>
      <c r="F250" s="4" t="n">
        <v>10</v>
      </c>
      <c r="G250" t="inlineStr">
        <is>
          <t>Tennis New Brunswick</t>
        </is>
      </c>
      <c r="H250" t="inlineStr">
        <is>
          <t>Abony Family Tennis Center</t>
        </is>
      </c>
      <c r="I250" t="n">
        <v>36.7</v>
      </c>
      <c r="J250" s="4" t="n">
        <v>188</v>
      </c>
      <c r="K250" t="inlineStr">
        <is>
          <t>95 / 93</t>
        </is>
      </c>
      <c r="L250" t="inlineStr">
        <is>
          <t>16 / 23</t>
        </is>
      </c>
      <c r="M250" s="5" t="n">
        <v>0.51</v>
      </c>
      <c r="N250" s="5" t="n">
        <v>0.41</v>
      </c>
    </row>
    <row r="251">
      <c r="A251" t="n">
        <v>250</v>
      </c>
      <c r="B251" t="n">
        <v>2013</v>
      </c>
      <c r="C251" t="inlineStr">
        <is>
          <t>Lily Gaumond-Boivin</t>
        </is>
      </c>
      <c r="D251">
        <f>HYPERLINK("https://ota.tournamentsoftware.com/player-profile/98461C64-ECF9-40D8-849E-C8999A9F9BA1", "Link")</f>
        <v/>
      </c>
      <c r="E251" s="3" t="n">
        <v>272.103</v>
      </c>
      <c r="F251" s="4" t="n">
        <v>20</v>
      </c>
      <c r="G251" t="inlineStr">
        <is>
          <t>Tennis Québec</t>
        </is>
      </c>
      <c r="H251" t="inlineStr">
        <is>
          <t>Club Avantage Multi-sports / Académie de tennis Hérisset Bordeleau</t>
        </is>
      </c>
      <c r="I251" t="inlineStr">
        <is>
          <t>unavailable</t>
        </is>
      </c>
      <c r="J251" s="4" t="n">
        <v>116</v>
      </c>
      <c r="K251" t="inlineStr">
        <is>
          <t>57 / 59</t>
        </is>
      </c>
      <c r="L251" t="inlineStr">
        <is>
          <t>7 / 10</t>
        </is>
      </c>
      <c r="M251" s="5" t="n">
        <v>0.49</v>
      </c>
      <c r="N251" s="5" t="n">
        <v>0.41</v>
      </c>
    </row>
    <row r="252">
      <c r="A252" t="n">
        <v>251</v>
      </c>
      <c r="B252" t="n">
        <v>2012</v>
      </c>
      <c r="C252" t="inlineStr">
        <is>
          <t>ella kim brend</t>
        </is>
      </c>
      <c r="D252">
        <f>HYPERLINK("https://ota.tournamentsoftware.com/player-profile/C777EDB2-AC2E-4E02-948A-26DCAC347821", "Link")</f>
        <v/>
      </c>
      <c r="E252" s="3" t="n">
        <v>270.697</v>
      </c>
      <c r="F252" s="4" t="n">
        <v>18</v>
      </c>
      <c r="G252" t="inlineStr">
        <is>
          <t>British Columbia</t>
        </is>
      </c>
      <c r="H252" t="inlineStr">
        <is>
          <t>The Tennis Centre</t>
        </is>
      </c>
      <c r="I252" t="inlineStr">
        <is>
          <t>unavailable</t>
        </is>
      </c>
      <c r="J252" s="4" t="inlineStr"/>
      <c r="K252" t="inlineStr">
        <is>
          <t>unavailable</t>
        </is>
      </c>
      <c r="L252" t="inlineStr">
        <is>
          <t>unavailable</t>
        </is>
      </c>
      <c r="M252" s="5" t="inlineStr"/>
      <c r="N252" s="5" t="inlineStr"/>
    </row>
    <row r="253">
      <c r="A253" t="n">
        <v>252</v>
      </c>
      <c r="B253" t="n">
        <v>2014</v>
      </c>
      <c r="C253" t="inlineStr">
        <is>
          <t>Katelyn Li</t>
        </is>
      </c>
      <c r="D253">
        <f>HYPERLINK("https://ota.tournamentsoftware.com/player-profile/4A74B151-256A-40ED-9F9D-F00036EDD0A5", "Link")</f>
        <v/>
      </c>
      <c r="E253" s="3" t="n">
        <v>270.485</v>
      </c>
      <c r="F253" s="4" t="n">
        <v>22</v>
      </c>
      <c r="G253" t="inlineStr">
        <is>
          <t>Ontario Tennis Association</t>
        </is>
      </c>
      <c r="H253" t="inlineStr">
        <is>
          <t>No Club</t>
        </is>
      </c>
      <c r="I253" t="inlineStr">
        <is>
          <t>unavailable</t>
        </is>
      </c>
      <c r="J253" s="4" t="n">
        <v>123</v>
      </c>
      <c r="K253" t="inlineStr">
        <is>
          <t>56 / 67</t>
        </is>
      </c>
      <c r="L253" t="inlineStr">
        <is>
          <t>15 / 17</t>
        </is>
      </c>
      <c r="M253" s="5" t="n">
        <v>0.46</v>
      </c>
      <c r="N253" s="5" t="n">
        <v>0.47</v>
      </c>
    </row>
    <row r="254">
      <c r="A254" t="n">
        <v>253</v>
      </c>
      <c r="B254" t="n">
        <v>2014</v>
      </c>
      <c r="C254" t="inlineStr">
        <is>
          <t>Elisa Krumov</t>
        </is>
      </c>
      <c r="D254">
        <f>HYPERLINK("https://ota.tournamentsoftware.com/player-profile/8B5D18FC-0F51-468A-BE7C-7EA242A06382", "Link")</f>
        <v/>
      </c>
      <c r="E254" s="3" t="n">
        <v>270.273</v>
      </c>
      <c r="F254" s="4" t="n">
        <v>16</v>
      </c>
      <c r="G254" t="inlineStr">
        <is>
          <t>Ontario Tennis Association</t>
        </is>
      </c>
      <c r="H254" t="inlineStr">
        <is>
          <t>Joshua Creek Golf &amp; Tennis</t>
        </is>
      </c>
      <c r="I254" t="n">
        <v>36.9</v>
      </c>
      <c r="J254" s="4" t="n">
        <v>89</v>
      </c>
      <c r="K254" t="inlineStr">
        <is>
          <t>43 / 46</t>
        </is>
      </c>
      <c r="L254" t="inlineStr">
        <is>
          <t>16 / 16</t>
        </is>
      </c>
      <c r="M254" s="5" t="n">
        <v>0.48</v>
      </c>
      <c r="N254" s="5" t="n">
        <v>0.5</v>
      </c>
    </row>
    <row r="255">
      <c r="A255" t="n">
        <v>254</v>
      </c>
      <c r="B255" t="n">
        <v>2014</v>
      </c>
      <c r="C255" t="inlineStr">
        <is>
          <t>Tehzeeb MRAR</t>
        </is>
      </c>
      <c r="D255">
        <f>HYPERLINK("https://ota.tournamentsoftware.com/player-profile/9E69163B-7ED7-4450-8845-0676D6C943B8", "Link")</f>
        <v/>
      </c>
      <c r="E255" s="3" t="n">
        <v>268.87</v>
      </c>
      <c r="F255" s="4" t="n">
        <v>19</v>
      </c>
      <c r="G255" t="inlineStr">
        <is>
          <t>British Columbia</t>
        </is>
      </c>
      <c r="H255" t="inlineStr">
        <is>
          <t>No Club</t>
        </is>
      </c>
      <c r="I255" t="n">
        <v>36.2</v>
      </c>
      <c r="J255" s="4" t="n">
        <v>191</v>
      </c>
      <c r="K255" t="inlineStr">
        <is>
          <t>103 / 88</t>
        </is>
      </c>
      <c r="L255" t="inlineStr">
        <is>
          <t>13 / 14</t>
        </is>
      </c>
      <c r="M255" s="5" t="n">
        <v>0.54</v>
      </c>
      <c r="N255" s="5" t="n">
        <v>0.48</v>
      </c>
    </row>
    <row r="256">
      <c r="A256" t="n">
        <v>255</v>
      </c>
      <c r="B256" t="n">
        <v>2012</v>
      </c>
      <c r="C256" t="inlineStr">
        <is>
          <t>Jamie Cui</t>
        </is>
      </c>
      <c r="D256">
        <f>HYPERLINK("https://ota.tournamentsoftware.com/player-profile/6F7B90A5-BECB-44C9-9B4E-74FED8443672", "Link")</f>
        <v/>
      </c>
      <c r="E256" s="3" t="n">
        <v>262.497</v>
      </c>
      <c r="F256" s="4" t="n">
        <v>20</v>
      </c>
      <c r="G256" t="inlineStr">
        <is>
          <t>British Columbia</t>
        </is>
      </c>
      <c r="H256" t="inlineStr">
        <is>
          <t>Coquitlam Tennis Club</t>
        </is>
      </c>
      <c r="I256" t="inlineStr">
        <is>
          <t>unavailable</t>
        </is>
      </c>
      <c r="J256" s="4" t="n">
        <v>162</v>
      </c>
      <c r="K256" t="inlineStr">
        <is>
          <t>44 / 118</t>
        </is>
      </c>
      <c r="L256" t="inlineStr">
        <is>
          <t>7 / 15</t>
        </is>
      </c>
      <c r="M256" s="5" t="n">
        <v>0.27</v>
      </c>
      <c r="N256" s="5" t="n">
        <v>0.32</v>
      </c>
    </row>
    <row r="257">
      <c r="A257" t="n">
        <v>256</v>
      </c>
      <c r="B257" t="n">
        <v>2012</v>
      </c>
      <c r="C257" t="inlineStr">
        <is>
          <t>Eva Brisson</t>
        </is>
      </c>
      <c r="D257">
        <f>HYPERLINK("https://ota.tournamentsoftware.com/player-profile/BC349487-CEB9-4CB8-ABCF-1006DD0F69AA", "Link")</f>
        <v/>
      </c>
      <c r="E257" s="3" t="n">
        <v>262.278</v>
      </c>
      <c r="F257" s="4" t="n">
        <v>22</v>
      </c>
      <c r="G257" t="inlineStr">
        <is>
          <t>Tennis Québec</t>
        </is>
      </c>
      <c r="H257" t="inlineStr">
        <is>
          <t>Club Sportif Côte-de-Liesse</t>
        </is>
      </c>
      <c r="I257" t="n">
        <v>37.7</v>
      </c>
      <c r="J257" s="4" t="n">
        <v>136</v>
      </c>
      <c r="K257" t="inlineStr">
        <is>
          <t>55 / 81</t>
        </is>
      </c>
      <c r="L257" t="inlineStr">
        <is>
          <t>9 / 13</t>
        </is>
      </c>
      <c r="M257" s="5" t="n">
        <v>0.4</v>
      </c>
      <c r="N257" s="5" t="n">
        <v>0.41</v>
      </c>
    </row>
    <row r="258">
      <c r="A258" t="n">
        <v>257</v>
      </c>
      <c r="B258" t="n">
        <v>2014</v>
      </c>
      <c r="C258" t="inlineStr">
        <is>
          <t>Thanushka Sadasivam</t>
        </is>
      </c>
      <c r="D258">
        <f>HYPERLINK("https://ota.tournamentsoftware.com/player-profile/CA495DA8-0B9D-4530-9886-FC567CD73AE9", "Link")</f>
        <v/>
      </c>
      <c r="E258" s="3" t="n">
        <v>261.793</v>
      </c>
      <c r="F258" s="4" t="n">
        <v>20</v>
      </c>
      <c r="G258" t="inlineStr">
        <is>
          <t>Ontario Tennis Association</t>
        </is>
      </c>
      <c r="H258" t="inlineStr">
        <is>
          <t>Ontario Racquet Club</t>
        </is>
      </c>
      <c r="I258" t="n">
        <v>37.9</v>
      </c>
      <c r="J258" s="4" t="n">
        <v>59</v>
      </c>
      <c r="K258" t="inlineStr">
        <is>
          <t>25 / 34</t>
        </is>
      </c>
      <c r="L258" t="inlineStr">
        <is>
          <t>7 / 12</t>
        </is>
      </c>
      <c r="M258" s="5" t="n">
        <v>0.42</v>
      </c>
      <c r="N258" s="5" t="n">
        <v>0.37</v>
      </c>
    </row>
    <row r="259">
      <c r="A259" t="n">
        <v>258</v>
      </c>
      <c r="B259" t="n">
        <v>2015</v>
      </c>
      <c r="C259" t="inlineStr">
        <is>
          <t>Emma Xu</t>
        </is>
      </c>
      <c r="D259">
        <f>HYPERLINK("https://ota.tournamentsoftware.com/player-profile/464089C3-D2B4-413F-A102-AF0AEFF9A318", "Link")</f>
        <v/>
      </c>
      <c r="E259" s="3" t="n">
        <v>259.338</v>
      </c>
      <c r="F259" s="4" t="n">
        <v>9</v>
      </c>
      <c r="G259" t="inlineStr">
        <is>
          <t>Tennis Manitoba</t>
        </is>
      </c>
      <c r="H259" t="inlineStr">
        <is>
          <t>Taylor Tennis</t>
        </is>
      </c>
      <c r="I259" t="n">
        <v>40</v>
      </c>
      <c r="J259" s="4" t="n">
        <v>98</v>
      </c>
      <c r="K259" t="inlineStr">
        <is>
          <t>27 / 71</t>
        </is>
      </c>
      <c r="L259" t="inlineStr">
        <is>
          <t>9 / 28</t>
        </is>
      </c>
      <c r="M259" s="5" t="n">
        <v>0.28</v>
      </c>
      <c r="N259" s="5" t="n">
        <v>0.24</v>
      </c>
    </row>
    <row r="260">
      <c r="A260" t="n">
        <v>259</v>
      </c>
      <c r="B260" t="n">
        <v>2013</v>
      </c>
      <c r="C260" t="inlineStr">
        <is>
          <t>Mia Tran</t>
        </is>
      </c>
      <c r="D260">
        <f>HYPERLINK("https://ota.tournamentsoftware.com/player-profile/140A029D-3BE9-44F2-AA6A-53ED5C2991A8", "Link")</f>
        <v/>
      </c>
      <c r="E260" s="3" t="n">
        <v>257.72</v>
      </c>
      <c r="F260" s="4" t="n">
        <v>11</v>
      </c>
      <c r="G260" t="inlineStr">
        <is>
          <t>Ontario Tennis Association</t>
        </is>
      </c>
      <c r="H260" t="inlineStr">
        <is>
          <t>SmartVMC Racquetsports by ACE</t>
        </is>
      </c>
      <c r="I260" t="n">
        <v>36.2</v>
      </c>
      <c r="J260" s="4" t="n">
        <v>81</v>
      </c>
      <c r="K260" t="inlineStr">
        <is>
          <t>50 / 31</t>
        </is>
      </c>
      <c r="L260" t="inlineStr">
        <is>
          <t>11 / 6</t>
        </is>
      </c>
      <c r="M260" s="5" t="n">
        <v>0.62</v>
      </c>
      <c r="N260" s="5" t="n">
        <v>0.65</v>
      </c>
    </row>
    <row r="261">
      <c r="A261" t="n">
        <v>260</v>
      </c>
      <c r="B261" t="n">
        <v>2013</v>
      </c>
      <c r="C261" t="inlineStr">
        <is>
          <t>Ebun Fasanya</t>
        </is>
      </c>
      <c r="D261">
        <f>HYPERLINK("https://ota.tournamentsoftware.com/player-profile/943BB22B-8108-44B4-80BD-15A6984D1D23", "Link")</f>
        <v/>
      </c>
      <c r="E261" s="3" t="n">
        <v>256.168</v>
      </c>
      <c r="F261" s="4" t="n">
        <v>19</v>
      </c>
      <c r="G261" t="inlineStr">
        <is>
          <t>Ontario Tennis Association</t>
        </is>
      </c>
      <c r="H261" t="inlineStr">
        <is>
          <t>Joshua Creek Golf &amp; Tennis</t>
        </is>
      </c>
      <c r="I261" t="n">
        <v>37.7</v>
      </c>
      <c r="J261" s="4" t="n">
        <v>80</v>
      </c>
      <c r="K261" t="inlineStr">
        <is>
          <t>44 / 36</t>
        </is>
      </c>
      <c r="L261" t="inlineStr">
        <is>
          <t>16 / 13</t>
        </is>
      </c>
      <c r="M261" s="5" t="n">
        <v>0.55</v>
      </c>
      <c r="N261" s="5" t="n">
        <v>0.55</v>
      </c>
    </row>
    <row r="262">
      <c r="A262" t="n">
        <v>261</v>
      </c>
      <c r="B262" t="n">
        <v>2014</v>
      </c>
      <c r="C262" t="inlineStr">
        <is>
          <t>Isabella Huang</t>
        </is>
      </c>
      <c r="D262">
        <f>HYPERLINK("https://ota.tournamentsoftware.com/player-profile/DB8FA904-8DE1-4D99-951F-F44CD792291A", "Link")</f>
        <v/>
      </c>
      <c r="E262" s="3" t="n">
        <v>255.752</v>
      </c>
      <c r="F262" s="4" t="n">
        <v>16</v>
      </c>
      <c r="G262" t="inlineStr">
        <is>
          <t>British Columbia</t>
        </is>
      </c>
      <c r="H262" t="inlineStr">
        <is>
          <t>Burnaby Tennis Club</t>
        </is>
      </c>
      <c r="I262" t="inlineStr">
        <is>
          <t>unavailable</t>
        </is>
      </c>
      <c r="J262" s="4" t="n">
        <v>186</v>
      </c>
      <c r="K262" t="inlineStr">
        <is>
          <t>103 / 83</t>
        </is>
      </c>
      <c r="L262" t="inlineStr">
        <is>
          <t>16 / 11</t>
        </is>
      </c>
      <c r="M262" s="5" t="n">
        <v>0.55</v>
      </c>
      <c r="N262" s="5" t="n">
        <v>0.59</v>
      </c>
    </row>
    <row r="263">
      <c r="A263" t="n">
        <v>262</v>
      </c>
      <c r="B263" t="n">
        <v>2015</v>
      </c>
      <c r="C263" t="inlineStr">
        <is>
          <t>Alia Idrissi Serghini</t>
        </is>
      </c>
      <c r="D263">
        <f>HYPERLINK("https://ota.tournamentsoftware.com/player-profile/CF328206-362D-4259-AA9F-74B7EF760A80", "Link")</f>
        <v/>
      </c>
      <c r="E263" s="3" t="n">
        <v>255.058</v>
      </c>
      <c r="F263" s="4" t="n">
        <v>19</v>
      </c>
      <c r="G263" t="inlineStr">
        <is>
          <t>Tennis Québec</t>
        </is>
      </c>
      <c r="H263" t="inlineStr">
        <is>
          <t>Centre récréatif de Repentigny / Académie Tennis Momentum</t>
        </is>
      </c>
      <c r="I263" t="n">
        <v>37.3</v>
      </c>
      <c r="J263" s="4" t="n">
        <v>139</v>
      </c>
      <c r="K263" t="inlineStr">
        <is>
          <t>84 / 55</t>
        </is>
      </c>
      <c r="L263" t="inlineStr">
        <is>
          <t>19 / 19</t>
        </is>
      </c>
      <c r="M263" s="5" t="n">
        <v>0.6</v>
      </c>
      <c r="N263" s="5" t="n">
        <v>0.5</v>
      </c>
    </row>
    <row r="264">
      <c r="A264" t="n">
        <v>263</v>
      </c>
      <c r="B264" t="n">
        <v>2012</v>
      </c>
      <c r="C264" t="inlineStr">
        <is>
          <t>Yunia Bartha</t>
        </is>
      </c>
      <c r="D264">
        <f>HYPERLINK("https://ota.tournamentsoftware.com/player-profile/3A2980C0-C922-4870-A2B4-18E74AC903C2", "Link")</f>
        <v/>
      </c>
      <c r="E264" s="3" t="n">
        <v>253.684</v>
      </c>
      <c r="F264" s="4" t="n">
        <v>24</v>
      </c>
      <c r="G264" t="inlineStr">
        <is>
          <t>Tennis Québec</t>
        </is>
      </c>
      <c r="H264" t="inlineStr">
        <is>
          <t>Club Sportif Côte-de-Liesse</t>
        </is>
      </c>
      <c r="I264" t="n">
        <v>38.2</v>
      </c>
      <c r="J264" s="4" t="n">
        <v>137</v>
      </c>
      <c r="K264" t="inlineStr">
        <is>
          <t>53 / 84</t>
        </is>
      </c>
      <c r="L264" t="inlineStr">
        <is>
          <t>9 / 20</t>
        </is>
      </c>
      <c r="M264" s="5" t="n">
        <v>0.39</v>
      </c>
      <c r="N264" s="5" t="n">
        <v>0.31</v>
      </c>
    </row>
    <row r="265">
      <c r="A265" t="n">
        <v>264</v>
      </c>
      <c r="B265" t="n">
        <v>2014</v>
      </c>
      <c r="C265" t="inlineStr">
        <is>
          <t>Hailey Zhou</t>
        </is>
      </c>
      <c r="D265">
        <f>HYPERLINK("https://ota.tournamentsoftware.com/player-profile/3046278B-E91E-4DE6-B598-5CD7D202AA49", "Link")</f>
        <v/>
      </c>
      <c r="E265" s="3" t="n">
        <v>252.828</v>
      </c>
      <c r="F265" s="4" t="n">
        <v>29</v>
      </c>
      <c r="G265" t="inlineStr">
        <is>
          <t>Ontario Tennis Association</t>
        </is>
      </c>
      <c r="H265" t="inlineStr">
        <is>
          <t>Advantage Tennis International at Veneto</t>
        </is>
      </c>
      <c r="I265" t="n">
        <v>37.7</v>
      </c>
      <c r="J265" s="4" t="n">
        <v>68</v>
      </c>
      <c r="K265" t="inlineStr">
        <is>
          <t>34 / 34</t>
        </is>
      </c>
      <c r="L265" t="inlineStr">
        <is>
          <t>24 / 22</t>
        </is>
      </c>
      <c r="M265" s="5" t="n">
        <v>0.5</v>
      </c>
      <c r="N265" s="5" t="n">
        <v>0.52</v>
      </c>
    </row>
    <row r="266">
      <c r="A266" t="n">
        <v>265</v>
      </c>
      <c r="B266" t="n">
        <v>2015</v>
      </c>
      <c r="C266" t="inlineStr">
        <is>
          <t>Sophia Shiqi Zeng</t>
        </is>
      </c>
      <c r="D266">
        <f>HYPERLINK("https://ota.tournamentsoftware.com/player-profile/F1A373DA-18B2-46FA-AF39-157644DB679B", "Link")</f>
        <v/>
      </c>
      <c r="E266" s="3" t="n">
        <v>251.236</v>
      </c>
      <c r="F266" s="4" t="n">
        <v>23</v>
      </c>
      <c r="G266" t="inlineStr">
        <is>
          <t>British Columbia</t>
        </is>
      </c>
      <c r="H266" t="inlineStr">
        <is>
          <t>The Tennis Centre</t>
        </is>
      </c>
      <c r="I266" t="n">
        <v>36.6</v>
      </c>
      <c r="J266" s="4" t="n">
        <v>179</v>
      </c>
      <c r="K266" t="inlineStr">
        <is>
          <t>97 / 82</t>
        </is>
      </c>
      <c r="L266" t="inlineStr">
        <is>
          <t>23 / 13</t>
        </is>
      </c>
      <c r="M266" s="5" t="n">
        <v>0.54</v>
      </c>
      <c r="N266" s="5" t="n">
        <v>0.64</v>
      </c>
    </row>
    <row r="267">
      <c r="A267" t="n">
        <v>266</v>
      </c>
      <c r="B267" t="n">
        <v>2012</v>
      </c>
      <c r="C267" t="inlineStr">
        <is>
          <t>Trisha Singh</t>
        </is>
      </c>
      <c r="D267">
        <f>HYPERLINK("https://ota.tournamentsoftware.com/player-profile/CA831513-6963-4556-B8FD-4D148748EB19", "Link")</f>
        <v/>
      </c>
      <c r="E267" s="3" t="n">
        <v>250.421</v>
      </c>
      <c r="F267" s="4" t="n">
        <v>17</v>
      </c>
      <c r="G267" t="inlineStr">
        <is>
          <t>Tennis Québec</t>
        </is>
      </c>
      <c r="H267" t="inlineStr">
        <is>
          <t>Tennis 13 / Académie Ménard et associé</t>
        </is>
      </c>
      <c r="I267" t="n">
        <v>38</v>
      </c>
      <c r="J267" s="4" t="n">
        <v>85</v>
      </c>
      <c r="K267" t="inlineStr">
        <is>
          <t>36 / 49</t>
        </is>
      </c>
      <c r="L267" t="inlineStr">
        <is>
          <t>6 / 16</t>
        </is>
      </c>
      <c r="M267" s="5" t="n">
        <v>0.42</v>
      </c>
      <c r="N267" s="5" t="n">
        <v>0.27</v>
      </c>
    </row>
    <row r="268">
      <c r="A268" t="n">
        <v>267</v>
      </c>
      <c r="B268" t="n">
        <v>2015</v>
      </c>
      <c r="C268" t="inlineStr">
        <is>
          <t>Keira Braudo</t>
        </is>
      </c>
      <c r="D268">
        <f>HYPERLINK("https://ota.tournamentsoftware.com/player-profile/8D683600-A107-430B-BBAA-BD98BDCE0FD8", "Link")</f>
        <v/>
      </c>
      <c r="E268" s="3" t="n">
        <v>250.103</v>
      </c>
      <c r="F268" s="4" t="n">
        <v>14</v>
      </c>
      <c r="G268" t="inlineStr">
        <is>
          <t>Ontario Tennis Association</t>
        </is>
      </c>
      <c r="H268" t="inlineStr">
        <is>
          <t>Mayfair West Fitness &amp; Racquet Club</t>
        </is>
      </c>
      <c r="I268" t="n">
        <v>35</v>
      </c>
      <c r="J268" s="4" t="n">
        <v>66</v>
      </c>
      <c r="K268" t="inlineStr">
        <is>
          <t>44 / 22</t>
        </is>
      </c>
      <c r="L268" t="inlineStr">
        <is>
          <t>21 / 4</t>
        </is>
      </c>
      <c r="M268" s="5" t="n">
        <v>0.67</v>
      </c>
      <c r="N268" s="5" t="n">
        <v>0.84</v>
      </c>
    </row>
    <row r="269">
      <c r="A269" t="n">
        <v>268</v>
      </c>
      <c r="B269" t="n">
        <v>2013</v>
      </c>
      <c r="C269" t="inlineStr">
        <is>
          <t>Gabriela Gardonyi</t>
        </is>
      </c>
      <c r="D269">
        <f>HYPERLINK("https://ota.tournamentsoftware.com/player-profile/EA584DC9-AF4E-413B-BF0B-75746024F8E4", "Link")</f>
        <v/>
      </c>
      <c r="E269" s="3" t="n">
        <v>250.008</v>
      </c>
      <c r="F269" s="4" t="n">
        <v>23</v>
      </c>
      <c r="G269" t="inlineStr">
        <is>
          <t>Ontario Tennis Association</t>
        </is>
      </c>
      <c r="H269" t="inlineStr">
        <is>
          <t>Richmond Hill Country Club</t>
        </is>
      </c>
      <c r="I269" t="inlineStr">
        <is>
          <t>unavailable</t>
        </is>
      </c>
      <c r="J269" s="4" t="n">
        <v>116</v>
      </c>
      <c r="K269" t="inlineStr">
        <is>
          <t>55 / 61</t>
        </is>
      </c>
      <c r="L269" t="inlineStr">
        <is>
          <t>20 / 17</t>
        </is>
      </c>
      <c r="M269" s="5" t="n">
        <v>0.47</v>
      </c>
      <c r="N269" s="5" t="n">
        <v>0.54</v>
      </c>
    </row>
    <row r="270">
      <c r="A270" t="n">
        <v>269</v>
      </c>
      <c r="B270" t="n">
        <v>2014</v>
      </c>
      <c r="C270" t="inlineStr">
        <is>
          <t>Emma Lajoie</t>
        </is>
      </c>
      <c r="D270">
        <f>HYPERLINK("https://ota.tournamentsoftware.com/player-profile/E1635D80-45C0-4A06-8270-280699032897", "Link")</f>
        <v/>
      </c>
      <c r="E270" s="3" t="n">
        <v>249.285</v>
      </c>
      <c r="F270" s="4" t="n">
        <v>24</v>
      </c>
      <c r="G270" t="inlineStr">
        <is>
          <t>Tennis Québec</t>
        </is>
      </c>
      <c r="H270" t="inlineStr">
        <is>
          <t>SANI Sport</t>
        </is>
      </c>
      <c r="I270" t="n">
        <v>37.6</v>
      </c>
      <c r="J270" s="4" t="n">
        <v>160</v>
      </c>
      <c r="K270" t="inlineStr">
        <is>
          <t>81 / 79</t>
        </is>
      </c>
      <c r="L270" t="inlineStr">
        <is>
          <t>19 / 23</t>
        </is>
      </c>
      <c r="M270" s="5" t="n">
        <v>0.51</v>
      </c>
      <c r="N270" s="5" t="n">
        <v>0.45</v>
      </c>
    </row>
    <row r="271">
      <c r="A271" t="n">
        <v>270</v>
      </c>
      <c r="B271" t="n">
        <v>2012</v>
      </c>
      <c r="C271" t="inlineStr">
        <is>
          <t>Jana Karkoukli</t>
        </is>
      </c>
      <c r="D271">
        <f>HYPERLINK("https://ota.tournamentsoftware.com/player-profile/ED5D7332-7665-453C-87FD-D7E5B172FD8A", "Link")</f>
        <v/>
      </c>
      <c r="E271" s="3" t="n">
        <v>248.266</v>
      </c>
      <c r="F271" s="4" t="n">
        <v>21</v>
      </c>
      <c r="G271" t="inlineStr">
        <is>
          <t>Tennis Québec</t>
        </is>
      </c>
      <c r="H271" t="inlineStr">
        <is>
          <t>EB Tennis inc.</t>
        </is>
      </c>
      <c r="I271" t="n">
        <v>40</v>
      </c>
      <c r="J271" s="4" t="n">
        <v>182</v>
      </c>
      <c r="K271" t="inlineStr">
        <is>
          <t>50 / 132</t>
        </is>
      </c>
      <c r="L271" t="inlineStr">
        <is>
          <t>1 / 15</t>
        </is>
      </c>
      <c r="M271" s="5" t="n">
        <v>0.27</v>
      </c>
      <c r="N271" s="5" t="n">
        <v>0.06</v>
      </c>
    </row>
    <row r="272">
      <c r="A272" t="n">
        <v>271</v>
      </c>
      <c r="B272" t="n">
        <v>2013</v>
      </c>
      <c r="C272" t="inlineStr">
        <is>
          <t>Elina Farmanbar</t>
        </is>
      </c>
      <c r="D272">
        <f>HYPERLINK("https://ota.tournamentsoftware.com/player-profile/CBAE609B-7C8B-4EA5-976F-0F6C1089D79C", "Link")</f>
        <v/>
      </c>
      <c r="E272" s="3" t="n">
        <v>248</v>
      </c>
      <c r="F272" s="4" t="n">
        <v>1</v>
      </c>
      <c r="G272" t="inlineStr">
        <is>
          <t>Ontario Tennis Association</t>
        </is>
      </c>
      <c r="H272" t="inlineStr">
        <is>
          <t>Thornhill Park Tennis Club</t>
        </is>
      </c>
      <c r="I272" t="n">
        <v>30</v>
      </c>
      <c r="J272" s="4" t="n">
        <v>73</v>
      </c>
      <c r="K272" t="inlineStr">
        <is>
          <t>54 / 19</t>
        </is>
      </c>
      <c r="L272" t="inlineStr">
        <is>
          <t>0 / 0</t>
        </is>
      </c>
      <c r="M272" s="5" t="n">
        <v>0.74</v>
      </c>
      <c r="N272" s="5" t="n">
        <v>0</v>
      </c>
    </row>
    <row r="273">
      <c r="A273" t="n">
        <v>272</v>
      </c>
      <c r="B273" t="n">
        <v>2012</v>
      </c>
      <c r="C273" t="inlineStr">
        <is>
          <t>MICHELLE OREANE OLA ECHAO</t>
        </is>
      </c>
      <c r="D273">
        <f>HYPERLINK("https://ota.tournamentsoftware.com/player-profile/50FA5AE5-9557-483C-94FB-05937E25C837", "Link")</f>
        <v/>
      </c>
      <c r="E273" s="3" t="n">
        <v>246.882</v>
      </c>
      <c r="F273" s="4" t="n">
        <v>11</v>
      </c>
      <c r="G273" t="inlineStr">
        <is>
          <t>Ontario Tennis Association</t>
        </is>
      </c>
      <c r="H273" t="inlineStr">
        <is>
          <t>Rideau Sports Centre</t>
        </is>
      </c>
      <c r="I273" t="n">
        <v>39.4</v>
      </c>
      <c r="J273" s="4" t="n">
        <v>55</v>
      </c>
      <c r="K273" t="inlineStr">
        <is>
          <t>12 / 43</t>
        </is>
      </c>
      <c r="L273" t="inlineStr">
        <is>
          <t>3 / 8</t>
        </is>
      </c>
      <c r="M273" s="5" t="n">
        <v>0.22</v>
      </c>
      <c r="N273" s="5" t="n">
        <v>0.27</v>
      </c>
    </row>
    <row r="274">
      <c r="A274" t="n">
        <v>273</v>
      </c>
      <c r="B274" t="n">
        <v>2015</v>
      </c>
      <c r="C274" t="inlineStr">
        <is>
          <t>Danica Stamatovic</t>
        </is>
      </c>
      <c r="D274">
        <f>HYPERLINK("https://ota.tournamentsoftware.com/player-profile/3D976EDA-1737-4852-A9BF-C67ED47C73C1", "Link")</f>
        <v/>
      </c>
      <c r="E274" s="3" t="n">
        <v>245.544</v>
      </c>
      <c r="F274" s="4" t="n">
        <v>20</v>
      </c>
      <c r="G274" t="inlineStr">
        <is>
          <t>Ontario Tennis Association</t>
        </is>
      </c>
      <c r="H274" t="inlineStr">
        <is>
          <t>SmartVMC Racquetsports by ACE</t>
        </is>
      </c>
      <c r="I274" t="n">
        <v>36.4</v>
      </c>
      <c r="J274" s="4" t="n">
        <v>177</v>
      </c>
      <c r="K274" t="inlineStr">
        <is>
          <t>86 / 91</t>
        </is>
      </c>
      <c r="L274" t="inlineStr">
        <is>
          <t>19 / 12</t>
        </is>
      </c>
      <c r="M274" s="5" t="n">
        <v>0.49</v>
      </c>
      <c r="N274" s="5" t="n">
        <v>0.61</v>
      </c>
    </row>
    <row r="275">
      <c r="A275" t="n">
        <v>274</v>
      </c>
      <c r="B275" t="n">
        <v>2014</v>
      </c>
      <c r="C275" t="inlineStr">
        <is>
          <t>Ela Velic</t>
        </is>
      </c>
      <c r="D275">
        <f>HYPERLINK("https://ota.tournamentsoftware.com/player-profile/5CC54F7D-0D30-4EF4-BE6C-A336041BBEE2", "Link")</f>
        <v/>
      </c>
      <c r="E275" s="3" t="n">
        <v>242.549</v>
      </c>
      <c r="F275" s="4" t="n">
        <v>20</v>
      </c>
      <c r="G275" t="inlineStr">
        <is>
          <t>Ontario Tennis Association</t>
        </is>
      </c>
      <c r="H275" t="inlineStr">
        <is>
          <t>Central Tennis Club</t>
        </is>
      </c>
      <c r="I275" t="n">
        <v>38.4</v>
      </c>
      <c r="J275" s="4" t="n">
        <v>88</v>
      </c>
      <c r="K275" t="inlineStr">
        <is>
          <t>45 / 43</t>
        </is>
      </c>
      <c r="L275" t="inlineStr">
        <is>
          <t>14 / 15</t>
        </is>
      </c>
      <c r="M275" s="5" t="n">
        <v>0.51</v>
      </c>
      <c r="N275" s="5" t="n">
        <v>0.48</v>
      </c>
    </row>
    <row r="276">
      <c r="A276" t="n">
        <v>275</v>
      </c>
      <c r="B276" t="n">
        <v>2014</v>
      </c>
      <c r="C276" t="inlineStr">
        <is>
          <t>Vrishti Gehlot</t>
        </is>
      </c>
      <c r="D276">
        <f>HYPERLINK("https://ota.tournamentsoftware.com/player-profile/8D59FB71-FC68-41E0-B69F-920C29B60AD3", "Link")</f>
        <v/>
      </c>
      <c r="E276" s="3" t="n">
        <v>240.569</v>
      </c>
      <c r="F276" s="4" t="n">
        <v>26</v>
      </c>
      <c r="G276" t="inlineStr">
        <is>
          <t>Ontario Tennis Association</t>
        </is>
      </c>
      <c r="H276" t="inlineStr">
        <is>
          <t>Premier Racquet Clubs – Mississauga</t>
        </is>
      </c>
      <c r="I276" t="n">
        <v>36.2</v>
      </c>
      <c r="J276" s="4" t="n">
        <v>148</v>
      </c>
      <c r="K276" t="inlineStr">
        <is>
          <t>75 / 73</t>
        </is>
      </c>
      <c r="L276" t="inlineStr">
        <is>
          <t>27 / 14</t>
        </is>
      </c>
      <c r="M276" s="5" t="n">
        <v>0.51</v>
      </c>
      <c r="N276" s="5" t="n">
        <v>0.66</v>
      </c>
    </row>
    <row r="277">
      <c r="A277" t="n">
        <v>276</v>
      </c>
      <c r="B277" t="n">
        <v>2015</v>
      </c>
      <c r="C277" t="inlineStr">
        <is>
          <t>Ella Potechin</t>
        </is>
      </c>
      <c r="D277">
        <f>HYPERLINK("https://ota.tournamentsoftware.com/player-profile/6611C50A-5A2F-4DF7-B99B-97DD644D2C2A", "Link")</f>
        <v/>
      </c>
      <c r="E277" s="3" t="n">
        <v>239.009</v>
      </c>
      <c r="F277" s="4" t="n">
        <v>16</v>
      </c>
      <c r="G277" t="inlineStr">
        <is>
          <t>Ontario Tennis Association</t>
        </is>
      </c>
      <c r="H277" t="inlineStr">
        <is>
          <t>Tennis Outaouais Performance (TOP) ON</t>
        </is>
      </c>
      <c r="I277" t="n">
        <v>37.9</v>
      </c>
      <c r="J277" s="4" t="n">
        <v>87</v>
      </c>
      <c r="K277" t="inlineStr">
        <is>
          <t>33 / 54</t>
        </is>
      </c>
      <c r="L277" t="inlineStr">
        <is>
          <t>16 / 18</t>
        </is>
      </c>
      <c r="M277" s="5" t="n">
        <v>0.38</v>
      </c>
      <c r="N277" s="5" t="n">
        <v>0.47</v>
      </c>
    </row>
    <row r="278">
      <c r="A278" t="n">
        <v>277</v>
      </c>
      <c r="B278" t="n">
        <v>2015</v>
      </c>
      <c r="C278" t="inlineStr">
        <is>
          <t>Liana Arendain</t>
        </is>
      </c>
      <c r="D278">
        <f>HYPERLINK("https://ota.tournamentsoftware.com/player-profile/2D89D481-D621-43AF-8792-3F0114FE4D77", "Link")</f>
        <v/>
      </c>
      <c r="E278" s="3" t="n">
        <v>238.244</v>
      </c>
      <c r="F278" s="4" t="n">
        <v>18</v>
      </c>
      <c r="G278" t="inlineStr">
        <is>
          <t>Tennis Alberta</t>
        </is>
      </c>
      <c r="H278" t="inlineStr">
        <is>
          <t>Saville Community Sports Centre</t>
        </is>
      </c>
      <c r="I278" t="n">
        <v>36.4</v>
      </c>
      <c r="J278" s="4" t="n">
        <v>140</v>
      </c>
      <c r="K278" t="inlineStr">
        <is>
          <t>94 / 46</t>
        </is>
      </c>
      <c r="L278" t="inlineStr">
        <is>
          <t>27 / 18</t>
        </is>
      </c>
      <c r="M278" s="5" t="n">
        <v>0.67</v>
      </c>
      <c r="N278" s="5" t="n">
        <v>0.6</v>
      </c>
    </row>
    <row r="279">
      <c r="A279" t="n">
        <v>278</v>
      </c>
      <c r="B279" t="n">
        <v>2012</v>
      </c>
      <c r="C279" t="inlineStr">
        <is>
          <t>Ariella Wainer</t>
        </is>
      </c>
      <c r="D279">
        <f>HYPERLINK("https://ota.tournamentsoftware.com/player-profile/29A07F50-E6F3-4FFE-84BF-31DB048552D6", "Link")</f>
        <v/>
      </c>
      <c r="E279" s="3" t="n">
        <v>238.158</v>
      </c>
      <c r="F279" s="4" t="n">
        <v>25</v>
      </c>
      <c r="G279" t="inlineStr">
        <is>
          <t>Tennis Québec</t>
        </is>
      </c>
      <c r="H279" t="inlineStr">
        <is>
          <t>Club Sportif Côte-de-Liesse</t>
        </is>
      </c>
      <c r="I279" t="n">
        <v>39.4</v>
      </c>
      <c r="J279" s="4" t="n">
        <v>169</v>
      </c>
      <c r="K279" t="inlineStr">
        <is>
          <t>57 / 112</t>
        </is>
      </c>
      <c r="L279" t="inlineStr">
        <is>
          <t>3 / 17</t>
        </is>
      </c>
      <c r="M279" s="5" t="n">
        <v>0.34</v>
      </c>
      <c r="N279" s="5" t="n">
        <v>0.15</v>
      </c>
    </row>
    <row r="280">
      <c r="A280" t="n">
        <v>279</v>
      </c>
      <c r="B280" t="n">
        <v>2013</v>
      </c>
      <c r="C280" t="inlineStr">
        <is>
          <t>Rachel Daniel</t>
        </is>
      </c>
      <c r="D280">
        <f>HYPERLINK("https://ota.tournamentsoftware.com/player-profile/C70279D5-586C-4A9D-94CC-EB9551085FF4", "Link")</f>
        <v/>
      </c>
      <c r="E280" s="3" t="n">
        <v>238.141</v>
      </c>
      <c r="F280" s="4" t="n">
        <v>15</v>
      </c>
      <c r="G280" t="inlineStr">
        <is>
          <t>Ontario Tennis Association</t>
        </is>
      </c>
      <c r="H280" t="inlineStr">
        <is>
          <t>Advantage Tennis International at Veneto</t>
        </is>
      </c>
      <c r="I280" t="n">
        <v>37.9</v>
      </c>
      <c r="J280" s="4" t="n">
        <v>93</v>
      </c>
      <c r="K280" t="inlineStr">
        <is>
          <t>35 / 58</t>
        </is>
      </c>
      <c r="L280" t="inlineStr">
        <is>
          <t>5 / 9</t>
        </is>
      </c>
      <c r="M280" s="5" t="n">
        <v>0.38</v>
      </c>
      <c r="N280" s="5" t="n">
        <v>0.36</v>
      </c>
    </row>
    <row r="281">
      <c r="A281" t="n">
        <v>280</v>
      </c>
      <c r="B281" t="n">
        <v>2015</v>
      </c>
      <c r="C281" t="inlineStr">
        <is>
          <t>Violetta Munoz</t>
        </is>
      </c>
      <c r="D281">
        <f>HYPERLINK("https://ota.tournamentsoftware.com/player-profile/55FD2B42-2961-45DA-8250-9ECCED0E6566", "Link")</f>
        <v/>
      </c>
      <c r="E281" s="3" t="n">
        <v>236.517</v>
      </c>
      <c r="F281" s="4" t="n">
        <v>26</v>
      </c>
      <c r="G281" t="inlineStr">
        <is>
          <t>Tennis Québec</t>
        </is>
      </c>
      <c r="H281" t="inlineStr">
        <is>
          <t>Carrefour Multisports</t>
        </is>
      </c>
      <c r="I281" t="n">
        <v>37.1</v>
      </c>
      <c r="J281" s="4" t="n">
        <v>176</v>
      </c>
      <c r="K281" t="inlineStr">
        <is>
          <t>93 / 83</t>
        </is>
      </c>
      <c r="L281" t="inlineStr">
        <is>
          <t>22 / 18</t>
        </is>
      </c>
      <c r="M281" s="5" t="n">
        <v>0.53</v>
      </c>
      <c r="N281" s="5" t="n">
        <v>0.55</v>
      </c>
    </row>
    <row r="282">
      <c r="A282" t="n">
        <v>281</v>
      </c>
      <c r="B282" t="n">
        <v>2014</v>
      </c>
      <c r="C282" t="inlineStr">
        <is>
          <t>Penelope Anne McMillan</t>
        </is>
      </c>
      <c r="D282">
        <f>HYPERLINK("https://ota.tournamentsoftware.com/player-profile/D7699338-4FE5-4F30-9A7D-8E14842C2A9B", "Link")</f>
        <v/>
      </c>
      <c r="E282" s="3" t="n">
        <v>235.813</v>
      </c>
      <c r="F282" s="4" t="n">
        <v>9</v>
      </c>
      <c r="G282" t="inlineStr">
        <is>
          <t>Tennis Nova Scotia</t>
        </is>
      </c>
      <c r="H282" t="inlineStr">
        <is>
          <t>Atlantic Tennis Centre</t>
        </is>
      </c>
      <c r="I282" t="n">
        <v>38.9</v>
      </c>
      <c r="J282" s="4" t="n">
        <v>105</v>
      </c>
      <c r="K282" t="inlineStr">
        <is>
          <t>43 / 62</t>
        </is>
      </c>
      <c r="L282" t="inlineStr">
        <is>
          <t>13 / 22</t>
        </is>
      </c>
      <c r="M282" s="5" t="n">
        <v>0.41</v>
      </c>
      <c r="N282" s="5" t="n">
        <v>0.37</v>
      </c>
    </row>
    <row r="283">
      <c r="A283" t="n">
        <v>282</v>
      </c>
      <c r="B283" t="n">
        <v>2015</v>
      </c>
      <c r="C283" t="inlineStr">
        <is>
          <t>Alexia Picciola</t>
        </is>
      </c>
      <c r="D283">
        <f>HYPERLINK("https://ota.tournamentsoftware.com/player-profile/91C9A734-3E6E-45CC-B46D-51BF9C9A7FC4", "Link")</f>
        <v/>
      </c>
      <c r="E283" s="3" t="n">
        <v>235.183</v>
      </c>
      <c r="F283" s="4" t="n">
        <v>19</v>
      </c>
      <c r="G283" t="inlineStr">
        <is>
          <t>Tennis Québec</t>
        </is>
      </c>
      <c r="H283" t="inlineStr">
        <is>
          <t>Tennis Montréal Excellence</t>
        </is>
      </c>
      <c r="I283" t="n">
        <v>36.4</v>
      </c>
      <c r="J283" s="4" t="n">
        <v>160</v>
      </c>
      <c r="K283" t="inlineStr">
        <is>
          <t>78 / 82</t>
        </is>
      </c>
      <c r="L283" t="inlineStr">
        <is>
          <t>31 / 16</t>
        </is>
      </c>
      <c r="M283" s="5" t="n">
        <v>0.49</v>
      </c>
      <c r="N283" s="5" t="n">
        <v>0.66</v>
      </c>
    </row>
    <row r="284">
      <c r="A284" t="n">
        <v>283</v>
      </c>
      <c r="B284" t="n">
        <v>2013</v>
      </c>
      <c r="C284" t="inlineStr">
        <is>
          <t>Ria Tamber</t>
        </is>
      </c>
      <c r="D284">
        <f>HYPERLINK("https://ota.tournamentsoftware.com/player-profile/4A086BBB-EEC2-48A4-BDDA-142D9D4A3534", "Link")</f>
        <v/>
      </c>
      <c r="E284" s="3" t="n">
        <v>234.984</v>
      </c>
      <c r="F284" s="4" t="n">
        <v>22</v>
      </c>
      <c r="G284" t="inlineStr">
        <is>
          <t>Ontario Tennis Association</t>
        </is>
      </c>
      <c r="H284" t="inlineStr">
        <is>
          <t>Premier Racquet Clubs – Mississauga</t>
        </is>
      </c>
      <c r="I284" t="inlineStr">
        <is>
          <t>unavailable</t>
        </is>
      </c>
      <c r="J284" s="4" t="n">
        <v>94</v>
      </c>
      <c r="K284" t="inlineStr">
        <is>
          <t>39 / 55</t>
        </is>
      </c>
      <c r="L284" t="inlineStr">
        <is>
          <t>12 / 15</t>
        </is>
      </c>
      <c r="M284" s="5" t="n">
        <v>0.41</v>
      </c>
      <c r="N284" s="5" t="n">
        <v>0.44</v>
      </c>
    </row>
    <row r="285">
      <c r="A285" t="n">
        <v>284</v>
      </c>
      <c r="B285" t="n">
        <v>2013</v>
      </c>
      <c r="C285" t="inlineStr">
        <is>
          <t>Hazel Sharma</t>
        </is>
      </c>
      <c r="D285">
        <f>HYPERLINK("https://ota.tournamentsoftware.com/player-profile/114D9BCA-C6DA-49E0-9F64-5FB54E5B0E3E", "Link")</f>
        <v/>
      </c>
      <c r="E285" s="3" t="n">
        <v>234.934</v>
      </c>
      <c r="F285" s="4" t="n">
        <v>19</v>
      </c>
      <c r="G285" t="inlineStr">
        <is>
          <t>British Columbia</t>
        </is>
      </c>
      <c r="H285" t="inlineStr">
        <is>
          <t>The Tennis Centre</t>
        </is>
      </c>
      <c r="I285" t="n">
        <v>37.4</v>
      </c>
      <c r="J285" s="4" t="n">
        <v>192</v>
      </c>
      <c r="K285" t="inlineStr">
        <is>
          <t>85 / 107</t>
        </is>
      </c>
      <c r="L285" t="inlineStr">
        <is>
          <t>16 / 12</t>
        </is>
      </c>
      <c r="M285" s="5" t="n">
        <v>0.44</v>
      </c>
      <c r="N285" s="5" t="n">
        <v>0.57</v>
      </c>
    </row>
    <row r="286">
      <c r="A286" t="n">
        <v>285</v>
      </c>
      <c r="B286" t="n">
        <v>2012</v>
      </c>
      <c r="C286" t="inlineStr">
        <is>
          <t>Gabrielle Siewe Meliatou</t>
        </is>
      </c>
      <c r="D286">
        <f>HYPERLINK("https://ota.tournamentsoftware.com/player-profile/7E53A46A-6CF0-4DB8-9382-FCE1966714A8", "Link")</f>
        <v/>
      </c>
      <c r="E286" s="3" t="n">
        <v>233.527</v>
      </c>
      <c r="F286" s="4" t="n">
        <v>21</v>
      </c>
      <c r="G286" t="inlineStr">
        <is>
          <t>Tennis Québec</t>
        </is>
      </c>
      <c r="H286" t="inlineStr">
        <is>
          <t>SANI Sport</t>
        </is>
      </c>
      <c r="I286" t="n">
        <v>39.2</v>
      </c>
      <c r="J286" s="4" t="n">
        <v>78</v>
      </c>
      <c r="K286" t="inlineStr">
        <is>
          <t>24 / 54</t>
        </is>
      </c>
      <c r="L286" t="inlineStr">
        <is>
          <t>5 / 11</t>
        </is>
      </c>
      <c r="M286" s="5" t="n">
        <v>0.31</v>
      </c>
      <c r="N286" s="5" t="n">
        <v>0.31</v>
      </c>
    </row>
    <row r="287">
      <c r="A287" t="n">
        <v>286</v>
      </c>
      <c r="B287" t="n">
        <v>2015</v>
      </c>
      <c r="C287" t="inlineStr">
        <is>
          <t>ESTHER HAO</t>
        </is>
      </c>
      <c r="D287">
        <f>HYPERLINK("https://ota.tournamentsoftware.com/player-profile/8EA584DE-3986-4803-A3AA-F96230F853A7", "Link")</f>
        <v/>
      </c>
      <c r="E287" s="3" t="n">
        <v>233.33</v>
      </c>
      <c r="F287" s="4" t="n">
        <v>25</v>
      </c>
      <c r="G287" t="inlineStr">
        <is>
          <t>Ontario Tennis Association</t>
        </is>
      </c>
      <c r="H287" t="inlineStr">
        <is>
          <t>Ontario Racquet Club</t>
        </is>
      </c>
      <c r="I287" t="n">
        <v>37.4</v>
      </c>
      <c r="J287" s="4" t="n">
        <v>215</v>
      </c>
      <c r="K287" t="inlineStr">
        <is>
          <t>131 / 84</t>
        </is>
      </c>
      <c r="L287" t="inlineStr">
        <is>
          <t>9 / 9</t>
        </is>
      </c>
      <c r="M287" s="5" t="n">
        <v>0.61</v>
      </c>
      <c r="N287" s="5" t="n">
        <v>0.5</v>
      </c>
    </row>
    <row r="288">
      <c r="A288" t="n">
        <v>287</v>
      </c>
      <c r="B288" t="n">
        <v>2013</v>
      </c>
      <c r="C288" t="inlineStr">
        <is>
          <t>Victoria Ta</t>
        </is>
      </c>
      <c r="D288">
        <f>HYPERLINK("https://ota.tournamentsoftware.com/player-profile/A9D6CF45-A7F1-427F-A376-2C40852D98CD", "Link")</f>
        <v/>
      </c>
      <c r="E288" s="3" t="n">
        <v>232.195</v>
      </c>
      <c r="F288" s="4" t="n">
        <v>20</v>
      </c>
      <c r="G288" t="inlineStr">
        <is>
          <t>Ontario Tennis Association</t>
        </is>
      </c>
      <c r="H288" t="inlineStr">
        <is>
          <t>Lambton Golf &amp; Country Club</t>
        </is>
      </c>
      <c r="I288" t="n">
        <v>36.7</v>
      </c>
      <c r="J288" s="4" t="n">
        <v>97</v>
      </c>
      <c r="K288" t="inlineStr">
        <is>
          <t>47 / 50</t>
        </is>
      </c>
      <c r="L288" t="inlineStr">
        <is>
          <t>12 / 10</t>
        </is>
      </c>
      <c r="M288" s="5" t="n">
        <v>0.48</v>
      </c>
      <c r="N288" s="5" t="n">
        <v>0.55</v>
      </c>
    </row>
    <row r="289">
      <c r="A289" t="n">
        <v>288</v>
      </c>
      <c r="B289" t="n">
        <v>2015</v>
      </c>
      <c r="C289" t="inlineStr">
        <is>
          <t>Lacey Isabella Ly</t>
        </is>
      </c>
      <c r="D289">
        <f>HYPERLINK("https://ota.tournamentsoftware.com/player-profile/878918D3-5C76-4815-A98A-1D1A49BFC21F", "Link")</f>
        <v/>
      </c>
      <c r="E289" s="3" t="n">
        <v>231.26</v>
      </c>
      <c r="F289" s="4" t="n">
        <v>12</v>
      </c>
      <c r="G289" t="inlineStr">
        <is>
          <t>British Columbia</t>
        </is>
      </c>
      <c r="H289" t="inlineStr">
        <is>
          <t>The Tennis Centre</t>
        </is>
      </c>
      <c r="I289" t="n">
        <v>36</v>
      </c>
      <c r="J289" s="4" t="n">
        <v>133</v>
      </c>
      <c r="K289" t="inlineStr">
        <is>
          <t>100 / 33</t>
        </is>
      </c>
      <c r="L289" t="inlineStr">
        <is>
          <t>23 / 9</t>
        </is>
      </c>
      <c r="M289" s="5" t="n">
        <v>0.75</v>
      </c>
      <c r="N289" s="5" t="n">
        <v>0.72</v>
      </c>
    </row>
    <row r="290">
      <c r="A290" t="n">
        <v>289</v>
      </c>
      <c r="B290" t="n">
        <v>2014</v>
      </c>
      <c r="C290" t="inlineStr">
        <is>
          <t>Candice YAO</t>
        </is>
      </c>
      <c r="D290">
        <f>HYPERLINK("https://ota.tournamentsoftware.com/player-profile/2EEE6D95-1504-4E36-A996-F48A3CD7FC03", "Link")</f>
        <v/>
      </c>
      <c r="E290" s="3" t="n">
        <v>231.193</v>
      </c>
      <c r="F290" s="4" t="n">
        <v>19</v>
      </c>
      <c r="G290" t="inlineStr">
        <is>
          <t>Ontario Tennis Association</t>
        </is>
      </c>
      <c r="H290" t="inlineStr">
        <is>
          <t>Richmondhill Golf &amp; Country Club</t>
        </is>
      </c>
      <c r="I290" t="n">
        <v>36.2</v>
      </c>
      <c r="J290" s="4" t="n">
        <v>90</v>
      </c>
      <c r="K290" t="inlineStr">
        <is>
          <t>40 / 50</t>
        </is>
      </c>
      <c r="L290" t="inlineStr">
        <is>
          <t>16 / 11</t>
        </is>
      </c>
      <c r="M290" s="5" t="n">
        <v>0.44</v>
      </c>
      <c r="N290" s="5" t="n">
        <v>0.59</v>
      </c>
    </row>
    <row r="291">
      <c r="A291" t="n">
        <v>290</v>
      </c>
      <c r="B291" t="n">
        <v>2014</v>
      </c>
      <c r="C291" t="inlineStr">
        <is>
          <t>Dora Zhang</t>
        </is>
      </c>
      <c r="D291">
        <f>HYPERLINK("https://ota.tournamentsoftware.com/player-profile/3772BD57-A73E-4652-86C8-E1885FE20DCF", "Link")</f>
        <v/>
      </c>
      <c r="E291" s="3" t="n">
        <v>230.464</v>
      </c>
      <c r="F291" s="4" t="n">
        <v>20</v>
      </c>
      <c r="G291" t="inlineStr">
        <is>
          <t>Ontario Tennis Association</t>
        </is>
      </c>
      <c r="H291" t="inlineStr">
        <is>
          <t>Toronto Tennis City</t>
        </is>
      </c>
      <c r="I291" t="n">
        <v>36.6</v>
      </c>
      <c r="J291" s="4" t="n">
        <v>50</v>
      </c>
      <c r="K291" t="inlineStr">
        <is>
          <t>36 / 14</t>
        </is>
      </c>
      <c r="L291" t="inlineStr">
        <is>
          <t>5 / 4</t>
        </is>
      </c>
      <c r="M291" s="5" t="n">
        <v>0.72</v>
      </c>
      <c r="N291" s="5" t="n">
        <v>0.5600000000000001</v>
      </c>
    </row>
    <row r="292">
      <c r="A292" t="n">
        <v>291</v>
      </c>
      <c r="B292" t="n">
        <v>2014</v>
      </c>
      <c r="C292" t="inlineStr">
        <is>
          <t>Sara Liao</t>
        </is>
      </c>
      <c r="D292">
        <f>HYPERLINK("https://ota.tournamentsoftware.com/player-profile/A86A9BCB-375D-415C-BD04-3D7638B2F6E8", "Link")</f>
        <v/>
      </c>
      <c r="E292" s="3" t="n">
        <v>229.677</v>
      </c>
      <c r="F292" s="4" t="n">
        <v>33</v>
      </c>
      <c r="G292" t="inlineStr">
        <is>
          <t>Ontario Tennis Association</t>
        </is>
      </c>
      <c r="H292" t="inlineStr">
        <is>
          <t>Ontario Racquet Club</t>
        </is>
      </c>
      <c r="I292" t="n">
        <v>37.8</v>
      </c>
      <c r="J292" s="4" t="n">
        <v>113</v>
      </c>
      <c r="K292" t="inlineStr">
        <is>
          <t>54 / 59</t>
        </is>
      </c>
      <c r="L292" t="inlineStr">
        <is>
          <t>27 / 26</t>
        </is>
      </c>
      <c r="M292" s="5" t="n">
        <v>0.48</v>
      </c>
      <c r="N292" s="5" t="n">
        <v>0.51</v>
      </c>
    </row>
    <row r="293">
      <c r="A293" t="n">
        <v>292</v>
      </c>
      <c r="B293" t="n">
        <v>2012</v>
      </c>
      <c r="C293" t="inlineStr">
        <is>
          <t>Saroop Randhawa</t>
        </is>
      </c>
      <c r="D293">
        <f>HYPERLINK("https://ota.tournamentsoftware.com/player-profile/5F710ADB-6059-4376-8917-220BAD95C9B2", "Link")</f>
        <v/>
      </c>
      <c r="E293" s="3" t="n">
        <v>228</v>
      </c>
      <c r="F293" s="4" t="n">
        <v>2</v>
      </c>
      <c r="G293" t="inlineStr">
        <is>
          <t>Ontario Tennis Association</t>
        </is>
      </c>
      <c r="H293" t="inlineStr">
        <is>
          <t>Advantage Tennis International at Veneto</t>
        </is>
      </c>
      <c r="I293" t="n">
        <v>29.3</v>
      </c>
      <c r="J293" s="4" t="n">
        <v>153</v>
      </c>
      <c r="K293" t="inlineStr">
        <is>
          <t>114 / 39</t>
        </is>
      </c>
      <c r="L293" t="inlineStr">
        <is>
          <t>5 / 0</t>
        </is>
      </c>
      <c r="M293" s="5" t="n">
        <v>0.75</v>
      </c>
      <c r="N293" s="5" t="n">
        <v>1</v>
      </c>
    </row>
    <row r="294">
      <c r="A294" t="n">
        <v>293</v>
      </c>
      <c r="B294" t="n">
        <v>2012</v>
      </c>
      <c r="C294" t="inlineStr">
        <is>
          <t>Louanna Perron</t>
        </is>
      </c>
      <c r="D294">
        <f>HYPERLINK("https://ota.tournamentsoftware.com/player-profile/0D5BD355-F71F-4A8A-B269-0D225B56C809", "Link")</f>
        <v/>
      </c>
      <c r="E294" s="3" t="n">
        <v>227.848</v>
      </c>
      <c r="F294" s="4" t="n">
        <v>9</v>
      </c>
      <c r="G294" t="inlineStr">
        <is>
          <t>Tennis Québec</t>
        </is>
      </c>
      <c r="H294" t="inlineStr">
        <is>
          <t>Tennis 13 / Académie Ménard et associé</t>
        </is>
      </c>
      <c r="I294" t="n">
        <v>37.2</v>
      </c>
      <c r="J294" s="4" t="n">
        <v>20</v>
      </c>
      <c r="K294" t="inlineStr">
        <is>
          <t>9 / 11</t>
        </is>
      </c>
      <c r="L294" t="inlineStr">
        <is>
          <t>3 / 5</t>
        </is>
      </c>
      <c r="M294" s="5" t="n">
        <v>0.45</v>
      </c>
      <c r="N294" s="5" t="n">
        <v>0.38</v>
      </c>
    </row>
    <row r="295">
      <c r="A295" t="n">
        <v>294</v>
      </c>
      <c r="B295" t="n">
        <v>2012</v>
      </c>
      <c r="C295" t="inlineStr">
        <is>
          <t>Norah Diop</t>
        </is>
      </c>
      <c r="D295">
        <f>HYPERLINK("https://ota.tournamentsoftware.com/player-profile/1B130952-D24A-467D-813D-2DA5B56ADFFF", "Link")</f>
        <v/>
      </c>
      <c r="E295" s="3" t="n">
        <v>227.435</v>
      </c>
      <c r="F295" s="4" t="n">
        <v>18</v>
      </c>
      <c r="G295" t="inlineStr">
        <is>
          <t>Tennis Québec</t>
        </is>
      </c>
      <c r="H295" t="inlineStr">
        <is>
          <t>Tennis 13</t>
        </is>
      </c>
      <c r="I295" t="inlineStr">
        <is>
          <t>unavailable</t>
        </is>
      </c>
      <c r="J295" s="4" t="n">
        <v>82</v>
      </c>
      <c r="K295" t="inlineStr">
        <is>
          <t>36 / 46</t>
        </is>
      </c>
      <c r="L295" t="inlineStr">
        <is>
          <t>11 / 11</t>
        </is>
      </c>
      <c r="M295" s="5" t="n">
        <v>0.44</v>
      </c>
      <c r="N295" s="5" t="n">
        <v>0.5</v>
      </c>
    </row>
    <row r="296">
      <c r="A296" t="n">
        <v>295</v>
      </c>
      <c r="B296" t="n">
        <v>2012</v>
      </c>
      <c r="C296" t="inlineStr">
        <is>
          <t>Charlotte Gal</t>
        </is>
      </c>
      <c r="D296">
        <f>HYPERLINK("https://ota.tournamentsoftware.com/player-profile/EF0AF614-E6CE-4E3C-9FC4-7EF8A5EB6B57", "Link")</f>
        <v/>
      </c>
      <c r="E296" s="3" t="n">
        <v>227.232</v>
      </c>
      <c r="F296" s="4" t="n">
        <v>4</v>
      </c>
      <c r="G296" t="inlineStr">
        <is>
          <t>Tennis Nova Scotia</t>
        </is>
      </c>
      <c r="H296" t="inlineStr">
        <is>
          <t>HEADSTART</t>
        </is>
      </c>
      <c r="I296" t="n">
        <v>39.1</v>
      </c>
      <c r="J296" s="4" t="n">
        <v>23</v>
      </c>
      <c r="K296" t="inlineStr">
        <is>
          <t>6 / 17</t>
        </is>
      </c>
      <c r="L296" t="inlineStr">
        <is>
          <t>2 / 11</t>
        </is>
      </c>
      <c r="M296" s="5" t="n">
        <v>0.26</v>
      </c>
      <c r="N296" s="5" t="n">
        <v>0.15</v>
      </c>
    </row>
    <row r="297">
      <c r="A297" t="n">
        <v>296</v>
      </c>
      <c r="B297" t="n">
        <v>2015</v>
      </c>
      <c r="C297" t="inlineStr">
        <is>
          <t>MASAL ELA YAZICI</t>
        </is>
      </c>
      <c r="D297">
        <f>HYPERLINK("https://ota.tournamentsoftware.com/player-profile/8556435C-B5F1-47A5-8C4A-46AF5B800D78", "Link")</f>
        <v/>
      </c>
      <c r="E297" s="3" t="n">
        <v>223.946</v>
      </c>
      <c r="F297" s="4" t="n">
        <v>18</v>
      </c>
      <c r="G297" t="inlineStr">
        <is>
          <t>Ontario Tennis Association</t>
        </is>
      </c>
      <c r="H297" t="inlineStr">
        <is>
          <t>Mayfair West Fitness &amp; Racquet Club</t>
        </is>
      </c>
      <c r="I297" t="n">
        <v>36.2</v>
      </c>
      <c r="J297" s="4" t="n">
        <v>54</v>
      </c>
      <c r="K297" t="inlineStr">
        <is>
          <t>35 / 19</t>
        </is>
      </c>
      <c r="L297" t="inlineStr">
        <is>
          <t>27 / 12</t>
        </is>
      </c>
      <c r="M297" s="5" t="n">
        <v>0.65</v>
      </c>
      <c r="N297" s="5" t="n">
        <v>0.6899999999999999</v>
      </c>
    </row>
    <row r="298">
      <c r="A298" t="n">
        <v>297</v>
      </c>
      <c r="B298" t="n">
        <v>2012</v>
      </c>
      <c r="C298" t="inlineStr">
        <is>
          <t>Kristina Khlyebnykova</t>
        </is>
      </c>
      <c r="D298">
        <f>HYPERLINK("https://ota.tournamentsoftware.com/player-profile/D585FC7E-ABD0-44A4-A0AC-539E39880B84", "Link")</f>
        <v/>
      </c>
      <c r="E298" s="3" t="n">
        <v>222.48</v>
      </c>
      <c r="F298" s="4" t="n">
        <v>11</v>
      </c>
      <c r="G298" t="inlineStr">
        <is>
          <t>Ontario Tennis Association</t>
        </is>
      </c>
      <c r="H298" t="inlineStr">
        <is>
          <t>Concord Tennis Academy</t>
        </is>
      </c>
      <c r="I298" t="n">
        <v>37.5</v>
      </c>
      <c r="J298" s="4" t="n">
        <v>63</v>
      </c>
      <c r="K298" t="inlineStr">
        <is>
          <t>29 / 34</t>
        </is>
      </c>
      <c r="L298" t="inlineStr">
        <is>
          <t>8 / 7</t>
        </is>
      </c>
      <c r="M298" s="5" t="n">
        <v>0.46</v>
      </c>
      <c r="N298" s="5" t="n">
        <v>0.53</v>
      </c>
    </row>
    <row r="299">
      <c r="A299" t="n">
        <v>298</v>
      </c>
      <c r="B299" t="n">
        <v>2014</v>
      </c>
      <c r="C299" t="inlineStr">
        <is>
          <t>Mégane Bernard</t>
        </is>
      </c>
      <c r="D299">
        <f>HYPERLINK("https://ota.tournamentsoftware.com/player-profile/041B9415-6EB0-452F-AD3F-EA68CADBA2FB", "Link")</f>
        <v/>
      </c>
      <c r="E299" s="3" t="n">
        <v>220.072</v>
      </c>
      <c r="F299" s="4" t="n">
        <v>20</v>
      </c>
      <c r="G299" t="inlineStr">
        <is>
          <t>Tennis Québec</t>
        </is>
      </c>
      <c r="H299" t="inlineStr">
        <is>
          <t>Tennis 13</t>
        </is>
      </c>
      <c r="I299" t="n">
        <v>38</v>
      </c>
      <c r="J299" s="4" t="n">
        <v>180</v>
      </c>
      <c r="K299" t="inlineStr">
        <is>
          <t>78 / 102</t>
        </is>
      </c>
      <c r="L299" t="inlineStr">
        <is>
          <t>8 / 16</t>
        </is>
      </c>
      <c r="M299" s="5" t="n">
        <v>0.43</v>
      </c>
      <c r="N299" s="5" t="n">
        <v>0.33</v>
      </c>
    </row>
    <row r="300">
      <c r="A300" t="n">
        <v>299</v>
      </c>
      <c r="B300" t="n">
        <v>2013</v>
      </c>
      <c r="C300" t="inlineStr">
        <is>
          <t>Ava Dancik</t>
        </is>
      </c>
      <c r="D300">
        <f>HYPERLINK("https://ota.tournamentsoftware.com/player-profile/CF808414-C0CE-4B07-9667-D3EE492D6BCE", "Link")</f>
        <v/>
      </c>
      <c r="E300" s="3" t="n">
        <v>219.347</v>
      </c>
      <c r="F300" s="4" t="n">
        <v>10</v>
      </c>
      <c r="G300" t="inlineStr">
        <is>
          <t>Tennis Québec</t>
        </is>
      </c>
      <c r="H300" t="inlineStr">
        <is>
          <t>Tennis de l'Île des Sœurs / École de tennis</t>
        </is>
      </c>
      <c r="I300" t="n">
        <v>36.1</v>
      </c>
      <c r="J300" s="4" t="n">
        <v>210</v>
      </c>
      <c r="K300" t="inlineStr">
        <is>
          <t>107 / 103</t>
        </is>
      </c>
      <c r="L300" t="inlineStr">
        <is>
          <t>11 / 6</t>
        </is>
      </c>
      <c r="M300" s="5" t="n">
        <v>0.51</v>
      </c>
      <c r="N300" s="5" t="n">
        <v>0.65</v>
      </c>
    </row>
    <row r="301">
      <c r="A301" t="n">
        <v>300</v>
      </c>
      <c r="B301" t="n">
        <v>2014</v>
      </c>
      <c r="C301" t="inlineStr">
        <is>
          <t>Skylar Isabelle JOHNSTON</t>
        </is>
      </c>
      <c r="D301">
        <f>HYPERLINK("https://ota.tournamentsoftware.com/player-profile/18CCEC3F-12DA-4A55-A300-393E64FB4F6E", "Link")</f>
        <v/>
      </c>
      <c r="E301" s="3" t="n">
        <v>216.396</v>
      </c>
      <c r="F301" s="4" t="n">
        <v>11</v>
      </c>
      <c r="G301" t="inlineStr">
        <is>
          <t>Tennis Nova Scotia</t>
        </is>
      </c>
      <c r="H301" t="inlineStr">
        <is>
          <t>Gordon Hughes Tennis Club</t>
        </is>
      </c>
      <c r="I301" t="n">
        <v>36.6</v>
      </c>
      <c r="J301" s="4" t="n">
        <v>90</v>
      </c>
      <c r="K301" t="inlineStr">
        <is>
          <t>43 / 47</t>
        </is>
      </c>
      <c r="L301" t="inlineStr">
        <is>
          <t>22 / 14</t>
        </is>
      </c>
      <c r="M301" s="5" t="n">
        <v>0.48</v>
      </c>
      <c r="N301" s="5" t="n">
        <v>0.61</v>
      </c>
    </row>
    <row r="302">
      <c r="A302" t="n">
        <v>301</v>
      </c>
      <c r="B302" t="n">
        <v>2012</v>
      </c>
      <c r="C302" t="inlineStr">
        <is>
          <t>Shrreya Elkturi</t>
        </is>
      </c>
      <c r="D302">
        <f>HYPERLINK("https://ota.tournamentsoftware.com/player-profile/1A8DA0C1-51FB-48B8-8AED-D37DAB186E95", "Link")</f>
        <v/>
      </c>
      <c r="E302" s="3" t="n">
        <v>216.185</v>
      </c>
      <c r="F302" s="4" t="n">
        <v>19</v>
      </c>
      <c r="G302" t="inlineStr">
        <is>
          <t>Ontario Tennis Association</t>
        </is>
      </c>
      <c r="H302" t="inlineStr">
        <is>
          <t>No Club</t>
        </is>
      </c>
      <c r="I302" t="n">
        <v>37.3</v>
      </c>
      <c r="J302" s="4" t="n">
        <v>80</v>
      </c>
      <c r="K302" t="inlineStr">
        <is>
          <t>29 / 51</t>
        </is>
      </c>
      <c r="L302" t="inlineStr">
        <is>
          <t>14 / 13</t>
        </is>
      </c>
      <c r="M302" s="5" t="n">
        <v>0.36</v>
      </c>
      <c r="N302" s="5" t="n">
        <v>0.52</v>
      </c>
    </row>
    <row r="303">
      <c r="A303" t="n">
        <v>302</v>
      </c>
      <c r="B303" t="n">
        <v>2015</v>
      </c>
      <c r="C303" t="inlineStr">
        <is>
          <t>Daniella Lynne Lee</t>
        </is>
      </c>
      <c r="D303">
        <f>HYPERLINK("https://ota.tournamentsoftware.com/player-profile/92FC49CB-246B-48E6-ABC3-903AA780449F", "Link")</f>
        <v/>
      </c>
      <c r="E303" s="3" t="n">
        <v>215.601</v>
      </c>
      <c r="F303" s="4" t="n">
        <v>29</v>
      </c>
      <c r="G303" t="inlineStr">
        <is>
          <t>British Columbia</t>
        </is>
      </c>
      <c r="H303" t="inlineStr">
        <is>
          <t>Arbutus Club</t>
        </is>
      </c>
      <c r="I303" t="n">
        <v>37.2</v>
      </c>
      <c r="J303" s="4" t="n">
        <v>127</v>
      </c>
      <c r="K303" t="inlineStr">
        <is>
          <t>65 / 62</t>
        </is>
      </c>
      <c r="L303" t="inlineStr">
        <is>
          <t>26 / 23</t>
        </is>
      </c>
      <c r="M303" s="5" t="n">
        <v>0.51</v>
      </c>
      <c r="N303" s="5" t="n">
        <v>0.53</v>
      </c>
    </row>
    <row r="304">
      <c r="A304" t="n">
        <v>303</v>
      </c>
      <c r="B304" t="n">
        <v>2013</v>
      </c>
      <c r="C304" t="inlineStr">
        <is>
          <t>Alma Safinia</t>
        </is>
      </c>
      <c r="D304">
        <f>HYPERLINK("https://ota.tournamentsoftware.com/player-profile/5EF88718-BF69-42BC-A643-1C11174AD1CB", "Link")</f>
        <v/>
      </c>
      <c r="E304" s="3" t="n">
        <v>215.078</v>
      </c>
      <c r="F304" s="4" t="n">
        <v>2</v>
      </c>
      <c r="G304" t="inlineStr">
        <is>
          <t>Tennis Nova Scotia</t>
        </is>
      </c>
      <c r="H304" t="inlineStr">
        <is>
          <t>Atlantic Tennis Centre</t>
        </is>
      </c>
      <c r="I304" t="n">
        <v>37</v>
      </c>
      <c r="J304" s="4" t="n">
        <v>20</v>
      </c>
      <c r="K304" t="inlineStr">
        <is>
          <t>11 / 9</t>
        </is>
      </c>
      <c r="L304" t="inlineStr">
        <is>
          <t>0 / 1</t>
        </is>
      </c>
      <c r="M304" s="5" t="n">
        <v>0.55</v>
      </c>
      <c r="N304" s="5" t="n">
        <v>0</v>
      </c>
    </row>
    <row r="305">
      <c r="A305" t="n">
        <v>304</v>
      </c>
      <c r="B305" t="n">
        <v>2014</v>
      </c>
      <c r="C305" t="inlineStr">
        <is>
          <t>Alaia Grace Serravalle</t>
        </is>
      </c>
      <c r="D305">
        <f>HYPERLINK("https://ota.tournamentsoftware.com/player-profile/EDBCEC0C-45DE-4DFD-B17A-C176B306FC97", "Link")</f>
        <v/>
      </c>
      <c r="E305" s="3" t="n">
        <v>215.068</v>
      </c>
      <c r="F305" s="4" t="n">
        <v>21</v>
      </c>
      <c r="G305" t="inlineStr">
        <is>
          <t>Ontario Tennis Association</t>
        </is>
      </c>
      <c r="H305" t="inlineStr">
        <is>
          <t>Youngs Sportsplex</t>
        </is>
      </c>
      <c r="I305" t="n">
        <v>37.2</v>
      </c>
      <c r="J305" s="4" t="n">
        <v>54</v>
      </c>
      <c r="K305" t="inlineStr">
        <is>
          <t>30 / 24</t>
        </is>
      </c>
      <c r="L305" t="inlineStr">
        <is>
          <t>18 / 15</t>
        </is>
      </c>
      <c r="M305" s="5" t="n">
        <v>0.5600000000000001</v>
      </c>
      <c r="N305" s="5" t="n">
        <v>0.55</v>
      </c>
    </row>
    <row r="306">
      <c r="A306" t="n">
        <v>305</v>
      </c>
      <c r="B306" t="n">
        <v>2012</v>
      </c>
      <c r="C306" t="inlineStr">
        <is>
          <t>Stefaniia Petrova</t>
        </is>
      </c>
      <c r="D306">
        <f>HYPERLINK("https://ota.tournamentsoftware.com/player-profile/23727B96-731B-4DBB-9789-81399E2B9950", "Link")</f>
        <v/>
      </c>
      <c r="E306" s="3" t="n">
        <v>213.48</v>
      </c>
      <c r="F306" s="4" t="n">
        <v>4</v>
      </c>
      <c r="G306" t="inlineStr">
        <is>
          <t>Ontario Tennis Association</t>
        </is>
      </c>
      <c r="H306" t="inlineStr">
        <is>
          <t>No Club</t>
        </is>
      </c>
      <c r="I306" t="n">
        <v>33.4</v>
      </c>
      <c r="J306" s="4" t="n">
        <v>301</v>
      </c>
      <c r="K306" t="inlineStr">
        <is>
          <t>177 / 124</t>
        </is>
      </c>
      <c r="L306" t="inlineStr">
        <is>
          <t>0 / 0</t>
        </is>
      </c>
      <c r="M306" s="5" t="n">
        <v>0.59</v>
      </c>
      <c r="N306" s="5" t="n">
        <v>0</v>
      </c>
    </row>
    <row r="307">
      <c r="A307" t="n">
        <v>306</v>
      </c>
      <c r="B307" t="n">
        <v>2013</v>
      </c>
      <c r="C307" t="inlineStr">
        <is>
          <t>Annabelle Chen</t>
        </is>
      </c>
      <c r="D307">
        <f>HYPERLINK("https://ota.tournamentsoftware.com/player-profile/E532A343-867C-4B97-BCB3-998A28EC84A8", "Link")</f>
        <v/>
      </c>
      <c r="E307" s="3" t="n">
        <v>212.416</v>
      </c>
      <c r="F307" s="4" t="n">
        <v>10</v>
      </c>
      <c r="G307" t="inlineStr">
        <is>
          <t>British Columbia</t>
        </is>
      </c>
      <c r="H307" t="inlineStr">
        <is>
          <t>UBC Tennis Centre</t>
        </is>
      </c>
      <c r="I307" t="n">
        <v>37.1</v>
      </c>
      <c r="J307" s="4" t="n">
        <v>152</v>
      </c>
      <c r="K307" t="inlineStr">
        <is>
          <t>84 / 68</t>
        </is>
      </c>
      <c r="L307" t="inlineStr">
        <is>
          <t>0 / 4</t>
        </is>
      </c>
      <c r="M307" s="5" t="n">
        <v>0.55</v>
      </c>
      <c r="N307" s="5" t="n">
        <v>0</v>
      </c>
    </row>
    <row r="308">
      <c r="A308" t="n">
        <v>307</v>
      </c>
      <c r="B308" t="n">
        <v>2015</v>
      </c>
      <c r="C308" t="inlineStr">
        <is>
          <t>Kiyara Dinuli Hinidumarachchi</t>
        </is>
      </c>
      <c r="D308">
        <f>HYPERLINK("https://ota.tournamentsoftware.com/player-profile/FD2638E4-B06D-478E-9F5A-FE51B9EC8DF8", "Link")</f>
        <v/>
      </c>
      <c r="E308" s="3" t="n">
        <v>211.944</v>
      </c>
      <c r="F308" s="4" t="n">
        <v>18</v>
      </c>
      <c r="G308" t="inlineStr">
        <is>
          <t>Ontario Tennis Association</t>
        </is>
      </c>
      <c r="H308" t="inlineStr">
        <is>
          <t>Sarnia Tennis Club</t>
        </is>
      </c>
      <c r="I308" t="inlineStr">
        <is>
          <t>unavailable</t>
        </is>
      </c>
      <c r="J308" s="4" t="n">
        <v>153</v>
      </c>
      <c r="K308" t="inlineStr">
        <is>
          <t>94 / 59</t>
        </is>
      </c>
      <c r="L308" t="inlineStr">
        <is>
          <t>9 / 13</t>
        </is>
      </c>
      <c r="M308" s="5" t="n">
        <v>0.61</v>
      </c>
      <c r="N308" s="5" t="n">
        <v>0.41</v>
      </c>
    </row>
    <row r="309">
      <c r="A309" t="n">
        <v>308</v>
      </c>
      <c r="B309" t="n">
        <v>2012</v>
      </c>
      <c r="C309" t="inlineStr">
        <is>
          <t>GURMEHR KAUR</t>
        </is>
      </c>
      <c r="D309">
        <f>HYPERLINK("https://ota.tournamentsoftware.com/player-profile/2C69CAA6-FCC8-49BC-ACA2-32F5C15717ED", "Link")</f>
        <v/>
      </c>
      <c r="E309" s="3" t="n">
        <v>210.416</v>
      </c>
      <c r="F309" s="4" t="n">
        <v>22</v>
      </c>
      <c r="G309" t="inlineStr">
        <is>
          <t>British Columbia</t>
        </is>
      </c>
      <c r="H309" t="inlineStr">
        <is>
          <t>Newton Tennis Club</t>
        </is>
      </c>
      <c r="I309" t="n">
        <v>37.8</v>
      </c>
      <c r="J309" s="4" t="n">
        <v>177</v>
      </c>
      <c r="K309" t="inlineStr">
        <is>
          <t>77 / 100</t>
        </is>
      </c>
      <c r="L309" t="inlineStr">
        <is>
          <t>17 / 21</t>
        </is>
      </c>
      <c r="M309" s="5" t="n">
        <v>0.44</v>
      </c>
      <c r="N309" s="5" t="n">
        <v>0.45</v>
      </c>
    </row>
    <row r="310">
      <c r="A310" t="n">
        <v>309</v>
      </c>
      <c r="B310" t="n">
        <v>2014</v>
      </c>
      <c r="C310" t="inlineStr">
        <is>
          <t>Sarah Gottlieb</t>
        </is>
      </c>
      <c r="D310">
        <f>HYPERLINK("https://ota.tournamentsoftware.com/player-profile/BD51254A-E036-424C-B89A-FB47A73C0DC5", "Link")</f>
        <v/>
      </c>
      <c r="E310" s="3" t="n">
        <v>209.5</v>
      </c>
      <c r="F310" s="4" t="n">
        <v>6</v>
      </c>
      <c r="G310" t="inlineStr">
        <is>
          <t>Tennis Québec</t>
        </is>
      </c>
      <c r="H310" t="inlineStr">
        <is>
          <t>Tennis 13</t>
        </is>
      </c>
      <c r="I310" t="n">
        <v>36.8</v>
      </c>
      <c r="J310" s="4" t="n">
        <v>92</v>
      </c>
      <c r="K310" t="inlineStr">
        <is>
          <t>46 / 46</t>
        </is>
      </c>
      <c r="L310" t="inlineStr">
        <is>
          <t>1 / 2</t>
        </is>
      </c>
      <c r="M310" s="5" t="n">
        <v>0.5</v>
      </c>
      <c r="N310" s="5" t="n">
        <v>0.33</v>
      </c>
    </row>
    <row r="311">
      <c r="A311" t="n">
        <v>310</v>
      </c>
      <c r="B311" t="n">
        <v>2015</v>
      </c>
      <c r="C311" t="inlineStr">
        <is>
          <t>Sofia Twynam</t>
        </is>
      </c>
      <c r="D311">
        <f>HYPERLINK("https://ota.tournamentsoftware.com/player-profile/025F0929-F490-4440-8CB6-08E8D1F59F08", "Link")</f>
        <v/>
      </c>
      <c r="E311" s="3" t="n">
        <v>209.039</v>
      </c>
      <c r="F311" s="4" t="n">
        <v>16</v>
      </c>
      <c r="G311" t="inlineStr">
        <is>
          <t>Tennis Québec</t>
        </is>
      </c>
      <c r="H311" t="inlineStr">
        <is>
          <t>SANI Sport</t>
        </is>
      </c>
      <c r="I311" t="n">
        <v>37</v>
      </c>
      <c r="J311" s="4" t="n">
        <v>127</v>
      </c>
      <c r="K311" t="inlineStr">
        <is>
          <t>69 / 58</t>
        </is>
      </c>
      <c r="L311" t="inlineStr">
        <is>
          <t>14 / 15</t>
        </is>
      </c>
      <c r="M311" s="5" t="n">
        <v>0.54</v>
      </c>
      <c r="N311" s="5" t="n">
        <v>0.48</v>
      </c>
    </row>
    <row r="312">
      <c r="A312" t="n">
        <v>311</v>
      </c>
      <c r="B312" t="n">
        <v>2014</v>
      </c>
      <c r="C312" t="inlineStr">
        <is>
          <t>Esabel Liu</t>
        </is>
      </c>
      <c r="D312">
        <f>HYPERLINK("https://ota.tournamentsoftware.com/player-profile/03274A3B-556F-4321-880B-2AF255E6A817", "Link")</f>
        <v/>
      </c>
      <c r="E312" s="3" t="n">
        <v>208.86</v>
      </c>
      <c r="F312" s="4" t="n">
        <v>21</v>
      </c>
      <c r="G312" t="inlineStr">
        <is>
          <t>British Columbia</t>
        </is>
      </c>
      <c r="H312" t="inlineStr">
        <is>
          <t>North Vancouver Tennis Centre</t>
        </is>
      </c>
      <c r="I312" t="n">
        <v>36</v>
      </c>
      <c r="J312" s="4" t="n">
        <v>220</v>
      </c>
      <c r="K312" t="inlineStr">
        <is>
          <t>137 / 83</t>
        </is>
      </c>
      <c r="L312" t="inlineStr">
        <is>
          <t>29 / 17</t>
        </is>
      </c>
      <c r="M312" s="5" t="n">
        <v>0.62</v>
      </c>
      <c r="N312" s="5" t="n">
        <v>0.63</v>
      </c>
    </row>
    <row r="313">
      <c r="A313" t="n">
        <v>312</v>
      </c>
      <c r="B313" t="n">
        <v>2014</v>
      </c>
      <c r="C313" t="inlineStr">
        <is>
          <t>Vida Jeftic</t>
        </is>
      </c>
      <c r="D313">
        <f>HYPERLINK("https://ota.tournamentsoftware.com/player-profile/5A42C908-572E-4E42-A8CB-609FCF083DE9", "Link")</f>
        <v/>
      </c>
      <c r="E313" s="3" t="n">
        <v>206.56</v>
      </c>
      <c r="F313" s="4" t="n">
        <v>11</v>
      </c>
      <c r="G313" t="inlineStr">
        <is>
          <t>Ontario Tennis Association</t>
        </is>
      </c>
      <c r="H313" t="inlineStr">
        <is>
          <t>Parkside Tennis Club</t>
        </is>
      </c>
      <c r="I313" t="n">
        <v>33.6</v>
      </c>
      <c r="J313" s="4" t="n">
        <v>38</v>
      </c>
      <c r="K313" t="inlineStr">
        <is>
          <t>27 / 11</t>
        </is>
      </c>
      <c r="L313" t="inlineStr">
        <is>
          <t>11 / 4</t>
        </is>
      </c>
      <c r="M313" s="5" t="n">
        <v>0.71</v>
      </c>
      <c r="N313" s="5" t="n">
        <v>0.73</v>
      </c>
    </row>
    <row r="314">
      <c r="A314" t="n">
        <v>313</v>
      </c>
      <c r="B314" t="n">
        <v>2014</v>
      </c>
      <c r="C314" t="inlineStr">
        <is>
          <t>Alexandra Strgacic</t>
        </is>
      </c>
      <c r="D314">
        <f>HYPERLINK("https://ota.tournamentsoftware.com/player-profile/C809B120-C1B7-4F85-B411-257E3DC9B63B", "Link")</f>
        <v/>
      </c>
      <c r="E314" s="3" t="n">
        <v>205.183</v>
      </c>
      <c r="F314" s="4" t="n">
        <v>11</v>
      </c>
      <c r="G314" t="inlineStr">
        <is>
          <t>Ontario Tennis Association</t>
        </is>
      </c>
      <c r="H314" t="inlineStr">
        <is>
          <t>Advantage Tennis International at Veneto</t>
        </is>
      </c>
      <c r="I314" t="n">
        <v>37.5</v>
      </c>
      <c r="J314" s="4" t="n">
        <v>165</v>
      </c>
      <c r="K314" t="inlineStr">
        <is>
          <t>96 / 69</t>
        </is>
      </c>
      <c r="L314" t="inlineStr">
        <is>
          <t>3 / 5</t>
        </is>
      </c>
      <c r="M314" s="5" t="n">
        <v>0.58</v>
      </c>
      <c r="N314" s="5" t="n">
        <v>0.38</v>
      </c>
    </row>
    <row r="315">
      <c r="A315" t="n">
        <v>314</v>
      </c>
      <c r="B315" t="n">
        <v>2014</v>
      </c>
      <c r="C315" t="inlineStr">
        <is>
          <t>Freya Jiaxin He</t>
        </is>
      </c>
      <c r="D315">
        <f>HYPERLINK("https://ota.tournamentsoftware.com/player-profile/8C1C07F2-C769-4A85-8385-40B14C9CD709", "Link")</f>
        <v/>
      </c>
      <c r="E315" s="3" t="n">
        <v>203.592</v>
      </c>
      <c r="F315" s="4" t="n">
        <v>6</v>
      </c>
      <c r="G315" t="inlineStr">
        <is>
          <t>Tennis Prince Edward Island</t>
        </is>
      </c>
      <c r="H315" t="inlineStr">
        <is>
          <t>Charlottetown Recreation Tennis Group</t>
        </is>
      </c>
      <c r="I315" t="n">
        <v>36.9</v>
      </c>
      <c r="J315" s="4" t="n">
        <v>99</v>
      </c>
      <c r="K315" t="inlineStr">
        <is>
          <t>53 / 46</t>
        </is>
      </c>
      <c r="L315" t="inlineStr">
        <is>
          <t>14 / 7</t>
        </is>
      </c>
      <c r="M315" s="5" t="n">
        <v>0.54</v>
      </c>
      <c r="N315" s="5" t="n">
        <v>0.67</v>
      </c>
    </row>
    <row r="316">
      <c r="A316" t="n">
        <v>315</v>
      </c>
      <c r="B316" t="n">
        <v>2012</v>
      </c>
      <c r="C316" t="inlineStr">
        <is>
          <t>Victoria Trempe</t>
        </is>
      </c>
      <c r="D316">
        <f>HYPERLINK("https://ota.tournamentsoftware.com/player-profile/90EB2857-D907-47BD-ABB6-AAED21876912", "Link")</f>
        <v/>
      </c>
      <c r="E316" s="3" t="n">
        <v>203.573</v>
      </c>
      <c r="F316" s="4" t="n">
        <v>8</v>
      </c>
      <c r="G316" t="inlineStr">
        <is>
          <t>Tennis Québec</t>
        </is>
      </c>
      <c r="H316" t="inlineStr">
        <is>
          <t>Club Sportif Côte-de-Liesse</t>
        </is>
      </c>
      <c r="I316" t="n">
        <v>38.1</v>
      </c>
      <c r="J316" s="4" t="n">
        <v>122</v>
      </c>
      <c r="K316" t="inlineStr">
        <is>
          <t>45 / 77</t>
        </is>
      </c>
      <c r="L316" t="inlineStr">
        <is>
          <t>2 / 4</t>
        </is>
      </c>
      <c r="M316" s="5" t="n">
        <v>0.37</v>
      </c>
      <c r="N316" s="5" t="n">
        <v>0.33</v>
      </c>
    </row>
    <row r="317">
      <c r="A317" t="n">
        <v>316</v>
      </c>
      <c r="B317" t="n">
        <v>2014</v>
      </c>
      <c r="C317" t="inlineStr">
        <is>
          <t>Mila Alexandra Voros</t>
        </is>
      </c>
      <c r="D317">
        <f>HYPERLINK("https://ota.tournamentsoftware.com/player-profile/96155B79-5199-481D-8AF1-A174FA860401", "Link")</f>
        <v/>
      </c>
      <c r="E317" s="3" t="n">
        <v>203.548</v>
      </c>
      <c r="F317" s="4" t="n">
        <v>14</v>
      </c>
      <c r="G317" t="inlineStr">
        <is>
          <t>Ontario Tennis Association</t>
        </is>
      </c>
      <c r="H317" t="inlineStr">
        <is>
          <t>GSM Tennis Club</t>
        </is>
      </c>
      <c r="I317" t="n">
        <v>38.8</v>
      </c>
      <c r="J317" s="4" t="n">
        <v>132</v>
      </c>
      <c r="K317" t="inlineStr">
        <is>
          <t>57 / 75</t>
        </is>
      </c>
      <c r="L317" t="inlineStr">
        <is>
          <t>6 / 12</t>
        </is>
      </c>
      <c r="M317" s="5" t="n">
        <v>0.43</v>
      </c>
      <c r="N317" s="5" t="n">
        <v>0.33</v>
      </c>
    </row>
    <row r="318">
      <c r="A318" t="n">
        <v>317</v>
      </c>
      <c r="B318" t="n">
        <v>2014</v>
      </c>
      <c r="C318" t="inlineStr">
        <is>
          <t>Aryella Ainame Duran Khongwir</t>
        </is>
      </c>
      <c r="D318">
        <f>HYPERLINK("https://ota.tournamentsoftware.com/player-profile/6DB3D46F-3C74-400D-92A4-62CF55426936", "Link")</f>
        <v/>
      </c>
      <c r="E318" s="3" t="n">
        <v>201.274</v>
      </c>
      <c r="F318" s="4" t="n">
        <v>19</v>
      </c>
      <c r="G318" t="inlineStr">
        <is>
          <t>Ontario Tennis Association</t>
        </is>
      </c>
      <c r="H318" t="inlineStr">
        <is>
          <t>Stefanovic Tennis Academy</t>
        </is>
      </c>
      <c r="I318" t="n">
        <v>37.9</v>
      </c>
      <c r="J318" s="4" t="n">
        <v>172</v>
      </c>
      <c r="K318" t="inlineStr">
        <is>
          <t>48 / 124</t>
        </is>
      </c>
      <c r="L318" t="inlineStr">
        <is>
          <t>14 / 12</t>
        </is>
      </c>
      <c r="M318" s="5" t="n">
        <v>0.28</v>
      </c>
      <c r="N318" s="5" t="n">
        <v>0.54</v>
      </c>
    </row>
    <row r="319">
      <c r="A319" t="n">
        <v>318</v>
      </c>
      <c r="B319" t="n">
        <v>2016</v>
      </c>
      <c r="C319" t="inlineStr">
        <is>
          <t>Minna TAN</t>
        </is>
      </c>
      <c r="D319">
        <f>HYPERLINK("https://ota.tournamentsoftware.com/player-profile/4830D271-776A-41F3-B5D9-B5D2EC272CB4", "Link")</f>
        <v/>
      </c>
      <c r="E319" s="3" t="n">
        <v>199.43</v>
      </c>
      <c r="F319" s="4" t="n">
        <v>8</v>
      </c>
      <c r="G319" t="inlineStr">
        <is>
          <t>Tennis Québec</t>
        </is>
      </c>
      <c r="H319" t="inlineStr">
        <is>
          <t>Tennis Ile- des- Soeurs</t>
        </is>
      </c>
      <c r="I319" t="n">
        <v>36.6</v>
      </c>
      <c r="J319" s="4" t="n">
        <v>81</v>
      </c>
      <c r="K319" t="inlineStr">
        <is>
          <t>49 / 32</t>
        </is>
      </c>
      <c r="L319" t="inlineStr">
        <is>
          <t>18 / 7</t>
        </is>
      </c>
      <c r="M319" s="5" t="n">
        <v>0.6</v>
      </c>
      <c r="N319" s="5" t="n">
        <v>0.72</v>
      </c>
    </row>
    <row r="320">
      <c r="A320" t="n">
        <v>319</v>
      </c>
      <c r="B320" t="n">
        <v>2013</v>
      </c>
      <c r="C320" t="inlineStr">
        <is>
          <t>Ana Sofia Prieto Echandia</t>
        </is>
      </c>
      <c r="D320">
        <f>HYPERLINK("https://ota.tournamentsoftware.com/player-profile/0A98F660-17C5-4374-B63C-9B5B0E183AF0", "Link")</f>
        <v/>
      </c>
      <c r="E320" s="3" t="n">
        <v>198.964</v>
      </c>
      <c r="F320" s="4" t="n">
        <v>8</v>
      </c>
      <c r="G320" t="inlineStr">
        <is>
          <t>Tennis Québec</t>
        </is>
      </c>
      <c r="H320" t="inlineStr">
        <is>
          <t>Tennis Ile- des- Soeurs</t>
        </is>
      </c>
      <c r="I320" t="n">
        <v>37.2</v>
      </c>
      <c r="J320" s="4" t="n">
        <v>33</v>
      </c>
      <c r="K320" t="inlineStr">
        <is>
          <t>19 / 14</t>
        </is>
      </c>
      <c r="L320" t="inlineStr">
        <is>
          <t>2 / 6</t>
        </is>
      </c>
      <c r="M320" s="5" t="n">
        <v>0.58</v>
      </c>
      <c r="N320" s="5" t="n">
        <v>0.25</v>
      </c>
    </row>
    <row r="321">
      <c r="A321" t="n">
        <v>320</v>
      </c>
      <c r="B321" t="n">
        <v>2014</v>
      </c>
      <c r="C321" t="inlineStr">
        <is>
          <t>anne xie</t>
        </is>
      </c>
      <c r="D321">
        <f>HYPERLINK("https://ota.tournamentsoftware.com/player-profile/FA9126B9-8D97-4D5E-9E34-8893BB836AE1", "Link")</f>
        <v/>
      </c>
      <c r="E321" s="3" t="n">
        <v>198.504</v>
      </c>
      <c r="F321" s="4" t="n">
        <v>26</v>
      </c>
      <c r="G321" t="inlineStr">
        <is>
          <t>British Columbia</t>
        </is>
      </c>
      <c r="H321" t="inlineStr">
        <is>
          <t>North Vancouver Tennis Centre</t>
        </is>
      </c>
      <c r="I321" t="n">
        <v>36.6</v>
      </c>
      <c r="J321" s="4" t="n">
        <v>247</v>
      </c>
      <c r="K321" t="inlineStr">
        <is>
          <t>116 / 131</t>
        </is>
      </c>
      <c r="L321" t="inlineStr">
        <is>
          <t>19 / 23</t>
        </is>
      </c>
      <c r="M321" s="5" t="n">
        <v>0.47</v>
      </c>
      <c r="N321" s="5" t="n">
        <v>0.45</v>
      </c>
    </row>
    <row r="322">
      <c r="A322" t="n">
        <v>321</v>
      </c>
      <c r="B322" t="n">
        <v>2016</v>
      </c>
      <c r="C322" t="inlineStr">
        <is>
          <t>Victoria Chang</t>
        </is>
      </c>
      <c r="D322">
        <f>HYPERLINK("https://ota.tournamentsoftware.com/player-profile/A391B4A7-44C6-4D9F-9A04-161A8B22E0C3", "Link")</f>
        <v/>
      </c>
      <c r="E322" s="3" t="n">
        <v>198.093</v>
      </c>
      <c r="F322" s="4" t="n">
        <v>14</v>
      </c>
      <c r="G322" t="inlineStr">
        <is>
          <t>Ontario Tennis Association</t>
        </is>
      </c>
      <c r="H322" t="inlineStr">
        <is>
          <t>Richmond Hill Country Club</t>
        </is>
      </c>
      <c r="I322" t="n">
        <v>35.8</v>
      </c>
      <c r="J322" s="4" t="n">
        <v>106</v>
      </c>
      <c r="K322" t="inlineStr">
        <is>
          <t>80 / 26</t>
        </is>
      </c>
      <c r="L322" t="inlineStr">
        <is>
          <t>32 / 10</t>
        </is>
      </c>
      <c r="M322" s="5" t="n">
        <v>0.75</v>
      </c>
      <c r="N322" s="5" t="n">
        <v>0.76</v>
      </c>
    </row>
    <row r="323">
      <c r="A323" t="n">
        <v>322</v>
      </c>
      <c r="B323" t="n">
        <v>2013</v>
      </c>
      <c r="C323" t="inlineStr">
        <is>
          <t>Eliza Willow Nguyen</t>
        </is>
      </c>
      <c r="D323">
        <f>HYPERLINK("https://ota.tournamentsoftware.com/player-profile/1A3AE60F-B4FB-4C4C-AE09-5D730884AC0A", "Link")</f>
        <v/>
      </c>
      <c r="E323" s="3" t="n">
        <v>198.067</v>
      </c>
      <c r="F323" s="4" t="n">
        <v>12</v>
      </c>
      <c r="G323" t="inlineStr">
        <is>
          <t>Tennis Alberta</t>
        </is>
      </c>
      <c r="H323" t="inlineStr">
        <is>
          <t>Saville Community Sports Centre</t>
        </is>
      </c>
      <c r="I323" t="n">
        <v>37.3</v>
      </c>
      <c r="J323" s="4" t="n">
        <v>143</v>
      </c>
      <c r="K323" t="inlineStr">
        <is>
          <t>66 / 77</t>
        </is>
      </c>
      <c r="L323" t="inlineStr">
        <is>
          <t>10 / 13</t>
        </is>
      </c>
      <c r="M323" s="5" t="n">
        <v>0.46</v>
      </c>
      <c r="N323" s="5" t="n">
        <v>0.43</v>
      </c>
    </row>
    <row r="324">
      <c r="A324" t="n">
        <v>323</v>
      </c>
      <c r="B324" t="n">
        <v>2013</v>
      </c>
      <c r="C324" t="inlineStr">
        <is>
          <t>Léa Crépault</t>
        </is>
      </c>
      <c r="D324">
        <f>HYPERLINK("https://ota.tournamentsoftware.com/player-profile/A3D2A82D-C6E8-410C-A1B3-E5DC3B845B7A", "Link")</f>
        <v/>
      </c>
      <c r="E324" s="3" t="n">
        <v>197.911</v>
      </c>
      <c r="F324" s="4" t="n">
        <v>20</v>
      </c>
      <c r="G324" t="inlineStr">
        <is>
          <t>Tennis Québec</t>
        </is>
      </c>
      <c r="H324" t="inlineStr">
        <is>
          <t>EB Tennis inc.</t>
        </is>
      </c>
      <c r="I324" t="n">
        <v>39.2</v>
      </c>
      <c r="J324" s="4" t="n">
        <v>149</v>
      </c>
      <c r="K324" t="inlineStr">
        <is>
          <t>38 / 111</t>
        </is>
      </c>
      <c r="L324" t="inlineStr">
        <is>
          <t>2 / 12</t>
        </is>
      </c>
      <c r="M324" s="5" t="n">
        <v>0.26</v>
      </c>
      <c r="N324" s="5" t="n">
        <v>0.14</v>
      </c>
    </row>
    <row r="325">
      <c r="A325" t="n">
        <v>324</v>
      </c>
      <c r="B325" t="n">
        <v>2015</v>
      </c>
      <c r="C325" t="inlineStr">
        <is>
          <t>Hannah D'Souza</t>
        </is>
      </c>
      <c r="D325">
        <f>HYPERLINK("https://ota.tournamentsoftware.com/player-profile/6516E6BE-4D11-4CDB-8F62-FFE106E8A899", "Link")</f>
        <v/>
      </c>
      <c r="E325" s="3" t="n">
        <v>196.784</v>
      </c>
      <c r="F325" s="4" t="n">
        <v>26</v>
      </c>
      <c r="G325" t="inlineStr">
        <is>
          <t>Ontario Tennis Association</t>
        </is>
      </c>
      <c r="H325" t="inlineStr">
        <is>
          <t>No Club</t>
        </is>
      </c>
      <c r="I325" t="n">
        <v>37.4</v>
      </c>
      <c r="J325" s="4" t="n">
        <v>146</v>
      </c>
      <c r="K325" t="inlineStr">
        <is>
          <t>58 / 88</t>
        </is>
      </c>
      <c r="L325" t="inlineStr">
        <is>
          <t>14 / 19</t>
        </is>
      </c>
      <c r="M325" s="5" t="n">
        <v>0.4</v>
      </c>
      <c r="N325" s="5" t="n">
        <v>0.42</v>
      </c>
    </row>
    <row r="326">
      <c r="A326" t="n">
        <v>325</v>
      </c>
      <c r="B326" t="n">
        <v>2012</v>
      </c>
      <c r="C326" t="inlineStr">
        <is>
          <t>Carys Miles</t>
        </is>
      </c>
      <c r="D326">
        <f>HYPERLINK("https://ota.tournamentsoftware.com/player-profile/7FCFD8F6-5B52-4825-B8AA-B72BF77A3298", "Link")</f>
        <v/>
      </c>
      <c r="E326" s="3" t="n">
        <v>194.325</v>
      </c>
      <c r="F326" s="4" t="n">
        <v>15</v>
      </c>
      <c r="G326" t="inlineStr">
        <is>
          <t>Tennis Alberta</t>
        </is>
      </c>
      <c r="H326" t="inlineStr">
        <is>
          <t>Osten &amp; Victor Alberta Tennis Centre</t>
        </is>
      </c>
      <c r="I326" t="n">
        <v>36.5</v>
      </c>
      <c r="J326" s="4" t="n">
        <v>200</v>
      </c>
      <c r="K326" t="inlineStr">
        <is>
          <t>98 / 102</t>
        </is>
      </c>
      <c r="L326" t="inlineStr">
        <is>
          <t>4 / 9</t>
        </is>
      </c>
      <c r="M326" s="5" t="n">
        <v>0.49</v>
      </c>
      <c r="N326" s="5" t="n">
        <v>0.31</v>
      </c>
    </row>
    <row r="327">
      <c r="A327" t="n">
        <v>326</v>
      </c>
      <c r="B327" t="n">
        <v>2013</v>
      </c>
      <c r="C327" t="inlineStr">
        <is>
          <t>Helena Shengyi Chen</t>
        </is>
      </c>
      <c r="D327">
        <f>HYPERLINK("https://ota.tournamentsoftware.com/player-profile/097D6397-0826-4C15-948E-B983C1D748F4", "Link")</f>
        <v/>
      </c>
      <c r="E327" s="3" t="n">
        <v>193.108</v>
      </c>
      <c r="F327" s="4" t="n">
        <v>15</v>
      </c>
      <c r="G327" t="inlineStr">
        <is>
          <t>British Columbia</t>
        </is>
      </c>
      <c r="H327" t="inlineStr">
        <is>
          <t>Tennis BC Hub @ Richmond</t>
        </is>
      </c>
      <c r="I327" t="n">
        <v>37.9</v>
      </c>
      <c r="J327" s="4" t="n">
        <v>113</v>
      </c>
      <c r="K327" t="inlineStr">
        <is>
          <t>48 / 65</t>
        </is>
      </c>
      <c r="L327" t="inlineStr">
        <is>
          <t>11 / 14</t>
        </is>
      </c>
      <c r="M327" s="5" t="n">
        <v>0.42</v>
      </c>
      <c r="N327" s="5" t="n">
        <v>0.44</v>
      </c>
    </row>
    <row r="328">
      <c r="A328" t="n">
        <v>327</v>
      </c>
      <c r="B328" t="n">
        <v>2014</v>
      </c>
      <c r="C328" t="inlineStr">
        <is>
          <t>Mariah Jorge-Eman</t>
        </is>
      </c>
      <c r="D328">
        <f>HYPERLINK("https://ota.tournamentsoftware.com/player-profile/B6887B12-5A2B-48B9-8A94-164305BBBBBE", "Link")</f>
        <v/>
      </c>
      <c r="E328" s="3" t="n">
        <v>192.757</v>
      </c>
      <c r="F328" s="4" t="n">
        <v>23</v>
      </c>
      <c r="G328" t="inlineStr">
        <is>
          <t>Ontario Tennis Association</t>
        </is>
      </c>
      <c r="H328" t="inlineStr">
        <is>
          <t>Premier Racquet Clubs – Mississauga</t>
        </is>
      </c>
      <c r="I328" t="n">
        <v>37</v>
      </c>
      <c r="J328" s="4" t="n">
        <v>102</v>
      </c>
      <c r="K328" t="inlineStr">
        <is>
          <t>48 / 54</t>
        </is>
      </c>
      <c r="L328" t="inlineStr">
        <is>
          <t>15 / 14</t>
        </is>
      </c>
      <c r="M328" s="5" t="n">
        <v>0.47</v>
      </c>
      <c r="N328" s="5" t="n">
        <v>0.52</v>
      </c>
    </row>
    <row r="329">
      <c r="A329" t="n">
        <v>328</v>
      </c>
      <c r="B329" t="n">
        <v>2015</v>
      </c>
      <c r="C329" t="inlineStr">
        <is>
          <t>Lydia Huang</t>
        </is>
      </c>
      <c r="D329">
        <f>HYPERLINK("https://ota.tournamentsoftware.com/player-profile/C398C976-6D88-4D76-B532-8E986C6FF0EA", "Link")</f>
        <v/>
      </c>
      <c r="E329" s="3" t="n">
        <v>192.252</v>
      </c>
      <c r="F329" s="4" t="n">
        <v>22</v>
      </c>
      <c r="G329" t="inlineStr">
        <is>
          <t>Ontario Tennis Association</t>
        </is>
      </c>
      <c r="H329" t="inlineStr">
        <is>
          <t>The Supreme Court Tennis Club</t>
        </is>
      </c>
      <c r="I329" t="n">
        <v>37.1</v>
      </c>
      <c r="J329" s="4" t="n">
        <v>90</v>
      </c>
      <c r="K329" t="inlineStr">
        <is>
          <t>53 / 37</t>
        </is>
      </c>
      <c r="L329" t="inlineStr">
        <is>
          <t>24 / 19</t>
        </is>
      </c>
      <c r="M329" s="5" t="n">
        <v>0.59</v>
      </c>
      <c r="N329" s="5" t="n">
        <v>0.5600000000000001</v>
      </c>
    </row>
    <row r="330">
      <c r="A330" t="n">
        <v>329</v>
      </c>
      <c r="B330" t="n">
        <v>2012</v>
      </c>
      <c r="C330" t="inlineStr">
        <is>
          <t>Sabrina Sajjad</t>
        </is>
      </c>
      <c r="D330">
        <f>HYPERLINK("https://ota.tournamentsoftware.com/player-profile/6C7EB560-0C6C-49E6-9B42-49009727ED3D", "Link")</f>
        <v/>
      </c>
      <c r="E330" s="3" t="n">
        <v>189.48</v>
      </c>
      <c r="F330" s="4" t="n">
        <v>15</v>
      </c>
      <c r="G330" t="inlineStr">
        <is>
          <t>Ontario Tennis Association</t>
        </is>
      </c>
      <c r="H330" t="inlineStr">
        <is>
          <t>No Club</t>
        </is>
      </c>
      <c r="I330" t="n">
        <v>37.7</v>
      </c>
      <c r="J330" s="4" t="n">
        <v>67</v>
      </c>
      <c r="K330" t="inlineStr">
        <is>
          <t>35 / 32</t>
        </is>
      </c>
      <c r="L330" t="inlineStr">
        <is>
          <t>8 / 8</t>
        </is>
      </c>
      <c r="M330" s="5" t="n">
        <v>0.52</v>
      </c>
      <c r="N330" s="5" t="n">
        <v>0.5</v>
      </c>
    </row>
    <row r="331">
      <c r="A331" t="n">
        <v>330</v>
      </c>
      <c r="B331" t="n">
        <v>2014</v>
      </c>
      <c r="C331" t="inlineStr">
        <is>
          <t>Payton Isabelle JOHNSTON</t>
        </is>
      </c>
      <c r="D331">
        <f>HYPERLINK("https://ota.tournamentsoftware.com/player-profile/30639279-6EB4-43A0-806A-9F7E6209EBA5", "Link")</f>
        <v/>
      </c>
      <c r="E331" s="3" t="n">
        <v>189.449</v>
      </c>
      <c r="F331" s="4" t="n">
        <v>12</v>
      </c>
      <c r="G331" t="inlineStr">
        <is>
          <t>Tennis Nova Scotia</t>
        </is>
      </c>
      <c r="H331" t="inlineStr">
        <is>
          <t>Gordon Hughes Tennis Club</t>
        </is>
      </c>
      <c r="I331" t="n">
        <v>37.5</v>
      </c>
      <c r="J331" s="4" t="n">
        <v>93</v>
      </c>
      <c r="K331" t="inlineStr">
        <is>
          <t>47 / 46</t>
        </is>
      </c>
      <c r="L331" t="inlineStr">
        <is>
          <t>16 / 20</t>
        </is>
      </c>
      <c r="M331" s="5" t="n">
        <v>0.51</v>
      </c>
      <c r="N331" s="5" t="n">
        <v>0.44</v>
      </c>
    </row>
    <row r="332">
      <c r="A332" t="n">
        <v>331</v>
      </c>
      <c r="B332" t="n">
        <v>2015</v>
      </c>
      <c r="C332" t="inlineStr">
        <is>
          <t>Olivia Ormandy</t>
        </is>
      </c>
      <c r="D332">
        <f>HYPERLINK("https://ota.tournamentsoftware.com/player-profile/C2722647-7EFC-4E85-B2ED-55E77949843B", "Link")</f>
        <v/>
      </c>
      <c r="E332" s="3" t="n">
        <v>188.914</v>
      </c>
      <c r="F332" s="4" t="n">
        <v>28</v>
      </c>
      <c r="G332" t="inlineStr">
        <is>
          <t>Tennis Québec</t>
        </is>
      </c>
      <c r="H332" t="inlineStr">
        <is>
          <t>Tennis Interclub Piedmont</t>
        </is>
      </c>
      <c r="I332" t="inlineStr">
        <is>
          <t>unavailable</t>
        </is>
      </c>
      <c r="J332" s="4" t="inlineStr"/>
      <c r="K332" t="inlineStr">
        <is>
          <t>unavailable</t>
        </is>
      </c>
      <c r="L332" t="inlineStr">
        <is>
          <t>unavailable</t>
        </is>
      </c>
      <c r="M332" s="5" t="inlineStr"/>
      <c r="N332" s="5" t="inlineStr"/>
    </row>
    <row r="333">
      <c r="A333" t="n">
        <v>332</v>
      </c>
      <c r="B333" t="n">
        <v>2013</v>
      </c>
      <c r="C333" t="inlineStr">
        <is>
          <t>Ophélia Carbonneau</t>
        </is>
      </c>
      <c r="D333">
        <f>HYPERLINK("https://ota.tournamentsoftware.com/player-profile/8B592B8F-8B82-48EF-9CDD-0CBA40EBB412", "Link")</f>
        <v/>
      </c>
      <c r="E333" s="3" t="n">
        <v>188.358</v>
      </c>
      <c r="F333" s="4" t="n">
        <v>16</v>
      </c>
      <c r="G333" t="inlineStr">
        <is>
          <t>Tennis Québec</t>
        </is>
      </c>
      <c r="H333" t="inlineStr">
        <is>
          <t>Tennis Interclub Piedmont</t>
        </is>
      </c>
      <c r="I333" t="n">
        <v>39.7</v>
      </c>
      <c r="J333" s="4" t="n">
        <v>105</v>
      </c>
      <c r="K333" t="inlineStr">
        <is>
          <t>30 / 75</t>
        </is>
      </c>
      <c r="L333" t="inlineStr">
        <is>
          <t>6 / 12</t>
        </is>
      </c>
      <c r="M333" s="5" t="n">
        <v>0.29</v>
      </c>
      <c r="N333" s="5" t="n">
        <v>0.33</v>
      </c>
    </row>
    <row r="334">
      <c r="A334" t="n">
        <v>333</v>
      </c>
      <c r="B334" t="n">
        <v>2012</v>
      </c>
      <c r="C334" t="inlineStr">
        <is>
          <t>Angelica Rose Spyrka</t>
        </is>
      </c>
      <c r="D334">
        <f>HYPERLINK("https://ota.tournamentsoftware.com/player-profile/7A8F99DB-3ADA-4FDB-AC08-5095AAF01985", "Link")</f>
        <v/>
      </c>
      <c r="E334" s="3" t="n">
        <v>188.137</v>
      </c>
      <c r="F334" s="4" t="n">
        <v>17</v>
      </c>
      <c r="G334" t="inlineStr">
        <is>
          <t>British Columbia</t>
        </is>
      </c>
      <c r="H334" t="inlineStr">
        <is>
          <t>Vanguard Tennis Academy</t>
        </is>
      </c>
      <c r="I334" t="n">
        <v>37.9</v>
      </c>
      <c r="J334" s="4" t="n">
        <v>74</v>
      </c>
      <c r="K334" t="inlineStr">
        <is>
          <t>32 / 42</t>
        </is>
      </c>
      <c r="L334" t="inlineStr">
        <is>
          <t>6 / 10</t>
        </is>
      </c>
      <c r="M334" s="5" t="n">
        <v>0.43</v>
      </c>
      <c r="N334" s="5" t="n">
        <v>0.38</v>
      </c>
    </row>
    <row r="335">
      <c r="A335" t="n">
        <v>334</v>
      </c>
      <c r="B335" t="n">
        <v>2015</v>
      </c>
      <c r="C335" t="inlineStr">
        <is>
          <t>Yasmine Maazouz</t>
        </is>
      </c>
      <c r="D335">
        <f>HYPERLINK("https://ota.tournamentsoftware.com/player-profile/004E04F8-71A7-4C1F-B42C-805F1590C456", "Link")</f>
        <v/>
      </c>
      <c r="E335" s="3" t="n">
        <v>187.932</v>
      </c>
      <c r="F335" s="4" t="n">
        <v>8</v>
      </c>
      <c r="G335" t="inlineStr">
        <is>
          <t>Tennis Québec</t>
        </is>
      </c>
      <c r="H335" t="inlineStr">
        <is>
          <t>Tennis Montréal Excellence</t>
        </is>
      </c>
      <c r="I335" t="n">
        <v>35.5</v>
      </c>
      <c r="J335" s="4" t="n">
        <v>113</v>
      </c>
      <c r="K335" t="inlineStr">
        <is>
          <t>68 / 45</t>
        </is>
      </c>
      <c r="L335" t="inlineStr">
        <is>
          <t>19 / 6</t>
        </is>
      </c>
      <c r="M335" s="5" t="n">
        <v>0.6</v>
      </c>
      <c r="N335" s="5" t="n">
        <v>0.76</v>
      </c>
    </row>
    <row r="336">
      <c r="A336" t="n">
        <v>335</v>
      </c>
      <c r="B336" t="n">
        <v>2012</v>
      </c>
      <c r="C336" t="inlineStr">
        <is>
          <t>Ruoyu Wang</t>
        </is>
      </c>
      <c r="D336">
        <f>HYPERLINK("https://ota.tournamentsoftware.com/player-profile/BF1A51BB-FF4F-417F-AE41-0914B75C7FF1", "Link")</f>
        <v/>
      </c>
      <c r="E336" s="3" t="n">
        <v>187.562</v>
      </c>
      <c r="F336" s="4" t="n">
        <v>11</v>
      </c>
      <c r="G336" t="inlineStr">
        <is>
          <t>Tennis Québec</t>
        </is>
      </c>
      <c r="H336" t="inlineStr">
        <is>
          <t>Tennis 13</t>
        </is>
      </c>
      <c r="I336" t="inlineStr">
        <is>
          <t>unavailable</t>
        </is>
      </c>
      <c r="J336" s="4" t="n">
        <v>16</v>
      </c>
      <c r="K336" t="inlineStr">
        <is>
          <t>3 / 13</t>
        </is>
      </c>
      <c r="L336" t="inlineStr">
        <is>
          <t>2 / 7</t>
        </is>
      </c>
      <c r="M336" s="5" t="n">
        <v>0.19</v>
      </c>
      <c r="N336" s="5" t="n">
        <v>0.22</v>
      </c>
    </row>
    <row r="337">
      <c r="A337" t="n">
        <v>336</v>
      </c>
      <c r="B337" t="n">
        <v>2015</v>
      </c>
      <c r="C337" t="inlineStr">
        <is>
          <t>Kayla Chevez</t>
        </is>
      </c>
      <c r="D337">
        <f>HYPERLINK("https://ota.tournamentsoftware.com/player-profile/EE941149-B269-44AA-A65B-D00099EE4086", "Link")</f>
        <v/>
      </c>
      <c r="E337" s="3" t="n">
        <v>185.787</v>
      </c>
      <c r="F337" s="4" t="n">
        <v>24</v>
      </c>
      <c r="G337" t="inlineStr">
        <is>
          <t>Tennis Québec</t>
        </is>
      </c>
      <c r="H337" t="inlineStr">
        <is>
          <t>Tennis Montréal Excellence</t>
        </is>
      </c>
      <c r="I337" t="n">
        <v>38.2</v>
      </c>
      <c r="J337" s="4" t="n">
        <v>139</v>
      </c>
      <c r="K337" t="inlineStr">
        <is>
          <t>69 / 70</t>
        </is>
      </c>
      <c r="L337" t="inlineStr">
        <is>
          <t>18 / 19</t>
        </is>
      </c>
      <c r="M337" s="5" t="n">
        <v>0.5</v>
      </c>
      <c r="N337" s="5" t="n">
        <v>0.49</v>
      </c>
    </row>
    <row r="338">
      <c r="A338" t="n">
        <v>337</v>
      </c>
      <c r="B338" t="n">
        <v>2013</v>
      </c>
      <c r="C338" t="inlineStr">
        <is>
          <t>Alysha Alexis</t>
        </is>
      </c>
      <c r="D338">
        <f>HYPERLINK("https://ota.tournamentsoftware.com/player-profile/42191CE6-0E1E-460D-80E0-9A7FF78DA6C6", "Link")</f>
        <v/>
      </c>
      <c r="E338" s="3" t="n">
        <v>185.03</v>
      </c>
      <c r="F338" s="4" t="n">
        <v>15</v>
      </c>
      <c r="G338" t="inlineStr">
        <is>
          <t>Tennis Québec</t>
        </is>
      </c>
      <c r="H338" t="inlineStr">
        <is>
          <t>Académie Tennis Momentum (club extérieur)</t>
        </is>
      </c>
      <c r="I338" t="n">
        <v>38</v>
      </c>
      <c r="J338" s="4" t="n">
        <v>68</v>
      </c>
      <c r="K338" t="inlineStr">
        <is>
          <t>32 / 36</t>
        </is>
      </c>
      <c r="L338" t="inlineStr">
        <is>
          <t>12 / 12</t>
        </is>
      </c>
      <c r="M338" s="5" t="n">
        <v>0.47</v>
      </c>
      <c r="N338" s="5" t="n">
        <v>0.5</v>
      </c>
    </row>
    <row r="339">
      <c r="A339" t="n">
        <v>338</v>
      </c>
      <c r="B339" t="n">
        <v>2015</v>
      </c>
      <c r="C339" t="inlineStr">
        <is>
          <t>Emma Echeverri Vujicic</t>
        </is>
      </c>
      <c r="D339">
        <f>HYPERLINK("https://ota.tournamentsoftware.com/player-profile/644C3F8A-163C-4BEA-8EBD-9263F89347F9", "Link")</f>
        <v/>
      </c>
      <c r="E339" s="3" t="n">
        <v>183.437</v>
      </c>
      <c r="F339" s="4" t="n">
        <v>21</v>
      </c>
      <c r="G339" t="inlineStr">
        <is>
          <t>Ontario Tennis Association</t>
        </is>
      </c>
      <c r="H339" t="inlineStr">
        <is>
          <t>Mayfair West Fitness &amp; Racquet Club</t>
        </is>
      </c>
      <c r="I339" t="n">
        <v>36.9</v>
      </c>
      <c r="J339" s="4" t="n">
        <v>127</v>
      </c>
      <c r="K339" t="inlineStr">
        <is>
          <t>61 / 66</t>
        </is>
      </c>
      <c r="L339" t="inlineStr">
        <is>
          <t>22 / 12</t>
        </is>
      </c>
      <c r="M339" s="5" t="n">
        <v>0.48</v>
      </c>
      <c r="N339" s="5" t="n">
        <v>0.65</v>
      </c>
    </row>
    <row r="340">
      <c r="A340" t="n">
        <v>339</v>
      </c>
      <c r="B340" t="n">
        <v>2012</v>
      </c>
      <c r="C340" t="inlineStr">
        <is>
          <t>Harsimran Kaur Sandhu</t>
        </is>
      </c>
      <c r="D340">
        <f>HYPERLINK("https://ota.tournamentsoftware.com/player-profile/10345BBC-2CC8-4DA1-AA88-2730495B6CB8", "Link")</f>
        <v/>
      </c>
      <c r="E340" s="3" t="n">
        <v>182.904</v>
      </c>
      <c r="F340" s="4" t="n">
        <v>22</v>
      </c>
      <c r="G340" t="inlineStr">
        <is>
          <t>Ontario Tennis Association</t>
        </is>
      </c>
      <c r="H340" t="inlineStr">
        <is>
          <t>Premier Racquet Clubs – Mississauga</t>
        </is>
      </c>
      <c r="I340" t="inlineStr">
        <is>
          <t>unavailable</t>
        </is>
      </c>
      <c r="J340" s="4" t="n">
        <v>96</v>
      </c>
      <c r="K340" t="inlineStr">
        <is>
          <t>42 / 54</t>
        </is>
      </c>
      <c r="L340" t="inlineStr">
        <is>
          <t>17 / 15</t>
        </is>
      </c>
      <c r="M340" s="5" t="n">
        <v>0.44</v>
      </c>
      <c r="N340" s="5" t="n">
        <v>0.53</v>
      </c>
    </row>
    <row r="341">
      <c r="A341" t="n">
        <v>340</v>
      </c>
      <c r="B341" t="n">
        <v>2014</v>
      </c>
      <c r="C341" t="inlineStr">
        <is>
          <t>Ella Meng</t>
        </is>
      </c>
      <c r="D341">
        <f>HYPERLINK("https://ota.tournamentsoftware.com/player-profile/B7EC0DBA-A6B8-49FA-A398-63ABEF8384E7", "Link")</f>
        <v/>
      </c>
      <c r="E341" s="3" t="n">
        <v>180.792</v>
      </c>
      <c r="F341" s="4" t="n">
        <v>11</v>
      </c>
      <c r="G341" t="inlineStr">
        <is>
          <t>Ontario Tennis Association</t>
        </is>
      </c>
      <c r="H341" t="inlineStr">
        <is>
          <t>Marilyn Redvers Tennis Club</t>
        </is>
      </c>
      <c r="I341" t="n">
        <v>37.4</v>
      </c>
      <c r="J341" s="4" t="n">
        <v>84</v>
      </c>
      <c r="K341" t="inlineStr">
        <is>
          <t>30 / 54</t>
        </is>
      </c>
      <c r="L341" t="inlineStr">
        <is>
          <t>11 / 12</t>
        </is>
      </c>
      <c r="M341" s="5" t="n">
        <v>0.36</v>
      </c>
      <c r="N341" s="5" t="n">
        <v>0.48</v>
      </c>
    </row>
    <row r="342">
      <c r="A342" t="n">
        <v>341</v>
      </c>
      <c r="B342" t="n">
        <v>2013</v>
      </c>
      <c r="C342" t="inlineStr">
        <is>
          <t>Sophie Pothel</t>
        </is>
      </c>
      <c r="D342">
        <f>HYPERLINK("https://ota.tournamentsoftware.com/player-profile/21DD6509-0C4D-4711-BEB0-DC2D198520FD", "Link")</f>
        <v/>
      </c>
      <c r="E342" s="3" t="n">
        <v>179.691</v>
      </c>
      <c r="F342" s="4" t="n">
        <v>13</v>
      </c>
      <c r="G342" t="inlineStr">
        <is>
          <t>Tennis Québec</t>
        </is>
      </c>
      <c r="H342" t="inlineStr">
        <is>
          <t>Tennis Ile- des- Soeurs</t>
        </is>
      </c>
      <c r="I342" t="inlineStr">
        <is>
          <t>unavailable</t>
        </is>
      </c>
      <c r="J342" s="4" t="n">
        <v>51</v>
      </c>
      <c r="K342" t="inlineStr">
        <is>
          <t>7 / 44</t>
        </is>
      </c>
      <c r="L342" t="inlineStr">
        <is>
          <t>2 / 12</t>
        </is>
      </c>
      <c r="M342" s="5" t="n">
        <v>0.14</v>
      </c>
      <c r="N342" s="5" t="n">
        <v>0.14</v>
      </c>
    </row>
    <row r="343">
      <c r="A343" t="n">
        <v>342</v>
      </c>
      <c r="B343" t="n">
        <v>2012</v>
      </c>
      <c r="C343" t="inlineStr">
        <is>
          <t>Selena Wazelle</t>
        </is>
      </c>
      <c r="D343">
        <f>HYPERLINK("https://ota.tournamentsoftware.com/player-profile/B596341F-BD27-43AF-8888-AAD072F39AFB", "Link")</f>
        <v/>
      </c>
      <c r="E343" s="3" t="n">
        <v>178.632</v>
      </c>
      <c r="F343" s="4" t="n">
        <v>5</v>
      </c>
      <c r="G343" t="inlineStr">
        <is>
          <t>British Columbia</t>
        </is>
      </c>
      <c r="H343" t="inlineStr">
        <is>
          <t>No Club</t>
        </is>
      </c>
      <c r="I343" t="n">
        <v>35.1</v>
      </c>
      <c r="J343" s="4" t="n">
        <v>159</v>
      </c>
      <c r="K343" t="inlineStr">
        <is>
          <t>89 / 70</t>
        </is>
      </c>
      <c r="L343" t="inlineStr">
        <is>
          <t>0 / 0</t>
        </is>
      </c>
      <c r="M343" s="5" t="n">
        <v>0.5600000000000001</v>
      </c>
      <c r="N343" s="5" t="n">
        <v>0</v>
      </c>
    </row>
    <row r="344">
      <c r="A344" t="n">
        <v>343</v>
      </c>
      <c r="B344" t="n">
        <v>2016</v>
      </c>
      <c r="C344" t="inlineStr">
        <is>
          <t>Emily Zheng</t>
        </is>
      </c>
      <c r="D344">
        <f>HYPERLINK("https://ota.tournamentsoftware.com/player-profile/6AB11A61-4852-4958-84E1-2773676D29C2", "Link")</f>
        <v/>
      </c>
      <c r="E344" s="3" t="n">
        <v>178.026</v>
      </c>
      <c r="F344" s="4" t="n">
        <v>29</v>
      </c>
      <c r="G344" t="inlineStr">
        <is>
          <t>Ontario Tennis Association</t>
        </is>
      </c>
      <c r="H344" t="inlineStr">
        <is>
          <t>Toronto Cricket Skating &amp; Curling</t>
        </is>
      </c>
      <c r="I344" t="n">
        <v>36.5</v>
      </c>
      <c r="J344" s="4" t="n">
        <v>104</v>
      </c>
      <c r="K344" t="inlineStr">
        <is>
          <t>42 / 62</t>
        </is>
      </c>
      <c r="L344" t="inlineStr">
        <is>
          <t>21 / 12</t>
        </is>
      </c>
      <c r="M344" s="5" t="n">
        <v>0.4</v>
      </c>
      <c r="N344" s="5" t="n">
        <v>0.64</v>
      </c>
    </row>
    <row r="345">
      <c r="A345" t="n">
        <v>344</v>
      </c>
      <c r="B345" t="n">
        <v>2013</v>
      </c>
      <c r="C345" t="inlineStr">
        <is>
          <t>Chloe Elizabeth Kotorobai</t>
        </is>
      </c>
      <c r="D345">
        <f>HYPERLINK("https://ota.tournamentsoftware.com/player-profile/FA516D57-03A4-4F2E-810D-864F5732F5CE", "Link")</f>
        <v/>
      </c>
      <c r="E345" s="3" t="n">
        <v>177.992</v>
      </c>
      <c r="F345" s="4" t="n">
        <v>21</v>
      </c>
      <c r="G345" t="inlineStr">
        <is>
          <t>Ontario Tennis Association</t>
        </is>
      </c>
      <c r="H345" t="inlineStr">
        <is>
          <t>City of Stoney Creek</t>
        </is>
      </c>
      <c r="I345" t="n">
        <v>37.8</v>
      </c>
      <c r="J345" s="4" t="n">
        <v>83</v>
      </c>
      <c r="K345" t="inlineStr">
        <is>
          <t>32 / 51</t>
        </is>
      </c>
      <c r="L345" t="inlineStr">
        <is>
          <t>4 / 10</t>
        </is>
      </c>
      <c r="M345" s="5" t="n">
        <v>0.39</v>
      </c>
      <c r="N345" s="5" t="n">
        <v>0.29</v>
      </c>
    </row>
    <row r="346">
      <c r="A346" t="n">
        <v>345</v>
      </c>
      <c r="B346" t="n">
        <v>2015</v>
      </c>
      <c r="C346" t="inlineStr">
        <is>
          <t>Brielle York</t>
        </is>
      </c>
      <c r="D346">
        <f>HYPERLINK("https://ota.tournamentsoftware.com/player-profile/C0B1A514-EDF7-4907-9E4D-D3B8C705EB1D", "Link")</f>
        <v/>
      </c>
      <c r="E346" s="3" t="n">
        <v>177.941</v>
      </c>
      <c r="F346" s="4" t="n">
        <v>16</v>
      </c>
      <c r="G346" t="inlineStr">
        <is>
          <t>Tennis Alberta</t>
        </is>
      </c>
      <c r="H346" t="inlineStr">
        <is>
          <t>Aforza</t>
        </is>
      </c>
      <c r="I346" t="n">
        <v>39.5</v>
      </c>
      <c r="J346" s="4" t="n">
        <v>144</v>
      </c>
      <c r="K346" t="inlineStr">
        <is>
          <t>68 / 76</t>
        </is>
      </c>
      <c r="L346" t="inlineStr">
        <is>
          <t>13 / 21</t>
        </is>
      </c>
      <c r="M346" s="5" t="n">
        <v>0.47</v>
      </c>
      <c r="N346" s="5" t="n">
        <v>0.38</v>
      </c>
    </row>
    <row r="347">
      <c r="A347" t="n">
        <v>346</v>
      </c>
      <c r="B347" t="n">
        <v>2012</v>
      </c>
      <c r="C347" t="inlineStr">
        <is>
          <t>Charlianne Grace Kiss</t>
        </is>
      </c>
      <c r="D347">
        <f>HYPERLINK("https://ota.tournamentsoftware.com/player-profile/09C918D2-187B-42AF-836D-E31A35062CB3", "Link")</f>
        <v/>
      </c>
      <c r="E347" s="3" t="n">
        <v>176.12</v>
      </c>
      <c r="F347" s="4" t="n">
        <v>11</v>
      </c>
      <c r="G347" t="inlineStr">
        <is>
          <t>Tennis Alberta</t>
        </is>
      </c>
      <c r="H347" t="inlineStr">
        <is>
          <t>Saville Community Sports Centre</t>
        </is>
      </c>
      <c r="I347" t="n">
        <v>38.9</v>
      </c>
      <c r="J347" s="4" t="n">
        <v>72</v>
      </c>
      <c r="K347" t="inlineStr">
        <is>
          <t>27 / 45</t>
        </is>
      </c>
      <c r="L347" t="inlineStr">
        <is>
          <t>9 / 15</t>
        </is>
      </c>
      <c r="M347" s="5" t="n">
        <v>0.38</v>
      </c>
      <c r="N347" s="5" t="n">
        <v>0.38</v>
      </c>
    </row>
    <row r="348">
      <c r="A348" t="n">
        <v>347</v>
      </c>
      <c r="B348" t="n">
        <v>2013</v>
      </c>
      <c r="C348" t="inlineStr">
        <is>
          <t>Tia Patel</t>
        </is>
      </c>
      <c r="D348">
        <f>HYPERLINK("https://ota.tournamentsoftware.com/player-profile/5C480574-FD9C-4816-B1CF-F51441726B25", "Link")</f>
        <v/>
      </c>
      <c r="E348" s="3" t="n">
        <v>175.635</v>
      </c>
      <c r="F348" s="4" t="n">
        <v>15</v>
      </c>
      <c r="G348" t="inlineStr">
        <is>
          <t>Ontario Tennis Association</t>
        </is>
      </c>
      <c r="H348" t="inlineStr">
        <is>
          <t>Waterloo Tennis Club</t>
        </is>
      </c>
      <c r="I348" t="n">
        <v>38.4</v>
      </c>
      <c r="J348" s="4" t="n">
        <v>71</v>
      </c>
      <c r="K348" t="inlineStr">
        <is>
          <t>24 / 47</t>
        </is>
      </c>
      <c r="L348" t="inlineStr">
        <is>
          <t>2 / 7</t>
        </is>
      </c>
      <c r="M348" s="5" t="n">
        <v>0.34</v>
      </c>
      <c r="N348" s="5" t="n">
        <v>0.22</v>
      </c>
    </row>
    <row r="349">
      <c r="A349" t="n">
        <v>348</v>
      </c>
      <c r="B349" t="n">
        <v>2014</v>
      </c>
      <c r="C349" t="inlineStr">
        <is>
          <t>Nadia Stuparyk</t>
        </is>
      </c>
      <c r="D349">
        <f>HYPERLINK("https://ota.tournamentsoftware.com/player-profile/05ABA68F-2EB2-4BFB-B6CA-677BDD1DCDCA", "Link")</f>
        <v/>
      </c>
      <c r="E349" s="3" t="n">
        <v>173.498</v>
      </c>
      <c r="F349" s="4" t="n">
        <v>32</v>
      </c>
      <c r="G349" t="inlineStr">
        <is>
          <t>Ontario Tennis Association</t>
        </is>
      </c>
      <c r="H349" t="inlineStr">
        <is>
          <t>Parkside Tennis Club</t>
        </is>
      </c>
      <c r="I349" t="n">
        <v>36.6</v>
      </c>
      <c r="J349" s="4" t="n">
        <v>177</v>
      </c>
      <c r="K349" t="inlineStr">
        <is>
          <t>83 / 94</t>
        </is>
      </c>
      <c r="L349" t="inlineStr">
        <is>
          <t>18 / 18</t>
        </is>
      </c>
      <c r="M349" s="5" t="n">
        <v>0.47</v>
      </c>
      <c r="N349" s="5" t="n">
        <v>0.5</v>
      </c>
    </row>
    <row r="350">
      <c r="A350" t="n">
        <v>349</v>
      </c>
      <c r="B350" t="n">
        <v>2015</v>
      </c>
      <c r="C350" t="inlineStr">
        <is>
          <t>Isla J Green</t>
        </is>
      </c>
      <c r="D350">
        <f>HYPERLINK("https://ota.tournamentsoftware.com/player-profile/B2E098BE-DB7E-4756-BD31-93298500E09D", "Link")</f>
        <v/>
      </c>
      <c r="E350" s="3" t="n">
        <v>173.154</v>
      </c>
      <c r="F350" s="4" t="n">
        <v>21</v>
      </c>
      <c r="G350" t="inlineStr">
        <is>
          <t>Ontario Tennis Association</t>
        </is>
      </c>
      <c r="H350" t="inlineStr">
        <is>
          <t>Advantage Tennis International at Veneto</t>
        </is>
      </c>
      <c r="I350" t="n">
        <v>35.3</v>
      </c>
      <c r="J350" s="4" t="n">
        <v>231</v>
      </c>
      <c r="K350" t="inlineStr">
        <is>
          <t>155 / 76</t>
        </is>
      </c>
      <c r="L350" t="inlineStr">
        <is>
          <t>28 / 13</t>
        </is>
      </c>
      <c r="M350" s="5" t="n">
        <v>0.67</v>
      </c>
      <c r="N350" s="5" t="n">
        <v>0.68</v>
      </c>
    </row>
    <row r="351">
      <c r="A351" t="n">
        <v>350</v>
      </c>
      <c r="B351" t="n">
        <v>2012</v>
      </c>
      <c r="C351" t="inlineStr">
        <is>
          <t>Riley Lynn Banath</t>
        </is>
      </c>
      <c r="D351">
        <f>HYPERLINK("https://ota.tournamentsoftware.com/player-profile/4B613A1C-293C-4701-B6BA-BEC5F8EBDA29", "Link")</f>
        <v/>
      </c>
      <c r="E351" s="3" t="n">
        <v>173.105</v>
      </c>
      <c r="F351" s="4" t="n">
        <v>13</v>
      </c>
      <c r="G351" t="inlineStr">
        <is>
          <t>British Columbia</t>
        </is>
      </c>
      <c r="H351" t="inlineStr">
        <is>
          <t>Arbutus Club</t>
        </is>
      </c>
      <c r="I351" t="n">
        <v>40</v>
      </c>
      <c r="J351" s="4" t="n">
        <v>44</v>
      </c>
      <c r="K351" t="inlineStr">
        <is>
          <t>9 / 35</t>
        </is>
      </c>
      <c r="L351" t="inlineStr">
        <is>
          <t>5 / 20</t>
        </is>
      </c>
      <c r="M351" s="5" t="n">
        <v>0.2</v>
      </c>
      <c r="N351" s="5" t="n">
        <v>0.2</v>
      </c>
    </row>
    <row r="352">
      <c r="A352" t="n">
        <v>351</v>
      </c>
      <c r="B352" t="n">
        <v>2016</v>
      </c>
      <c r="C352" t="inlineStr">
        <is>
          <t>Tanishka Varishtha Tripathi</t>
        </is>
      </c>
      <c r="D352">
        <f>HYPERLINK("https://ota.tournamentsoftware.com/player-profile/C966D3AB-F944-4405-A712-C5FA591776A1", "Link")</f>
        <v/>
      </c>
      <c r="E352" s="3" t="n">
        <v>172.289</v>
      </c>
      <c r="F352" s="4" t="n">
        <v>12</v>
      </c>
      <c r="G352" t="inlineStr">
        <is>
          <t>Ontario Tennis Association</t>
        </is>
      </c>
      <c r="H352" t="inlineStr">
        <is>
          <t>Tennis Outaouais Performance (TOP) ON</t>
        </is>
      </c>
      <c r="I352" t="n">
        <v>36.9</v>
      </c>
      <c r="J352" s="4" t="n">
        <v>133</v>
      </c>
      <c r="K352" t="inlineStr">
        <is>
          <t>95 / 38</t>
        </is>
      </c>
      <c r="L352" t="inlineStr">
        <is>
          <t>18 / 11</t>
        </is>
      </c>
      <c r="M352" s="5" t="n">
        <v>0.71</v>
      </c>
      <c r="N352" s="5" t="n">
        <v>0.62</v>
      </c>
    </row>
    <row r="353">
      <c r="A353" t="n">
        <v>352</v>
      </c>
      <c r="B353" t="n">
        <v>2013</v>
      </c>
      <c r="C353" t="inlineStr">
        <is>
          <t>Alice Laganière</t>
        </is>
      </c>
      <c r="D353">
        <f>HYPERLINK("https://ota.tournamentsoftware.com/player-profile/C9532D29-EE9A-4084-ACB5-2DBCAD4DF862", "Link")</f>
        <v/>
      </c>
      <c r="E353" s="3" t="n">
        <v>171.17</v>
      </c>
      <c r="F353" s="4" t="n">
        <v>10</v>
      </c>
      <c r="G353" t="inlineStr">
        <is>
          <t>Tennis Québec</t>
        </is>
      </c>
      <c r="H353" t="inlineStr">
        <is>
          <t>Club de tennis intérieur Saguenay / École de tennis Delisle-Poirel</t>
        </is>
      </c>
      <c r="I353" t="n">
        <v>39.4</v>
      </c>
      <c r="J353" s="4" t="n">
        <v>39</v>
      </c>
      <c r="K353" t="inlineStr">
        <is>
          <t>13 / 26</t>
        </is>
      </c>
      <c r="L353" t="inlineStr">
        <is>
          <t>1 / 6</t>
        </is>
      </c>
      <c r="M353" s="5" t="n">
        <v>0.33</v>
      </c>
      <c r="N353" s="5" t="n">
        <v>0.14</v>
      </c>
    </row>
    <row r="354">
      <c r="A354" t="n">
        <v>353</v>
      </c>
      <c r="B354" t="n">
        <v>2015</v>
      </c>
      <c r="C354" t="inlineStr">
        <is>
          <t>Adelaide Mossop</t>
        </is>
      </c>
      <c r="D354">
        <f>HYPERLINK("https://ota.tournamentsoftware.com/player-profile/0BA4F4DB-3133-41DE-9EE3-39EB4A609399", "Link")</f>
        <v/>
      </c>
      <c r="E354" s="3" t="n">
        <v>170.614</v>
      </c>
      <c r="F354" s="4" t="n">
        <v>12</v>
      </c>
      <c r="G354" t="inlineStr">
        <is>
          <t>Tennis Nova Scotia</t>
        </is>
      </c>
      <c r="H354" t="inlineStr">
        <is>
          <t>Atlantic Tennis Centre</t>
        </is>
      </c>
      <c r="I354" t="n">
        <v>38.6</v>
      </c>
      <c r="J354" s="4" t="n">
        <v>162</v>
      </c>
      <c r="K354" t="inlineStr">
        <is>
          <t>65 / 97</t>
        </is>
      </c>
      <c r="L354" t="inlineStr">
        <is>
          <t>14 / 24</t>
        </is>
      </c>
      <c r="M354" s="5" t="n">
        <v>0.4</v>
      </c>
      <c r="N354" s="5" t="n">
        <v>0.37</v>
      </c>
    </row>
    <row r="355">
      <c r="A355" t="n">
        <v>354</v>
      </c>
      <c r="B355" t="n">
        <v>2013</v>
      </c>
      <c r="C355" t="inlineStr">
        <is>
          <t>Makayla Najjar</t>
        </is>
      </c>
      <c r="D355">
        <f>HYPERLINK("https://ota.tournamentsoftware.com/player-profile/A931D3E2-A84F-4018-9B2A-A1664811863E", "Link")</f>
        <v/>
      </c>
      <c r="E355" s="3" t="n">
        <v>170.304</v>
      </c>
      <c r="F355" s="4" t="n">
        <v>12</v>
      </c>
      <c r="G355" t="inlineStr">
        <is>
          <t>Ontario Tennis Association</t>
        </is>
      </c>
      <c r="H355" t="inlineStr">
        <is>
          <t>Premier Racquet Clubs – Mississauga</t>
        </is>
      </c>
      <c r="I355" t="n">
        <v>37.2</v>
      </c>
      <c r="J355" s="4" t="n">
        <v>86</v>
      </c>
      <c r="K355" t="inlineStr">
        <is>
          <t>57 / 29</t>
        </is>
      </c>
      <c r="L355" t="inlineStr">
        <is>
          <t>14 / 10</t>
        </is>
      </c>
      <c r="M355" s="5" t="n">
        <v>0.66</v>
      </c>
      <c r="N355" s="5" t="n">
        <v>0.58</v>
      </c>
    </row>
    <row r="356">
      <c r="A356" t="n">
        <v>355</v>
      </c>
      <c r="B356" t="n">
        <v>2012</v>
      </c>
      <c r="C356" t="inlineStr">
        <is>
          <t>Amelia Jee</t>
        </is>
      </c>
      <c r="D356">
        <f>HYPERLINK("https://ota.tournamentsoftware.com/player-profile/485EA829-3893-4703-AF9A-1CF8D304CE5D", "Link")</f>
        <v/>
      </c>
      <c r="E356" s="3" t="n">
        <v>169.844</v>
      </c>
      <c r="F356" s="4" t="n">
        <v>13</v>
      </c>
      <c r="G356" t="inlineStr">
        <is>
          <t>Ontario Tennis Association</t>
        </is>
      </c>
      <c r="H356" t="inlineStr">
        <is>
          <t>Toronto Cricket Skating &amp; Curling</t>
        </is>
      </c>
      <c r="I356" t="n">
        <v>37.4</v>
      </c>
      <c r="J356" s="4" t="n">
        <v>119</v>
      </c>
      <c r="K356" t="inlineStr">
        <is>
          <t>50 / 69</t>
        </is>
      </c>
      <c r="L356" t="inlineStr">
        <is>
          <t>8 / 10</t>
        </is>
      </c>
      <c r="M356" s="5" t="n">
        <v>0.42</v>
      </c>
      <c r="N356" s="5" t="n">
        <v>0.44</v>
      </c>
    </row>
    <row r="357">
      <c r="A357" t="n">
        <v>356</v>
      </c>
      <c r="B357" t="n">
        <v>2013</v>
      </c>
      <c r="C357" t="inlineStr">
        <is>
          <t>Katelyn Zhao</t>
        </is>
      </c>
      <c r="D357">
        <f>HYPERLINK("https://ota.tournamentsoftware.com/player-profile/C6305E19-1670-4857-9967-0344F0C8AB1D", "Link")</f>
        <v/>
      </c>
      <c r="E357" s="3" t="n">
        <v>169.368</v>
      </c>
      <c r="F357" s="4" t="n">
        <v>25</v>
      </c>
      <c r="G357" t="inlineStr">
        <is>
          <t>Ontario Tennis Association</t>
        </is>
      </c>
      <c r="H357" t="inlineStr">
        <is>
          <t>Premier Racquet Club</t>
        </is>
      </c>
      <c r="I357" t="n">
        <v>37.9</v>
      </c>
      <c r="J357" s="4" t="n">
        <v>88</v>
      </c>
      <c r="K357" t="inlineStr">
        <is>
          <t>46 / 42</t>
        </is>
      </c>
      <c r="L357" t="inlineStr">
        <is>
          <t>14 / 16</t>
        </is>
      </c>
      <c r="M357" s="5" t="n">
        <v>0.52</v>
      </c>
      <c r="N357" s="5" t="n">
        <v>0.47</v>
      </c>
    </row>
    <row r="358">
      <c r="A358" t="n">
        <v>357</v>
      </c>
      <c r="B358" t="n">
        <v>2013</v>
      </c>
      <c r="C358" t="inlineStr">
        <is>
          <t>Nisa Karim</t>
        </is>
      </c>
      <c r="D358">
        <f>HYPERLINK("https://ota.tournamentsoftware.com/player-profile/11CB5752-5D45-47AB-82AD-AC3D554873E5", "Link")</f>
        <v/>
      </c>
      <c r="E358" s="3" t="n">
        <v>168.671</v>
      </c>
      <c r="F358" s="4" t="n">
        <v>16</v>
      </c>
      <c r="G358" t="inlineStr">
        <is>
          <t>British Columbia</t>
        </is>
      </c>
      <c r="H358" t="inlineStr">
        <is>
          <t>Arbutus Club</t>
        </is>
      </c>
      <c r="I358" t="n">
        <v>38.6</v>
      </c>
      <c r="J358" s="4" t="n">
        <v>87</v>
      </c>
      <c r="K358" t="inlineStr">
        <is>
          <t>47 / 40</t>
        </is>
      </c>
      <c r="L358" t="inlineStr">
        <is>
          <t>13 / 14</t>
        </is>
      </c>
      <c r="M358" s="5" t="n">
        <v>0.54</v>
      </c>
      <c r="N358" s="5" t="n">
        <v>0.48</v>
      </c>
    </row>
    <row r="359">
      <c r="A359" t="n">
        <v>358</v>
      </c>
      <c r="B359" t="n">
        <v>2012</v>
      </c>
      <c r="C359" t="inlineStr">
        <is>
          <t>Mavis Li</t>
        </is>
      </c>
      <c r="D359">
        <f>HYPERLINK("https://ota.tournamentsoftware.com/player-profile/FC8D1AE6-D9A0-409A-A095-1B2C12EDB359", "Link")</f>
        <v/>
      </c>
      <c r="E359" s="3" t="n">
        <v>168.577</v>
      </c>
      <c r="F359" s="4" t="n">
        <v>20</v>
      </c>
      <c r="G359" t="inlineStr">
        <is>
          <t>Ontario Tennis Association</t>
        </is>
      </c>
      <c r="H359" t="inlineStr">
        <is>
          <t>Blackmore Tennis Club</t>
        </is>
      </c>
      <c r="I359" t="n">
        <v>39.4</v>
      </c>
      <c r="J359" s="4" t="n">
        <v>58</v>
      </c>
      <c r="K359" t="inlineStr">
        <is>
          <t>21 / 37</t>
        </is>
      </c>
      <c r="L359" t="inlineStr">
        <is>
          <t>6 / 20</t>
        </is>
      </c>
      <c r="M359" s="5" t="n">
        <v>0.36</v>
      </c>
      <c r="N359" s="5" t="n">
        <v>0.23</v>
      </c>
    </row>
    <row r="360">
      <c r="A360" t="n">
        <v>359</v>
      </c>
      <c r="B360" t="n">
        <v>2013</v>
      </c>
      <c r="C360" t="inlineStr">
        <is>
          <t>Victoria Pellerin</t>
        </is>
      </c>
      <c r="D360">
        <f>HYPERLINK("https://ota.tournamentsoftware.com/player-profile/097573BE-64EA-4951-9B1B-3779B5938722", "Link")</f>
        <v/>
      </c>
      <c r="E360" s="3" t="n">
        <v>168.22</v>
      </c>
      <c r="F360" s="4" t="n">
        <v>15</v>
      </c>
      <c r="G360" t="inlineStr">
        <is>
          <t>Tennis Québec</t>
        </is>
      </c>
      <c r="H360" t="inlineStr">
        <is>
          <t>Centre récréatif de Repentigny / Académie Tennis Momentum</t>
        </is>
      </c>
      <c r="I360" t="n">
        <v>40</v>
      </c>
      <c r="J360" s="4" t="n">
        <v>56</v>
      </c>
      <c r="K360" t="inlineStr">
        <is>
          <t>16 / 40</t>
        </is>
      </c>
      <c r="L360" t="inlineStr">
        <is>
          <t>4 / 12</t>
        </is>
      </c>
      <c r="M360" s="5" t="n">
        <v>0.29</v>
      </c>
      <c r="N360" s="5" t="n">
        <v>0.25</v>
      </c>
    </row>
    <row r="361">
      <c r="A361" t="n">
        <v>360</v>
      </c>
      <c r="B361" t="n">
        <v>2015</v>
      </c>
      <c r="C361" t="inlineStr">
        <is>
          <t>Nora Firoozi</t>
        </is>
      </c>
      <c r="D361">
        <f>HYPERLINK("https://ota.tournamentsoftware.com/player-profile/328F4CA8-B72D-4F94-9BB6-3F666B5E0706", "Link")</f>
        <v/>
      </c>
      <c r="E361" s="3" t="n">
        <v>167.643</v>
      </c>
      <c r="F361" s="4" t="n">
        <v>17</v>
      </c>
      <c r="G361" t="inlineStr">
        <is>
          <t>British Columbia</t>
        </is>
      </c>
      <c r="H361" t="inlineStr">
        <is>
          <t>North Vancouver Tennis Centre</t>
        </is>
      </c>
      <c r="I361" t="n">
        <v>38.1</v>
      </c>
      <c r="J361" s="4" t="n">
        <v>163</v>
      </c>
      <c r="K361" t="inlineStr">
        <is>
          <t>80 / 83</t>
        </is>
      </c>
      <c r="L361" t="inlineStr">
        <is>
          <t>14 / 17</t>
        </is>
      </c>
      <c r="M361" s="5" t="n">
        <v>0.49</v>
      </c>
      <c r="N361" s="5" t="n">
        <v>0.45</v>
      </c>
    </row>
    <row r="362">
      <c r="A362" t="n">
        <v>361</v>
      </c>
      <c r="B362" t="n">
        <v>2012</v>
      </c>
      <c r="C362" t="inlineStr">
        <is>
          <t>Naomi Lucy McCrank</t>
        </is>
      </c>
      <c r="D362">
        <f>HYPERLINK("https://ota.tournamentsoftware.com/player-profile/68E80EA0-3999-4449-8E0B-83CC30E1EF77", "Link")</f>
        <v/>
      </c>
      <c r="E362" s="3" t="n">
        <v>166.417</v>
      </c>
      <c r="F362" s="4" t="n">
        <v>15</v>
      </c>
      <c r="G362" t="inlineStr">
        <is>
          <t>Tennis Alberta</t>
        </is>
      </c>
      <c r="H362" t="inlineStr">
        <is>
          <t>Aforza</t>
        </is>
      </c>
      <c r="I362" t="n">
        <v>37.8</v>
      </c>
      <c r="J362" s="4" t="n">
        <v>77</v>
      </c>
      <c r="K362" t="inlineStr">
        <is>
          <t>22 / 55</t>
        </is>
      </c>
      <c r="L362" t="inlineStr">
        <is>
          <t>6 / 10</t>
        </is>
      </c>
      <c r="M362" s="5" t="n">
        <v>0.29</v>
      </c>
      <c r="N362" s="5" t="n">
        <v>0.38</v>
      </c>
    </row>
    <row r="363">
      <c r="A363" t="n">
        <v>362</v>
      </c>
      <c r="B363" t="n">
        <v>2014</v>
      </c>
      <c r="C363" t="inlineStr">
        <is>
          <t>Grace Li</t>
        </is>
      </c>
      <c r="D363">
        <f>HYPERLINK("https://ota.tournamentsoftware.com/player-profile/5B95D38D-7E3D-4B41-B418-6B2307ED0863", "Link")</f>
        <v/>
      </c>
      <c r="E363" s="3" t="n">
        <v>166.105</v>
      </c>
      <c r="F363" s="4" t="n">
        <v>19</v>
      </c>
      <c r="G363" t="inlineStr">
        <is>
          <t>Tennis Québec</t>
        </is>
      </c>
      <c r="H363" t="inlineStr">
        <is>
          <t>Tennis 13</t>
        </is>
      </c>
      <c r="I363" t="n">
        <v>38.6</v>
      </c>
      <c r="J363" s="4" t="n">
        <v>165</v>
      </c>
      <c r="K363" t="inlineStr">
        <is>
          <t>71 / 94</t>
        </is>
      </c>
      <c r="L363" t="inlineStr">
        <is>
          <t>7 / 13</t>
        </is>
      </c>
      <c r="M363" s="5" t="n">
        <v>0.43</v>
      </c>
      <c r="N363" s="5" t="n">
        <v>0.35</v>
      </c>
    </row>
    <row r="364">
      <c r="A364" t="n">
        <v>363</v>
      </c>
      <c r="B364" t="n">
        <v>2015</v>
      </c>
      <c r="C364" t="inlineStr">
        <is>
          <t>Jesi Myra Kumaran</t>
        </is>
      </c>
      <c r="D364">
        <f>HYPERLINK("https://ota.tournamentsoftware.com/player-profile/8DE19A2A-095B-4432-92FE-7CA64D28B7F1", "Link")</f>
        <v/>
      </c>
      <c r="E364" s="3" t="n">
        <v>165.712</v>
      </c>
      <c r="F364" s="4" t="n">
        <v>33</v>
      </c>
      <c r="G364" t="inlineStr">
        <is>
          <t>Ontario Tennis Association</t>
        </is>
      </c>
      <c r="H364" t="inlineStr">
        <is>
          <t>Valan Tennis Academy</t>
        </is>
      </c>
      <c r="I364" t="n">
        <v>39.8</v>
      </c>
      <c r="J364" s="4" t="n">
        <v>196</v>
      </c>
      <c r="K364" t="inlineStr">
        <is>
          <t>69 / 127</t>
        </is>
      </c>
      <c r="L364" t="inlineStr">
        <is>
          <t>15 / 30</t>
        </is>
      </c>
      <c r="M364" s="5" t="n">
        <v>0.35</v>
      </c>
      <c r="N364" s="5" t="n">
        <v>0.33</v>
      </c>
    </row>
    <row r="365">
      <c r="A365" t="n">
        <v>364</v>
      </c>
      <c r="B365" t="n">
        <v>2014</v>
      </c>
      <c r="C365" t="inlineStr">
        <is>
          <t>Lana Kasumovic</t>
        </is>
      </c>
      <c r="D365">
        <f>HYPERLINK("https://ota.tournamentsoftware.com/player-profile/7F2BA85F-A3DF-40B8-9457-1DD55A7C11FB", "Link")</f>
        <v/>
      </c>
      <c r="E365" s="3" t="n">
        <v>163.843</v>
      </c>
      <c r="F365" s="4" t="n">
        <v>23</v>
      </c>
      <c r="G365" t="inlineStr">
        <is>
          <t>Ontario Tennis Association</t>
        </is>
      </c>
      <c r="H365" t="inlineStr">
        <is>
          <t>Rideau Sports Centre</t>
        </is>
      </c>
      <c r="I365" t="n">
        <v>37.7</v>
      </c>
      <c r="J365" s="4" t="n">
        <v>136</v>
      </c>
      <c r="K365" t="inlineStr">
        <is>
          <t>43 / 93</t>
        </is>
      </c>
      <c r="L365" t="inlineStr">
        <is>
          <t>17 / 18</t>
        </is>
      </c>
      <c r="M365" s="5" t="n">
        <v>0.32</v>
      </c>
      <c r="N365" s="5" t="n">
        <v>0.49</v>
      </c>
    </row>
    <row r="366">
      <c r="A366" t="n">
        <v>365</v>
      </c>
      <c r="B366" t="n">
        <v>2012</v>
      </c>
      <c r="C366" t="inlineStr">
        <is>
          <t>Sophia Hamel</t>
        </is>
      </c>
      <c r="D366">
        <f>HYPERLINK("https://ota.tournamentsoftware.com/player-profile/D6C2A4EC-5F86-459B-A81E-7C31F47AD78D", "Link")</f>
        <v/>
      </c>
      <c r="E366" s="3" t="n">
        <v>160.868</v>
      </c>
      <c r="F366" s="4" t="n">
        <v>9</v>
      </c>
      <c r="G366" t="inlineStr">
        <is>
          <t>Tennis Québec</t>
        </is>
      </c>
      <c r="H366" t="inlineStr">
        <is>
          <t>Rouge et Or - Université Laval</t>
        </is>
      </c>
      <c r="I366" t="n">
        <v>39.6</v>
      </c>
      <c r="J366" s="4" t="n">
        <v>71</v>
      </c>
      <c r="K366" t="inlineStr">
        <is>
          <t>15 / 56</t>
        </is>
      </c>
      <c r="L366" t="inlineStr">
        <is>
          <t>6 / 11</t>
        </is>
      </c>
      <c r="M366" s="5" t="n">
        <v>0.21</v>
      </c>
      <c r="N366" s="5" t="n">
        <v>0.35</v>
      </c>
    </row>
    <row r="367">
      <c r="A367" t="n">
        <v>366</v>
      </c>
      <c r="B367" t="n">
        <v>2012</v>
      </c>
      <c r="C367" t="inlineStr">
        <is>
          <t>Sophia Zhang</t>
        </is>
      </c>
      <c r="D367">
        <f>HYPERLINK("https://ota.tournamentsoftware.com/player-profile/2BBD611B-69D1-4A97-AAC3-1D897498B21A", "Link")</f>
        <v/>
      </c>
      <c r="E367" s="3" t="n">
        <v>160.591</v>
      </c>
      <c r="F367" s="4" t="n">
        <v>10</v>
      </c>
      <c r="G367" t="inlineStr">
        <is>
          <t>Ontario Tennis Association</t>
        </is>
      </c>
      <c r="H367" t="inlineStr">
        <is>
          <t>Burlington Tennis Club</t>
        </is>
      </c>
      <c r="I367" t="inlineStr">
        <is>
          <t>unavailable</t>
        </is>
      </c>
      <c r="J367" s="4" t="n">
        <v>35</v>
      </c>
      <c r="K367" t="inlineStr">
        <is>
          <t>16 / 19</t>
        </is>
      </c>
      <c r="L367" t="inlineStr">
        <is>
          <t>10 / 8</t>
        </is>
      </c>
      <c r="M367" s="5" t="n">
        <v>0.46</v>
      </c>
      <c r="N367" s="5" t="n">
        <v>0.5600000000000001</v>
      </c>
    </row>
    <row r="368">
      <c r="A368" t="n">
        <v>367</v>
      </c>
      <c r="B368" t="n">
        <v>2014</v>
      </c>
      <c r="C368" t="inlineStr">
        <is>
          <t>Eve Martel</t>
        </is>
      </c>
      <c r="D368">
        <f>HYPERLINK("https://ota.tournamentsoftware.com/player-profile/590DE091-4FC9-494D-A8AC-45DB223E71D8", "Link")</f>
        <v/>
      </c>
      <c r="E368" s="3" t="n">
        <v>160.307</v>
      </c>
      <c r="F368" s="4" t="n">
        <v>21</v>
      </c>
      <c r="G368" t="inlineStr">
        <is>
          <t>Tennis Québec</t>
        </is>
      </c>
      <c r="H368" t="inlineStr">
        <is>
          <t>Club Avantage Multi-sports / Académie de tennis Hérisset Bordeleau</t>
        </is>
      </c>
      <c r="I368" t="inlineStr">
        <is>
          <t>unavailable</t>
        </is>
      </c>
      <c r="J368" s="4" t="n">
        <v>127</v>
      </c>
      <c r="K368" t="inlineStr">
        <is>
          <t>41 / 86</t>
        </is>
      </c>
      <c r="L368" t="inlineStr">
        <is>
          <t>12 / 14</t>
        </is>
      </c>
      <c r="M368" s="5" t="n">
        <v>0.32</v>
      </c>
      <c r="N368" s="5" t="n">
        <v>0.46</v>
      </c>
    </row>
    <row r="369">
      <c r="A369" t="n">
        <v>368</v>
      </c>
      <c r="B369" t="n">
        <v>2013</v>
      </c>
      <c r="C369" t="inlineStr">
        <is>
          <t>Jaheema Jajah Joseph</t>
        </is>
      </c>
      <c r="D369">
        <f>HYPERLINK("https://ota.tournamentsoftware.com/player-profile/2C08ABD4-0853-4E02-96D6-4CBDA8251E2A", "Link")</f>
        <v/>
      </c>
      <c r="E369" s="3" t="n">
        <v>157.451</v>
      </c>
      <c r="F369" s="4" t="n">
        <v>19</v>
      </c>
      <c r="G369" t="inlineStr">
        <is>
          <t>Tennis Québec</t>
        </is>
      </c>
      <c r="H369" t="inlineStr">
        <is>
          <t>Tennis Montréal</t>
        </is>
      </c>
      <c r="I369" t="n">
        <v>40</v>
      </c>
      <c r="J369" s="4" t="n">
        <v>91</v>
      </c>
      <c r="K369" t="inlineStr">
        <is>
          <t>37 / 54</t>
        </is>
      </c>
      <c r="L369" t="inlineStr">
        <is>
          <t>5 / 14</t>
        </is>
      </c>
      <c r="M369" s="5" t="n">
        <v>0.41</v>
      </c>
      <c r="N369" s="5" t="n">
        <v>0.26</v>
      </c>
    </row>
    <row r="370">
      <c r="A370" t="n">
        <v>369</v>
      </c>
      <c r="B370" t="n">
        <v>2015</v>
      </c>
      <c r="C370" t="inlineStr">
        <is>
          <t>Kynarra Tayt Burthwright</t>
        </is>
      </c>
      <c r="D370">
        <f>HYPERLINK("https://ota.tournamentsoftware.com/player-profile/54340729-CFE8-4AE6-B072-4BD29664CBEC", "Link")</f>
        <v/>
      </c>
      <c r="E370" s="3" t="n">
        <v>156.42</v>
      </c>
      <c r="F370" s="4" t="n">
        <v>17</v>
      </c>
      <c r="G370" t="inlineStr">
        <is>
          <t>Ontario Tennis Association</t>
        </is>
      </c>
      <c r="H370" t="inlineStr">
        <is>
          <t>Newmarket Community Tennis Club</t>
        </is>
      </c>
      <c r="I370" t="n">
        <v>38.8</v>
      </c>
      <c r="J370" s="4" t="n">
        <v>113</v>
      </c>
      <c r="K370" t="inlineStr">
        <is>
          <t>59 / 54</t>
        </is>
      </c>
      <c r="L370" t="inlineStr">
        <is>
          <t>22 / 21</t>
        </is>
      </c>
      <c r="M370" s="5" t="n">
        <v>0.52</v>
      </c>
      <c r="N370" s="5" t="n">
        <v>0.51</v>
      </c>
    </row>
    <row r="371">
      <c r="A371" t="n">
        <v>370</v>
      </c>
      <c r="B371" t="n">
        <v>2015</v>
      </c>
      <c r="C371" t="inlineStr">
        <is>
          <t>Ruichu Rachel Piao</t>
        </is>
      </c>
      <c r="D371">
        <f>HYPERLINK("https://ota.tournamentsoftware.com/player-profile/13F65932-C96D-4F89-B571-4AA7315B2EEB", "Link")</f>
        <v/>
      </c>
      <c r="E371" s="3" t="n">
        <v>154.581</v>
      </c>
      <c r="F371" s="4" t="n">
        <v>12</v>
      </c>
      <c r="G371" t="inlineStr">
        <is>
          <t>Tennis Québec</t>
        </is>
      </c>
      <c r="H371" t="inlineStr">
        <is>
          <t>Tennis Ile- des- Soeurs</t>
        </is>
      </c>
      <c r="I371" t="inlineStr">
        <is>
          <t>unavailable</t>
        </is>
      </c>
      <c r="J371" s="4" t="n">
        <v>73</v>
      </c>
      <c r="K371" t="inlineStr">
        <is>
          <t>34 / 39</t>
        </is>
      </c>
      <c r="L371" t="inlineStr">
        <is>
          <t>7 / 11</t>
        </is>
      </c>
      <c r="M371" s="5" t="n">
        <v>0.47</v>
      </c>
      <c r="N371" s="5" t="n">
        <v>0.39</v>
      </c>
    </row>
    <row r="372">
      <c r="A372" t="n">
        <v>371</v>
      </c>
      <c r="B372" t="n">
        <v>2013</v>
      </c>
      <c r="C372" t="inlineStr">
        <is>
          <t>Gabrielle Pompa</t>
        </is>
      </c>
      <c r="D372">
        <f>HYPERLINK("https://ota.tournamentsoftware.com/player-profile/668A29C0-962F-4DAD-B317-933787C09DCF", "Link")</f>
        <v/>
      </c>
      <c r="E372" s="3" t="n">
        <v>153.753</v>
      </c>
      <c r="F372" s="4" t="n">
        <v>8</v>
      </c>
      <c r="G372" t="inlineStr">
        <is>
          <t>Tennis Alberta</t>
        </is>
      </c>
      <c r="H372" t="inlineStr">
        <is>
          <t>Aforza</t>
        </is>
      </c>
      <c r="I372" t="n">
        <v>34.4</v>
      </c>
      <c r="J372" s="4" t="n">
        <v>162</v>
      </c>
      <c r="K372" t="inlineStr">
        <is>
          <t>111 / 51</t>
        </is>
      </c>
      <c r="L372" t="inlineStr">
        <is>
          <t>6 / 4</t>
        </is>
      </c>
      <c r="M372" s="5" t="n">
        <v>0.6899999999999999</v>
      </c>
      <c r="N372" s="5" t="n">
        <v>0.6</v>
      </c>
    </row>
    <row r="373">
      <c r="A373" t="n">
        <v>372</v>
      </c>
      <c r="B373" t="n">
        <v>2012</v>
      </c>
      <c r="C373" t="inlineStr">
        <is>
          <t>Gaëlle Jodoin</t>
        </is>
      </c>
      <c r="D373">
        <f>HYPERLINK("https://ota.tournamentsoftware.com/player-profile/A3792AFC-E32E-4258-8FA9-9240021C6401", "Link")</f>
        <v/>
      </c>
      <c r="E373" s="3" t="n">
        <v>152.985</v>
      </c>
      <c r="F373" s="4" t="n">
        <v>6</v>
      </c>
      <c r="G373" t="inlineStr">
        <is>
          <t>Tennis Québec</t>
        </is>
      </c>
      <c r="H373" t="inlineStr">
        <is>
          <t>Tennis 13</t>
        </is>
      </c>
      <c r="I373" t="n">
        <v>40</v>
      </c>
      <c r="J373" s="4" t="n">
        <v>87</v>
      </c>
      <c r="K373" t="inlineStr">
        <is>
          <t>14 / 73</t>
        </is>
      </c>
      <c r="L373" t="inlineStr">
        <is>
          <t>0 / 3</t>
        </is>
      </c>
      <c r="M373" s="5" t="n">
        <v>0.16</v>
      </c>
      <c r="N373" s="5" t="n">
        <v>0</v>
      </c>
    </row>
    <row r="374">
      <c r="A374" t="n">
        <v>373</v>
      </c>
      <c r="B374" t="n">
        <v>2014</v>
      </c>
      <c r="C374" t="inlineStr">
        <is>
          <t>Andrea Robles Sgambatti</t>
        </is>
      </c>
      <c r="D374">
        <f>HYPERLINK("https://ota.tournamentsoftware.com/player-profile/842B5763-8026-4DFF-BD28-4FA110C3A345", "Link")</f>
        <v/>
      </c>
      <c r="E374" s="3" t="n">
        <v>152.162</v>
      </c>
      <c r="F374" s="4" t="n">
        <v>17</v>
      </c>
      <c r="G374" t="inlineStr">
        <is>
          <t>Tennis Alberta</t>
        </is>
      </c>
      <c r="H374" t="inlineStr">
        <is>
          <t>Osten &amp; Victor Alberta Tennis Centre</t>
        </is>
      </c>
      <c r="I374" t="n">
        <v>38.8</v>
      </c>
      <c r="J374" s="4" t="n">
        <v>150</v>
      </c>
      <c r="K374" t="inlineStr">
        <is>
          <t>62 / 88</t>
        </is>
      </c>
      <c r="L374" t="inlineStr">
        <is>
          <t>13 / 20</t>
        </is>
      </c>
      <c r="M374" s="5" t="n">
        <v>0.41</v>
      </c>
      <c r="N374" s="5" t="n">
        <v>0.39</v>
      </c>
    </row>
    <row r="375">
      <c r="A375" t="n">
        <v>374</v>
      </c>
      <c r="B375" t="n">
        <v>2014</v>
      </c>
      <c r="C375" t="inlineStr">
        <is>
          <t>Grace Wu</t>
        </is>
      </c>
      <c r="D375">
        <f>HYPERLINK("https://ota.tournamentsoftware.com/player-profile/0E55C3D7-7F72-4CDB-9BC3-2D90797931A5", "Link")</f>
        <v/>
      </c>
      <c r="E375" s="3" t="n">
        <v>151.73</v>
      </c>
      <c r="F375" s="4" t="n">
        <v>10</v>
      </c>
      <c r="G375" t="inlineStr">
        <is>
          <t>British Columbia</t>
        </is>
      </c>
      <c r="H375" t="inlineStr">
        <is>
          <t>The Tennis Centre</t>
        </is>
      </c>
      <c r="I375" t="n">
        <v>36.5</v>
      </c>
      <c r="J375" s="4" t="n">
        <v>96</v>
      </c>
      <c r="K375" t="inlineStr">
        <is>
          <t>63 / 33</t>
        </is>
      </c>
      <c r="L375" t="inlineStr">
        <is>
          <t>3 / 4</t>
        </is>
      </c>
      <c r="M375" s="5" t="n">
        <v>0.66</v>
      </c>
      <c r="N375" s="5" t="n">
        <v>0.43</v>
      </c>
    </row>
    <row r="376">
      <c r="A376" t="n">
        <v>375</v>
      </c>
      <c r="B376" t="n">
        <v>2017</v>
      </c>
      <c r="C376" t="inlineStr">
        <is>
          <t>Ella Nicolaeva</t>
        </is>
      </c>
      <c r="D376">
        <f>HYPERLINK("https://ota.tournamentsoftware.com/player-profile/7A11DAF6-4353-49AB-8591-07AB86D11272", "Link")</f>
        <v/>
      </c>
      <c r="E376" s="3" t="n">
        <v>150.858</v>
      </c>
      <c r="F376" s="4" t="n">
        <v>33</v>
      </c>
      <c r="G376" t="inlineStr">
        <is>
          <t>Ontario Tennis Association</t>
        </is>
      </c>
      <c r="H376" t="inlineStr">
        <is>
          <t>Valan Tennis Academy</t>
        </is>
      </c>
      <c r="I376" t="n">
        <v>36.4</v>
      </c>
      <c r="J376" s="4" t="n">
        <v>180</v>
      </c>
      <c r="K376" t="inlineStr">
        <is>
          <t>127 / 53</t>
        </is>
      </c>
      <c r="L376" t="inlineStr">
        <is>
          <t>38 / 23</t>
        </is>
      </c>
      <c r="M376" s="5" t="n">
        <v>0.71</v>
      </c>
      <c r="N376" s="5" t="n">
        <v>0.62</v>
      </c>
    </row>
    <row r="377">
      <c r="A377" t="n">
        <v>376</v>
      </c>
      <c r="B377" t="n">
        <v>2014</v>
      </c>
      <c r="C377" t="inlineStr">
        <is>
          <t>Sahana Bath</t>
        </is>
      </c>
      <c r="D377">
        <f>HYPERLINK("https://ota.tournamentsoftware.com/player-profile/25E19F82-227F-4B69-8295-16AA8F4F207F", "Link")</f>
        <v/>
      </c>
      <c r="E377" s="3" t="n">
        <v>150.276</v>
      </c>
      <c r="F377" s="4" t="n">
        <v>21</v>
      </c>
      <c r="G377" t="inlineStr">
        <is>
          <t>British Columbia</t>
        </is>
      </c>
      <c r="H377" t="inlineStr">
        <is>
          <t>The Tennis Centre</t>
        </is>
      </c>
      <c r="I377" t="n">
        <v>37.2</v>
      </c>
      <c r="J377" s="4" t="n">
        <v>162</v>
      </c>
      <c r="K377" t="inlineStr">
        <is>
          <t>91 / 71</t>
        </is>
      </c>
      <c r="L377" t="inlineStr">
        <is>
          <t>36 / 18</t>
        </is>
      </c>
      <c r="M377" s="5" t="n">
        <v>0.5600000000000001</v>
      </c>
      <c r="N377" s="5" t="n">
        <v>0.67</v>
      </c>
    </row>
    <row r="378">
      <c r="A378" t="n">
        <v>377</v>
      </c>
      <c r="B378" t="n">
        <v>2013</v>
      </c>
      <c r="C378" t="inlineStr">
        <is>
          <t>Aarushi Pal</t>
        </is>
      </c>
      <c r="D378">
        <f>HYPERLINK("https://ota.tournamentsoftware.com/player-profile/F5E1E459-0A97-4C1F-8F37-D8CEF64DA1FA", "Link")</f>
        <v/>
      </c>
      <c r="E378" s="3" t="n">
        <v>149.571</v>
      </c>
      <c r="F378" s="4" t="n">
        <v>15</v>
      </c>
      <c r="G378" t="inlineStr">
        <is>
          <t>Tennis Alberta</t>
        </is>
      </c>
      <c r="H378" t="inlineStr">
        <is>
          <t>Osten &amp; Victor Alberta Tennis Centre</t>
        </is>
      </c>
      <c r="I378" t="n">
        <v>38.5</v>
      </c>
      <c r="J378" s="4" t="n">
        <v>165</v>
      </c>
      <c r="K378" t="inlineStr">
        <is>
          <t>81 / 84</t>
        </is>
      </c>
      <c r="L378" t="inlineStr">
        <is>
          <t>5 / 12</t>
        </is>
      </c>
      <c r="M378" s="5" t="n">
        <v>0.49</v>
      </c>
      <c r="N378" s="5" t="n">
        <v>0.29</v>
      </c>
    </row>
    <row r="379">
      <c r="A379" t="n">
        <v>378</v>
      </c>
      <c r="B379" t="n">
        <v>2012</v>
      </c>
      <c r="C379" t="inlineStr">
        <is>
          <t>Aila Olivia Brimacombe</t>
        </is>
      </c>
      <c r="D379">
        <f>HYPERLINK("https://ota.tournamentsoftware.com/player-profile/665F5A6C-3B65-4541-A5CF-6A84DC235104", "Link")</f>
        <v/>
      </c>
      <c r="E379" s="3" t="n">
        <v>147.688</v>
      </c>
      <c r="F379" s="4" t="n">
        <v>23</v>
      </c>
      <c r="G379" t="inlineStr">
        <is>
          <t>British Columbia</t>
        </is>
      </c>
      <c r="H379" t="inlineStr">
        <is>
          <t>West Vancouver Tennis Club</t>
        </is>
      </c>
      <c r="I379" t="n">
        <v>40</v>
      </c>
      <c r="J379" s="4" t="n">
        <v>109</v>
      </c>
      <c r="K379" t="inlineStr">
        <is>
          <t>17 / 92</t>
        </is>
      </c>
      <c r="L379" t="inlineStr">
        <is>
          <t>7 / 27</t>
        </is>
      </c>
      <c r="M379" s="5" t="n">
        <v>0.16</v>
      </c>
      <c r="N379" s="5" t="n">
        <v>0.21</v>
      </c>
    </row>
    <row r="380">
      <c r="A380" t="n">
        <v>379</v>
      </c>
      <c r="B380" t="n">
        <v>2013</v>
      </c>
      <c r="C380" t="inlineStr">
        <is>
          <t>Renée Jugalbot</t>
        </is>
      </c>
      <c r="D380">
        <f>HYPERLINK("https://ota.tournamentsoftware.com/player-profile/A487A79B-AB42-4314-BD75-6EFD99F64BC7", "Link")</f>
        <v/>
      </c>
      <c r="E380" s="3" t="n">
        <v>147.673</v>
      </c>
      <c r="F380" s="4" t="n">
        <v>24</v>
      </c>
      <c r="G380" t="inlineStr">
        <is>
          <t>Ontario Tennis Association</t>
        </is>
      </c>
      <c r="H380" t="inlineStr">
        <is>
          <t>Rosedale Tennis Club (Hamilton)</t>
        </is>
      </c>
      <c r="I380" t="n">
        <v>38.8</v>
      </c>
      <c r="J380" s="4" t="n">
        <v>76</v>
      </c>
      <c r="K380" t="inlineStr">
        <is>
          <t>31 / 45</t>
        </is>
      </c>
      <c r="L380" t="inlineStr">
        <is>
          <t>13 / 18</t>
        </is>
      </c>
      <c r="M380" s="5" t="n">
        <v>0.41</v>
      </c>
      <c r="N380" s="5" t="n">
        <v>0.42</v>
      </c>
    </row>
    <row r="381">
      <c r="A381" t="n">
        <v>380</v>
      </c>
      <c r="B381" t="n">
        <v>2015</v>
      </c>
      <c r="C381" t="inlineStr">
        <is>
          <t>Stefaniia Grimailo</t>
        </is>
      </c>
      <c r="D381">
        <f>HYPERLINK("https://ota.tournamentsoftware.com/player-profile/63AAF188-F773-4BFA-B6C2-97B1DFB9AF3A", "Link")</f>
        <v/>
      </c>
      <c r="E381" s="3" t="n">
        <v>147.389</v>
      </c>
      <c r="F381" s="4" t="n">
        <v>9</v>
      </c>
      <c r="G381" t="inlineStr">
        <is>
          <t>Tennis Manitoba</t>
        </is>
      </c>
      <c r="H381" t="inlineStr">
        <is>
          <t>Winnipeg Winter Club</t>
        </is>
      </c>
      <c r="I381" t="n">
        <v>40</v>
      </c>
      <c r="J381" s="4" t="n">
        <v>64</v>
      </c>
      <c r="K381" t="inlineStr">
        <is>
          <t>9 / 55</t>
        </is>
      </c>
      <c r="L381" t="inlineStr">
        <is>
          <t>2 / 25</t>
        </is>
      </c>
      <c r="M381" s="5" t="n">
        <v>0.14</v>
      </c>
      <c r="N381" s="5" t="n">
        <v>0.07000000000000001</v>
      </c>
    </row>
    <row r="382">
      <c r="A382" t="n">
        <v>381</v>
      </c>
      <c r="B382" t="n">
        <v>2012</v>
      </c>
      <c r="C382" t="inlineStr">
        <is>
          <t>Chloe Park</t>
        </is>
      </c>
      <c r="D382">
        <f>HYPERLINK("https://ota.tournamentsoftware.com/player-profile/FD8FB9A4-F5D9-4A90-AA66-D8E6FC3D3BC5", "Link")</f>
        <v/>
      </c>
      <c r="E382" s="3" t="n">
        <v>146.362</v>
      </c>
      <c r="F382" s="4" t="n">
        <v>4</v>
      </c>
      <c r="G382" t="inlineStr">
        <is>
          <t>Tennis Prince Edward Island</t>
        </is>
      </c>
      <c r="H382" t="inlineStr">
        <is>
          <t>No Club</t>
        </is>
      </c>
      <c r="I382" t="n">
        <v>39</v>
      </c>
      <c r="J382" s="4" t="n">
        <v>48</v>
      </c>
      <c r="K382" t="inlineStr">
        <is>
          <t>9 / 39</t>
        </is>
      </c>
      <c r="L382" t="inlineStr">
        <is>
          <t>4 / 8</t>
        </is>
      </c>
      <c r="M382" s="5" t="n">
        <v>0.19</v>
      </c>
      <c r="N382" s="5" t="n">
        <v>0.33</v>
      </c>
    </row>
    <row r="383">
      <c r="A383" t="n">
        <v>382</v>
      </c>
      <c r="B383" t="n">
        <v>2015</v>
      </c>
      <c r="C383" t="inlineStr">
        <is>
          <t>Elaina York</t>
        </is>
      </c>
      <c r="D383">
        <f>HYPERLINK("https://ota.tournamentsoftware.com/player-profile/7D4D2F10-C754-4560-B490-903FD1C70ADE", "Link")</f>
        <v/>
      </c>
      <c r="E383" s="3" t="n">
        <v>145.952</v>
      </c>
      <c r="F383" s="4" t="n">
        <v>16</v>
      </c>
      <c r="G383" t="inlineStr">
        <is>
          <t>Tennis Alberta</t>
        </is>
      </c>
      <c r="H383" t="inlineStr">
        <is>
          <t>Aforza</t>
        </is>
      </c>
      <c r="I383" t="n">
        <v>38.7</v>
      </c>
      <c r="J383" s="4" t="n">
        <v>149</v>
      </c>
      <c r="K383" t="inlineStr">
        <is>
          <t>61 / 88</t>
        </is>
      </c>
      <c r="L383" t="inlineStr">
        <is>
          <t>15 / 23</t>
        </is>
      </c>
      <c r="M383" s="5" t="n">
        <v>0.41</v>
      </c>
      <c r="N383" s="5" t="n">
        <v>0.39</v>
      </c>
    </row>
    <row r="384">
      <c r="A384" t="n">
        <v>383</v>
      </c>
      <c r="B384" t="n">
        <v>2014</v>
      </c>
      <c r="C384" t="inlineStr">
        <is>
          <t>Amelia Rogette Hinnawi</t>
        </is>
      </c>
      <c r="D384">
        <f>HYPERLINK("https://ota.tournamentsoftware.com/player-profile/1DADE780-E571-45F1-BC6D-21B72637C0B7", "Link")</f>
        <v/>
      </c>
      <c r="E384" s="3" t="n">
        <v>145.308</v>
      </c>
      <c r="F384" s="4" t="n">
        <v>20</v>
      </c>
      <c r="G384" t="inlineStr">
        <is>
          <t>Tennis Québec</t>
        </is>
      </c>
      <c r="H384" t="inlineStr">
        <is>
          <t>Tennis Ile- des- Soeurs</t>
        </is>
      </c>
      <c r="I384" t="inlineStr">
        <is>
          <t>unavailable</t>
        </is>
      </c>
      <c r="J384" s="4" t="n">
        <v>134</v>
      </c>
      <c r="K384" t="inlineStr">
        <is>
          <t>42 / 92</t>
        </is>
      </c>
      <c r="L384" t="inlineStr">
        <is>
          <t>12 / 20</t>
        </is>
      </c>
      <c r="M384" s="5" t="n">
        <v>0.31</v>
      </c>
      <c r="N384" s="5" t="n">
        <v>0.38</v>
      </c>
    </row>
    <row r="385">
      <c r="A385" t="n">
        <v>384</v>
      </c>
      <c r="B385" t="n">
        <v>2014</v>
      </c>
      <c r="C385" t="inlineStr">
        <is>
          <t>Sofia Zhuchenko</t>
        </is>
      </c>
      <c r="D385">
        <f>HYPERLINK("https://ota.tournamentsoftware.com/player-profile/F633DD21-A0C3-4CAC-B560-7222D07936B7", "Link")</f>
        <v/>
      </c>
      <c r="E385" s="3" t="n">
        <v>145.261</v>
      </c>
      <c r="F385" s="4" t="n">
        <v>15</v>
      </c>
      <c r="G385" t="inlineStr">
        <is>
          <t>Tennis Alberta</t>
        </is>
      </c>
      <c r="H385" t="inlineStr">
        <is>
          <t>Osten &amp; Victor Alberta Tennis Centre</t>
        </is>
      </c>
      <c r="I385" t="n">
        <v>36.8</v>
      </c>
      <c r="J385" s="4" t="n">
        <v>109</v>
      </c>
      <c r="K385" t="inlineStr">
        <is>
          <t>42 / 67</t>
        </is>
      </c>
      <c r="L385" t="inlineStr">
        <is>
          <t>12 / 17</t>
        </is>
      </c>
      <c r="M385" s="5" t="n">
        <v>0.39</v>
      </c>
      <c r="N385" s="5" t="n">
        <v>0.41</v>
      </c>
    </row>
    <row r="386">
      <c r="A386" t="n">
        <v>385</v>
      </c>
      <c r="B386" t="n">
        <v>2014</v>
      </c>
      <c r="C386" t="inlineStr">
        <is>
          <t>Kira Wong</t>
        </is>
      </c>
      <c r="D386">
        <f>HYPERLINK("https://ota.tournamentsoftware.com/player-profile/E305B648-4548-45A0-B043-623E1473C7E5", "Link")</f>
        <v/>
      </c>
      <c r="E386" s="3" t="n">
        <v>144.621</v>
      </c>
      <c r="F386" s="4" t="n">
        <v>22</v>
      </c>
      <c r="G386" t="inlineStr">
        <is>
          <t>Tennis Alberta</t>
        </is>
      </c>
      <c r="H386" t="inlineStr">
        <is>
          <t>Aforza</t>
        </is>
      </c>
      <c r="I386" t="n">
        <v>38.5</v>
      </c>
      <c r="J386" s="4" t="n">
        <v>123</v>
      </c>
      <c r="K386" t="inlineStr">
        <is>
          <t>44 / 79</t>
        </is>
      </c>
      <c r="L386" t="inlineStr">
        <is>
          <t>20 / 25</t>
        </is>
      </c>
      <c r="M386" s="5" t="n">
        <v>0.36</v>
      </c>
      <c r="N386" s="5" t="n">
        <v>0.44</v>
      </c>
    </row>
    <row r="387">
      <c r="A387" t="n">
        <v>386</v>
      </c>
      <c r="B387" t="n">
        <v>2012</v>
      </c>
      <c r="C387" t="inlineStr">
        <is>
          <t>Xinyi Zhang</t>
        </is>
      </c>
      <c r="D387">
        <f>HYPERLINK("https://ota.tournamentsoftware.com/player-profile/BCC8B346-C184-4803-9CC2-592D143B667B", "Link")</f>
        <v/>
      </c>
      <c r="E387" s="3" t="n">
        <v>144.06</v>
      </c>
      <c r="F387" s="4" t="n">
        <v>15</v>
      </c>
      <c r="G387" t="inlineStr">
        <is>
          <t>Ontario Tennis Association</t>
        </is>
      </c>
      <c r="H387" t="inlineStr">
        <is>
          <t>Marilyn Redvers Tennis Club</t>
        </is>
      </c>
      <c r="I387" t="n">
        <v>38.2</v>
      </c>
      <c r="J387" s="4" t="n">
        <v>43</v>
      </c>
      <c r="K387" t="inlineStr">
        <is>
          <t>23 / 20</t>
        </is>
      </c>
      <c r="L387" t="inlineStr">
        <is>
          <t>12 / 12</t>
        </is>
      </c>
      <c r="M387" s="5" t="n">
        <v>0.53</v>
      </c>
      <c r="N387" s="5" t="n">
        <v>0.5</v>
      </c>
    </row>
    <row r="388">
      <c r="A388" t="n">
        <v>387</v>
      </c>
      <c r="B388" t="n">
        <v>2012</v>
      </c>
      <c r="C388" t="inlineStr">
        <is>
          <t>Spencer Xie</t>
        </is>
      </c>
      <c r="D388">
        <f>HYPERLINK("https://ota.tournamentsoftware.com/player-profile/E8C882F3-740E-4E76-A249-7FC036AFD1F8", "Link")</f>
        <v/>
      </c>
      <c r="E388" s="3" t="n">
        <v>143.496</v>
      </c>
      <c r="F388" s="4" t="n">
        <v>13</v>
      </c>
      <c r="G388" t="inlineStr">
        <is>
          <t>Ontario Tennis Association</t>
        </is>
      </c>
      <c r="H388" t="inlineStr">
        <is>
          <t>Granite Club</t>
        </is>
      </c>
      <c r="I388" t="n">
        <v>38.7</v>
      </c>
      <c r="J388" s="4" t="n">
        <v>68</v>
      </c>
      <c r="K388" t="inlineStr">
        <is>
          <t>19 / 49</t>
        </is>
      </c>
      <c r="L388" t="inlineStr">
        <is>
          <t>6 / 10</t>
        </is>
      </c>
      <c r="M388" s="5" t="n">
        <v>0.28</v>
      </c>
      <c r="N388" s="5" t="n">
        <v>0.38</v>
      </c>
    </row>
    <row r="389">
      <c r="A389" t="n">
        <v>388</v>
      </c>
      <c r="B389" t="n">
        <v>2015</v>
      </c>
      <c r="C389" t="inlineStr">
        <is>
          <t>Theia Zhang</t>
        </is>
      </c>
      <c r="D389">
        <f>HYPERLINK("https://ota.tournamentsoftware.com/player-profile/8628DB3F-1A24-45E1-A1F1-727AFFD593DD", "Link")</f>
        <v/>
      </c>
      <c r="E389" s="3" t="n">
        <v>142.594</v>
      </c>
      <c r="F389" s="4" t="n">
        <v>11</v>
      </c>
      <c r="G389" t="inlineStr">
        <is>
          <t>Ontario Tennis Association</t>
        </is>
      </c>
      <c r="H389" t="inlineStr">
        <is>
          <t>Premier Racquet Clubs – Mississauga</t>
        </is>
      </c>
      <c r="I389" t="n">
        <v>39.1</v>
      </c>
      <c r="J389" s="4" t="n">
        <v>102</v>
      </c>
      <c r="K389" t="inlineStr">
        <is>
          <t>48 / 54</t>
        </is>
      </c>
      <c r="L389" t="inlineStr">
        <is>
          <t>1 / 6</t>
        </is>
      </c>
      <c r="M389" s="5" t="n">
        <v>0.47</v>
      </c>
      <c r="N389" s="5" t="n">
        <v>0.14</v>
      </c>
    </row>
    <row r="390">
      <c r="A390" t="n">
        <v>389</v>
      </c>
      <c r="B390" t="n">
        <v>2013</v>
      </c>
      <c r="C390" t="inlineStr">
        <is>
          <t>Ella Iva Mavretic</t>
        </is>
      </c>
      <c r="D390">
        <f>HYPERLINK("https://ota.tournamentsoftware.com/player-profile/CF99D041-FAEF-47A9-BBE6-3D6335355408", "Link")</f>
        <v/>
      </c>
      <c r="E390" s="3" t="n">
        <v>142.255</v>
      </c>
      <c r="F390" s="4" t="n">
        <v>12</v>
      </c>
      <c r="G390" t="inlineStr">
        <is>
          <t>Ontario Tennis Association</t>
        </is>
      </c>
      <c r="H390" t="inlineStr">
        <is>
          <t>Pinafore Park</t>
        </is>
      </c>
      <c r="I390" t="n">
        <v>38.9</v>
      </c>
      <c r="J390" s="4" t="n">
        <v>196</v>
      </c>
      <c r="K390" t="inlineStr">
        <is>
          <t>87 / 109</t>
        </is>
      </c>
      <c r="L390" t="inlineStr">
        <is>
          <t>3 / 5</t>
        </is>
      </c>
      <c r="M390" s="5" t="n">
        <v>0.44</v>
      </c>
      <c r="N390" s="5" t="n">
        <v>0.38</v>
      </c>
    </row>
    <row r="391">
      <c r="A391" t="n">
        <v>390</v>
      </c>
      <c r="B391" t="n">
        <v>2013</v>
      </c>
      <c r="C391" t="inlineStr">
        <is>
          <t>Zean Whyte Omayan Gerongco</t>
        </is>
      </c>
      <c r="D391">
        <f>HYPERLINK("https://ota.tournamentsoftware.com/player-profile/95E8FC8D-AC41-4C9F-8192-23788254309B", "Link")</f>
        <v/>
      </c>
      <c r="E391" s="3" t="n">
        <v>140.531</v>
      </c>
      <c r="F391" s="4" t="n">
        <v>8</v>
      </c>
      <c r="G391" t="inlineStr">
        <is>
          <t>Ontario Tennis Association</t>
        </is>
      </c>
      <c r="H391" t="inlineStr">
        <is>
          <t>Fountainhead Tennis Club</t>
        </is>
      </c>
      <c r="I391" t="inlineStr">
        <is>
          <t>unavailable</t>
        </is>
      </c>
      <c r="J391" s="4" t="inlineStr"/>
      <c r="K391" t="inlineStr">
        <is>
          <t>unavailable</t>
        </is>
      </c>
      <c r="L391" t="inlineStr">
        <is>
          <t>unavailable</t>
        </is>
      </c>
      <c r="M391" s="5" t="inlineStr"/>
      <c r="N391" s="5" t="inlineStr"/>
    </row>
    <row r="392">
      <c r="A392" t="n">
        <v>391</v>
      </c>
      <c r="B392" t="n">
        <v>2016</v>
      </c>
      <c r="C392" t="inlineStr">
        <is>
          <t>Dorothy Ning</t>
        </is>
      </c>
      <c r="D392">
        <f>HYPERLINK("https://ota.tournamentsoftware.com/player-profile/15BEDAE4-AB73-4AE9-B466-BA81BCA77DB1", "Link")</f>
        <v/>
      </c>
      <c r="E392" s="3" t="n">
        <v>140</v>
      </c>
      <c r="F392" s="4" t="n">
        <v>19</v>
      </c>
      <c r="G392" t="inlineStr">
        <is>
          <t>Ontario Tennis Association</t>
        </is>
      </c>
      <c r="H392" t="inlineStr">
        <is>
          <t>Toronto Tennis Academy</t>
        </is>
      </c>
      <c r="I392" t="inlineStr">
        <is>
          <t>unavailable</t>
        </is>
      </c>
      <c r="J392" s="4" t="n">
        <v>144</v>
      </c>
      <c r="K392" t="inlineStr">
        <is>
          <t>76 / 68</t>
        </is>
      </c>
      <c r="L392" t="inlineStr">
        <is>
          <t>17 / 13</t>
        </is>
      </c>
      <c r="M392" s="5" t="n">
        <v>0.53</v>
      </c>
      <c r="N392" s="5" t="n">
        <v>0.57</v>
      </c>
    </row>
    <row r="393">
      <c r="A393" t="n">
        <v>392</v>
      </c>
      <c r="B393" t="n">
        <v>2014</v>
      </c>
      <c r="C393" t="inlineStr">
        <is>
          <t>Hunter Anne Wilkinson</t>
        </is>
      </c>
      <c r="D393">
        <f>HYPERLINK("https://ota.tournamentsoftware.com/player-profile/EB893DF0-DCAD-49C8-BAB9-0D044090A656", "Link")</f>
        <v/>
      </c>
      <c r="E393" s="3" t="n">
        <v>139.824</v>
      </c>
      <c r="F393" s="4" t="n">
        <v>19</v>
      </c>
      <c r="G393" t="inlineStr">
        <is>
          <t>Ontario Tennis Association</t>
        </is>
      </c>
      <c r="H393" t="inlineStr">
        <is>
          <t>GSM Tennis Club</t>
        </is>
      </c>
      <c r="I393" t="n">
        <v>37.8</v>
      </c>
      <c r="J393" s="4" t="n">
        <v>181</v>
      </c>
      <c r="K393" t="inlineStr">
        <is>
          <t>87 / 94</t>
        </is>
      </c>
      <c r="L393" t="inlineStr">
        <is>
          <t>10 / 11</t>
        </is>
      </c>
      <c r="M393" s="5" t="n">
        <v>0.48</v>
      </c>
      <c r="N393" s="5" t="n">
        <v>0.48</v>
      </c>
    </row>
    <row r="394">
      <c r="A394" t="n">
        <v>393</v>
      </c>
      <c r="B394" t="n">
        <v>2012</v>
      </c>
      <c r="C394" t="inlineStr">
        <is>
          <t>Emily Zhang</t>
        </is>
      </c>
      <c r="D394">
        <f>HYPERLINK("https://ota.tournamentsoftware.com/player-profile/927E8E34-8FE2-4B37-81C7-621F5326585C", "Link")</f>
        <v/>
      </c>
      <c r="E394" s="3" t="n">
        <v>139.787</v>
      </c>
      <c r="F394" s="4" t="n">
        <v>10</v>
      </c>
      <c r="G394" t="inlineStr">
        <is>
          <t>Ontario Tennis Association</t>
        </is>
      </c>
      <c r="H394" t="inlineStr">
        <is>
          <t>Blackmore Tennis Club</t>
        </is>
      </c>
      <c r="I394" t="inlineStr">
        <is>
          <t>unavailable</t>
        </is>
      </c>
      <c r="J394" s="4" t="n">
        <v>48</v>
      </c>
      <c r="K394" t="inlineStr">
        <is>
          <t>10 / 38</t>
        </is>
      </c>
      <c r="L394" t="inlineStr">
        <is>
          <t>1 / 3</t>
        </is>
      </c>
      <c r="M394" s="5" t="n">
        <v>0.21</v>
      </c>
      <c r="N394" s="5" t="n">
        <v>0.25</v>
      </c>
    </row>
    <row r="395">
      <c r="A395" t="n">
        <v>394</v>
      </c>
      <c r="B395" t="n">
        <v>2012</v>
      </c>
      <c r="C395" t="inlineStr">
        <is>
          <t>Eliana Yiannacouras</t>
        </is>
      </c>
      <c r="D395">
        <f>HYPERLINK("https://ota.tournamentsoftware.com/player-profile/B77AA2DD-5FF4-4B16-8ABD-E6ED22D4B5E1", "Link")</f>
        <v/>
      </c>
      <c r="E395" s="3" t="n">
        <v>135.864</v>
      </c>
      <c r="F395" s="4" t="n">
        <v>15</v>
      </c>
      <c r="G395" t="inlineStr">
        <is>
          <t>Ontario Tennis Association</t>
        </is>
      </c>
      <c r="H395" t="inlineStr">
        <is>
          <t>The Supreme Court Tennis Club</t>
        </is>
      </c>
      <c r="I395" t="n">
        <v>38.2</v>
      </c>
      <c r="J395" s="4" t="n">
        <v>95</v>
      </c>
      <c r="K395" t="inlineStr">
        <is>
          <t>24 / 71</t>
        </is>
      </c>
      <c r="L395" t="inlineStr">
        <is>
          <t>5 / 8</t>
        </is>
      </c>
      <c r="M395" s="5" t="n">
        <v>0.25</v>
      </c>
      <c r="N395" s="5" t="n">
        <v>0.38</v>
      </c>
    </row>
    <row r="396">
      <c r="A396" t="n">
        <v>395</v>
      </c>
      <c r="B396" t="n">
        <v>2016</v>
      </c>
      <c r="C396" t="inlineStr">
        <is>
          <t>Milana Piazza</t>
        </is>
      </c>
      <c r="D396">
        <f>HYPERLINK("https://ota.tournamentsoftware.com/player-profile/4CDBB0C3-0D8B-4D7B-873C-3CEC65600FA0", "Link")</f>
        <v/>
      </c>
      <c r="E396" s="3" t="n">
        <v>135.567</v>
      </c>
      <c r="F396" s="4" t="n">
        <v>11</v>
      </c>
      <c r="G396" t="inlineStr">
        <is>
          <t>Tennis Québec</t>
        </is>
      </c>
      <c r="H396" t="inlineStr">
        <is>
          <t>Tennis 13</t>
        </is>
      </c>
      <c r="I396" t="n">
        <v>36.4</v>
      </c>
      <c r="J396" s="4" t="n">
        <v>86</v>
      </c>
      <c r="K396" t="inlineStr">
        <is>
          <t>50 / 36</t>
        </is>
      </c>
      <c r="L396" t="inlineStr">
        <is>
          <t>17 / 8</t>
        </is>
      </c>
      <c r="M396" s="5" t="n">
        <v>0.58</v>
      </c>
      <c r="N396" s="5" t="n">
        <v>0.68</v>
      </c>
    </row>
    <row r="397">
      <c r="A397" t="n">
        <v>396</v>
      </c>
      <c r="B397" t="n">
        <v>2013</v>
      </c>
      <c r="C397" t="inlineStr">
        <is>
          <t>Audrey Ziqi Liu</t>
        </is>
      </c>
      <c r="D397">
        <f>HYPERLINK("https://ota.tournamentsoftware.com/player-profile/C2E6156A-D7ED-45A1-B728-0FA7A8D2D6A1", "Link")</f>
        <v/>
      </c>
      <c r="E397" s="3" t="n">
        <v>134.423</v>
      </c>
      <c r="F397" s="4" t="n">
        <v>9</v>
      </c>
      <c r="G397" t="inlineStr">
        <is>
          <t>British Columbia</t>
        </is>
      </c>
      <c r="H397" t="inlineStr">
        <is>
          <t>UBC Tennis Centre</t>
        </is>
      </c>
      <c r="I397" t="n">
        <v>39.5</v>
      </c>
      <c r="J397" s="4" t="n">
        <v>23</v>
      </c>
      <c r="K397" t="inlineStr">
        <is>
          <t>7 / 16</t>
        </is>
      </c>
      <c r="L397" t="inlineStr">
        <is>
          <t>6 / 14</t>
        </is>
      </c>
      <c r="M397" s="5" t="n">
        <v>0.3</v>
      </c>
      <c r="N397" s="5" t="n">
        <v>0.3</v>
      </c>
    </row>
    <row r="398">
      <c r="A398" t="n">
        <v>397</v>
      </c>
      <c r="B398" t="n">
        <v>2014</v>
      </c>
      <c r="C398" t="inlineStr">
        <is>
          <t>Melissa Yi Nuo Yang</t>
        </is>
      </c>
      <c r="D398">
        <f>HYPERLINK("https://ota.tournamentsoftware.com/player-profile/870FB276-B8EA-4586-B0F5-B2318D4B1CD6", "Link")</f>
        <v/>
      </c>
      <c r="E398" s="3" t="n">
        <v>134.37</v>
      </c>
      <c r="F398" s="4" t="n">
        <v>19</v>
      </c>
      <c r="G398" t="inlineStr">
        <is>
          <t>Tennis Québec</t>
        </is>
      </c>
      <c r="H398" t="inlineStr">
        <is>
          <t>Club Sportif Côte-de-Liesse</t>
        </is>
      </c>
      <c r="I398" t="n">
        <v>36.7</v>
      </c>
      <c r="J398" s="4" t="n">
        <v>83</v>
      </c>
      <c r="K398" t="inlineStr">
        <is>
          <t>41 / 42</t>
        </is>
      </c>
      <c r="L398" t="inlineStr">
        <is>
          <t>21 / 11</t>
        </is>
      </c>
      <c r="M398" s="5" t="n">
        <v>0.49</v>
      </c>
      <c r="N398" s="5" t="n">
        <v>0.66</v>
      </c>
    </row>
    <row r="399">
      <c r="A399" t="n">
        <v>398</v>
      </c>
      <c r="B399" t="n">
        <v>2015</v>
      </c>
      <c r="C399" t="inlineStr">
        <is>
          <t>Blake Badger</t>
        </is>
      </c>
      <c r="D399">
        <f>HYPERLINK("https://ota.tournamentsoftware.com/player-profile/33B72483-1E5D-4043-8C06-81F76F0504E6", "Link")</f>
        <v/>
      </c>
      <c r="E399" s="3" t="n">
        <v>133.817</v>
      </c>
      <c r="F399" s="4" t="n">
        <v>4</v>
      </c>
      <c r="G399" t="inlineStr">
        <is>
          <t>Tennis Saskatchewan</t>
        </is>
      </c>
      <c r="H399" t="inlineStr">
        <is>
          <t>Lakeshore Tennis Club</t>
        </is>
      </c>
      <c r="I399" t="n">
        <v>40</v>
      </c>
      <c r="J399" s="4" t="n">
        <v>63</v>
      </c>
      <c r="K399" t="inlineStr">
        <is>
          <t>20 / 43</t>
        </is>
      </c>
      <c r="L399" t="inlineStr">
        <is>
          <t>2 / 7</t>
        </is>
      </c>
      <c r="M399" s="5" t="n">
        <v>0.32</v>
      </c>
      <c r="N399" s="5" t="n">
        <v>0.22</v>
      </c>
    </row>
    <row r="400">
      <c r="A400" t="n">
        <v>399</v>
      </c>
      <c r="B400" t="n">
        <v>2013</v>
      </c>
      <c r="C400" t="inlineStr">
        <is>
          <t>Olivia Xing</t>
        </is>
      </c>
      <c r="D400">
        <f>HYPERLINK("https://ota.tournamentsoftware.com/player-profile/03475BC0-CC60-490A-8E94-0D82D43C8EDC", "Link")</f>
        <v/>
      </c>
      <c r="E400" s="3" t="n">
        <v>132.497</v>
      </c>
      <c r="F400" s="4" t="n">
        <v>17</v>
      </c>
      <c r="G400" t="inlineStr">
        <is>
          <t>British Columbia</t>
        </is>
      </c>
      <c r="H400" t="inlineStr">
        <is>
          <t>Vancouver Lawn Tennis and Badminton Club</t>
        </is>
      </c>
      <c r="I400" t="inlineStr">
        <is>
          <t>unavailable</t>
        </is>
      </c>
      <c r="J400" s="4" t="n">
        <v>117</v>
      </c>
      <c r="K400" t="inlineStr">
        <is>
          <t>57 / 60</t>
        </is>
      </c>
      <c r="L400" t="inlineStr">
        <is>
          <t>10 / 13</t>
        </is>
      </c>
      <c r="M400" s="5" t="n">
        <v>0.49</v>
      </c>
      <c r="N400" s="5" t="n">
        <v>0.43</v>
      </c>
    </row>
    <row r="401">
      <c r="A401" t="n">
        <v>400</v>
      </c>
      <c r="B401" t="n">
        <v>2014</v>
      </c>
      <c r="C401" t="inlineStr">
        <is>
          <t>Olivia Weiwei Kong</t>
        </is>
      </c>
      <c r="D401">
        <f>HYPERLINK("https://ota.tournamentsoftware.com/player-profile/D959AEB1-2F72-4DC3-9FC0-C7595A80CDA0", "Link")</f>
        <v/>
      </c>
      <c r="E401" s="3" t="n">
        <v>130.887</v>
      </c>
      <c r="F401" s="4" t="n">
        <v>6</v>
      </c>
      <c r="G401" t="inlineStr">
        <is>
          <t>Tennis Saskatchewan</t>
        </is>
      </c>
      <c r="H401" t="inlineStr">
        <is>
          <t>Lakeshore Tennis Club</t>
        </is>
      </c>
      <c r="I401" t="n">
        <v>40</v>
      </c>
      <c r="J401" s="4" t="n">
        <v>89</v>
      </c>
      <c r="K401" t="inlineStr">
        <is>
          <t>22 / 67</t>
        </is>
      </c>
      <c r="L401" t="inlineStr">
        <is>
          <t>3 / 10</t>
        </is>
      </c>
      <c r="M401" s="5" t="n">
        <v>0.25</v>
      </c>
      <c r="N401" s="5" t="n">
        <v>0.23</v>
      </c>
    </row>
    <row r="402">
      <c r="A402" t="n">
        <v>401</v>
      </c>
      <c r="B402" t="n">
        <v>2017</v>
      </c>
      <c r="C402" t="inlineStr">
        <is>
          <t>Nalayah Smith</t>
        </is>
      </c>
      <c r="D402">
        <f>HYPERLINK("https://ota.tournamentsoftware.com/player-profile/6F913BA8-58BB-4BEE-9CA1-8E064E1332B8", "Link")</f>
        <v/>
      </c>
      <c r="E402" s="3" t="n">
        <v>129.168</v>
      </c>
      <c r="F402" s="4" t="n">
        <v>15</v>
      </c>
      <c r="G402" t="inlineStr">
        <is>
          <t>Ontario Tennis Association</t>
        </is>
      </c>
      <c r="H402" t="inlineStr">
        <is>
          <t>SmartVMC Racquetsports by ACE</t>
        </is>
      </c>
      <c r="I402" t="n">
        <v>37</v>
      </c>
      <c r="J402" s="4" t="n">
        <v>117</v>
      </c>
      <c r="K402" t="inlineStr">
        <is>
          <t>71 / 46</t>
        </is>
      </c>
      <c r="L402" t="inlineStr">
        <is>
          <t>16 / 13</t>
        </is>
      </c>
      <c r="M402" s="5" t="n">
        <v>0.61</v>
      </c>
      <c r="N402" s="5" t="n">
        <v>0.55</v>
      </c>
    </row>
    <row r="403">
      <c r="A403" t="n">
        <v>402</v>
      </c>
      <c r="B403" t="n">
        <v>2014</v>
      </c>
      <c r="C403" t="inlineStr">
        <is>
          <t>Scarlett Hannah Yip</t>
        </is>
      </c>
      <c r="D403">
        <f>HYPERLINK("https://ota.tournamentsoftware.com/player-profile/D01B38C8-E207-4D1F-B33D-970B1F8BDC78", "Link")</f>
        <v/>
      </c>
      <c r="E403" s="3" t="n">
        <v>128.523</v>
      </c>
      <c r="F403" s="4" t="n">
        <v>13</v>
      </c>
      <c r="G403" t="inlineStr">
        <is>
          <t>Tennis Alberta</t>
        </is>
      </c>
      <c r="H403" t="inlineStr">
        <is>
          <t>Osten &amp; Victor Alberta Tennis Centre</t>
        </is>
      </c>
      <c r="I403" t="n">
        <v>37.5</v>
      </c>
      <c r="J403" s="4" t="n">
        <v>146</v>
      </c>
      <c r="K403" t="inlineStr">
        <is>
          <t>65 / 81</t>
        </is>
      </c>
      <c r="L403" t="inlineStr">
        <is>
          <t>6 / 8</t>
        </is>
      </c>
      <c r="M403" s="5" t="n">
        <v>0.45</v>
      </c>
      <c r="N403" s="5" t="n">
        <v>0.43</v>
      </c>
    </row>
    <row r="404">
      <c r="A404" t="n">
        <v>403</v>
      </c>
      <c r="B404" t="n">
        <v>2013</v>
      </c>
      <c r="C404" t="inlineStr">
        <is>
          <t>Diya Vasudeva</t>
        </is>
      </c>
      <c r="D404">
        <f>HYPERLINK("https://ota.tournamentsoftware.com/player-profile/81C22EEF-F10A-4447-AF45-2B9B6D1A7F5B", "Link")</f>
        <v/>
      </c>
      <c r="E404" s="3" t="n">
        <v>128.388</v>
      </c>
      <c r="F404" s="4" t="n">
        <v>4</v>
      </c>
      <c r="G404" t="inlineStr">
        <is>
          <t>Ontario Tennis Association</t>
        </is>
      </c>
      <c r="H404" t="inlineStr">
        <is>
          <t>ACE Tennis - Burlington</t>
        </is>
      </c>
      <c r="I404" t="n">
        <v>39.1</v>
      </c>
      <c r="J404" s="4" t="n">
        <v>91</v>
      </c>
      <c r="K404" t="inlineStr">
        <is>
          <t>32 / 59</t>
        </is>
      </c>
      <c r="L404" t="inlineStr">
        <is>
          <t>3 / 4</t>
        </is>
      </c>
      <c r="M404" s="5" t="n">
        <v>0.35</v>
      </c>
      <c r="N404" s="5" t="n">
        <v>0.43</v>
      </c>
    </row>
    <row r="405">
      <c r="A405" t="n">
        <v>404</v>
      </c>
      <c r="B405" t="n">
        <v>2014</v>
      </c>
      <c r="C405" t="inlineStr">
        <is>
          <t>Afsoune Wassel</t>
        </is>
      </c>
      <c r="D405">
        <f>HYPERLINK("https://ota.tournamentsoftware.com/player-profile/72D5D7A1-94DE-47DF-B01E-F83205C53092", "Link")</f>
        <v/>
      </c>
      <c r="E405" s="3" t="n">
        <v>128.099</v>
      </c>
      <c r="F405" s="4" t="n">
        <v>22</v>
      </c>
      <c r="G405" t="inlineStr">
        <is>
          <t>Tennis Québec</t>
        </is>
      </c>
      <c r="H405" t="inlineStr">
        <is>
          <t>SANI Sport</t>
        </is>
      </c>
      <c r="I405" t="n">
        <v>38.9</v>
      </c>
      <c r="J405" s="4" t="n">
        <v>118</v>
      </c>
      <c r="K405" t="inlineStr">
        <is>
          <t>59 / 59</t>
        </is>
      </c>
      <c r="L405" t="inlineStr">
        <is>
          <t>7 / 13</t>
        </is>
      </c>
      <c r="M405" s="5" t="n">
        <v>0.5</v>
      </c>
      <c r="N405" s="5" t="n">
        <v>0.35</v>
      </c>
    </row>
    <row r="406">
      <c r="A406" t="n">
        <v>405</v>
      </c>
      <c r="B406" t="n">
        <v>2014</v>
      </c>
      <c r="C406" t="inlineStr">
        <is>
          <t>Mikayla Avani Mahanandan</t>
        </is>
      </c>
      <c r="D406">
        <f>HYPERLINK("https://ota.tournamentsoftware.com/player-profile/DAFD5F0F-733D-4242-B572-5905268B6041", "Link")</f>
        <v/>
      </c>
      <c r="E406" s="3" t="n">
        <v>127.05</v>
      </c>
      <c r="F406" s="4" t="n">
        <v>21</v>
      </c>
      <c r="G406" t="inlineStr">
        <is>
          <t>Ontario Tennis Association</t>
        </is>
      </c>
      <c r="H406" t="inlineStr">
        <is>
          <t>Premier Racquet Clubs – Mississauga</t>
        </is>
      </c>
      <c r="I406" t="inlineStr">
        <is>
          <t>unavailable</t>
        </is>
      </c>
      <c r="J406" s="4" t="n">
        <v>103</v>
      </c>
      <c r="K406" t="inlineStr">
        <is>
          <t>35 / 68</t>
        </is>
      </c>
      <c r="L406" t="inlineStr">
        <is>
          <t>11 / 19</t>
        </is>
      </c>
      <c r="M406" s="5" t="n">
        <v>0.34</v>
      </c>
      <c r="N406" s="5" t="n">
        <v>0.37</v>
      </c>
    </row>
    <row r="407">
      <c r="A407" t="n">
        <v>406</v>
      </c>
      <c r="B407" t="n">
        <v>2014</v>
      </c>
      <c r="C407" t="inlineStr">
        <is>
          <t>Rain Yu Chan</t>
        </is>
      </c>
      <c r="D407">
        <f>HYPERLINK("https://ota.tournamentsoftware.com/player-profile/BF26AD2D-BAAC-4E82-A862-14039C1584F2", "Link")</f>
        <v/>
      </c>
      <c r="E407" s="3" t="n">
        <v>125.263</v>
      </c>
      <c r="F407" s="4" t="n">
        <v>30</v>
      </c>
      <c r="G407" t="inlineStr">
        <is>
          <t>British Columbia</t>
        </is>
      </c>
      <c r="H407" t="inlineStr">
        <is>
          <t>Burnaby Tennis Club</t>
        </is>
      </c>
      <c r="I407" t="inlineStr">
        <is>
          <t>unavailable</t>
        </is>
      </c>
      <c r="J407" s="4" t="n">
        <v>195</v>
      </c>
      <c r="K407" t="inlineStr">
        <is>
          <t>92 / 103</t>
        </is>
      </c>
      <c r="L407" t="inlineStr">
        <is>
          <t>26 / 26</t>
        </is>
      </c>
      <c r="M407" s="5" t="n">
        <v>0.47</v>
      </c>
      <c r="N407" s="5" t="n">
        <v>0.5</v>
      </c>
    </row>
    <row r="408">
      <c r="A408" t="n">
        <v>407</v>
      </c>
      <c r="B408" t="n">
        <v>2015</v>
      </c>
      <c r="C408" t="inlineStr">
        <is>
          <t>Xinyue Grace zhu</t>
        </is>
      </c>
      <c r="D408">
        <f>HYPERLINK("https://ota.tournamentsoftware.com/player-profile/9C1D6B37-A27B-4B15-8F8F-72E6D4418B50", "Link")</f>
        <v/>
      </c>
      <c r="E408" s="3" t="n">
        <v>124.998</v>
      </c>
      <c r="F408" s="4" t="n">
        <v>14</v>
      </c>
      <c r="G408" t="inlineStr">
        <is>
          <t>British Columbia</t>
        </is>
      </c>
      <c r="H408" t="inlineStr">
        <is>
          <t>North Vancouver Tennis Centre</t>
        </is>
      </c>
      <c r="I408" t="inlineStr">
        <is>
          <t>unavailable</t>
        </is>
      </c>
      <c r="J408" s="4" t="n">
        <v>184</v>
      </c>
      <c r="K408" t="inlineStr">
        <is>
          <t>111 / 73</t>
        </is>
      </c>
      <c r="L408" t="inlineStr">
        <is>
          <t>12 / 10</t>
        </is>
      </c>
      <c r="M408" s="5" t="n">
        <v>0.6</v>
      </c>
      <c r="N408" s="5" t="n">
        <v>0.55</v>
      </c>
    </row>
    <row r="409">
      <c r="A409" t="n">
        <v>408</v>
      </c>
      <c r="B409" t="n">
        <v>2012</v>
      </c>
      <c r="C409" t="inlineStr">
        <is>
          <t>Rachael Qing Xu</t>
        </is>
      </c>
      <c r="D409">
        <f>HYPERLINK("https://ota.tournamentsoftware.com/player-profile/EF0FB6C4-F27A-45FB-BD75-3C3F4D9EF188", "Link")</f>
        <v/>
      </c>
      <c r="E409" s="3" t="n">
        <v>123.892</v>
      </c>
      <c r="F409" s="4" t="n">
        <v>3</v>
      </c>
      <c r="G409" t="inlineStr">
        <is>
          <t>Ontario Tennis Association</t>
        </is>
      </c>
      <c r="H409" t="inlineStr">
        <is>
          <t>Rosedale Tennis Club (Hamilton)</t>
        </is>
      </c>
      <c r="I409" t="n">
        <v>39.4</v>
      </c>
      <c r="J409" s="4" t="n">
        <v>55</v>
      </c>
      <c r="K409" t="inlineStr">
        <is>
          <t>20 / 35</t>
        </is>
      </c>
      <c r="L409" t="inlineStr">
        <is>
          <t>0 / 0</t>
        </is>
      </c>
      <c r="M409" s="5" t="n">
        <v>0.36</v>
      </c>
      <c r="N409" s="5" t="n">
        <v>0</v>
      </c>
    </row>
    <row r="410">
      <c r="A410" t="n">
        <v>409</v>
      </c>
      <c r="B410" t="n">
        <v>2013</v>
      </c>
      <c r="C410" t="inlineStr">
        <is>
          <t>Nimesha Singh</t>
        </is>
      </c>
      <c r="D410">
        <f>HYPERLINK("https://ota.tournamentsoftware.com/player-profile/8C91735C-DF4B-4994-88A2-155C813C74CC", "Link")</f>
        <v/>
      </c>
      <c r="E410" s="3" t="n">
        <v>123.547</v>
      </c>
      <c r="F410" s="4" t="n">
        <v>3</v>
      </c>
      <c r="G410" t="inlineStr">
        <is>
          <t>Tennis Nova Scotia</t>
        </is>
      </c>
      <c r="H410" t="inlineStr">
        <is>
          <t>Atlantic Tennis Centre</t>
        </is>
      </c>
      <c r="I410" t="n">
        <v>33.5</v>
      </c>
      <c r="J410" s="4" t="n">
        <v>196</v>
      </c>
      <c r="K410" t="inlineStr">
        <is>
          <t>96 / 100</t>
        </is>
      </c>
      <c r="L410" t="inlineStr">
        <is>
          <t>0 / 0</t>
        </is>
      </c>
      <c r="M410" s="5" t="n">
        <v>0.49</v>
      </c>
      <c r="N410" s="5" t="n">
        <v>0</v>
      </c>
    </row>
    <row r="411">
      <c r="A411" t="n">
        <v>410</v>
      </c>
      <c r="B411" t="n">
        <v>2012</v>
      </c>
      <c r="C411" t="inlineStr">
        <is>
          <t>Isabella Sofia Zrnic</t>
        </is>
      </c>
      <c r="D411">
        <f>HYPERLINK("https://ota.tournamentsoftware.com/player-profile/C8963CF4-1E95-43AF-B92C-08778B2BA616", "Link")</f>
        <v/>
      </c>
      <c r="E411" s="3" t="n">
        <v>122.414</v>
      </c>
      <c r="F411" s="4" t="n">
        <v>16</v>
      </c>
      <c r="G411" t="inlineStr">
        <is>
          <t>Ontario Tennis Association</t>
        </is>
      </c>
      <c r="H411" t="inlineStr">
        <is>
          <t>Lawrence Park Tennis Club</t>
        </is>
      </c>
      <c r="I411" t="n">
        <v>38.8</v>
      </c>
      <c r="J411" s="4" t="n">
        <v>66</v>
      </c>
      <c r="K411" t="inlineStr">
        <is>
          <t>27 / 39</t>
        </is>
      </c>
      <c r="L411" t="inlineStr">
        <is>
          <t>6 / 9</t>
        </is>
      </c>
      <c r="M411" s="5" t="n">
        <v>0.41</v>
      </c>
      <c r="N411" s="5" t="n">
        <v>0.4</v>
      </c>
    </row>
    <row r="412">
      <c r="A412" t="n">
        <v>411</v>
      </c>
      <c r="B412" t="n">
        <v>2015</v>
      </c>
      <c r="C412" t="inlineStr">
        <is>
          <t>Athisayah Viji</t>
        </is>
      </c>
      <c r="D412">
        <f>HYPERLINK("https://ota.tournamentsoftware.com/player-profile/C8684F68-4EF9-414D-BDA9-FC73111C2DB8", "Link")</f>
        <v/>
      </c>
      <c r="E412" s="3" t="n">
        <v>121.138</v>
      </c>
      <c r="F412" s="4" t="n">
        <v>17</v>
      </c>
      <c r="G412" t="inlineStr">
        <is>
          <t>British Columbia</t>
        </is>
      </c>
      <c r="H412" t="inlineStr">
        <is>
          <t>The Tennis Centre</t>
        </is>
      </c>
      <c r="I412" t="n">
        <v>36</v>
      </c>
      <c r="J412" s="4" t="n">
        <v>115</v>
      </c>
      <c r="K412" t="inlineStr">
        <is>
          <t>68 / 47</t>
        </is>
      </c>
      <c r="L412" t="inlineStr">
        <is>
          <t>28 / 12</t>
        </is>
      </c>
      <c r="M412" s="5" t="n">
        <v>0.59</v>
      </c>
      <c r="N412" s="5" t="n">
        <v>0.7</v>
      </c>
    </row>
    <row r="413">
      <c r="A413" t="n">
        <v>412</v>
      </c>
      <c r="B413" t="n">
        <v>2013</v>
      </c>
      <c r="C413" t="inlineStr">
        <is>
          <t>Mathilda Adaline Manning</t>
        </is>
      </c>
      <c r="D413">
        <f>HYPERLINK("https://ota.tournamentsoftware.com/player-profile/68249616-27A6-4807-9978-802C0CDC784E", "Link")</f>
        <v/>
      </c>
      <c r="E413" s="3" t="n">
        <v>120.16</v>
      </c>
      <c r="F413" s="4" t="n">
        <v>6</v>
      </c>
      <c r="G413" t="inlineStr">
        <is>
          <t>Ontario Tennis Association</t>
        </is>
      </c>
      <c r="H413" t="inlineStr">
        <is>
          <t>Niagara Academy of Tennis</t>
        </is>
      </c>
      <c r="I413" t="n">
        <v>33</v>
      </c>
      <c r="J413" s="4" t="n">
        <v>12</v>
      </c>
      <c r="K413" t="inlineStr">
        <is>
          <t>8 / 4</t>
        </is>
      </c>
      <c r="L413" t="inlineStr">
        <is>
          <t>0 / 0</t>
        </is>
      </c>
      <c r="M413" s="5" t="n">
        <v>0.67</v>
      </c>
      <c r="N413" s="5" t="n">
        <v>0</v>
      </c>
    </row>
    <row r="414">
      <c r="A414" t="n">
        <v>413</v>
      </c>
      <c r="B414" t="n">
        <v>2015</v>
      </c>
      <c r="C414" t="inlineStr">
        <is>
          <t>Chloe Zhiyan Bai</t>
        </is>
      </c>
      <c r="D414">
        <f>HYPERLINK("https://ota.tournamentsoftware.com/player-profile/D190414C-9B0E-4001-86BC-CD88F7FCF827", "Link")</f>
        <v/>
      </c>
      <c r="E414" s="3" t="n">
        <v>119.994</v>
      </c>
      <c r="F414" s="4" t="n">
        <v>26</v>
      </c>
      <c r="G414" t="inlineStr">
        <is>
          <t>British Columbia</t>
        </is>
      </c>
      <c r="H414" t="inlineStr">
        <is>
          <t>Tennis BC Hub @ Richmond</t>
        </is>
      </c>
      <c r="I414" t="inlineStr">
        <is>
          <t>unavailable</t>
        </is>
      </c>
      <c r="J414" s="4" t="n">
        <v>167</v>
      </c>
      <c r="K414" t="inlineStr">
        <is>
          <t>76 / 91</t>
        </is>
      </c>
      <c r="L414" t="inlineStr">
        <is>
          <t>23 / 18</t>
        </is>
      </c>
      <c r="M414" s="5" t="n">
        <v>0.46</v>
      </c>
      <c r="N414" s="5" t="n">
        <v>0.5600000000000001</v>
      </c>
    </row>
    <row r="415">
      <c r="A415" t="n">
        <v>414</v>
      </c>
      <c r="B415" t="n">
        <v>2013</v>
      </c>
      <c r="C415" t="inlineStr">
        <is>
          <t>Ellie Patricia Wilson</t>
        </is>
      </c>
      <c r="D415">
        <f>HYPERLINK("https://ota.tournamentsoftware.com/player-profile/CB4D2A63-DEA3-4EB8-9085-4317BC39804E", "Link")</f>
        <v/>
      </c>
      <c r="E415" s="3" t="n">
        <v>119.767</v>
      </c>
      <c r="F415" s="4" t="n">
        <v>11</v>
      </c>
      <c r="G415" t="inlineStr">
        <is>
          <t>Ontario Tennis Association</t>
        </is>
      </c>
      <c r="H415" t="inlineStr">
        <is>
          <t>Milton Tennis Club</t>
        </is>
      </c>
      <c r="I415" t="n">
        <v>37.5</v>
      </c>
      <c r="J415" s="4" t="n">
        <v>64</v>
      </c>
      <c r="K415" t="inlineStr">
        <is>
          <t>23 / 41</t>
        </is>
      </c>
      <c r="L415" t="inlineStr">
        <is>
          <t>2 / 4</t>
        </is>
      </c>
      <c r="M415" s="5" t="n">
        <v>0.36</v>
      </c>
      <c r="N415" s="5" t="n">
        <v>0.33</v>
      </c>
    </row>
    <row r="416">
      <c r="A416" t="n">
        <v>415</v>
      </c>
      <c r="B416" t="n">
        <v>2015</v>
      </c>
      <c r="C416" t="inlineStr">
        <is>
          <t>Grace Raymond</t>
        </is>
      </c>
      <c r="D416">
        <f>HYPERLINK("https://ota.tournamentsoftware.com/player-profile/879338D5-D59E-4EA6-A8E9-135220F52905", "Link")</f>
        <v/>
      </c>
      <c r="E416" s="3" t="n">
        <v>117.654</v>
      </c>
      <c r="F416" s="4" t="n">
        <v>14</v>
      </c>
      <c r="G416" t="inlineStr">
        <is>
          <t>Tennis Alberta</t>
        </is>
      </c>
      <c r="H416" t="inlineStr">
        <is>
          <t>Osten &amp; Victor Alberta Tennis Centre</t>
        </is>
      </c>
      <c r="I416" t="n">
        <v>39</v>
      </c>
      <c r="J416" s="4" t="n">
        <v>69</v>
      </c>
      <c r="K416" t="inlineStr">
        <is>
          <t>30 / 39</t>
        </is>
      </c>
      <c r="L416" t="inlineStr">
        <is>
          <t>5 / 10</t>
        </is>
      </c>
      <c r="M416" s="5" t="n">
        <v>0.43</v>
      </c>
      <c r="N416" s="5" t="n">
        <v>0.33</v>
      </c>
    </row>
    <row r="417">
      <c r="A417" t="n">
        <v>416</v>
      </c>
      <c r="B417" t="n">
        <v>2015</v>
      </c>
      <c r="C417" t="inlineStr">
        <is>
          <t>Emma Plugaru</t>
        </is>
      </c>
      <c r="D417">
        <f>HYPERLINK("https://ota.tournamentsoftware.com/player-profile/A8C9C47A-4B9A-43CD-97A6-5516A6BAA15D", "Link")</f>
        <v/>
      </c>
      <c r="E417" s="3" t="n">
        <v>117.51</v>
      </c>
      <c r="F417" s="4" t="n">
        <v>15</v>
      </c>
      <c r="G417" t="inlineStr">
        <is>
          <t>Tennis Québec</t>
        </is>
      </c>
      <c r="H417" t="inlineStr">
        <is>
          <t>Tennis 13</t>
        </is>
      </c>
      <c r="I417" t="n">
        <v>36.9</v>
      </c>
      <c r="J417" s="4" t="n">
        <v>131</v>
      </c>
      <c r="K417" t="inlineStr">
        <is>
          <t>72 / 59</t>
        </is>
      </c>
      <c r="L417" t="inlineStr">
        <is>
          <t>19 / 10</t>
        </is>
      </c>
      <c r="M417" s="5" t="n">
        <v>0.55</v>
      </c>
      <c r="N417" s="5" t="n">
        <v>0.66</v>
      </c>
    </row>
    <row r="418">
      <c r="A418" t="n">
        <v>417</v>
      </c>
      <c r="B418" t="n">
        <v>2014</v>
      </c>
      <c r="C418" t="inlineStr">
        <is>
          <t>Gabriella Geronimo</t>
        </is>
      </c>
      <c r="D418">
        <f>HYPERLINK("https://ota.tournamentsoftware.com/player-profile/E075895A-C22F-4FDB-9A95-CCD353169906", "Link")</f>
        <v/>
      </c>
      <c r="E418" s="3" t="n">
        <v>117.272</v>
      </c>
      <c r="F418" s="4" t="n">
        <v>12</v>
      </c>
      <c r="G418" t="inlineStr">
        <is>
          <t>Ontario Tennis Association</t>
        </is>
      </c>
      <c r="H418" t="inlineStr">
        <is>
          <t>Albion Gardens Tennis Club</t>
        </is>
      </c>
      <c r="I418" t="n">
        <v>37.1</v>
      </c>
      <c r="J418" s="4" t="n">
        <v>200</v>
      </c>
      <c r="K418" t="inlineStr">
        <is>
          <t>113 / 87</t>
        </is>
      </c>
      <c r="L418" t="inlineStr">
        <is>
          <t>5 / 1</t>
        </is>
      </c>
      <c r="M418" s="5" t="n">
        <v>0.5600000000000001</v>
      </c>
      <c r="N418" s="5" t="n">
        <v>0.83</v>
      </c>
    </row>
    <row r="419">
      <c r="A419" t="n">
        <v>418</v>
      </c>
      <c r="B419" t="n">
        <v>2013</v>
      </c>
      <c r="C419" t="inlineStr">
        <is>
          <t>Alyxandra Grace Bellot Wildeman</t>
        </is>
      </c>
      <c r="D419">
        <f>HYPERLINK("https://ota.tournamentsoftware.com/player-profile/E2171261-67FD-4CFA-B4F2-64D9B979CCE5", "Link")</f>
        <v/>
      </c>
      <c r="E419" s="3" t="n">
        <v>116.607</v>
      </c>
      <c r="F419" s="4" t="n">
        <v>10</v>
      </c>
      <c r="G419" t="inlineStr">
        <is>
          <t>British Columbia</t>
        </is>
      </c>
      <c r="H419" t="inlineStr">
        <is>
          <t>Vanguard Tennis Academy</t>
        </is>
      </c>
      <c r="I419" t="n">
        <v>39</v>
      </c>
      <c r="J419" s="4" t="n">
        <v>113</v>
      </c>
      <c r="K419" t="inlineStr">
        <is>
          <t>48 / 65</t>
        </is>
      </c>
      <c r="L419" t="inlineStr">
        <is>
          <t>4 / 7</t>
        </is>
      </c>
      <c r="M419" s="5" t="n">
        <v>0.42</v>
      </c>
      <c r="N419" s="5" t="n">
        <v>0.36</v>
      </c>
    </row>
    <row r="420">
      <c r="A420" t="n">
        <v>419</v>
      </c>
      <c r="B420" t="n">
        <v>2015</v>
      </c>
      <c r="C420" t="inlineStr">
        <is>
          <t>Sofia Bulynko</t>
        </is>
      </c>
      <c r="D420">
        <f>HYPERLINK("https://ota.tournamentsoftware.com/player-profile/88C213E0-0960-44DC-B9B0-66B1ADEE699B", "Link")</f>
        <v/>
      </c>
      <c r="E420" s="3" t="n">
        <v>116.274</v>
      </c>
      <c r="F420" s="4" t="n">
        <v>11</v>
      </c>
      <c r="G420" t="inlineStr">
        <is>
          <t>Ontario Tennis Association</t>
        </is>
      </c>
      <c r="H420" t="inlineStr">
        <is>
          <t>National Tennis School</t>
        </is>
      </c>
      <c r="I420" t="n">
        <v>37.9</v>
      </c>
      <c r="J420" s="4" t="n">
        <v>53</v>
      </c>
      <c r="K420" t="inlineStr">
        <is>
          <t>27 / 26</t>
        </is>
      </c>
      <c r="L420" t="inlineStr">
        <is>
          <t>10 / 9</t>
        </is>
      </c>
      <c r="M420" s="5" t="n">
        <v>0.51</v>
      </c>
      <c r="N420" s="5" t="n">
        <v>0.53</v>
      </c>
    </row>
    <row r="421">
      <c r="A421" t="n">
        <v>420</v>
      </c>
      <c r="B421" t="n">
        <v>2015</v>
      </c>
      <c r="C421" t="inlineStr">
        <is>
          <t>Mia Pan</t>
        </is>
      </c>
      <c r="D421">
        <f>HYPERLINK("https://ota.tournamentsoftware.com/player-profile/AC58096C-5119-4221-95E0-C06E89FC8EFF", "Link")</f>
        <v/>
      </c>
      <c r="E421" s="3" t="n">
        <v>116.01</v>
      </c>
      <c r="F421" s="4" t="n">
        <v>14</v>
      </c>
      <c r="G421" t="inlineStr">
        <is>
          <t>British Columbia</t>
        </is>
      </c>
      <c r="H421" t="inlineStr">
        <is>
          <t>Vanguard Tennis Academy</t>
        </is>
      </c>
      <c r="I421" t="inlineStr">
        <is>
          <t>unavailable</t>
        </is>
      </c>
      <c r="J421" s="4" t="n">
        <v>114</v>
      </c>
      <c r="K421" t="inlineStr">
        <is>
          <t>64 / 50</t>
        </is>
      </c>
      <c r="L421" t="inlineStr">
        <is>
          <t>20 / 16</t>
        </is>
      </c>
      <c r="M421" s="5" t="n">
        <v>0.5600000000000001</v>
      </c>
      <c r="N421" s="5" t="n">
        <v>0.5600000000000001</v>
      </c>
    </row>
    <row r="422">
      <c r="A422" t="n">
        <v>421</v>
      </c>
      <c r="B422" t="n">
        <v>2015</v>
      </c>
      <c r="C422" t="inlineStr">
        <is>
          <t>Navena Thelepan</t>
        </is>
      </c>
      <c r="D422">
        <f>HYPERLINK("https://ota.tournamentsoftware.com/player-profile/811C2EA5-51E7-4FDE-BF82-1DF3D9D0AD27", "Link")</f>
        <v/>
      </c>
      <c r="E422" s="3" t="n">
        <v>115.987</v>
      </c>
      <c r="F422" s="4" t="n">
        <v>31</v>
      </c>
      <c r="G422" t="inlineStr">
        <is>
          <t>Ontario Tennis Association</t>
        </is>
      </c>
      <c r="H422" t="inlineStr">
        <is>
          <t>Markham Tennis Club</t>
        </is>
      </c>
      <c r="I422" t="n">
        <v>39</v>
      </c>
      <c r="J422" s="4" t="n">
        <v>129</v>
      </c>
      <c r="K422" t="inlineStr">
        <is>
          <t>60 / 69</t>
        </is>
      </c>
      <c r="L422" t="inlineStr">
        <is>
          <t>16 / 32</t>
        </is>
      </c>
      <c r="M422" s="5" t="n">
        <v>0.47</v>
      </c>
      <c r="N422" s="5" t="n">
        <v>0.33</v>
      </c>
    </row>
    <row r="423">
      <c r="A423" t="n">
        <v>422</v>
      </c>
      <c r="B423" t="n">
        <v>2012</v>
      </c>
      <c r="C423" t="inlineStr">
        <is>
          <t>Daniella Maria SAUCEDO</t>
        </is>
      </c>
      <c r="D423">
        <f>HYPERLINK("https://ota.tournamentsoftware.com/player-profile/45A852A0-99BB-4449-9FC4-8CAEBA4B404C", "Link")</f>
        <v/>
      </c>
      <c r="E423" s="3" t="n">
        <v>115.69</v>
      </c>
      <c r="F423" s="4" t="n">
        <v>9</v>
      </c>
      <c r="G423" t="inlineStr">
        <is>
          <t>Ontario Tennis Association</t>
        </is>
      </c>
      <c r="H423" t="inlineStr">
        <is>
          <t>City of Oakville</t>
        </is>
      </c>
      <c r="I423" t="inlineStr">
        <is>
          <t>unavailable</t>
        </is>
      </c>
      <c r="J423" s="4" t="n">
        <v>137</v>
      </c>
      <c r="K423" t="inlineStr">
        <is>
          <t>72 / 65</t>
        </is>
      </c>
      <c r="L423" t="inlineStr">
        <is>
          <t>0 / 0</t>
        </is>
      </c>
      <c r="M423" s="5" t="n">
        <v>0.53</v>
      </c>
      <c r="N423" s="5" t="n">
        <v>0</v>
      </c>
    </row>
    <row r="424">
      <c r="A424" t="n">
        <v>423</v>
      </c>
      <c r="B424" t="n">
        <v>2013</v>
      </c>
      <c r="C424" t="inlineStr">
        <is>
          <t>Murphy Mofei Gao</t>
        </is>
      </c>
      <c r="D424">
        <f>HYPERLINK("https://ota.tournamentsoftware.com/player-profile/64A4B4DB-7753-451A-A411-16FC49084860", "Link")</f>
        <v/>
      </c>
      <c r="E424" s="3" t="n">
        <v>115.547</v>
      </c>
      <c r="F424" s="4" t="n">
        <v>16</v>
      </c>
      <c r="G424" t="inlineStr">
        <is>
          <t>British Columbia</t>
        </is>
      </c>
      <c r="H424" t="inlineStr">
        <is>
          <t>No Club</t>
        </is>
      </c>
      <c r="I424" t="n">
        <v>40</v>
      </c>
      <c r="J424" s="4" t="n">
        <v>136</v>
      </c>
      <c r="K424" t="inlineStr">
        <is>
          <t>18 / 118</t>
        </is>
      </c>
      <c r="L424" t="inlineStr">
        <is>
          <t>3 / 22</t>
        </is>
      </c>
      <c r="M424" s="5" t="n">
        <v>0.13</v>
      </c>
      <c r="N424" s="5" t="n">
        <v>0.12</v>
      </c>
    </row>
    <row r="425">
      <c r="A425" t="n">
        <v>424</v>
      </c>
      <c r="B425" t="n">
        <v>2012</v>
      </c>
      <c r="C425" t="inlineStr">
        <is>
          <t>Zeyu (Anne) Xu</t>
        </is>
      </c>
      <c r="D425">
        <f>HYPERLINK("https://ota.tournamentsoftware.com/player-profile/7D4E0E2F-DC2C-4911-BF16-A07E84364BB7", "Link")</f>
        <v/>
      </c>
      <c r="E425" s="3" t="n">
        <v>114.765</v>
      </c>
      <c r="F425" s="4" t="n">
        <v>12</v>
      </c>
      <c r="G425" t="inlineStr">
        <is>
          <t>British Columbia</t>
        </is>
      </c>
      <c r="H425" t="inlineStr">
        <is>
          <t>Tennis BC Hub @ Richmond</t>
        </is>
      </c>
      <c r="I425" t="n">
        <v>39.6</v>
      </c>
      <c r="J425" s="4" t="n">
        <v>109</v>
      </c>
      <c r="K425" t="inlineStr">
        <is>
          <t>26 / 83</t>
        </is>
      </c>
      <c r="L425" t="inlineStr">
        <is>
          <t>4 / 13</t>
        </is>
      </c>
      <c r="M425" s="5" t="n">
        <v>0.24</v>
      </c>
      <c r="N425" s="5" t="n">
        <v>0.24</v>
      </c>
    </row>
    <row r="426">
      <c r="A426" t="n">
        <v>425</v>
      </c>
      <c r="B426" t="n">
        <v>2014</v>
      </c>
      <c r="C426" t="inlineStr">
        <is>
          <t>SOFIA LUCKY</t>
        </is>
      </c>
      <c r="D426">
        <f>HYPERLINK("https://ota.tournamentsoftware.com/player-profile/9A590660-3C23-4CD7-A9AF-30CC3227EC17", "Link")</f>
        <v/>
      </c>
      <c r="E426" s="3" t="n">
        <v>114.275</v>
      </c>
      <c r="F426" s="4" t="n">
        <v>12</v>
      </c>
      <c r="G426" t="inlineStr">
        <is>
          <t>Tennis Québec</t>
        </is>
      </c>
      <c r="H426" t="inlineStr">
        <is>
          <t>Académie de tennis UNI(T)</t>
        </is>
      </c>
      <c r="I426" t="n">
        <v>38.1</v>
      </c>
      <c r="J426" s="4" t="n">
        <v>83</v>
      </c>
      <c r="K426" t="inlineStr">
        <is>
          <t>30 / 53</t>
        </is>
      </c>
      <c r="L426" t="inlineStr">
        <is>
          <t>9 / 8</t>
        </is>
      </c>
      <c r="M426" s="5" t="n">
        <v>0.36</v>
      </c>
      <c r="N426" s="5" t="n">
        <v>0.53</v>
      </c>
    </row>
    <row r="427">
      <c r="A427" t="n">
        <v>426</v>
      </c>
      <c r="B427" t="n">
        <v>2012</v>
      </c>
      <c r="C427" t="inlineStr">
        <is>
          <t>Jessica Li</t>
        </is>
      </c>
      <c r="D427">
        <f>HYPERLINK("https://ota.tournamentsoftware.com/player-profile/9F51CCE2-07F1-48BF-B635-CE7622769243", "Link")</f>
        <v/>
      </c>
      <c r="E427" s="3" t="n">
        <v>113.739</v>
      </c>
      <c r="F427" s="4" t="n">
        <v>10</v>
      </c>
      <c r="G427" t="inlineStr">
        <is>
          <t>Ontario Tennis Association</t>
        </is>
      </c>
      <c r="H427" t="inlineStr">
        <is>
          <t>Markham Tennis Club</t>
        </is>
      </c>
      <c r="I427" t="inlineStr">
        <is>
          <t>unavailable</t>
        </is>
      </c>
      <c r="J427" s="4" t="n">
        <v>53</v>
      </c>
      <c r="K427" t="inlineStr">
        <is>
          <t>24 / 29</t>
        </is>
      </c>
      <c r="L427" t="inlineStr">
        <is>
          <t>6 / 7</t>
        </is>
      </c>
      <c r="M427" s="5" t="n">
        <v>0.45</v>
      </c>
      <c r="N427" s="5" t="n">
        <v>0.46</v>
      </c>
    </row>
    <row r="428">
      <c r="A428" t="n">
        <v>427</v>
      </c>
      <c r="B428" t="n">
        <v>2015</v>
      </c>
      <c r="C428" t="inlineStr">
        <is>
          <t>Allison Penev</t>
        </is>
      </c>
      <c r="D428">
        <f>HYPERLINK("https://ota.tournamentsoftware.com/player-profile/C34C7D86-0233-454A-9C07-62AD41AF32CE", "Link")</f>
        <v/>
      </c>
      <c r="E428" s="3" t="n">
        <v>113.541</v>
      </c>
      <c r="F428" s="4" t="n">
        <v>18</v>
      </c>
      <c r="G428" t="inlineStr">
        <is>
          <t>Tennis Québec</t>
        </is>
      </c>
      <c r="H428" t="inlineStr">
        <is>
          <t>Carrefour Multisports</t>
        </is>
      </c>
      <c r="I428" t="n">
        <v>39.2</v>
      </c>
      <c r="J428" s="4" t="n">
        <v>149</v>
      </c>
      <c r="K428" t="inlineStr">
        <is>
          <t>64 / 85</t>
        </is>
      </c>
      <c r="L428" t="inlineStr">
        <is>
          <t>6 / 15</t>
        </is>
      </c>
      <c r="M428" s="5" t="n">
        <v>0.43</v>
      </c>
      <c r="N428" s="5" t="n">
        <v>0.29</v>
      </c>
    </row>
    <row r="429">
      <c r="A429" t="n">
        <v>428</v>
      </c>
      <c r="B429" t="n">
        <v>2015</v>
      </c>
      <c r="C429" t="inlineStr">
        <is>
          <t>Misia Ania Pietras</t>
        </is>
      </c>
      <c r="D429">
        <f>HYPERLINK("https://ota.tournamentsoftware.com/player-profile/81A2D044-B79D-4C29-B0B3-9E7AF48F2811", "Link")</f>
        <v/>
      </c>
      <c r="E429" s="3" t="n">
        <v>113.264</v>
      </c>
      <c r="F429" s="4" t="n">
        <v>15</v>
      </c>
      <c r="G429" t="inlineStr">
        <is>
          <t>Ontario Tennis Association</t>
        </is>
      </c>
      <c r="H429" t="inlineStr">
        <is>
          <t>The Tennis School</t>
        </is>
      </c>
      <c r="I429" t="n">
        <v>37.7</v>
      </c>
      <c r="J429" s="4" t="n">
        <v>56</v>
      </c>
      <c r="K429" t="inlineStr">
        <is>
          <t>32 / 24</t>
        </is>
      </c>
      <c r="L429" t="inlineStr">
        <is>
          <t>15 / 9</t>
        </is>
      </c>
      <c r="M429" s="5" t="n">
        <v>0.57</v>
      </c>
      <c r="N429" s="5" t="n">
        <v>0.62</v>
      </c>
    </row>
    <row r="430">
      <c r="A430" t="n">
        <v>429</v>
      </c>
      <c r="B430" t="n">
        <v>2012</v>
      </c>
      <c r="C430" t="inlineStr">
        <is>
          <t>Myra Chowdhary</t>
        </is>
      </c>
      <c r="D430">
        <f>HYPERLINK("https://ota.tournamentsoftware.com/player-profile/CE7139B1-580D-4EF4-A747-D0E1E897EAFB", "Link")</f>
        <v/>
      </c>
      <c r="E430" s="3" t="n">
        <v>113.024</v>
      </c>
      <c r="F430" s="4" t="n">
        <v>7</v>
      </c>
      <c r="G430" t="inlineStr">
        <is>
          <t>Ontario Tennis Association</t>
        </is>
      </c>
      <c r="H430" t="inlineStr">
        <is>
          <t>Youngs Sportsplex</t>
        </is>
      </c>
      <c r="I430" t="n">
        <v>40</v>
      </c>
      <c r="J430" s="4" t="n">
        <v>36</v>
      </c>
      <c r="K430" t="inlineStr">
        <is>
          <t>12 / 24</t>
        </is>
      </c>
      <c r="L430" t="inlineStr">
        <is>
          <t>4 / 8</t>
        </is>
      </c>
      <c r="M430" s="5" t="n">
        <v>0.33</v>
      </c>
      <c r="N430" s="5" t="n">
        <v>0.33</v>
      </c>
    </row>
    <row r="431">
      <c r="A431" t="n">
        <v>430</v>
      </c>
      <c r="B431" t="n">
        <v>2014</v>
      </c>
      <c r="C431" t="inlineStr">
        <is>
          <t>Maxine Andrea Subsuban</t>
        </is>
      </c>
      <c r="D431">
        <f>HYPERLINK("https://ota.tournamentsoftware.com/player-profile/330D8089-39D5-4A22-8596-8BAAF8D4E02E", "Link")</f>
        <v/>
      </c>
      <c r="E431" s="3" t="n">
        <v>112.585</v>
      </c>
      <c r="F431" s="4" t="n">
        <v>9</v>
      </c>
      <c r="G431" t="inlineStr">
        <is>
          <t>Tennis Alberta</t>
        </is>
      </c>
      <c r="H431" t="inlineStr">
        <is>
          <t>Osten &amp; Victor Alberta Tennis Centre</t>
        </is>
      </c>
      <c r="I431" t="inlineStr">
        <is>
          <t>unavailable</t>
        </is>
      </c>
      <c r="J431" s="4" t="n">
        <v>100</v>
      </c>
      <c r="K431" t="inlineStr">
        <is>
          <t>40 / 60</t>
        </is>
      </c>
      <c r="L431" t="inlineStr">
        <is>
          <t>6 / 9</t>
        </is>
      </c>
      <c r="M431" s="5" t="n">
        <v>0.4</v>
      </c>
      <c r="N431" s="5" t="n">
        <v>0.4</v>
      </c>
    </row>
    <row r="432">
      <c r="A432" t="n">
        <v>431</v>
      </c>
      <c r="B432" t="n">
        <v>2015</v>
      </c>
      <c r="C432" t="inlineStr">
        <is>
          <t>Arianna Marquez</t>
        </is>
      </c>
      <c r="D432">
        <f>HYPERLINK("https://ota.tournamentsoftware.com/player-profile/ABB23AE3-6EC2-498B-AA4D-BB89BCBF0088", "Link")</f>
        <v/>
      </c>
      <c r="E432" s="3" t="n">
        <v>112.229</v>
      </c>
      <c r="F432" s="4" t="n">
        <v>15</v>
      </c>
      <c r="G432" t="inlineStr">
        <is>
          <t>Tennis Alberta</t>
        </is>
      </c>
      <c r="H432" t="inlineStr">
        <is>
          <t>Saville Community Sports Centre</t>
        </is>
      </c>
      <c r="I432" t="n">
        <v>38</v>
      </c>
      <c r="J432" s="4" t="n">
        <v>138</v>
      </c>
      <c r="K432" t="inlineStr">
        <is>
          <t>88 / 50</t>
        </is>
      </c>
      <c r="L432" t="inlineStr">
        <is>
          <t>12 / 16</t>
        </is>
      </c>
      <c r="M432" s="5" t="n">
        <v>0.64</v>
      </c>
      <c r="N432" s="5" t="n">
        <v>0.43</v>
      </c>
    </row>
    <row r="433">
      <c r="A433" t="n">
        <v>432</v>
      </c>
      <c r="B433" t="n">
        <v>2015</v>
      </c>
      <c r="C433" t="inlineStr">
        <is>
          <t>Vera Toptounov</t>
        </is>
      </c>
      <c r="D433">
        <f>HYPERLINK("https://ota.tournamentsoftware.com/player-profile/6AC05446-ED22-406D-9460-F30F3FC8B16B", "Link")</f>
        <v/>
      </c>
      <c r="E433" s="3" t="n">
        <v>111.133</v>
      </c>
      <c r="F433" s="4" t="n">
        <v>16</v>
      </c>
      <c r="G433" t="inlineStr">
        <is>
          <t>Ontario Tennis Association</t>
        </is>
      </c>
      <c r="H433" t="inlineStr">
        <is>
          <t>SmartVMC Racquetsports by ACE</t>
        </is>
      </c>
      <c r="I433" t="n">
        <v>38.4</v>
      </c>
      <c r="J433" s="4" t="n">
        <v>99</v>
      </c>
      <c r="K433" t="inlineStr">
        <is>
          <t>43 / 56</t>
        </is>
      </c>
      <c r="L433" t="inlineStr">
        <is>
          <t>9 / 12</t>
        </is>
      </c>
      <c r="M433" s="5" t="n">
        <v>0.43</v>
      </c>
      <c r="N433" s="5" t="n">
        <v>0.43</v>
      </c>
    </row>
    <row r="434">
      <c r="A434" t="n">
        <v>433</v>
      </c>
      <c r="B434" t="n">
        <v>2013</v>
      </c>
      <c r="C434" t="inlineStr">
        <is>
          <t>LeeZann Lai</t>
        </is>
      </c>
      <c r="D434">
        <f>HYPERLINK("https://ota.tournamentsoftware.com/player-profile/F653FB3B-D606-4799-98B3-B9B8F7D1D120", "Link")</f>
        <v/>
      </c>
      <c r="E434" s="3" t="n">
        <v>110.16</v>
      </c>
      <c r="F434" s="4" t="n">
        <v>14</v>
      </c>
      <c r="G434" t="inlineStr">
        <is>
          <t>Ontario Tennis Association</t>
        </is>
      </c>
      <c r="H434" t="inlineStr">
        <is>
          <t>Don Mills Tennis Club</t>
        </is>
      </c>
      <c r="I434" t="n">
        <v>38.7</v>
      </c>
      <c r="J434" s="4" t="n">
        <v>53</v>
      </c>
      <c r="K434" t="inlineStr">
        <is>
          <t>22 / 31</t>
        </is>
      </c>
      <c r="L434" t="inlineStr">
        <is>
          <t>6 / 11</t>
        </is>
      </c>
      <c r="M434" s="5" t="n">
        <v>0.42</v>
      </c>
      <c r="N434" s="5" t="n">
        <v>0.35</v>
      </c>
    </row>
    <row r="435">
      <c r="A435" t="n">
        <v>434</v>
      </c>
      <c r="B435" t="n">
        <v>2015</v>
      </c>
      <c r="C435" t="inlineStr">
        <is>
          <t>Namasya Nakul</t>
        </is>
      </c>
      <c r="D435">
        <f>HYPERLINK("https://ota.tournamentsoftware.com/player-profile/30AB6566-4805-4DA5-90A9-E6D59F3D0D64", "Link")</f>
        <v/>
      </c>
      <c r="E435" s="3" t="n">
        <v>109.619</v>
      </c>
      <c r="F435" s="4" t="n">
        <v>17</v>
      </c>
      <c r="G435" t="inlineStr">
        <is>
          <t>British Columbia</t>
        </is>
      </c>
      <c r="H435" t="inlineStr">
        <is>
          <t>Richmond Country Club</t>
        </is>
      </c>
      <c r="I435" t="n">
        <v>37.4</v>
      </c>
      <c r="J435" s="4" t="n">
        <v>113</v>
      </c>
      <c r="K435" t="inlineStr">
        <is>
          <t>61 / 52</t>
        </is>
      </c>
      <c r="L435" t="inlineStr">
        <is>
          <t>21 / 16</t>
        </is>
      </c>
      <c r="M435" s="5" t="n">
        <v>0.54</v>
      </c>
      <c r="N435" s="5" t="n">
        <v>0.57</v>
      </c>
    </row>
    <row r="436">
      <c r="A436" t="n">
        <v>435</v>
      </c>
      <c r="B436" t="n">
        <v>2015</v>
      </c>
      <c r="C436" t="inlineStr">
        <is>
          <t>Anya De Lain</t>
        </is>
      </c>
      <c r="D436">
        <f>HYPERLINK("https://ota.tournamentsoftware.com/player-profile/563B79E2-A8FE-4D68-B224-8FB6861F2D7F", "Link")</f>
        <v/>
      </c>
      <c r="E436" s="3" t="n">
        <v>108.314</v>
      </c>
      <c r="F436" s="4" t="n">
        <v>11</v>
      </c>
      <c r="G436" t="inlineStr">
        <is>
          <t>Tennis Québec</t>
        </is>
      </c>
      <c r="H436" t="inlineStr">
        <is>
          <t>EB Tennis inc.</t>
        </is>
      </c>
      <c r="I436" t="n">
        <v>40</v>
      </c>
      <c r="J436" s="4" t="n">
        <v>87</v>
      </c>
      <c r="K436" t="inlineStr">
        <is>
          <t>16 / 71</t>
        </is>
      </c>
      <c r="L436" t="inlineStr">
        <is>
          <t>2 / 15</t>
        </is>
      </c>
      <c r="M436" s="5" t="n">
        <v>0.18</v>
      </c>
      <c r="N436" s="5" t="n">
        <v>0.12</v>
      </c>
    </row>
    <row r="437">
      <c r="A437" t="n">
        <v>436</v>
      </c>
      <c r="B437" t="n">
        <v>2014</v>
      </c>
      <c r="C437" t="inlineStr">
        <is>
          <t>Sonia Leung</t>
        </is>
      </c>
      <c r="D437">
        <f>HYPERLINK("https://ota.tournamentsoftware.com/player-profile/CCA302B0-3E0B-42DA-BCF9-B1A9AF0035E5", "Link")</f>
        <v/>
      </c>
      <c r="E437" s="3" t="n">
        <v>108</v>
      </c>
      <c r="F437" s="4" t="n">
        <v>16</v>
      </c>
      <c r="G437" t="inlineStr">
        <is>
          <t>Ontario Tennis Association</t>
        </is>
      </c>
      <c r="H437" t="inlineStr">
        <is>
          <t>Toronto Tennis Academy</t>
        </is>
      </c>
      <c r="I437" t="n">
        <v>38</v>
      </c>
      <c r="J437" s="4" t="n">
        <v>55</v>
      </c>
      <c r="K437" t="inlineStr">
        <is>
          <t>25 / 30</t>
        </is>
      </c>
      <c r="L437" t="inlineStr">
        <is>
          <t>16 / 10</t>
        </is>
      </c>
      <c r="M437" s="5" t="n">
        <v>0.45</v>
      </c>
      <c r="N437" s="5" t="n">
        <v>0.62</v>
      </c>
    </row>
    <row r="438">
      <c r="A438" t="n">
        <v>437</v>
      </c>
      <c r="B438" t="n">
        <v>2014</v>
      </c>
      <c r="C438" t="inlineStr">
        <is>
          <t>SHANAYA CHAUDHARY</t>
        </is>
      </c>
      <c r="D438">
        <f>HYPERLINK("https://ota.tournamentsoftware.com/player-profile/72814258-2663-4B9E-9EB1-0A804D79578E", "Link")</f>
        <v/>
      </c>
      <c r="E438" s="3" t="n">
        <v>107.581</v>
      </c>
      <c r="F438" s="4" t="n">
        <v>8</v>
      </c>
      <c r="G438" t="inlineStr">
        <is>
          <t>Ontario Tennis Association</t>
        </is>
      </c>
      <c r="H438" t="inlineStr">
        <is>
          <t>Waterloo Tennis Club</t>
        </is>
      </c>
      <c r="I438" t="inlineStr">
        <is>
          <t>unavailable</t>
        </is>
      </c>
      <c r="J438" s="4" t="n">
        <v>20</v>
      </c>
      <c r="K438" t="inlineStr">
        <is>
          <t>13 / 7</t>
        </is>
      </c>
      <c r="L438" t="inlineStr">
        <is>
          <t>9 / 4</t>
        </is>
      </c>
      <c r="M438" s="5" t="n">
        <v>0.65</v>
      </c>
      <c r="N438" s="5" t="n">
        <v>0.6899999999999999</v>
      </c>
    </row>
    <row r="439">
      <c r="A439" t="n">
        <v>438</v>
      </c>
      <c r="B439" t="n">
        <v>2013</v>
      </c>
      <c r="C439" t="inlineStr">
        <is>
          <t>Stella Marion Thoms</t>
        </is>
      </c>
      <c r="D439">
        <f>HYPERLINK("https://ota.tournamentsoftware.com/player-profile/26731833-04E0-4736-BC60-733715112E5E", "Link")</f>
        <v/>
      </c>
      <c r="E439" s="3" t="n">
        <v>107.437</v>
      </c>
      <c r="F439" s="4" t="n">
        <v>6</v>
      </c>
      <c r="G439" t="inlineStr">
        <is>
          <t>Tennis Newfoundland &amp; Labrador</t>
        </is>
      </c>
      <c r="H439" t="inlineStr">
        <is>
          <t>Riverdale Tennis Club</t>
        </is>
      </c>
      <c r="I439" t="n">
        <v>35.3</v>
      </c>
      <c r="J439" s="4" t="n">
        <v>44</v>
      </c>
      <c r="K439" t="inlineStr">
        <is>
          <t>25 / 19</t>
        </is>
      </c>
      <c r="L439" t="inlineStr">
        <is>
          <t>5 / 7</t>
        </is>
      </c>
      <c r="M439" s="5" t="n">
        <v>0.57</v>
      </c>
      <c r="N439" s="5" t="n">
        <v>0.42</v>
      </c>
    </row>
    <row r="440">
      <c r="A440" t="n">
        <v>439</v>
      </c>
      <c r="B440" t="n">
        <v>2014</v>
      </c>
      <c r="C440" t="inlineStr">
        <is>
          <t>Emily Ke</t>
        </is>
      </c>
      <c r="D440">
        <f>HYPERLINK("https://ota.tournamentsoftware.com/player-profile/D0843107-5FBA-4EB4-8781-B60B5E7E1319", "Link")</f>
        <v/>
      </c>
      <c r="E440" s="3" t="n">
        <v>107.414</v>
      </c>
      <c r="F440" s="4" t="n">
        <v>17</v>
      </c>
      <c r="G440" t="inlineStr">
        <is>
          <t>Ontario Tennis Association</t>
        </is>
      </c>
      <c r="H440" t="inlineStr">
        <is>
          <t>Mayfair East Racquet Club</t>
        </is>
      </c>
      <c r="I440" t="n">
        <v>39.1</v>
      </c>
      <c r="J440" s="4" t="n">
        <v>106</v>
      </c>
      <c r="K440" t="inlineStr">
        <is>
          <t>36 / 70</t>
        </is>
      </c>
      <c r="L440" t="inlineStr">
        <is>
          <t>2 / 6</t>
        </is>
      </c>
      <c r="M440" s="5" t="n">
        <v>0.34</v>
      </c>
      <c r="N440" s="5" t="n">
        <v>0.25</v>
      </c>
    </row>
    <row r="441">
      <c r="A441" t="n">
        <v>440</v>
      </c>
      <c r="B441" t="n">
        <v>2017</v>
      </c>
      <c r="C441" t="inlineStr">
        <is>
          <t>Yuetwing, Doris Li</t>
        </is>
      </c>
      <c r="D441">
        <f>HYPERLINK("https://ota.tournamentsoftware.com/player-profile/C901A65F-E3DE-47DE-A4BC-21149FEBA20C", "Link")</f>
        <v/>
      </c>
      <c r="E441" s="3" t="n">
        <v>107</v>
      </c>
      <c r="F441" s="4" t="n">
        <v>3</v>
      </c>
      <c r="G441" t="inlineStr">
        <is>
          <t>Ontario Tennis Association</t>
        </is>
      </c>
      <c r="H441" t="inlineStr">
        <is>
          <t>No Club</t>
        </is>
      </c>
      <c r="I441" t="n">
        <v>34.2</v>
      </c>
      <c r="J441" s="4" t="n">
        <v>14</v>
      </c>
      <c r="K441" t="inlineStr">
        <is>
          <t>14 / 0</t>
        </is>
      </c>
      <c r="L441" t="inlineStr">
        <is>
          <t>10 / 0</t>
        </is>
      </c>
      <c r="M441" s="5" t="n">
        <v>1</v>
      </c>
      <c r="N441" s="5" t="n">
        <v>1</v>
      </c>
    </row>
    <row r="442">
      <c r="A442" t="n">
        <v>441</v>
      </c>
      <c r="B442" t="n">
        <v>2015</v>
      </c>
      <c r="C442" t="inlineStr">
        <is>
          <t>Emma Lucenti</t>
        </is>
      </c>
      <c r="D442">
        <f>HYPERLINK("https://ota.tournamentsoftware.com/player-profile/F174A813-5F1A-4B24-BDFF-B6E6160FE2EB", "Link")</f>
        <v/>
      </c>
      <c r="E442" s="3" t="n">
        <v>106.843</v>
      </c>
      <c r="F442" s="4" t="n">
        <v>9</v>
      </c>
      <c r="G442" t="inlineStr">
        <is>
          <t>Ontario Tennis Association</t>
        </is>
      </c>
      <c r="H442" t="inlineStr">
        <is>
          <t>SmartVMC Racquetsports by ACE</t>
        </is>
      </c>
      <c r="I442" t="n">
        <v>38.2</v>
      </c>
      <c r="J442" s="4" t="n">
        <v>80</v>
      </c>
      <c r="K442" t="inlineStr">
        <is>
          <t>28 / 52</t>
        </is>
      </c>
      <c r="L442" t="inlineStr">
        <is>
          <t>7 / 10</t>
        </is>
      </c>
      <c r="M442" s="5" t="n">
        <v>0.35</v>
      </c>
      <c r="N442" s="5" t="n">
        <v>0.41</v>
      </c>
    </row>
    <row r="443">
      <c r="A443" t="n">
        <v>442</v>
      </c>
      <c r="B443" t="n">
        <v>2014</v>
      </c>
      <c r="C443" t="inlineStr">
        <is>
          <t>Bella Beiqi Zhao</t>
        </is>
      </c>
      <c r="D443">
        <f>HYPERLINK("https://ota.tournamentsoftware.com/player-profile/440C1FD3-B189-4153-99D4-C9B6B43D7D03", "Link")</f>
        <v/>
      </c>
      <c r="E443" s="3" t="n">
        <v>105.824</v>
      </c>
      <c r="F443" s="4" t="n">
        <v>29</v>
      </c>
      <c r="G443" t="inlineStr">
        <is>
          <t>British Columbia</t>
        </is>
      </c>
      <c r="H443" t="inlineStr">
        <is>
          <t>No Club</t>
        </is>
      </c>
      <c r="I443" t="n">
        <v>37.7</v>
      </c>
      <c r="J443" s="4" t="n">
        <v>202</v>
      </c>
      <c r="K443" t="inlineStr">
        <is>
          <t>81 / 121</t>
        </is>
      </c>
      <c r="L443" t="inlineStr">
        <is>
          <t>19 / 21</t>
        </is>
      </c>
      <c r="M443" s="5" t="n">
        <v>0.4</v>
      </c>
      <c r="N443" s="5" t="n">
        <v>0.47</v>
      </c>
    </row>
    <row r="444">
      <c r="A444" t="n">
        <v>443</v>
      </c>
      <c r="B444" t="n">
        <v>2014</v>
      </c>
      <c r="C444" t="inlineStr">
        <is>
          <t>Abigail Curilscaia</t>
        </is>
      </c>
      <c r="D444">
        <f>HYPERLINK("https://ota.tournamentsoftware.com/player-profile/275CB740-D9DB-4B51-8864-93A2F0D91A3B", "Link")</f>
        <v/>
      </c>
      <c r="E444" s="3" t="n">
        <v>105.422</v>
      </c>
      <c r="F444" s="4" t="n">
        <v>13</v>
      </c>
      <c r="G444" t="inlineStr">
        <is>
          <t>Tennis Alberta</t>
        </is>
      </c>
      <c r="H444" t="inlineStr">
        <is>
          <t>Aforza</t>
        </is>
      </c>
      <c r="I444" t="n">
        <v>36.7</v>
      </c>
      <c r="J444" s="4" t="n">
        <v>88</v>
      </c>
      <c r="K444" t="inlineStr">
        <is>
          <t>38 / 50</t>
        </is>
      </c>
      <c r="L444" t="inlineStr">
        <is>
          <t>15 / 9</t>
        </is>
      </c>
      <c r="M444" s="5" t="n">
        <v>0.43</v>
      </c>
      <c r="N444" s="5" t="n">
        <v>0.62</v>
      </c>
    </row>
    <row r="445">
      <c r="A445" t="n">
        <v>444</v>
      </c>
      <c r="B445" t="n">
        <v>2014</v>
      </c>
      <c r="C445" t="inlineStr">
        <is>
          <t>Jaynaëlle Isaac</t>
        </is>
      </c>
      <c r="D445">
        <f>HYPERLINK("https://ota.tournamentsoftware.com/player-profile/6748F07C-41D2-4D26-87D9-8636B60DC389", "Link")</f>
        <v/>
      </c>
      <c r="E445" s="3" t="n">
        <v>105.164</v>
      </c>
      <c r="F445" s="4" t="n">
        <v>9</v>
      </c>
      <c r="G445" t="inlineStr">
        <is>
          <t>Tennis Québec</t>
        </is>
      </c>
      <c r="H445" t="inlineStr">
        <is>
          <t>No Club</t>
        </is>
      </c>
      <c r="I445" t="n">
        <v>36.7</v>
      </c>
      <c r="J445" s="4" t="n">
        <v>123</v>
      </c>
      <c r="K445" t="inlineStr">
        <is>
          <t>49 / 74</t>
        </is>
      </c>
      <c r="L445" t="inlineStr">
        <is>
          <t>9 / 10</t>
        </is>
      </c>
      <c r="M445" s="5" t="n">
        <v>0.4</v>
      </c>
      <c r="N445" s="5" t="n">
        <v>0.47</v>
      </c>
    </row>
    <row r="446">
      <c r="A446" t="n">
        <v>445</v>
      </c>
      <c r="B446" t="n">
        <v>2013</v>
      </c>
      <c r="C446" t="inlineStr">
        <is>
          <t>Sofia Anne Brunetto</t>
        </is>
      </c>
      <c r="D446">
        <f>HYPERLINK("https://ota.tournamentsoftware.com/player-profile/C2843F1F-C701-4853-A79C-051450F19D77", "Link")</f>
        <v/>
      </c>
      <c r="E446" s="3" t="n">
        <v>104.939</v>
      </c>
      <c r="F446" s="4" t="n">
        <v>7</v>
      </c>
      <c r="G446" t="inlineStr">
        <is>
          <t>Ontario Tennis Association</t>
        </is>
      </c>
      <c r="H446" t="inlineStr">
        <is>
          <t>Zekelman Tennis Centre</t>
        </is>
      </c>
      <c r="I446" t="n">
        <v>36.4</v>
      </c>
      <c r="J446" s="4" t="n">
        <v>19</v>
      </c>
      <c r="K446" t="inlineStr">
        <is>
          <t>8 / 11</t>
        </is>
      </c>
      <c r="L446" t="inlineStr">
        <is>
          <t>3 / 6</t>
        </is>
      </c>
      <c r="M446" s="5" t="n">
        <v>0.42</v>
      </c>
      <c r="N446" s="5" t="n">
        <v>0.33</v>
      </c>
    </row>
    <row r="447">
      <c r="A447" t="n">
        <v>446</v>
      </c>
      <c r="B447" t="n">
        <v>2013</v>
      </c>
      <c r="C447" t="inlineStr">
        <is>
          <t>LEAH SHOJAIE</t>
        </is>
      </c>
      <c r="D447">
        <f>HYPERLINK("https://ota.tournamentsoftware.com/player-profile/A1DEEE7E-F9FE-4AA1-9DCF-5A3FDD2E189E", "Link")</f>
        <v/>
      </c>
      <c r="E447" s="3" t="n">
        <v>103.896</v>
      </c>
      <c r="F447" s="4" t="n">
        <v>8</v>
      </c>
      <c r="G447" t="inlineStr">
        <is>
          <t>Ontario Tennis Association</t>
        </is>
      </c>
      <c r="H447" t="inlineStr">
        <is>
          <t>Valan Tennis Academy</t>
        </is>
      </c>
      <c r="I447" t="n">
        <v>39.6</v>
      </c>
      <c r="J447" s="4" t="n">
        <v>12</v>
      </c>
      <c r="K447" t="inlineStr">
        <is>
          <t>3 / 9</t>
        </is>
      </c>
      <c r="L447" t="inlineStr">
        <is>
          <t>3 / 9</t>
        </is>
      </c>
      <c r="M447" s="5" t="n">
        <v>0.25</v>
      </c>
      <c r="N447" s="5" t="n">
        <v>0.25</v>
      </c>
    </row>
    <row r="448">
      <c r="A448" t="n">
        <v>447</v>
      </c>
      <c r="B448" t="n">
        <v>2013</v>
      </c>
      <c r="C448" t="inlineStr">
        <is>
          <t>Kate Penalba</t>
        </is>
      </c>
      <c r="D448">
        <f>HYPERLINK("https://ota.tournamentsoftware.com/player-profile/C3F08CFB-765E-4234-8D01-16CB3E717037", "Link")</f>
        <v/>
      </c>
      <c r="E448" s="3" t="n">
        <v>103.471</v>
      </c>
      <c r="F448" s="4" t="n">
        <v>12</v>
      </c>
      <c r="G448" t="inlineStr">
        <is>
          <t>Ontario Tennis Association</t>
        </is>
      </c>
      <c r="H448" t="inlineStr">
        <is>
          <t>Henry Farm Tennis Club</t>
        </is>
      </c>
      <c r="I448" t="n">
        <v>38.2</v>
      </c>
      <c r="J448" s="4" t="n">
        <v>117</v>
      </c>
      <c r="K448" t="inlineStr">
        <is>
          <t>48 / 69</t>
        </is>
      </c>
      <c r="L448" t="inlineStr">
        <is>
          <t>6 / 10</t>
        </is>
      </c>
      <c r="M448" s="5" t="n">
        <v>0.41</v>
      </c>
      <c r="N448" s="5" t="n">
        <v>0.38</v>
      </c>
    </row>
    <row r="449">
      <c r="A449" t="n">
        <v>448</v>
      </c>
      <c r="B449" t="n">
        <v>2014</v>
      </c>
      <c r="C449" t="inlineStr">
        <is>
          <t>Ananya Rao</t>
        </is>
      </c>
      <c r="D449">
        <f>HYPERLINK("https://ota.tournamentsoftware.com/player-profile/D12578BD-BDAF-471D-B53C-09B281C916CB", "Link")</f>
        <v/>
      </c>
      <c r="E449" s="3" t="n">
        <v>102.512</v>
      </c>
      <c r="F449" s="4" t="n">
        <v>17</v>
      </c>
      <c r="G449" t="inlineStr">
        <is>
          <t>Ontario Tennis Association</t>
        </is>
      </c>
      <c r="H449" t="inlineStr">
        <is>
          <t>Carleton Tennis Centre</t>
        </is>
      </c>
      <c r="I449" t="n">
        <v>39.2</v>
      </c>
      <c r="J449" s="4" t="n">
        <v>93</v>
      </c>
      <c r="K449" t="inlineStr">
        <is>
          <t>29 / 64</t>
        </is>
      </c>
      <c r="L449" t="inlineStr">
        <is>
          <t>6 / 9</t>
        </is>
      </c>
      <c r="M449" s="5" t="n">
        <v>0.31</v>
      </c>
      <c r="N449" s="5" t="n">
        <v>0.4</v>
      </c>
    </row>
    <row r="450">
      <c r="A450" t="n">
        <v>449</v>
      </c>
      <c r="B450" t="n">
        <v>2014</v>
      </c>
      <c r="C450" t="inlineStr">
        <is>
          <t>Scarlett Habeebkutty</t>
        </is>
      </c>
      <c r="D450">
        <f>HYPERLINK("https://ota.tournamentsoftware.com/player-profile/B3E7011D-10BF-4CEB-9D49-F24BAE1BE1A2", "Link")</f>
        <v/>
      </c>
      <c r="E450" s="3" t="n">
        <v>102.277</v>
      </c>
      <c r="F450" s="4" t="n">
        <v>5</v>
      </c>
      <c r="G450" t="inlineStr">
        <is>
          <t>Tennis Saskatchewan</t>
        </is>
      </c>
      <c r="H450" t="inlineStr">
        <is>
          <t>Lakeshore Tennis Club</t>
        </is>
      </c>
      <c r="I450" t="n">
        <v>40</v>
      </c>
      <c r="J450" s="4" t="n">
        <v>14</v>
      </c>
      <c r="K450" t="inlineStr">
        <is>
          <t>0 / 14</t>
        </is>
      </c>
      <c r="L450" t="inlineStr">
        <is>
          <t>0 / 14</t>
        </is>
      </c>
      <c r="M450" s="5" t="n">
        <v>0</v>
      </c>
      <c r="N450" s="5" t="n">
        <v>0</v>
      </c>
    </row>
    <row r="451">
      <c r="A451" t="n">
        <v>450</v>
      </c>
      <c r="B451" t="n">
        <v>2015</v>
      </c>
      <c r="C451" t="inlineStr">
        <is>
          <t>Sofia Nasrallah</t>
        </is>
      </c>
      <c r="D451">
        <f>HYPERLINK("https://ota.tournamentsoftware.com/player-profile/FAA88C80-170D-40C3-8A88-6B81077D1F02", "Link")</f>
        <v/>
      </c>
      <c r="E451" s="3" t="n">
        <v>102.129</v>
      </c>
      <c r="F451" s="4" t="n">
        <v>22</v>
      </c>
      <c r="G451" t="inlineStr">
        <is>
          <t>Tennis Québec</t>
        </is>
      </c>
      <c r="H451" t="inlineStr">
        <is>
          <t>Carrefour Multisports</t>
        </is>
      </c>
      <c r="I451" t="n">
        <v>39.9</v>
      </c>
      <c r="J451" s="4" t="n">
        <v>153</v>
      </c>
      <c r="K451" t="inlineStr">
        <is>
          <t>52 / 101</t>
        </is>
      </c>
      <c r="L451" t="inlineStr">
        <is>
          <t>9 / 18</t>
        </is>
      </c>
      <c r="M451" s="5" t="n">
        <v>0.34</v>
      </c>
      <c r="N451" s="5" t="n">
        <v>0.33</v>
      </c>
    </row>
    <row r="452">
      <c r="A452" t="n">
        <v>451</v>
      </c>
      <c r="B452" t="n">
        <v>2013</v>
      </c>
      <c r="C452" t="inlineStr">
        <is>
          <t>Aditi Varma</t>
        </is>
      </c>
      <c r="D452">
        <f>HYPERLINK("https://ota.tournamentsoftware.com/player-profile/EE1E4950-6BCE-4CAA-921A-C5201D737DFF", "Link")</f>
        <v/>
      </c>
      <c r="E452" s="3" t="n">
        <v>101.941</v>
      </c>
      <c r="F452" s="4" t="n">
        <v>11</v>
      </c>
      <c r="G452" t="inlineStr">
        <is>
          <t>Ontario Tennis Association</t>
        </is>
      </c>
      <c r="H452" t="inlineStr">
        <is>
          <t>Ontario Racquet Club</t>
        </is>
      </c>
      <c r="I452" t="n">
        <v>38.6</v>
      </c>
      <c r="J452" s="4" t="n">
        <v>87</v>
      </c>
      <c r="K452" t="inlineStr">
        <is>
          <t>26 / 61</t>
        </is>
      </c>
      <c r="L452" t="inlineStr">
        <is>
          <t>2 / 5</t>
        </is>
      </c>
      <c r="M452" s="5" t="n">
        <v>0.3</v>
      </c>
      <c r="N452" s="5" t="n">
        <v>0.29</v>
      </c>
    </row>
    <row r="453">
      <c r="A453" t="n">
        <v>452</v>
      </c>
      <c r="B453" t="n">
        <v>2012</v>
      </c>
      <c r="C453" t="inlineStr">
        <is>
          <t>aashka vishal devaiya</t>
        </is>
      </c>
      <c r="D453">
        <f>HYPERLINK("https://ota.tournamentsoftware.com/player-profile/99C1CB63-E70E-4FB5-A115-3A252251FA67", "Link")</f>
        <v/>
      </c>
      <c r="E453" s="3" t="n">
        <v>100.829</v>
      </c>
      <c r="F453" s="4" t="n">
        <v>1</v>
      </c>
      <c r="G453" t="inlineStr">
        <is>
          <t>British Columbia</t>
        </is>
      </c>
      <c r="H453" t="inlineStr">
        <is>
          <t>No Club</t>
        </is>
      </c>
      <c r="I453" t="inlineStr">
        <is>
          <t>unavailable</t>
        </is>
      </c>
      <c r="J453" s="4" t="n">
        <v>3</v>
      </c>
      <c r="K453" t="inlineStr">
        <is>
          <t>2 / 1</t>
        </is>
      </c>
      <c r="L453" t="inlineStr">
        <is>
          <t>2 / 1</t>
        </is>
      </c>
      <c r="M453" s="5" t="n">
        <v>0.67</v>
      </c>
      <c r="N453" s="5" t="n">
        <v>0.67</v>
      </c>
    </row>
    <row r="454">
      <c r="A454" t="n">
        <v>453</v>
      </c>
      <c r="B454" t="n">
        <v>2014</v>
      </c>
      <c r="C454" t="inlineStr">
        <is>
          <t>Olivia Lee</t>
        </is>
      </c>
      <c r="D454">
        <f>HYPERLINK("https://ota.tournamentsoftware.com/player-profile/DEF89846-A0EF-4373-B8DC-8305F756E612", "Link")</f>
        <v/>
      </c>
      <c r="E454" s="3" t="n">
        <v>100.569</v>
      </c>
      <c r="F454" s="4" t="n">
        <v>23</v>
      </c>
      <c r="G454" t="inlineStr">
        <is>
          <t>Tennis Québec</t>
        </is>
      </c>
      <c r="H454" t="inlineStr">
        <is>
          <t>SANI Sport</t>
        </is>
      </c>
      <c r="I454" t="n">
        <v>39.4</v>
      </c>
      <c r="J454" s="4" t="n">
        <v>108</v>
      </c>
      <c r="K454" t="inlineStr">
        <is>
          <t>40 / 68</t>
        </is>
      </c>
      <c r="L454" t="inlineStr">
        <is>
          <t>10 / 20</t>
        </is>
      </c>
      <c r="M454" s="5" t="n">
        <v>0.37</v>
      </c>
      <c r="N454" s="5" t="n">
        <v>0.33</v>
      </c>
    </row>
    <row r="455">
      <c r="A455" t="n">
        <v>454</v>
      </c>
      <c r="B455" t="n">
        <v>2013</v>
      </c>
      <c r="C455" t="inlineStr">
        <is>
          <t>Allison Zhang</t>
        </is>
      </c>
      <c r="D455">
        <f>HYPERLINK("https://ota.tournamentsoftware.com/player-profile/367FC06F-6D16-4ECA-A1C6-5443CC1A687C", "Link")</f>
        <v/>
      </c>
      <c r="E455" s="3" t="n">
        <v>99.813</v>
      </c>
      <c r="F455" s="4" t="n">
        <v>1</v>
      </c>
      <c r="G455" t="inlineStr">
        <is>
          <t>Tennis Alberta</t>
        </is>
      </c>
      <c r="H455" t="inlineStr">
        <is>
          <t>Osten &amp; Victor Alberta Tennis Centre</t>
        </is>
      </c>
      <c r="I455" t="n">
        <v>36.7</v>
      </c>
      <c r="J455" s="4" t="n">
        <v>260</v>
      </c>
      <c r="K455" t="inlineStr">
        <is>
          <t>131 / 129</t>
        </is>
      </c>
      <c r="L455" t="inlineStr">
        <is>
          <t>0 / 0</t>
        </is>
      </c>
      <c r="M455" s="5" t="n">
        <v>0.5</v>
      </c>
      <c r="N455" s="5" t="n">
        <v>0</v>
      </c>
    </row>
    <row r="456">
      <c r="A456" t="n">
        <v>455</v>
      </c>
      <c r="B456" t="n">
        <v>2012</v>
      </c>
      <c r="C456" t="inlineStr">
        <is>
          <t>Emma Fedeyko</t>
        </is>
      </c>
      <c r="D456">
        <f>HYPERLINK("https://ota.tournamentsoftware.com/player-profile/62E06657-0480-40D7-B491-B99DA20E11DF", "Link")</f>
        <v/>
      </c>
      <c r="E456" s="3" t="n">
        <v>99.619</v>
      </c>
      <c r="F456" s="4" t="n">
        <v>8</v>
      </c>
      <c r="G456" t="inlineStr">
        <is>
          <t>Ontario Tennis Association</t>
        </is>
      </c>
      <c r="H456" t="inlineStr">
        <is>
          <t>Ontario Racquet Club</t>
        </is>
      </c>
      <c r="I456" t="n">
        <v>38.8</v>
      </c>
      <c r="J456" s="4" t="n">
        <v>52</v>
      </c>
      <c r="K456" t="inlineStr">
        <is>
          <t>19 / 33</t>
        </is>
      </c>
      <c r="L456" t="inlineStr">
        <is>
          <t>3 / 5</t>
        </is>
      </c>
      <c r="M456" s="5" t="n">
        <v>0.37</v>
      </c>
      <c r="N456" s="5" t="n">
        <v>0.38</v>
      </c>
    </row>
    <row r="457">
      <c r="A457" t="n">
        <v>456</v>
      </c>
      <c r="B457" t="n">
        <v>2015</v>
      </c>
      <c r="C457" t="inlineStr">
        <is>
          <t>Serena Wepadam CHONGATERA</t>
        </is>
      </c>
      <c r="D457">
        <f>HYPERLINK("https://ota.tournamentsoftware.com/player-profile/32A446CD-0BF6-43CA-BCC5-9AE4AEDFD5BE", "Link")</f>
        <v/>
      </c>
      <c r="E457" s="3" t="n">
        <v>99.379</v>
      </c>
      <c r="F457" s="4" t="n">
        <v>5</v>
      </c>
      <c r="G457" t="inlineStr">
        <is>
          <t>Tennis Nova Scotia</t>
        </is>
      </c>
      <c r="H457" t="inlineStr">
        <is>
          <t>HEADSTART</t>
        </is>
      </c>
      <c r="I457" t="n">
        <v>38.7</v>
      </c>
      <c r="J457" s="4" t="n">
        <v>20</v>
      </c>
      <c r="K457" t="inlineStr">
        <is>
          <t>8 / 12</t>
        </is>
      </c>
      <c r="L457" t="inlineStr">
        <is>
          <t>3 / 8</t>
        </is>
      </c>
      <c r="M457" s="5" t="n">
        <v>0.4</v>
      </c>
      <c r="N457" s="5" t="n">
        <v>0.27</v>
      </c>
    </row>
    <row r="458">
      <c r="A458" t="n">
        <v>457</v>
      </c>
      <c r="B458" t="n">
        <v>2014</v>
      </c>
      <c r="C458" t="inlineStr">
        <is>
          <t>Chloe Esther Yeung</t>
        </is>
      </c>
      <c r="D458">
        <f>HYPERLINK("https://ota.tournamentsoftware.com/player-profile/A0100B59-21FE-4244-87C6-16B2DE0DBB96", "Link")</f>
        <v/>
      </c>
      <c r="E458" s="3" t="n">
        <v>99.27800000000001</v>
      </c>
      <c r="F458" s="4" t="n">
        <v>16</v>
      </c>
      <c r="G458" t="inlineStr">
        <is>
          <t>Ontario Tennis Association</t>
        </is>
      </c>
      <c r="H458" t="inlineStr">
        <is>
          <t>Mayfair East Racquet Club</t>
        </is>
      </c>
      <c r="I458" t="n">
        <v>39.7</v>
      </c>
      <c r="J458" s="4" t="n">
        <v>106</v>
      </c>
      <c r="K458" t="inlineStr">
        <is>
          <t>45 / 61</t>
        </is>
      </c>
      <c r="L458" t="inlineStr">
        <is>
          <t>3 / 9</t>
        </is>
      </c>
      <c r="M458" s="5" t="n">
        <v>0.42</v>
      </c>
      <c r="N458" s="5" t="n">
        <v>0.25</v>
      </c>
    </row>
    <row r="459">
      <c r="A459" t="n">
        <v>458</v>
      </c>
      <c r="B459" t="n">
        <v>2013</v>
      </c>
      <c r="C459" t="inlineStr">
        <is>
          <t>Khaliya Karim</t>
        </is>
      </c>
      <c r="D459">
        <f>HYPERLINK("https://ota.tournamentsoftware.com/player-profile/3982667F-BB84-4AC0-B470-E67D90581DB9", "Link")</f>
        <v/>
      </c>
      <c r="E459" s="3" t="n">
        <v>99.11799999999999</v>
      </c>
      <c r="F459" s="4" t="n">
        <v>17</v>
      </c>
      <c r="G459" t="inlineStr">
        <is>
          <t>British Columbia</t>
        </is>
      </c>
      <c r="H459" t="inlineStr">
        <is>
          <t>Arbutus Club</t>
        </is>
      </c>
      <c r="I459" t="n">
        <v>39.9</v>
      </c>
      <c r="J459" s="4" t="n">
        <v>79</v>
      </c>
      <c r="K459" t="inlineStr">
        <is>
          <t>13 / 66</t>
        </is>
      </c>
      <c r="L459" t="inlineStr">
        <is>
          <t>9 / 19</t>
        </is>
      </c>
      <c r="M459" s="5" t="n">
        <v>0.16</v>
      </c>
      <c r="N459" s="5" t="n">
        <v>0.32</v>
      </c>
    </row>
    <row r="460">
      <c r="A460" t="n">
        <v>459</v>
      </c>
      <c r="B460" t="n">
        <v>2012</v>
      </c>
      <c r="C460" t="inlineStr">
        <is>
          <t>Emily Lyn</t>
        </is>
      </c>
      <c r="D460">
        <f>HYPERLINK("https://ota.tournamentsoftware.com/player-profile/952E408B-05E4-4A69-8AAE-E4D164512A9E", "Link")</f>
        <v/>
      </c>
      <c r="E460" s="3" t="n">
        <v>98.52</v>
      </c>
      <c r="F460" s="4" t="n">
        <v>9</v>
      </c>
      <c r="G460" t="inlineStr">
        <is>
          <t>Ontario Tennis Association</t>
        </is>
      </c>
      <c r="H460" t="inlineStr">
        <is>
          <t>Markham Tennis Club</t>
        </is>
      </c>
      <c r="I460" t="n">
        <v>39</v>
      </c>
      <c r="J460" s="4" t="n">
        <v>103</v>
      </c>
      <c r="K460" t="inlineStr">
        <is>
          <t>61 / 42</t>
        </is>
      </c>
      <c r="L460" t="inlineStr">
        <is>
          <t>5 / 6</t>
        </is>
      </c>
      <c r="M460" s="5" t="n">
        <v>0.59</v>
      </c>
      <c r="N460" s="5" t="n">
        <v>0.45</v>
      </c>
    </row>
    <row r="461">
      <c r="A461" t="n">
        <v>460</v>
      </c>
      <c r="B461" t="n">
        <v>2014</v>
      </c>
      <c r="C461" t="inlineStr">
        <is>
          <t>Avril Kymber Lin</t>
        </is>
      </c>
      <c r="D461">
        <f>HYPERLINK("https://ota.tournamentsoftware.com/player-profile/6CFCC91C-A66C-46B5-8430-D2D78CE3EE4B", "Link")</f>
        <v/>
      </c>
      <c r="E461" s="3" t="n">
        <v>98.492</v>
      </c>
      <c r="F461" s="4" t="n">
        <v>13</v>
      </c>
      <c r="G461" t="inlineStr">
        <is>
          <t>Tennis Alberta</t>
        </is>
      </c>
      <c r="H461" t="inlineStr">
        <is>
          <t>Brookside Court &amp; Wellness</t>
        </is>
      </c>
      <c r="I461" t="inlineStr">
        <is>
          <t>unavailable</t>
        </is>
      </c>
      <c r="J461" s="4" t="n">
        <v>99</v>
      </c>
      <c r="K461" t="inlineStr">
        <is>
          <t>39 / 60</t>
        </is>
      </c>
      <c r="L461" t="inlineStr">
        <is>
          <t>9 / 15</t>
        </is>
      </c>
      <c r="M461" s="5" t="n">
        <v>0.39</v>
      </c>
      <c r="N461" s="5" t="n">
        <v>0.38</v>
      </c>
    </row>
    <row r="462">
      <c r="A462" t="n">
        <v>461</v>
      </c>
      <c r="B462" t="n">
        <v>2015</v>
      </c>
      <c r="C462" t="inlineStr">
        <is>
          <t>Mila Venturelli</t>
        </is>
      </c>
      <c r="D462">
        <f>HYPERLINK("https://ota.tournamentsoftware.com/player-profile/BCA3B83C-81C0-4469-B3DA-4E3234E6CA0A", "Link")</f>
        <v/>
      </c>
      <c r="E462" s="3" t="n">
        <v>98.126</v>
      </c>
      <c r="F462" s="4" t="n">
        <v>19</v>
      </c>
      <c r="G462" t="inlineStr">
        <is>
          <t>Tennis Québec</t>
        </is>
      </c>
      <c r="H462" t="inlineStr">
        <is>
          <t>Tennis 13</t>
        </is>
      </c>
      <c r="I462" t="n">
        <v>40</v>
      </c>
      <c r="J462" s="4" t="n">
        <v>86</v>
      </c>
      <c r="K462" t="inlineStr">
        <is>
          <t>35 / 51</t>
        </is>
      </c>
      <c r="L462" t="inlineStr">
        <is>
          <t>7 / 14</t>
        </is>
      </c>
      <c r="M462" s="5" t="n">
        <v>0.41</v>
      </c>
      <c r="N462" s="5" t="n">
        <v>0.33</v>
      </c>
    </row>
    <row r="463">
      <c r="A463" t="n">
        <v>462</v>
      </c>
      <c r="B463" t="n">
        <v>2012</v>
      </c>
      <c r="C463" t="inlineStr">
        <is>
          <t>Alice Le</t>
        </is>
      </c>
      <c r="D463">
        <f>HYPERLINK("https://ota.tournamentsoftware.com/player-profile/762C717D-CB5B-4A61-877E-C235D5E4911F", "Link")</f>
        <v/>
      </c>
      <c r="E463" s="3" t="n">
        <v>98.04000000000001</v>
      </c>
      <c r="F463" s="4" t="n">
        <v>4</v>
      </c>
      <c r="G463" t="inlineStr">
        <is>
          <t>British Columbia</t>
        </is>
      </c>
      <c r="H463" t="inlineStr">
        <is>
          <t>City of Vancouver</t>
        </is>
      </c>
      <c r="I463" t="inlineStr">
        <is>
          <t>unavailable</t>
        </is>
      </c>
      <c r="J463" s="4" t="n">
        <v>10</v>
      </c>
      <c r="K463" t="inlineStr">
        <is>
          <t>7 / 3</t>
        </is>
      </c>
      <c r="L463" t="inlineStr">
        <is>
          <t>1 / 1</t>
        </is>
      </c>
      <c r="M463" s="5" t="n">
        <v>0.7</v>
      </c>
      <c r="N463" s="5" t="n">
        <v>0.5</v>
      </c>
    </row>
    <row r="464">
      <c r="A464" t="n">
        <v>463</v>
      </c>
      <c r="B464" t="n">
        <v>2013</v>
      </c>
      <c r="C464" t="inlineStr">
        <is>
          <t>Presley Pellegrino</t>
        </is>
      </c>
      <c r="D464">
        <f>HYPERLINK("https://ota.tournamentsoftware.com/player-profile/A7978533-179E-4FC4-8D48-C160FA6FF2E3", "Link")</f>
        <v/>
      </c>
      <c r="E464" s="3" t="n">
        <v>96.878</v>
      </c>
      <c r="F464" s="4" t="n">
        <v>7</v>
      </c>
      <c r="G464" t="inlineStr">
        <is>
          <t>Ontario Tennis Association</t>
        </is>
      </c>
      <c r="H464" t="inlineStr">
        <is>
          <t>No Club</t>
        </is>
      </c>
      <c r="I464" t="n">
        <v>38.1</v>
      </c>
      <c r="J464" s="4" t="n">
        <v>97</v>
      </c>
      <c r="K464" t="inlineStr">
        <is>
          <t>40 / 57</t>
        </is>
      </c>
      <c r="L464" t="inlineStr">
        <is>
          <t>2 / 2</t>
        </is>
      </c>
      <c r="M464" s="5" t="n">
        <v>0.41</v>
      </c>
      <c r="N464" s="5" t="n">
        <v>0.5</v>
      </c>
    </row>
    <row r="465">
      <c r="A465" t="n">
        <v>464</v>
      </c>
      <c r="B465" t="n">
        <v>2015</v>
      </c>
      <c r="C465" t="inlineStr">
        <is>
          <t>Anna Guzina-McLeod</t>
        </is>
      </c>
      <c r="D465">
        <f>HYPERLINK("https://ota.tournamentsoftware.com/player-profile/55F5BC4F-092C-4C72-BFDC-3F60E618D778", "Link")</f>
        <v/>
      </c>
      <c r="E465" s="3" t="n">
        <v>96.01600000000001</v>
      </c>
      <c r="F465" s="4" t="n">
        <v>15</v>
      </c>
      <c r="G465" t="inlineStr">
        <is>
          <t>Ontario Tennis Association</t>
        </is>
      </c>
      <c r="H465" t="inlineStr">
        <is>
          <t>Rideau Sports Centre</t>
        </is>
      </c>
      <c r="I465" t="inlineStr">
        <is>
          <t>unavailable</t>
        </is>
      </c>
      <c r="J465" s="4" t="n">
        <v>111</v>
      </c>
      <c r="K465" t="inlineStr">
        <is>
          <t>65 / 46</t>
        </is>
      </c>
      <c r="L465" t="inlineStr">
        <is>
          <t>9 / 13</t>
        </is>
      </c>
      <c r="M465" s="5" t="n">
        <v>0.59</v>
      </c>
      <c r="N465" s="5" t="n">
        <v>0.41</v>
      </c>
    </row>
    <row r="466">
      <c r="A466" t="n">
        <v>465</v>
      </c>
      <c r="B466" t="n">
        <v>2013</v>
      </c>
      <c r="C466" t="inlineStr">
        <is>
          <t>Darcia Rabezandriny</t>
        </is>
      </c>
      <c r="D466">
        <f>HYPERLINK("https://ota.tournamentsoftware.com/player-profile/52069260-9644-4FA6-A8E4-10B4E037765E", "Link")</f>
        <v/>
      </c>
      <c r="E466" s="3" t="n">
        <v>96.003</v>
      </c>
      <c r="F466" s="4" t="n">
        <v>8</v>
      </c>
      <c r="G466" t="inlineStr">
        <is>
          <t>Tennis Québec</t>
        </is>
      </c>
      <c r="H466" t="inlineStr">
        <is>
          <t>AA Autre club</t>
        </is>
      </c>
      <c r="I466" t="n">
        <v>38.9</v>
      </c>
      <c r="J466" s="4" t="n">
        <v>156</v>
      </c>
      <c r="K466" t="inlineStr">
        <is>
          <t>81 / 75</t>
        </is>
      </c>
      <c r="L466" t="inlineStr">
        <is>
          <t>6 / 8</t>
        </is>
      </c>
      <c r="M466" s="5" t="n">
        <v>0.52</v>
      </c>
      <c r="N466" s="5" t="n">
        <v>0.43</v>
      </c>
    </row>
    <row r="467">
      <c r="A467" t="n">
        <v>466</v>
      </c>
      <c r="B467" t="n">
        <v>2015</v>
      </c>
      <c r="C467" t="inlineStr">
        <is>
          <t>Violet Ton-That</t>
        </is>
      </c>
      <c r="D467">
        <f>HYPERLINK("https://ota.tournamentsoftware.com/player-profile/2832D590-1D78-4B7F-B573-E2D932040ADB", "Link")</f>
        <v/>
      </c>
      <c r="E467" s="3" t="n">
        <v>95.345</v>
      </c>
      <c r="F467" s="4" t="n">
        <v>10</v>
      </c>
      <c r="G467" t="inlineStr">
        <is>
          <t>Tennis Québec</t>
        </is>
      </c>
      <c r="H467" t="inlineStr">
        <is>
          <t>Tennis Montréal Excellence</t>
        </is>
      </c>
      <c r="I467" t="n">
        <v>39.1</v>
      </c>
      <c r="J467" s="4" t="n">
        <v>60</v>
      </c>
      <c r="K467" t="inlineStr">
        <is>
          <t>27 / 33</t>
        </is>
      </c>
      <c r="L467" t="inlineStr">
        <is>
          <t>6 / 9</t>
        </is>
      </c>
      <c r="M467" s="5" t="n">
        <v>0.45</v>
      </c>
      <c r="N467" s="5" t="n">
        <v>0.4</v>
      </c>
    </row>
    <row r="468">
      <c r="A468" t="n">
        <v>467</v>
      </c>
      <c r="B468" t="n">
        <v>2012</v>
      </c>
      <c r="C468" t="inlineStr">
        <is>
          <t>Karolina Klepinin</t>
        </is>
      </c>
      <c r="D468">
        <f>HYPERLINK("https://ota.tournamentsoftware.com/player-profile/A0474BDB-A63B-423A-90FB-FAAA726E2052", "Link")</f>
        <v/>
      </c>
      <c r="E468" s="3" t="n">
        <v>94.729</v>
      </c>
      <c r="F468" s="4" t="n">
        <v>6</v>
      </c>
      <c r="G468" t="inlineStr">
        <is>
          <t>Ontario Tennis Association</t>
        </is>
      </c>
      <c r="H468" t="inlineStr">
        <is>
          <t>ON North Central No Club</t>
        </is>
      </c>
      <c r="I468" t="n">
        <v>38.7</v>
      </c>
      <c r="J468" s="4" t="n">
        <v>52</v>
      </c>
      <c r="K468" t="inlineStr">
        <is>
          <t>14 / 38</t>
        </is>
      </c>
      <c r="L468" t="inlineStr">
        <is>
          <t>3 / 7</t>
        </is>
      </c>
      <c r="M468" s="5" t="n">
        <v>0.27</v>
      </c>
      <c r="N468" s="5" t="n">
        <v>0.3</v>
      </c>
    </row>
    <row r="469">
      <c r="A469" t="n">
        <v>468</v>
      </c>
      <c r="B469" t="n">
        <v>2013</v>
      </c>
      <c r="C469" t="inlineStr">
        <is>
          <t>Zoé Pilon</t>
        </is>
      </c>
      <c r="D469">
        <f>HYPERLINK("https://ota.tournamentsoftware.com/player-profile/5CF92DF6-CB3B-4E9E-9D03-B9CC6481DEBA", "Link")</f>
        <v/>
      </c>
      <c r="E469" s="3" t="n">
        <v>94.68000000000001</v>
      </c>
      <c r="F469" s="4" t="n">
        <v>9</v>
      </c>
      <c r="G469" t="inlineStr">
        <is>
          <t>Tennis Québec</t>
        </is>
      </c>
      <c r="H469" t="inlineStr">
        <is>
          <t>Tennis Interclub Piedmont</t>
        </is>
      </c>
      <c r="I469" t="n">
        <v>40</v>
      </c>
      <c r="J469" s="4" t="n">
        <v>18</v>
      </c>
      <c r="K469" t="inlineStr">
        <is>
          <t>6 / 12</t>
        </is>
      </c>
      <c r="L469" t="inlineStr">
        <is>
          <t>2 / 9</t>
        </is>
      </c>
      <c r="M469" s="5" t="n">
        <v>0.33</v>
      </c>
      <c r="N469" s="5" t="n">
        <v>0.18</v>
      </c>
    </row>
    <row r="470">
      <c r="A470" t="n">
        <v>469</v>
      </c>
      <c r="B470" t="n">
        <v>2013</v>
      </c>
      <c r="C470" t="inlineStr">
        <is>
          <t>Chelsea Yuxin Lan</t>
        </is>
      </c>
      <c r="D470">
        <f>HYPERLINK("https://ota.tournamentsoftware.com/player-profile/D861FE8B-CCB2-4222-BA9C-EBD5C1FECE32", "Link")</f>
        <v/>
      </c>
      <c r="E470" s="3" t="n">
        <v>94.627</v>
      </c>
      <c r="F470" s="4" t="n">
        <v>15</v>
      </c>
      <c r="G470" t="inlineStr">
        <is>
          <t>British Columbia</t>
        </is>
      </c>
      <c r="H470" t="inlineStr">
        <is>
          <t>Hollyburn Country Club</t>
        </is>
      </c>
      <c r="I470" t="inlineStr">
        <is>
          <t>unavailable</t>
        </is>
      </c>
      <c r="J470" s="4" t="n">
        <v>115</v>
      </c>
      <c r="K470" t="inlineStr">
        <is>
          <t>34 / 81</t>
        </is>
      </c>
      <c r="L470" t="inlineStr">
        <is>
          <t>2 / 18</t>
        </is>
      </c>
      <c r="M470" s="5" t="n">
        <v>0.3</v>
      </c>
      <c r="N470" s="5" t="n">
        <v>0.1</v>
      </c>
    </row>
    <row r="471">
      <c r="A471" t="n">
        <v>470</v>
      </c>
      <c r="B471" t="n">
        <v>2012</v>
      </c>
      <c r="C471" t="inlineStr">
        <is>
          <t>Alyssa Grace Clouden</t>
        </is>
      </c>
      <c r="D471">
        <f>HYPERLINK("https://ota.tournamentsoftware.com/player-profile/85FC5E76-6ACD-4520-94D0-C05BABDC2184", "Link")</f>
        <v/>
      </c>
      <c r="E471" s="3" t="n">
        <v>94.176</v>
      </c>
      <c r="F471" s="4" t="n">
        <v>14</v>
      </c>
      <c r="G471" t="inlineStr">
        <is>
          <t>Ontario Tennis Association</t>
        </is>
      </c>
      <c r="H471" t="inlineStr">
        <is>
          <t>Headwaters Racquet Club</t>
        </is>
      </c>
      <c r="I471" t="n">
        <v>39.7</v>
      </c>
      <c r="J471" s="4" t="n">
        <v>49</v>
      </c>
      <c r="K471" t="inlineStr">
        <is>
          <t>21 / 28</t>
        </is>
      </c>
      <c r="L471" t="inlineStr">
        <is>
          <t>6 / 12</t>
        </is>
      </c>
      <c r="M471" s="5" t="n">
        <v>0.43</v>
      </c>
      <c r="N471" s="5" t="n">
        <v>0.33</v>
      </c>
    </row>
    <row r="472">
      <c r="A472" t="n">
        <v>471</v>
      </c>
      <c r="B472" t="n">
        <v>2015</v>
      </c>
      <c r="C472" t="inlineStr">
        <is>
          <t>Kaliya Summer Miserre-Garrecht</t>
        </is>
      </c>
      <c r="D472">
        <f>HYPERLINK("https://ota.tournamentsoftware.com/player-profile/C178309B-9B10-4C79-99B5-DD8E37FCC1EF", "Link")</f>
        <v/>
      </c>
      <c r="E472" s="3" t="n">
        <v>93.52</v>
      </c>
      <c r="F472" s="4" t="n">
        <v>22</v>
      </c>
      <c r="G472" t="inlineStr">
        <is>
          <t>British Columbia</t>
        </is>
      </c>
      <c r="H472" t="inlineStr">
        <is>
          <t>Vanguard Tennis Academy</t>
        </is>
      </c>
      <c r="I472" t="n">
        <v>39.1</v>
      </c>
      <c r="J472" s="4" t="n">
        <v>135</v>
      </c>
      <c r="K472" t="inlineStr">
        <is>
          <t>59 / 76</t>
        </is>
      </c>
      <c r="L472" t="inlineStr">
        <is>
          <t>14 / 23</t>
        </is>
      </c>
      <c r="M472" s="5" t="n">
        <v>0.44</v>
      </c>
      <c r="N472" s="5" t="n">
        <v>0.38</v>
      </c>
    </row>
    <row r="473">
      <c r="A473" t="n">
        <v>472</v>
      </c>
      <c r="B473" t="n">
        <v>2016</v>
      </c>
      <c r="C473" t="inlineStr">
        <is>
          <t>Chenlin Wang</t>
        </is>
      </c>
      <c r="D473">
        <f>HYPERLINK("https://ota.tournamentsoftware.com/player-profile/9F8A5A74-B5B7-41F1-A513-DA87D68CAFFE", "Link")</f>
        <v/>
      </c>
      <c r="E473" s="3" t="n">
        <v>92.867</v>
      </c>
      <c r="F473" s="4" t="n">
        <v>29</v>
      </c>
      <c r="G473" t="inlineStr">
        <is>
          <t>British Columbia</t>
        </is>
      </c>
      <c r="H473" t="inlineStr">
        <is>
          <t>UBC Tennis Centre</t>
        </is>
      </c>
      <c r="I473" t="inlineStr">
        <is>
          <t>unavailable</t>
        </is>
      </c>
      <c r="J473" s="4" t="n">
        <v>151</v>
      </c>
      <c r="K473" t="inlineStr">
        <is>
          <t>83 / 68</t>
        </is>
      </c>
      <c r="L473" t="inlineStr">
        <is>
          <t>31 / 19</t>
        </is>
      </c>
      <c r="M473" s="5" t="n">
        <v>0.55</v>
      </c>
      <c r="N473" s="5" t="n">
        <v>0.62</v>
      </c>
    </row>
    <row r="474">
      <c r="A474" t="n">
        <v>473</v>
      </c>
      <c r="B474" t="n">
        <v>2014</v>
      </c>
      <c r="C474" t="inlineStr">
        <is>
          <t>cataleya florina zadarojnea</t>
        </is>
      </c>
      <c r="D474">
        <f>HYPERLINK("https://ota.tournamentsoftware.com/player-profile/EAEB7B00-5E1C-47F6-8FF3-1537E07A8B59", "Link")</f>
        <v/>
      </c>
      <c r="E474" s="3" t="n">
        <v>92.57599999999999</v>
      </c>
      <c r="F474" s="4" t="n">
        <v>24</v>
      </c>
      <c r="G474" t="inlineStr">
        <is>
          <t>Ontario Tennis Association</t>
        </is>
      </c>
      <c r="H474" t="inlineStr">
        <is>
          <t>Premier Racquet Clubs – Mississauga</t>
        </is>
      </c>
      <c r="I474" t="inlineStr">
        <is>
          <t>unavailable</t>
        </is>
      </c>
      <c r="J474" s="4" t="inlineStr"/>
      <c r="K474" t="inlineStr">
        <is>
          <t>unavailable</t>
        </is>
      </c>
      <c r="L474" t="inlineStr">
        <is>
          <t>unavailable</t>
        </is>
      </c>
      <c r="M474" s="5" t="inlineStr"/>
      <c r="N474" s="5" t="inlineStr"/>
    </row>
    <row r="475">
      <c r="A475" t="n">
        <v>474</v>
      </c>
      <c r="B475" t="n">
        <v>2015</v>
      </c>
      <c r="C475" t="inlineStr">
        <is>
          <t>Juliet Lauture</t>
        </is>
      </c>
      <c r="D475">
        <f>HYPERLINK("https://ota.tournamentsoftware.com/player-profile/70FC879C-9BB0-4123-BE70-BCB588C22C80", "Link")</f>
        <v/>
      </c>
      <c r="E475" s="3" t="n">
        <v>92.089</v>
      </c>
      <c r="F475" s="4" t="n">
        <v>21</v>
      </c>
      <c r="G475" t="inlineStr">
        <is>
          <t>Tennis Québec</t>
        </is>
      </c>
      <c r="H475" t="inlineStr">
        <is>
          <t>Club Sportif Côte-de-Liesse</t>
        </is>
      </c>
      <c r="I475" t="n">
        <v>38.7</v>
      </c>
      <c r="J475" s="4" t="n">
        <v>103</v>
      </c>
      <c r="K475" t="inlineStr">
        <is>
          <t>57 / 46</t>
        </is>
      </c>
      <c r="L475" t="inlineStr">
        <is>
          <t>18 / 18</t>
        </is>
      </c>
      <c r="M475" s="5" t="n">
        <v>0.55</v>
      </c>
      <c r="N475" s="5" t="n">
        <v>0.5</v>
      </c>
    </row>
    <row r="476">
      <c r="A476" t="n">
        <v>475</v>
      </c>
      <c r="B476" t="n">
        <v>2016</v>
      </c>
      <c r="C476" t="inlineStr">
        <is>
          <t>Eva Yanakieva</t>
        </is>
      </c>
      <c r="D476">
        <f>HYPERLINK("https://ota.tournamentsoftware.com/player-profile/7FBBEC05-D20C-448B-93F1-1F8C6BA80758", "Link")</f>
        <v/>
      </c>
      <c r="E476" s="3" t="n">
        <v>91.93300000000001</v>
      </c>
      <c r="F476" s="4" t="n">
        <v>18</v>
      </c>
      <c r="G476" t="inlineStr">
        <is>
          <t>Tennis Québec</t>
        </is>
      </c>
      <c r="H476" t="inlineStr">
        <is>
          <t>Tennis Montréal Excellence</t>
        </is>
      </c>
      <c r="I476" t="n">
        <v>38.7</v>
      </c>
      <c r="J476" s="4" t="n">
        <v>167</v>
      </c>
      <c r="K476" t="inlineStr">
        <is>
          <t>79 / 88</t>
        </is>
      </c>
      <c r="L476" t="inlineStr">
        <is>
          <t>18 / 20</t>
        </is>
      </c>
      <c r="M476" s="5" t="n">
        <v>0.47</v>
      </c>
      <c r="N476" s="5" t="n">
        <v>0.47</v>
      </c>
    </row>
    <row r="477">
      <c r="A477" t="n">
        <v>476</v>
      </c>
      <c r="B477" t="n">
        <v>2015</v>
      </c>
      <c r="C477" t="inlineStr">
        <is>
          <t>Larissa Bulynko</t>
        </is>
      </c>
      <c r="D477">
        <f>HYPERLINK("https://ota.tournamentsoftware.com/player-profile/387B3C19-006B-446B-A1CE-226F349C0C24", "Link")</f>
        <v/>
      </c>
      <c r="E477" s="3" t="n">
        <v>89.874</v>
      </c>
      <c r="F477" s="4" t="n">
        <v>11</v>
      </c>
      <c r="G477" t="inlineStr">
        <is>
          <t>Ontario Tennis Association</t>
        </is>
      </c>
      <c r="H477" t="inlineStr">
        <is>
          <t>National Tennis School</t>
        </is>
      </c>
      <c r="I477" t="n">
        <v>39.8</v>
      </c>
      <c r="J477" s="4" t="n">
        <v>52</v>
      </c>
      <c r="K477" t="inlineStr">
        <is>
          <t>20 / 32</t>
        </is>
      </c>
      <c r="L477" t="inlineStr">
        <is>
          <t>5 / 9</t>
        </is>
      </c>
      <c r="M477" s="5" t="n">
        <v>0.38</v>
      </c>
      <c r="N477" s="5" t="n">
        <v>0.36</v>
      </c>
    </row>
    <row r="478">
      <c r="A478" t="n">
        <v>477</v>
      </c>
      <c r="B478" t="n">
        <v>2015</v>
      </c>
      <c r="C478" t="inlineStr">
        <is>
          <t>Joey Wu</t>
        </is>
      </c>
      <c r="D478">
        <f>HYPERLINK("https://ota.tournamentsoftware.com/player-profile/5271198B-7814-4938-9A9E-61E10CC7CCA6", "Link")</f>
        <v/>
      </c>
      <c r="E478" s="3" t="n">
        <v>89.84</v>
      </c>
      <c r="F478" s="4" t="n">
        <v>25</v>
      </c>
      <c r="G478" t="inlineStr">
        <is>
          <t>British Columbia</t>
        </is>
      </c>
      <c r="H478" t="inlineStr">
        <is>
          <t>City of Richmond</t>
        </is>
      </c>
      <c r="I478" t="inlineStr">
        <is>
          <t>unavailable</t>
        </is>
      </c>
      <c r="J478" s="4" t="n">
        <v>112</v>
      </c>
      <c r="K478" t="inlineStr">
        <is>
          <t>67 / 45</t>
        </is>
      </c>
      <c r="L478" t="inlineStr">
        <is>
          <t>12 / 21</t>
        </is>
      </c>
      <c r="M478" s="5" t="n">
        <v>0.6</v>
      </c>
      <c r="N478" s="5" t="n">
        <v>0.36</v>
      </c>
    </row>
    <row r="479">
      <c r="A479" t="n">
        <v>478</v>
      </c>
      <c r="B479" t="n">
        <v>2012</v>
      </c>
      <c r="C479" t="inlineStr">
        <is>
          <t>Tiana Amede-Bramwell</t>
        </is>
      </c>
      <c r="D479">
        <f>HYPERLINK("https://ota.tournamentsoftware.com/player-profile/BC31A25D-C48C-47FD-A0A3-D600EA315675", "Link")</f>
        <v/>
      </c>
      <c r="E479" s="3" t="n">
        <v>89.75700000000001</v>
      </c>
      <c r="F479" s="4" t="n">
        <v>9</v>
      </c>
      <c r="G479" t="inlineStr">
        <is>
          <t>Ontario Tennis Association</t>
        </is>
      </c>
      <c r="H479" t="inlineStr">
        <is>
          <t>Credit Valley Tennis Club</t>
        </is>
      </c>
      <c r="I479" t="n">
        <v>40</v>
      </c>
      <c r="J479" s="4" t="n">
        <v>37</v>
      </c>
      <c r="K479" t="inlineStr">
        <is>
          <t>8 / 29</t>
        </is>
      </c>
      <c r="L479" t="inlineStr">
        <is>
          <t>8 / 26</t>
        </is>
      </c>
      <c r="M479" s="5" t="n">
        <v>0.22</v>
      </c>
      <c r="N479" s="5" t="n">
        <v>0.24</v>
      </c>
    </row>
    <row r="480">
      <c r="A480" t="n">
        <v>479</v>
      </c>
      <c r="B480" t="n">
        <v>2014</v>
      </c>
      <c r="C480" t="inlineStr">
        <is>
          <t>myra Malik</t>
        </is>
      </c>
      <c r="D480">
        <f>HYPERLINK("https://ota.tournamentsoftware.com/player-profile/B5B677E5-44EA-48DD-95B7-05BF38E3758B", "Link")</f>
        <v/>
      </c>
      <c r="E480" s="3" t="n">
        <v>89.604</v>
      </c>
      <c r="F480" s="4" t="n">
        <v>24</v>
      </c>
      <c r="G480" t="inlineStr">
        <is>
          <t>British Columbia</t>
        </is>
      </c>
      <c r="H480" t="inlineStr">
        <is>
          <t>The Tennis Centre</t>
        </is>
      </c>
      <c r="I480" t="n">
        <v>38.6</v>
      </c>
      <c r="J480" s="4" t="n">
        <v>58</v>
      </c>
      <c r="K480" t="inlineStr">
        <is>
          <t>25 / 33</t>
        </is>
      </c>
      <c r="L480" t="inlineStr">
        <is>
          <t>18 / 19</t>
        </is>
      </c>
      <c r="M480" s="5" t="n">
        <v>0.43</v>
      </c>
      <c r="N480" s="5" t="n">
        <v>0.49</v>
      </c>
    </row>
    <row r="481">
      <c r="A481" t="n">
        <v>480</v>
      </c>
      <c r="B481" t="n">
        <v>2014</v>
      </c>
      <c r="C481" t="inlineStr">
        <is>
          <t>Audrey JIA</t>
        </is>
      </c>
      <c r="D481">
        <f>HYPERLINK("https://ota.tournamentsoftware.com/player-profile/3F7A519A-489C-490B-9AA2-F4FCBBCA474F", "Link")</f>
        <v/>
      </c>
      <c r="E481" s="3" t="n">
        <v>88.179</v>
      </c>
      <c r="F481" s="4" t="n">
        <v>13</v>
      </c>
      <c r="G481" t="inlineStr">
        <is>
          <t>Ontario Tennis Association</t>
        </is>
      </c>
      <c r="H481" t="inlineStr">
        <is>
          <t>Newmarket Community Tennis Club</t>
        </is>
      </c>
      <c r="I481" t="inlineStr">
        <is>
          <t>unavailable</t>
        </is>
      </c>
      <c r="J481" s="4" t="n">
        <v>76</v>
      </c>
      <c r="K481" t="inlineStr">
        <is>
          <t>39 / 37</t>
        </is>
      </c>
      <c r="L481" t="inlineStr">
        <is>
          <t>22 / 10</t>
        </is>
      </c>
      <c r="M481" s="5" t="n">
        <v>0.51</v>
      </c>
      <c r="N481" s="5" t="n">
        <v>0.6899999999999999</v>
      </c>
    </row>
    <row r="482">
      <c r="A482" t="n">
        <v>481</v>
      </c>
      <c r="B482" t="n">
        <v>2013</v>
      </c>
      <c r="C482" t="inlineStr">
        <is>
          <t>Kaylie Kam</t>
        </is>
      </c>
      <c r="D482">
        <f>HYPERLINK("https://ota.tournamentsoftware.com/player-profile/29B7928E-12B2-4691-8B4A-1DE557B4F068", "Link")</f>
        <v/>
      </c>
      <c r="E482" s="3" t="n">
        <v>87.73699999999999</v>
      </c>
      <c r="F482" s="4" t="n">
        <v>14</v>
      </c>
      <c r="G482" t="inlineStr">
        <is>
          <t>Ontario Tennis Association</t>
        </is>
      </c>
      <c r="H482" t="inlineStr">
        <is>
          <t>Blackmore Tennis Club</t>
        </is>
      </c>
      <c r="I482" t="n">
        <v>37.6</v>
      </c>
      <c r="J482" s="4" t="n">
        <v>53</v>
      </c>
      <c r="K482" t="inlineStr">
        <is>
          <t>35 / 18</t>
        </is>
      </c>
      <c r="L482" t="inlineStr">
        <is>
          <t>9 / 10</t>
        </is>
      </c>
      <c r="M482" s="5" t="n">
        <v>0.66</v>
      </c>
      <c r="N482" s="5" t="n">
        <v>0.47</v>
      </c>
    </row>
    <row r="483">
      <c r="A483" t="n">
        <v>482</v>
      </c>
      <c r="B483" t="n">
        <v>2015</v>
      </c>
      <c r="C483" t="inlineStr">
        <is>
          <t>Maranata Okubazgi</t>
        </is>
      </c>
      <c r="D483">
        <f>HYPERLINK("https://ota.tournamentsoftware.com/player-profile/D41680BB-0D07-401E-A1E3-7ECB40E4830A", "Link")</f>
        <v/>
      </c>
      <c r="E483" s="3" t="n">
        <v>87.59999999999999</v>
      </c>
      <c r="F483" s="4" t="n">
        <v>12</v>
      </c>
      <c r="G483" t="inlineStr">
        <is>
          <t>Ontario Tennis Association</t>
        </is>
      </c>
      <c r="H483" t="inlineStr">
        <is>
          <t>The Tennis School</t>
        </is>
      </c>
      <c r="I483" t="n">
        <v>37.6</v>
      </c>
      <c r="J483" s="4" t="n">
        <v>90</v>
      </c>
      <c r="K483" t="inlineStr">
        <is>
          <t>53 / 37</t>
        </is>
      </c>
      <c r="L483" t="inlineStr">
        <is>
          <t>14 / 9</t>
        </is>
      </c>
      <c r="M483" s="5" t="n">
        <v>0.59</v>
      </c>
      <c r="N483" s="5" t="n">
        <v>0.61</v>
      </c>
    </row>
    <row r="484">
      <c r="A484" t="n">
        <v>483</v>
      </c>
      <c r="B484" t="n">
        <v>2013</v>
      </c>
      <c r="C484" t="inlineStr">
        <is>
          <t>SOPHIA MARIA TRULESCU</t>
        </is>
      </c>
      <c r="D484">
        <f>HYPERLINK("https://ota.tournamentsoftware.com/player-profile/A41CCD9F-8BEB-4085-842F-8E5A7DA612FF", "Link")</f>
        <v/>
      </c>
      <c r="E484" s="3" t="n">
        <v>87.34999999999999</v>
      </c>
      <c r="F484" s="4" t="n">
        <v>3</v>
      </c>
      <c r="G484" t="inlineStr">
        <is>
          <t>Ontario Tennis Association</t>
        </is>
      </c>
      <c r="H484" t="inlineStr">
        <is>
          <t>Rosedale Tennis Club (Hamilton)</t>
        </is>
      </c>
      <c r="I484" t="n">
        <v>37.4</v>
      </c>
      <c r="J484" s="4" t="n">
        <v>55</v>
      </c>
      <c r="K484" t="inlineStr">
        <is>
          <t>41 / 14</t>
        </is>
      </c>
      <c r="L484" t="inlineStr">
        <is>
          <t>4 / 2</t>
        </is>
      </c>
      <c r="M484" s="5" t="n">
        <v>0.75</v>
      </c>
      <c r="N484" s="5" t="n">
        <v>0.67</v>
      </c>
    </row>
    <row r="485">
      <c r="A485" t="n">
        <v>484</v>
      </c>
      <c r="B485" t="n">
        <v>2015</v>
      </c>
      <c r="C485" t="inlineStr">
        <is>
          <t>Mikaëlla Jean-Bart</t>
        </is>
      </c>
      <c r="D485">
        <f>HYPERLINK("https://ota.tournamentsoftware.com/player-profile/5309814B-24E5-4F46-920F-74FD0DAF8C7D", "Link")</f>
        <v/>
      </c>
      <c r="E485" s="3" t="n">
        <v>86.709</v>
      </c>
      <c r="F485" s="4" t="n">
        <v>12</v>
      </c>
      <c r="G485" t="inlineStr">
        <is>
          <t>Tennis Québec</t>
        </is>
      </c>
      <c r="H485" t="inlineStr">
        <is>
          <t>Centre récréatif de Repentigny / Académie Tennis Momentum</t>
        </is>
      </c>
      <c r="I485" t="n">
        <v>38.3</v>
      </c>
      <c r="J485" s="4" t="n">
        <v>71</v>
      </c>
      <c r="K485" t="inlineStr">
        <is>
          <t>29 / 42</t>
        </is>
      </c>
      <c r="L485" t="inlineStr">
        <is>
          <t>12 / 14</t>
        </is>
      </c>
      <c r="M485" s="5" t="n">
        <v>0.41</v>
      </c>
      <c r="N485" s="5" t="n">
        <v>0.46</v>
      </c>
    </row>
    <row r="486">
      <c r="A486" t="n">
        <v>485</v>
      </c>
      <c r="B486" t="n">
        <v>2015</v>
      </c>
      <c r="C486" t="inlineStr">
        <is>
          <t>Olivia An Yi Ta</t>
        </is>
      </c>
      <c r="D486">
        <f>HYPERLINK("https://ota.tournamentsoftware.com/player-profile/F718058C-465B-4AEB-BACA-80FE5B3917B6", "Link")</f>
        <v/>
      </c>
      <c r="E486" s="3" t="n">
        <v>85.59099999999999</v>
      </c>
      <c r="F486" s="4" t="n">
        <v>15</v>
      </c>
      <c r="G486" t="inlineStr">
        <is>
          <t>Ontario Tennis Association</t>
        </is>
      </c>
      <c r="H486" t="inlineStr">
        <is>
          <t>Lambton Golf &amp; Country Club</t>
        </is>
      </c>
      <c r="I486" t="inlineStr">
        <is>
          <t>unavailable</t>
        </is>
      </c>
      <c r="J486" s="4" t="n">
        <v>62</v>
      </c>
      <c r="K486" t="inlineStr">
        <is>
          <t>15 / 47</t>
        </is>
      </c>
      <c r="L486" t="inlineStr">
        <is>
          <t>6 / 9</t>
        </is>
      </c>
      <c r="M486" s="5" t="n">
        <v>0.24</v>
      </c>
      <c r="N486" s="5" t="n">
        <v>0.4</v>
      </c>
    </row>
    <row r="487">
      <c r="A487" t="n">
        <v>486</v>
      </c>
      <c r="B487" t="n">
        <v>2014</v>
      </c>
      <c r="C487" t="inlineStr">
        <is>
          <t>Ranica Li</t>
        </is>
      </c>
      <c r="D487">
        <f>HYPERLINK("https://ota.tournamentsoftware.com/player-profile/5C189397-D536-4086-AA1D-1AD29C093438", "Link")</f>
        <v/>
      </c>
      <c r="E487" s="3" t="n">
        <v>85.291</v>
      </c>
      <c r="F487" s="4" t="n">
        <v>18</v>
      </c>
      <c r="G487" t="inlineStr">
        <is>
          <t>British Columbia</t>
        </is>
      </c>
      <c r="H487" t="inlineStr">
        <is>
          <t>The Tennis Centre</t>
        </is>
      </c>
      <c r="I487" t="n">
        <v>36.9</v>
      </c>
      <c r="J487" s="4" t="n">
        <v>79</v>
      </c>
      <c r="K487" t="inlineStr">
        <is>
          <t>43 / 36</t>
        </is>
      </c>
      <c r="L487" t="inlineStr">
        <is>
          <t>19 / 13</t>
        </is>
      </c>
      <c r="M487" s="5" t="n">
        <v>0.54</v>
      </c>
      <c r="N487" s="5" t="n">
        <v>0.59</v>
      </c>
    </row>
    <row r="488">
      <c r="A488" t="n">
        <v>487</v>
      </c>
      <c r="B488" t="n">
        <v>2012</v>
      </c>
      <c r="C488" t="inlineStr">
        <is>
          <t>Aaisha Rathod</t>
        </is>
      </c>
      <c r="D488">
        <f>HYPERLINK("https://ota.tournamentsoftware.com/player-profile/3CFF2AC0-C5A1-461F-91D3-0CD8EAFC5609", "Link")</f>
        <v/>
      </c>
      <c r="E488" s="3" t="n">
        <v>85.062</v>
      </c>
      <c r="F488" s="4" t="n">
        <v>14</v>
      </c>
      <c r="G488" t="inlineStr">
        <is>
          <t>Ontario Tennis Association</t>
        </is>
      </c>
      <c r="H488" t="inlineStr">
        <is>
          <t>Premier Racquet Clubs – Mississauga</t>
        </is>
      </c>
      <c r="I488" t="n">
        <v>40</v>
      </c>
      <c r="J488" s="4" t="n">
        <v>74</v>
      </c>
      <c r="K488" t="inlineStr">
        <is>
          <t>3 / 71</t>
        </is>
      </c>
      <c r="L488" t="inlineStr">
        <is>
          <t>1 / 8</t>
        </is>
      </c>
      <c r="M488" s="5" t="n">
        <v>0.04</v>
      </c>
      <c r="N488" s="5" t="n">
        <v>0.11</v>
      </c>
    </row>
    <row r="489">
      <c r="A489" t="n">
        <v>488</v>
      </c>
      <c r="B489" t="n">
        <v>2013</v>
      </c>
      <c r="C489" t="inlineStr">
        <is>
          <t>Julia Anne Kennedy</t>
        </is>
      </c>
      <c r="D489">
        <f>HYPERLINK("https://ota.tournamentsoftware.com/player-profile/82DF6D3D-A382-4764-B57C-0EA44A762022", "Link")</f>
        <v/>
      </c>
      <c r="E489" s="3" t="n">
        <v>84.8</v>
      </c>
      <c r="F489" s="4" t="n">
        <v>5</v>
      </c>
      <c r="G489" t="inlineStr">
        <is>
          <t>Ontario Tennis Association</t>
        </is>
      </c>
      <c r="H489" t="inlineStr">
        <is>
          <t>SmartVMC Racquetsports by ACE</t>
        </is>
      </c>
      <c r="I489" t="n">
        <v>36.1</v>
      </c>
      <c r="J489" s="4" t="n">
        <v>141</v>
      </c>
      <c r="K489" t="inlineStr">
        <is>
          <t>66 / 75</t>
        </is>
      </c>
      <c r="L489" t="inlineStr">
        <is>
          <t>0 / 0</t>
        </is>
      </c>
      <c r="M489" s="5" t="n">
        <v>0.47</v>
      </c>
      <c r="N489" s="5" t="n">
        <v>0</v>
      </c>
    </row>
    <row r="490">
      <c r="A490" t="n">
        <v>489</v>
      </c>
      <c r="B490" t="n">
        <v>2016</v>
      </c>
      <c r="C490" t="inlineStr">
        <is>
          <t>Kassidy, Chin Yau Lau</t>
        </is>
      </c>
      <c r="D490">
        <f>HYPERLINK("https://ota.tournamentsoftware.com/player-profile/725BC980-EB67-418A-9A78-144DF7D7CE7E", "Link")</f>
        <v/>
      </c>
      <c r="E490" s="3" t="n">
        <v>84.072</v>
      </c>
      <c r="F490" s="4" t="n">
        <v>14</v>
      </c>
      <c r="G490" t="inlineStr">
        <is>
          <t>Ontario Tennis Association</t>
        </is>
      </c>
      <c r="H490" t="inlineStr">
        <is>
          <t>No Club</t>
        </is>
      </c>
      <c r="I490" t="n">
        <v>38.5</v>
      </c>
      <c r="J490" s="4" t="n">
        <v>36</v>
      </c>
      <c r="K490" t="inlineStr">
        <is>
          <t>21 / 15</t>
        </is>
      </c>
      <c r="L490" t="inlineStr">
        <is>
          <t>21 / 15</t>
        </is>
      </c>
      <c r="M490" s="5" t="n">
        <v>0.58</v>
      </c>
      <c r="N490" s="5" t="n">
        <v>0.58</v>
      </c>
    </row>
    <row r="491">
      <c r="A491" t="n">
        <v>490</v>
      </c>
      <c r="B491" t="n">
        <v>2012</v>
      </c>
      <c r="C491" t="inlineStr">
        <is>
          <t>Naomi Brown</t>
        </is>
      </c>
      <c r="D491">
        <f>HYPERLINK("https://ota.tournamentsoftware.com/player-profile/3302BB60-F05F-49BC-8E90-BE5B9A063576", "Link")</f>
        <v/>
      </c>
      <c r="E491" s="3" t="n">
        <v>83.91500000000001</v>
      </c>
      <c r="F491" s="4" t="n">
        <v>4</v>
      </c>
      <c r="G491" t="inlineStr">
        <is>
          <t>Ontario Tennis Association</t>
        </is>
      </c>
      <c r="H491" t="inlineStr">
        <is>
          <t>Milton Tennis Club</t>
        </is>
      </c>
      <c r="I491" t="inlineStr">
        <is>
          <t>unavailable</t>
        </is>
      </c>
      <c r="J491" s="4" t="n">
        <v>73</v>
      </c>
      <c r="K491" t="inlineStr">
        <is>
          <t>32 / 41</t>
        </is>
      </c>
      <c r="L491" t="inlineStr">
        <is>
          <t>4 / 3</t>
        </is>
      </c>
      <c r="M491" s="5" t="n">
        <v>0.44</v>
      </c>
      <c r="N491" s="5" t="n">
        <v>0.57</v>
      </c>
    </row>
    <row r="492">
      <c r="A492" t="n">
        <v>491</v>
      </c>
      <c r="B492" t="n">
        <v>2013</v>
      </c>
      <c r="C492" t="inlineStr">
        <is>
          <t>Avonlyn Long</t>
        </is>
      </c>
      <c r="D492">
        <f>HYPERLINK("https://ota.tournamentsoftware.com/player-profile/750061EB-6049-44F3-9B6E-4DE9428D7158", "Link")</f>
        <v/>
      </c>
      <c r="E492" s="3" t="n">
        <v>83.592</v>
      </c>
      <c r="F492" s="4" t="n">
        <v>3</v>
      </c>
      <c r="G492" t="inlineStr">
        <is>
          <t>Ontario Tennis Association</t>
        </is>
      </c>
      <c r="H492" t="inlineStr">
        <is>
          <t>Carleton Tennis Centre</t>
        </is>
      </c>
      <c r="I492" t="n">
        <v>39.8</v>
      </c>
      <c r="J492" s="4" t="n">
        <v>12</v>
      </c>
      <c r="K492" t="inlineStr">
        <is>
          <t>1 / 11</t>
        </is>
      </c>
      <c r="L492" t="inlineStr">
        <is>
          <t>1 / 3</t>
        </is>
      </c>
      <c r="M492" s="5" t="n">
        <v>0.08</v>
      </c>
      <c r="N492" s="5" t="n">
        <v>0.25</v>
      </c>
    </row>
    <row r="493">
      <c r="A493" t="n">
        <v>492</v>
      </c>
      <c r="B493" t="n">
        <v>2014</v>
      </c>
      <c r="C493" t="inlineStr">
        <is>
          <t>Maylis Ilmane</t>
        </is>
      </c>
      <c r="D493">
        <f>HYPERLINK("https://ota.tournamentsoftware.com/player-profile/8AD3E1E2-82F0-490F-B772-6E9AA24959CC", "Link")</f>
        <v/>
      </c>
      <c r="E493" s="3" t="n">
        <v>83.176</v>
      </c>
      <c r="F493" s="4" t="n">
        <v>9</v>
      </c>
      <c r="G493" t="inlineStr">
        <is>
          <t>Tennis Québec</t>
        </is>
      </c>
      <c r="H493" t="inlineStr">
        <is>
          <t>Centre récréatif de Repentigny / Académie Tennis Momentum</t>
        </is>
      </c>
      <c r="I493" t="n">
        <v>38.5</v>
      </c>
      <c r="J493" s="4" t="n">
        <v>60</v>
      </c>
      <c r="K493" t="inlineStr">
        <is>
          <t>25 / 35</t>
        </is>
      </c>
      <c r="L493" t="inlineStr">
        <is>
          <t>7 / 6</t>
        </is>
      </c>
      <c r="M493" s="5" t="n">
        <v>0.42</v>
      </c>
      <c r="N493" s="5" t="n">
        <v>0.54</v>
      </c>
    </row>
    <row r="494">
      <c r="A494" t="n">
        <v>493</v>
      </c>
      <c r="B494" t="n">
        <v>2013</v>
      </c>
      <c r="C494" t="inlineStr">
        <is>
          <t>Helena Nastic</t>
        </is>
      </c>
      <c r="D494">
        <f>HYPERLINK("https://ota.tournamentsoftware.com/player-profile/384CD39C-50E9-4DF1-B1AD-85571147C1F9", "Link")</f>
        <v/>
      </c>
      <c r="E494" s="3" t="n">
        <v>83.06399999999999</v>
      </c>
      <c r="F494" s="4" t="n">
        <v>8</v>
      </c>
      <c r="G494" t="inlineStr">
        <is>
          <t>Ontario Tennis Association</t>
        </is>
      </c>
      <c r="H494" t="inlineStr">
        <is>
          <t>Royal City Tennis Club</t>
        </is>
      </c>
      <c r="I494" t="inlineStr">
        <is>
          <t>unavailable</t>
        </is>
      </c>
      <c r="J494" s="4" t="n">
        <v>38</v>
      </c>
      <c r="K494" t="inlineStr">
        <is>
          <t>19 / 19</t>
        </is>
      </c>
      <c r="L494" t="inlineStr">
        <is>
          <t>0 / 5</t>
        </is>
      </c>
      <c r="M494" s="5" t="n">
        <v>0.5</v>
      </c>
      <c r="N494" s="5" t="n">
        <v>0</v>
      </c>
    </row>
    <row r="495">
      <c r="A495" t="n">
        <v>494</v>
      </c>
      <c r="B495" t="n">
        <v>2015</v>
      </c>
      <c r="C495" t="inlineStr">
        <is>
          <t>Ellieann Jean Baker</t>
        </is>
      </c>
      <c r="D495">
        <f>HYPERLINK("https://ota.tournamentsoftware.com/player-profile/059CF7FD-B4FA-4522-AF55-9B2138153D9C", "Link")</f>
        <v/>
      </c>
      <c r="E495" s="3" t="n">
        <v>81.10299999999999</v>
      </c>
      <c r="F495" s="4" t="n">
        <v>9</v>
      </c>
      <c r="G495" t="inlineStr">
        <is>
          <t>Tennis Alberta</t>
        </is>
      </c>
      <c r="H495" t="inlineStr">
        <is>
          <t>Aforza</t>
        </is>
      </c>
      <c r="I495" t="n">
        <v>39.4</v>
      </c>
      <c r="J495" s="4" t="n">
        <v>109</v>
      </c>
      <c r="K495" t="inlineStr">
        <is>
          <t>45 / 64</t>
        </is>
      </c>
      <c r="L495" t="inlineStr">
        <is>
          <t>4 / 11</t>
        </is>
      </c>
      <c r="M495" s="5" t="n">
        <v>0.41</v>
      </c>
      <c r="N495" s="5" t="n">
        <v>0.27</v>
      </c>
    </row>
    <row r="496">
      <c r="A496" t="n">
        <v>495</v>
      </c>
      <c r="B496" t="n">
        <v>2015</v>
      </c>
      <c r="C496" t="inlineStr">
        <is>
          <t>Isla Suokas</t>
        </is>
      </c>
      <c r="D496">
        <f>HYPERLINK("https://ota.tournamentsoftware.com/player-profile/4CF0CDA6-2600-4F1B-8775-31212B766E74", "Link")</f>
        <v/>
      </c>
      <c r="E496" s="3" t="n">
        <v>80.40000000000001</v>
      </c>
      <c r="F496" s="4" t="n">
        <v>17</v>
      </c>
      <c r="G496" t="inlineStr">
        <is>
          <t>Ontario Tennis Association</t>
        </is>
      </c>
      <c r="H496" t="inlineStr">
        <is>
          <t>Boulevard Club</t>
        </is>
      </c>
      <c r="I496" t="n">
        <v>38.8</v>
      </c>
      <c r="J496" s="4" t="n">
        <v>86</v>
      </c>
      <c r="K496" t="inlineStr">
        <is>
          <t>49 / 37</t>
        </is>
      </c>
      <c r="L496" t="inlineStr">
        <is>
          <t>14 / 14</t>
        </is>
      </c>
      <c r="M496" s="5" t="n">
        <v>0.57</v>
      </c>
      <c r="N496" s="5" t="n">
        <v>0.5</v>
      </c>
    </row>
    <row r="497">
      <c r="A497" t="n">
        <v>496</v>
      </c>
      <c r="B497" t="n">
        <v>2015</v>
      </c>
      <c r="C497" t="inlineStr">
        <is>
          <t>Savannah Billings</t>
        </is>
      </c>
      <c r="D497">
        <f>HYPERLINK("https://ota.tournamentsoftware.com/player-profile/3C86C2A1-7881-4E07-A889-C842F4C67652", "Link")</f>
        <v/>
      </c>
      <c r="E497" s="3" t="n">
        <v>79.464</v>
      </c>
      <c r="F497" s="4" t="n">
        <v>5</v>
      </c>
      <c r="G497" t="inlineStr">
        <is>
          <t>Tennis Québec</t>
        </is>
      </c>
      <c r="H497" t="inlineStr">
        <is>
          <t>Club Avantage Multi-sports / Académie de tennis Hérisset Bordeleau</t>
        </is>
      </c>
      <c r="I497" t="n">
        <v>34.7</v>
      </c>
      <c r="J497" s="4" t="n">
        <v>13</v>
      </c>
      <c r="K497" t="inlineStr">
        <is>
          <t>8 / 5</t>
        </is>
      </c>
      <c r="L497" t="inlineStr">
        <is>
          <t>8 / 3</t>
        </is>
      </c>
      <c r="M497" s="5" t="n">
        <v>0.62</v>
      </c>
      <c r="N497" s="5" t="n">
        <v>0.73</v>
      </c>
    </row>
    <row r="498">
      <c r="A498" t="n">
        <v>497</v>
      </c>
      <c r="B498" t="n">
        <v>2015</v>
      </c>
      <c r="C498" t="inlineStr">
        <is>
          <t>Mia Gidaro</t>
        </is>
      </c>
      <c r="D498">
        <f>HYPERLINK("https://ota.tournamentsoftware.com/player-profile/17357D82-FEBE-483D-8054-F1F6B85AD8A5", "Link")</f>
        <v/>
      </c>
      <c r="E498" s="3" t="n">
        <v>79.46299999999999</v>
      </c>
      <c r="F498" s="4" t="n">
        <v>12</v>
      </c>
      <c r="G498" t="inlineStr">
        <is>
          <t>Ontario Tennis Association</t>
        </is>
      </c>
      <c r="H498" t="inlineStr">
        <is>
          <t>Baby Point Tennis Club</t>
        </is>
      </c>
      <c r="I498" t="n">
        <v>39.6</v>
      </c>
      <c r="J498" s="4" t="n">
        <v>61</v>
      </c>
      <c r="K498" t="inlineStr">
        <is>
          <t>24 / 37</t>
        </is>
      </c>
      <c r="L498" t="inlineStr">
        <is>
          <t>3 / 7</t>
        </is>
      </c>
      <c r="M498" s="5" t="n">
        <v>0.39</v>
      </c>
      <c r="N498" s="5" t="n">
        <v>0.3</v>
      </c>
    </row>
    <row r="499">
      <c r="A499" t="n">
        <v>498</v>
      </c>
      <c r="B499" t="n">
        <v>2017</v>
      </c>
      <c r="C499" t="inlineStr">
        <is>
          <t>Amelia Alhakim</t>
        </is>
      </c>
      <c r="D499">
        <f>HYPERLINK("https://ota.tournamentsoftware.com/player-profile/0B954ECB-D503-4C36-BD94-6D389AF0D202", "Link")</f>
        <v/>
      </c>
      <c r="E499" s="3" t="n">
        <v>78.968</v>
      </c>
      <c r="F499" s="4" t="n">
        <v>10</v>
      </c>
      <c r="G499" t="inlineStr">
        <is>
          <t>Ontario Tennis Association</t>
        </is>
      </c>
      <c r="H499" t="inlineStr">
        <is>
          <t>Zekelman Tennis Centre</t>
        </is>
      </c>
      <c r="I499" t="n">
        <v>35.9</v>
      </c>
      <c r="J499" s="4" t="n">
        <v>34</v>
      </c>
      <c r="K499" t="inlineStr">
        <is>
          <t>19 / 15</t>
        </is>
      </c>
      <c r="L499" t="inlineStr">
        <is>
          <t>15 / 10</t>
        </is>
      </c>
      <c r="M499" s="5" t="n">
        <v>0.5600000000000001</v>
      </c>
      <c r="N499" s="5" t="n">
        <v>0.6</v>
      </c>
    </row>
    <row r="500">
      <c r="A500" t="n">
        <v>499</v>
      </c>
      <c r="B500" t="n">
        <v>2013</v>
      </c>
      <c r="C500" t="inlineStr">
        <is>
          <t>Lolia Abdrabou</t>
        </is>
      </c>
      <c r="D500">
        <f>HYPERLINK("https://ota.tournamentsoftware.com/player-profile/02101E1E-CCDA-437A-A3E7-8CBDBA76F674", "Link")</f>
        <v/>
      </c>
      <c r="E500" s="3" t="n">
        <v>77.999</v>
      </c>
      <c r="F500" s="4" t="n">
        <v>5</v>
      </c>
      <c r="G500" t="inlineStr">
        <is>
          <t>Tennis Nova Scotia</t>
        </is>
      </c>
      <c r="H500" t="inlineStr">
        <is>
          <t>HEADSTART</t>
        </is>
      </c>
      <c r="I500" t="n">
        <v>38.3</v>
      </c>
      <c r="J500" s="4" t="n">
        <v>22</v>
      </c>
      <c r="K500" t="inlineStr">
        <is>
          <t>13 / 9</t>
        </is>
      </c>
      <c r="L500" t="inlineStr">
        <is>
          <t>2 / 4</t>
        </is>
      </c>
      <c r="M500" s="5" t="n">
        <v>0.59</v>
      </c>
      <c r="N500" s="5" t="n">
        <v>0.33</v>
      </c>
    </row>
    <row r="501">
      <c r="A501" t="n">
        <v>500</v>
      </c>
      <c r="B501" t="n">
        <v>2012</v>
      </c>
      <c r="C501" t="inlineStr">
        <is>
          <t>Clémence Martin</t>
        </is>
      </c>
      <c r="D501">
        <f>HYPERLINK("https://ota.tournamentsoftware.com/player-profile/CF2B02DD-EFB8-49FD-8774-B98F78A30C1A", "Link")</f>
        <v/>
      </c>
      <c r="E501" s="3" t="n">
        <v>77.863</v>
      </c>
      <c r="F501" s="4" t="n">
        <v>3</v>
      </c>
      <c r="G501" t="inlineStr">
        <is>
          <t>Tennis Québec</t>
        </is>
      </c>
      <c r="H501" t="inlineStr">
        <is>
          <t>Centre sportif Sport Scène / Élite Tennis Académie</t>
        </is>
      </c>
      <c r="I501" t="n">
        <v>39.6</v>
      </c>
      <c r="J501" s="4" t="n">
        <v>28</v>
      </c>
      <c r="K501" t="inlineStr">
        <is>
          <t>15 / 13</t>
        </is>
      </c>
      <c r="L501" t="inlineStr">
        <is>
          <t>1 / 3</t>
        </is>
      </c>
      <c r="M501" s="5" t="n">
        <v>0.54</v>
      </c>
      <c r="N501" s="5" t="n">
        <v>0.25</v>
      </c>
    </row>
    <row r="502">
      <c r="A502" t="n">
        <v>501</v>
      </c>
      <c r="B502" t="n">
        <v>2014</v>
      </c>
      <c r="C502" t="inlineStr">
        <is>
          <t>Olivia Hesse</t>
        </is>
      </c>
      <c r="D502">
        <f>HYPERLINK("https://ota.tournamentsoftware.com/player-profile/18AF6D11-FB26-470D-81A9-00DC98F16884", "Link")</f>
        <v/>
      </c>
      <c r="E502" s="3" t="n">
        <v>77.577</v>
      </c>
      <c r="F502" s="4" t="n">
        <v>8</v>
      </c>
      <c r="G502" t="inlineStr">
        <is>
          <t>Ontario Tennis Association</t>
        </is>
      </c>
      <c r="H502" t="inlineStr">
        <is>
          <t>Boulevard Club</t>
        </is>
      </c>
      <c r="I502" t="n">
        <v>38.6</v>
      </c>
      <c r="J502" s="4" t="n">
        <v>60</v>
      </c>
      <c r="K502" t="inlineStr">
        <is>
          <t>24 / 36</t>
        </is>
      </c>
      <c r="L502" t="inlineStr">
        <is>
          <t>6 / 7</t>
        </is>
      </c>
      <c r="M502" s="5" t="n">
        <v>0.4</v>
      </c>
      <c r="N502" s="5" t="n">
        <v>0.46</v>
      </c>
    </row>
    <row r="503">
      <c r="A503" t="n">
        <v>502</v>
      </c>
      <c r="B503" t="n">
        <v>2014</v>
      </c>
      <c r="C503" t="inlineStr">
        <is>
          <t>Yue Zhang</t>
        </is>
      </c>
      <c r="D503">
        <f>HYPERLINK("https://ota.tournamentsoftware.com/player-profile/85239D79-7080-4052-A527-EE7F087184E4", "Link")</f>
        <v/>
      </c>
      <c r="E503" s="3" t="n">
        <v>76.623</v>
      </c>
      <c r="F503" s="4" t="n">
        <v>6</v>
      </c>
      <c r="G503" t="inlineStr">
        <is>
          <t>Tennis Nova Scotia</t>
        </is>
      </c>
      <c r="H503" t="inlineStr">
        <is>
          <t>Atlantic Tennis Centre</t>
        </is>
      </c>
      <c r="I503" t="n">
        <v>40</v>
      </c>
      <c r="J503" s="4" t="n">
        <v>36</v>
      </c>
      <c r="K503" t="inlineStr">
        <is>
          <t>14 / 22</t>
        </is>
      </c>
      <c r="L503" t="inlineStr">
        <is>
          <t>5 / 11</t>
        </is>
      </c>
      <c r="M503" s="5" t="n">
        <v>0.39</v>
      </c>
      <c r="N503" s="5" t="n">
        <v>0.31</v>
      </c>
    </row>
    <row r="504">
      <c r="A504" t="n">
        <v>503</v>
      </c>
      <c r="B504" t="n">
        <v>2013</v>
      </c>
      <c r="C504" t="inlineStr">
        <is>
          <t>Eva Eile</t>
        </is>
      </c>
      <c r="D504">
        <f>HYPERLINK("https://ota.tournamentsoftware.com/player-profile/EE5E7036-3979-48DF-A095-8C40584653EF", "Link")</f>
        <v/>
      </c>
      <c r="E504" s="3" t="n">
        <v>75.67100000000001</v>
      </c>
      <c r="F504" s="4" t="n">
        <v>10</v>
      </c>
      <c r="G504" t="inlineStr">
        <is>
          <t>Tennis Québec</t>
        </is>
      </c>
      <c r="H504" t="inlineStr">
        <is>
          <t>Midtown Le Sporting Club Sanctuaire</t>
        </is>
      </c>
      <c r="I504" t="n">
        <v>40</v>
      </c>
      <c r="J504" s="4" t="n">
        <v>18</v>
      </c>
      <c r="K504" t="inlineStr">
        <is>
          <t>3 / 15</t>
        </is>
      </c>
      <c r="L504" t="inlineStr">
        <is>
          <t>0 / 4</t>
        </is>
      </c>
      <c r="M504" s="5" t="n">
        <v>0.17</v>
      </c>
      <c r="N504" s="5" t="n">
        <v>0</v>
      </c>
    </row>
    <row r="505">
      <c r="A505" t="n">
        <v>504</v>
      </c>
      <c r="B505" t="n">
        <v>2015</v>
      </c>
      <c r="C505" t="inlineStr">
        <is>
          <t>zhiyi li</t>
        </is>
      </c>
      <c r="D505">
        <f>HYPERLINK("https://ota.tournamentsoftware.com/player-profile/262E56E9-3220-45C2-961D-ACE763C5C345", "Link")</f>
        <v/>
      </c>
      <c r="E505" s="3" t="n">
        <v>74.52</v>
      </c>
      <c r="F505" s="4" t="n">
        <v>10</v>
      </c>
      <c r="G505" t="inlineStr">
        <is>
          <t>Ontario Tennis Association</t>
        </is>
      </c>
      <c r="H505" t="inlineStr">
        <is>
          <t>Rideau Sports Centre</t>
        </is>
      </c>
      <c r="I505" t="n">
        <v>38.7</v>
      </c>
      <c r="J505" s="4" t="n">
        <v>83</v>
      </c>
      <c r="K505" t="inlineStr">
        <is>
          <t>44 / 39</t>
        </is>
      </c>
      <c r="L505" t="inlineStr">
        <is>
          <t>8 / 9</t>
        </is>
      </c>
      <c r="M505" s="5" t="n">
        <v>0.53</v>
      </c>
      <c r="N505" s="5" t="n">
        <v>0.47</v>
      </c>
    </row>
    <row r="506">
      <c r="A506" t="n">
        <v>505</v>
      </c>
      <c r="B506" t="n">
        <v>2013</v>
      </c>
      <c r="C506" t="inlineStr">
        <is>
          <t>Emma Victoria Chan</t>
        </is>
      </c>
      <c r="D506">
        <f>HYPERLINK("https://ota.tournamentsoftware.com/player-profile/29822B25-6004-4E31-822F-CF8FF1CD9AB7", "Link")</f>
        <v/>
      </c>
      <c r="E506" s="3" t="n">
        <v>74.184</v>
      </c>
      <c r="F506" s="4" t="n">
        <v>8</v>
      </c>
      <c r="G506" t="inlineStr">
        <is>
          <t>Ontario Tennis Association</t>
        </is>
      </c>
      <c r="H506" t="inlineStr">
        <is>
          <t>Joshua Creek Golf &amp; Tennis</t>
        </is>
      </c>
      <c r="I506" t="n">
        <v>38.1</v>
      </c>
      <c r="J506" s="4" t="n">
        <v>64</v>
      </c>
      <c r="K506" t="inlineStr">
        <is>
          <t>40 / 24</t>
        </is>
      </c>
      <c r="L506" t="inlineStr">
        <is>
          <t>12 / 4</t>
        </is>
      </c>
      <c r="M506" s="5" t="n">
        <v>0.62</v>
      </c>
      <c r="N506" s="5" t="n">
        <v>0.75</v>
      </c>
    </row>
    <row r="507">
      <c r="A507" t="n">
        <v>506</v>
      </c>
      <c r="B507" t="n">
        <v>2013</v>
      </c>
      <c r="C507" t="inlineStr">
        <is>
          <t>Isabelle Duvinage</t>
        </is>
      </c>
      <c r="D507">
        <f>HYPERLINK("https://ota.tournamentsoftware.com/player-profile/7B9DB032-AD8C-41C5-A138-CF844016B7C1", "Link")</f>
        <v/>
      </c>
      <c r="E507" s="3" t="n">
        <v>72.459</v>
      </c>
      <c r="F507" s="4" t="n">
        <v>4</v>
      </c>
      <c r="G507" t="inlineStr">
        <is>
          <t>Ontario Tennis Association</t>
        </is>
      </c>
      <c r="H507" t="inlineStr">
        <is>
          <t>Kew Gardens Tennis Club</t>
        </is>
      </c>
      <c r="I507" t="n">
        <v>40</v>
      </c>
      <c r="J507" s="4" t="n">
        <v>36</v>
      </c>
      <c r="K507" t="inlineStr">
        <is>
          <t>12 / 24</t>
        </is>
      </c>
      <c r="L507" t="inlineStr">
        <is>
          <t>1 / 4</t>
        </is>
      </c>
      <c r="M507" s="5" t="n">
        <v>0.33</v>
      </c>
      <c r="N507" s="5" t="n">
        <v>0.2</v>
      </c>
    </row>
    <row r="508">
      <c r="A508" t="n">
        <v>507</v>
      </c>
      <c r="B508" t="n">
        <v>2016</v>
      </c>
      <c r="C508" t="inlineStr">
        <is>
          <t>Grace SHI</t>
        </is>
      </c>
      <c r="D508">
        <f>HYPERLINK("https://ota.tournamentsoftware.com/player-profile/71A1D6E1-33D1-46A0-AF21-F397AE1BA314", "Link")</f>
        <v/>
      </c>
      <c r="E508" s="3" t="n">
        <v>70.416</v>
      </c>
      <c r="F508" s="4" t="n">
        <v>10</v>
      </c>
      <c r="G508" t="inlineStr">
        <is>
          <t>British Columbia</t>
        </is>
      </c>
      <c r="H508" t="inlineStr">
        <is>
          <t>No Club</t>
        </is>
      </c>
      <c r="I508" t="n">
        <v>40</v>
      </c>
      <c r="J508" s="4" t="n">
        <v>48</v>
      </c>
      <c r="K508" t="inlineStr">
        <is>
          <t>16 / 32</t>
        </is>
      </c>
      <c r="L508" t="inlineStr">
        <is>
          <t>9 / 13</t>
        </is>
      </c>
      <c r="M508" s="5" t="n">
        <v>0.33</v>
      </c>
      <c r="N508" s="5" t="n">
        <v>0.41</v>
      </c>
    </row>
    <row r="509">
      <c r="A509" t="n">
        <v>508</v>
      </c>
      <c r="B509" t="n">
        <v>2013</v>
      </c>
      <c r="C509" t="inlineStr">
        <is>
          <t>Lydia Squires-Sturge</t>
        </is>
      </c>
      <c r="D509">
        <f>HYPERLINK("https://ota.tournamentsoftware.com/player-profile/AD6D5BEF-6293-4DE8-BF13-52E1A33EF28B", "Link")</f>
        <v/>
      </c>
      <c r="E509" s="3" t="n">
        <v>69.855</v>
      </c>
      <c r="F509" s="4" t="n">
        <v>5</v>
      </c>
      <c r="G509" t="inlineStr">
        <is>
          <t>Tennis Newfoundland &amp; Labrador</t>
        </is>
      </c>
      <c r="H509" t="inlineStr">
        <is>
          <t>Mount Pearl Tennis Club</t>
        </is>
      </c>
      <c r="I509" t="inlineStr">
        <is>
          <t>unavailable</t>
        </is>
      </c>
      <c r="J509" s="4" t="n">
        <v>23</v>
      </c>
      <c r="K509" t="inlineStr">
        <is>
          <t>7 / 16</t>
        </is>
      </c>
      <c r="L509" t="inlineStr">
        <is>
          <t>0 / 4</t>
        </is>
      </c>
      <c r="M509" s="5" t="n">
        <v>0.3</v>
      </c>
      <c r="N509" s="5" t="n">
        <v>0</v>
      </c>
    </row>
    <row r="510">
      <c r="A510" t="n">
        <v>509</v>
      </c>
      <c r="B510" t="n">
        <v>2015</v>
      </c>
      <c r="C510" t="inlineStr">
        <is>
          <t>Emilia Ho</t>
        </is>
      </c>
      <c r="D510">
        <f>HYPERLINK("https://ota.tournamentsoftware.com/player-profile/91D4EC27-5C11-4119-B45C-F3809BFF1CF1", "Link")</f>
        <v/>
      </c>
      <c r="E510" s="3" t="n">
        <v>69.21299999999999</v>
      </c>
      <c r="F510" s="4" t="n">
        <v>15</v>
      </c>
      <c r="G510" t="inlineStr">
        <is>
          <t>Tennis Alberta</t>
        </is>
      </c>
      <c r="H510" t="inlineStr">
        <is>
          <t>Osten &amp; Victor Alberta Tennis Centre</t>
        </is>
      </c>
      <c r="I510" t="n">
        <v>37.7</v>
      </c>
      <c r="J510" s="4" t="n">
        <v>130</v>
      </c>
      <c r="K510" t="inlineStr">
        <is>
          <t>67 / 63</t>
        </is>
      </c>
      <c r="L510" t="inlineStr">
        <is>
          <t>13 / 15</t>
        </is>
      </c>
      <c r="M510" s="5" t="n">
        <v>0.52</v>
      </c>
      <c r="N510" s="5" t="n">
        <v>0.46</v>
      </c>
    </row>
    <row r="511">
      <c r="A511" t="n">
        <v>510</v>
      </c>
      <c r="B511" t="n">
        <v>2016</v>
      </c>
      <c r="C511" t="inlineStr">
        <is>
          <t>Evelyn May</t>
        </is>
      </c>
      <c r="D511">
        <f>HYPERLINK("https://ota.tournamentsoftware.com/player-profile/ABFB9C06-ABE9-4B21-BF57-67179CC1CD5D", "Link")</f>
        <v/>
      </c>
      <c r="E511" s="3" t="n">
        <v>68.914</v>
      </c>
      <c r="F511" s="4" t="n">
        <v>13</v>
      </c>
      <c r="G511" t="inlineStr">
        <is>
          <t>Tennis Québec</t>
        </is>
      </c>
      <c r="H511" t="inlineStr">
        <is>
          <t>Tennis 13 / Académie Ménard et associé</t>
        </is>
      </c>
      <c r="I511" t="n">
        <v>37.3</v>
      </c>
      <c r="J511" s="4" t="n">
        <v>174</v>
      </c>
      <c r="K511" t="inlineStr">
        <is>
          <t>107 / 67</t>
        </is>
      </c>
      <c r="L511" t="inlineStr">
        <is>
          <t>10 / 11</t>
        </is>
      </c>
      <c r="M511" s="5" t="n">
        <v>0.61</v>
      </c>
      <c r="N511" s="5" t="n">
        <v>0.48</v>
      </c>
    </row>
    <row r="512">
      <c r="A512" t="n">
        <v>511</v>
      </c>
      <c r="B512" t="n">
        <v>2014</v>
      </c>
      <c r="C512" t="inlineStr">
        <is>
          <t>Alexis Sokol</t>
        </is>
      </c>
      <c r="D512">
        <f>HYPERLINK("https://ota.tournamentsoftware.com/player-profile/8337D953-FBB9-45F2-B72A-FF18B572FA6A", "Link")</f>
        <v/>
      </c>
      <c r="E512" s="3" t="n">
        <v>68.806</v>
      </c>
      <c r="F512" s="4" t="n">
        <v>9</v>
      </c>
      <c r="G512" t="inlineStr">
        <is>
          <t>Tennis Alberta</t>
        </is>
      </c>
      <c r="H512" t="inlineStr">
        <is>
          <t>Saville Community Sports Centre</t>
        </is>
      </c>
      <c r="I512" t="n">
        <v>39.2</v>
      </c>
      <c r="J512" s="4" t="n">
        <v>21</v>
      </c>
      <c r="K512" t="inlineStr">
        <is>
          <t>8 / 13</t>
        </is>
      </c>
      <c r="L512" t="inlineStr">
        <is>
          <t>6 / 9</t>
        </is>
      </c>
      <c r="M512" s="5" t="n">
        <v>0.38</v>
      </c>
      <c r="N512" s="5" t="n">
        <v>0.4</v>
      </c>
    </row>
    <row r="513">
      <c r="A513" t="n">
        <v>512</v>
      </c>
      <c r="B513" t="n">
        <v>2014</v>
      </c>
      <c r="C513" t="inlineStr">
        <is>
          <t>Aditri Mundhra</t>
        </is>
      </c>
      <c r="D513">
        <f>HYPERLINK("https://ota.tournamentsoftware.com/player-profile/C7A9A9F1-2DF6-42CD-AA71-F15C9BFFA6EB", "Link")</f>
        <v/>
      </c>
      <c r="E513" s="3" t="n">
        <v>68.73099999999999</v>
      </c>
      <c r="F513" s="4" t="n">
        <v>16</v>
      </c>
      <c r="G513" t="inlineStr">
        <is>
          <t>British Columbia</t>
        </is>
      </c>
      <c r="H513" t="inlineStr">
        <is>
          <t>The Tennis Centre</t>
        </is>
      </c>
      <c r="I513" t="n">
        <v>38.6</v>
      </c>
      <c r="J513" s="4" t="n">
        <v>44</v>
      </c>
      <c r="K513" t="inlineStr">
        <is>
          <t>16 / 28</t>
        </is>
      </c>
      <c r="L513" t="inlineStr">
        <is>
          <t>12 / 15</t>
        </is>
      </c>
      <c r="M513" s="5" t="n">
        <v>0.36</v>
      </c>
      <c r="N513" s="5" t="n">
        <v>0.44</v>
      </c>
    </row>
    <row r="514">
      <c r="A514" t="n">
        <v>513</v>
      </c>
      <c r="B514" t="n">
        <v>2014</v>
      </c>
      <c r="C514" t="inlineStr">
        <is>
          <t>Kaitlynn Xie</t>
        </is>
      </c>
      <c r="D514">
        <f>HYPERLINK("https://ota.tournamentsoftware.com/player-profile/25655CF4-99DC-4E1E-BE40-C11FF6785117", "Link")</f>
        <v/>
      </c>
      <c r="E514" s="3" t="n">
        <v>68.715</v>
      </c>
      <c r="F514" s="4" t="n">
        <v>8</v>
      </c>
      <c r="G514" t="inlineStr">
        <is>
          <t>Tennis Alberta</t>
        </is>
      </c>
      <c r="H514" t="inlineStr">
        <is>
          <t>Saville Community Sports Centre</t>
        </is>
      </c>
      <c r="I514" t="n">
        <v>38.4</v>
      </c>
      <c r="J514" s="4" t="n">
        <v>57</v>
      </c>
      <c r="K514" t="inlineStr">
        <is>
          <t>19 / 38</t>
        </is>
      </c>
      <c r="L514" t="inlineStr">
        <is>
          <t>7 / 12</t>
        </is>
      </c>
      <c r="M514" s="5" t="n">
        <v>0.33</v>
      </c>
      <c r="N514" s="5" t="n">
        <v>0.37</v>
      </c>
    </row>
    <row r="515">
      <c r="A515" t="n">
        <v>514</v>
      </c>
      <c r="B515" t="n">
        <v>2014</v>
      </c>
      <c r="C515" t="inlineStr">
        <is>
          <t>Mioara Oulima Bouyela</t>
        </is>
      </c>
      <c r="D515">
        <f>HYPERLINK("https://ota.tournamentsoftware.com/player-profile/44DDF62F-2675-4E36-B215-8515347ABD9E", "Link")</f>
        <v/>
      </c>
      <c r="E515" s="3" t="n">
        <v>67.357</v>
      </c>
      <c r="F515" s="4" t="n">
        <v>15</v>
      </c>
      <c r="G515" t="inlineStr">
        <is>
          <t>Tennis Québec</t>
        </is>
      </c>
      <c r="H515" t="inlineStr">
        <is>
          <t>Tennis 13</t>
        </is>
      </c>
      <c r="I515" t="n">
        <v>40</v>
      </c>
      <c r="J515" s="4" t="n">
        <v>81</v>
      </c>
      <c r="K515" t="inlineStr">
        <is>
          <t>33 / 48</t>
        </is>
      </c>
      <c r="L515" t="inlineStr">
        <is>
          <t>9 / 12</t>
        </is>
      </c>
      <c r="M515" s="5" t="n">
        <v>0.41</v>
      </c>
      <c r="N515" s="5" t="n">
        <v>0.43</v>
      </c>
    </row>
    <row r="516">
      <c r="A516" t="n">
        <v>515</v>
      </c>
      <c r="B516" t="n">
        <v>2013</v>
      </c>
      <c r="C516" t="inlineStr">
        <is>
          <t>Camélia Duong</t>
        </is>
      </c>
      <c r="D516">
        <f>HYPERLINK("https://ota.tournamentsoftware.com/player-profile/86B52BC3-1BF6-4334-8E35-8F6D2AF1C95B", "Link")</f>
        <v/>
      </c>
      <c r="E516" s="3" t="n">
        <v>67.227</v>
      </c>
      <c r="F516" s="4" t="n">
        <v>11</v>
      </c>
      <c r="G516" t="inlineStr">
        <is>
          <t>Tennis Québec</t>
        </is>
      </c>
      <c r="H516" t="inlineStr">
        <is>
          <t>Tennis Ile- des- Soeurs</t>
        </is>
      </c>
      <c r="I516" t="n">
        <v>40</v>
      </c>
      <c r="J516" s="4" t="n">
        <v>58</v>
      </c>
      <c r="K516" t="inlineStr">
        <is>
          <t>9 / 49</t>
        </is>
      </c>
      <c r="L516" t="inlineStr">
        <is>
          <t>1 / 6</t>
        </is>
      </c>
      <c r="M516" s="5" t="n">
        <v>0.16</v>
      </c>
      <c r="N516" s="5" t="n">
        <v>0.14</v>
      </c>
    </row>
    <row r="517">
      <c r="A517" t="n">
        <v>516</v>
      </c>
      <c r="B517" t="n">
        <v>2014</v>
      </c>
      <c r="C517" t="inlineStr">
        <is>
          <t>Melissa Elena Rusu</t>
        </is>
      </c>
      <c r="D517">
        <f>HYPERLINK("https://ota.tournamentsoftware.com/player-profile/9F55033D-1DF5-465D-A3A2-401E58DF9FEB", "Link")</f>
        <v/>
      </c>
      <c r="E517" s="3" t="n">
        <v>67.018</v>
      </c>
      <c r="F517" s="4" t="n">
        <v>15</v>
      </c>
      <c r="G517" t="inlineStr">
        <is>
          <t>Tennis Québec</t>
        </is>
      </c>
      <c r="H517" t="inlineStr">
        <is>
          <t>Carrefour Multisports - Haute Performance</t>
        </is>
      </c>
      <c r="I517" t="n">
        <v>40</v>
      </c>
      <c r="J517" s="4" t="n">
        <v>55</v>
      </c>
      <c r="K517" t="inlineStr">
        <is>
          <t>18 / 37</t>
        </is>
      </c>
      <c r="L517" t="inlineStr">
        <is>
          <t>3 / 14</t>
        </is>
      </c>
      <c r="M517" s="5" t="n">
        <v>0.33</v>
      </c>
      <c r="N517" s="5" t="n">
        <v>0.18</v>
      </c>
    </row>
    <row r="518">
      <c r="A518" t="n">
        <v>517</v>
      </c>
      <c r="B518" t="n">
        <v>2013</v>
      </c>
      <c r="C518" t="inlineStr">
        <is>
          <t>Avery Hao</t>
        </is>
      </c>
      <c r="D518">
        <f>HYPERLINK("https://ota.tournamentsoftware.com/player-profile/4D297E0A-97AD-4487-A64F-403E8B3ACA30", "Link")</f>
        <v/>
      </c>
      <c r="E518" s="3" t="n">
        <v>66.913</v>
      </c>
      <c r="F518" s="4" t="n">
        <v>4</v>
      </c>
      <c r="G518" t="inlineStr">
        <is>
          <t>Ontario Tennis Association</t>
        </is>
      </c>
      <c r="H518" t="inlineStr">
        <is>
          <t>Elmridge Tennis Club</t>
        </is>
      </c>
      <c r="I518" t="n">
        <v>40</v>
      </c>
      <c r="J518" s="4" t="n">
        <v>13</v>
      </c>
      <c r="K518" t="inlineStr">
        <is>
          <t>4 / 9</t>
        </is>
      </c>
      <c r="L518" t="inlineStr">
        <is>
          <t>0 / 3</t>
        </is>
      </c>
      <c r="M518" s="5" t="n">
        <v>0.31</v>
      </c>
      <c r="N518" s="5" t="n">
        <v>0</v>
      </c>
    </row>
    <row r="519">
      <c r="A519" t="n">
        <v>518</v>
      </c>
      <c r="B519" t="n">
        <v>2013</v>
      </c>
      <c r="C519" t="inlineStr">
        <is>
          <t>Victoria maya Carinci</t>
        </is>
      </c>
      <c r="D519">
        <f>HYPERLINK("https://ota.tournamentsoftware.com/player-profile/767AAF86-8D36-4699-8113-86AA6DA60CE4", "Link")</f>
        <v/>
      </c>
      <c r="E519" s="3" t="n">
        <v>66.372</v>
      </c>
      <c r="F519" s="4" t="n">
        <v>11</v>
      </c>
      <c r="G519" t="inlineStr">
        <is>
          <t>Ontario Tennis Association</t>
        </is>
      </c>
      <c r="H519" t="inlineStr">
        <is>
          <t>Concord Tennis Academy</t>
        </is>
      </c>
      <c r="I519" t="n">
        <v>40</v>
      </c>
      <c r="J519" s="4" t="n">
        <v>37</v>
      </c>
      <c r="K519" t="inlineStr">
        <is>
          <t>8 / 29</t>
        </is>
      </c>
      <c r="L519" t="inlineStr">
        <is>
          <t>0 / 8</t>
        </is>
      </c>
      <c r="M519" s="5" t="n">
        <v>0.22</v>
      </c>
      <c r="N519" s="5" t="n">
        <v>0</v>
      </c>
    </row>
    <row r="520">
      <c r="A520" t="n">
        <v>519</v>
      </c>
      <c r="B520" t="n">
        <v>2012</v>
      </c>
      <c r="C520" t="inlineStr">
        <is>
          <t>Daisy Brown</t>
        </is>
      </c>
      <c r="D520">
        <f>HYPERLINK("https://ota.tournamentsoftware.com/player-profile/9CF1A8A4-6BA5-46C8-92F4-3E802A738811", "Link")</f>
        <v/>
      </c>
      <c r="E520" s="3" t="n">
        <v>66.343</v>
      </c>
      <c r="F520" s="4" t="n">
        <v>6</v>
      </c>
      <c r="G520" t="inlineStr">
        <is>
          <t>British Columbia</t>
        </is>
      </c>
      <c r="H520" t="inlineStr">
        <is>
          <t>Oak Bay Recreation Centre</t>
        </is>
      </c>
      <c r="I520" t="n">
        <v>39.1</v>
      </c>
      <c r="J520" s="4" t="n">
        <v>59</v>
      </c>
      <c r="K520" t="inlineStr">
        <is>
          <t>33 / 26</t>
        </is>
      </c>
      <c r="L520" t="inlineStr">
        <is>
          <t>3 / 4</t>
        </is>
      </c>
      <c r="M520" s="5" t="n">
        <v>0.5600000000000001</v>
      </c>
      <c r="N520" s="5" t="n">
        <v>0.43</v>
      </c>
    </row>
    <row r="521">
      <c r="A521" t="n">
        <v>520</v>
      </c>
      <c r="B521" t="n">
        <v>2013</v>
      </c>
      <c r="C521" t="inlineStr">
        <is>
          <t>Emilia Sofia Urkedal</t>
        </is>
      </c>
      <c r="D521">
        <f>HYPERLINK("https://ota.tournamentsoftware.com/player-profile/381713CB-202F-43FD-B96F-4B364BE2EE52", "Link")</f>
        <v/>
      </c>
      <c r="E521" s="3" t="n">
        <v>66.309</v>
      </c>
      <c r="F521" s="4" t="n">
        <v>9</v>
      </c>
      <c r="G521" t="inlineStr">
        <is>
          <t>Ontario Tennis Association</t>
        </is>
      </c>
      <c r="H521" t="inlineStr">
        <is>
          <t>Greenhills Golf Club</t>
        </is>
      </c>
      <c r="I521" t="n">
        <v>40</v>
      </c>
      <c r="J521" s="4" t="n">
        <v>67</v>
      </c>
      <c r="K521" t="inlineStr">
        <is>
          <t>16 / 51</t>
        </is>
      </c>
      <c r="L521" t="inlineStr">
        <is>
          <t>3 / 6</t>
        </is>
      </c>
      <c r="M521" s="5" t="n">
        <v>0.24</v>
      </c>
      <c r="N521" s="5" t="n">
        <v>0.33</v>
      </c>
    </row>
    <row r="522">
      <c r="A522" t="n">
        <v>521</v>
      </c>
      <c r="B522" t="n">
        <v>2015</v>
      </c>
      <c r="C522" t="inlineStr">
        <is>
          <t>Brielle Ramirez Balos</t>
        </is>
      </c>
      <c r="D522">
        <f>HYPERLINK("https://ota.tournamentsoftware.com/player-profile/2F36BC35-A108-44F9-B705-6F2246749033", "Link")</f>
        <v/>
      </c>
      <c r="E522" s="3" t="n">
        <v>66.29000000000001</v>
      </c>
      <c r="F522" s="4" t="n">
        <v>8</v>
      </c>
      <c r="G522" t="inlineStr">
        <is>
          <t>Tennis Alberta</t>
        </is>
      </c>
      <c r="H522" t="inlineStr">
        <is>
          <t>Saville Community Sports Centre</t>
        </is>
      </c>
      <c r="I522" t="inlineStr">
        <is>
          <t>unavailable</t>
        </is>
      </c>
      <c r="J522" s="4" t="n">
        <v>61</v>
      </c>
      <c r="K522" t="inlineStr">
        <is>
          <t>34 / 27</t>
        </is>
      </c>
      <c r="L522" t="inlineStr">
        <is>
          <t>12 / 8</t>
        </is>
      </c>
      <c r="M522" s="5" t="n">
        <v>0.5600000000000001</v>
      </c>
      <c r="N522" s="5" t="n">
        <v>0.6</v>
      </c>
    </row>
    <row r="523">
      <c r="A523" t="n">
        <v>522</v>
      </c>
      <c r="B523" t="n">
        <v>2014</v>
      </c>
      <c r="C523" t="inlineStr">
        <is>
          <t>Clarice de Azevedo Guedes</t>
        </is>
      </c>
      <c r="D523">
        <f>HYPERLINK("https://ota.tournamentsoftware.com/player-profile/027DF0F1-69E8-4220-8263-B26C4D1AFC70", "Link")</f>
        <v/>
      </c>
      <c r="E523" s="3" t="n">
        <v>66.087</v>
      </c>
      <c r="F523" s="4" t="n">
        <v>13</v>
      </c>
      <c r="G523" t="inlineStr">
        <is>
          <t>Tennis Québec</t>
        </is>
      </c>
      <c r="H523" t="inlineStr">
        <is>
          <t>Tennis 13</t>
        </is>
      </c>
      <c r="I523" t="inlineStr">
        <is>
          <t>unavailable</t>
        </is>
      </c>
      <c r="J523" s="4" t="n">
        <v>58</v>
      </c>
      <c r="K523" t="inlineStr">
        <is>
          <t>22 / 36</t>
        </is>
      </c>
      <c r="L523" t="inlineStr">
        <is>
          <t>8 / 10</t>
        </is>
      </c>
      <c r="M523" s="5" t="n">
        <v>0.38</v>
      </c>
      <c r="N523" s="5" t="n">
        <v>0.44</v>
      </c>
    </row>
    <row r="524">
      <c r="A524" t="n">
        <v>523</v>
      </c>
      <c r="B524" t="n">
        <v>2017</v>
      </c>
      <c r="C524" t="inlineStr">
        <is>
          <t>Chen Xi Zhou Kong</t>
        </is>
      </c>
      <c r="D524">
        <f>HYPERLINK("https://ota.tournamentsoftware.com/player-profile/E5CD94C9-63F9-419B-A6E9-CCB6DEF8B502", "Link")</f>
        <v/>
      </c>
      <c r="E524" s="3" t="n">
        <v>66</v>
      </c>
      <c r="F524" s="4" t="n">
        <v>20</v>
      </c>
      <c r="G524" t="inlineStr">
        <is>
          <t>Tennis Québec</t>
        </is>
      </c>
      <c r="H524" t="inlineStr">
        <is>
          <t>Académie Tennis Momentum (club extérieur)</t>
        </is>
      </c>
      <c r="I524" t="inlineStr">
        <is>
          <t>unavailable</t>
        </is>
      </c>
      <c r="J524" s="4" t="n">
        <v>109</v>
      </c>
      <c r="K524" t="inlineStr">
        <is>
          <t>49 / 60</t>
        </is>
      </c>
      <c r="L524" t="inlineStr">
        <is>
          <t>32 / 33</t>
        </is>
      </c>
      <c r="M524" s="5" t="n">
        <v>0.45</v>
      </c>
      <c r="N524" s="5" t="n">
        <v>0.49</v>
      </c>
    </row>
    <row r="525">
      <c r="A525" t="n">
        <v>524</v>
      </c>
      <c r="B525" t="n">
        <v>2015</v>
      </c>
      <c r="C525" t="inlineStr">
        <is>
          <t>Myra Shukla</t>
        </is>
      </c>
      <c r="D525">
        <f>HYPERLINK("https://ota.tournamentsoftware.com/player-profile/2F4B1A1D-35AC-45A0-9F5D-6D5533376D9A", "Link")</f>
        <v/>
      </c>
      <c r="E525" s="3" t="n">
        <v>65.806</v>
      </c>
      <c r="F525" s="4" t="n">
        <v>5</v>
      </c>
      <c r="G525" t="inlineStr">
        <is>
          <t>Ontario Tennis Association</t>
        </is>
      </c>
      <c r="H525" t="inlineStr">
        <is>
          <t>Veneto Tennis Club</t>
        </is>
      </c>
      <c r="I525" t="n">
        <v>39.4</v>
      </c>
      <c r="J525" s="4" t="n">
        <v>81</v>
      </c>
      <c r="K525" t="inlineStr">
        <is>
          <t>34 / 47</t>
        </is>
      </c>
      <c r="L525" t="inlineStr">
        <is>
          <t>1 / 4</t>
        </is>
      </c>
      <c r="M525" s="5" t="n">
        <v>0.42</v>
      </c>
      <c r="N525" s="5" t="n">
        <v>0.2</v>
      </c>
    </row>
    <row r="526">
      <c r="A526" t="n">
        <v>525</v>
      </c>
      <c r="B526" t="n">
        <v>2012</v>
      </c>
      <c r="C526" t="inlineStr">
        <is>
          <t>Diya Anand</t>
        </is>
      </c>
      <c r="D526">
        <f>HYPERLINK("https://ota.tournamentsoftware.com/player-profile/3939C1EF-E95B-4DD4-9208-81F6E4D5387F", "Link")</f>
        <v/>
      </c>
      <c r="E526" s="3" t="n">
        <v>65.70999999999999</v>
      </c>
      <c r="F526" s="4" t="n">
        <v>5</v>
      </c>
      <c r="G526" t="inlineStr">
        <is>
          <t>Ontario Tennis Association</t>
        </is>
      </c>
      <c r="H526" t="inlineStr">
        <is>
          <t>Rosedale Tennis Club (Hamilton)</t>
        </is>
      </c>
      <c r="I526" t="inlineStr">
        <is>
          <t>unavailable</t>
        </is>
      </c>
      <c r="J526" s="4" t="n">
        <v>20</v>
      </c>
      <c r="K526" t="inlineStr">
        <is>
          <t>4 / 16</t>
        </is>
      </c>
      <c r="L526" t="inlineStr">
        <is>
          <t>1 / 6</t>
        </is>
      </c>
      <c r="M526" s="5" t="n">
        <v>0.2</v>
      </c>
      <c r="N526" s="5" t="n">
        <v>0.14</v>
      </c>
    </row>
    <row r="527">
      <c r="A527" t="n">
        <v>526</v>
      </c>
      <c r="B527" t="n">
        <v>2014</v>
      </c>
      <c r="C527" t="inlineStr">
        <is>
          <t>Zoey Folashakin</t>
        </is>
      </c>
      <c r="D527">
        <f>HYPERLINK("https://ota.tournamentsoftware.com/player-profile/3301B942-3C8E-4FE4-9470-6F68EC47669D", "Link")</f>
        <v/>
      </c>
      <c r="E527" s="3" t="n">
        <v>65.664</v>
      </c>
      <c r="F527" s="4" t="n">
        <v>23</v>
      </c>
      <c r="G527" t="inlineStr">
        <is>
          <t>Ontario Tennis Association</t>
        </is>
      </c>
      <c r="H527" t="inlineStr">
        <is>
          <t>Joshua Creek Golf &amp; Tennis</t>
        </is>
      </c>
      <c r="I527" t="n">
        <v>39.2</v>
      </c>
      <c r="J527" s="4" t="n">
        <v>66</v>
      </c>
      <c r="K527" t="inlineStr">
        <is>
          <t>14 / 52</t>
        </is>
      </c>
      <c r="L527" t="inlineStr">
        <is>
          <t>10 / 13</t>
        </is>
      </c>
      <c r="M527" s="5" t="n">
        <v>0.21</v>
      </c>
      <c r="N527" s="5" t="n">
        <v>0.43</v>
      </c>
    </row>
    <row r="528">
      <c r="A528" t="n">
        <v>527</v>
      </c>
      <c r="B528" t="n">
        <v>2013</v>
      </c>
      <c r="C528" t="inlineStr">
        <is>
          <t>Robyn Abigail Allen</t>
        </is>
      </c>
      <c r="D528">
        <f>HYPERLINK("https://ota.tournamentsoftware.com/player-profile/248A3F67-26CE-43CB-A1BB-A426F8AC9211", "Link")</f>
        <v/>
      </c>
      <c r="E528" s="3" t="n">
        <v>65.42700000000001</v>
      </c>
      <c r="F528" s="4" t="n">
        <v>4</v>
      </c>
      <c r="G528" t="inlineStr">
        <is>
          <t>Ontario Tennis Association</t>
        </is>
      </c>
      <c r="H528" t="inlineStr">
        <is>
          <t>Waterloo Tennis Club</t>
        </is>
      </c>
      <c r="I528" t="inlineStr">
        <is>
          <t>unavailable</t>
        </is>
      </c>
      <c r="J528" s="4" t="n">
        <v>21</v>
      </c>
      <c r="K528" t="inlineStr">
        <is>
          <t>4 / 17</t>
        </is>
      </c>
      <c r="L528" t="inlineStr">
        <is>
          <t>1 / 10</t>
        </is>
      </c>
      <c r="M528" s="5" t="n">
        <v>0.19</v>
      </c>
      <c r="N528" s="5" t="n">
        <v>0.09</v>
      </c>
    </row>
    <row r="529">
      <c r="A529" t="n">
        <v>528</v>
      </c>
      <c r="B529" t="n">
        <v>2016</v>
      </c>
      <c r="C529" t="inlineStr">
        <is>
          <t>Lydia Yinuo Xu</t>
        </is>
      </c>
      <c r="D529">
        <f>HYPERLINK("https://ota.tournamentsoftware.com/player-profile/515F94D6-B979-4BBE-98E6-48CFEF4CE395", "Link")</f>
        <v/>
      </c>
      <c r="E529" s="3" t="n">
        <v>65.28</v>
      </c>
      <c r="F529" s="4" t="n">
        <v>8</v>
      </c>
      <c r="G529" t="inlineStr">
        <is>
          <t>Ontario Tennis Association</t>
        </is>
      </c>
      <c r="H529" t="inlineStr">
        <is>
          <t>Joshua Creek Golf &amp; Tennis</t>
        </is>
      </c>
      <c r="I529" t="n">
        <v>37.6</v>
      </c>
      <c r="J529" s="4" t="n">
        <v>147</v>
      </c>
      <c r="K529" t="inlineStr">
        <is>
          <t>68 / 79</t>
        </is>
      </c>
      <c r="L529" t="inlineStr">
        <is>
          <t>22 / 9</t>
        </is>
      </c>
      <c r="M529" s="5" t="n">
        <v>0.46</v>
      </c>
      <c r="N529" s="5" t="n">
        <v>0.71</v>
      </c>
    </row>
    <row r="530">
      <c r="A530" t="n">
        <v>529</v>
      </c>
      <c r="B530" t="n">
        <v>2015</v>
      </c>
      <c r="C530" t="inlineStr">
        <is>
          <t>Clara Surprenant</t>
        </is>
      </c>
      <c r="D530">
        <f>HYPERLINK("https://ota.tournamentsoftware.com/player-profile/82684D26-C7AE-41C6-893D-5E94585A41D7", "Link")</f>
        <v/>
      </c>
      <c r="E530" s="3" t="n">
        <v>65.02500000000001</v>
      </c>
      <c r="F530" s="4" t="n">
        <v>7</v>
      </c>
      <c r="G530" t="inlineStr">
        <is>
          <t>Tennis Québec</t>
        </is>
      </c>
      <c r="H530" t="inlineStr">
        <is>
          <t>SANI Sport</t>
        </is>
      </c>
      <c r="I530" t="n">
        <v>39.5</v>
      </c>
      <c r="J530" s="4" t="n">
        <v>85</v>
      </c>
      <c r="K530" t="inlineStr">
        <is>
          <t>40 / 45</t>
        </is>
      </c>
      <c r="L530" t="inlineStr">
        <is>
          <t>2 / 4</t>
        </is>
      </c>
      <c r="M530" s="5" t="n">
        <v>0.47</v>
      </c>
      <c r="N530" s="5" t="n">
        <v>0.33</v>
      </c>
    </row>
    <row r="531">
      <c r="A531" t="n">
        <v>530</v>
      </c>
      <c r="B531" t="n">
        <v>2015</v>
      </c>
      <c r="C531" t="inlineStr">
        <is>
          <t>Cara Tereza Nyakahuma</t>
        </is>
      </c>
      <c r="D531">
        <f>HYPERLINK("https://ota.tournamentsoftware.com/player-profile/AFC2100D-E6CB-4B13-AD01-0EBC56083397", "Link")</f>
        <v/>
      </c>
      <c r="E531" s="3" t="n">
        <v>64.486</v>
      </c>
      <c r="F531" s="4" t="n">
        <v>7</v>
      </c>
      <c r="G531" t="inlineStr">
        <is>
          <t>Ontario Tennis Association</t>
        </is>
      </c>
      <c r="H531" t="inlineStr">
        <is>
          <t>Intercounty Tennis Association</t>
        </is>
      </c>
      <c r="I531" t="inlineStr">
        <is>
          <t>unavailable</t>
        </is>
      </c>
      <c r="J531" s="4" t="n">
        <v>140</v>
      </c>
      <c r="K531" t="inlineStr">
        <is>
          <t>89 / 51</t>
        </is>
      </c>
      <c r="L531" t="inlineStr">
        <is>
          <t>6 / 2</t>
        </is>
      </c>
      <c r="M531" s="5" t="n">
        <v>0.64</v>
      </c>
      <c r="N531" s="5" t="n">
        <v>0.75</v>
      </c>
    </row>
    <row r="532">
      <c r="A532" t="n">
        <v>531</v>
      </c>
      <c r="B532" t="n">
        <v>2014</v>
      </c>
      <c r="C532" t="inlineStr">
        <is>
          <t>Sareen Kaur Hehar</t>
        </is>
      </c>
      <c r="D532">
        <f>HYPERLINK("https://ota.tournamentsoftware.com/player-profile/07D185FB-AE5B-444B-BAE8-058B536108E2", "Link")</f>
        <v/>
      </c>
      <c r="E532" s="3" t="n">
        <v>64.065</v>
      </c>
      <c r="F532" s="4" t="n">
        <v>12</v>
      </c>
      <c r="G532" t="inlineStr">
        <is>
          <t>British Columbia</t>
        </is>
      </c>
      <c r="H532" t="inlineStr">
        <is>
          <t>No Club</t>
        </is>
      </c>
      <c r="I532" t="n">
        <v>39.6</v>
      </c>
      <c r="J532" s="4" t="n">
        <v>195</v>
      </c>
      <c r="K532" t="inlineStr">
        <is>
          <t>74 / 121</t>
        </is>
      </c>
      <c r="L532" t="inlineStr">
        <is>
          <t>4 / 9</t>
        </is>
      </c>
      <c r="M532" s="5" t="n">
        <v>0.38</v>
      </c>
      <c r="N532" s="5" t="n">
        <v>0.31</v>
      </c>
    </row>
    <row r="533">
      <c r="A533" t="n">
        <v>532</v>
      </c>
      <c r="B533" t="n">
        <v>2012</v>
      </c>
      <c r="C533" t="inlineStr">
        <is>
          <t>Jemima Edwards</t>
        </is>
      </c>
      <c r="D533">
        <f>HYPERLINK("https://ota.tournamentsoftware.com/player-profile/89C8AA4C-1698-4049-8B88-9B77FC5C4B9B", "Link")</f>
        <v/>
      </c>
      <c r="E533" s="3" t="n">
        <v>64</v>
      </c>
      <c r="F533" s="4" t="n">
        <v>1</v>
      </c>
      <c r="G533" t="inlineStr">
        <is>
          <t>Ontario Tennis Association</t>
        </is>
      </c>
      <c r="H533" t="inlineStr">
        <is>
          <t>Rideau Sports Centre</t>
        </is>
      </c>
      <c r="I533" t="n">
        <v>34.8</v>
      </c>
      <c r="J533" s="4" t="n">
        <v>77</v>
      </c>
      <c r="K533" t="inlineStr">
        <is>
          <t>39 / 38</t>
        </is>
      </c>
      <c r="L533" t="inlineStr">
        <is>
          <t>3 / 1</t>
        </is>
      </c>
      <c r="M533" s="5" t="n">
        <v>0.51</v>
      </c>
      <c r="N533" s="5" t="n">
        <v>0.75</v>
      </c>
    </row>
    <row r="534">
      <c r="A534" t="n">
        <v>533</v>
      </c>
      <c r="B534" t="n">
        <v>2013</v>
      </c>
      <c r="C534" t="inlineStr">
        <is>
          <t>Audrey Humeniuk</t>
        </is>
      </c>
      <c r="D534">
        <f>HYPERLINK("https://ota.tournamentsoftware.com/player-profile/468D56FB-0ABD-4840-82FB-F2B1EB075075", "Link")</f>
        <v/>
      </c>
      <c r="E534" s="3" t="n">
        <v>63.86</v>
      </c>
      <c r="F534" s="4" t="n">
        <v>4</v>
      </c>
      <c r="G534" t="inlineStr">
        <is>
          <t>Ontario Tennis Association</t>
        </is>
      </c>
      <c r="H534" t="inlineStr">
        <is>
          <t>National Tennis School</t>
        </is>
      </c>
      <c r="I534" t="n">
        <v>39.4</v>
      </c>
      <c r="J534" s="4" t="n">
        <v>8</v>
      </c>
      <c r="K534" t="inlineStr">
        <is>
          <t>1 / 7</t>
        </is>
      </c>
      <c r="L534" t="inlineStr">
        <is>
          <t>0 / 3</t>
        </is>
      </c>
      <c r="M534" s="5" t="n">
        <v>0.12</v>
      </c>
      <c r="N534" s="5" t="n">
        <v>0</v>
      </c>
    </row>
    <row r="535">
      <c r="A535" t="n">
        <v>534</v>
      </c>
      <c r="B535" t="n">
        <v>2016</v>
      </c>
      <c r="C535" t="inlineStr">
        <is>
          <t>Paulina Mangal</t>
        </is>
      </c>
      <c r="D535">
        <f>HYPERLINK("https://ota.tournamentsoftware.com/player-profile/ADDD5986-263D-4338-B6C0-6F72A2AC55F7", "Link")</f>
        <v/>
      </c>
      <c r="E535" s="3" t="n">
        <v>63.48</v>
      </c>
      <c r="F535" s="4" t="n">
        <v>20</v>
      </c>
      <c r="G535" t="inlineStr">
        <is>
          <t>Ontario Tennis Association</t>
        </is>
      </c>
      <c r="H535" t="inlineStr">
        <is>
          <t>Premier Racquet Clubs – Mississauga</t>
        </is>
      </c>
      <c r="I535" t="n">
        <v>38.3</v>
      </c>
      <c r="J535" s="4" t="n">
        <v>172</v>
      </c>
      <c r="K535" t="inlineStr">
        <is>
          <t>73 / 99</t>
        </is>
      </c>
      <c r="L535" t="inlineStr">
        <is>
          <t>14 / 14</t>
        </is>
      </c>
      <c r="M535" s="5" t="n">
        <v>0.42</v>
      </c>
      <c r="N535" s="5" t="n">
        <v>0.5</v>
      </c>
    </row>
    <row r="536">
      <c r="A536" t="n">
        <v>535</v>
      </c>
      <c r="B536" t="n">
        <v>2013</v>
      </c>
      <c r="C536" t="inlineStr">
        <is>
          <t>Deborah Zhao</t>
        </is>
      </c>
      <c r="D536">
        <f>HYPERLINK("https://ota.tournamentsoftware.com/player-profile/F6904719-B024-412B-8805-0CEB145651FD", "Link")</f>
        <v/>
      </c>
      <c r="E536" s="3" t="n">
        <v>63.288</v>
      </c>
      <c r="F536" s="4" t="n">
        <v>3</v>
      </c>
      <c r="G536" t="inlineStr">
        <is>
          <t>Tennis Prince Edward Island</t>
        </is>
      </c>
      <c r="H536" t="inlineStr">
        <is>
          <t>Charlottetown Recreation Tennis Group</t>
        </is>
      </c>
      <c r="I536" t="n">
        <v>39.1</v>
      </c>
      <c r="J536" s="4" t="n">
        <v>136</v>
      </c>
      <c r="K536" t="inlineStr">
        <is>
          <t>65 / 71</t>
        </is>
      </c>
      <c r="L536" t="inlineStr">
        <is>
          <t>3 / 7</t>
        </is>
      </c>
      <c r="M536" s="5" t="n">
        <v>0.48</v>
      </c>
      <c r="N536" s="5" t="n">
        <v>0.3</v>
      </c>
    </row>
    <row r="537">
      <c r="A537" t="n">
        <v>536</v>
      </c>
      <c r="B537" t="n">
        <v>2015</v>
      </c>
      <c r="C537" t="inlineStr">
        <is>
          <t>Aayushi Gautam</t>
        </is>
      </c>
      <c r="D537">
        <f>HYPERLINK("https://ota.tournamentsoftware.com/player-profile/A24CEE26-7629-46B9-89B0-12B054D2DFB9", "Link")</f>
        <v/>
      </c>
      <c r="E537" s="3" t="n">
        <v>63.275</v>
      </c>
      <c r="F537" s="4" t="n">
        <v>12</v>
      </c>
      <c r="G537" t="inlineStr">
        <is>
          <t>Tennis Alberta</t>
        </is>
      </c>
      <c r="H537" t="inlineStr">
        <is>
          <t>Saville Community Sports Centre</t>
        </is>
      </c>
      <c r="I537" t="n">
        <v>37.2</v>
      </c>
      <c r="J537" s="4" t="n">
        <v>149</v>
      </c>
      <c r="K537" t="inlineStr">
        <is>
          <t>88 / 61</t>
        </is>
      </c>
      <c r="L537" t="inlineStr">
        <is>
          <t>14 / 7</t>
        </is>
      </c>
      <c r="M537" s="5" t="n">
        <v>0.59</v>
      </c>
      <c r="N537" s="5" t="n">
        <v>0.67</v>
      </c>
    </row>
    <row r="538">
      <c r="A538" t="n">
        <v>537</v>
      </c>
      <c r="B538" t="n">
        <v>2012</v>
      </c>
      <c r="C538" t="inlineStr">
        <is>
          <t>kate zixi ye</t>
        </is>
      </c>
      <c r="D538">
        <f>HYPERLINK("https://ota.tournamentsoftware.com/player-profile/0A8F7797-88F4-49C6-8F3D-6079B8242406", "Link")</f>
        <v/>
      </c>
      <c r="E538" s="3" t="n">
        <v>62.909</v>
      </c>
      <c r="F538" s="4" t="n">
        <v>5</v>
      </c>
      <c r="G538" t="inlineStr">
        <is>
          <t>Ontario Tennis Association</t>
        </is>
      </c>
      <c r="H538" t="inlineStr">
        <is>
          <t>No Club</t>
        </is>
      </c>
      <c r="I538" t="n">
        <v>38.8</v>
      </c>
      <c r="J538" s="4" t="n">
        <v>11</v>
      </c>
      <c r="K538" t="inlineStr">
        <is>
          <t>2 / 9</t>
        </is>
      </c>
      <c r="L538" t="inlineStr">
        <is>
          <t>1 / 4</t>
        </is>
      </c>
      <c r="M538" s="5" t="n">
        <v>0.18</v>
      </c>
      <c r="N538" s="5" t="n">
        <v>0.2</v>
      </c>
    </row>
    <row r="539">
      <c r="A539" t="n">
        <v>538</v>
      </c>
      <c r="B539" t="n">
        <v>2013</v>
      </c>
      <c r="C539" t="inlineStr">
        <is>
          <t>Vina BLANCHARD</t>
        </is>
      </c>
      <c r="D539">
        <f>HYPERLINK("https://ota.tournamentsoftware.com/player-profile/B5AD0E2A-4843-4177-AD96-5A3203B5C718", "Link")</f>
        <v/>
      </c>
      <c r="E539" s="3" t="n">
        <v>62.695</v>
      </c>
      <c r="F539" s="4" t="n">
        <v>6</v>
      </c>
      <c r="G539" t="inlineStr">
        <is>
          <t>Ontario Tennis Association</t>
        </is>
      </c>
      <c r="H539" t="inlineStr">
        <is>
          <t>Ontario Racquet Club</t>
        </is>
      </c>
      <c r="I539" t="inlineStr">
        <is>
          <t>unavailable</t>
        </is>
      </c>
      <c r="J539" s="4" t="n">
        <v>25</v>
      </c>
      <c r="K539" t="inlineStr">
        <is>
          <t>11 / 14</t>
        </is>
      </c>
      <c r="L539" t="inlineStr">
        <is>
          <t>2 / 8</t>
        </is>
      </c>
      <c r="M539" s="5" t="n">
        <v>0.44</v>
      </c>
      <c r="N539" s="5" t="n">
        <v>0.2</v>
      </c>
    </row>
    <row r="540">
      <c r="A540" t="n">
        <v>539</v>
      </c>
      <c r="B540" t="n">
        <v>2014</v>
      </c>
      <c r="C540" t="inlineStr">
        <is>
          <t>Sarah Huang</t>
        </is>
      </c>
      <c r="D540">
        <f>HYPERLINK("https://ota.tournamentsoftware.com/player-profile/535A9ABE-481C-45C4-9357-B8FD9305232E", "Link")</f>
        <v/>
      </c>
      <c r="E540" s="3" t="n">
        <v>62.562</v>
      </c>
      <c r="F540" s="4" t="n">
        <v>14</v>
      </c>
      <c r="G540" t="inlineStr">
        <is>
          <t>Ontario Tennis Association</t>
        </is>
      </c>
      <c r="H540" t="inlineStr">
        <is>
          <t>Premier Racquet Club</t>
        </is>
      </c>
      <c r="I540" t="n">
        <v>39.5</v>
      </c>
      <c r="J540" s="4" t="n">
        <v>107</v>
      </c>
      <c r="K540" t="inlineStr">
        <is>
          <t>35 / 72</t>
        </is>
      </c>
      <c r="L540" t="inlineStr">
        <is>
          <t>1 / 5</t>
        </is>
      </c>
      <c r="M540" s="5" t="n">
        <v>0.33</v>
      </c>
      <c r="N540" s="5" t="n">
        <v>0.17</v>
      </c>
    </row>
    <row r="541">
      <c r="A541" t="n">
        <v>540</v>
      </c>
      <c r="B541" t="n">
        <v>2012</v>
      </c>
      <c r="C541" t="inlineStr">
        <is>
          <t>Hannah Ines Fischer-Kandelas</t>
        </is>
      </c>
      <c r="D541">
        <f>HYPERLINK("https://ota.tournamentsoftware.com/player-profile/672C977E-EE19-4DD0-AE73-F6FCDD2EE1E1", "Link")</f>
        <v/>
      </c>
      <c r="E541" s="3" t="n">
        <v>62.453</v>
      </c>
      <c r="F541" s="4" t="n">
        <v>4</v>
      </c>
      <c r="G541" t="inlineStr">
        <is>
          <t>Ontario Tennis Association</t>
        </is>
      </c>
      <c r="H541" t="inlineStr">
        <is>
          <t>Wychwood Tennis Club</t>
        </is>
      </c>
      <c r="I541" t="n">
        <v>40</v>
      </c>
      <c r="J541" s="4" t="n">
        <v>19</v>
      </c>
      <c r="K541" t="inlineStr">
        <is>
          <t>7 / 12</t>
        </is>
      </c>
      <c r="L541" t="inlineStr">
        <is>
          <t>0 / 6</t>
        </is>
      </c>
      <c r="M541" s="5" t="n">
        <v>0.37</v>
      </c>
      <c r="N541" s="5" t="n">
        <v>0</v>
      </c>
    </row>
    <row r="542">
      <c r="A542" t="n">
        <v>541</v>
      </c>
      <c r="B542" t="n">
        <v>2014</v>
      </c>
      <c r="C542" t="inlineStr">
        <is>
          <t>Chloe Huang</t>
        </is>
      </c>
      <c r="D542">
        <f>HYPERLINK("https://ota.tournamentsoftware.com/player-profile/F00195EB-06BF-48AD-9E24-7FA037871F13", "Link")</f>
        <v/>
      </c>
      <c r="E542" s="3" t="n">
        <v>62.111</v>
      </c>
      <c r="F542" s="4" t="n">
        <v>3</v>
      </c>
      <c r="G542" t="inlineStr">
        <is>
          <t>Ontario Tennis Association</t>
        </is>
      </c>
      <c r="H542" t="inlineStr">
        <is>
          <t>Richmond Hill Country Club</t>
        </is>
      </c>
      <c r="I542" t="n">
        <v>40</v>
      </c>
      <c r="J542" s="4" t="n">
        <v>54</v>
      </c>
      <c r="K542" t="inlineStr">
        <is>
          <t>20 / 34</t>
        </is>
      </c>
      <c r="L542" t="inlineStr">
        <is>
          <t>0 / 3</t>
        </is>
      </c>
      <c r="M542" s="5" t="n">
        <v>0.37</v>
      </c>
      <c r="N542" s="5" t="n">
        <v>0</v>
      </c>
    </row>
    <row r="543">
      <c r="A543" t="n">
        <v>542</v>
      </c>
      <c r="B543" t="n">
        <v>2012</v>
      </c>
      <c r="C543" t="inlineStr">
        <is>
          <t>Alice Zhang</t>
        </is>
      </c>
      <c r="D543">
        <f>HYPERLINK("https://ota.tournamentsoftware.com/player-profile/D65C72B6-843B-48BF-A073-AE5080F1EA2D", "Link")</f>
        <v/>
      </c>
      <c r="E543" s="3" t="n">
        <v>61.807</v>
      </c>
      <c r="F543" s="4" t="n">
        <v>4</v>
      </c>
      <c r="G543" t="inlineStr">
        <is>
          <t>Ontario Tennis Association</t>
        </is>
      </c>
      <c r="H543" t="inlineStr">
        <is>
          <t>ACE Tennis - Burlington</t>
        </is>
      </c>
      <c r="I543" t="n">
        <v>39.7</v>
      </c>
      <c r="J543" s="4" t="n">
        <v>10</v>
      </c>
      <c r="K543" t="inlineStr">
        <is>
          <t>2 / 8</t>
        </is>
      </c>
      <c r="L543" t="inlineStr">
        <is>
          <t>2 / 6</t>
        </is>
      </c>
      <c r="M543" s="5" t="n">
        <v>0.2</v>
      </c>
      <c r="N543" s="5" t="n">
        <v>0.25</v>
      </c>
    </row>
    <row r="544">
      <c r="A544" t="n">
        <v>543</v>
      </c>
      <c r="B544" t="n">
        <v>2015</v>
      </c>
      <c r="C544" t="inlineStr">
        <is>
          <t>Mataya Victoria Jan</t>
        </is>
      </c>
      <c r="D544">
        <f>HYPERLINK("https://ota.tournamentsoftware.com/player-profile/52A288CA-2524-4398-A498-9546CE531A78", "Link")</f>
        <v/>
      </c>
      <c r="E544" s="3" t="n">
        <v>61.111</v>
      </c>
      <c r="F544" s="4" t="n">
        <v>6</v>
      </c>
      <c r="G544" t="inlineStr">
        <is>
          <t>Ontario Tennis Association</t>
        </is>
      </c>
      <c r="H544" t="inlineStr">
        <is>
          <t>Tennis Centre West Ottawa</t>
        </is>
      </c>
      <c r="I544" t="n">
        <v>40</v>
      </c>
      <c r="J544" s="4" t="n">
        <v>11</v>
      </c>
      <c r="K544" t="inlineStr">
        <is>
          <t>0 / 11</t>
        </is>
      </c>
      <c r="L544" t="inlineStr">
        <is>
          <t>0 / 6</t>
        </is>
      </c>
      <c r="M544" s="5" t="n">
        <v>0</v>
      </c>
      <c r="N544" s="5" t="n">
        <v>0</v>
      </c>
    </row>
    <row r="545">
      <c r="A545" t="n">
        <v>544</v>
      </c>
      <c r="B545" t="n">
        <v>2016</v>
      </c>
      <c r="C545" t="inlineStr">
        <is>
          <t>LUXI YANG</t>
        </is>
      </c>
      <c r="D545">
        <f>HYPERLINK("https://ota.tournamentsoftware.com/player-profile/00CB777C-F17D-4A37-8393-1F4E5A4F3C39", "Link")</f>
        <v/>
      </c>
      <c r="E545" s="3" t="n">
        <v>60.216</v>
      </c>
      <c r="F545" s="4" t="n">
        <v>8</v>
      </c>
      <c r="G545" t="inlineStr">
        <is>
          <t>British Columbia</t>
        </is>
      </c>
      <c r="H545" t="inlineStr">
        <is>
          <t>The Tennis Centre</t>
        </is>
      </c>
      <c r="I545" t="n">
        <v>36.8</v>
      </c>
      <c r="J545" s="4" t="n">
        <v>74</v>
      </c>
      <c r="K545" t="inlineStr">
        <is>
          <t>58 / 16</t>
        </is>
      </c>
      <c r="L545" t="inlineStr">
        <is>
          <t>21 / 6</t>
        </is>
      </c>
      <c r="M545" s="5" t="n">
        <v>0.78</v>
      </c>
      <c r="N545" s="5" t="n">
        <v>0.78</v>
      </c>
    </row>
    <row r="546">
      <c r="A546" t="n">
        <v>545</v>
      </c>
      <c r="B546" t="n">
        <v>2015</v>
      </c>
      <c r="C546" t="inlineStr">
        <is>
          <t>Doreen Bowen Mao</t>
        </is>
      </c>
      <c r="D546">
        <f>HYPERLINK("https://ota.tournamentsoftware.com/player-profile/24478EB2-203F-4DE3-92C9-B16D9A60F77F", "Link")</f>
        <v/>
      </c>
      <c r="E546" s="3" t="n">
        <v>59.772</v>
      </c>
      <c r="F546" s="4" t="n">
        <v>13</v>
      </c>
      <c r="G546" t="inlineStr">
        <is>
          <t>Ontario Tennis Association</t>
        </is>
      </c>
      <c r="H546" t="inlineStr">
        <is>
          <t>Joshua Creek Golf &amp; Tennis</t>
        </is>
      </c>
      <c r="I546" t="n">
        <v>39.3</v>
      </c>
      <c r="J546" s="4" t="n">
        <v>77</v>
      </c>
      <c r="K546" t="inlineStr">
        <is>
          <t>32 / 45</t>
        </is>
      </c>
      <c r="L546" t="inlineStr">
        <is>
          <t>17 / 20</t>
        </is>
      </c>
      <c r="M546" s="5" t="n">
        <v>0.42</v>
      </c>
      <c r="N546" s="5" t="n">
        <v>0.46</v>
      </c>
    </row>
    <row r="547">
      <c r="A547" t="n">
        <v>546</v>
      </c>
      <c r="B547" t="n">
        <v>2014</v>
      </c>
      <c r="C547" t="inlineStr">
        <is>
          <t>Bo Brisson</t>
        </is>
      </c>
      <c r="D547">
        <f>HYPERLINK("https://ota.tournamentsoftware.com/player-profile/836F9923-C4A5-42E1-8BF0-0788DAB02146", "Link")</f>
        <v/>
      </c>
      <c r="E547" s="3" t="n">
        <v>59.608</v>
      </c>
      <c r="F547" s="4" t="n">
        <v>6</v>
      </c>
      <c r="G547" t="inlineStr">
        <is>
          <t>Ontario Tennis Association</t>
        </is>
      </c>
      <c r="H547" t="inlineStr">
        <is>
          <t>GSM Tennis Club</t>
        </is>
      </c>
      <c r="I547" t="inlineStr">
        <is>
          <t>unavailable</t>
        </is>
      </c>
      <c r="J547" s="4" t="n">
        <v>117</v>
      </c>
      <c r="K547" t="inlineStr">
        <is>
          <t>38 / 79</t>
        </is>
      </c>
      <c r="L547" t="inlineStr">
        <is>
          <t>4 / 3</t>
        </is>
      </c>
      <c r="M547" s="5" t="n">
        <v>0.32</v>
      </c>
      <c r="N547" s="5" t="n">
        <v>0.57</v>
      </c>
    </row>
    <row r="548">
      <c r="A548" t="n">
        <v>547</v>
      </c>
      <c r="B548" t="n">
        <v>2014</v>
      </c>
      <c r="C548" t="inlineStr">
        <is>
          <t>Tara Nastic</t>
        </is>
      </c>
      <c r="D548">
        <f>HYPERLINK("https://ota.tournamentsoftware.com/player-profile/43FF8AFD-A54E-4011-88C7-132B60B568E8", "Link")</f>
        <v/>
      </c>
      <c r="E548" s="3" t="n">
        <v>59.373</v>
      </c>
      <c r="F548" s="4" t="n">
        <v>5</v>
      </c>
      <c r="G548" t="inlineStr">
        <is>
          <t>Ontario Tennis Association</t>
        </is>
      </c>
      <c r="H548" t="inlineStr">
        <is>
          <t>Royal City Tennis Club</t>
        </is>
      </c>
      <c r="I548" t="inlineStr">
        <is>
          <t>unavailable</t>
        </is>
      </c>
      <c r="J548" s="4" t="n">
        <v>19</v>
      </c>
      <c r="K548" t="inlineStr">
        <is>
          <t>4 / 15</t>
        </is>
      </c>
      <c r="L548" t="inlineStr">
        <is>
          <t>1 / 3</t>
        </is>
      </c>
      <c r="M548" s="5" t="n">
        <v>0.21</v>
      </c>
      <c r="N548" s="5" t="n">
        <v>0.25</v>
      </c>
    </row>
    <row r="549">
      <c r="A549" t="n">
        <v>548</v>
      </c>
      <c r="B549" t="n">
        <v>2013</v>
      </c>
      <c r="C549" t="inlineStr">
        <is>
          <t>Noa Anne Broere</t>
        </is>
      </c>
      <c r="D549">
        <f>HYPERLINK("https://ota.tournamentsoftware.com/player-profile/A5724AD9-99FF-4D46-A565-ED1BBCAE83F4", "Link")</f>
        <v/>
      </c>
      <c r="E549" s="3" t="n">
        <v>59.291</v>
      </c>
      <c r="F549" s="4" t="n">
        <v>17</v>
      </c>
      <c r="G549" t="inlineStr">
        <is>
          <t>British Columbia</t>
        </is>
      </c>
      <c r="H549" t="inlineStr">
        <is>
          <t>Vancouver Lawn Tennis and Badminton Club</t>
        </is>
      </c>
      <c r="I549" t="n">
        <v>39.1</v>
      </c>
      <c r="J549" s="4" t="n">
        <v>75</v>
      </c>
      <c r="K549" t="inlineStr">
        <is>
          <t>30 / 45</t>
        </is>
      </c>
      <c r="L549" t="inlineStr">
        <is>
          <t>9 / 14</t>
        </is>
      </c>
      <c r="M549" s="5" t="n">
        <v>0.4</v>
      </c>
      <c r="N549" s="5" t="n">
        <v>0.39</v>
      </c>
    </row>
    <row r="550">
      <c r="A550" t="n">
        <v>549</v>
      </c>
      <c r="B550" t="n">
        <v>2015</v>
      </c>
      <c r="C550" t="inlineStr">
        <is>
          <t>Alexandria Gianvito</t>
        </is>
      </c>
      <c r="D550">
        <f>HYPERLINK("https://ota.tournamentsoftware.com/player-profile/4A4D327B-3019-4349-8F36-0769D584A4FA", "Link")</f>
        <v/>
      </c>
      <c r="E550" s="3" t="n">
        <v>59.247</v>
      </c>
      <c r="F550" s="4" t="n">
        <v>5</v>
      </c>
      <c r="G550" t="inlineStr">
        <is>
          <t>Tennis Québec</t>
        </is>
      </c>
      <c r="H550" t="inlineStr">
        <is>
          <t>No Club</t>
        </is>
      </c>
      <c r="I550" t="inlineStr">
        <is>
          <t>unavailable</t>
        </is>
      </c>
      <c r="J550" s="4" t="n">
        <v>50</v>
      </c>
      <c r="K550" t="inlineStr">
        <is>
          <t>13 / 37</t>
        </is>
      </c>
      <c r="L550" t="inlineStr">
        <is>
          <t>1 / 5</t>
        </is>
      </c>
      <c r="M550" s="5" t="n">
        <v>0.26</v>
      </c>
      <c r="N550" s="5" t="n">
        <v>0.17</v>
      </c>
    </row>
    <row r="551">
      <c r="A551" t="n">
        <v>550</v>
      </c>
      <c r="B551" t="n">
        <v>2012</v>
      </c>
      <c r="C551" t="inlineStr">
        <is>
          <t>Hannah Cai</t>
        </is>
      </c>
      <c r="D551">
        <f>HYPERLINK("https://ota.tournamentsoftware.com/player-profile/1BCCF189-E78D-4ACB-8654-DA280CB1EBBA", "Link")</f>
        <v/>
      </c>
      <c r="E551" s="3" t="n">
        <v>59.242</v>
      </c>
      <c r="F551" s="4" t="n">
        <v>2</v>
      </c>
      <c r="G551" t="inlineStr">
        <is>
          <t>Ontario Tennis Association</t>
        </is>
      </c>
      <c r="H551" t="inlineStr">
        <is>
          <t>Advantage Tennis International at Veneto</t>
        </is>
      </c>
      <c r="I551" t="inlineStr">
        <is>
          <t>unavailable</t>
        </is>
      </c>
      <c r="J551" s="4" t="n">
        <v>79</v>
      </c>
      <c r="K551" t="inlineStr">
        <is>
          <t>25 / 54</t>
        </is>
      </c>
      <c r="L551" t="inlineStr">
        <is>
          <t>0 / 0</t>
        </is>
      </c>
      <c r="M551" s="5" t="n">
        <v>0.32</v>
      </c>
      <c r="N551" s="5" t="n">
        <v>0</v>
      </c>
    </row>
    <row r="552">
      <c r="A552" t="n">
        <v>551</v>
      </c>
      <c r="B552" t="n">
        <v>2014</v>
      </c>
      <c r="C552" t="inlineStr">
        <is>
          <t>Victoria Guiral</t>
        </is>
      </c>
      <c r="D552">
        <f>HYPERLINK("https://ota.tournamentsoftware.com/player-profile/1DC3BD6C-A3EA-46CB-A6B3-CB5D3D2F1E7D", "Link")</f>
        <v/>
      </c>
      <c r="E552" s="3" t="n">
        <v>59.121</v>
      </c>
      <c r="F552" s="4" t="n">
        <v>4</v>
      </c>
      <c r="G552" t="inlineStr">
        <is>
          <t>Tennis Québec</t>
        </is>
      </c>
      <c r="H552" t="inlineStr">
        <is>
          <t>Tennis Interclub Piedmont</t>
        </is>
      </c>
      <c r="I552" t="n">
        <v>40</v>
      </c>
      <c r="J552" s="4" t="n">
        <v>18</v>
      </c>
      <c r="K552" t="inlineStr">
        <is>
          <t>6 / 12</t>
        </is>
      </c>
      <c r="L552" t="inlineStr">
        <is>
          <t>1 / 5</t>
        </is>
      </c>
      <c r="M552" s="5" t="n">
        <v>0.33</v>
      </c>
      <c r="N552" s="5" t="n">
        <v>0.17</v>
      </c>
    </row>
    <row r="553">
      <c r="A553" t="n">
        <v>552</v>
      </c>
      <c r="B553" t="n">
        <v>2015</v>
      </c>
      <c r="C553" t="inlineStr">
        <is>
          <t>Aria MARTIN</t>
        </is>
      </c>
      <c r="D553">
        <f>HYPERLINK("https://ota.tournamentsoftware.com/player-profile/220708AF-B049-4C3B-83FA-C1AAC60269C5", "Link")</f>
        <v/>
      </c>
      <c r="E553" s="3" t="n">
        <v>58.434</v>
      </c>
      <c r="F553" s="4" t="n">
        <v>16</v>
      </c>
      <c r="G553" t="inlineStr">
        <is>
          <t>British Columbia</t>
        </is>
      </c>
      <c r="H553" t="inlineStr">
        <is>
          <t>Vancouver Lawn Tennis and Badminton Club</t>
        </is>
      </c>
      <c r="I553" t="n">
        <v>38.4</v>
      </c>
      <c r="J553" s="4" t="n">
        <v>133</v>
      </c>
      <c r="K553" t="inlineStr">
        <is>
          <t>53 / 80</t>
        </is>
      </c>
      <c r="L553" t="inlineStr">
        <is>
          <t>24 / 17</t>
        </is>
      </c>
      <c r="M553" s="5" t="n">
        <v>0.4</v>
      </c>
      <c r="N553" s="5" t="n">
        <v>0.59</v>
      </c>
    </row>
    <row r="554">
      <c r="A554" t="n">
        <v>553</v>
      </c>
      <c r="B554" t="n">
        <v>2015</v>
      </c>
      <c r="C554" t="inlineStr">
        <is>
          <t>Maeva Kaur Dhillon</t>
        </is>
      </c>
      <c r="D554">
        <f>HYPERLINK("https://ota.tournamentsoftware.com/player-profile/1E3A662C-1993-423F-99BB-0CD2F93CC62A", "Link")</f>
        <v/>
      </c>
      <c r="E554" s="3" t="n">
        <v>58.125</v>
      </c>
      <c r="F554" s="4" t="n">
        <v>9</v>
      </c>
      <c r="G554" t="inlineStr">
        <is>
          <t>Tennis Alberta</t>
        </is>
      </c>
      <c r="H554" t="inlineStr">
        <is>
          <t>Saville Community Sports Centre</t>
        </is>
      </c>
      <c r="I554" t="n">
        <v>38.8</v>
      </c>
      <c r="J554" s="4" t="n">
        <v>72</v>
      </c>
      <c r="K554" t="inlineStr">
        <is>
          <t>21 / 51</t>
        </is>
      </c>
      <c r="L554" t="inlineStr">
        <is>
          <t>4 / 8</t>
        </is>
      </c>
      <c r="M554" s="5" t="n">
        <v>0.29</v>
      </c>
      <c r="N554" s="5" t="n">
        <v>0.33</v>
      </c>
    </row>
    <row r="555">
      <c r="A555" t="n">
        <v>554</v>
      </c>
      <c r="B555" t="n">
        <v>2013</v>
      </c>
      <c r="C555" t="inlineStr">
        <is>
          <t>Gabrielle Galgay</t>
        </is>
      </c>
      <c r="D555">
        <f>HYPERLINK("https://ota.tournamentsoftware.com/player-profile/1A26365B-FAA0-4130-8F92-B67D497E82D9", "Link")</f>
        <v/>
      </c>
      <c r="E555" s="3" t="n">
        <v>57.069</v>
      </c>
      <c r="F555" s="4" t="n">
        <v>4</v>
      </c>
      <c r="G555" t="inlineStr">
        <is>
          <t>Ontario Tennis Association</t>
        </is>
      </c>
      <c r="H555" t="inlineStr">
        <is>
          <t>No Club</t>
        </is>
      </c>
      <c r="I555" t="n">
        <v>37</v>
      </c>
      <c r="J555" s="4" t="n">
        <v>10</v>
      </c>
      <c r="K555" t="inlineStr">
        <is>
          <t>4 / 6</t>
        </is>
      </c>
      <c r="L555" t="inlineStr">
        <is>
          <t>1 / 3</t>
        </is>
      </c>
      <c r="M555" s="5" t="n">
        <v>0.4</v>
      </c>
      <c r="N555" s="5" t="n">
        <v>0.25</v>
      </c>
    </row>
    <row r="556">
      <c r="A556" t="n">
        <v>555</v>
      </c>
      <c r="B556" t="n">
        <v>2013</v>
      </c>
      <c r="C556" t="inlineStr">
        <is>
          <t>Grace Christina Lawrence</t>
        </is>
      </c>
      <c r="D556">
        <f>HYPERLINK("https://ota.tournamentsoftware.com/player-profile/9FEF2F9B-F202-41CF-8B36-42B1520055E0", "Link")</f>
        <v/>
      </c>
      <c r="E556" s="3" t="n">
        <v>57.027</v>
      </c>
      <c r="F556" s="4" t="n">
        <v>11</v>
      </c>
      <c r="G556" t="inlineStr">
        <is>
          <t>Ontario Tennis Association</t>
        </is>
      </c>
      <c r="H556" t="inlineStr">
        <is>
          <t>Toronto Lawn Tennis Club</t>
        </is>
      </c>
      <c r="I556" t="inlineStr">
        <is>
          <t>unavailable</t>
        </is>
      </c>
      <c r="J556" s="4" t="inlineStr"/>
      <c r="K556" t="inlineStr">
        <is>
          <t>unavailable</t>
        </is>
      </c>
      <c r="L556" t="inlineStr">
        <is>
          <t>unavailable</t>
        </is>
      </c>
      <c r="M556" s="5" t="inlineStr"/>
      <c r="N556" s="5" t="inlineStr"/>
    </row>
    <row r="557">
      <c r="A557" t="n">
        <v>556</v>
      </c>
      <c r="B557" t="n">
        <v>2012</v>
      </c>
      <c r="C557" t="inlineStr">
        <is>
          <t>Chloe Teng</t>
        </is>
      </c>
      <c r="D557">
        <f>HYPERLINK("https://ota.tournamentsoftware.com/player-profile/F5AC5875-4E89-4D3E-BF17-24986F702240", "Link")</f>
        <v/>
      </c>
      <c r="E557" s="3" t="n">
        <v>56.222</v>
      </c>
      <c r="F557" s="4" t="n">
        <v>11</v>
      </c>
      <c r="G557" t="inlineStr">
        <is>
          <t>Ontario Tennis Association</t>
        </is>
      </c>
      <c r="H557" t="inlineStr">
        <is>
          <t>Tennis Clubs of Canada</t>
        </is>
      </c>
      <c r="I557" t="n">
        <v>40</v>
      </c>
      <c r="J557" s="4" t="n">
        <v>36</v>
      </c>
      <c r="K557" t="inlineStr">
        <is>
          <t>10 / 26</t>
        </is>
      </c>
      <c r="L557" t="inlineStr">
        <is>
          <t>7 / 15</t>
        </is>
      </c>
      <c r="M557" s="5" t="n">
        <v>0.28</v>
      </c>
      <c r="N557" s="5" t="n">
        <v>0.32</v>
      </c>
    </row>
    <row r="558">
      <c r="A558" t="n">
        <v>557</v>
      </c>
      <c r="B558" t="n">
        <v>2013</v>
      </c>
      <c r="C558" t="inlineStr">
        <is>
          <t>Quinn Pfaff</t>
        </is>
      </c>
      <c r="D558">
        <f>HYPERLINK("https://ota.tournamentsoftware.com/player-profile/4EE4E18D-7D9C-41F4-B172-783EBB13EF00", "Link")</f>
        <v/>
      </c>
      <c r="E558" s="3" t="n">
        <v>56.091</v>
      </c>
      <c r="F558" s="4" t="n">
        <v>3</v>
      </c>
      <c r="G558" t="inlineStr">
        <is>
          <t>Ontario Tennis Association</t>
        </is>
      </c>
      <c r="H558" t="inlineStr">
        <is>
          <t>Maitland Country Club</t>
        </is>
      </c>
      <c r="I558" t="n">
        <v>39.2</v>
      </c>
      <c r="J558" s="4" t="n">
        <v>3</v>
      </c>
      <c r="K558" t="inlineStr">
        <is>
          <t>0 / 3</t>
        </is>
      </c>
      <c r="L558" t="inlineStr">
        <is>
          <t>0 / 2</t>
        </is>
      </c>
      <c r="M558" s="5" t="n">
        <v>0</v>
      </c>
      <c r="N558" s="5" t="n">
        <v>0</v>
      </c>
    </row>
    <row r="559">
      <c r="A559" t="n">
        <v>558</v>
      </c>
      <c r="B559" t="n">
        <v>2015</v>
      </c>
      <c r="C559" t="inlineStr">
        <is>
          <t>Madeleine Penelope Haun</t>
        </is>
      </c>
      <c r="D559">
        <f>HYPERLINK("https://ota.tournamentsoftware.com/player-profile/6F8A0525-0D8F-4263-8F76-0B8CF4B34D42", "Link")</f>
        <v/>
      </c>
      <c r="E559" s="3" t="n">
        <v>55.31</v>
      </c>
      <c r="F559" s="4" t="n">
        <v>9</v>
      </c>
      <c r="G559" t="inlineStr">
        <is>
          <t>Tennis Alberta</t>
        </is>
      </c>
      <c r="H559" t="inlineStr">
        <is>
          <t>Osten &amp; Victor Alberta Tennis Centre</t>
        </is>
      </c>
      <c r="I559" t="n">
        <v>39.8</v>
      </c>
      <c r="J559" s="4" t="n">
        <v>150</v>
      </c>
      <c r="K559" t="inlineStr">
        <is>
          <t>81 / 69</t>
        </is>
      </c>
      <c r="L559" t="inlineStr">
        <is>
          <t>4 / 7</t>
        </is>
      </c>
      <c r="M559" s="5" t="n">
        <v>0.54</v>
      </c>
      <c r="N559" s="5" t="n">
        <v>0.36</v>
      </c>
    </row>
    <row r="560">
      <c r="A560" t="n">
        <v>559</v>
      </c>
      <c r="B560" t="n">
        <v>2015</v>
      </c>
      <c r="C560" t="inlineStr">
        <is>
          <t>Ava Gracia Hurley</t>
        </is>
      </c>
      <c r="D560">
        <f>HYPERLINK("https://ota.tournamentsoftware.com/player-profile/DC3D1043-9FBA-467F-8103-AE9D0DEEF066", "Link")</f>
        <v/>
      </c>
      <c r="E560" s="3" t="n">
        <v>55.162</v>
      </c>
      <c r="F560" s="4" t="n">
        <v>8</v>
      </c>
      <c r="G560" t="inlineStr">
        <is>
          <t>Ontario Tennis Association</t>
        </is>
      </c>
      <c r="H560" t="inlineStr">
        <is>
          <t>Manotick Tennis Club</t>
        </is>
      </c>
      <c r="I560" t="inlineStr">
        <is>
          <t>unavailable</t>
        </is>
      </c>
      <c r="J560" s="4" t="n">
        <v>29</v>
      </c>
      <c r="K560" t="inlineStr">
        <is>
          <t>12 / 17</t>
        </is>
      </c>
      <c r="L560" t="inlineStr">
        <is>
          <t>4 / 6</t>
        </is>
      </c>
      <c r="M560" s="5" t="n">
        <v>0.41</v>
      </c>
      <c r="N560" s="5" t="n">
        <v>0.4</v>
      </c>
    </row>
    <row r="561">
      <c r="A561" t="n">
        <v>560</v>
      </c>
      <c r="B561" t="n">
        <v>2012</v>
      </c>
      <c r="C561" t="inlineStr">
        <is>
          <t>Karmi Singh</t>
        </is>
      </c>
      <c r="D561">
        <f>HYPERLINK("https://ota.tournamentsoftware.com/player-profile/B68DC1C1-BC37-443E-AB03-601E1E7E72A2", "Link")</f>
        <v/>
      </c>
      <c r="E561" s="3" t="n">
        <v>54.499</v>
      </c>
      <c r="F561" s="4" t="n">
        <v>4</v>
      </c>
      <c r="G561" t="inlineStr">
        <is>
          <t>Ontario Tennis Association</t>
        </is>
      </c>
      <c r="H561" t="inlineStr">
        <is>
          <t>Ontario Racquet Club</t>
        </is>
      </c>
      <c r="I561" t="inlineStr">
        <is>
          <t>unavailable</t>
        </is>
      </c>
      <c r="J561" s="4" t="n">
        <v>59</v>
      </c>
      <c r="K561" t="inlineStr">
        <is>
          <t>26 / 33</t>
        </is>
      </c>
      <c r="L561" t="inlineStr">
        <is>
          <t>1 / 5</t>
        </is>
      </c>
      <c r="M561" s="5" t="n">
        <v>0.44</v>
      </c>
      <c r="N561" s="5" t="n">
        <v>0.17</v>
      </c>
    </row>
    <row r="562">
      <c r="A562" t="n">
        <v>561</v>
      </c>
      <c r="B562" t="n">
        <v>2012</v>
      </c>
      <c r="C562" t="inlineStr">
        <is>
          <t>ONYEKACHUKWU MAGDALENE OGBATUE</t>
        </is>
      </c>
      <c r="D562">
        <f>HYPERLINK("https://ota.tournamentsoftware.com/player-profile/34FAC6AA-945B-40B3-BDE9-3F8B4198659B", "Link")</f>
        <v/>
      </c>
      <c r="E562" s="3" t="n">
        <v>54.418</v>
      </c>
      <c r="F562" s="4" t="n">
        <v>4</v>
      </c>
      <c r="G562" t="inlineStr">
        <is>
          <t>Ontario Tennis Association</t>
        </is>
      </c>
      <c r="H562" t="inlineStr">
        <is>
          <t>Matchpoint Tennis</t>
        </is>
      </c>
      <c r="I562" t="n">
        <v>37.8</v>
      </c>
      <c r="J562" s="4" t="n">
        <v>13</v>
      </c>
      <c r="K562" t="inlineStr">
        <is>
          <t>8 / 5</t>
        </is>
      </c>
      <c r="L562" t="inlineStr">
        <is>
          <t>8 / 5</t>
        </is>
      </c>
      <c r="M562" s="5" t="n">
        <v>0.62</v>
      </c>
      <c r="N562" s="5" t="n">
        <v>0.62</v>
      </c>
    </row>
    <row r="563">
      <c r="A563" t="n">
        <v>562</v>
      </c>
      <c r="B563" t="n">
        <v>2016</v>
      </c>
      <c r="C563" t="inlineStr">
        <is>
          <t>Vianna Mostashari</t>
        </is>
      </c>
      <c r="D563">
        <f>HYPERLINK("https://ota.tournamentsoftware.com/player-profile/670B74EC-3F81-45DD-8F9B-AEE768B61639", "Link")</f>
        <v/>
      </c>
      <c r="E563" s="3" t="n">
        <v>53.984</v>
      </c>
      <c r="F563" s="4" t="n">
        <v>9</v>
      </c>
      <c r="G563" t="inlineStr">
        <is>
          <t>British Columbia</t>
        </is>
      </c>
      <c r="H563" t="inlineStr">
        <is>
          <t>North Vancouver Tennis Centre</t>
        </is>
      </c>
      <c r="I563" t="n">
        <v>39.1</v>
      </c>
      <c r="J563" s="4" t="n">
        <v>152</v>
      </c>
      <c r="K563" t="inlineStr">
        <is>
          <t>86 / 66</t>
        </is>
      </c>
      <c r="L563" t="inlineStr">
        <is>
          <t>6 / 13</t>
        </is>
      </c>
      <c r="M563" s="5" t="n">
        <v>0.57</v>
      </c>
      <c r="N563" s="5" t="n">
        <v>0.32</v>
      </c>
    </row>
    <row r="564">
      <c r="A564" t="n">
        <v>563</v>
      </c>
      <c r="B564" t="n">
        <v>2017</v>
      </c>
      <c r="C564" t="inlineStr">
        <is>
          <t>Siena Yang-frome</t>
        </is>
      </c>
      <c r="D564">
        <f>HYPERLINK("https://ota.tournamentsoftware.com/player-profile/07E78FFD-E9BB-462A-8A5B-4456E8FEB96D", "Link")</f>
        <v/>
      </c>
      <c r="E564" s="3" t="n">
        <v>53.781</v>
      </c>
      <c r="F564" s="4" t="n">
        <v>9</v>
      </c>
      <c r="G564" t="inlineStr">
        <is>
          <t>Ontario Tennis Association</t>
        </is>
      </c>
      <c r="H564" t="inlineStr">
        <is>
          <t>ACE Tennis - Burlington</t>
        </is>
      </c>
      <c r="I564" t="n">
        <v>39</v>
      </c>
      <c r="J564" s="4" t="n">
        <v>79</v>
      </c>
      <c r="K564" t="inlineStr">
        <is>
          <t>46 / 33</t>
        </is>
      </c>
      <c r="L564" t="inlineStr">
        <is>
          <t>8 / 10</t>
        </is>
      </c>
      <c r="M564" s="5" t="n">
        <v>0.58</v>
      </c>
      <c r="N564" s="5" t="n">
        <v>0.44</v>
      </c>
    </row>
    <row r="565">
      <c r="A565" t="n">
        <v>564</v>
      </c>
      <c r="B565" t="n">
        <v>2012</v>
      </c>
      <c r="C565" t="inlineStr">
        <is>
          <t>Juanita Valeria Ruiz</t>
        </is>
      </c>
      <c r="D565">
        <f>HYPERLINK("https://ota.tournamentsoftware.com/player-profile/60CB93B1-F620-4737-8F49-B06F794F4103", "Link")</f>
        <v/>
      </c>
      <c r="E565" s="3" t="n">
        <v>53.513</v>
      </c>
      <c r="F565" s="4" t="n">
        <v>4</v>
      </c>
      <c r="G565" t="inlineStr">
        <is>
          <t>Ontario Tennis Association</t>
        </is>
      </c>
      <c r="H565" t="inlineStr">
        <is>
          <t>No Club</t>
        </is>
      </c>
      <c r="I565" t="inlineStr">
        <is>
          <t>unavailable</t>
        </is>
      </c>
      <c r="J565" s="4" t="n">
        <v>69</v>
      </c>
      <c r="K565" t="inlineStr">
        <is>
          <t>26 / 43</t>
        </is>
      </c>
      <c r="L565" t="inlineStr">
        <is>
          <t>0 / 0</t>
        </is>
      </c>
      <c r="M565" s="5" t="n">
        <v>0.38</v>
      </c>
      <c r="N565" s="5" t="n">
        <v>0</v>
      </c>
    </row>
    <row r="566">
      <c r="A566" t="n">
        <v>565</v>
      </c>
      <c r="B566" t="n">
        <v>2016</v>
      </c>
      <c r="C566" t="inlineStr">
        <is>
          <t>Saanvi Sharma</t>
        </is>
      </c>
      <c r="D566">
        <f>HYPERLINK("https://ota.tournamentsoftware.com/player-profile/CE1D7CD8-1C3C-4F68-B568-48AC24E75437", "Link")</f>
        <v/>
      </c>
      <c r="E566" s="3" t="n">
        <v>53.28</v>
      </c>
      <c r="F566" s="4" t="n">
        <v>4</v>
      </c>
      <c r="G566" t="inlineStr">
        <is>
          <t>Tennis Québec</t>
        </is>
      </c>
      <c r="H566" t="inlineStr">
        <is>
          <t>Tennis Ile- des- Soeurs</t>
        </is>
      </c>
      <c r="I566" t="n">
        <v>39.2</v>
      </c>
      <c r="J566" s="4" t="n">
        <v>85</v>
      </c>
      <c r="K566" t="inlineStr">
        <is>
          <t>41 / 44</t>
        </is>
      </c>
      <c r="L566" t="inlineStr">
        <is>
          <t>10 / 7</t>
        </is>
      </c>
      <c r="M566" s="5" t="n">
        <v>0.48</v>
      </c>
      <c r="N566" s="5" t="n">
        <v>0.59</v>
      </c>
    </row>
    <row r="567">
      <c r="A567" t="n">
        <v>566</v>
      </c>
      <c r="B567" t="n">
        <v>2014</v>
      </c>
      <c r="C567" t="inlineStr">
        <is>
          <t>Minnie Jinwen Xu</t>
        </is>
      </c>
      <c r="D567">
        <f>HYPERLINK("https://ota.tournamentsoftware.com/player-profile/617AABE9-B600-4656-9194-77743DDDC351", "Link")</f>
        <v/>
      </c>
      <c r="E567" s="3" t="n">
        <v>53.149</v>
      </c>
      <c r="F567" s="4" t="n">
        <v>11</v>
      </c>
      <c r="G567" t="inlineStr">
        <is>
          <t>British Columbia</t>
        </is>
      </c>
      <c r="H567" t="inlineStr">
        <is>
          <t>The Tennis Centre</t>
        </is>
      </c>
      <c r="I567" t="n">
        <v>39.5</v>
      </c>
      <c r="J567" s="4" t="n">
        <v>118</v>
      </c>
      <c r="K567" t="inlineStr">
        <is>
          <t>61 / 57</t>
        </is>
      </c>
      <c r="L567" t="inlineStr">
        <is>
          <t>7 / 8</t>
        </is>
      </c>
      <c r="M567" s="5" t="n">
        <v>0.52</v>
      </c>
      <c r="N567" s="5" t="n">
        <v>0.47</v>
      </c>
    </row>
    <row r="568">
      <c r="A568" t="n">
        <v>567</v>
      </c>
      <c r="B568" t="n">
        <v>2014</v>
      </c>
      <c r="C568" t="inlineStr">
        <is>
          <t>Julia Jzmati</t>
        </is>
      </c>
      <c r="D568">
        <f>HYPERLINK("https://ota.tournamentsoftware.com/player-profile/2AADF196-C892-43B1-9128-5338F8D87E95", "Link")</f>
        <v/>
      </c>
      <c r="E568" s="3" t="n">
        <v>52.454</v>
      </c>
      <c r="F568" s="4" t="n">
        <v>12</v>
      </c>
      <c r="G568" t="inlineStr">
        <is>
          <t>Ontario Tennis Association</t>
        </is>
      </c>
      <c r="H568" t="inlineStr">
        <is>
          <t>Rideau Sports Centre</t>
        </is>
      </c>
      <c r="I568" t="n">
        <v>40</v>
      </c>
      <c r="J568" s="4" t="n">
        <v>29</v>
      </c>
      <c r="K568" t="inlineStr">
        <is>
          <t>5 / 24</t>
        </is>
      </c>
      <c r="L568" t="inlineStr">
        <is>
          <t>1 / 9</t>
        </is>
      </c>
      <c r="M568" s="5" t="n">
        <v>0.17</v>
      </c>
      <c r="N568" s="5" t="n">
        <v>0.1</v>
      </c>
    </row>
    <row r="569">
      <c r="A569" t="n">
        <v>568</v>
      </c>
      <c r="B569" t="n">
        <v>2015</v>
      </c>
      <c r="C569" t="inlineStr">
        <is>
          <t>Karina Lee Griffin</t>
        </is>
      </c>
      <c r="D569">
        <f>HYPERLINK("https://ota.tournamentsoftware.com/player-profile/51794C7A-992F-4A4D-9983-0483174644A1", "Link")</f>
        <v/>
      </c>
      <c r="E569" s="3" t="n">
        <v>51.11</v>
      </c>
      <c r="F569" s="4" t="n">
        <v>17</v>
      </c>
      <c r="G569" t="inlineStr">
        <is>
          <t>British Columbia</t>
        </is>
      </c>
      <c r="H569" t="inlineStr">
        <is>
          <t>North Vancouver Tennis Centre</t>
        </is>
      </c>
      <c r="I569" t="n">
        <v>39.6</v>
      </c>
      <c r="J569" s="4" t="n">
        <v>148</v>
      </c>
      <c r="K569" t="inlineStr">
        <is>
          <t>69 / 79</t>
        </is>
      </c>
      <c r="L569" t="inlineStr">
        <is>
          <t>8 / 17</t>
        </is>
      </c>
      <c r="M569" s="5" t="n">
        <v>0.47</v>
      </c>
      <c r="N569" s="5" t="n">
        <v>0.32</v>
      </c>
    </row>
    <row r="570">
      <c r="A570" t="n">
        <v>569</v>
      </c>
      <c r="B570" t="n">
        <v>2014</v>
      </c>
      <c r="C570" t="inlineStr">
        <is>
          <t>Ann Ha</t>
        </is>
      </c>
      <c r="D570">
        <f>HYPERLINK("https://ota.tournamentsoftware.com/player-profile/139E73DD-882F-4509-9B0C-BB790DA8399D", "Link")</f>
        <v/>
      </c>
      <c r="E570" s="3" t="n">
        <v>50.846</v>
      </c>
      <c r="F570" s="4" t="n">
        <v>3</v>
      </c>
      <c r="G570" t="inlineStr">
        <is>
          <t>Tennis Saskatchewan</t>
        </is>
      </c>
      <c r="H570" t="inlineStr">
        <is>
          <t>Lakewood Indoor Tennis Centre</t>
        </is>
      </c>
      <c r="I570" t="inlineStr">
        <is>
          <t>unavailable</t>
        </is>
      </c>
      <c r="J570" s="4" t="n">
        <v>9</v>
      </c>
      <c r="K570" t="inlineStr">
        <is>
          <t>1 / 8</t>
        </is>
      </c>
      <c r="L570" t="inlineStr">
        <is>
          <t>1 / 8</t>
        </is>
      </c>
      <c r="M570" s="5" t="n">
        <v>0.11</v>
      </c>
      <c r="N570" s="5" t="n">
        <v>0.11</v>
      </c>
    </row>
    <row r="571">
      <c r="A571" t="n">
        <v>570</v>
      </c>
      <c r="B571" t="n">
        <v>2012</v>
      </c>
      <c r="C571" t="inlineStr">
        <is>
          <t>Elise Chan</t>
        </is>
      </c>
      <c r="D571">
        <f>HYPERLINK("https://ota.tournamentsoftware.com/player-profile/74C14A51-A560-4368-85E6-96F13264726F", "Link")</f>
        <v/>
      </c>
      <c r="E571" s="3" t="n">
        <v>50.266</v>
      </c>
      <c r="F571" s="4" t="n">
        <v>4</v>
      </c>
      <c r="G571" t="inlineStr">
        <is>
          <t>Ontario Tennis Association</t>
        </is>
      </c>
      <c r="H571" t="inlineStr">
        <is>
          <t>Rideau Sports Centre</t>
        </is>
      </c>
      <c r="I571" t="n">
        <v>39.1</v>
      </c>
      <c r="J571" s="4" t="n">
        <v>3</v>
      </c>
      <c r="K571" t="inlineStr">
        <is>
          <t>0 / 3</t>
        </is>
      </c>
      <c r="L571" t="inlineStr">
        <is>
          <t>0 / 3</t>
        </is>
      </c>
      <c r="M571" s="5" t="n">
        <v>0</v>
      </c>
      <c r="N571" s="5" t="n">
        <v>0</v>
      </c>
    </row>
    <row r="572">
      <c r="A572" t="n">
        <v>571</v>
      </c>
      <c r="B572" t="n">
        <v>2014</v>
      </c>
      <c r="C572" t="inlineStr">
        <is>
          <t>Sofia Morisette</t>
        </is>
      </c>
      <c r="D572">
        <f>HYPERLINK("https://ota.tournamentsoftware.com/player-profile/F99611AC-3485-4574-897D-68151916B40D", "Link")</f>
        <v/>
      </c>
      <c r="E572" s="3" t="n">
        <v>50.011</v>
      </c>
      <c r="F572" s="4" t="n">
        <v>4</v>
      </c>
      <c r="G572" t="inlineStr">
        <is>
          <t>British Columbia</t>
        </is>
      </c>
      <c r="H572" t="inlineStr">
        <is>
          <t>Tennis BC Hub @ Richmond</t>
        </is>
      </c>
      <c r="I572" t="n">
        <v>39.4</v>
      </c>
      <c r="J572" s="4" t="n">
        <v>128</v>
      </c>
      <c r="K572" t="inlineStr">
        <is>
          <t>51 / 77</t>
        </is>
      </c>
      <c r="L572" t="inlineStr">
        <is>
          <t>2 / 6</t>
        </is>
      </c>
      <c r="M572" s="5" t="n">
        <v>0.4</v>
      </c>
      <c r="N572" s="5" t="n">
        <v>0.25</v>
      </c>
    </row>
    <row r="573">
      <c r="A573" t="n">
        <v>572</v>
      </c>
      <c r="B573" t="n">
        <v>2015</v>
      </c>
      <c r="C573" t="inlineStr">
        <is>
          <t>Dania Ahmed</t>
        </is>
      </c>
      <c r="D573">
        <f>HYPERLINK("https://ota.tournamentsoftware.com/player-profile/3A4EF5D7-2C40-4E2A-A979-D3231C03A93C", "Link")</f>
        <v/>
      </c>
      <c r="E573" s="3" t="n">
        <v>49.909</v>
      </c>
      <c r="F573" s="4" t="n">
        <v>10</v>
      </c>
      <c r="G573" t="inlineStr">
        <is>
          <t>Ontario Tennis Association</t>
        </is>
      </c>
      <c r="H573" t="inlineStr">
        <is>
          <t>Waterloo Tennis Club</t>
        </is>
      </c>
      <c r="I573" t="n">
        <v>39</v>
      </c>
      <c r="J573" s="4" t="n">
        <v>82</v>
      </c>
      <c r="K573" t="inlineStr">
        <is>
          <t>50 / 32</t>
        </is>
      </c>
      <c r="L573" t="inlineStr">
        <is>
          <t>3 / 7</t>
        </is>
      </c>
      <c r="M573" s="5" t="n">
        <v>0.61</v>
      </c>
      <c r="N573" s="5" t="n">
        <v>0.3</v>
      </c>
    </row>
    <row r="574">
      <c r="A574" t="n">
        <v>573</v>
      </c>
      <c r="B574" t="n">
        <v>2014</v>
      </c>
      <c r="C574" t="inlineStr">
        <is>
          <t>Emma Ghantous</t>
        </is>
      </c>
      <c r="D574">
        <f>HYPERLINK("https://ota.tournamentsoftware.com/player-profile/0EA6BF71-F3BF-4EA7-95F6-B80CD551F4FB", "Link")</f>
        <v/>
      </c>
      <c r="E574" s="3" t="n">
        <v>49.68</v>
      </c>
      <c r="F574" s="4" t="n">
        <v>2</v>
      </c>
      <c r="G574" t="inlineStr">
        <is>
          <t>Tennis Québec</t>
        </is>
      </c>
      <c r="H574" t="inlineStr">
        <is>
          <t>Tennis 13</t>
        </is>
      </c>
      <c r="I574" t="n">
        <v>37</v>
      </c>
      <c r="J574" s="4" t="n">
        <v>126</v>
      </c>
      <c r="K574" t="inlineStr">
        <is>
          <t>77 / 49</t>
        </is>
      </c>
      <c r="L574" t="inlineStr">
        <is>
          <t>0 / 0</t>
        </is>
      </c>
      <c r="M574" s="5" t="n">
        <v>0.61</v>
      </c>
      <c r="N574" s="5" t="n">
        <v>0</v>
      </c>
    </row>
    <row r="575">
      <c r="A575" t="n">
        <v>574</v>
      </c>
      <c r="B575" t="n">
        <v>2015</v>
      </c>
      <c r="C575" t="inlineStr">
        <is>
          <t>Sofia Kiselenko</t>
        </is>
      </c>
      <c r="D575">
        <f>HYPERLINK("https://ota.tournamentsoftware.com/player-profile/8164E8EB-17A8-4270-A12B-31EFF18C9343", "Link")</f>
        <v/>
      </c>
      <c r="E575" s="3" t="n">
        <v>49.342</v>
      </c>
      <c r="F575" s="4" t="n">
        <v>13</v>
      </c>
      <c r="G575" t="inlineStr">
        <is>
          <t>Tennis Alberta</t>
        </is>
      </c>
      <c r="H575" t="inlineStr">
        <is>
          <t>Osten &amp; Victor Alberta Tennis Centre</t>
        </is>
      </c>
      <c r="I575" t="n">
        <v>40</v>
      </c>
      <c r="J575" s="4" t="n">
        <v>123</v>
      </c>
      <c r="K575" t="inlineStr">
        <is>
          <t>38 / 85</t>
        </is>
      </c>
      <c r="L575" t="inlineStr">
        <is>
          <t>6 / 11</t>
        </is>
      </c>
      <c r="M575" s="5" t="n">
        <v>0.31</v>
      </c>
      <c r="N575" s="5" t="n">
        <v>0.35</v>
      </c>
    </row>
    <row r="576">
      <c r="A576" t="n">
        <v>575</v>
      </c>
      <c r="B576" t="n">
        <v>2017</v>
      </c>
      <c r="C576" t="inlineStr">
        <is>
          <t>Vivian Spurrell</t>
        </is>
      </c>
      <c r="D576">
        <f>HYPERLINK("https://ota.tournamentsoftware.com/player-profile/9CFE670B-9D8C-4BC2-8DDB-1C78F17AE1FF", "Link")</f>
        <v/>
      </c>
      <c r="E576" s="3" t="n">
        <v>49.126</v>
      </c>
      <c r="F576" s="4" t="n">
        <v>3</v>
      </c>
      <c r="G576" t="inlineStr">
        <is>
          <t>Tennis Newfoundland &amp; Labrador</t>
        </is>
      </c>
      <c r="H576" t="inlineStr">
        <is>
          <t>Greenbelt Tennis Club</t>
        </is>
      </c>
      <c r="I576" t="inlineStr">
        <is>
          <t>unavailable</t>
        </is>
      </c>
      <c r="J576" s="4" t="n">
        <v>20</v>
      </c>
      <c r="K576" t="inlineStr">
        <is>
          <t>15 / 5</t>
        </is>
      </c>
      <c r="L576" t="inlineStr">
        <is>
          <t>11 / 3</t>
        </is>
      </c>
      <c r="M576" s="5" t="n">
        <v>0.75</v>
      </c>
      <c r="N576" s="5" t="n">
        <v>0.79</v>
      </c>
    </row>
    <row r="577">
      <c r="A577" t="n">
        <v>576</v>
      </c>
      <c r="B577" t="n">
        <v>2014</v>
      </c>
      <c r="C577" t="inlineStr">
        <is>
          <t>Mathilde Langis</t>
        </is>
      </c>
      <c r="D577">
        <f>HYPERLINK("https://ota.tournamentsoftware.com/player-profile/39929D79-FF7E-4461-9561-38C5D88AE666", "Link")</f>
        <v/>
      </c>
      <c r="E577" s="3" t="n">
        <v>48.716</v>
      </c>
      <c r="F577" s="4" t="n">
        <v>5</v>
      </c>
      <c r="G577" t="inlineStr">
        <is>
          <t>Tennis Québec</t>
        </is>
      </c>
      <c r="H577" t="inlineStr">
        <is>
          <t>Académie de tennis UNI(T)</t>
        </is>
      </c>
      <c r="I577" t="n">
        <v>38.7</v>
      </c>
      <c r="J577" s="4" t="n">
        <v>72</v>
      </c>
      <c r="K577" t="inlineStr">
        <is>
          <t>31 / 41</t>
        </is>
      </c>
      <c r="L577" t="inlineStr">
        <is>
          <t>1 / 2</t>
        </is>
      </c>
      <c r="M577" s="5" t="n">
        <v>0.43</v>
      </c>
      <c r="N577" s="5" t="n">
        <v>0.33</v>
      </c>
    </row>
    <row r="578">
      <c r="A578" t="n">
        <v>577</v>
      </c>
      <c r="B578" t="n">
        <v>2015</v>
      </c>
      <c r="C578" t="inlineStr">
        <is>
          <t>Miadel Flores</t>
        </is>
      </c>
      <c r="D578">
        <f>HYPERLINK("https://ota.tournamentsoftware.com/player-profile/19F5DCB9-D4C1-477E-9443-DA276E9A30BC", "Link")</f>
        <v/>
      </c>
      <c r="E578" s="3" t="n">
        <v>48.438</v>
      </c>
      <c r="F578" s="4" t="n">
        <v>4</v>
      </c>
      <c r="G578" t="inlineStr">
        <is>
          <t>Tennis Québec</t>
        </is>
      </c>
      <c r="H578" t="inlineStr">
        <is>
          <t>No Club</t>
        </is>
      </c>
      <c r="I578" t="n">
        <v>40</v>
      </c>
      <c r="J578" s="4" t="n">
        <v>5</v>
      </c>
      <c r="K578" t="inlineStr">
        <is>
          <t>1 / 4</t>
        </is>
      </c>
      <c r="L578" t="inlineStr">
        <is>
          <t>1 / 4</t>
        </is>
      </c>
      <c r="M578" s="5" t="n">
        <v>0.2</v>
      </c>
      <c r="N578" s="5" t="n">
        <v>0.2</v>
      </c>
    </row>
    <row r="579">
      <c r="A579" t="n">
        <v>578</v>
      </c>
      <c r="B579" t="n">
        <v>2014</v>
      </c>
      <c r="C579" t="inlineStr">
        <is>
          <t>Tess Marie Trenholm</t>
        </is>
      </c>
      <c r="D579">
        <f>HYPERLINK("https://ota.tournamentsoftware.com/player-profile/37DD9223-BE00-45F7-9DE9-3EA92F74CD7B", "Link")</f>
        <v/>
      </c>
      <c r="E579" s="3" t="n">
        <v>48.421</v>
      </c>
      <c r="F579" s="4" t="n">
        <v>17</v>
      </c>
      <c r="G579" t="inlineStr">
        <is>
          <t>Ontario Tennis Association</t>
        </is>
      </c>
      <c r="H579" t="inlineStr">
        <is>
          <t>Ontario Racquet Club</t>
        </is>
      </c>
      <c r="I579" t="n">
        <v>40</v>
      </c>
      <c r="J579" s="4" t="n">
        <v>92</v>
      </c>
      <c r="K579" t="inlineStr">
        <is>
          <t>25 / 67</t>
        </is>
      </c>
      <c r="L579" t="inlineStr">
        <is>
          <t>6 / 12</t>
        </is>
      </c>
      <c r="M579" s="5" t="n">
        <v>0.27</v>
      </c>
      <c r="N579" s="5" t="n">
        <v>0.33</v>
      </c>
    </row>
    <row r="580">
      <c r="A580" t="n">
        <v>579</v>
      </c>
      <c r="B580" t="n">
        <v>2012</v>
      </c>
      <c r="C580" t="inlineStr">
        <is>
          <t>Allison Wu</t>
        </is>
      </c>
      <c r="D580">
        <f>HYPERLINK("https://ota.tournamentsoftware.com/player-profile/5B6A5CCB-4E85-427C-99E0-E2078ED2493C", "Link")</f>
        <v/>
      </c>
      <c r="E580" s="3" t="n">
        <v>48.368</v>
      </c>
      <c r="F580" s="4" t="n">
        <v>6</v>
      </c>
      <c r="G580" t="inlineStr">
        <is>
          <t>British Columbia</t>
        </is>
      </c>
      <c r="H580" t="inlineStr">
        <is>
          <t>Coquitlam Tennis Club</t>
        </is>
      </c>
      <c r="I580" t="n">
        <v>40</v>
      </c>
      <c r="J580" s="4" t="n">
        <v>54</v>
      </c>
      <c r="K580" t="inlineStr">
        <is>
          <t>9 / 45</t>
        </is>
      </c>
      <c r="L580" t="inlineStr">
        <is>
          <t>0 / 4</t>
        </is>
      </c>
      <c r="M580" s="5" t="n">
        <v>0.17</v>
      </c>
      <c r="N580" s="5" t="n">
        <v>0</v>
      </c>
    </row>
    <row r="581">
      <c r="A581" t="n">
        <v>580</v>
      </c>
      <c r="B581" t="n">
        <v>2013</v>
      </c>
      <c r="C581" t="inlineStr">
        <is>
          <t>Gloria Yang</t>
        </is>
      </c>
      <c r="D581">
        <f>HYPERLINK("https://ota.tournamentsoftware.com/player-profile/93D03535-4A4B-4898-A531-8F0DB9BA8BD8", "Link")</f>
        <v/>
      </c>
      <c r="E581" s="3" t="n">
        <v>48.153</v>
      </c>
      <c r="F581" s="4" t="n">
        <v>2</v>
      </c>
      <c r="G581" t="inlineStr">
        <is>
          <t>Tennis Prince Edward Island</t>
        </is>
      </c>
      <c r="H581" t="inlineStr">
        <is>
          <t>Royalty Racquet Centre</t>
        </is>
      </c>
      <c r="I581" t="inlineStr">
        <is>
          <t>unavailable</t>
        </is>
      </c>
      <c r="J581" s="4" t="n">
        <v>15</v>
      </c>
      <c r="K581" t="inlineStr">
        <is>
          <t>5 / 10</t>
        </is>
      </c>
      <c r="L581" t="inlineStr">
        <is>
          <t>1 / 6</t>
        </is>
      </c>
      <c r="M581" s="5" t="n">
        <v>0.33</v>
      </c>
      <c r="N581" s="5" t="n">
        <v>0.14</v>
      </c>
    </row>
    <row r="582">
      <c r="A582" t="n">
        <v>581</v>
      </c>
      <c r="B582" t="n">
        <v>2015</v>
      </c>
      <c r="C582" t="inlineStr">
        <is>
          <t>Scarlett Chan</t>
        </is>
      </c>
      <c r="D582">
        <f>HYPERLINK("https://ota.tournamentsoftware.com/player-profile/FC173056-E1A0-4194-9722-D15B8524262F", "Link")</f>
        <v/>
      </c>
      <c r="E582" s="3" t="n">
        <v>48.124</v>
      </c>
      <c r="F582" s="4" t="n">
        <v>5</v>
      </c>
      <c r="G582" t="inlineStr">
        <is>
          <t>Ontario Tennis Association</t>
        </is>
      </c>
      <c r="H582" t="inlineStr">
        <is>
          <t>Mayfair East Racquet Club</t>
        </is>
      </c>
      <c r="I582" t="n">
        <v>38.7</v>
      </c>
      <c r="J582" s="4" t="n">
        <v>79</v>
      </c>
      <c r="K582" t="inlineStr">
        <is>
          <t>47 / 32</t>
        </is>
      </c>
      <c r="L582" t="inlineStr">
        <is>
          <t>3 / 6</t>
        </is>
      </c>
      <c r="M582" s="5" t="n">
        <v>0.59</v>
      </c>
      <c r="N582" s="5" t="n">
        <v>0.33</v>
      </c>
    </row>
    <row r="583">
      <c r="A583" t="n">
        <v>582</v>
      </c>
      <c r="B583" t="n">
        <v>2012</v>
      </c>
      <c r="C583" t="inlineStr">
        <is>
          <t>Nora Skogen</t>
        </is>
      </c>
      <c r="D583">
        <f>HYPERLINK("https://ota.tournamentsoftware.com/player-profile/84E488EE-ABCE-4936-AC77-DCF33DA7BE52", "Link")</f>
        <v/>
      </c>
      <c r="E583" s="3" t="n">
        <v>47.579</v>
      </c>
      <c r="F583" s="4" t="n">
        <v>2</v>
      </c>
      <c r="G583" t="inlineStr">
        <is>
          <t>British Columbia</t>
        </is>
      </c>
      <c r="H583" t="inlineStr">
        <is>
          <t>Hollyburn Country Club</t>
        </is>
      </c>
      <c r="I583" t="n">
        <v>36.9</v>
      </c>
      <c r="J583" s="4" t="n">
        <v>164</v>
      </c>
      <c r="K583" t="inlineStr">
        <is>
          <t>79 / 85</t>
        </is>
      </c>
      <c r="L583" t="inlineStr">
        <is>
          <t>1 / 1</t>
        </is>
      </c>
      <c r="M583" s="5" t="n">
        <v>0.48</v>
      </c>
      <c r="N583" s="5" t="n">
        <v>0.5</v>
      </c>
    </row>
    <row r="584">
      <c r="A584" t="n">
        <v>583</v>
      </c>
      <c r="B584" t="n">
        <v>2014</v>
      </c>
      <c r="C584" t="inlineStr">
        <is>
          <t>Hui-Xin Chen</t>
        </is>
      </c>
      <c r="D584">
        <f>HYPERLINK("https://ota.tournamentsoftware.com/player-profile/755E1358-E624-498A-A129-DA058D259A1E", "Link")</f>
        <v/>
      </c>
      <c r="E584" s="3" t="n">
        <v>45.577</v>
      </c>
      <c r="F584" s="4" t="n">
        <v>7</v>
      </c>
      <c r="G584" t="inlineStr">
        <is>
          <t>British Columbia</t>
        </is>
      </c>
      <c r="H584" t="inlineStr">
        <is>
          <t>No Club</t>
        </is>
      </c>
      <c r="I584" t="inlineStr">
        <is>
          <t>unavailable</t>
        </is>
      </c>
      <c r="J584" s="4" t="n">
        <v>96</v>
      </c>
      <c r="K584" t="inlineStr">
        <is>
          <t>30 / 66</t>
        </is>
      </c>
      <c r="L584" t="inlineStr">
        <is>
          <t>7 / 9</t>
        </is>
      </c>
      <c r="M584" s="5" t="n">
        <v>0.31</v>
      </c>
      <c r="N584" s="5" t="n">
        <v>0.44</v>
      </c>
    </row>
    <row r="585">
      <c r="A585" t="n">
        <v>584</v>
      </c>
      <c r="B585" t="n">
        <v>2015</v>
      </c>
      <c r="C585" t="inlineStr">
        <is>
          <t>Kinsley Jade Lin</t>
        </is>
      </c>
      <c r="D585">
        <f>HYPERLINK("https://ota.tournamentsoftware.com/player-profile/1FF4FA2D-412B-4E4A-AE72-948C7BC68D73", "Link")</f>
        <v/>
      </c>
      <c r="E585" s="3" t="n">
        <v>44.956</v>
      </c>
      <c r="F585" s="4" t="n">
        <v>9</v>
      </c>
      <c r="G585" t="inlineStr">
        <is>
          <t>Ontario Tennis Association</t>
        </is>
      </c>
      <c r="H585" t="inlineStr">
        <is>
          <t>The Tennis School</t>
        </is>
      </c>
      <c r="I585" t="n">
        <v>39.2</v>
      </c>
      <c r="J585" s="4" t="n">
        <v>90</v>
      </c>
      <c r="K585" t="inlineStr">
        <is>
          <t>40 / 50</t>
        </is>
      </c>
      <c r="L585" t="inlineStr">
        <is>
          <t>5 / 7</t>
        </is>
      </c>
      <c r="M585" s="5" t="n">
        <v>0.44</v>
      </c>
      <c r="N585" s="5" t="n">
        <v>0.42</v>
      </c>
    </row>
    <row r="586">
      <c r="A586" t="n">
        <v>585</v>
      </c>
      <c r="B586" t="n">
        <v>2014</v>
      </c>
      <c r="C586" t="inlineStr">
        <is>
          <t>Chloe Leblond</t>
        </is>
      </c>
      <c r="D586">
        <f>HYPERLINK("https://ota.tournamentsoftware.com/player-profile/B25C8E1B-DD5B-45CB-A94E-27B9E436CCF5", "Link")</f>
        <v/>
      </c>
      <c r="E586" s="3" t="n">
        <v>44.754</v>
      </c>
      <c r="F586" s="4" t="n">
        <v>6</v>
      </c>
      <c r="G586" t="inlineStr">
        <is>
          <t>Ontario Tennis Association</t>
        </is>
      </c>
      <c r="H586" t="inlineStr">
        <is>
          <t>Tam Heather Tennis Club</t>
        </is>
      </c>
      <c r="I586" t="inlineStr">
        <is>
          <t>unavailable</t>
        </is>
      </c>
      <c r="J586" s="4" t="n">
        <v>59</v>
      </c>
      <c r="K586" t="inlineStr">
        <is>
          <t>31 / 28</t>
        </is>
      </c>
      <c r="L586" t="inlineStr">
        <is>
          <t>6 / 4</t>
        </is>
      </c>
      <c r="M586" s="5" t="n">
        <v>0.53</v>
      </c>
      <c r="N586" s="5" t="n">
        <v>0.6</v>
      </c>
    </row>
    <row r="587">
      <c r="A587" t="n">
        <v>586</v>
      </c>
      <c r="B587" t="n">
        <v>2015</v>
      </c>
      <c r="C587" t="inlineStr">
        <is>
          <t>LILLIAN LI</t>
        </is>
      </c>
      <c r="D587">
        <f>HYPERLINK("https://ota.tournamentsoftware.com/player-profile/6381808D-332A-4694-9A60-DD4214A2A2F0", "Link")</f>
        <v/>
      </c>
      <c r="E587" s="3" t="n">
        <v>44.713</v>
      </c>
      <c r="F587" s="4" t="n">
        <v>8</v>
      </c>
      <c r="G587" t="inlineStr">
        <is>
          <t>Ontario Tennis Association</t>
        </is>
      </c>
      <c r="H587" t="inlineStr">
        <is>
          <t>Rideau Sports Centre</t>
        </is>
      </c>
      <c r="I587" t="n">
        <v>40</v>
      </c>
      <c r="J587" s="4" t="n">
        <v>19</v>
      </c>
      <c r="K587" t="inlineStr">
        <is>
          <t>4 / 15</t>
        </is>
      </c>
      <c r="L587" t="inlineStr">
        <is>
          <t>0 / 8</t>
        </is>
      </c>
      <c r="M587" s="5" t="n">
        <v>0.21</v>
      </c>
      <c r="N587" s="5" t="n">
        <v>0</v>
      </c>
    </row>
    <row r="588">
      <c r="A588" t="n">
        <v>587</v>
      </c>
      <c r="B588" t="n">
        <v>2015</v>
      </c>
      <c r="C588" t="inlineStr">
        <is>
          <t>Alexia Lionis</t>
        </is>
      </c>
      <c r="D588">
        <f>HYPERLINK("https://ota.tournamentsoftware.com/player-profile/C2079715-4A8A-4F16-A5F2-10633FCB08AA", "Link")</f>
        <v/>
      </c>
      <c r="E588" s="3" t="n">
        <v>44.665</v>
      </c>
      <c r="F588" s="4" t="n">
        <v>5</v>
      </c>
      <c r="G588" t="inlineStr">
        <is>
          <t>Ontario Tennis Association</t>
        </is>
      </c>
      <c r="H588" t="inlineStr">
        <is>
          <t>Ontario Racquet Club</t>
        </is>
      </c>
      <c r="I588" t="inlineStr">
        <is>
          <t>unavailable</t>
        </is>
      </c>
      <c r="J588" s="4" t="n">
        <v>76</v>
      </c>
      <c r="K588" t="inlineStr">
        <is>
          <t>34 / 42</t>
        </is>
      </c>
      <c r="L588" t="inlineStr">
        <is>
          <t>5 / 8</t>
        </is>
      </c>
      <c r="M588" s="5" t="n">
        <v>0.45</v>
      </c>
      <c r="N588" s="5" t="n">
        <v>0.38</v>
      </c>
    </row>
    <row r="589">
      <c r="A589" t="n">
        <v>588</v>
      </c>
      <c r="B589" t="n">
        <v>2016</v>
      </c>
      <c r="C589" t="inlineStr">
        <is>
          <t>Ziqi Yu</t>
        </is>
      </c>
      <c r="D589">
        <f>HYPERLINK("https://ota.tournamentsoftware.com/player-profile/89FEB2A7-669B-4D40-A67D-54016F42DA82", "Link")</f>
        <v/>
      </c>
      <c r="E589" s="3" t="n">
        <v>44.539</v>
      </c>
      <c r="F589" s="4" t="n">
        <v>11</v>
      </c>
      <c r="G589" t="inlineStr">
        <is>
          <t>Ontario Tennis Association</t>
        </is>
      </c>
      <c r="H589" t="inlineStr">
        <is>
          <t>Blackmore Tennis Club</t>
        </is>
      </c>
      <c r="I589" t="n">
        <v>37.7</v>
      </c>
      <c r="J589" s="4" t="n">
        <v>89</v>
      </c>
      <c r="K589" t="inlineStr">
        <is>
          <t>58 / 31</t>
        </is>
      </c>
      <c r="L589" t="inlineStr">
        <is>
          <t>22 / 12</t>
        </is>
      </c>
      <c r="M589" s="5" t="n">
        <v>0.65</v>
      </c>
      <c r="N589" s="5" t="n">
        <v>0.65</v>
      </c>
    </row>
    <row r="590">
      <c r="A590" t="n">
        <v>589</v>
      </c>
      <c r="B590" t="n">
        <v>2013</v>
      </c>
      <c r="C590" t="inlineStr">
        <is>
          <t>Noa Margaux Dery</t>
        </is>
      </c>
      <c r="D590">
        <f>HYPERLINK("https://ota.tournamentsoftware.com/player-profile/2BE09915-8A78-4187-839F-E3A10E233213", "Link")</f>
        <v/>
      </c>
      <c r="E590" s="3" t="n">
        <v>44.445</v>
      </c>
      <c r="F590" s="4" t="n">
        <v>7</v>
      </c>
      <c r="G590" t="inlineStr">
        <is>
          <t>Tennis Québec</t>
        </is>
      </c>
      <c r="H590" t="inlineStr">
        <is>
          <t>Club Sportif Côte-de-Liesse</t>
        </is>
      </c>
      <c r="I590" t="n">
        <v>40</v>
      </c>
      <c r="J590" s="4" t="n">
        <v>28</v>
      </c>
      <c r="K590" t="inlineStr">
        <is>
          <t>8 / 20</t>
        </is>
      </c>
      <c r="L590" t="inlineStr">
        <is>
          <t>1 / 1</t>
        </is>
      </c>
      <c r="M590" s="5" t="n">
        <v>0.29</v>
      </c>
      <c r="N590" s="5" t="n">
        <v>0.5</v>
      </c>
    </row>
    <row r="591">
      <c r="A591" t="n">
        <v>590</v>
      </c>
      <c r="B591" t="n">
        <v>2014</v>
      </c>
      <c r="C591" t="inlineStr">
        <is>
          <t>Charlotte Adeline Ratchford</t>
        </is>
      </c>
      <c r="D591">
        <f>HYPERLINK("https://ota.tournamentsoftware.com/player-profile/552DF1FC-65F6-48FE-8B31-884C1DC273DB", "Link")</f>
        <v/>
      </c>
      <c r="E591" s="3" t="n">
        <v>44.065</v>
      </c>
      <c r="F591" s="4" t="n">
        <v>14</v>
      </c>
      <c r="G591" t="inlineStr">
        <is>
          <t>British Columbia</t>
        </is>
      </c>
      <c r="H591" t="inlineStr">
        <is>
          <t>Jericho Tennis Club</t>
        </is>
      </c>
      <c r="I591" t="n">
        <v>40</v>
      </c>
      <c r="J591" s="4" t="n">
        <v>36</v>
      </c>
      <c r="K591" t="inlineStr">
        <is>
          <t>10 / 26</t>
        </is>
      </c>
      <c r="L591" t="inlineStr">
        <is>
          <t>8 / 21</t>
        </is>
      </c>
      <c r="M591" s="5" t="n">
        <v>0.28</v>
      </c>
      <c r="N591" s="5" t="n">
        <v>0.28</v>
      </c>
    </row>
    <row r="592">
      <c r="A592" t="n">
        <v>591</v>
      </c>
      <c r="B592" t="n">
        <v>2015</v>
      </c>
      <c r="C592" t="inlineStr">
        <is>
          <t>Ella Bloom Chulak</t>
        </is>
      </c>
      <c r="D592">
        <f>HYPERLINK("https://ota.tournamentsoftware.com/player-profile/3DBBE08D-DBAA-43E3-BCD3-2820667C7A24", "Link")</f>
        <v/>
      </c>
      <c r="E592" s="3" t="n">
        <v>44.008</v>
      </c>
      <c r="F592" s="4" t="n">
        <v>9</v>
      </c>
      <c r="G592" t="inlineStr">
        <is>
          <t>Ontario Tennis Association</t>
        </is>
      </c>
      <c r="H592" t="inlineStr">
        <is>
          <t>Richmondhill Golf &amp; Country Club</t>
        </is>
      </c>
      <c r="I592" t="n">
        <v>38.5</v>
      </c>
      <c r="J592" s="4" t="n">
        <v>81</v>
      </c>
      <c r="K592" t="inlineStr">
        <is>
          <t>32 / 49</t>
        </is>
      </c>
      <c r="L592" t="inlineStr">
        <is>
          <t>8 / 7</t>
        </is>
      </c>
      <c r="M592" s="5" t="n">
        <v>0.4</v>
      </c>
      <c r="N592" s="5" t="n">
        <v>0.53</v>
      </c>
    </row>
    <row r="593">
      <c r="A593" t="n">
        <v>592</v>
      </c>
      <c r="B593" t="n">
        <v>2013</v>
      </c>
      <c r="C593" t="inlineStr">
        <is>
          <t>Zaria Antonella Tambini</t>
        </is>
      </c>
      <c r="D593">
        <f>HYPERLINK("https://ota.tournamentsoftware.com/player-profile/92DDE685-2967-4CDD-8CA6-2827E6AC3AEB", "Link")</f>
        <v/>
      </c>
      <c r="E593" s="3" t="n">
        <v>43.913</v>
      </c>
      <c r="F593" s="4" t="n">
        <v>3</v>
      </c>
      <c r="G593" t="inlineStr">
        <is>
          <t>Ontario Tennis Association</t>
        </is>
      </c>
      <c r="H593" t="inlineStr">
        <is>
          <t>Headwaters Racquet Club</t>
        </is>
      </c>
      <c r="I593" t="n">
        <v>38.9</v>
      </c>
      <c r="J593" s="4" t="n">
        <v>17</v>
      </c>
      <c r="K593" t="inlineStr">
        <is>
          <t>9 / 8</t>
        </is>
      </c>
      <c r="L593" t="inlineStr">
        <is>
          <t>4 / 6</t>
        </is>
      </c>
      <c r="M593" s="5" t="n">
        <v>0.53</v>
      </c>
      <c r="N593" s="5" t="n">
        <v>0.4</v>
      </c>
    </row>
    <row r="594">
      <c r="A594" t="n">
        <v>592</v>
      </c>
      <c r="B594" t="n">
        <v>2013</v>
      </c>
      <c r="C594" t="inlineStr">
        <is>
          <t>Adriana Juliana Tambini</t>
        </is>
      </c>
      <c r="D594">
        <f>HYPERLINK("https://ota.tournamentsoftware.com/player-profile/7D7985A7-C189-4AE6-9641-F7EA5AE89364", "Link")</f>
        <v/>
      </c>
      <c r="E594" s="3" t="n">
        <v>43.913</v>
      </c>
      <c r="F594" s="4" t="n">
        <v>3</v>
      </c>
      <c r="G594" t="inlineStr">
        <is>
          <t>Ontario Tennis Association</t>
        </is>
      </c>
      <c r="H594" t="inlineStr">
        <is>
          <t>Headwaters Racquet Club</t>
        </is>
      </c>
      <c r="I594" t="n">
        <v>39.4</v>
      </c>
      <c r="J594" s="4" t="n">
        <v>15</v>
      </c>
      <c r="K594" t="inlineStr">
        <is>
          <t>10 / 5</t>
        </is>
      </c>
      <c r="L594" t="inlineStr">
        <is>
          <t>5 / 4</t>
        </is>
      </c>
      <c r="M594" s="5" t="n">
        <v>0.67</v>
      </c>
      <c r="N594" s="5" t="n">
        <v>0.5600000000000001</v>
      </c>
    </row>
    <row r="595">
      <c r="A595" t="n">
        <v>594</v>
      </c>
      <c r="B595" t="n">
        <v>2013</v>
      </c>
      <c r="C595" t="inlineStr">
        <is>
          <t>Julia Soldatov</t>
        </is>
      </c>
      <c r="D595">
        <f>HYPERLINK("https://ota.tournamentsoftware.com/player-profile/9CDD8F0E-2B06-4818-8B32-A0ED95A9E6DF", "Link")</f>
        <v/>
      </c>
      <c r="E595" s="3" t="n">
        <v>43.295</v>
      </c>
      <c r="F595" s="4" t="n">
        <v>4</v>
      </c>
      <c r="G595" t="inlineStr">
        <is>
          <t>Ontario Tennis Association</t>
        </is>
      </c>
      <c r="H595" t="inlineStr">
        <is>
          <t>Newmarket Community Tennis Club</t>
        </is>
      </c>
      <c r="I595" t="n">
        <v>40</v>
      </c>
      <c r="J595" s="4" t="n">
        <v>17</v>
      </c>
      <c r="K595" t="inlineStr">
        <is>
          <t>5 / 12</t>
        </is>
      </c>
      <c r="L595" t="inlineStr">
        <is>
          <t>5 / 12</t>
        </is>
      </c>
      <c r="M595" s="5" t="n">
        <v>0.29</v>
      </c>
      <c r="N595" s="5" t="n">
        <v>0.29</v>
      </c>
    </row>
    <row r="596">
      <c r="A596" t="n">
        <v>595</v>
      </c>
      <c r="B596" t="n">
        <v>2012</v>
      </c>
      <c r="C596" t="inlineStr">
        <is>
          <t>Aurélie Houde</t>
        </is>
      </c>
      <c r="D596">
        <f>HYPERLINK("https://ota.tournamentsoftware.com/player-profile/F697AB49-11E9-42EF-B0E6-5DF0E77AF99C", "Link")</f>
        <v/>
      </c>
      <c r="E596" s="3" t="n">
        <v>43.226</v>
      </c>
      <c r="F596" s="4" t="n">
        <v>5</v>
      </c>
      <c r="G596" t="inlineStr">
        <is>
          <t>Tennis Québec</t>
        </is>
      </c>
      <c r="H596" t="inlineStr">
        <is>
          <t>Association de tennis de Drummondville</t>
        </is>
      </c>
      <c r="I596" t="n">
        <v>40</v>
      </c>
      <c r="J596" s="4" t="n">
        <v>22</v>
      </c>
      <c r="K596" t="inlineStr">
        <is>
          <t>1 / 21</t>
        </is>
      </c>
      <c r="L596" t="inlineStr">
        <is>
          <t>0 / 3</t>
        </is>
      </c>
      <c r="M596" s="5" t="n">
        <v>0.05</v>
      </c>
      <c r="N596" s="5" t="n">
        <v>0</v>
      </c>
    </row>
    <row r="597">
      <c r="A597" t="n">
        <v>596</v>
      </c>
      <c r="B597" t="n">
        <v>2014</v>
      </c>
      <c r="C597" t="inlineStr">
        <is>
          <t>Victoria Kycia Block</t>
        </is>
      </c>
      <c r="D597">
        <f>HYPERLINK("https://ota.tournamentsoftware.com/player-profile/1F978CA6-97AC-4A84-BBEB-B431DDD9A28B", "Link")</f>
        <v/>
      </c>
      <c r="E597" s="3" t="n">
        <v>43.159</v>
      </c>
      <c r="F597" s="4" t="n">
        <v>9</v>
      </c>
      <c r="G597" t="inlineStr">
        <is>
          <t>Tennis Alberta</t>
        </is>
      </c>
      <c r="H597" t="inlineStr">
        <is>
          <t>Saville Community Sports Centre</t>
        </is>
      </c>
      <c r="I597" t="n">
        <v>40</v>
      </c>
      <c r="J597" s="4" t="n">
        <v>37</v>
      </c>
      <c r="K597" t="inlineStr">
        <is>
          <t>8 / 29</t>
        </is>
      </c>
      <c r="L597" t="inlineStr">
        <is>
          <t>1 / 6</t>
        </is>
      </c>
      <c r="M597" s="5" t="n">
        <v>0.22</v>
      </c>
      <c r="N597" s="5" t="n">
        <v>0.14</v>
      </c>
    </row>
    <row r="598">
      <c r="A598" t="n">
        <v>597</v>
      </c>
      <c r="B598" t="n">
        <v>2015</v>
      </c>
      <c r="C598" t="inlineStr">
        <is>
          <t>Abigail Csima</t>
        </is>
      </c>
      <c r="D598">
        <f>HYPERLINK("https://ota.tournamentsoftware.com/player-profile/6F3C1A53-8070-482F-B046-BE875C66F4B8", "Link")</f>
        <v/>
      </c>
      <c r="E598" s="3" t="n">
        <v>42.746</v>
      </c>
      <c r="F598" s="4" t="n">
        <v>11</v>
      </c>
      <c r="G598" t="inlineStr">
        <is>
          <t>Ontario Tennis Association</t>
        </is>
      </c>
      <c r="H598" t="inlineStr">
        <is>
          <t>Waterloo Tennis Club</t>
        </is>
      </c>
      <c r="I598" t="n">
        <v>40</v>
      </c>
      <c r="J598" s="4" t="n">
        <v>55</v>
      </c>
      <c r="K598" t="inlineStr">
        <is>
          <t>11 / 44</t>
        </is>
      </c>
      <c r="L598" t="inlineStr">
        <is>
          <t>2 / 10</t>
        </is>
      </c>
      <c r="M598" s="5" t="n">
        <v>0.2</v>
      </c>
      <c r="N598" s="5" t="n">
        <v>0.17</v>
      </c>
    </row>
    <row r="599">
      <c r="A599" t="n">
        <v>598</v>
      </c>
      <c r="B599" t="n">
        <v>2014</v>
      </c>
      <c r="C599" t="inlineStr">
        <is>
          <t>Ann-Mayelle Veillard</t>
        </is>
      </c>
      <c r="D599">
        <f>HYPERLINK("https://ota.tournamentsoftware.com/player-profile/C734CB2A-2E7E-46C5-B1F0-69D754EF8527", "Link")</f>
        <v/>
      </c>
      <c r="E599" s="3" t="n">
        <v>42.328</v>
      </c>
      <c r="F599" s="4" t="n">
        <v>11</v>
      </c>
      <c r="G599" t="inlineStr">
        <is>
          <t>Tennis Québec</t>
        </is>
      </c>
      <c r="H599" t="inlineStr">
        <is>
          <t>No Club</t>
        </is>
      </c>
      <c r="I599" t="inlineStr">
        <is>
          <t>unavailable</t>
        </is>
      </c>
      <c r="J599" s="4" t="n">
        <v>22</v>
      </c>
      <c r="K599" t="inlineStr">
        <is>
          <t>10 / 12</t>
        </is>
      </c>
      <c r="L599" t="inlineStr">
        <is>
          <t>10 / 12</t>
        </is>
      </c>
      <c r="M599" s="5" t="n">
        <v>0.45</v>
      </c>
      <c r="N599" s="5" t="n">
        <v>0.45</v>
      </c>
    </row>
    <row r="600">
      <c r="A600" t="n">
        <v>599</v>
      </c>
      <c r="B600" t="n">
        <v>2012</v>
      </c>
      <c r="C600" t="inlineStr">
        <is>
          <t>Mackenzie Quek</t>
        </is>
      </c>
      <c r="D600">
        <f>HYPERLINK("https://ota.tournamentsoftware.com/player-profile/51407A91-7051-4BC3-B583-F0DC1E06E113", "Link")</f>
        <v/>
      </c>
      <c r="E600" s="3" t="n">
        <v>42.274</v>
      </c>
      <c r="F600" s="4" t="n">
        <v>4</v>
      </c>
      <c r="G600" t="inlineStr">
        <is>
          <t>Ontario Tennis Association</t>
        </is>
      </c>
      <c r="H600" t="inlineStr">
        <is>
          <t>Concord Tennis Academy</t>
        </is>
      </c>
      <c r="I600" t="inlineStr">
        <is>
          <t>unavailable</t>
        </is>
      </c>
      <c r="J600" s="4" t="n">
        <v>13</v>
      </c>
      <c r="K600" t="inlineStr">
        <is>
          <t>3 / 10</t>
        </is>
      </c>
      <c r="L600" t="inlineStr">
        <is>
          <t>3 / 10</t>
        </is>
      </c>
      <c r="M600" s="5" t="n">
        <v>0.23</v>
      </c>
      <c r="N600" s="5" t="n">
        <v>0.23</v>
      </c>
    </row>
    <row r="601">
      <c r="A601" t="n">
        <v>600</v>
      </c>
      <c r="B601" t="n">
        <v>2014</v>
      </c>
      <c r="C601" t="inlineStr">
        <is>
          <t>Melina Ioannidis</t>
        </is>
      </c>
      <c r="D601">
        <f>HYPERLINK("https://ota.tournamentsoftware.com/player-profile/7105A5E6-611D-4531-9016-F7FBEE3F6368", "Link")</f>
        <v/>
      </c>
      <c r="E601" s="3" t="n">
        <v>41.56</v>
      </c>
      <c r="F601" s="4" t="n">
        <v>6</v>
      </c>
      <c r="G601" t="inlineStr">
        <is>
          <t>Ontario Tennis Association</t>
        </is>
      </c>
      <c r="H601" t="inlineStr">
        <is>
          <t>Aurora Community Tennis Club</t>
        </is>
      </c>
      <c r="I601" t="n">
        <v>38.8</v>
      </c>
      <c r="J601" s="4" t="n">
        <v>61</v>
      </c>
      <c r="K601" t="inlineStr">
        <is>
          <t>34 / 27</t>
        </is>
      </c>
      <c r="L601" t="inlineStr">
        <is>
          <t>4 / 5</t>
        </is>
      </c>
      <c r="M601" s="5" t="n">
        <v>0.5600000000000001</v>
      </c>
      <c r="N601" s="5" t="n">
        <v>0.44</v>
      </c>
    </row>
    <row r="602">
      <c r="A602" t="n">
        <v>601</v>
      </c>
      <c r="B602" t="n">
        <v>2015</v>
      </c>
      <c r="C602" t="inlineStr">
        <is>
          <t>Juliette Tremblay</t>
        </is>
      </c>
      <c r="D602">
        <f>HYPERLINK("https://ota.tournamentsoftware.com/player-profile/94E82DA2-01EF-471F-BB0F-8CEAA1C42076", "Link")</f>
        <v/>
      </c>
      <c r="E602" s="3" t="n">
        <v>41.328</v>
      </c>
      <c r="F602" s="4" t="n">
        <v>8</v>
      </c>
      <c r="G602" t="inlineStr">
        <is>
          <t>Tennis Québec</t>
        </is>
      </c>
      <c r="H602" t="inlineStr">
        <is>
          <t>Tennis Outaouais Performance (TOP)</t>
        </is>
      </c>
      <c r="I602" t="n">
        <v>40</v>
      </c>
      <c r="J602" s="4" t="n">
        <v>50</v>
      </c>
      <c r="K602" t="inlineStr">
        <is>
          <t>15 / 35</t>
        </is>
      </c>
      <c r="L602" t="inlineStr">
        <is>
          <t>4 / 10</t>
        </is>
      </c>
      <c r="M602" s="5" t="n">
        <v>0.3</v>
      </c>
      <c r="N602" s="5" t="n">
        <v>0.29</v>
      </c>
    </row>
    <row r="603">
      <c r="A603" t="n">
        <v>602</v>
      </c>
      <c r="B603" t="n">
        <v>2014</v>
      </c>
      <c r="C603" t="inlineStr">
        <is>
          <t>Shaghun Dhillon</t>
        </is>
      </c>
      <c r="D603">
        <f>HYPERLINK("https://ota.tournamentsoftware.com/player-profile/97B5DEDE-AA93-468B-902A-462AB9B42432", "Link")</f>
        <v/>
      </c>
      <c r="E603" s="3" t="n">
        <v>40.727</v>
      </c>
      <c r="F603" s="4" t="n">
        <v>8</v>
      </c>
      <c r="G603" t="inlineStr">
        <is>
          <t>Ontario Tennis Association</t>
        </is>
      </c>
      <c r="H603" t="inlineStr">
        <is>
          <t>Premier Racquet Club</t>
        </is>
      </c>
      <c r="I603" t="n">
        <v>39.5</v>
      </c>
      <c r="J603" s="4" t="n">
        <v>49</v>
      </c>
      <c r="K603" t="inlineStr">
        <is>
          <t>28 / 21</t>
        </is>
      </c>
      <c r="L603" t="inlineStr">
        <is>
          <t>22 / 15</t>
        </is>
      </c>
      <c r="M603" s="5" t="n">
        <v>0.57</v>
      </c>
      <c r="N603" s="5" t="n">
        <v>0.59</v>
      </c>
    </row>
    <row r="604">
      <c r="A604" t="n">
        <v>603</v>
      </c>
      <c r="B604" t="n">
        <v>2015</v>
      </c>
      <c r="C604" t="inlineStr">
        <is>
          <t>ALICE Wan yee Wong</t>
        </is>
      </c>
      <c r="D604">
        <f>HYPERLINK("https://ota.tournamentsoftware.com/player-profile/1B8AB01B-692B-4E5E-B513-A24155329374", "Link")</f>
        <v/>
      </c>
      <c r="E604" s="3" t="n">
        <v>40.564</v>
      </c>
      <c r="F604" s="4" t="n">
        <v>12</v>
      </c>
      <c r="G604" t="inlineStr">
        <is>
          <t>British Columbia</t>
        </is>
      </c>
      <c r="H604" t="inlineStr">
        <is>
          <t>The Tennis Centre</t>
        </is>
      </c>
      <c r="I604" t="n">
        <v>38.6</v>
      </c>
      <c r="J604" s="4" t="n">
        <v>118</v>
      </c>
      <c r="K604" t="inlineStr">
        <is>
          <t>56 / 62</t>
        </is>
      </c>
      <c r="L604" t="inlineStr">
        <is>
          <t>16 / 13</t>
        </is>
      </c>
      <c r="M604" s="5" t="n">
        <v>0.47</v>
      </c>
      <c r="N604" s="5" t="n">
        <v>0.55</v>
      </c>
    </row>
    <row r="605">
      <c r="A605" t="n">
        <v>604</v>
      </c>
      <c r="B605" t="n">
        <v>2016</v>
      </c>
      <c r="C605" t="inlineStr">
        <is>
          <t>Amaranna Ugwunze</t>
        </is>
      </c>
      <c r="D605">
        <f>HYPERLINK("https://ota.tournamentsoftware.com/player-profile/2C6CBEBE-C5D2-4EC5-B283-CB703335834E", "Link")</f>
        <v/>
      </c>
      <c r="E605" s="3" t="n">
        <v>40.56</v>
      </c>
      <c r="F605" s="4" t="n">
        <v>13</v>
      </c>
      <c r="G605" t="inlineStr">
        <is>
          <t>Ontario Tennis Association</t>
        </is>
      </c>
      <c r="H605" t="inlineStr">
        <is>
          <t>Ontario Racquet Club</t>
        </is>
      </c>
      <c r="I605" t="n">
        <v>38.8</v>
      </c>
      <c r="J605" s="4" t="n">
        <v>82</v>
      </c>
      <c r="K605" t="inlineStr">
        <is>
          <t>41 / 41</t>
        </is>
      </c>
      <c r="L605" t="inlineStr">
        <is>
          <t>17 / 13</t>
        </is>
      </c>
      <c r="M605" s="5" t="n">
        <v>0.5</v>
      </c>
      <c r="N605" s="5" t="n">
        <v>0.57</v>
      </c>
    </row>
    <row r="606">
      <c r="A606" t="n">
        <v>605</v>
      </c>
      <c r="B606" t="n">
        <v>2015</v>
      </c>
      <c r="C606" t="inlineStr">
        <is>
          <t>Aubrey Baldinelli</t>
        </is>
      </c>
      <c r="D606">
        <f>HYPERLINK("https://ota.tournamentsoftware.com/player-profile/4C52D449-95CA-49A9-B524-B01117EAD86C", "Link")</f>
        <v/>
      </c>
      <c r="E606" s="3" t="n">
        <v>40.226</v>
      </c>
      <c r="F606" s="4" t="n">
        <v>8</v>
      </c>
      <c r="G606" t="inlineStr">
        <is>
          <t>Ontario Tennis Association</t>
        </is>
      </c>
      <c r="H606" t="inlineStr">
        <is>
          <t>Youngs Sportsplex</t>
        </is>
      </c>
      <c r="I606" t="n">
        <v>40</v>
      </c>
      <c r="J606" s="4" t="n">
        <v>39</v>
      </c>
      <c r="K606" t="inlineStr">
        <is>
          <t>20 / 19</t>
        </is>
      </c>
      <c r="L606" t="inlineStr">
        <is>
          <t>3 / 11</t>
        </is>
      </c>
      <c r="M606" s="5" t="n">
        <v>0.51</v>
      </c>
      <c r="N606" s="5" t="n">
        <v>0.21</v>
      </c>
    </row>
    <row r="607">
      <c r="A607" t="n">
        <v>606</v>
      </c>
      <c r="B607" t="n">
        <v>2016</v>
      </c>
      <c r="C607" t="inlineStr">
        <is>
          <t>Olivia Yueer Hao</t>
        </is>
      </c>
      <c r="D607">
        <f>HYPERLINK("https://ota.tournamentsoftware.com/player-profile/61C0E090-4E32-499F-86FE-FFD674DD6128", "Link")</f>
        <v/>
      </c>
      <c r="E607" s="3" t="n">
        <v>38.377</v>
      </c>
      <c r="F607" s="4" t="n">
        <v>4</v>
      </c>
      <c r="G607" t="inlineStr">
        <is>
          <t>Ontario Tennis Association</t>
        </is>
      </c>
      <c r="H607" t="inlineStr">
        <is>
          <t>Valan Tennis Academy</t>
        </is>
      </c>
      <c r="I607" t="n">
        <v>39.3</v>
      </c>
      <c r="J607" s="4" t="n">
        <v>66</v>
      </c>
      <c r="K607" t="inlineStr">
        <is>
          <t>31 / 35</t>
        </is>
      </c>
      <c r="L607" t="inlineStr">
        <is>
          <t>27 / 20</t>
        </is>
      </c>
      <c r="M607" s="5" t="n">
        <v>0.47</v>
      </c>
      <c r="N607" s="5" t="n">
        <v>0.57</v>
      </c>
    </row>
    <row r="608">
      <c r="A608" t="n">
        <v>607</v>
      </c>
      <c r="B608" t="n">
        <v>2012</v>
      </c>
      <c r="C608" t="inlineStr">
        <is>
          <t>LUCY HA</t>
        </is>
      </c>
      <c r="D608">
        <f>HYPERLINK("https://ota.tournamentsoftware.com/player-profile/5289FB1D-8B94-446A-83C5-187068CE2F5D", "Link")</f>
        <v/>
      </c>
      <c r="E608" s="3" t="n">
        <v>38.367</v>
      </c>
      <c r="F608" s="4" t="n">
        <v>4</v>
      </c>
      <c r="G608" t="inlineStr">
        <is>
          <t>British Columbia</t>
        </is>
      </c>
      <c r="H608" t="inlineStr">
        <is>
          <t>Tennis BC Hub @ Richmond</t>
        </is>
      </c>
      <c r="I608" t="n">
        <v>40</v>
      </c>
      <c r="J608" s="4" t="n">
        <v>28</v>
      </c>
      <c r="K608" t="inlineStr">
        <is>
          <t>4 / 24</t>
        </is>
      </c>
      <c r="L608" t="inlineStr">
        <is>
          <t>0 / 2</t>
        </is>
      </c>
      <c r="M608" s="5" t="n">
        <v>0.14</v>
      </c>
      <c r="N608" s="5" t="n">
        <v>0</v>
      </c>
    </row>
    <row r="609">
      <c r="A609" t="n">
        <v>608</v>
      </c>
      <c r="B609" t="n">
        <v>2013</v>
      </c>
      <c r="C609" t="inlineStr">
        <is>
          <t>Yu Nohara</t>
        </is>
      </c>
      <c r="D609">
        <f>HYPERLINK("https://ota.tournamentsoftware.com/player-profile/4AB57DE3-C832-4B9F-8F8F-AECBF5EE5A81", "Link")</f>
        <v/>
      </c>
      <c r="E609" s="3" t="n">
        <v>38.216</v>
      </c>
      <c r="F609" s="4" t="n">
        <v>4</v>
      </c>
      <c r="G609" t="inlineStr">
        <is>
          <t>British Columbia</t>
        </is>
      </c>
      <c r="H609" t="inlineStr">
        <is>
          <t>Tennis for Life</t>
        </is>
      </c>
      <c r="I609" t="n">
        <v>39.8</v>
      </c>
      <c r="J609" s="4" t="n">
        <v>20</v>
      </c>
      <c r="K609" t="inlineStr">
        <is>
          <t>9 / 11</t>
        </is>
      </c>
      <c r="L609" t="inlineStr">
        <is>
          <t>1 / 3</t>
        </is>
      </c>
      <c r="M609" s="5" t="n">
        <v>0.45</v>
      </c>
      <c r="N609" s="5" t="n">
        <v>0.25</v>
      </c>
    </row>
    <row r="610">
      <c r="A610" t="n">
        <v>609</v>
      </c>
      <c r="B610" t="n">
        <v>2013</v>
      </c>
      <c r="C610" t="inlineStr">
        <is>
          <t>Daniella Adekoya</t>
        </is>
      </c>
      <c r="D610">
        <f>HYPERLINK("https://ota.tournamentsoftware.com/player-profile/1AE7E627-3ED1-4E93-9C7E-52183DBA7410", "Link")</f>
        <v/>
      </c>
      <c r="E610" s="3" t="n">
        <v>38.016</v>
      </c>
      <c r="F610" s="4" t="n">
        <v>3</v>
      </c>
      <c r="G610" t="inlineStr">
        <is>
          <t>Ontario Tennis Association</t>
        </is>
      </c>
      <c r="H610" t="inlineStr">
        <is>
          <t>Rideau Sports Centre</t>
        </is>
      </c>
      <c r="I610" t="n">
        <v>38.9</v>
      </c>
      <c r="J610" s="4" t="n">
        <v>25</v>
      </c>
      <c r="K610" t="inlineStr">
        <is>
          <t>7 / 18</t>
        </is>
      </c>
      <c r="L610" t="inlineStr">
        <is>
          <t>0 / 1</t>
        </is>
      </c>
      <c r="M610" s="5" t="n">
        <v>0.28</v>
      </c>
      <c r="N610" s="5" t="n">
        <v>0</v>
      </c>
    </row>
    <row r="611">
      <c r="A611" t="n">
        <v>610</v>
      </c>
      <c r="B611" t="n">
        <v>2013</v>
      </c>
      <c r="C611" t="inlineStr">
        <is>
          <t>Kashvi Chaudhary</t>
        </is>
      </c>
      <c r="D611">
        <f>HYPERLINK("https://ota.tournamentsoftware.com/player-profile/0597AAB7-43E9-42CF-B00B-4928F8A2A1CD", "Link")</f>
        <v/>
      </c>
      <c r="E611" s="3" t="n">
        <v>37.557</v>
      </c>
      <c r="F611" s="4" t="n">
        <v>6</v>
      </c>
      <c r="G611" t="inlineStr">
        <is>
          <t>Ontario Tennis Association</t>
        </is>
      </c>
      <c r="H611" t="inlineStr">
        <is>
          <t>Brampton Tennis Club</t>
        </is>
      </c>
      <c r="I611" t="n">
        <v>40</v>
      </c>
      <c r="J611" s="4" t="n">
        <v>14</v>
      </c>
      <c r="K611" t="inlineStr">
        <is>
          <t>2 / 12</t>
        </is>
      </c>
      <c r="L611" t="inlineStr">
        <is>
          <t>0 / 0</t>
        </is>
      </c>
      <c r="M611" s="5" t="n">
        <v>0.14</v>
      </c>
      <c r="N611" s="5" t="n">
        <v>0</v>
      </c>
    </row>
    <row r="612">
      <c r="A612" t="n">
        <v>611</v>
      </c>
      <c r="B612" t="n">
        <v>2015</v>
      </c>
      <c r="C612" t="inlineStr">
        <is>
          <t>Anna Bella Grozdanovski</t>
        </is>
      </c>
      <c r="D612">
        <f>HYPERLINK("https://ota.tournamentsoftware.com/player-profile/C1BD78E7-5BB0-4BD0-9D53-DA02A232F8A0", "Link")</f>
        <v/>
      </c>
      <c r="E612" s="3" t="n">
        <v>37.548</v>
      </c>
      <c r="F612" s="4" t="n">
        <v>4</v>
      </c>
      <c r="G612" t="inlineStr">
        <is>
          <t>Ontario Tennis Association</t>
        </is>
      </c>
      <c r="H612" t="inlineStr">
        <is>
          <t>No Club</t>
        </is>
      </c>
      <c r="I612" t="n">
        <v>38.3</v>
      </c>
      <c r="J612" s="4" t="n">
        <v>36</v>
      </c>
      <c r="K612" t="inlineStr">
        <is>
          <t>17 / 19</t>
        </is>
      </c>
      <c r="L612" t="inlineStr">
        <is>
          <t>8 / 4</t>
        </is>
      </c>
      <c r="M612" s="5" t="n">
        <v>0.47</v>
      </c>
      <c r="N612" s="5" t="n">
        <v>0.67</v>
      </c>
    </row>
    <row r="613">
      <c r="A613" t="n">
        <v>612</v>
      </c>
      <c r="B613" t="n">
        <v>2013</v>
      </c>
      <c r="C613" t="inlineStr">
        <is>
          <t>Alexa Ardeleanu</t>
        </is>
      </c>
      <c r="D613">
        <f>HYPERLINK("https://ota.tournamentsoftware.com/player-profile/109D0444-3430-4CBD-A2CA-522592228926", "Link")</f>
        <v/>
      </c>
      <c r="E613" s="3" t="n">
        <v>37.397</v>
      </c>
      <c r="F613" s="4" t="n">
        <v>2</v>
      </c>
      <c r="G613" t="inlineStr">
        <is>
          <t>Ontario Tennis Association</t>
        </is>
      </c>
      <c r="H613" t="inlineStr">
        <is>
          <t>No Club</t>
        </is>
      </c>
      <c r="I613" t="n">
        <v>38.7</v>
      </c>
      <c r="J613" s="4" t="n">
        <v>3</v>
      </c>
      <c r="K613" t="inlineStr">
        <is>
          <t>0 / 3</t>
        </is>
      </c>
      <c r="L613" t="inlineStr">
        <is>
          <t>0 / 3</t>
        </is>
      </c>
      <c r="M613" s="5" t="n">
        <v>0</v>
      </c>
      <c r="N613" s="5" t="n">
        <v>0</v>
      </c>
    </row>
    <row r="614">
      <c r="A614" t="n">
        <v>613</v>
      </c>
      <c r="B614" t="n">
        <v>2015</v>
      </c>
      <c r="C614" t="inlineStr">
        <is>
          <t>GAURI BHARDWAJ</t>
        </is>
      </c>
      <c r="D614">
        <f>HYPERLINK("https://ota.tournamentsoftware.com/player-profile/7D0915D9-E26B-4DD0-AA8A-90DD2833C0F8", "Link")</f>
        <v/>
      </c>
      <c r="E614" s="3" t="n">
        <v>36.976</v>
      </c>
      <c r="F614" s="4" t="n">
        <v>7</v>
      </c>
      <c r="G614" t="inlineStr">
        <is>
          <t>Ontario Tennis Association</t>
        </is>
      </c>
      <c r="H614" t="inlineStr">
        <is>
          <t>Premier Racquet Clubs – Mississauga</t>
        </is>
      </c>
      <c r="I614" t="n">
        <v>39.1</v>
      </c>
      <c r="J614" s="4" t="n">
        <v>105</v>
      </c>
      <c r="K614" t="inlineStr">
        <is>
          <t>38 / 67</t>
        </is>
      </c>
      <c r="L614" t="inlineStr">
        <is>
          <t>3 / 3</t>
        </is>
      </c>
      <c r="M614" s="5" t="n">
        <v>0.36</v>
      </c>
      <c r="N614" s="5" t="n">
        <v>0.5</v>
      </c>
    </row>
    <row r="615">
      <c r="A615" t="n">
        <v>614</v>
      </c>
      <c r="B615" t="n">
        <v>2016</v>
      </c>
      <c r="C615" t="inlineStr">
        <is>
          <t>Abigail Jianing Zhou</t>
        </is>
      </c>
      <c r="D615">
        <f>HYPERLINK("https://ota.tournamentsoftware.com/player-profile/E53B2389-2E47-459E-9543-5DBB506C324A", "Link")</f>
        <v/>
      </c>
      <c r="E615" s="3" t="n">
        <v>36.381</v>
      </c>
      <c r="F615" s="4" t="n">
        <v>12</v>
      </c>
      <c r="G615" t="inlineStr">
        <is>
          <t>Ontario Tennis Association</t>
        </is>
      </c>
      <c r="H615" t="inlineStr">
        <is>
          <t>Joshua Creek Golf &amp; Tennis</t>
        </is>
      </c>
      <c r="I615" t="n">
        <v>40</v>
      </c>
      <c r="J615" s="4" t="n">
        <v>145</v>
      </c>
      <c r="K615" t="inlineStr">
        <is>
          <t>58 / 87</t>
        </is>
      </c>
      <c r="L615" t="inlineStr">
        <is>
          <t>20 / 22</t>
        </is>
      </c>
      <c r="M615" s="5" t="n">
        <v>0.4</v>
      </c>
      <c r="N615" s="5" t="n">
        <v>0.48</v>
      </c>
    </row>
    <row r="616">
      <c r="A616" t="n">
        <v>615</v>
      </c>
      <c r="B616" t="n">
        <v>2014</v>
      </c>
      <c r="C616" t="inlineStr">
        <is>
          <t>Violette Hébert</t>
        </is>
      </c>
      <c r="D616">
        <f>HYPERLINK("https://ota.tournamentsoftware.com/player-profile/53615BF8-C3DB-4C99-8745-F5A7E4DC7C2E", "Link")</f>
        <v/>
      </c>
      <c r="E616" s="3" t="n">
        <v>36.239</v>
      </c>
      <c r="F616" s="4" t="n">
        <v>10</v>
      </c>
      <c r="G616" t="inlineStr">
        <is>
          <t>Tennis Québec</t>
        </is>
      </c>
      <c r="H616" t="inlineStr">
        <is>
          <t>EB Tennis inc.</t>
        </is>
      </c>
      <c r="I616" t="n">
        <v>40</v>
      </c>
      <c r="J616" s="4" t="n">
        <v>46</v>
      </c>
      <c r="K616" t="inlineStr">
        <is>
          <t>14 / 32</t>
        </is>
      </c>
      <c r="L616" t="inlineStr">
        <is>
          <t>4 / 10</t>
        </is>
      </c>
      <c r="M616" s="5" t="n">
        <v>0.3</v>
      </c>
      <c r="N616" s="5" t="n">
        <v>0.29</v>
      </c>
    </row>
    <row r="617">
      <c r="A617" t="n">
        <v>616</v>
      </c>
      <c r="B617" t="n">
        <v>2017</v>
      </c>
      <c r="C617" t="inlineStr">
        <is>
          <t>Arianna Fernanda Chacon</t>
        </is>
      </c>
      <c r="D617">
        <f>HYPERLINK("https://ota.tournamentsoftware.com/player-profile/3B36D99D-C9E7-48A2-BC06-6AD3725AC12E", "Link")</f>
        <v/>
      </c>
      <c r="E617" s="3" t="n">
        <v>36.192</v>
      </c>
      <c r="F617" s="4" t="n">
        <v>11</v>
      </c>
      <c r="G617" t="inlineStr">
        <is>
          <t>Tennis Alberta</t>
        </is>
      </c>
      <c r="H617" t="inlineStr">
        <is>
          <t>Aforza</t>
        </is>
      </c>
      <c r="I617" t="n">
        <v>38.3</v>
      </c>
      <c r="J617" s="4" t="n">
        <v>187</v>
      </c>
      <c r="K617" t="inlineStr">
        <is>
          <t>95 / 92</t>
        </is>
      </c>
      <c r="L617" t="inlineStr">
        <is>
          <t>22 / 16</t>
        </is>
      </c>
      <c r="M617" s="5" t="n">
        <v>0.51</v>
      </c>
      <c r="N617" s="5" t="n">
        <v>0.58</v>
      </c>
    </row>
    <row r="618">
      <c r="A618" t="n">
        <v>617</v>
      </c>
      <c r="B618" t="n">
        <v>2015</v>
      </c>
      <c r="C618" t="inlineStr">
        <is>
          <t>Sloane Burdick</t>
        </is>
      </c>
      <c r="D618">
        <f>HYPERLINK("https://ota.tournamentsoftware.com/player-profile/B4ED1890-6E53-4FCC-9711-828BDD90CD1F", "Link")</f>
        <v/>
      </c>
      <c r="E618" s="3" t="n">
        <v>36.168</v>
      </c>
      <c r="F618" s="4" t="n">
        <v>8</v>
      </c>
      <c r="G618" t="inlineStr">
        <is>
          <t>British Columbia</t>
        </is>
      </c>
      <c r="H618" t="inlineStr">
        <is>
          <t>Vanguard Tennis Academy</t>
        </is>
      </c>
      <c r="I618" t="n">
        <v>39.3</v>
      </c>
      <c r="J618" s="4" t="n">
        <v>71</v>
      </c>
      <c r="K618" t="inlineStr">
        <is>
          <t>35 / 36</t>
        </is>
      </c>
      <c r="L618" t="inlineStr">
        <is>
          <t>8 / 9</t>
        </is>
      </c>
      <c r="M618" s="5" t="n">
        <v>0.49</v>
      </c>
      <c r="N618" s="5" t="n">
        <v>0.47</v>
      </c>
    </row>
    <row r="619">
      <c r="A619" t="n">
        <v>618</v>
      </c>
      <c r="B619" t="n">
        <v>2012</v>
      </c>
      <c r="C619" t="inlineStr">
        <is>
          <t>Capri Metelitsa</t>
        </is>
      </c>
      <c r="D619">
        <f>HYPERLINK("https://ota.tournamentsoftware.com/player-profile/AD54A68E-D415-4925-B832-8287172FB727", "Link")</f>
        <v/>
      </c>
      <c r="E619" s="3" t="n">
        <v>36.025</v>
      </c>
      <c r="F619" s="4" t="n">
        <v>9</v>
      </c>
      <c r="G619" t="inlineStr">
        <is>
          <t>Tennis Alberta</t>
        </is>
      </c>
      <c r="H619" t="inlineStr">
        <is>
          <t>Aforza</t>
        </is>
      </c>
      <c r="I619" t="n">
        <v>39.1</v>
      </c>
      <c r="J619" s="4" t="n">
        <v>47</v>
      </c>
      <c r="K619" t="inlineStr">
        <is>
          <t>22 / 25</t>
        </is>
      </c>
      <c r="L619" t="inlineStr">
        <is>
          <t>1 / 6</t>
        </is>
      </c>
      <c r="M619" s="5" t="n">
        <v>0.47</v>
      </c>
      <c r="N619" s="5" t="n">
        <v>0.14</v>
      </c>
    </row>
    <row r="620">
      <c r="A620" t="n">
        <v>619</v>
      </c>
      <c r="B620" t="n">
        <v>2015</v>
      </c>
      <c r="C620" t="inlineStr">
        <is>
          <t>Lillian Tooryani</t>
        </is>
      </c>
      <c r="D620">
        <f>HYPERLINK("https://ota.tournamentsoftware.com/player-profile/B149ED5D-E26B-4577-8AAB-620DB4A7A85F", "Link")</f>
        <v/>
      </c>
      <c r="E620" s="3" t="n">
        <v>35.949</v>
      </c>
      <c r="F620" s="4" t="n">
        <v>8</v>
      </c>
      <c r="G620" t="inlineStr">
        <is>
          <t>Ontario Tennis Association</t>
        </is>
      </c>
      <c r="H620" t="inlineStr">
        <is>
          <t>Mayfair West Fitness &amp; Racquet Club</t>
        </is>
      </c>
      <c r="I620" t="n">
        <v>38.7</v>
      </c>
      <c r="J620" s="4" t="n">
        <v>35</v>
      </c>
      <c r="K620" t="inlineStr">
        <is>
          <t>13 / 22</t>
        </is>
      </c>
      <c r="L620" t="inlineStr">
        <is>
          <t>10 / 9</t>
        </is>
      </c>
      <c r="M620" s="5" t="n">
        <v>0.37</v>
      </c>
      <c r="N620" s="5" t="n">
        <v>0.53</v>
      </c>
    </row>
    <row r="621">
      <c r="A621" t="n">
        <v>620</v>
      </c>
      <c r="B621" t="n">
        <v>2015</v>
      </c>
      <c r="C621" t="inlineStr">
        <is>
          <t>Kenza Rachel Moulayess</t>
        </is>
      </c>
      <c r="D621">
        <f>HYPERLINK("https://ota.tournamentsoftware.com/player-profile/4C943CCE-9912-41DA-95F0-D98F8E86E816", "Link")</f>
        <v/>
      </c>
      <c r="E621" s="3" t="n">
        <v>35.856</v>
      </c>
      <c r="F621" s="4" t="n">
        <v>2</v>
      </c>
      <c r="G621" t="inlineStr">
        <is>
          <t>Tennis Québec</t>
        </is>
      </c>
      <c r="H621" t="inlineStr">
        <is>
          <t>Club Avantage Multi-sports / Académie de tennis Hérisset Bordeleau</t>
        </is>
      </c>
      <c r="I621" t="n">
        <v>36.2</v>
      </c>
      <c r="J621" s="4" t="n">
        <v>26</v>
      </c>
      <c r="K621" t="inlineStr">
        <is>
          <t>19 / 7</t>
        </is>
      </c>
      <c r="L621" t="inlineStr">
        <is>
          <t>0 / 0</t>
        </is>
      </c>
      <c r="M621" s="5" t="n">
        <v>0.73</v>
      </c>
      <c r="N621" s="5" t="n">
        <v>0</v>
      </c>
    </row>
    <row r="622">
      <c r="A622" t="n">
        <v>621</v>
      </c>
      <c r="B622" t="n">
        <v>2016</v>
      </c>
      <c r="C622" t="inlineStr">
        <is>
          <t>Kiara Krishnan</t>
        </is>
      </c>
      <c r="D622">
        <f>HYPERLINK("https://ota.tournamentsoftware.com/player-profile/50D3305E-63D5-4EFB-B53F-B64E463DE26E", "Link")</f>
        <v/>
      </c>
      <c r="E622" s="3" t="n">
        <v>35.737</v>
      </c>
      <c r="F622" s="4" t="n">
        <v>25</v>
      </c>
      <c r="G622" t="inlineStr">
        <is>
          <t>Ontario Tennis Association</t>
        </is>
      </c>
      <c r="H622" t="inlineStr">
        <is>
          <t>Toronto Tennis Academy</t>
        </is>
      </c>
      <c r="I622" t="n">
        <v>40</v>
      </c>
      <c r="J622" s="4" t="n">
        <v>238</v>
      </c>
      <c r="K622" t="inlineStr">
        <is>
          <t>95 / 143</t>
        </is>
      </c>
      <c r="L622" t="inlineStr">
        <is>
          <t>8 / 26</t>
        </is>
      </c>
      <c r="M622" s="5" t="n">
        <v>0.4</v>
      </c>
      <c r="N622" s="5" t="n">
        <v>0.24</v>
      </c>
    </row>
    <row r="623">
      <c r="A623" t="n">
        <v>622</v>
      </c>
      <c r="B623" t="n">
        <v>2015</v>
      </c>
      <c r="C623" t="inlineStr">
        <is>
          <t>Mia Kojic</t>
        </is>
      </c>
      <c r="D623">
        <f>HYPERLINK("https://ota.tournamentsoftware.com/player-profile/1573DFB3-8189-4CE9-AAAC-9ADF1738AD9C", "Link")</f>
        <v/>
      </c>
      <c r="E623" s="3" t="n">
        <v>35.648</v>
      </c>
      <c r="F623" s="4" t="n">
        <v>6</v>
      </c>
      <c r="G623" t="inlineStr">
        <is>
          <t>Ontario Tennis Association</t>
        </is>
      </c>
      <c r="H623" t="inlineStr">
        <is>
          <t>Ontario Racquet Club</t>
        </is>
      </c>
      <c r="I623" t="n">
        <v>40</v>
      </c>
      <c r="J623" s="4" t="n">
        <v>92</v>
      </c>
      <c r="K623" t="inlineStr">
        <is>
          <t>39 / 53</t>
        </is>
      </c>
      <c r="L623" t="inlineStr">
        <is>
          <t>3 / 8</t>
        </is>
      </c>
      <c r="M623" s="5" t="n">
        <v>0.42</v>
      </c>
      <c r="N623" s="5" t="n">
        <v>0.27</v>
      </c>
    </row>
    <row r="624">
      <c r="A624" t="n">
        <v>623</v>
      </c>
      <c r="B624" t="n">
        <v>2015</v>
      </c>
      <c r="C624" t="inlineStr">
        <is>
          <t>Victoria Guo</t>
        </is>
      </c>
      <c r="D624">
        <f>HYPERLINK("https://ota.tournamentsoftware.com/player-profile/54FA7561-0327-4A42-A5FE-A5519116069C", "Link")</f>
        <v/>
      </c>
      <c r="E624" s="3" t="n">
        <v>35.632</v>
      </c>
      <c r="F624" s="4" t="n">
        <v>4</v>
      </c>
      <c r="G624" t="inlineStr">
        <is>
          <t>Ontario Tennis Association</t>
        </is>
      </c>
      <c r="H624" t="inlineStr">
        <is>
          <t>Craig Henry</t>
        </is>
      </c>
      <c r="I624" t="n">
        <v>39.7</v>
      </c>
      <c r="J624" s="4" t="n">
        <v>27</v>
      </c>
      <c r="K624" t="inlineStr">
        <is>
          <t>10 / 17</t>
        </is>
      </c>
      <c r="L624" t="inlineStr">
        <is>
          <t>1 / 4</t>
        </is>
      </c>
      <c r="M624" s="5" t="n">
        <v>0.37</v>
      </c>
      <c r="N624" s="5" t="n">
        <v>0.2</v>
      </c>
    </row>
    <row r="625">
      <c r="A625" t="n">
        <v>624</v>
      </c>
      <c r="B625" t="n">
        <v>2013</v>
      </c>
      <c r="C625" t="inlineStr">
        <is>
          <t>Mehak Garg</t>
        </is>
      </c>
      <c r="D625">
        <f>HYPERLINK("https://ota.tournamentsoftware.com/player-profile/2FA47597-FC2B-4F26-80C4-912C2FC70064", "Link")</f>
        <v/>
      </c>
      <c r="E625" s="3" t="n">
        <v>35.51</v>
      </c>
      <c r="F625" s="4" t="n">
        <v>1</v>
      </c>
      <c r="G625" t="inlineStr">
        <is>
          <t>Tennis Saskatchewan</t>
        </is>
      </c>
      <c r="H625" t="inlineStr">
        <is>
          <t>Lakewood Indoor Tennis Centre</t>
        </is>
      </c>
      <c r="I625" t="n">
        <v>37.6</v>
      </c>
      <c r="J625" s="4" t="n">
        <v>9</v>
      </c>
      <c r="K625" t="inlineStr">
        <is>
          <t>3 / 6</t>
        </is>
      </c>
      <c r="L625" t="inlineStr">
        <is>
          <t>3 / 6</t>
        </is>
      </c>
      <c r="M625" s="5" t="n">
        <v>0.33</v>
      </c>
      <c r="N625" s="5" t="n">
        <v>0.33</v>
      </c>
    </row>
    <row r="626">
      <c r="A626" t="n">
        <v>625</v>
      </c>
      <c r="B626" t="n">
        <v>2014</v>
      </c>
      <c r="C626" t="inlineStr">
        <is>
          <t>Alena Sui</t>
        </is>
      </c>
      <c r="D626">
        <f>HYPERLINK("https://ota.tournamentsoftware.com/player-profile/92B690E9-D6C6-410C-A457-5AC3927E933A", "Link")</f>
        <v/>
      </c>
      <c r="E626" s="3" t="n">
        <v>35.436</v>
      </c>
      <c r="F626" s="4" t="n">
        <v>10</v>
      </c>
      <c r="G626" t="inlineStr">
        <is>
          <t>British Columbia</t>
        </is>
      </c>
      <c r="H626" t="inlineStr">
        <is>
          <t>No Club</t>
        </is>
      </c>
      <c r="I626" t="n">
        <v>40</v>
      </c>
      <c r="J626" s="4" t="n">
        <v>74</v>
      </c>
      <c r="K626" t="inlineStr">
        <is>
          <t>34 / 40</t>
        </is>
      </c>
      <c r="L626" t="inlineStr">
        <is>
          <t>14 / 18</t>
        </is>
      </c>
      <c r="M626" s="5" t="n">
        <v>0.46</v>
      </c>
      <c r="N626" s="5" t="n">
        <v>0.44</v>
      </c>
    </row>
    <row r="627">
      <c r="A627" t="n">
        <v>626</v>
      </c>
      <c r="B627" t="n">
        <v>2013</v>
      </c>
      <c r="C627" t="inlineStr">
        <is>
          <t>Anika Surtani</t>
        </is>
      </c>
      <c r="D627">
        <f>HYPERLINK("https://ota.tournamentsoftware.com/player-profile/8434E356-BD3E-4FDA-9513-46F335FD471C", "Link")</f>
        <v/>
      </c>
      <c r="E627" s="3" t="n">
        <v>35.236</v>
      </c>
      <c r="F627" s="4" t="n">
        <v>5</v>
      </c>
      <c r="G627" t="inlineStr">
        <is>
          <t>Ontario Tennis Association</t>
        </is>
      </c>
      <c r="H627" t="inlineStr">
        <is>
          <t>Boulevard Club</t>
        </is>
      </c>
      <c r="I627" t="inlineStr">
        <is>
          <t>unavailable</t>
        </is>
      </c>
      <c r="J627" s="4" t="n">
        <v>16</v>
      </c>
      <c r="K627" t="inlineStr">
        <is>
          <t>4 / 12</t>
        </is>
      </c>
      <c r="L627" t="inlineStr">
        <is>
          <t>2 / 4</t>
        </is>
      </c>
      <c r="M627" s="5" t="n">
        <v>0.25</v>
      </c>
      <c r="N627" s="5" t="n">
        <v>0.33</v>
      </c>
    </row>
    <row r="628">
      <c r="A628" t="n">
        <v>627</v>
      </c>
      <c r="B628" t="n">
        <v>2015</v>
      </c>
      <c r="C628" t="inlineStr">
        <is>
          <t>Nya BLANCHARD</t>
        </is>
      </c>
      <c r="D628">
        <f>HYPERLINK("https://ota.tournamentsoftware.com/player-profile/E8E00722-2274-4657-BCF4-B20EEBB0EB21", "Link")</f>
        <v/>
      </c>
      <c r="E628" s="3" t="n">
        <v>34.903</v>
      </c>
      <c r="F628" s="4" t="n">
        <v>6</v>
      </c>
      <c r="G628" t="inlineStr">
        <is>
          <t>Ontario Tennis Association</t>
        </is>
      </c>
      <c r="H628" t="inlineStr">
        <is>
          <t>Ontario Racquet Club</t>
        </is>
      </c>
      <c r="I628" t="n">
        <v>37.8</v>
      </c>
      <c r="J628" s="4" t="n">
        <v>41</v>
      </c>
      <c r="K628" t="inlineStr">
        <is>
          <t>23 / 18</t>
        </is>
      </c>
      <c r="L628" t="inlineStr">
        <is>
          <t>8 / 7</t>
        </is>
      </c>
      <c r="M628" s="5" t="n">
        <v>0.5600000000000001</v>
      </c>
      <c r="N628" s="5" t="n">
        <v>0.53</v>
      </c>
    </row>
    <row r="629">
      <c r="A629" t="n">
        <v>628</v>
      </c>
      <c r="B629" t="n">
        <v>2015</v>
      </c>
      <c r="C629" t="inlineStr">
        <is>
          <t>Asena Kiamil</t>
        </is>
      </c>
      <c r="D629">
        <f>HYPERLINK("https://ota.tournamentsoftware.com/player-profile/E9A72281-6B76-4B36-9040-E802436447FA", "Link")</f>
        <v/>
      </c>
      <c r="E629" s="3" t="n">
        <v>34.373</v>
      </c>
      <c r="F629" s="4" t="n">
        <v>6</v>
      </c>
      <c r="G629" t="inlineStr">
        <is>
          <t>Ontario Tennis Association</t>
        </is>
      </c>
      <c r="H629" t="inlineStr">
        <is>
          <t>Royal City Tennis Club</t>
        </is>
      </c>
      <c r="I629" t="n">
        <v>38.6</v>
      </c>
      <c r="J629" s="4" t="n">
        <v>84</v>
      </c>
      <c r="K629" t="inlineStr">
        <is>
          <t>45 / 39</t>
        </is>
      </c>
      <c r="L629" t="inlineStr">
        <is>
          <t>3 / 5</t>
        </is>
      </c>
      <c r="M629" s="5" t="n">
        <v>0.54</v>
      </c>
      <c r="N629" s="5" t="n">
        <v>0.38</v>
      </c>
    </row>
    <row r="630">
      <c r="A630" t="n">
        <v>629</v>
      </c>
      <c r="B630" t="n">
        <v>2013</v>
      </c>
      <c r="C630" t="inlineStr">
        <is>
          <t>caitlin wong</t>
        </is>
      </c>
      <c r="D630">
        <f>HYPERLINK("https://ota.tournamentsoftware.com/player-profile/A6697051-116D-4981-AA23-11E1BF963FD3", "Link")</f>
        <v/>
      </c>
      <c r="E630" s="3" t="n">
        <v>34.068</v>
      </c>
      <c r="F630" s="4" t="n">
        <v>5</v>
      </c>
      <c r="G630" t="inlineStr">
        <is>
          <t>Ontario Tennis Association</t>
        </is>
      </c>
      <c r="H630" t="inlineStr">
        <is>
          <t>Blackmore Tennis Club</t>
        </is>
      </c>
      <c r="I630" t="n">
        <v>39</v>
      </c>
      <c r="J630" s="4" t="n">
        <v>56</v>
      </c>
      <c r="K630" t="inlineStr">
        <is>
          <t>29 / 27</t>
        </is>
      </c>
      <c r="L630" t="inlineStr">
        <is>
          <t>0 / 0</t>
        </is>
      </c>
      <c r="M630" s="5" t="n">
        <v>0.52</v>
      </c>
      <c r="N630" s="5" t="n">
        <v>0</v>
      </c>
    </row>
    <row r="631">
      <c r="A631" t="n">
        <v>630</v>
      </c>
      <c r="B631" t="n">
        <v>2013</v>
      </c>
      <c r="C631" t="inlineStr">
        <is>
          <t>Lingxi Sun</t>
        </is>
      </c>
      <c r="D631">
        <f>HYPERLINK("https://ota.tournamentsoftware.com/player-profile/09E8E557-02B1-46EF-87E8-A28C42A56E9D", "Link")</f>
        <v/>
      </c>
      <c r="E631" s="3" t="n">
        <v>34.041</v>
      </c>
      <c r="F631" s="4" t="n">
        <v>4</v>
      </c>
      <c r="G631" t="inlineStr">
        <is>
          <t>British Columbia</t>
        </is>
      </c>
      <c r="H631" t="inlineStr">
        <is>
          <t>UBC Tennis Centre</t>
        </is>
      </c>
      <c r="I631" t="n">
        <v>36.9</v>
      </c>
      <c r="J631" s="4" t="n">
        <v>39</v>
      </c>
      <c r="K631" t="inlineStr">
        <is>
          <t>23 / 16</t>
        </is>
      </c>
      <c r="L631" t="inlineStr">
        <is>
          <t>0 / 0</t>
        </is>
      </c>
      <c r="M631" s="5" t="n">
        <v>0.59</v>
      </c>
      <c r="N631" s="5" t="n">
        <v>0</v>
      </c>
    </row>
    <row r="632">
      <c r="A632" t="n">
        <v>631</v>
      </c>
      <c r="B632" t="n">
        <v>2015</v>
      </c>
      <c r="C632" t="inlineStr">
        <is>
          <t>Olivia Mary Hipwell</t>
        </is>
      </c>
      <c r="D632">
        <f>HYPERLINK("https://ota.tournamentsoftware.com/player-profile/1595D3E6-D4CF-4ADE-B136-FD5AC473C7F7", "Link")</f>
        <v/>
      </c>
      <c r="E632" s="3" t="n">
        <v>33.917</v>
      </c>
      <c r="F632" s="4" t="n">
        <v>7</v>
      </c>
      <c r="G632" t="inlineStr">
        <is>
          <t>Ontario Tennis Association</t>
        </is>
      </c>
      <c r="H632" t="inlineStr">
        <is>
          <t>Ontario Racquet Club</t>
        </is>
      </c>
      <c r="I632" t="inlineStr">
        <is>
          <t>unavailable</t>
        </is>
      </c>
      <c r="J632" s="4" t="n">
        <v>79</v>
      </c>
      <c r="K632" t="inlineStr">
        <is>
          <t>28 / 51</t>
        </is>
      </c>
      <c r="L632" t="inlineStr">
        <is>
          <t>4 / 9</t>
        </is>
      </c>
      <c r="M632" s="5" t="n">
        <v>0.35</v>
      </c>
      <c r="N632" s="5" t="n">
        <v>0.31</v>
      </c>
    </row>
    <row r="633">
      <c r="A633" t="n">
        <v>632</v>
      </c>
      <c r="B633" t="n">
        <v>2014</v>
      </c>
      <c r="C633" t="inlineStr">
        <is>
          <t>Georgena Banquicio</t>
        </is>
      </c>
      <c r="D633">
        <f>HYPERLINK("https://ota.tournamentsoftware.com/player-profile/AB3893CF-B68D-4258-893E-E7C3FB601465", "Link")</f>
        <v/>
      </c>
      <c r="E633" s="3" t="n">
        <v>33.663</v>
      </c>
      <c r="F633" s="4" t="n">
        <v>5</v>
      </c>
      <c r="G633" t="inlineStr">
        <is>
          <t>Tennis New Brunswick</t>
        </is>
      </c>
      <c r="H633" t="inlineStr">
        <is>
          <t>Abony Family Tennis Center</t>
        </is>
      </c>
      <c r="I633" t="n">
        <v>39.5</v>
      </c>
      <c r="J633" s="4" t="n">
        <v>72</v>
      </c>
      <c r="K633" t="inlineStr">
        <is>
          <t>34 / 38</t>
        </is>
      </c>
      <c r="L633" t="inlineStr">
        <is>
          <t>2 / 6</t>
        </is>
      </c>
      <c r="M633" s="5" t="n">
        <v>0.47</v>
      </c>
      <c r="N633" s="5" t="n">
        <v>0.25</v>
      </c>
    </row>
    <row r="634">
      <c r="A634" t="n">
        <v>633</v>
      </c>
      <c r="B634" t="n">
        <v>2015</v>
      </c>
      <c r="C634" t="inlineStr">
        <is>
          <t>Enlin Fan</t>
        </is>
      </c>
      <c r="D634">
        <f>HYPERLINK("https://ota.tournamentsoftware.com/player-profile/0F38D490-CA76-4A12-BE87-0BAC308EDC74", "Link")</f>
        <v/>
      </c>
      <c r="E634" s="3" t="n">
        <v>32.538</v>
      </c>
      <c r="F634" s="4" t="n">
        <v>6</v>
      </c>
      <c r="G634" t="inlineStr">
        <is>
          <t>British Columbia</t>
        </is>
      </c>
      <c r="H634" t="inlineStr">
        <is>
          <t>The Tennis Centre</t>
        </is>
      </c>
      <c r="I634" t="inlineStr">
        <is>
          <t>unavailable</t>
        </is>
      </c>
      <c r="J634" s="4" t="n">
        <v>93</v>
      </c>
      <c r="K634" t="inlineStr">
        <is>
          <t>42 / 51</t>
        </is>
      </c>
      <c r="L634" t="inlineStr">
        <is>
          <t>7 / 6</t>
        </is>
      </c>
      <c r="M634" s="5" t="n">
        <v>0.45</v>
      </c>
      <c r="N634" s="5" t="n">
        <v>0.54</v>
      </c>
    </row>
    <row r="635">
      <c r="A635" t="n">
        <v>634</v>
      </c>
      <c r="B635" t="n">
        <v>2013</v>
      </c>
      <c r="C635" t="inlineStr">
        <is>
          <t>Mengge(Maya) Xu</t>
        </is>
      </c>
      <c r="D635">
        <f>HYPERLINK("https://ota.tournamentsoftware.com/player-profile/9CD6D408-1A72-4E0B-A9C9-DD675B785873", "Link")</f>
        <v/>
      </c>
      <c r="E635" s="3" t="n">
        <v>32.309</v>
      </c>
      <c r="F635" s="4" t="n">
        <v>6</v>
      </c>
      <c r="G635" t="inlineStr">
        <is>
          <t>Ontario Tennis Association</t>
        </is>
      </c>
      <c r="H635" t="inlineStr">
        <is>
          <t>Markham Tennis Club</t>
        </is>
      </c>
      <c r="I635" t="n">
        <v>40</v>
      </c>
      <c r="J635" s="4" t="n">
        <v>21</v>
      </c>
      <c r="K635" t="inlineStr">
        <is>
          <t>7 / 14</t>
        </is>
      </c>
      <c r="L635" t="inlineStr">
        <is>
          <t>2 / 2</t>
        </is>
      </c>
      <c r="M635" s="5" t="n">
        <v>0.33</v>
      </c>
      <c r="N635" s="5" t="n">
        <v>0.5</v>
      </c>
    </row>
    <row r="636">
      <c r="A636" t="n">
        <v>635</v>
      </c>
      <c r="B636" t="n">
        <v>2015</v>
      </c>
      <c r="C636" t="inlineStr">
        <is>
          <t>Piper Harrison</t>
        </is>
      </c>
      <c r="D636">
        <f>HYPERLINK("https://ota.tournamentsoftware.com/player-profile/8FD01254-4DB3-4BFF-A784-65DB87717C42", "Link")</f>
        <v/>
      </c>
      <c r="E636" s="3" t="n">
        <v>31.992</v>
      </c>
      <c r="F636" s="4" t="n">
        <v>7</v>
      </c>
      <c r="G636" t="inlineStr">
        <is>
          <t>Ontario Tennis Association</t>
        </is>
      </c>
      <c r="H636" t="inlineStr">
        <is>
          <t>Boulevard Club</t>
        </is>
      </c>
      <c r="I636" t="n">
        <v>39.8</v>
      </c>
      <c r="J636" s="4" t="n">
        <v>56</v>
      </c>
      <c r="K636" t="inlineStr">
        <is>
          <t>18 / 38</t>
        </is>
      </c>
      <c r="L636" t="inlineStr">
        <is>
          <t>6 / 10</t>
        </is>
      </c>
      <c r="M636" s="5" t="n">
        <v>0.32</v>
      </c>
      <c r="N636" s="5" t="n">
        <v>0.38</v>
      </c>
    </row>
    <row r="637">
      <c r="A637" t="n">
        <v>636</v>
      </c>
      <c r="B637" t="n">
        <v>2012</v>
      </c>
      <c r="C637" t="inlineStr">
        <is>
          <t>Rosalie Lanthier</t>
        </is>
      </c>
      <c r="D637">
        <f>HYPERLINK("https://ota.tournamentsoftware.com/player-profile/7853B67E-AF4D-4FFF-9839-6455ACC0C941", "Link")</f>
        <v/>
      </c>
      <c r="E637" s="3" t="n">
        <v>31.759</v>
      </c>
      <c r="F637" s="4" t="n">
        <v>5</v>
      </c>
      <c r="G637" t="inlineStr">
        <is>
          <t>Tennis Québec</t>
        </is>
      </c>
      <c r="H637" t="inlineStr">
        <is>
          <t>EB Tennis inc.</t>
        </is>
      </c>
      <c r="I637" t="n">
        <v>40</v>
      </c>
      <c r="J637" s="4" t="n">
        <v>15</v>
      </c>
      <c r="K637" t="inlineStr">
        <is>
          <t>1 / 14</t>
        </is>
      </c>
      <c r="L637" t="inlineStr">
        <is>
          <t>0 / 4</t>
        </is>
      </c>
      <c r="M637" s="5" t="n">
        <v>0.07000000000000001</v>
      </c>
      <c r="N637" s="5" t="n">
        <v>0</v>
      </c>
    </row>
    <row r="638">
      <c r="A638" t="n">
        <v>637</v>
      </c>
      <c r="B638" t="n">
        <v>2016</v>
      </c>
      <c r="C638" t="inlineStr">
        <is>
          <t>Lily Chen</t>
        </is>
      </c>
      <c r="D638">
        <f>HYPERLINK("https://ota.tournamentsoftware.com/player-profile/A6A0EB19-7DDD-4B25-B81C-FCA911081AB5", "Link")</f>
        <v/>
      </c>
      <c r="E638" s="3" t="n">
        <v>31.117</v>
      </c>
      <c r="F638" s="4" t="n">
        <v>15</v>
      </c>
      <c r="G638" t="inlineStr">
        <is>
          <t>British Columbia</t>
        </is>
      </c>
      <c r="H638" t="inlineStr">
        <is>
          <t>No Club</t>
        </is>
      </c>
      <c r="I638" t="n">
        <v>39.1</v>
      </c>
      <c r="J638" s="4" t="n">
        <v>100</v>
      </c>
      <c r="K638" t="inlineStr">
        <is>
          <t>39 / 61</t>
        </is>
      </c>
      <c r="L638" t="inlineStr">
        <is>
          <t>12 / 18</t>
        </is>
      </c>
      <c r="M638" s="5" t="n">
        <v>0.39</v>
      </c>
      <c r="N638" s="5" t="n">
        <v>0.4</v>
      </c>
    </row>
    <row r="639">
      <c r="A639" t="n">
        <v>638</v>
      </c>
      <c r="B639" t="n">
        <v>2017</v>
      </c>
      <c r="C639" t="inlineStr">
        <is>
          <t>Aria Bloom</t>
        </is>
      </c>
      <c r="D639">
        <f>HYPERLINK("https://ota.tournamentsoftware.com/player-profile/7C30BE00-7F15-42B9-BA96-B3B2895898A0", "Link")</f>
        <v/>
      </c>
      <c r="E639" s="3" t="n">
        <v>31.002</v>
      </c>
      <c r="F639" s="4" t="n">
        <v>4</v>
      </c>
      <c r="G639" t="inlineStr">
        <is>
          <t>Tennis Alberta</t>
        </is>
      </c>
      <c r="H639" t="inlineStr">
        <is>
          <t>Osten &amp; Victor Alberta Tennis Centre</t>
        </is>
      </c>
      <c r="I639" t="n">
        <v>36.5</v>
      </c>
      <c r="J639" s="4" t="n">
        <v>108</v>
      </c>
      <c r="K639" t="inlineStr">
        <is>
          <t>80 / 28</t>
        </is>
      </c>
      <c r="L639" t="inlineStr">
        <is>
          <t>26 / 5</t>
        </is>
      </c>
      <c r="M639" s="5" t="n">
        <v>0.74</v>
      </c>
      <c r="N639" s="5" t="n">
        <v>0.84</v>
      </c>
    </row>
    <row r="640">
      <c r="A640" t="n">
        <v>639</v>
      </c>
      <c r="B640" t="n">
        <v>2013</v>
      </c>
      <c r="C640" t="inlineStr">
        <is>
          <t>Naia Luke</t>
        </is>
      </c>
      <c r="D640">
        <f>HYPERLINK("https://ota.tournamentsoftware.com/player-profile/E8620DEC-5B72-4D85-9171-1F914B105E62", "Link")</f>
        <v/>
      </c>
      <c r="E640" s="3" t="n">
        <v>29.894</v>
      </c>
      <c r="F640" s="4" t="n">
        <v>4</v>
      </c>
      <c r="G640" t="inlineStr">
        <is>
          <t>British Columbia</t>
        </is>
      </c>
      <c r="H640" t="inlineStr">
        <is>
          <t>Jericho Tennis Club</t>
        </is>
      </c>
      <c r="I640" t="n">
        <v>40</v>
      </c>
      <c r="J640" s="4" t="n">
        <v>39</v>
      </c>
      <c r="K640" t="inlineStr">
        <is>
          <t>9 / 30</t>
        </is>
      </c>
      <c r="L640" t="inlineStr">
        <is>
          <t>0 / 5</t>
        </is>
      </c>
      <c r="M640" s="5" t="n">
        <v>0.23</v>
      </c>
      <c r="N640" s="5" t="n">
        <v>0</v>
      </c>
    </row>
    <row r="641">
      <c r="A641" t="n">
        <v>640</v>
      </c>
      <c r="B641" t="n">
        <v>2012</v>
      </c>
      <c r="C641" t="inlineStr">
        <is>
          <t>Remy Quinn Durocher</t>
        </is>
      </c>
      <c r="D641">
        <f>HYPERLINK("https://ota.tournamentsoftware.com/player-profile/64BF8C80-3EDB-464A-896D-5D47CC387451", "Link")</f>
        <v/>
      </c>
      <c r="E641" s="3" t="n">
        <v>29.376</v>
      </c>
      <c r="F641" s="4" t="n">
        <v>1</v>
      </c>
      <c r="G641" t="inlineStr">
        <is>
          <t>Tennis Prince Edward Island</t>
        </is>
      </c>
      <c r="H641" t="inlineStr">
        <is>
          <t>Stratford Tennis Club</t>
        </is>
      </c>
      <c r="I641" t="n">
        <v>40</v>
      </c>
      <c r="J641" s="4" t="n">
        <v>8</v>
      </c>
      <c r="K641" t="inlineStr">
        <is>
          <t>1 / 7</t>
        </is>
      </c>
      <c r="L641" t="inlineStr">
        <is>
          <t>0 / 2</t>
        </is>
      </c>
      <c r="M641" s="5" t="n">
        <v>0.12</v>
      </c>
      <c r="N641" s="5" t="n">
        <v>0</v>
      </c>
    </row>
    <row r="642">
      <c r="A642" t="n">
        <v>641</v>
      </c>
      <c r="B642" t="n">
        <v>2013</v>
      </c>
      <c r="C642" t="inlineStr">
        <is>
          <t>Brooklyn Desjardins</t>
        </is>
      </c>
      <c r="D642">
        <f>HYPERLINK("https://ota.tournamentsoftware.com/player-profile/EDCAF363-81B5-4378-83DC-E36CD3ACC539", "Link")</f>
        <v/>
      </c>
      <c r="E642" s="3" t="n">
        <v>29.163</v>
      </c>
      <c r="F642" s="4" t="n">
        <v>4</v>
      </c>
      <c r="G642" t="inlineStr">
        <is>
          <t>Tennis Québec</t>
        </is>
      </c>
      <c r="H642" t="inlineStr">
        <is>
          <t>Club Sportif Côte-de-Liesse</t>
        </is>
      </c>
      <c r="I642" t="n">
        <v>39.8</v>
      </c>
      <c r="J642" s="4" t="n">
        <v>49</v>
      </c>
      <c r="K642" t="inlineStr">
        <is>
          <t>19 / 30</t>
        </is>
      </c>
      <c r="L642" t="inlineStr">
        <is>
          <t>0 / 0</t>
        </is>
      </c>
      <c r="M642" s="5" t="n">
        <v>0.39</v>
      </c>
      <c r="N642" s="5" t="n">
        <v>0</v>
      </c>
    </row>
    <row r="643">
      <c r="A643" t="n">
        <v>642</v>
      </c>
      <c r="B643" t="n">
        <v>2016</v>
      </c>
      <c r="C643" t="inlineStr">
        <is>
          <t>Madison Dionne</t>
        </is>
      </c>
      <c r="D643">
        <f>HYPERLINK("https://ota.tournamentsoftware.com/player-profile/E7A43ABD-96E4-46C3-84A5-BAF14D846E4C", "Link")</f>
        <v/>
      </c>
      <c r="E643" s="3" t="n">
        <v>29.157</v>
      </c>
      <c r="F643" s="4" t="n">
        <v>6</v>
      </c>
      <c r="G643" t="inlineStr">
        <is>
          <t>Ontario Tennis Association</t>
        </is>
      </c>
      <c r="H643" t="inlineStr">
        <is>
          <t>Ontario Racquet Club</t>
        </is>
      </c>
      <c r="I643" t="n">
        <v>39.2</v>
      </c>
      <c r="J643" s="4" t="n">
        <v>92</v>
      </c>
      <c r="K643" t="inlineStr">
        <is>
          <t>28 / 64</t>
        </is>
      </c>
      <c r="L643" t="inlineStr">
        <is>
          <t>12 / 10</t>
        </is>
      </c>
      <c r="M643" s="5" t="n">
        <v>0.3</v>
      </c>
      <c r="N643" s="5" t="n">
        <v>0.55</v>
      </c>
    </row>
    <row r="644">
      <c r="A644" t="n">
        <v>643</v>
      </c>
      <c r="B644" t="n">
        <v>2014</v>
      </c>
      <c r="C644" t="inlineStr">
        <is>
          <t>Laura Gyori</t>
        </is>
      </c>
      <c r="D644">
        <f>HYPERLINK("https://ota.tournamentsoftware.com/player-profile/5A55107A-8C3C-4255-8453-79017D4120E3", "Link")</f>
        <v/>
      </c>
      <c r="E644" s="3" t="n">
        <v>29.152</v>
      </c>
      <c r="F644" s="4" t="n">
        <v>3</v>
      </c>
      <c r="G644" t="inlineStr">
        <is>
          <t>Ontario Tennis Association</t>
        </is>
      </c>
      <c r="H644" t="inlineStr">
        <is>
          <t>Rideau Sports Centre</t>
        </is>
      </c>
      <c r="I644" t="inlineStr">
        <is>
          <t>unavailable</t>
        </is>
      </c>
      <c r="J644" s="4" t="n">
        <v>14</v>
      </c>
      <c r="K644" t="inlineStr">
        <is>
          <t>4 / 10</t>
        </is>
      </c>
      <c r="L644" t="inlineStr">
        <is>
          <t>2 / 3</t>
        </is>
      </c>
      <c r="M644" s="5" t="n">
        <v>0.29</v>
      </c>
      <c r="N644" s="5" t="n">
        <v>0.4</v>
      </c>
    </row>
    <row r="645">
      <c r="A645" t="n">
        <v>644</v>
      </c>
      <c r="B645" t="n">
        <v>2015</v>
      </c>
      <c r="C645" t="inlineStr">
        <is>
          <t>Iris RuiYing Cen</t>
        </is>
      </c>
      <c r="D645">
        <f>HYPERLINK("https://ota.tournamentsoftware.com/player-profile/D53FD847-C5AE-41A6-BFB8-EE8B251EDFBF", "Link")</f>
        <v/>
      </c>
      <c r="E645" s="3" t="n">
        <v>29.111</v>
      </c>
      <c r="F645" s="4" t="n">
        <v>7</v>
      </c>
      <c r="G645" t="inlineStr">
        <is>
          <t>Ontario Tennis Association</t>
        </is>
      </c>
      <c r="H645" t="inlineStr">
        <is>
          <t>Meadowvale West Tennis Club</t>
        </is>
      </c>
      <c r="I645" t="n">
        <v>39.5</v>
      </c>
      <c r="J645" s="4" t="n">
        <v>77</v>
      </c>
      <c r="K645" t="inlineStr">
        <is>
          <t>20 / 57</t>
        </is>
      </c>
      <c r="L645" t="inlineStr">
        <is>
          <t>2 / 4</t>
        </is>
      </c>
      <c r="M645" s="5" t="n">
        <v>0.26</v>
      </c>
      <c r="N645" s="5" t="n">
        <v>0.33</v>
      </c>
    </row>
    <row r="646">
      <c r="A646" t="n">
        <v>645</v>
      </c>
      <c r="B646" t="n">
        <v>2013</v>
      </c>
      <c r="C646" t="inlineStr">
        <is>
          <t>TIFFANY ZHENG</t>
        </is>
      </c>
      <c r="D646">
        <f>HYPERLINK("https://ota.tournamentsoftware.com/player-profile/59B34621-D499-450A-BDB3-B38C363BEAD1", "Link")</f>
        <v/>
      </c>
      <c r="E646" s="3" t="n">
        <v>28.481</v>
      </c>
      <c r="F646" s="4" t="n">
        <v>1</v>
      </c>
      <c r="G646" t="inlineStr">
        <is>
          <t>Ontario Tennis Association</t>
        </is>
      </c>
      <c r="H646" t="inlineStr">
        <is>
          <t>Carleton Tennis Centre</t>
        </is>
      </c>
      <c r="I646" t="n">
        <v>34.2</v>
      </c>
      <c r="J646" s="4" t="n">
        <v>1</v>
      </c>
      <c r="K646" t="inlineStr">
        <is>
          <t>1 / 0</t>
        </is>
      </c>
      <c r="L646" t="inlineStr">
        <is>
          <t>1 / 0</t>
        </is>
      </c>
      <c r="M646" s="5" t="n">
        <v>1</v>
      </c>
      <c r="N646" s="5" t="n">
        <v>1</v>
      </c>
    </row>
    <row r="647">
      <c r="A647" t="n">
        <v>646</v>
      </c>
      <c r="B647" t="n">
        <v>2016</v>
      </c>
      <c r="C647" t="inlineStr">
        <is>
          <t>Flora Ziyue Wang</t>
        </is>
      </c>
      <c r="D647">
        <f>HYPERLINK("https://ota.tournamentsoftware.com/player-profile/65435931-BBD0-46BD-839E-4188787640BE", "Link")</f>
        <v/>
      </c>
      <c r="E647" s="3" t="n">
        <v>28.368</v>
      </c>
      <c r="F647" s="4" t="n">
        <v>6</v>
      </c>
      <c r="G647" t="inlineStr">
        <is>
          <t>Ontario Tennis Association</t>
        </is>
      </c>
      <c r="H647" t="inlineStr">
        <is>
          <t>Unionville Tennis Club</t>
        </is>
      </c>
      <c r="I647" t="n">
        <v>37.9</v>
      </c>
      <c r="J647" s="4" t="n">
        <v>81</v>
      </c>
      <c r="K647" t="inlineStr">
        <is>
          <t>42 / 39</t>
        </is>
      </c>
      <c r="L647" t="inlineStr">
        <is>
          <t>15 / 8</t>
        </is>
      </c>
      <c r="M647" s="5" t="n">
        <v>0.52</v>
      </c>
      <c r="N647" s="5" t="n">
        <v>0.65</v>
      </c>
    </row>
    <row r="648">
      <c r="A648" t="n">
        <v>647</v>
      </c>
      <c r="B648" t="n">
        <v>2013</v>
      </c>
      <c r="C648" t="inlineStr">
        <is>
          <t>Kate Lalli</t>
        </is>
      </c>
      <c r="D648">
        <f>HYPERLINK("https://ota.tournamentsoftware.com/player-profile/37A0CF8B-C4DF-49F1-946F-E349A3E42015", "Link")</f>
        <v/>
      </c>
      <c r="E648" s="3" t="n">
        <v>28.123</v>
      </c>
      <c r="F648" s="4" t="n">
        <v>2</v>
      </c>
      <c r="G648" t="inlineStr">
        <is>
          <t>Tennis Québec</t>
        </is>
      </c>
      <c r="H648" t="inlineStr">
        <is>
          <t>No Club</t>
        </is>
      </c>
      <c r="I648" t="n">
        <v>40</v>
      </c>
      <c r="J648" s="4" t="n">
        <v>11</v>
      </c>
      <c r="K648" t="inlineStr">
        <is>
          <t>4 / 7</t>
        </is>
      </c>
      <c r="L648" t="inlineStr">
        <is>
          <t>1 / 2</t>
        </is>
      </c>
      <c r="M648" s="5" t="n">
        <v>0.36</v>
      </c>
      <c r="N648" s="5" t="n">
        <v>0.33</v>
      </c>
    </row>
    <row r="649">
      <c r="A649" t="n">
        <v>648</v>
      </c>
      <c r="B649" t="n">
        <v>2016</v>
      </c>
      <c r="C649" t="inlineStr">
        <is>
          <t>Ama Marie Elvira Kouadio</t>
        </is>
      </c>
      <c r="D649">
        <f>HYPERLINK("https://ota.tournamentsoftware.com/player-profile/25362040-6649-44FF-A97B-DDFA8FFF0B73", "Link")</f>
        <v/>
      </c>
      <c r="E649" s="3" t="n">
        <v>27.991</v>
      </c>
      <c r="F649" s="4" t="n">
        <v>3</v>
      </c>
      <c r="G649" t="inlineStr">
        <is>
          <t>Tennis Québec</t>
        </is>
      </c>
      <c r="H649" t="inlineStr">
        <is>
          <t>Carrefour Multisports</t>
        </is>
      </c>
      <c r="I649" t="n">
        <v>37.4</v>
      </c>
      <c r="J649" s="4" t="n">
        <v>65</v>
      </c>
      <c r="K649" t="inlineStr">
        <is>
          <t>41 / 24</t>
        </is>
      </c>
      <c r="L649" t="inlineStr">
        <is>
          <t>5 / 4</t>
        </is>
      </c>
      <c r="M649" s="5" t="n">
        <v>0.63</v>
      </c>
      <c r="N649" s="5" t="n">
        <v>0.5600000000000001</v>
      </c>
    </row>
    <row r="650">
      <c r="A650" t="n">
        <v>649</v>
      </c>
      <c r="B650" t="n">
        <v>2013</v>
      </c>
      <c r="C650" t="inlineStr">
        <is>
          <t>Phoebe Xu</t>
        </is>
      </c>
      <c r="D650">
        <f>HYPERLINK("https://ota.tournamentsoftware.com/player-profile/278C7B40-F6F9-4402-A8BF-F8069FAF9612", "Link")</f>
        <v/>
      </c>
      <c r="E650" s="3" t="n">
        <v>27.864</v>
      </c>
      <c r="F650" s="4" t="n">
        <v>2</v>
      </c>
      <c r="G650" t="inlineStr">
        <is>
          <t>Ontario Tennis Association</t>
        </is>
      </c>
      <c r="H650" t="inlineStr">
        <is>
          <t>Sandy Beach Tennis Club</t>
        </is>
      </c>
      <c r="I650" t="n">
        <v>36.3</v>
      </c>
      <c r="J650" s="4" t="n">
        <v>89</v>
      </c>
      <c r="K650" t="inlineStr">
        <is>
          <t>50 / 39</t>
        </is>
      </c>
      <c r="L650" t="inlineStr">
        <is>
          <t>1 / 1</t>
        </is>
      </c>
      <c r="M650" s="5" t="n">
        <v>0.5600000000000001</v>
      </c>
      <c r="N650" s="5" t="n">
        <v>0.5</v>
      </c>
    </row>
    <row r="651">
      <c r="A651" t="n">
        <v>650</v>
      </c>
      <c r="B651" t="n">
        <v>2014</v>
      </c>
      <c r="C651" t="inlineStr">
        <is>
          <t>Sophie Vivienne Ma</t>
        </is>
      </c>
      <c r="D651">
        <f>HYPERLINK("https://ota.tournamentsoftware.com/player-profile/5BFCC3E7-799D-4957-B35C-26164F771CAB", "Link")</f>
        <v/>
      </c>
      <c r="E651" s="3" t="n">
        <v>27.723</v>
      </c>
      <c r="F651" s="4" t="n">
        <v>7</v>
      </c>
      <c r="G651" t="inlineStr">
        <is>
          <t>Ontario Tennis Association</t>
        </is>
      </c>
      <c r="H651" t="inlineStr">
        <is>
          <t>NYTA Winter Tennis Club</t>
        </is>
      </c>
      <c r="I651" t="n">
        <v>40</v>
      </c>
      <c r="J651" s="4" t="n">
        <v>46</v>
      </c>
      <c r="K651" t="inlineStr">
        <is>
          <t>15 / 31</t>
        </is>
      </c>
      <c r="L651" t="inlineStr">
        <is>
          <t>0 / 4</t>
        </is>
      </c>
      <c r="M651" s="5" t="n">
        <v>0.33</v>
      </c>
      <c r="N651" s="5" t="n">
        <v>0</v>
      </c>
    </row>
    <row r="652">
      <c r="A652" t="n">
        <v>651</v>
      </c>
      <c r="B652" t="n">
        <v>2013</v>
      </c>
      <c r="C652" t="inlineStr">
        <is>
          <t>Hengxi Celine Du</t>
        </is>
      </c>
      <c r="D652">
        <f>HYPERLINK("https://ota.tournamentsoftware.com/player-profile/7011B5E4-06D4-4830-95A3-18CF46BE4ED0", "Link")</f>
        <v/>
      </c>
      <c r="E652" s="3" t="n">
        <v>27.72</v>
      </c>
      <c r="F652" s="4" t="n">
        <v>1</v>
      </c>
      <c r="G652" t="inlineStr">
        <is>
          <t>Ontario Tennis Association</t>
        </is>
      </c>
      <c r="H652" t="inlineStr">
        <is>
          <t>Premier Racquet Clubs – Mississauga</t>
        </is>
      </c>
      <c r="I652" t="inlineStr">
        <is>
          <t>unavailable</t>
        </is>
      </c>
      <c r="J652" s="4" t="n">
        <v>19</v>
      </c>
      <c r="K652" t="inlineStr">
        <is>
          <t>6 / 13</t>
        </is>
      </c>
      <c r="L652" t="inlineStr">
        <is>
          <t>5 / 6</t>
        </is>
      </c>
      <c r="M652" s="5" t="n">
        <v>0.32</v>
      </c>
      <c r="N652" s="5" t="n">
        <v>0.45</v>
      </c>
    </row>
    <row r="653">
      <c r="A653" t="n">
        <v>652</v>
      </c>
      <c r="B653" t="n">
        <v>2015</v>
      </c>
      <c r="C653" t="inlineStr">
        <is>
          <t>Parine Jani</t>
        </is>
      </c>
      <c r="D653">
        <f>HYPERLINK("https://ota.tournamentsoftware.com/player-profile/DEF6C92A-14C0-4DEB-A4E3-22B40C75E14A", "Link")</f>
        <v/>
      </c>
      <c r="E653" s="3" t="n">
        <v>27.46</v>
      </c>
      <c r="F653" s="4" t="n">
        <v>4</v>
      </c>
      <c r="G653" t="inlineStr">
        <is>
          <t>Ontario Tennis Association</t>
        </is>
      </c>
      <c r="H653" t="inlineStr">
        <is>
          <t>Unionville Tennis Club</t>
        </is>
      </c>
      <c r="I653" t="n">
        <v>39</v>
      </c>
      <c r="J653" s="4" t="n">
        <v>42</v>
      </c>
      <c r="K653" t="inlineStr">
        <is>
          <t>7 / 35</t>
        </is>
      </c>
      <c r="L653" t="inlineStr">
        <is>
          <t>1 / 10</t>
        </is>
      </c>
      <c r="M653" s="5" t="n">
        <v>0.17</v>
      </c>
      <c r="N653" s="5" t="n">
        <v>0.09</v>
      </c>
    </row>
    <row r="654">
      <c r="A654" t="n">
        <v>653</v>
      </c>
      <c r="B654" t="n">
        <v>2012</v>
      </c>
      <c r="C654" t="inlineStr">
        <is>
          <t>Emma Gao</t>
        </is>
      </c>
      <c r="D654">
        <f>HYPERLINK("https://ota.tournamentsoftware.com/player-profile/C88BC343-3DFB-493C-85F2-14F8A90F6D68", "Link")</f>
        <v/>
      </c>
      <c r="E654" s="3" t="n">
        <v>27.439</v>
      </c>
      <c r="F654" s="4" t="n">
        <v>3</v>
      </c>
      <c r="G654" t="inlineStr">
        <is>
          <t>British Columbia</t>
        </is>
      </c>
      <c r="H654" t="inlineStr">
        <is>
          <t>Tennis for Life</t>
        </is>
      </c>
      <c r="I654" t="inlineStr">
        <is>
          <t>unavailable</t>
        </is>
      </c>
      <c r="J654" s="4" t="n">
        <v>33</v>
      </c>
      <c r="K654" t="inlineStr">
        <is>
          <t>9 / 24</t>
        </is>
      </c>
      <c r="L654" t="inlineStr">
        <is>
          <t>0 / 5</t>
        </is>
      </c>
      <c r="M654" s="5" t="n">
        <v>0.27</v>
      </c>
      <c r="N654" s="5" t="n">
        <v>0</v>
      </c>
    </row>
    <row r="655">
      <c r="A655" t="n">
        <v>654</v>
      </c>
      <c r="B655" t="n">
        <v>2016</v>
      </c>
      <c r="C655" t="inlineStr">
        <is>
          <t>Talia Petrovski</t>
        </is>
      </c>
      <c r="D655">
        <f>HYPERLINK("https://ota.tournamentsoftware.com/player-profile/85787F1F-708B-4576-AEFA-F82C6105B16E", "Link")</f>
        <v/>
      </c>
      <c r="E655" s="3" t="n">
        <v>27.432</v>
      </c>
      <c r="F655" s="4" t="n">
        <v>15</v>
      </c>
      <c r="G655" t="inlineStr">
        <is>
          <t>British Columbia</t>
        </is>
      </c>
      <c r="H655" t="inlineStr">
        <is>
          <t>Tennis for Life</t>
        </is>
      </c>
      <c r="I655" t="n">
        <v>38.8</v>
      </c>
      <c r="J655" s="4" t="n">
        <v>135</v>
      </c>
      <c r="K655" t="inlineStr">
        <is>
          <t>76 / 59</t>
        </is>
      </c>
      <c r="L655" t="inlineStr">
        <is>
          <t>46 / 21</t>
        </is>
      </c>
      <c r="M655" s="5" t="n">
        <v>0.5600000000000001</v>
      </c>
      <c r="N655" s="5" t="n">
        <v>0.6899999999999999</v>
      </c>
    </row>
    <row r="656">
      <c r="A656" t="n">
        <v>655</v>
      </c>
      <c r="B656" t="n">
        <v>2012</v>
      </c>
      <c r="C656" t="inlineStr">
        <is>
          <t>Adelaide Morgan</t>
        </is>
      </c>
      <c r="D656">
        <f>HYPERLINK("https://ota.tournamentsoftware.com/player-profile/349677AB-87B2-407B-BDFF-04EE8550EE87", "Link")</f>
        <v/>
      </c>
      <c r="E656" s="3" t="n">
        <v>27.259</v>
      </c>
      <c r="F656" s="4" t="n">
        <v>2</v>
      </c>
      <c r="G656" t="inlineStr">
        <is>
          <t>Ontario Tennis Association</t>
        </is>
      </c>
      <c r="H656" t="inlineStr">
        <is>
          <t>Eglinton Flats Winter Tennis Club</t>
        </is>
      </c>
      <c r="I656" t="inlineStr">
        <is>
          <t>unavailable</t>
        </is>
      </c>
      <c r="J656" s="4" t="n">
        <v>15</v>
      </c>
      <c r="K656" t="inlineStr">
        <is>
          <t>5 / 10</t>
        </is>
      </c>
      <c r="L656" t="inlineStr">
        <is>
          <t>0 / 4</t>
        </is>
      </c>
      <c r="M656" s="5" t="n">
        <v>0.33</v>
      </c>
      <c r="N656" s="5" t="n">
        <v>0</v>
      </c>
    </row>
    <row r="657">
      <c r="A657" t="n">
        <v>656</v>
      </c>
      <c r="B657" t="n">
        <v>2014</v>
      </c>
      <c r="C657" t="inlineStr">
        <is>
          <t>Ignatia Walsh</t>
        </is>
      </c>
      <c r="D657">
        <f>HYPERLINK("https://ota.tournamentsoftware.com/player-profile/AEC8F080-693E-4608-867A-22E590A9E567", "Link")</f>
        <v/>
      </c>
      <c r="E657" s="3" t="n">
        <v>27.178</v>
      </c>
      <c r="F657" s="4" t="n">
        <v>12</v>
      </c>
      <c r="G657" t="inlineStr">
        <is>
          <t>Ontario Tennis Association</t>
        </is>
      </c>
      <c r="H657" t="inlineStr">
        <is>
          <t>Premier Racquet Clubs – Mississauga</t>
        </is>
      </c>
      <c r="I657" t="inlineStr">
        <is>
          <t>unavailable</t>
        </is>
      </c>
      <c r="J657" s="4" t="n">
        <v>50</v>
      </c>
      <c r="K657" t="inlineStr">
        <is>
          <t>13 / 37</t>
        </is>
      </c>
      <c r="L657" t="inlineStr">
        <is>
          <t>6 / 13</t>
        </is>
      </c>
      <c r="M657" s="5" t="n">
        <v>0.26</v>
      </c>
      <c r="N657" s="5" t="n">
        <v>0.32</v>
      </c>
    </row>
    <row r="658">
      <c r="A658" t="n">
        <v>657</v>
      </c>
      <c r="B658" t="n">
        <v>2013</v>
      </c>
      <c r="C658" t="inlineStr">
        <is>
          <t>Emma Isabella Lamacchia</t>
        </is>
      </c>
      <c r="D658">
        <f>HYPERLINK("https://ota.tournamentsoftware.com/player-profile/13408327-82EC-4D4E-B3D1-9FA084C53782", "Link")</f>
        <v/>
      </c>
      <c r="E658" s="3" t="n">
        <v>26.698</v>
      </c>
      <c r="F658" s="4" t="n">
        <v>2</v>
      </c>
      <c r="G658" t="inlineStr">
        <is>
          <t>Ontario Tennis Association</t>
        </is>
      </c>
      <c r="H658" t="inlineStr">
        <is>
          <t>Advantage Tennis International at Veneto</t>
        </is>
      </c>
      <c r="I658" t="n">
        <v>39.1</v>
      </c>
      <c r="J658" s="4" t="n">
        <v>17</v>
      </c>
      <c r="K658" t="inlineStr">
        <is>
          <t>2 / 15</t>
        </is>
      </c>
      <c r="L658" t="inlineStr">
        <is>
          <t>2 / 15</t>
        </is>
      </c>
      <c r="M658" s="5" t="n">
        <v>0.12</v>
      </c>
      <c r="N658" s="5" t="n">
        <v>0.12</v>
      </c>
    </row>
    <row r="659">
      <c r="A659" t="n">
        <v>658</v>
      </c>
      <c r="B659" t="n">
        <v>2012</v>
      </c>
      <c r="C659" t="inlineStr">
        <is>
          <t>Tallulah Oakes</t>
        </is>
      </c>
      <c r="D659">
        <f>HYPERLINK("https://ota.tournamentsoftware.com/player-profile/B5372F0A-C15A-4DDD-A97C-9E3BACE4A05E", "Link")</f>
        <v/>
      </c>
      <c r="E659" s="3" t="n">
        <v>26.613</v>
      </c>
      <c r="F659" s="4" t="n">
        <v>2</v>
      </c>
      <c r="G659" t="inlineStr">
        <is>
          <t>British Columbia</t>
        </is>
      </c>
      <c r="H659" t="inlineStr">
        <is>
          <t>Hollyburn Country Club</t>
        </is>
      </c>
      <c r="I659" t="n">
        <v>39.2</v>
      </c>
      <c r="J659" s="4" t="n">
        <v>72</v>
      </c>
      <c r="K659" t="inlineStr">
        <is>
          <t>27 / 45</t>
        </is>
      </c>
      <c r="L659" t="inlineStr">
        <is>
          <t>1 / 2</t>
        </is>
      </c>
      <c r="M659" s="5" t="n">
        <v>0.38</v>
      </c>
      <c r="N659" s="5" t="n">
        <v>0.33</v>
      </c>
    </row>
    <row r="660">
      <c r="A660" t="n">
        <v>659</v>
      </c>
      <c r="B660" t="n">
        <v>2012</v>
      </c>
      <c r="C660" t="inlineStr">
        <is>
          <t>Kira Karstoff</t>
        </is>
      </c>
      <c r="D660">
        <f>HYPERLINK("https://ota.tournamentsoftware.com/player-profile/1755679B-A50B-4F8F-B603-0578043F7638", "Link")</f>
        <v/>
      </c>
      <c r="E660" s="3" t="n">
        <v>26.611</v>
      </c>
      <c r="F660" s="4" t="n">
        <v>2</v>
      </c>
      <c r="G660" t="inlineStr">
        <is>
          <t>Ontario Tennis Association</t>
        </is>
      </c>
      <c r="H660" t="inlineStr">
        <is>
          <t>Toronto Cricket Skating &amp; Curling</t>
        </is>
      </c>
      <c r="I660" t="inlineStr">
        <is>
          <t>unavailable</t>
        </is>
      </c>
      <c r="J660" s="4" t="n">
        <v>48</v>
      </c>
      <c r="K660" t="inlineStr">
        <is>
          <t>21 / 27</t>
        </is>
      </c>
      <c r="L660" t="inlineStr">
        <is>
          <t>2 / 4</t>
        </is>
      </c>
      <c r="M660" s="5" t="n">
        <v>0.44</v>
      </c>
      <c r="N660" s="5" t="n">
        <v>0.33</v>
      </c>
    </row>
    <row r="661">
      <c r="A661" t="n">
        <v>660</v>
      </c>
      <c r="B661" t="n">
        <v>2013</v>
      </c>
      <c r="C661" t="inlineStr">
        <is>
          <t>Mayssa Maddouri</t>
        </is>
      </c>
      <c r="D661">
        <f>HYPERLINK("https://ota.tournamentsoftware.com/player-profile/911D4DB6-C985-4A43-8264-359A0386F2C5", "Link")</f>
        <v/>
      </c>
      <c r="E661" s="3" t="n">
        <v>26.568</v>
      </c>
      <c r="F661" s="4" t="n">
        <v>2</v>
      </c>
      <c r="G661" t="inlineStr">
        <is>
          <t>Tennis Québec</t>
        </is>
      </c>
      <c r="H661" t="inlineStr">
        <is>
          <t>EB Tennis inc.</t>
        </is>
      </c>
      <c r="I661" t="inlineStr">
        <is>
          <t>unavailable</t>
        </is>
      </c>
      <c r="J661" s="4" t="n">
        <v>3</v>
      </c>
      <c r="K661" t="inlineStr">
        <is>
          <t>0 / 3</t>
        </is>
      </c>
      <c r="L661" t="inlineStr">
        <is>
          <t>0 / 3</t>
        </is>
      </c>
      <c r="M661" s="5" t="n">
        <v>0</v>
      </c>
      <c r="N661" s="5" t="n">
        <v>0</v>
      </c>
    </row>
    <row r="662">
      <c r="A662" t="n">
        <v>661</v>
      </c>
      <c r="B662" t="n">
        <v>2014</v>
      </c>
      <c r="C662" t="inlineStr">
        <is>
          <t>Audrey Lu</t>
        </is>
      </c>
      <c r="D662">
        <f>HYPERLINK("https://ota.tournamentsoftware.com/player-profile/01588371-7322-467B-AA75-DDD8230D1899", "Link")</f>
        <v/>
      </c>
      <c r="E662" s="3" t="n">
        <v>26.154</v>
      </c>
      <c r="F662" s="4" t="n">
        <v>6</v>
      </c>
      <c r="G662" t="inlineStr">
        <is>
          <t>Ontario Tennis Association</t>
        </is>
      </c>
      <c r="H662" t="inlineStr">
        <is>
          <t>Toronto Cricket Skating &amp; Curling</t>
        </is>
      </c>
      <c r="I662" t="inlineStr">
        <is>
          <t>unavailable</t>
        </is>
      </c>
      <c r="J662" s="4" t="n">
        <v>24</v>
      </c>
      <c r="K662" t="inlineStr">
        <is>
          <t>10 / 14</t>
        </is>
      </c>
      <c r="L662" t="inlineStr">
        <is>
          <t>10 / 11</t>
        </is>
      </c>
      <c r="M662" s="5" t="n">
        <v>0.42</v>
      </c>
      <c r="N662" s="5" t="n">
        <v>0.48</v>
      </c>
    </row>
    <row r="663">
      <c r="A663" t="n">
        <v>662</v>
      </c>
      <c r="B663" t="n">
        <v>2017</v>
      </c>
      <c r="C663" t="inlineStr">
        <is>
          <t>Anastasia Savtchenko</t>
        </is>
      </c>
      <c r="D663">
        <f>HYPERLINK("https://ota.tournamentsoftware.com/player-profile/FF881545-63C4-4D7F-B9E4-0A8D65FB9607", "Link")</f>
        <v/>
      </c>
      <c r="E663" s="3" t="n">
        <v>25.92</v>
      </c>
      <c r="F663" s="4" t="n">
        <v>5</v>
      </c>
      <c r="G663" t="inlineStr">
        <is>
          <t>Ontario Tennis Association</t>
        </is>
      </c>
      <c r="H663" t="inlineStr">
        <is>
          <t>Valan Tennis Academy</t>
        </is>
      </c>
      <c r="I663" t="inlineStr">
        <is>
          <t>unavailable</t>
        </is>
      </c>
      <c r="J663" s="4" t="n">
        <v>91</v>
      </c>
      <c r="K663" t="inlineStr">
        <is>
          <t>51 / 40</t>
        </is>
      </c>
      <c r="L663" t="inlineStr">
        <is>
          <t>15 / 11</t>
        </is>
      </c>
      <c r="M663" s="5" t="n">
        <v>0.5600000000000001</v>
      </c>
      <c r="N663" s="5" t="n">
        <v>0.58</v>
      </c>
    </row>
    <row r="664">
      <c r="A664" t="n">
        <v>663</v>
      </c>
      <c r="B664" t="n">
        <v>2012</v>
      </c>
      <c r="C664" t="inlineStr">
        <is>
          <t>Harper Van Beveren</t>
        </is>
      </c>
      <c r="D664">
        <f>HYPERLINK("https://ota.tournamentsoftware.com/player-profile/5981FBA6-1FF9-4CF8-8DE2-DDB8BFEA4094", "Link")</f>
        <v/>
      </c>
      <c r="E664" s="3" t="n">
        <v>25.531</v>
      </c>
      <c r="F664" s="4" t="n">
        <v>2</v>
      </c>
      <c r="G664" t="inlineStr">
        <is>
          <t>Ontario Tennis Association</t>
        </is>
      </c>
      <c r="H664" t="inlineStr">
        <is>
          <t>Rosedale Tennis Club (Hamilton)</t>
        </is>
      </c>
      <c r="I664" t="inlineStr">
        <is>
          <t>unavailable</t>
        </is>
      </c>
      <c r="J664" s="4" t="n">
        <v>16</v>
      </c>
      <c r="K664" t="inlineStr">
        <is>
          <t>5 / 11</t>
        </is>
      </c>
      <c r="L664" t="inlineStr">
        <is>
          <t>1 / 1</t>
        </is>
      </c>
      <c r="M664" s="5" t="n">
        <v>0.31</v>
      </c>
      <c r="N664" s="5" t="n">
        <v>0.5</v>
      </c>
    </row>
    <row r="665">
      <c r="A665" t="n">
        <v>664</v>
      </c>
      <c r="B665" t="n">
        <v>2013</v>
      </c>
      <c r="C665" t="inlineStr">
        <is>
          <t>Robin Lee</t>
        </is>
      </c>
      <c r="D665">
        <f>HYPERLINK("https://ota.tournamentsoftware.com/player-profile/0DB12770-F2FF-469C-87ED-5B5A242C6A08", "Link")</f>
        <v/>
      </c>
      <c r="E665" s="3" t="n">
        <v>25.431</v>
      </c>
      <c r="F665" s="4" t="n">
        <v>5</v>
      </c>
      <c r="G665" t="inlineStr">
        <is>
          <t>Ontario Tennis Association</t>
        </is>
      </c>
      <c r="H665" t="inlineStr">
        <is>
          <t>No Club</t>
        </is>
      </c>
      <c r="I665" t="n">
        <v>40</v>
      </c>
      <c r="J665" s="4" t="n">
        <v>58</v>
      </c>
      <c r="K665" t="inlineStr">
        <is>
          <t>11 / 47</t>
        </is>
      </c>
      <c r="L665" t="inlineStr">
        <is>
          <t>0 / 0</t>
        </is>
      </c>
      <c r="M665" s="5" t="n">
        <v>0.19</v>
      </c>
      <c r="N665" s="5" t="n">
        <v>0</v>
      </c>
    </row>
    <row r="666">
      <c r="A666" t="n">
        <v>665</v>
      </c>
      <c r="B666" t="n">
        <v>2014</v>
      </c>
      <c r="C666" t="inlineStr">
        <is>
          <t>Mia Krusarovski</t>
        </is>
      </c>
      <c r="D666">
        <f>HYPERLINK("https://ota.tournamentsoftware.com/player-profile/BE8F67EB-3C85-4EE8-8915-58C34DCD86C7", "Link")</f>
        <v/>
      </c>
      <c r="E666" s="3" t="n">
        <v>25.17</v>
      </c>
      <c r="F666" s="4" t="n">
        <v>3</v>
      </c>
      <c r="G666" t="inlineStr">
        <is>
          <t>Ontario Tennis Association</t>
        </is>
      </c>
      <c r="H666" t="inlineStr">
        <is>
          <t>Zekelman Tennis Centre</t>
        </is>
      </c>
      <c r="I666" t="n">
        <v>35.8</v>
      </c>
      <c r="J666" s="4" t="n">
        <v>16</v>
      </c>
      <c r="K666" t="inlineStr">
        <is>
          <t>5 / 11</t>
        </is>
      </c>
      <c r="L666" t="inlineStr">
        <is>
          <t>4 / 2</t>
        </is>
      </c>
      <c r="M666" s="5" t="n">
        <v>0.31</v>
      </c>
      <c r="N666" s="5" t="n">
        <v>0.67</v>
      </c>
    </row>
    <row r="667">
      <c r="A667" t="n">
        <v>666</v>
      </c>
      <c r="B667" t="n">
        <v>2014</v>
      </c>
      <c r="C667" t="inlineStr">
        <is>
          <t>Adrianna Rajchel</t>
        </is>
      </c>
      <c r="D667">
        <f>HYPERLINK("https://ota.tournamentsoftware.com/player-profile/CF345FA9-9F2F-4BDB-8B66-131A15D8B231", "Link")</f>
        <v/>
      </c>
      <c r="E667" s="3" t="n">
        <v>24.832</v>
      </c>
      <c r="F667" s="4" t="n">
        <v>3</v>
      </c>
      <c r="G667" t="inlineStr">
        <is>
          <t>Ontario Tennis Association</t>
        </is>
      </c>
      <c r="H667" t="inlineStr">
        <is>
          <t>Carleton Tennis Centre</t>
        </is>
      </c>
      <c r="I667" t="n">
        <v>38</v>
      </c>
      <c r="J667" s="4" t="n">
        <v>15</v>
      </c>
      <c r="K667" t="inlineStr">
        <is>
          <t>4 / 11</t>
        </is>
      </c>
      <c r="L667" t="inlineStr">
        <is>
          <t>1 / 3</t>
        </is>
      </c>
      <c r="M667" s="5" t="n">
        <v>0.27</v>
      </c>
      <c r="N667" s="5" t="n">
        <v>0.25</v>
      </c>
    </row>
    <row r="668">
      <c r="A668" t="n">
        <v>667</v>
      </c>
      <c r="B668" t="n">
        <v>2014</v>
      </c>
      <c r="C668" t="inlineStr">
        <is>
          <t>Ava Amiripour</t>
        </is>
      </c>
      <c r="D668">
        <f>HYPERLINK("https://ota.tournamentsoftware.com/player-profile/C08AB363-A302-4023-8D6D-B732D837DADF", "Link")</f>
        <v/>
      </c>
      <c r="E668" s="3" t="n">
        <v>24.262</v>
      </c>
      <c r="F668" s="4" t="n">
        <v>3</v>
      </c>
      <c r="G668" t="inlineStr">
        <is>
          <t>Ontario Tennis Association</t>
        </is>
      </c>
      <c r="H668" t="inlineStr">
        <is>
          <t>No Club</t>
        </is>
      </c>
      <c r="I668" t="n">
        <v>39.7</v>
      </c>
      <c r="J668" s="4" t="n">
        <v>6</v>
      </c>
      <c r="K668" t="inlineStr">
        <is>
          <t>1 / 5</t>
        </is>
      </c>
      <c r="L668" t="inlineStr">
        <is>
          <t>1 / 4</t>
        </is>
      </c>
      <c r="M668" s="5" t="n">
        <v>0.17</v>
      </c>
      <c r="N668" s="5" t="n">
        <v>0.2</v>
      </c>
    </row>
    <row r="669">
      <c r="A669" t="n">
        <v>668</v>
      </c>
      <c r="B669" t="n">
        <v>2015</v>
      </c>
      <c r="C669" t="inlineStr">
        <is>
          <t>Ziba Forooghian</t>
        </is>
      </c>
      <c r="D669">
        <f>HYPERLINK("https://ota.tournamentsoftware.com/player-profile/F7878057-CB20-46E1-B220-553040C8AC48", "Link")</f>
        <v/>
      </c>
      <c r="E669" s="3" t="n">
        <v>24.18</v>
      </c>
      <c r="F669" s="4" t="n">
        <v>14</v>
      </c>
      <c r="G669" t="inlineStr">
        <is>
          <t>British Columbia</t>
        </is>
      </c>
      <c r="H669" t="inlineStr">
        <is>
          <t>Arbutus Club</t>
        </is>
      </c>
      <c r="I669" t="n">
        <v>40</v>
      </c>
      <c r="J669" s="4" t="n">
        <v>69</v>
      </c>
      <c r="K669" t="inlineStr">
        <is>
          <t>21 / 48</t>
        </is>
      </c>
      <c r="L669" t="inlineStr">
        <is>
          <t>8 / 25</t>
        </is>
      </c>
      <c r="M669" s="5" t="n">
        <v>0.3</v>
      </c>
      <c r="N669" s="5" t="n">
        <v>0.24</v>
      </c>
    </row>
    <row r="670">
      <c r="A670" t="n">
        <v>669</v>
      </c>
      <c r="B670" t="n">
        <v>2014</v>
      </c>
      <c r="C670" t="inlineStr">
        <is>
          <t>Mia Mengchen Sun</t>
        </is>
      </c>
      <c r="D670">
        <f>HYPERLINK("https://ota.tournamentsoftware.com/player-profile/BFD3D157-D2B6-45BF-BE92-CACB69CCC59C", "Link")</f>
        <v/>
      </c>
      <c r="E670" s="3" t="n">
        <v>24.112</v>
      </c>
      <c r="F670" s="4" t="n">
        <v>6</v>
      </c>
      <c r="G670" t="inlineStr">
        <is>
          <t>Ontario Tennis Association</t>
        </is>
      </c>
      <c r="H670" t="inlineStr">
        <is>
          <t>Markham Tennis Club</t>
        </is>
      </c>
      <c r="I670" t="n">
        <v>39.8</v>
      </c>
      <c r="J670" s="4" t="n">
        <v>51</v>
      </c>
      <c r="K670" t="inlineStr">
        <is>
          <t>32 / 19</t>
        </is>
      </c>
      <c r="L670" t="inlineStr">
        <is>
          <t>0 / 0</t>
        </is>
      </c>
      <c r="M670" s="5" t="n">
        <v>0.63</v>
      </c>
      <c r="N670" s="5" t="n">
        <v>0</v>
      </c>
    </row>
    <row r="671">
      <c r="A671" t="n">
        <v>670</v>
      </c>
      <c r="B671" t="n">
        <v>2012</v>
      </c>
      <c r="C671" t="inlineStr">
        <is>
          <t>Naomi Lau</t>
        </is>
      </c>
      <c r="D671">
        <f>HYPERLINK("https://ota.tournamentsoftware.com/player-profile/0A97F4BF-4260-46FD-AB50-BFA06A31A239", "Link")</f>
        <v/>
      </c>
      <c r="E671" s="3" t="n">
        <v>24.089</v>
      </c>
      <c r="F671" s="4" t="n">
        <v>2</v>
      </c>
      <c r="G671" t="inlineStr">
        <is>
          <t>Ontario Tennis Association</t>
        </is>
      </c>
      <c r="H671" t="inlineStr">
        <is>
          <t>Central Tennis Club</t>
        </is>
      </c>
      <c r="I671" t="n">
        <v>38.3</v>
      </c>
      <c r="J671" s="4" t="n">
        <v>32</v>
      </c>
      <c r="K671" t="inlineStr">
        <is>
          <t>12 / 20</t>
        </is>
      </c>
      <c r="L671" t="inlineStr">
        <is>
          <t>6 / 6</t>
        </is>
      </c>
      <c r="M671" s="5" t="n">
        <v>0.38</v>
      </c>
      <c r="N671" s="5" t="n">
        <v>0.5</v>
      </c>
    </row>
    <row r="672">
      <c r="A672" t="n">
        <v>671</v>
      </c>
      <c r="B672" t="n">
        <v>2016</v>
      </c>
      <c r="C672" t="inlineStr">
        <is>
          <t>Hayley Bryce</t>
        </is>
      </c>
      <c r="D672">
        <f>HYPERLINK("https://ota.tournamentsoftware.com/player-profile/B433F420-A779-4270-B32A-8DE5FF43BD05", "Link")</f>
        <v/>
      </c>
      <c r="E672" s="3" t="n">
        <v>23.731</v>
      </c>
      <c r="F672" s="4" t="n">
        <v>7</v>
      </c>
      <c r="G672" t="inlineStr">
        <is>
          <t>Ontario Tennis Association</t>
        </is>
      </c>
      <c r="H672" t="inlineStr">
        <is>
          <t>SmartVMC Racquetsports by ACE</t>
        </is>
      </c>
      <c r="I672" t="inlineStr">
        <is>
          <t>unavailable</t>
        </is>
      </c>
      <c r="J672" s="4" t="n">
        <v>66</v>
      </c>
      <c r="K672" t="inlineStr">
        <is>
          <t>29 / 37</t>
        </is>
      </c>
      <c r="L672" t="inlineStr">
        <is>
          <t>12 / 15</t>
        </is>
      </c>
      <c r="M672" s="5" t="n">
        <v>0.44</v>
      </c>
      <c r="N672" s="5" t="n">
        <v>0.44</v>
      </c>
    </row>
    <row r="673">
      <c r="A673" t="n">
        <v>672</v>
      </c>
      <c r="B673" t="n">
        <v>2015</v>
      </c>
      <c r="C673" t="inlineStr">
        <is>
          <t>Diana Troitska</t>
        </is>
      </c>
      <c r="D673">
        <f>HYPERLINK("https://ota.tournamentsoftware.com/player-profile/6F22C01B-A1B6-4624-8606-C4D0FEB24026", "Link")</f>
        <v/>
      </c>
      <c r="E673" s="3" t="n">
        <v>23.546</v>
      </c>
      <c r="F673" s="4" t="n">
        <v>2</v>
      </c>
      <c r="G673" t="inlineStr">
        <is>
          <t>Tennis Québec</t>
        </is>
      </c>
      <c r="H673" t="inlineStr">
        <is>
          <t>No Club</t>
        </is>
      </c>
      <c r="I673" t="inlineStr">
        <is>
          <t>unavailable</t>
        </is>
      </c>
      <c r="J673" s="4" t="n">
        <v>13</v>
      </c>
      <c r="K673" t="inlineStr">
        <is>
          <t>2 / 11</t>
        </is>
      </c>
      <c r="L673" t="inlineStr">
        <is>
          <t>0 / 1</t>
        </is>
      </c>
      <c r="M673" s="5" t="n">
        <v>0.15</v>
      </c>
      <c r="N673" s="5" t="n">
        <v>0</v>
      </c>
    </row>
    <row r="674">
      <c r="A674" t="n">
        <v>673</v>
      </c>
      <c r="B674" t="n">
        <v>2015</v>
      </c>
      <c r="C674" t="inlineStr">
        <is>
          <t>Cassia Contreras</t>
        </is>
      </c>
      <c r="D674">
        <f>HYPERLINK("https://ota.tournamentsoftware.com/player-profile/84692E6B-274F-4FC9-9179-D4BC6F34FCEE", "Link")</f>
        <v/>
      </c>
      <c r="E674" s="3" t="n">
        <v>23.208</v>
      </c>
      <c r="F674" s="4" t="n">
        <v>4</v>
      </c>
      <c r="G674" t="inlineStr">
        <is>
          <t>Ontario Tennis Association</t>
        </is>
      </c>
      <c r="H674" t="inlineStr">
        <is>
          <t>Toronto Tennis Academy</t>
        </is>
      </c>
      <c r="I674" t="inlineStr">
        <is>
          <t>unavailable</t>
        </is>
      </c>
      <c r="J674" s="4" t="n">
        <v>46</v>
      </c>
      <c r="K674" t="inlineStr">
        <is>
          <t>15 / 31</t>
        </is>
      </c>
      <c r="L674" t="inlineStr">
        <is>
          <t>2 / 6</t>
        </is>
      </c>
      <c r="M674" s="5" t="n">
        <v>0.33</v>
      </c>
      <c r="N674" s="5" t="n">
        <v>0.25</v>
      </c>
    </row>
    <row r="675">
      <c r="A675" t="n">
        <v>674</v>
      </c>
      <c r="B675" t="n">
        <v>2015</v>
      </c>
      <c r="C675" t="inlineStr">
        <is>
          <t>Margot Couture</t>
        </is>
      </c>
      <c r="D675">
        <f>HYPERLINK("https://ota.tournamentsoftware.com/player-profile/7DE265DB-E3E6-4C4E-90BD-199DB99DCAEB", "Link")</f>
        <v/>
      </c>
      <c r="E675" s="3" t="n">
        <v>23.186</v>
      </c>
      <c r="F675" s="4" t="n">
        <v>5</v>
      </c>
      <c r="G675" t="inlineStr">
        <is>
          <t>Tennis Québec</t>
        </is>
      </c>
      <c r="H675" t="inlineStr">
        <is>
          <t>SANI Sport</t>
        </is>
      </c>
      <c r="I675" t="n">
        <v>38.2</v>
      </c>
      <c r="J675" s="4" t="n">
        <v>27</v>
      </c>
      <c r="K675" t="inlineStr">
        <is>
          <t>7 / 20</t>
        </is>
      </c>
      <c r="L675" t="inlineStr">
        <is>
          <t>2 / 5</t>
        </is>
      </c>
      <c r="M675" s="5" t="n">
        <v>0.26</v>
      </c>
      <c r="N675" s="5" t="n">
        <v>0.29</v>
      </c>
    </row>
    <row r="676">
      <c r="A676" t="n">
        <v>675</v>
      </c>
      <c r="B676" t="n">
        <v>2015</v>
      </c>
      <c r="C676" t="inlineStr">
        <is>
          <t>Eliana Green</t>
        </is>
      </c>
      <c r="D676">
        <f>HYPERLINK("https://ota.tournamentsoftware.com/player-profile/6AF8FC12-BD58-4E7C-B446-1CAAB9ADE85D", "Link")</f>
        <v/>
      </c>
      <c r="E676" s="3" t="n">
        <v>23.112</v>
      </c>
      <c r="F676" s="4" t="n">
        <v>1</v>
      </c>
      <c r="G676" t="inlineStr">
        <is>
          <t>Tennis Saskatchewan</t>
        </is>
      </c>
      <c r="H676" t="inlineStr">
        <is>
          <t>Lakeshore Tennis Club</t>
        </is>
      </c>
      <c r="I676" t="n">
        <v>37.2</v>
      </c>
      <c r="J676" s="4" t="n">
        <v>27</v>
      </c>
      <c r="K676" t="inlineStr">
        <is>
          <t>3 / 24</t>
        </is>
      </c>
      <c r="L676" t="inlineStr">
        <is>
          <t>0 / 1</t>
        </is>
      </c>
      <c r="M676" s="5" t="n">
        <v>0.11</v>
      </c>
      <c r="N676" s="5" t="n">
        <v>0</v>
      </c>
    </row>
    <row r="677">
      <c r="A677" t="n">
        <v>676</v>
      </c>
      <c r="B677" t="n">
        <v>2014</v>
      </c>
      <c r="C677" t="inlineStr">
        <is>
          <t>Dina Chakri</t>
        </is>
      </c>
      <c r="D677">
        <f>HYPERLINK("https://ota.tournamentsoftware.com/player-profile/8824FD85-93E3-4F7D-8968-FC836D77769D", "Link")</f>
        <v/>
      </c>
      <c r="E677" s="3" t="n">
        <v>22.953</v>
      </c>
      <c r="F677" s="4" t="n">
        <v>7</v>
      </c>
      <c r="G677" t="inlineStr">
        <is>
          <t>Tennis Québec</t>
        </is>
      </c>
      <c r="H677" t="inlineStr">
        <is>
          <t>Tennis 13</t>
        </is>
      </c>
      <c r="I677" t="n">
        <v>40</v>
      </c>
      <c r="J677" s="4" t="n">
        <v>10</v>
      </c>
      <c r="K677" t="inlineStr">
        <is>
          <t>2 / 8</t>
        </is>
      </c>
      <c r="L677" t="inlineStr">
        <is>
          <t>2 / 8</t>
        </is>
      </c>
      <c r="M677" s="5" t="n">
        <v>0.2</v>
      </c>
      <c r="N677" s="5" t="n">
        <v>0.2</v>
      </c>
    </row>
    <row r="678">
      <c r="A678" t="n">
        <v>677</v>
      </c>
      <c r="B678" t="n">
        <v>2014</v>
      </c>
      <c r="C678" t="inlineStr">
        <is>
          <t>Jasmine El Ouadi</t>
        </is>
      </c>
      <c r="D678">
        <f>HYPERLINK("https://ota.tournamentsoftware.com/player-profile/FBECFAB6-3ABF-4F1B-AD1C-230CB79A1119", "Link")</f>
        <v/>
      </c>
      <c r="E678" s="3" t="n">
        <v>22.903</v>
      </c>
      <c r="F678" s="4" t="n">
        <v>6</v>
      </c>
      <c r="G678" t="inlineStr">
        <is>
          <t>Tennis Alberta</t>
        </is>
      </c>
      <c r="H678" t="inlineStr">
        <is>
          <t>Calgary - Public</t>
        </is>
      </c>
      <c r="I678" t="n">
        <v>40</v>
      </c>
      <c r="J678" s="4" t="n">
        <v>11</v>
      </c>
      <c r="K678" t="inlineStr">
        <is>
          <t>0 / 11</t>
        </is>
      </c>
      <c r="L678" t="inlineStr">
        <is>
          <t>0 / 3</t>
        </is>
      </c>
      <c r="M678" s="5" t="n">
        <v>0</v>
      </c>
      <c r="N678" s="5" t="n">
        <v>0</v>
      </c>
    </row>
    <row r="679">
      <c r="A679" t="n">
        <v>678</v>
      </c>
      <c r="B679" t="n">
        <v>2016</v>
      </c>
      <c r="C679" t="inlineStr">
        <is>
          <t>Emma Yu</t>
        </is>
      </c>
      <c r="D679">
        <f>HYPERLINK("https://ota.tournamentsoftware.com/player-profile/08E91FF6-D5E8-42FC-9B0D-2002B0263706", "Link")</f>
        <v/>
      </c>
      <c r="E679" s="3" t="n">
        <v>22.896</v>
      </c>
      <c r="F679" s="4" t="n">
        <v>4</v>
      </c>
      <c r="G679" t="inlineStr">
        <is>
          <t>Tennis Nova Scotia</t>
        </is>
      </c>
      <c r="H679" t="inlineStr">
        <is>
          <t>Atlantic Tennis Centre</t>
        </is>
      </c>
      <c r="I679" t="n">
        <v>38.2</v>
      </c>
      <c r="J679" s="4" t="n">
        <v>35</v>
      </c>
      <c r="K679" t="inlineStr">
        <is>
          <t>19 / 16</t>
        </is>
      </c>
      <c r="L679" t="inlineStr">
        <is>
          <t>11 / 5</t>
        </is>
      </c>
      <c r="M679" s="5" t="n">
        <v>0.54</v>
      </c>
      <c r="N679" s="5" t="n">
        <v>0.6899999999999999</v>
      </c>
    </row>
    <row r="680">
      <c r="A680" t="n">
        <v>679</v>
      </c>
      <c r="B680" t="n">
        <v>2013</v>
      </c>
      <c r="C680" t="inlineStr">
        <is>
          <t>Mariya Fedchyshyna</t>
        </is>
      </c>
      <c r="D680">
        <f>HYPERLINK("https://ota.tournamentsoftware.com/player-profile/5A64317A-A412-4DEB-A68D-94CE45EAE2DD", "Link")</f>
        <v/>
      </c>
      <c r="E680" s="3" t="n">
        <v>22.696</v>
      </c>
      <c r="F680" s="4" t="n">
        <v>2</v>
      </c>
      <c r="G680" t="inlineStr">
        <is>
          <t>British Columbia</t>
        </is>
      </c>
      <c r="H680" t="inlineStr">
        <is>
          <t>Oak Bay Recreation Centre</t>
        </is>
      </c>
      <c r="I680" t="inlineStr">
        <is>
          <t>unavailable</t>
        </is>
      </c>
      <c r="J680" s="4" t="n">
        <v>7</v>
      </c>
      <c r="K680" t="inlineStr">
        <is>
          <t>1 / 6</t>
        </is>
      </c>
      <c r="L680" t="inlineStr">
        <is>
          <t>1 / 4</t>
        </is>
      </c>
      <c r="M680" s="5" t="n">
        <v>0.14</v>
      </c>
      <c r="N680" s="5" t="n">
        <v>0.2</v>
      </c>
    </row>
    <row r="681">
      <c r="A681" t="n">
        <v>680</v>
      </c>
      <c r="B681" t="n">
        <v>2015</v>
      </c>
      <c r="C681" t="inlineStr">
        <is>
          <t>Laila Hilmi</t>
        </is>
      </c>
      <c r="D681">
        <f>HYPERLINK("https://ota.tournamentsoftware.com/player-profile/73A707F1-78B1-45FE-A608-D2E6AA82EA8F", "Link")</f>
        <v/>
      </c>
      <c r="E681" s="3" t="n">
        <v>22.595</v>
      </c>
      <c r="F681" s="4" t="n">
        <v>3</v>
      </c>
      <c r="G681" t="inlineStr">
        <is>
          <t>Tennis Québec</t>
        </is>
      </c>
      <c r="H681" t="inlineStr">
        <is>
          <t>Tennis Montréal Excellence</t>
        </is>
      </c>
      <c r="I681" t="inlineStr">
        <is>
          <t>unavailable</t>
        </is>
      </c>
      <c r="J681" s="4" t="n">
        <v>46</v>
      </c>
      <c r="K681" t="inlineStr">
        <is>
          <t>13 / 33</t>
        </is>
      </c>
      <c r="L681" t="inlineStr">
        <is>
          <t>4 / 3</t>
        </is>
      </c>
      <c r="M681" s="5" t="n">
        <v>0.28</v>
      </c>
      <c r="N681" s="5" t="n">
        <v>0.57</v>
      </c>
    </row>
    <row r="682">
      <c r="A682" t="n">
        <v>681</v>
      </c>
      <c r="B682" t="n">
        <v>2012</v>
      </c>
      <c r="C682" t="inlineStr">
        <is>
          <t>Ruike Ni</t>
        </is>
      </c>
      <c r="D682">
        <f>HYPERLINK("https://ota.tournamentsoftware.com/player-profile/862000EB-CE8E-4CA2-BA1E-5441407CA2E5", "Link")</f>
        <v/>
      </c>
      <c r="E682" s="3" t="n">
        <v>22.464</v>
      </c>
      <c r="F682" s="4" t="n">
        <v>2</v>
      </c>
      <c r="G682" t="inlineStr">
        <is>
          <t>British Columbia</t>
        </is>
      </c>
      <c r="H682" t="inlineStr">
        <is>
          <t>Tennis for Life</t>
        </is>
      </c>
      <c r="I682" t="n">
        <v>40</v>
      </c>
      <c r="J682" s="4" t="n">
        <v>7</v>
      </c>
      <c r="K682" t="inlineStr">
        <is>
          <t>2 / 5</t>
        </is>
      </c>
      <c r="L682" t="inlineStr">
        <is>
          <t>0 / 2</t>
        </is>
      </c>
      <c r="M682" s="5" t="n">
        <v>0.29</v>
      </c>
      <c r="N682" s="5" t="n">
        <v>0</v>
      </c>
    </row>
    <row r="683">
      <c r="A683" t="n">
        <v>682</v>
      </c>
      <c r="B683" t="n">
        <v>2014</v>
      </c>
      <c r="C683" t="inlineStr">
        <is>
          <t>Baani Kaur Saini</t>
        </is>
      </c>
      <c r="D683">
        <f>HYPERLINK("https://ota.tournamentsoftware.com/player-profile/F8A85050-87CB-4D78-BB4D-4D11F0D18229", "Link")</f>
        <v/>
      </c>
      <c r="E683" s="3" t="n">
        <v>22.434</v>
      </c>
      <c r="F683" s="4" t="n">
        <v>3</v>
      </c>
      <c r="G683" t="inlineStr">
        <is>
          <t>Ontario Tennis Association</t>
        </is>
      </c>
      <c r="H683" t="inlineStr">
        <is>
          <t>Bramalea Tennis Club</t>
        </is>
      </c>
      <c r="I683" t="n">
        <v>39.1</v>
      </c>
      <c r="J683" s="4" t="n">
        <v>5</v>
      </c>
      <c r="K683" t="inlineStr">
        <is>
          <t>0 / 5</t>
        </is>
      </c>
      <c r="L683" t="inlineStr">
        <is>
          <t>0 / 0</t>
        </is>
      </c>
      <c r="M683" s="5" t="n">
        <v>0</v>
      </c>
      <c r="N683" s="5" t="n">
        <v>0</v>
      </c>
    </row>
    <row r="684">
      <c r="A684" t="n">
        <v>683</v>
      </c>
      <c r="B684" t="n">
        <v>2014</v>
      </c>
      <c r="C684" t="inlineStr">
        <is>
          <t>Ariella Naomi Shegelman</t>
        </is>
      </c>
      <c r="D684">
        <f>HYPERLINK("https://ota.tournamentsoftware.com/player-profile/F4A076BF-B4C6-4301-B22A-3E13FD483AD5", "Link")</f>
        <v/>
      </c>
      <c r="E684" s="3" t="n">
        <v>22.405</v>
      </c>
      <c r="F684" s="4" t="n">
        <v>3</v>
      </c>
      <c r="G684" t="inlineStr">
        <is>
          <t>Ontario Tennis Association</t>
        </is>
      </c>
      <c r="H684" t="inlineStr">
        <is>
          <t>Concord Tennis Academy</t>
        </is>
      </c>
      <c r="I684" t="n">
        <v>37.3</v>
      </c>
      <c r="J684" s="4" t="n">
        <v>28</v>
      </c>
      <c r="K684" t="inlineStr">
        <is>
          <t>14 / 14</t>
        </is>
      </c>
      <c r="L684" t="inlineStr">
        <is>
          <t>4 / 4</t>
        </is>
      </c>
      <c r="M684" s="5" t="n">
        <v>0.5</v>
      </c>
      <c r="N684" s="5" t="n">
        <v>0.5</v>
      </c>
    </row>
    <row r="685">
      <c r="A685" t="n">
        <v>684</v>
      </c>
      <c r="B685" t="n">
        <v>2016</v>
      </c>
      <c r="C685" t="inlineStr">
        <is>
          <t>Anne Cherednychenko</t>
        </is>
      </c>
      <c r="D685">
        <f>HYPERLINK("https://ota.tournamentsoftware.com/player-profile/8FB2FF81-D0FE-4491-B99E-18BAAFE1E3CD", "Link")</f>
        <v/>
      </c>
      <c r="E685" s="3" t="n">
        <v>22.335</v>
      </c>
      <c r="F685" s="4" t="n">
        <v>7</v>
      </c>
      <c r="G685" t="inlineStr">
        <is>
          <t>Tennis Québec</t>
        </is>
      </c>
      <c r="H685" t="inlineStr">
        <is>
          <t>No Club</t>
        </is>
      </c>
      <c r="I685" t="n">
        <v>37.3</v>
      </c>
      <c r="J685" s="4" t="n">
        <v>57</v>
      </c>
      <c r="K685" t="inlineStr">
        <is>
          <t>34 / 23</t>
        </is>
      </c>
      <c r="L685" t="inlineStr">
        <is>
          <t>10 / 9</t>
        </is>
      </c>
      <c r="M685" s="5" t="n">
        <v>0.6</v>
      </c>
      <c r="N685" s="5" t="n">
        <v>0.53</v>
      </c>
    </row>
    <row r="686">
      <c r="A686" t="n">
        <v>685</v>
      </c>
      <c r="B686" t="n">
        <v>2014</v>
      </c>
      <c r="C686" t="inlineStr">
        <is>
          <t>Mila Khayretdinova</t>
        </is>
      </c>
      <c r="D686">
        <f>HYPERLINK("https://ota.tournamentsoftware.com/player-profile/04DE0A72-CDB6-4637-88E8-378348327654", "Link")</f>
        <v/>
      </c>
      <c r="E686" s="3" t="n">
        <v>22.302</v>
      </c>
      <c r="F686" s="4" t="n">
        <v>6</v>
      </c>
      <c r="G686" t="inlineStr">
        <is>
          <t>Tennis Québec</t>
        </is>
      </c>
      <c r="H686" t="inlineStr">
        <is>
          <t>No Club</t>
        </is>
      </c>
      <c r="I686" t="n">
        <v>40</v>
      </c>
      <c r="J686" s="4" t="n">
        <v>40</v>
      </c>
      <c r="K686" t="inlineStr">
        <is>
          <t>3 / 37</t>
        </is>
      </c>
      <c r="L686" t="inlineStr">
        <is>
          <t>3 / 5</t>
        </is>
      </c>
      <c r="M686" s="5" t="n">
        <v>0.07000000000000001</v>
      </c>
      <c r="N686" s="5" t="n">
        <v>0.38</v>
      </c>
    </row>
    <row r="687">
      <c r="A687" t="n">
        <v>686</v>
      </c>
      <c r="B687" t="n">
        <v>2016</v>
      </c>
      <c r="C687" t="inlineStr">
        <is>
          <t>Eliana Gamboa Puentevella</t>
        </is>
      </c>
      <c r="D687">
        <f>HYPERLINK("https://ota.tournamentsoftware.com/player-profile/F092EBD2-5997-4E03-AED5-C7E2E614192B", "Link")</f>
        <v/>
      </c>
      <c r="E687" s="3" t="n">
        <v>21.883</v>
      </c>
      <c r="F687" s="4" t="n">
        <v>8</v>
      </c>
      <c r="G687" t="inlineStr">
        <is>
          <t>British Columbia</t>
        </is>
      </c>
      <c r="H687" t="inlineStr">
        <is>
          <t>Suncoast Racquet Club</t>
        </is>
      </c>
      <c r="I687" t="n">
        <v>39.3</v>
      </c>
      <c r="J687" s="4" t="n">
        <v>117</v>
      </c>
      <c r="K687" t="inlineStr">
        <is>
          <t>56 / 61</t>
        </is>
      </c>
      <c r="L687" t="inlineStr">
        <is>
          <t>26 / 17</t>
        </is>
      </c>
      <c r="M687" s="5" t="n">
        <v>0.48</v>
      </c>
      <c r="N687" s="5" t="n">
        <v>0.6</v>
      </c>
    </row>
    <row r="688">
      <c r="A688" t="n">
        <v>687</v>
      </c>
      <c r="B688" t="n">
        <v>2014</v>
      </c>
      <c r="C688" t="inlineStr">
        <is>
          <t>Camila Danielle Arias</t>
        </is>
      </c>
      <c r="D688">
        <f>HYPERLINK("https://ota.tournamentsoftware.com/player-profile/7E2B5B8F-95C7-4374-8F7F-D60E81CAB657", "Link")</f>
        <v/>
      </c>
      <c r="E688" s="3" t="n">
        <v>21.537</v>
      </c>
      <c r="F688" s="4" t="n">
        <v>6</v>
      </c>
      <c r="G688" t="inlineStr">
        <is>
          <t>Tennis Québec</t>
        </is>
      </c>
      <c r="H688" t="inlineStr">
        <is>
          <t>SANI Sport</t>
        </is>
      </c>
      <c r="I688" t="inlineStr">
        <is>
          <t>unavailable</t>
        </is>
      </c>
      <c r="J688" s="4" t="inlineStr"/>
      <c r="K688" t="inlineStr">
        <is>
          <t>unavailable</t>
        </is>
      </c>
      <c r="L688" t="inlineStr">
        <is>
          <t>unavailable</t>
        </is>
      </c>
      <c r="M688" s="5" t="inlineStr"/>
      <c r="N688" s="5" t="inlineStr"/>
    </row>
    <row r="689">
      <c r="A689" t="n">
        <v>688</v>
      </c>
      <c r="B689" t="n">
        <v>2015</v>
      </c>
      <c r="C689" t="inlineStr">
        <is>
          <t>Élisa Deschatelets</t>
        </is>
      </c>
      <c r="D689">
        <f>HYPERLINK("https://ota.tournamentsoftware.com/player-profile/C5ECD0AF-5510-44E4-897A-6A3A4D73CDEF", "Link")</f>
        <v/>
      </c>
      <c r="E689" s="3" t="n">
        <v>21.501</v>
      </c>
      <c r="F689" s="4" t="n">
        <v>4</v>
      </c>
      <c r="G689" t="inlineStr">
        <is>
          <t>Tennis Québec</t>
        </is>
      </c>
      <c r="H689" t="inlineStr">
        <is>
          <t>Centre Récréatif Rock Forest / École Tennestrie</t>
        </is>
      </c>
      <c r="I689" t="n">
        <v>40</v>
      </c>
      <c r="J689" s="4" t="n">
        <v>25</v>
      </c>
      <c r="K689" t="inlineStr">
        <is>
          <t>4 / 21</t>
        </is>
      </c>
      <c r="L689" t="inlineStr">
        <is>
          <t>0 / 7</t>
        </is>
      </c>
      <c r="M689" s="5" t="n">
        <v>0.16</v>
      </c>
      <c r="N689" s="5" t="n">
        <v>0</v>
      </c>
    </row>
    <row r="690">
      <c r="A690" t="n">
        <v>689</v>
      </c>
      <c r="B690" t="n">
        <v>2015</v>
      </c>
      <c r="C690" t="inlineStr">
        <is>
          <t>Tara Sepahsalari</t>
        </is>
      </c>
      <c r="D690">
        <f>HYPERLINK("https://ota.tournamentsoftware.com/player-profile/EB26731B-07C8-4C3E-8214-7DD265D4A843", "Link")</f>
        <v/>
      </c>
      <c r="E690" s="3" t="n">
        <v>21.226</v>
      </c>
      <c r="F690" s="4" t="n">
        <v>5</v>
      </c>
      <c r="G690" t="inlineStr">
        <is>
          <t>Tennis Québec</t>
        </is>
      </c>
      <c r="H690" t="inlineStr">
        <is>
          <t>EB Tennis inc.</t>
        </is>
      </c>
      <c r="I690" t="n">
        <v>40</v>
      </c>
      <c r="J690" s="4" t="n">
        <v>33</v>
      </c>
      <c r="K690" t="inlineStr">
        <is>
          <t>5 / 28</t>
        </is>
      </c>
      <c r="L690" t="inlineStr">
        <is>
          <t>1 / 8</t>
        </is>
      </c>
      <c r="M690" s="5" t="n">
        <v>0.15</v>
      </c>
      <c r="N690" s="5" t="n">
        <v>0.11</v>
      </c>
    </row>
    <row r="691">
      <c r="A691" t="n">
        <v>690</v>
      </c>
      <c r="B691" t="n">
        <v>2014</v>
      </c>
      <c r="C691" t="inlineStr">
        <is>
          <t>Victoria Dorvius</t>
        </is>
      </c>
      <c r="D691">
        <f>HYPERLINK("https://ota.tournamentsoftware.com/player-profile/0742AD15-E29E-4761-9ABC-EF929E7499C5", "Link")</f>
        <v/>
      </c>
      <c r="E691" s="3" t="n">
        <v>21.223</v>
      </c>
      <c r="F691" s="4" t="n">
        <v>3</v>
      </c>
      <c r="G691" t="inlineStr">
        <is>
          <t>Tennis Québec</t>
        </is>
      </c>
      <c r="H691" t="inlineStr">
        <is>
          <t>No Club</t>
        </is>
      </c>
      <c r="I691" t="n">
        <v>40</v>
      </c>
      <c r="J691" s="4" t="n">
        <v>8</v>
      </c>
      <c r="K691" t="inlineStr">
        <is>
          <t>0 / 8</t>
        </is>
      </c>
      <c r="L691" t="inlineStr">
        <is>
          <t>0 / 3</t>
        </is>
      </c>
      <c r="M691" s="5" t="n">
        <v>0</v>
      </c>
      <c r="N691" s="5" t="n">
        <v>0</v>
      </c>
    </row>
    <row r="692">
      <c r="A692" t="n">
        <v>691</v>
      </c>
      <c r="B692" t="n">
        <v>2013</v>
      </c>
      <c r="C692" t="inlineStr">
        <is>
          <t>Aura Hayer</t>
        </is>
      </c>
      <c r="D692">
        <f>HYPERLINK("https://ota.tournamentsoftware.com/player-profile/969F22DA-6980-4E13-BAE2-6BD2D0C08F88", "Link")</f>
        <v/>
      </c>
      <c r="E692" s="3" t="n">
        <v>20.931</v>
      </c>
      <c r="F692" s="4" t="n">
        <v>4</v>
      </c>
      <c r="G692" t="inlineStr">
        <is>
          <t>British Columbia</t>
        </is>
      </c>
      <c r="H692" t="inlineStr">
        <is>
          <t>Sunshine Hills Tennis Club</t>
        </is>
      </c>
      <c r="I692" t="n">
        <v>40</v>
      </c>
      <c r="J692" s="4" t="n">
        <v>103</v>
      </c>
      <c r="K692" t="inlineStr">
        <is>
          <t>32 / 71</t>
        </is>
      </c>
      <c r="L692" t="inlineStr">
        <is>
          <t>2 / 5</t>
        </is>
      </c>
      <c r="M692" s="5" t="n">
        <v>0.31</v>
      </c>
      <c r="N692" s="5" t="n">
        <v>0.29</v>
      </c>
    </row>
    <row r="693">
      <c r="A693" t="n">
        <v>692</v>
      </c>
      <c r="B693" t="n">
        <v>2012</v>
      </c>
      <c r="C693" t="inlineStr">
        <is>
          <t>Nika Yaghoubi</t>
        </is>
      </c>
      <c r="D693">
        <f>HYPERLINK("https://ota.tournamentsoftware.com/player-profile/D6970753-702D-4123-8798-708EAC6B7E32", "Link")</f>
        <v/>
      </c>
      <c r="E693" s="3" t="n">
        <v>20.88</v>
      </c>
      <c r="F693" s="4" t="n">
        <v>1</v>
      </c>
      <c r="G693" t="inlineStr">
        <is>
          <t>Tennis Alberta</t>
        </is>
      </c>
      <c r="H693" t="inlineStr">
        <is>
          <t>Saville Community Sports Centre</t>
        </is>
      </c>
      <c r="I693" t="n">
        <v>38.3</v>
      </c>
      <c r="J693" s="4" t="n">
        <v>8</v>
      </c>
      <c r="K693" t="inlineStr">
        <is>
          <t>4 / 4</t>
        </is>
      </c>
      <c r="L693" t="inlineStr">
        <is>
          <t>4 / 4</t>
        </is>
      </c>
      <c r="M693" s="5" t="n">
        <v>0.5</v>
      </c>
      <c r="N693" s="5" t="n">
        <v>0.5</v>
      </c>
    </row>
    <row r="694">
      <c r="A694" t="n">
        <v>692</v>
      </c>
      <c r="B694" t="n">
        <v>2012</v>
      </c>
      <c r="C694" t="inlineStr">
        <is>
          <t>Erica Amy Els</t>
        </is>
      </c>
      <c r="D694">
        <f>HYPERLINK("https://ota.tournamentsoftware.com/player-profile/2D6CC49A-BAE5-4768-9244-8FB4F1D2CABC", "Link")</f>
        <v/>
      </c>
      <c r="E694" s="3" t="n">
        <v>20.88</v>
      </c>
      <c r="F694" s="4" t="n">
        <v>3</v>
      </c>
      <c r="G694" t="inlineStr">
        <is>
          <t>Tennis Alberta</t>
        </is>
      </c>
      <c r="H694" t="inlineStr">
        <is>
          <t>No Club</t>
        </is>
      </c>
      <c r="I694" t="n">
        <v>38.6</v>
      </c>
      <c r="J694" s="4" t="n">
        <v>5</v>
      </c>
      <c r="K694" t="inlineStr">
        <is>
          <t>1 / 4</t>
        </is>
      </c>
      <c r="L694" t="inlineStr">
        <is>
          <t>1 / 4</t>
        </is>
      </c>
      <c r="M694" s="5" t="n">
        <v>0.2</v>
      </c>
      <c r="N694" s="5" t="n">
        <v>0.2</v>
      </c>
    </row>
    <row r="695">
      <c r="A695" t="n">
        <v>694</v>
      </c>
      <c r="B695" t="n">
        <v>2014</v>
      </c>
      <c r="C695" t="inlineStr">
        <is>
          <t>Mila Levac</t>
        </is>
      </c>
      <c r="D695">
        <f>HYPERLINK("https://ota.tournamentsoftware.com/player-profile/7F793D8E-41D7-4B70-87B7-9D30B32ED35F", "Link")</f>
        <v/>
      </c>
      <c r="E695" s="3" t="n">
        <v>20.827</v>
      </c>
      <c r="F695" s="4" t="n">
        <v>3</v>
      </c>
      <c r="G695" t="inlineStr">
        <is>
          <t>Ontario Tennis Association</t>
        </is>
      </c>
      <c r="H695" t="inlineStr">
        <is>
          <t>Rideau Sports Centre</t>
        </is>
      </c>
      <c r="I695" t="n">
        <v>39.7</v>
      </c>
      <c r="J695" s="4" t="n">
        <v>74</v>
      </c>
      <c r="K695" t="inlineStr">
        <is>
          <t>13 / 61</t>
        </is>
      </c>
      <c r="L695" t="inlineStr">
        <is>
          <t>0 / 3</t>
        </is>
      </c>
      <c r="M695" s="5" t="n">
        <v>0.18</v>
      </c>
      <c r="N695" s="5" t="n">
        <v>0</v>
      </c>
    </row>
    <row r="696">
      <c r="A696" t="n">
        <v>695</v>
      </c>
      <c r="B696" t="n">
        <v>2014</v>
      </c>
      <c r="C696" t="inlineStr">
        <is>
          <t>Adele Cui</t>
        </is>
      </c>
      <c r="D696">
        <f>HYPERLINK("https://ota.tournamentsoftware.com/player-profile/E096F094-0386-4439-807E-E147F97C754F", "Link")</f>
        <v/>
      </c>
      <c r="E696" s="3" t="n">
        <v>20.768</v>
      </c>
      <c r="F696" s="4" t="n">
        <v>6</v>
      </c>
      <c r="G696" t="inlineStr">
        <is>
          <t>British Columbia</t>
        </is>
      </c>
      <c r="H696" t="inlineStr">
        <is>
          <t>UBC Tennis Centre</t>
        </is>
      </c>
      <c r="I696" t="n">
        <v>39.5</v>
      </c>
      <c r="J696" s="4" t="n">
        <v>80</v>
      </c>
      <c r="K696" t="inlineStr">
        <is>
          <t>46 / 34</t>
        </is>
      </c>
      <c r="L696" t="inlineStr">
        <is>
          <t>1 / 4</t>
        </is>
      </c>
      <c r="M696" s="5" t="n">
        <v>0.57</v>
      </c>
      <c r="N696" s="5" t="n">
        <v>0.2</v>
      </c>
    </row>
    <row r="697">
      <c r="A697" t="n">
        <v>696</v>
      </c>
      <c r="B697" t="n">
        <v>2013</v>
      </c>
      <c r="C697" t="inlineStr">
        <is>
          <t>Vedika P Sant</t>
        </is>
      </c>
      <c r="D697">
        <f>HYPERLINK("https://ota.tournamentsoftware.com/player-profile/37441797-5F95-4518-997F-3F1602AC6E85", "Link")</f>
        <v/>
      </c>
      <c r="E697" s="3" t="n">
        <v>20.667</v>
      </c>
      <c r="F697" s="4" t="n">
        <v>1</v>
      </c>
      <c r="G697" t="inlineStr">
        <is>
          <t>Ontario Tennis Association</t>
        </is>
      </c>
      <c r="H697" t="inlineStr">
        <is>
          <t>Martingrove Tennis Club</t>
        </is>
      </c>
      <c r="I697" t="inlineStr">
        <is>
          <t>unavailable</t>
        </is>
      </c>
      <c r="J697" s="4" t="n">
        <v>8</v>
      </c>
      <c r="K697" t="inlineStr">
        <is>
          <t>2 / 6</t>
        </is>
      </c>
      <c r="L697" t="inlineStr">
        <is>
          <t>0 / 1</t>
        </is>
      </c>
      <c r="M697" s="5" t="n">
        <v>0.25</v>
      </c>
      <c r="N697" s="5" t="n">
        <v>0</v>
      </c>
    </row>
    <row r="698">
      <c r="A698" t="n">
        <v>697</v>
      </c>
      <c r="B698" t="n">
        <v>2015</v>
      </c>
      <c r="C698" t="inlineStr">
        <is>
          <t>Isadora Xu</t>
        </is>
      </c>
      <c r="D698">
        <f>HYPERLINK("https://ota.tournamentsoftware.com/player-profile/78173253-32AB-4E0D-8618-AEF874C973EC", "Link")</f>
        <v/>
      </c>
      <c r="E698" s="3" t="n">
        <v>20.493</v>
      </c>
      <c r="F698" s="4" t="n">
        <v>8</v>
      </c>
      <c r="G698" t="inlineStr">
        <is>
          <t>British Columbia</t>
        </is>
      </c>
      <c r="H698" t="inlineStr">
        <is>
          <t>Arbutus Club</t>
        </is>
      </c>
      <c r="I698" t="n">
        <v>40</v>
      </c>
      <c r="J698" s="4" t="n">
        <v>40</v>
      </c>
      <c r="K698" t="inlineStr">
        <is>
          <t>19 / 21</t>
        </is>
      </c>
      <c r="L698" t="inlineStr">
        <is>
          <t>15 / 15</t>
        </is>
      </c>
      <c r="M698" s="5" t="n">
        <v>0.47</v>
      </c>
      <c r="N698" s="5" t="n">
        <v>0.5</v>
      </c>
    </row>
    <row r="699">
      <c r="A699" t="n">
        <v>698</v>
      </c>
      <c r="B699" t="n">
        <v>2013</v>
      </c>
      <c r="C699" t="inlineStr">
        <is>
          <t>Yujin Cao</t>
        </is>
      </c>
      <c r="D699">
        <f>HYPERLINK("https://ota.tournamentsoftware.com/player-profile/8260D181-2742-4015-AD52-73D66B6FD70A", "Link")</f>
        <v/>
      </c>
      <c r="E699" s="3" t="n">
        <v>20.347</v>
      </c>
      <c r="F699" s="4" t="n">
        <v>3</v>
      </c>
      <c r="G699" t="inlineStr">
        <is>
          <t>Tennis Québec</t>
        </is>
      </c>
      <c r="H699" t="inlineStr">
        <is>
          <t>Tennis 13</t>
        </is>
      </c>
      <c r="I699" t="inlineStr">
        <is>
          <t>unavailable</t>
        </is>
      </c>
      <c r="J699" s="4" t="n">
        <v>5</v>
      </c>
      <c r="K699" t="inlineStr">
        <is>
          <t>2 / 3</t>
        </is>
      </c>
      <c r="L699" t="inlineStr">
        <is>
          <t>0 / 1</t>
        </is>
      </c>
      <c r="M699" s="5" t="n">
        <v>0.4</v>
      </c>
      <c r="N699" s="5" t="n">
        <v>0</v>
      </c>
    </row>
    <row r="700">
      <c r="A700" t="n">
        <v>699</v>
      </c>
      <c r="B700" t="n">
        <v>2013</v>
      </c>
      <c r="C700" t="inlineStr">
        <is>
          <t>Rebecca Maria Marcu</t>
        </is>
      </c>
      <c r="D700">
        <f>HYPERLINK("https://ota.tournamentsoftware.com/player-profile/1A9DB997-6193-4975-8534-F68D4F83BF32", "Link")</f>
        <v/>
      </c>
      <c r="E700" s="3" t="n">
        <v>20.131</v>
      </c>
      <c r="F700" s="4" t="n">
        <v>2</v>
      </c>
      <c r="G700" t="inlineStr">
        <is>
          <t>Ontario Tennis Association</t>
        </is>
      </c>
      <c r="H700" t="inlineStr">
        <is>
          <t>National Capital Tennis Association</t>
        </is>
      </c>
      <c r="I700" t="inlineStr">
        <is>
          <t>unavailable</t>
        </is>
      </c>
      <c r="J700" s="4" t="n">
        <v>4</v>
      </c>
      <c r="K700" t="inlineStr">
        <is>
          <t>1 / 3</t>
        </is>
      </c>
      <c r="L700" t="inlineStr">
        <is>
          <t>0 / 2</t>
        </is>
      </c>
      <c r="M700" s="5" t="n">
        <v>0.25</v>
      </c>
      <c r="N700" s="5" t="n">
        <v>0</v>
      </c>
    </row>
    <row r="701">
      <c r="A701" t="n">
        <v>700</v>
      </c>
      <c r="B701" t="n">
        <v>2012</v>
      </c>
      <c r="C701" t="inlineStr">
        <is>
          <t>Emily Chai</t>
        </is>
      </c>
      <c r="D701">
        <f>HYPERLINK("https://ota.tournamentsoftware.com/player-profile/0DE38792-F237-4087-A5C1-369B6A3E0088", "Link")</f>
        <v/>
      </c>
      <c r="E701" s="3" t="n">
        <v>19.958</v>
      </c>
      <c r="F701" s="4" t="n">
        <v>2</v>
      </c>
      <c r="G701" t="inlineStr">
        <is>
          <t>Ontario Tennis Association</t>
        </is>
      </c>
      <c r="H701" t="inlineStr">
        <is>
          <t>ON Tennis Toronto No Club</t>
        </is>
      </c>
      <c r="I701" t="n">
        <v>38.8</v>
      </c>
      <c r="J701" s="4" t="n">
        <v>7</v>
      </c>
      <c r="K701" t="inlineStr">
        <is>
          <t>1 / 6</t>
        </is>
      </c>
      <c r="L701" t="inlineStr">
        <is>
          <t>1 / 6</t>
        </is>
      </c>
      <c r="M701" s="5" t="n">
        <v>0.14</v>
      </c>
      <c r="N701" s="5" t="n">
        <v>0.14</v>
      </c>
    </row>
    <row r="702">
      <c r="A702" t="n">
        <v>701</v>
      </c>
      <c r="B702" t="n">
        <v>2014</v>
      </c>
      <c r="C702" t="inlineStr">
        <is>
          <t>Mia Baker</t>
        </is>
      </c>
      <c r="D702">
        <f>HYPERLINK("https://ota.tournamentsoftware.com/player-profile/ABFF2DBE-5CD7-451A-B77E-526F2DB67DA2", "Link")</f>
        <v/>
      </c>
      <c r="E702" s="3" t="n">
        <v>19.715</v>
      </c>
      <c r="F702" s="4" t="n">
        <v>10</v>
      </c>
      <c r="G702" t="inlineStr">
        <is>
          <t>Tennis Québec</t>
        </is>
      </c>
      <c r="H702" t="inlineStr">
        <is>
          <t>SANI Sport</t>
        </is>
      </c>
      <c r="I702" t="n">
        <v>40</v>
      </c>
      <c r="J702" s="4" t="n">
        <v>57</v>
      </c>
      <c r="K702" t="inlineStr">
        <is>
          <t>2 / 55</t>
        </is>
      </c>
      <c r="L702" t="inlineStr">
        <is>
          <t>0 / 10</t>
        </is>
      </c>
      <c r="M702" s="5" t="n">
        <v>0.04</v>
      </c>
      <c r="N702" s="5" t="n">
        <v>0</v>
      </c>
    </row>
    <row r="703">
      <c r="A703" t="n">
        <v>702</v>
      </c>
      <c r="B703" t="n">
        <v>2013</v>
      </c>
      <c r="C703" t="inlineStr">
        <is>
          <t>Hailey Johnson</t>
        </is>
      </c>
      <c r="D703">
        <f>HYPERLINK("https://ota.tournamentsoftware.com/player-profile/D4247C6C-DBD8-41D1-867E-D35290341BA8", "Link")</f>
        <v/>
      </c>
      <c r="E703" s="3" t="n">
        <v>19.71</v>
      </c>
      <c r="F703" s="4" t="n">
        <v>3</v>
      </c>
      <c r="G703" t="inlineStr">
        <is>
          <t>British Columbia</t>
        </is>
      </c>
      <c r="H703" t="inlineStr">
        <is>
          <t>Tennis for Life</t>
        </is>
      </c>
      <c r="I703" t="inlineStr">
        <is>
          <t>unavailable</t>
        </is>
      </c>
      <c r="J703" s="4" t="n">
        <v>49</v>
      </c>
      <c r="K703" t="inlineStr">
        <is>
          <t>28 / 21</t>
        </is>
      </c>
      <c r="L703" t="inlineStr">
        <is>
          <t>1 / 1</t>
        </is>
      </c>
      <c r="M703" s="5" t="n">
        <v>0.57</v>
      </c>
      <c r="N703" s="5" t="n">
        <v>0.5</v>
      </c>
    </row>
    <row r="704">
      <c r="A704" t="n">
        <v>703</v>
      </c>
      <c r="B704" t="n">
        <v>2012</v>
      </c>
      <c r="C704" t="inlineStr">
        <is>
          <t>Leah Lalonde</t>
        </is>
      </c>
      <c r="D704">
        <f>HYPERLINK("https://ota.tournamentsoftware.com/player-profile/00453502-5F0D-45E9-960B-731844BB2EE7", "Link")</f>
        <v/>
      </c>
      <c r="E704" s="3" t="n">
        <v>19.385</v>
      </c>
      <c r="F704" s="4" t="n">
        <v>1</v>
      </c>
      <c r="G704" t="inlineStr">
        <is>
          <t>Ontario Tennis Association</t>
        </is>
      </c>
      <c r="H704" t="inlineStr">
        <is>
          <t>North Bay Tennis Club</t>
        </is>
      </c>
      <c r="I704" t="inlineStr">
        <is>
          <t>unavailable</t>
        </is>
      </c>
      <c r="J704" s="4" t="n">
        <v>79</v>
      </c>
      <c r="K704" t="inlineStr">
        <is>
          <t>47 / 32</t>
        </is>
      </c>
      <c r="L704" t="inlineStr">
        <is>
          <t>0 / 0</t>
        </is>
      </c>
      <c r="M704" s="5" t="n">
        <v>0.59</v>
      </c>
      <c r="N704" s="5" t="n">
        <v>0</v>
      </c>
    </row>
    <row r="705">
      <c r="A705" t="n">
        <v>704</v>
      </c>
      <c r="B705" t="n">
        <v>2014</v>
      </c>
      <c r="C705" t="inlineStr">
        <is>
          <t>Camilia Aroub</t>
        </is>
      </c>
      <c r="D705">
        <f>HYPERLINK("https://ota.tournamentsoftware.com/player-profile/7CE0472D-53F2-438D-B060-8BB037C14F01", "Link")</f>
        <v/>
      </c>
      <c r="E705" s="3" t="n">
        <v>18.866</v>
      </c>
      <c r="F705" s="4" t="n">
        <v>8</v>
      </c>
      <c r="G705" t="inlineStr">
        <is>
          <t>Tennis Québec</t>
        </is>
      </c>
      <c r="H705" t="inlineStr">
        <is>
          <t>Club Sportif Côte-de-Liesse</t>
        </is>
      </c>
      <c r="I705" t="n">
        <v>40</v>
      </c>
      <c r="J705" s="4" t="n">
        <v>16</v>
      </c>
      <c r="K705" t="inlineStr">
        <is>
          <t>2 / 14</t>
        </is>
      </c>
      <c r="L705" t="inlineStr">
        <is>
          <t>2 / 11</t>
        </is>
      </c>
      <c r="M705" s="5" t="n">
        <v>0.12</v>
      </c>
      <c r="N705" s="5" t="n">
        <v>0.15</v>
      </c>
    </row>
    <row r="706">
      <c r="A706" t="n">
        <v>705</v>
      </c>
      <c r="B706" t="n">
        <v>2014</v>
      </c>
      <c r="C706" t="inlineStr">
        <is>
          <t>Olivia V. Jin</t>
        </is>
      </c>
      <c r="D706">
        <f>HYPERLINK("https://ota.tournamentsoftware.com/player-profile/88713252-C9AF-4DC4-B40D-11479A26EE47", "Link")</f>
        <v/>
      </c>
      <c r="E706" s="3" t="n">
        <v>18.821</v>
      </c>
      <c r="F706" s="4" t="n">
        <v>7</v>
      </c>
      <c r="G706" t="inlineStr">
        <is>
          <t>British Columbia</t>
        </is>
      </c>
      <c r="H706" t="inlineStr">
        <is>
          <t>Hollyburn Country Club</t>
        </is>
      </c>
      <c r="I706" t="n">
        <v>39.3</v>
      </c>
      <c r="J706" s="4" t="n">
        <v>81</v>
      </c>
      <c r="K706" t="inlineStr">
        <is>
          <t>23 / 58</t>
        </is>
      </c>
      <c r="L706" t="inlineStr">
        <is>
          <t>3 / 1</t>
        </is>
      </c>
      <c r="M706" s="5" t="n">
        <v>0.28</v>
      </c>
      <c r="N706" s="5" t="n">
        <v>0.75</v>
      </c>
    </row>
    <row r="707">
      <c r="A707" t="n">
        <v>706</v>
      </c>
      <c r="B707" t="n">
        <v>2012</v>
      </c>
      <c r="C707" t="inlineStr">
        <is>
          <t>Maddy Frances Hughes</t>
        </is>
      </c>
      <c r="D707">
        <f>HYPERLINK("https://ota.tournamentsoftware.com/player-profile/78566C46-653E-4667-ADCE-638FA56C318F", "Link")</f>
        <v/>
      </c>
      <c r="E707" s="3" t="n">
        <v>18.771</v>
      </c>
      <c r="F707" s="4" t="n">
        <v>2</v>
      </c>
      <c r="G707" t="inlineStr">
        <is>
          <t>Ontario Tennis Association</t>
        </is>
      </c>
      <c r="H707" t="inlineStr">
        <is>
          <t>Boulevard Club</t>
        </is>
      </c>
      <c r="I707" t="inlineStr">
        <is>
          <t>unavailable</t>
        </is>
      </c>
      <c r="J707" s="4" t="inlineStr"/>
      <c r="K707" t="inlineStr">
        <is>
          <t>unavailable</t>
        </is>
      </c>
      <c r="L707" t="inlineStr">
        <is>
          <t>unavailable</t>
        </is>
      </c>
      <c r="M707" s="5" t="inlineStr"/>
      <c r="N707" s="5" t="inlineStr"/>
    </row>
    <row r="708">
      <c r="A708" t="n">
        <v>707</v>
      </c>
      <c r="B708" t="n">
        <v>2013</v>
      </c>
      <c r="C708" t="inlineStr">
        <is>
          <t>Meryem Besri Besri</t>
        </is>
      </c>
      <c r="D708">
        <f>HYPERLINK("https://ota.tournamentsoftware.com/player-profile/24E638E5-93ED-46F3-95E6-F944EA4EAAE7", "Link")</f>
        <v/>
      </c>
      <c r="E708" s="3" t="n">
        <v>18.705</v>
      </c>
      <c r="F708" s="4" t="n">
        <v>1</v>
      </c>
      <c r="G708" t="inlineStr">
        <is>
          <t>Tennis Alberta</t>
        </is>
      </c>
      <c r="H708" t="inlineStr">
        <is>
          <t>Calgary - Public</t>
        </is>
      </c>
      <c r="I708" t="n">
        <v>36.5</v>
      </c>
      <c r="J708" s="4" t="n">
        <v>1</v>
      </c>
      <c r="K708" t="inlineStr">
        <is>
          <t>0 / 1</t>
        </is>
      </c>
      <c r="L708" t="inlineStr">
        <is>
          <t>0 / 1</t>
        </is>
      </c>
      <c r="M708" s="5" t="n">
        <v>0</v>
      </c>
      <c r="N708" s="5" t="n">
        <v>0</v>
      </c>
    </row>
    <row r="709">
      <c r="A709" t="n">
        <v>708</v>
      </c>
      <c r="B709" t="n">
        <v>2016</v>
      </c>
      <c r="C709" t="inlineStr">
        <is>
          <t>Chloe Garikimukkula</t>
        </is>
      </c>
      <c r="D709">
        <f>HYPERLINK("https://ota.tournamentsoftware.com/player-profile/8B630DA5-F61E-4159-9316-7EA463790908", "Link")</f>
        <v/>
      </c>
      <c r="E709" s="3" t="n">
        <v>18.648</v>
      </c>
      <c r="F709" s="4" t="n">
        <v>6</v>
      </c>
      <c r="G709" t="inlineStr">
        <is>
          <t>Ontario Tennis Association</t>
        </is>
      </c>
      <c r="H709" t="inlineStr">
        <is>
          <t>Burlington Tennis Club</t>
        </is>
      </c>
      <c r="I709" t="n">
        <v>38.3</v>
      </c>
      <c r="J709" s="4" t="n">
        <v>92</v>
      </c>
      <c r="K709" t="inlineStr">
        <is>
          <t>55 / 37</t>
        </is>
      </c>
      <c r="L709" t="inlineStr">
        <is>
          <t>36 / 22</t>
        </is>
      </c>
      <c r="M709" s="5" t="n">
        <v>0.6</v>
      </c>
      <c r="N709" s="5" t="n">
        <v>0.62</v>
      </c>
    </row>
    <row r="710">
      <c r="A710" t="n">
        <v>709</v>
      </c>
      <c r="B710" t="n">
        <v>2012</v>
      </c>
      <c r="C710" t="inlineStr">
        <is>
          <t>Diya Parkash</t>
        </is>
      </c>
      <c r="D710">
        <f>HYPERLINK("https://ota.tournamentsoftware.com/player-profile/73A3C93B-23D0-4FC2-9B92-CA5DFE4335FD", "Link")</f>
        <v/>
      </c>
      <c r="E710" s="3" t="n">
        <v>18.484</v>
      </c>
      <c r="F710" s="4" t="n">
        <v>1</v>
      </c>
      <c r="G710" t="inlineStr">
        <is>
          <t>Tennis Nova Scotia</t>
        </is>
      </c>
      <c r="H710" t="inlineStr">
        <is>
          <t>HEADSTART</t>
        </is>
      </c>
      <c r="I710" t="n">
        <v>37.9</v>
      </c>
      <c r="J710" s="4" t="n">
        <v>6</v>
      </c>
      <c r="K710" t="inlineStr">
        <is>
          <t>3 / 3</t>
        </is>
      </c>
      <c r="L710" t="inlineStr">
        <is>
          <t>3 / 3</t>
        </is>
      </c>
      <c r="M710" s="5" t="n">
        <v>0.5</v>
      </c>
      <c r="N710" s="5" t="n">
        <v>0.5</v>
      </c>
    </row>
    <row r="711">
      <c r="A711" t="n">
        <v>710</v>
      </c>
      <c r="B711" t="n">
        <v>2013</v>
      </c>
      <c r="C711" t="inlineStr">
        <is>
          <t>Eve Fuemana</t>
        </is>
      </c>
      <c r="D711">
        <f>HYPERLINK("https://ota.tournamentsoftware.com/player-profile/C6B89948-0347-4A82-9588-926B794A08CE", "Link")</f>
        <v/>
      </c>
      <c r="E711" s="3" t="n">
        <v>18.447</v>
      </c>
      <c r="F711" s="4" t="n">
        <v>1</v>
      </c>
      <c r="G711" t="inlineStr">
        <is>
          <t>Ontario Tennis Association</t>
        </is>
      </c>
      <c r="H711" t="inlineStr">
        <is>
          <t>Toronto Tennis City</t>
        </is>
      </c>
      <c r="I711" t="n">
        <v>30.6</v>
      </c>
      <c r="J711" s="4" t="n">
        <v>3</v>
      </c>
      <c r="K711" t="inlineStr">
        <is>
          <t>0 / 3</t>
        </is>
      </c>
      <c r="L711" t="inlineStr">
        <is>
          <t>0 / 1</t>
        </is>
      </c>
      <c r="M711" s="5" t="n">
        <v>0</v>
      </c>
      <c r="N711" s="5" t="n">
        <v>0</v>
      </c>
    </row>
    <row r="712">
      <c r="A712" t="n">
        <v>711</v>
      </c>
      <c r="B712" t="n">
        <v>2014</v>
      </c>
      <c r="C712" t="inlineStr">
        <is>
          <t>Éloïse Renaud</t>
        </is>
      </c>
      <c r="D712">
        <f>HYPERLINK("https://ota.tournamentsoftware.com/player-profile/B18DE2B4-0E8A-4263-8136-FCC7F7A61D01", "Link")</f>
        <v/>
      </c>
      <c r="E712" s="3" t="n">
        <v>18.36</v>
      </c>
      <c r="F712" s="4" t="n">
        <v>4</v>
      </c>
      <c r="G712" t="inlineStr">
        <is>
          <t>Tennis Québec</t>
        </is>
      </c>
      <c r="H712" t="inlineStr">
        <is>
          <t>Tennis 13</t>
        </is>
      </c>
      <c r="I712" t="inlineStr">
        <is>
          <t>unavailable</t>
        </is>
      </c>
      <c r="J712" s="4" t="n">
        <v>8</v>
      </c>
      <c r="K712" t="inlineStr">
        <is>
          <t>4 / 4</t>
        </is>
      </c>
      <c r="L712" t="inlineStr">
        <is>
          <t>1 / 2</t>
        </is>
      </c>
      <c r="M712" s="5" t="n">
        <v>0.5</v>
      </c>
      <c r="N712" s="5" t="n">
        <v>0.33</v>
      </c>
    </row>
    <row r="713">
      <c r="A713" t="n">
        <v>712</v>
      </c>
      <c r="B713" t="n">
        <v>2015</v>
      </c>
      <c r="C713" t="inlineStr">
        <is>
          <t>Simone Tremblay-Roy</t>
        </is>
      </c>
      <c r="D713">
        <f>HYPERLINK("https://ota.tournamentsoftware.com/player-profile/E7E1A20D-ED12-47F1-913D-3022C4BE6070", "Link")</f>
        <v/>
      </c>
      <c r="E713" s="3" t="n">
        <v>18.332</v>
      </c>
      <c r="F713" s="4" t="n">
        <v>2</v>
      </c>
      <c r="G713" t="inlineStr">
        <is>
          <t>Tennis Québec</t>
        </is>
      </c>
      <c r="H713" t="inlineStr">
        <is>
          <t>Club de tennis intérieur Saguenay</t>
        </is>
      </c>
      <c r="I713" t="inlineStr">
        <is>
          <t>unavailable</t>
        </is>
      </c>
      <c r="J713" s="4" t="inlineStr"/>
      <c r="K713" t="inlineStr">
        <is>
          <t>unavailable</t>
        </is>
      </c>
      <c r="L713" t="inlineStr">
        <is>
          <t>unavailable</t>
        </is>
      </c>
      <c r="M713" s="5" t="inlineStr"/>
      <c r="N713" s="5" t="inlineStr"/>
    </row>
    <row r="714">
      <c r="A714" t="n">
        <v>713</v>
      </c>
      <c r="B714" t="n">
        <v>2013</v>
      </c>
      <c r="C714" t="inlineStr">
        <is>
          <t>Blake Beck Sadler</t>
        </is>
      </c>
      <c r="D714">
        <f>HYPERLINK("https://ota.tournamentsoftware.com/player-profile/B44D5381-342B-4AF0-8200-EA0CEE1E54B7", "Link")</f>
        <v/>
      </c>
      <c r="E714" s="3" t="n">
        <v>17.916</v>
      </c>
      <c r="F714" s="4" t="n">
        <v>2</v>
      </c>
      <c r="G714" t="inlineStr">
        <is>
          <t>Ontario Tennis Association</t>
        </is>
      </c>
      <c r="H714" t="inlineStr">
        <is>
          <t>Ontario Racquet Club</t>
        </is>
      </c>
      <c r="I714" t="n">
        <v>36.9</v>
      </c>
      <c r="J714" s="4" t="n">
        <v>22</v>
      </c>
      <c r="K714" t="inlineStr">
        <is>
          <t>12 / 10</t>
        </is>
      </c>
      <c r="L714" t="inlineStr">
        <is>
          <t>1 / 1</t>
        </is>
      </c>
      <c r="M714" s="5" t="n">
        <v>0.55</v>
      </c>
      <c r="N714" s="5" t="n">
        <v>0.5</v>
      </c>
    </row>
    <row r="715">
      <c r="A715" t="n">
        <v>714</v>
      </c>
      <c r="B715" t="n">
        <v>2014</v>
      </c>
      <c r="C715" t="inlineStr">
        <is>
          <t>Sophia Marietta Dee</t>
        </is>
      </c>
      <c r="D715">
        <f>HYPERLINK("https://ota.tournamentsoftware.com/player-profile/C69F5ADB-3749-4D97-A809-250A73BB30C1", "Link")</f>
        <v/>
      </c>
      <c r="E715" s="3" t="n">
        <v>17.903</v>
      </c>
      <c r="F715" s="4" t="n">
        <v>6</v>
      </c>
      <c r="G715" t="inlineStr">
        <is>
          <t>British Columbia</t>
        </is>
      </c>
      <c r="H715" t="inlineStr">
        <is>
          <t>Arbutus Club</t>
        </is>
      </c>
      <c r="I715" t="n">
        <v>39.4</v>
      </c>
      <c r="J715" s="4" t="n">
        <v>40</v>
      </c>
      <c r="K715" t="inlineStr">
        <is>
          <t>14 / 26</t>
        </is>
      </c>
      <c r="L715" t="inlineStr">
        <is>
          <t>5 / 7</t>
        </is>
      </c>
      <c r="M715" s="5" t="n">
        <v>0.35</v>
      </c>
      <c r="N715" s="5" t="n">
        <v>0.42</v>
      </c>
    </row>
    <row r="716">
      <c r="A716" t="n">
        <v>715</v>
      </c>
      <c r="B716" t="n">
        <v>2015</v>
      </c>
      <c r="C716" t="inlineStr">
        <is>
          <t>Milana Maor</t>
        </is>
      </c>
      <c r="D716">
        <f>HYPERLINK("https://ota.tournamentsoftware.com/player-profile/EFC2E194-22E1-4017-A2E8-0B41E7DB9101", "Link")</f>
        <v/>
      </c>
      <c r="E716" s="3" t="n">
        <v>17.804</v>
      </c>
      <c r="F716" s="4" t="n">
        <v>4</v>
      </c>
      <c r="G716" t="inlineStr">
        <is>
          <t>Ontario Tennis Association</t>
        </is>
      </c>
      <c r="H716" t="inlineStr">
        <is>
          <t>No Club</t>
        </is>
      </c>
      <c r="I716" t="n">
        <v>39.4</v>
      </c>
      <c r="J716" s="4" t="n">
        <v>48</v>
      </c>
      <c r="K716" t="inlineStr">
        <is>
          <t>20 / 28</t>
        </is>
      </c>
      <c r="L716" t="inlineStr">
        <is>
          <t>3 / 9</t>
        </is>
      </c>
      <c r="M716" s="5" t="n">
        <v>0.42</v>
      </c>
      <c r="N716" s="5" t="n">
        <v>0.25</v>
      </c>
    </row>
    <row r="717">
      <c r="A717" t="n">
        <v>716</v>
      </c>
      <c r="B717" t="n">
        <v>2015</v>
      </c>
      <c r="C717" t="inlineStr">
        <is>
          <t>Allegra Gill</t>
        </is>
      </c>
      <c r="D717">
        <f>HYPERLINK("https://ota.tournamentsoftware.com/player-profile/74E5B02E-036C-4D6F-B122-5C8FEF79A927", "Link")</f>
        <v/>
      </c>
      <c r="E717" s="3" t="n">
        <v>17.64</v>
      </c>
      <c r="F717" s="4" t="n">
        <v>2</v>
      </c>
      <c r="G717" t="inlineStr">
        <is>
          <t>Ontario Tennis Association</t>
        </is>
      </c>
      <c r="H717" t="inlineStr">
        <is>
          <t>Zekelman Tennis Centre</t>
        </is>
      </c>
      <c r="I717" t="n">
        <v>36.7</v>
      </c>
      <c r="J717" s="4" t="n">
        <v>86</v>
      </c>
      <c r="K717" t="inlineStr">
        <is>
          <t>13 / 73</t>
        </is>
      </c>
      <c r="L717" t="inlineStr">
        <is>
          <t>6 / 11</t>
        </is>
      </c>
      <c r="M717" s="5" t="n">
        <v>0.15</v>
      </c>
      <c r="N717" s="5" t="n">
        <v>0.35</v>
      </c>
    </row>
    <row r="718">
      <c r="A718" t="n">
        <v>717</v>
      </c>
      <c r="B718" t="n">
        <v>2013</v>
      </c>
      <c r="C718" t="inlineStr">
        <is>
          <t>Lily Pilipowicz</t>
        </is>
      </c>
      <c r="D718">
        <f>HYPERLINK("https://ota.tournamentsoftware.com/player-profile/B42CFB1E-4A07-4108-A904-8512C36C48D8", "Link")</f>
        <v/>
      </c>
      <c r="E718" s="3" t="n">
        <v>17.313</v>
      </c>
      <c r="F718" s="4" t="n">
        <v>4</v>
      </c>
      <c r="G718" t="inlineStr">
        <is>
          <t>Tennis Alberta</t>
        </is>
      </c>
      <c r="H718" t="inlineStr">
        <is>
          <t>Aforza</t>
        </is>
      </c>
      <c r="I718" t="n">
        <v>37.1</v>
      </c>
      <c r="J718" s="4" t="n">
        <v>40</v>
      </c>
      <c r="K718" t="inlineStr">
        <is>
          <t>19 / 21</t>
        </is>
      </c>
      <c r="L718" t="inlineStr">
        <is>
          <t>0 / 1</t>
        </is>
      </c>
      <c r="M718" s="5" t="n">
        <v>0.47</v>
      </c>
      <c r="N718" s="5" t="n">
        <v>0</v>
      </c>
    </row>
    <row r="719">
      <c r="A719" t="n">
        <v>718</v>
      </c>
      <c r="B719" t="n">
        <v>2014</v>
      </c>
      <c r="C719" t="inlineStr">
        <is>
          <t>Rehmat Kaur Sandhar</t>
        </is>
      </c>
      <c r="D719">
        <f>HYPERLINK("https://ota.tournamentsoftware.com/player-profile/F8357E3D-210F-40E0-BA8A-8FFDBD0DC17E", "Link")</f>
        <v/>
      </c>
      <c r="E719" s="3" t="n">
        <v>17.28</v>
      </c>
      <c r="F719" s="4" t="n">
        <v>2</v>
      </c>
      <c r="G719" t="inlineStr">
        <is>
          <t>Ontario Tennis Association</t>
        </is>
      </c>
      <c r="H719" t="inlineStr">
        <is>
          <t>ON Tennis Toronto No Club</t>
        </is>
      </c>
      <c r="I719" t="n">
        <v>37.7</v>
      </c>
      <c r="J719" s="4" t="n">
        <v>25</v>
      </c>
      <c r="K719" t="inlineStr">
        <is>
          <t>8 / 17</t>
        </is>
      </c>
      <c r="L719" t="inlineStr">
        <is>
          <t>8 / 14</t>
        </is>
      </c>
      <c r="M719" s="5" t="n">
        <v>0.32</v>
      </c>
      <c r="N719" s="5" t="n">
        <v>0.36</v>
      </c>
    </row>
    <row r="720">
      <c r="A720" t="n">
        <v>719</v>
      </c>
      <c r="B720" t="n">
        <v>2012</v>
      </c>
      <c r="C720" t="inlineStr">
        <is>
          <t>Emily Solc</t>
        </is>
      </c>
      <c r="D720">
        <f>HYPERLINK("https://ota.tournamentsoftware.com/player-profile/0117F9E7-8DFA-459F-859A-F7CFC440388D", "Link")</f>
        <v/>
      </c>
      <c r="E720" s="3" t="n">
        <v>17.16</v>
      </c>
      <c r="F720" s="4" t="n">
        <v>1</v>
      </c>
      <c r="G720" t="inlineStr">
        <is>
          <t>Ontario Tennis Association</t>
        </is>
      </c>
      <c r="H720" t="inlineStr">
        <is>
          <t>Ajax Tennis Club</t>
        </is>
      </c>
      <c r="I720" t="n">
        <v>37.9</v>
      </c>
      <c r="J720" s="4" t="n">
        <v>15</v>
      </c>
      <c r="K720" t="inlineStr">
        <is>
          <t>6 / 9</t>
        </is>
      </c>
      <c r="L720" t="inlineStr">
        <is>
          <t>0 / 0</t>
        </is>
      </c>
      <c r="M720" s="5" t="n">
        <v>0.4</v>
      </c>
      <c r="N720" s="5" t="n">
        <v>0</v>
      </c>
    </row>
    <row r="721">
      <c r="A721" t="n">
        <v>720</v>
      </c>
      <c r="B721" t="n">
        <v>2014</v>
      </c>
      <c r="C721" t="inlineStr">
        <is>
          <t>Cheryl Elizabeth Ong</t>
        </is>
      </c>
      <c r="D721">
        <f>HYPERLINK("https://ota.tournamentsoftware.com/player-profile/11AC4E6A-0B03-4BB4-ACB7-333E7FD9064F", "Link")</f>
        <v/>
      </c>
      <c r="E721" s="3" t="n">
        <v>16.812</v>
      </c>
      <c r="F721" s="4" t="n">
        <v>7</v>
      </c>
      <c r="G721" t="inlineStr">
        <is>
          <t>British Columbia</t>
        </is>
      </c>
      <c r="H721" t="inlineStr">
        <is>
          <t>Tennis for Life</t>
        </is>
      </c>
      <c r="I721" t="inlineStr">
        <is>
          <t>unavailable</t>
        </is>
      </c>
      <c r="J721" s="4" t="n">
        <v>34</v>
      </c>
      <c r="K721" t="inlineStr">
        <is>
          <t>10 / 24</t>
        </is>
      </c>
      <c r="L721" t="inlineStr">
        <is>
          <t>6 / 8</t>
        </is>
      </c>
      <c r="M721" s="5" t="n">
        <v>0.29</v>
      </c>
      <c r="N721" s="5" t="n">
        <v>0.43</v>
      </c>
    </row>
    <row r="722">
      <c r="A722" t="n">
        <v>721</v>
      </c>
      <c r="B722" t="n">
        <v>2012</v>
      </c>
      <c r="C722" t="inlineStr">
        <is>
          <t>Elise Weaser</t>
        </is>
      </c>
      <c r="D722">
        <f>HYPERLINK("https://ota.tournamentsoftware.com/player-profile/DA22DB71-D6D8-4605-B329-E9AEA5B14695", "Link")</f>
        <v/>
      </c>
      <c r="E722" s="3" t="n">
        <v>16.632</v>
      </c>
      <c r="F722" s="4" t="n">
        <v>1</v>
      </c>
      <c r="G722" t="inlineStr">
        <is>
          <t>Ontario Tennis Association</t>
        </is>
      </c>
      <c r="H722" t="inlineStr">
        <is>
          <t>Ontario Racquet Club</t>
        </is>
      </c>
      <c r="I722" t="n">
        <v>38.6</v>
      </c>
      <c r="J722" s="4" t="n">
        <v>28</v>
      </c>
      <c r="K722" t="inlineStr">
        <is>
          <t>6 / 22</t>
        </is>
      </c>
      <c r="L722" t="inlineStr">
        <is>
          <t>1 / 1</t>
        </is>
      </c>
      <c r="M722" s="5" t="n">
        <v>0.21</v>
      </c>
      <c r="N722" s="5" t="n">
        <v>0.5</v>
      </c>
    </row>
    <row r="723">
      <c r="A723" t="n">
        <v>722</v>
      </c>
      <c r="B723" t="n">
        <v>2015</v>
      </c>
      <c r="C723" t="inlineStr">
        <is>
          <t>Léa Anténor</t>
        </is>
      </c>
      <c r="D723">
        <f>HYPERLINK("https://ota.tournamentsoftware.com/player-profile/C5888674-E1AF-487D-88CD-4864B4B9365E", "Link")</f>
        <v/>
      </c>
      <c r="E723" s="3" t="n">
        <v>16.489</v>
      </c>
      <c r="F723" s="4" t="n">
        <v>3</v>
      </c>
      <c r="G723" t="inlineStr">
        <is>
          <t>Tennis Québec</t>
        </is>
      </c>
      <c r="H723" t="inlineStr">
        <is>
          <t>No Club</t>
        </is>
      </c>
      <c r="I723" t="inlineStr">
        <is>
          <t>unavailable</t>
        </is>
      </c>
      <c r="J723" s="4" t="n">
        <v>2</v>
      </c>
      <c r="K723" t="inlineStr">
        <is>
          <t>0 / 2</t>
        </is>
      </c>
      <c r="L723" t="inlineStr">
        <is>
          <t>0 / 2</t>
        </is>
      </c>
      <c r="M723" s="5" t="n">
        <v>0</v>
      </c>
      <c r="N723" s="5" t="n">
        <v>0</v>
      </c>
    </row>
    <row r="724">
      <c r="A724" t="n">
        <v>723</v>
      </c>
      <c r="B724" t="n">
        <v>2014</v>
      </c>
      <c r="C724" t="inlineStr">
        <is>
          <t>Livia Hu</t>
        </is>
      </c>
      <c r="D724">
        <f>HYPERLINK("https://ota.tournamentsoftware.com/player-profile/F0626954-59DE-45D2-AE30-FCA903A00699", "Link")</f>
        <v/>
      </c>
      <c r="E724" s="3" t="n">
        <v>16.459</v>
      </c>
      <c r="F724" s="4" t="n">
        <v>2</v>
      </c>
      <c r="G724" t="inlineStr">
        <is>
          <t>Tennis Saskatchewan</t>
        </is>
      </c>
      <c r="H724" t="inlineStr">
        <is>
          <t>No Club</t>
        </is>
      </c>
      <c r="I724" t="n">
        <v>33.7</v>
      </c>
      <c r="J724" s="4" t="n">
        <v>36</v>
      </c>
      <c r="K724" t="inlineStr">
        <is>
          <t>21 / 15</t>
        </is>
      </c>
      <c r="L724" t="inlineStr">
        <is>
          <t>3 / 3</t>
        </is>
      </c>
      <c r="M724" s="5" t="n">
        <v>0.58</v>
      </c>
      <c r="N724" s="5" t="n">
        <v>0.5</v>
      </c>
    </row>
    <row r="725">
      <c r="A725" t="n">
        <v>724</v>
      </c>
      <c r="B725" t="n">
        <v>2015</v>
      </c>
      <c r="C725" t="inlineStr">
        <is>
          <t>Margaux Eile</t>
        </is>
      </c>
      <c r="D725">
        <f>HYPERLINK("https://ota.tournamentsoftware.com/player-profile/9023DCCB-FDAB-4759-A4C9-E99C2FD3C6AD", "Link")</f>
        <v/>
      </c>
      <c r="E725" s="3" t="n">
        <v>16.313</v>
      </c>
      <c r="F725" s="4" t="n">
        <v>6</v>
      </c>
      <c r="G725" t="inlineStr">
        <is>
          <t>Tennis Québec</t>
        </is>
      </c>
      <c r="H725" t="inlineStr">
        <is>
          <t>Midtown Le Sporting Club Sanctuaire</t>
        </is>
      </c>
      <c r="I725" t="inlineStr">
        <is>
          <t>unavailable</t>
        </is>
      </c>
      <c r="J725" s="4" t="n">
        <v>25</v>
      </c>
      <c r="K725" t="inlineStr">
        <is>
          <t>2 / 23</t>
        </is>
      </c>
      <c r="L725" t="inlineStr">
        <is>
          <t>0 / 6</t>
        </is>
      </c>
      <c r="M725" s="5" t="n">
        <v>0.08</v>
      </c>
      <c r="N725" s="5" t="n">
        <v>0</v>
      </c>
    </row>
    <row r="726">
      <c r="A726" t="n">
        <v>725</v>
      </c>
      <c r="B726" t="n">
        <v>2013</v>
      </c>
      <c r="C726" t="inlineStr">
        <is>
          <t>Kate Sumner</t>
        </is>
      </c>
      <c r="D726">
        <f>HYPERLINK("https://ota.tournamentsoftware.com/player-profile/42BF9410-8926-4C81-9B50-F1262CEF0360", "Link")</f>
        <v/>
      </c>
      <c r="E726" s="3" t="n">
        <v>16.027</v>
      </c>
      <c r="F726" s="4" t="n">
        <v>3</v>
      </c>
      <c r="G726" t="inlineStr">
        <is>
          <t>Ontario Tennis Association</t>
        </is>
      </c>
      <c r="H726" t="inlineStr">
        <is>
          <t>Toronto Cricket Skating &amp; Curling</t>
        </is>
      </c>
      <c r="I726" t="inlineStr">
        <is>
          <t>unavailable</t>
        </is>
      </c>
      <c r="J726" s="4" t="n">
        <v>33</v>
      </c>
      <c r="K726" t="inlineStr">
        <is>
          <t>11 / 22</t>
        </is>
      </c>
      <c r="L726" t="inlineStr">
        <is>
          <t>1 / 1</t>
        </is>
      </c>
      <c r="M726" s="5" t="n">
        <v>0.33</v>
      </c>
      <c r="N726" s="5" t="n">
        <v>0.5</v>
      </c>
    </row>
    <row r="727">
      <c r="A727" t="n">
        <v>726</v>
      </c>
      <c r="B727" t="n">
        <v>2012</v>
      </c>
      <c r="C727" t="inlineStr">
        <is>
          <t>Valeria Taborda - Valverde</t>
        </is>
      </c>
      <c r="D727">
        <f>HYPERLINK("https://ota.tournamentsoftware.com/player-profile/E0201B38-AEE1-4BAC-B0FB-FA389A1FFEA8", "Link")</f>
        <v/>
      </c>
      <c r="E727" s="3" t="n">
        <v>15.552</v>
      </c>
      <c r="F727" s="4" t="n">
        <v>1</v>
      </c>
      <c r="G727" t="inlineStr">
        <is>
          <t>Ontario Tennis Association</t>
        </is>
      </c>
      <c r="H727" t="inlineStr">
        <is>
          <t>Port Hope Racquet Club</t>
        </is>
      </c>
      <c r="I727" t="inlineStr">
        <is>
          <t>unavailable</t>
        </is>
      </c>
      <c r="J727" s="4" t="n">
        <v>34</v>
      </c>
      <c r="K727" t="inlineStr">
        <is>
          <t>13 / 21</t>
        </is>
      </c>
      <c r="L727" t="inlineStr">
        <is>
          <t>1 / 0</t>
        </is>
      </c>
      <c r="M727" s="5" t="n">
        <v>0.38</v>
      </c>
      <c r="N727" s="5" t="n">
        <v>1</v>
      </c>
    </row>
    <row r="728">
      <c r="A728" t="n">
        <v>727</v>
      </c>
      <c r="B728" t="n">
        <v>2014</v>
      </c>
      <c r="C728" t="inlineStr">
        <is>
          <t>Precious J. Mutiku</t>
        </is>
      </c>
      <c r="D728">
        <f>HYPERLINK("https://ota.tournamentsoftware.com/player-profile/60A61325-C72A-4622-B3AF-5291E7A5657A", "Link")</f>
        <v/>
      </c>
      <c r="E728" s="3" t="n">
        <v>15.059</v>
      </c>
      <c r="F728" s="4" t="n">
        <v>1</v>
      </c>
      <c r="G728" t="inlineStr">
        <is>
          <t>Tennis Manitoba</t>
        </is>
      </c>
      <c r="H728" t="inlineStr">
        <is>
          <t>Taylor Tennis</t>
        </is>
      </c>
      <c r="I728" t="n">
        <v>35.5</v>
      </c>
      <c r="J728" s="4" t="n">
        <v>3</v>
      </c>
      <c r="K728" t="inlineStr">
        <is>
          <t>1 / 2</t>
        </is>
      </c>
      <c r="L728" t="inlineStr">
        <is>
          <t>0 / 1</t>
        </is>
      </c>
      <c r="M728" s="5" t="n">
        <v>0.33</v>
      </c>
      <c r="N728" s="5" t="n">
        <v>0</v>
      </c>
    </row>
    <row r="729">
      <c r="A729" t="n">
        <v>728</v>
      </c>
      <c r="B729" t="n">
        <v>2013</v>
      </c>
      <c r="C729" t="inlineStr">
        <is>
          <t>Kensington Gavin</t>
        </is>
      </c>
      <c r="D729">
        <f>HYPERLINK("https://ota.tournamentsoftware.com/player-profile/A4C08F5F-BDB2-4714-9F20-18E924F0B20C", "Link")</f>
        <v/>
      </c>
      <c r="E729" s="3" t="n">
        <v>15</v>
      </c>
      <c r="F729" s="4" t="n">
        <v>2</v>
      </c>
      <c r="G729" t="inlineStr">
        <is>
          <t>British Columbia</t>
        </is>
      </c>
      <c r="H729" t="inlineStr">
        <is>
          <t>No Club</t>
        </is>
      </c>
      <c r="I729" t="n">
        <v>37.4</v>
      </c>
      <c r="J729" s="4" t="n">
        <v>121</v>
      </c>
      <c r="K729" t="inlineStr">
        <is>
          <t>70 / 51</t>
        </is>
      </c>
      <c r="L729" t="inlineStr">
        <is>
          <t>0 / 0</t>
        </is>
      </c>
      <c r="M729" s="5" t="n">
        <v>0.58</v>
      </c>
      <c r="N729" s="5" t="n">
        <v>0</v>
      </c>
    </row>
    <row r="730">
      <c r="A730" t="n">
        <v>729</v>
      </c>
      <c r="B730" t="n">
        <v>2012</v>
      </c>
      <c r="C730" t="inlineStr">
        <is>
          <t>Navia Kaylynn Barlow</t>
        </is>
      </c>
      <c r="D730">
        <f>HYPERLINK("https://ota.tournamentsoftware.com/player-profile/44A25362-E73B-4E09-954B-7A375954482B", "Link")</f>
        <v/>
      </c>
      <c r="E730" s="3" t="n">
        <v>14.647</v>
      </c>
      <c r="F730" s="4" t="n">
        <v>3</v>
      </c>
      <c r="G730" t="inlineStr">
        <is>
          <t>Tennis Alberta</t>
        </is>
      </c>
      <c r="H730" t="inlineStr">
        <is>
          <t>Derrick Golf &amp; Winter Club</t>
        </is>
      </c>
      <c r="I730" t="inlineStr">
        <is>
          <t>unavailable</t>
        </is>
      </c>
      <c r="J730" s="4" t="n">
        <v>6</v>
      </c>
      <c r="K730" t="inlineStr">
        <is>
          <t>2 / 4</t>
        </is>
      </c>
      <c r="L730" t="inlineStr">
        <is>
          <t>2 / 4</t>
        </is>
      </c>
      <c r="M730" s="5" t="n">
        <v>0.33</v>
      </c>
      <c r="N730" s="5" t="n">
        <v>0.33</v>
      </c>
    </row>
    <row r="731">
      <c r="A731" t="n">
        <v>730</v>
      </c>
      <c r="B731" t="n">
        <v>2015</v>
      </c>
      <c r="C731" t="inlineStr">
        <is>
          <t>Mira Akhoundova</t>
        </is>
      </c>
      <c r="D731">
        <f>HYPERLINK("https://ota.tournamentsoftware.com/player-profile/DFAA2C12-ED04-42F9-9711-F91A6745B43A", "Link")</f>
        <v/>
      </c>
      <c r="E731" s="3" t="n">
        <v>14.585</v>
      </c>
      <c r="F731" s="4" t="n">
        <v>3</v>
      </c>
      <c r="G731" t="inlineStr">
        <is>
          <t>Ontario Tennis Association</t>
        </is>
      </c>
      <c r="H731" t="inlineStr">
        <is>
          <t>Marilyn Redvers Tennis Club</t>
        </is>
      </c>
      <c r="I731" t="n">
        <v>40</v>
      </c>
      <c r="J731" s="4" t="n">
        <v>28</v>
      </c>
      <c r="K731" t="inlineStr">
        <is>
          <t>14 / 14</t>
        </is>
      </c>
      <c r="L731" t="inlineStr">
        <is>
          <t>5 / 9</t>
        </is>
      </c>
      <c r="M731" s="5" t="n">
        <v>0.5</v>
      </c>
      <c r="N731" s="5" t="n">
        <v>0.36</v>
      </c>
    </row>
    <row r="732">
      <c r="A732" t="n">
        <v>731</v>
      </c>
      <c r="B732" t="n">
        <v>2015</v>
      </c>
      <c r="C732" t="inlineStr">
        <is>
          <t>Nadia Mnyusiwalla</t>
        </is>
      </c>
      <c r="D732">
        <f>HYPERLINK("https://ota.tournamentsoftware.com/player-profile/0DB52458-FB00-472A-BE89-03A77FEBF08E", "Link")</f>
        <v/>
      </c>
      <c r="E732" s="3" t="n">
        <v>14.381</v>
      </c>
      <c r="F732" s="4" t="n">
        <v>3</v>
      </c>
      <c r="G732" t="inlineStr">
        <is>
          <t>Ontario Tennis Association</t>
        </is>
      </c>
      <c r="H732" t="inlineStr">
        <is>
          <t>Waterloo Tennis Club</t>
        </is>
      </c>
      <c r="I732" t="inlineStr">
        <is>
          <t>unavailable</t>
        </is>
      </c>
      <c r="J732" s="4" t="n">
        <v>54</v>
      </c>
      <c r="K732" t="inlineStr">
        <is>
          <t>15 / 39</t>
        </is>
      </c>
      <c r="L732" t="inlineStr">
        <is>
          <t>2 / 14</t>
        </is>
      </c>
      <c r="M732" s="5" t="n">
        <v>0.28</v>
      </c>
      <c r="N732" s="5" t="n">
        <v>0.12</v>
      </c>
    </row>
    <row r="733">
      <c r="A733" t="n">
        <v>732</v>
      </c>
      <c r="B733" t="n">
        <v>2014</v>
      </c>
      <c r="C733" t="inlineStr">
        <is>
          <t>Elise Hiu-Wing Lin</t>
        </is>
      </c>
      <c r="D733">
        <f>HYPERLINK("https://ota.tournamentsoftware.com/player-profile/6079C290-F004-492F-BD70-120B06A08264", "Link")</f>
        <v/>
      </c>
      <c r="E733" s="3" t="n">
        <v>14.283</v>
      </c>
      <c r="F733" s="4" t="n">
        <v>4</v>
      </c>
      <c r="G733" t="inlineStr">
        <is>
          <t>British Columbia</t>
        </is>
      </c>
      <c r="H733" t="inlineStr">
        <is>
          <t>No Club</t>
        </is>
      </c>
      <c r="I733" t="n">
        <v>38.4</v>
      </c>
      <c r="J733" s="4" t="n">
        <v>47</v>
      </c>
      <c r="K733" t="inlineStr">
        <is>
          <t>17 / 30</t>
        </is>
      </c>
      <c r="L733" t="inlineStr">
        <is>
          <t>4 / 5</t>
        </is>
      </c>
      <c r="M733" s="5" t="n">
        <v>0.36</v>
      </c>
      <c r="N733" s="5" t="n">
        <v>0.44</v>
      </c>
    </row>
    <row r="734">
      <c r="A734" t="n">
        <v>733</v>
      </c>
      <c r="B734" t="n">
        <v>2012</v>
      </c>
      <c r="C734" t="inlineStr">
        <is>
          <t>Renee Burton</t>
        </is>
      </c>
      <c r="D734">
        <f>HYPERLINK("https://ota.tournamentsoftware.com/player-profile/88D51E75-4EAF-4390-8A85-9E01D5A7B97C", "Link")</f>
        <v/>
      </c>
      <c r="E734" s="3" t="n">
        <v>14.11</v>
      </c>
      <c r="F734" s="4" t="n">
        <v>1</v>
      </c>
      <c r="G734" t="inlineStr">
        <is>
          <t>Ontario Tennis Association</t>
        </is>
      </c>
      <c r="H734" t="inlineStr">
        <is>
          <t>ACE Tennis - Burlington</t>
        </is>
      </c>
      <c r="I734" t="n">
        <v>36.5</v>
      </c>
      <c r="J734" s="4" t="n">
        <v>13</v>
      </c>
      <c r="K734" t="inlineStr">
        <is>
          <t>9 / 4</t>
        </is>
      </c>
      <c r="L734" t="inlineStr">
        <is>
          <t>9 / 4</t>
        </is>
      </c>
      <c r="M734" s="5" t="n">
        <v>0.6899999999999999</v>
      </c>
      <c r="N734" s="5" t="n">
        <v>0.6899999999999999</v>
      </c>
    </row>
    <row r="735">
      <c r="A735" t="n">
        <v>734</v>
      </c>
      <c r="B735" t="n">
        <v>2015</v>
      </c>
      <c r="C735" t="inlineStr">
        <is>
          <t>Nalla Isabella Lteif</t>
        </is>
      </c>
      <c r="D735">
        <f>HYPERLINK("https://ota.tournamentsoftware.com/player-profile/B0DC1A2D-B87B-4E66-A5EE-9C9F6EC668D4", "Link")</f>
        <v/>
      </c>
      <c r="E735" s="3" t="n">
        <v>13.839</v>
      </c>
      <c r="F735" s="4" t="n">
        <v>3</v>
      </c>
      <c r="G735" t="inlineStr">
        <is>
          <t>Tennis Québec</t>
        </is>
      </c>
      <c r="H735" t="inlineStr">
        <is>
          <t>Carrefour Multisports</t>
        </is>
      </c>
      <c r="I735" t="n">
        <v>39.4</v>
      </c>
      <c r="J735" s="4" t="n">
        <v>9</v>
      </c>
      <c r="K735" t="inlineStr">
        <is>
          <t>3 / 6</t>
        </is>
      </c>
      <c r="L735" t="inlineStr">
        <is>
          <t>1 / 3</t>
        </is>
      </c>
      <c r="M735" s="5" t="n">
        <v>0.33</v>
      </c>
      <c r="N735" s="5" t="n">
        <v>0.25</v>
      </c>
    </row>
    <row r="736">
      <c r="A736" t="n">
        <v>735</v>
      </c>
      <c r="B736" t="n">
        <v>2016</v>
      </c>
      <c r="C736" t="inlineStr">
        <is>
          <t>Jessie DONG</t>
        </is>
      </c>
      <c r="D736">
        <f>HYPERLINK("https://ota.tournamentsoftware.com/player-profile/DD46DDC2-A0FA-4A57-9C2B-207D02D3DFB6", "Link")</f>
        <v/>
      </c>
      <c r="E736" s="3" t="n">
        <v>13.8</v>
      </c>
      <c r="F736" s="4" t="n">
        <v>2</v>
      </c>
      <c r="G736" t="inlineStr">
        <is>
          <t>Ontario Tennis Association</t>
        </is>
      </c>
      <c r="H736" t="inlineStr">
        <is>
          <t>Burlington Hall Sporting Club</t>
        </is>
      </c>
      <c r="I736" t="n">
        <v>37.8</v>
      </c>
      <c r="J736" s="4" t="n">
        <v>47</v>
      </c>
      <c r="K736" t="inlineStr">
        <is>
          <t>21 / 26</t>
        </is>
      </c>
      <c r="L736" t="inlineStr">
        <is>
          <t>21 / 26</t>
        </is>
      </c>
      <c r="M736" s="5" t="n">
        <v>0.45</v>
      </c>
      <c r="N736" s="5" t="n">
        <v>0.45</v>
      </c>
    </row>
    <row r="737">
      <c r="A737" t="n">
        <v>736</v>
      </c>
      <c r="B737" t="n">
        <v>2013</v>
      </c>
      <c r="C737" t="inlineStr">
        <is>
          <t>Nitya Myneni</t>
        </is>
      </c>
      <c r="D737">
        <f>HYPERLINK("https://ota.tournamentsoftware.com/player-profile/482EDD14-11AD-4221-B031-4CDB8348AC62", "Link")</f>
        <v/>
      </c>
      <c r="E737" s="3" t="n">
        <v>13.478</v>
      </c>
      <c r="F737" s="4" t="n">
        <v>2</v>
      </c>
      <c r="G737" t="inlineStr">
        <is>
          <t>British Columbia</t>
        </is>
      </c>
      <c r="H737" t="inlineStr">
        <is>
          <t>The Tennis Centre</t>
        </is>
      </c>
      <c r="I737" t="n">
        <v>40</v>
      </c>
      <c r="J737" s="4" t="n">
        <v>26</v>
      </c>
      <c r="K737" t="inlineStr">
        <is>
          <t>8 / 18</t>
        </is>
      </c>
      <c r="L737" t="inlineStr">
        <is>
          <t>0 / 4</t>
        </is>
      </c>
      <c r="M737" s="5" t="n">
        <v>0.31</v>
      </c>
      <c r="N737" s="5" t="n">
        <v>0</v>
      </c>
    </row>
    <row r="738">
      <c r="A738" t="n">
        <v>737</v>
      </c>
      <c r="B738" t="n">
        <v>2015</v>
      </c>
      <c r="C738" t="inlineStr">
        <is>
          <t>Mila Anglade</t>
        </is>
      </c>
      <c r="D738">
        <f>HYPERLINK("https://ota.tournamentsoftware.com/player-profile/05635752-0D80-4827-BA70-1CECB2BE0528", "Link")</f>
        <v/>
      </c>
      <c r="E738" s="3" t="n">
        <v>13.12</v>
      </c>
      <c r="F738" s="4" t="n">
        <v>3</v>
      </c>
      <c r="G738" t="inlineStr">
        <is>
          <t>Tennis Québec</t>
        </is>
      </c>
      <c r="H738" t="inlineStr">
        <is>
          <t>Carrefour Multisports</t>
        </is>
      </c>
      <c r="I738" t="inlineStr">
        <is>
          <t>unavailable</t>
        </is>
      </c>
      <c r="J738" s="4" t="n">
        <v>59</v>
      </c>
      <c r="K738" t="inlineStr">
        <is>
          <t>35 / 24</t>
        </is>
      </c>
      <c r="L738" t="inlineStr">
        <is>
          <t>4 / 1</t>
        </is>
      </c>
      <c r="M738" s="5" t="n">
        <v>0.59</v>
      </c>
      <c r="N738" s="5" t="n">
        <v>0.8</v>
      </c>
    </row>
    <row r="739">
      <c r="A739" t="n">
        <v>738</v>
      </c>
      <c r="B739" t="n">
        <v>2014</v>
      </c>
      <c r="C739" t="inlineStr">
        <is>
          <t>Olivia Duthoit</t>
        </is>
      </c>
      <c r="D739">
        <f>HYPERLINK("https://ota.tournamentsoftware.com/player-profile/7ADA0A6D-C257-4896-AEB0-8E053AAA4B48", "Link")</f>
        <v/>
      </c>
      <c r="E739" s="3" t="n">
        <v>13.092</v>
      </c>
      <c r="F739" s="4" t="n">
        <v>2</v>
      </c>
      <c r="G739" t="inlineStr">
        <is>
          <t>Tennis Québec</t>
        </is>
      </c>
      <c r="H739" t="inlineStr">
        <is>
          <t>Club Avantage Multi-sports / Académie de tennis Hérisset Bordeleau</t>
        </is>
      </c>
      <c r="I739" t="n">
        <v>38.2</v>
      </c>
      <c r="J739" s="4" t="n">
        <v>18</v>
      </c>
      <c r="K739" t="inlineStr">
        <is>
          <t>3 / 15</t>
        </is>
      </c>
      <c r="L739" t="inlineStr">
        <is>
          <t>2 / 3</t>
        </is>
      </c>
      <c r="M739" s="5" t="n">
        <v>0.17</v>
      </c>
      <c r="N739" s="5" t="n">
        <v>0.4</v>
      </c>
    </row>
    <row r="740">
      <c r="A740" t="n">
        <v>739</v>
      </c>
      <c r="B740" t="n">
        <v>2015</v>
      </c>
      <c r="C740" t="inlineStr">
        <is>
          <t>Mirra Tverskaia</t>
        </is>
      </c>
      <c r="D740">
        <f>HYPERLINK("https://ota.tournamentsoftware.com/player-profile/A09D283B-5C23-4F54-A304-0C0125F7637B", "Link")</f>
        <v/>
      </c>
      <c r="E740" s="3" t="n">
        <v>12.632</v>
      </c>
      <c r="F740" s="4" t="n">
        <v>3</v>
      </c>
      <c r="G740" t="inlineStr">
        <is>
          <t>Tennis Prince Edward Island</t>
        </is>
      </c>
      <c r="H740" t="inlineStr">
        <is>
          <t>Royalty Racquet Centre</t>
        </is>
      </c>
      <c r="I740" t="inlineStr">
        <is>
          <t>unavailable</t>
        </is>
      </c>
      <c r="J740" s="4" t="n">
        <v>39</v>
      </c>
      <c r="K740" t="inlineStr">
        <is>
          <t>14 / 25</t>
        </is>
      </c>
      <c r="L740" t="inlineStr">
        <is>
          <t>0 / 1</t>
        </is>
      </c>
      <c r="M740" s="5" t="n">
        <v>0.36</v>
      </c>
      <c r="N740" s="5" t="n">
        <v>0</v>
      </c>
    </row>
    <row r="741">
      <c r="A741" t="n">
        <v>740</v>
      </c>
      <c r="B741" t="n">
        <v>2015</v>
      </c>
      <c r="C741" t="inlineStr">
        <is>
          <t>Amelia Alexei</t>
        </is>
      </c>
      <c r="D741">
        <f>HYPERLINK("https://ota.tournamentsoftware.com/player-profile/7C4A6760-7216-46E2-B5F7-A7F51935EA6B", "Link")</f>
        <v/>
      </c>
      <c r="E741" s="3" t="n">
        <v>12.6</v>
      </c>
      <c r="F741" s="4" t="n">
        <v>2</v>
      </c>
      <c r="G741" t="inlineStr">
        <is>
          <t>Ontario Tennis Association</t>
        </is>
      </c>
      <c r="H741" t="inlineStr">
        <is>
          <t>Toronto Tennis Academy</t>
        </is>
      </c>
      <c r="I741" t="n">
        <v>38.1</v>
      </c>
      <c r="J741" s="4" t="n">
        <v>95</v>
      </c>
      <c r="K741" t="inlineStr">
        <is>
          <t>63 / 32</t>
        </is>
      </c>
      <c r="L741" t="inlineStr">
        <is>
          <t>0 / 0</t>
        </is>
      </c>
      <c r="M741" s="5" t="n">
        <v>0.66</v>
      </c>
      <c r="N741" s="5" t="n">
        <v>0</v>
      </c>
    </row>
    <row r="742">
      <c r="A742" t="n">
        <v>741</v>
      </c>
      <c r="B742" t="n">
        <v>2015</v>
      </c>
      <c r="C742" t="inlineStr">
        <is>
          <t>Charlotte Huiyan Li</t>
        </is>
      </c>
      <c r="D742">
        <f>HYPERLINK("https://ota.tournamentsoftware.com/player-profile/150EC5E4-980E-4649-9619-E10B11D9BA5E", "Link")</f>
        <v/>
      </c>
      <c r="E742" s="3" t="n">
        <v>12.528</v>
      </c>
      <c r="F742" s="4" t="n">
        <v>3</v>
      </c>
      <c r="G742" t="inlineStr">
        <is>
          <t>British Columbia</t>
        </is>
      </c>
      <c r="H742" t="inlineStr">
        <is>
          <t>Tennis for Life</t>
        </is>
      </c>
      <c r="I742" t="n">
        <v>38.2</v>
      </c>
      <c r="J742" s="4" t="n">
        <v>39</v>
      </c>
      <c r="K742" t="inlineStr">
        <is>
          <t>15 / 24</t>
        </is>
      </c>
      <c r="L742" t="inlineStr">
        <is>
          <t>2 / 2</t>
        </is>
      </c>
      <c r="M742" s="5" t="n">
        <v>0.38</v>
      </c>
      <c r="N742" s="5" t="n">
        <v>0.5</v>
      </c>
    </row>
    <row r="743">
      <c r="A743" t="n">
        <v>742</v>
      </c>
      <c r="B743" t="n">
        <v>2012</v>
      </c>
      <c r="C743" t="inlineStr">
        <is>
          <t>Yulli Anne Tsang</t>
        </is>
      </c>
      <c r="D743">
        <f>HYPERLINK("https://ota.tournamentsoftware.com/player-profile/E8CCFA74-9017-45A2-B403-724A9977CD1E", "Link")</f>
        <v/>
      </c>
      <c r="E743" s="3" t="n">
        <v>12.468</v>
      </c>
      <c r="F743" s="4" t="n">
        <v>3</v>
      </c>
      <c r="G743" t="inlineStr">
        <is>
          <t>Tennis Alberta</t>
        </is>
      </c>
      <c r="H743" t="inlineStr">
        <is>
          <t>Derrick Golf &amp; Winter Club</t>
        </is>
      </c>
      <c r="I743" t="inlineStr">
        <is>
          <t>unavailable</t>
        </is>
      </c>
      <c r="J743" s="4" t="n">
        <v>24</v>
      </c>
      <c r="K743" t="inlineStr">
        <is>
          <t>8 / 16</t>
        </is>
      </c>
      <c r="L743" t="inlineStr">
        <is>
          <t>3 / 5</t>
        </is>
      </c>
      <c r="M743" s="5" t="n">
        <v>0.33</v>
      </c>
      <c r="N743" s="5" t="n">
        <v>0.38</v>
      </c>
    </row>
    <row r="744">
      <c r="A744" t="n">
        <v>743</v>
      </c>
      <c r="B744" t="n">
        <v>2013</v>
      </c>
      <c r="C744" t="inlineStr">
        <is>
          <t>Felicia Mingfei Li</t>
        </is>
      </c>
      <c r="D744">
        <f>HYPERLINK("https://ota.tournamentsoftware.com/player-profile/32F60D7D-3E57-4800-9C5C-282147021863", "Link")</f>
        <v/>
      </c>
      <c r="E744" s="3" t="n">
        <v>12.378</v>
      </c>
      <c r="F744" s="4" t="n">
        <v>3</v>
      </c>
      <c r="G744" t="inlineStr">
        <is>
          <t>Ontario Tennis Association</t>
        </is>
      </c>
      <c r="H744" t="inlineStr">
        <is>
          <t>Marilyn Redvers Tennis Club</t>
        </is>
      </c>
      <c r="I744" t="n">
        <v>40</v>
      </c>
      <c r="J744" s="4" t="n">
        <v>31</v>
      </c>
      <c r="K744" t="inlineStr">
        <is>
          <t>9 / 22</t>
        </is>
      </c>
      <c r="L744" t="inlineStr">
        <is>
          <t>0 / 2</t>
        </is>
      </c>
      <c r="M744" s="5" t="n">
        <v>0.29</v>
      </c>
      <c r="N744" s="5" t="n">
        <v>0</v>
      </c>
    </row>
    <row r="745">
      <c r="A745" t="n">
        <v>744</v>
      </c>
      <c r="B745" t="n">
        <v>2012</v>
      </c>
      <c r="C745" t="inlineStr">
        <is>
          <t>Anzhuo Yi</t>
        </is>
      </c>
      <c r="D745">
        <f>HYPERLINK("https://ota.tournamentsoftware.com/player-profile/60444867-D5FF-4226-8841-4058D520099B", "Link")</f>
        <v/>
      </c>
      <c r="E745" s="3" t="n">
        <v>12.336</v>
      </c>
      <c r="F745" s="4" t="n">
        <v>1</v>
      </c>
      <c r="G745" t="inlineStr">
        <is>
          <t>Ontario Tennis Association</t>
        </is>
      </c>
      <c r="H745" t="inlineStr">
        <is>
          <t>Premier Racquet Clubs – Mississauga</t>
        </is>
      </c>
      <c r="I745" t="n">
        <v>37.8</v>
      </c>
      <c r="J745" s="4" t="n">
        <v>8</v>
      </c>
      <c r="K745" t="inlineStr">
        <is>
          <t>2 / 6</t>
        </is>
      </c>
      <c r="L745" t="inlineStr">
        <is>
          <t>2 / 6</t>
        </is>
      </c>
      <c r="M745" s="5" t="n">
        <v>0.25</v>
      </c>
      <c r="N745" s="5" t="n">
        <v>0.25</v>
      </c>
    </row>
    <row r="746">
      <c r="A746" t="n">
        <v>745</v>
      </c>
      <c r="B746" t="n">
        <v>2014</v>
      </c>
      <c r="C746" t="inlineStr">
        <is>
          <t>kunyou Guan</t>
        </is>
      </c>
      <c r="D746">
        <f>HYPERLINK("https://ota.tournamentsoftware.com/player-profile/1F3E9C6C-8AD9-4B0B-B88C-410B372DBAF5", "Link")</f>
        <v/>
      </c>
      <c r="E746" s="3" t="n">
        <v>12.307</v>
      </c>
      <c r="F746" s="4" t="n">
        <v>4</v>
      </c>
      <c r="G746" t="inlineStr">
        <is>
          <t>Ontario Tennis Association</t>
        </is>
      </c>
      <c r="H746" t="inlineStr">
        <is>
          <t>Mayfair West Fitness &amp; Racquet Club</t>
        </is>
      </c>
      <c r="I746" t="n">
        <v>39.6</v>
      </c>
      <c r="J746" s="4" t="n">
        <v>32</v>
      </c>
      <c r="K746" t="inlineStr">
        <is>
          <t>16 / 16</t>
        </is>
      </c>
      <c r="L746" t="inlineStr">
        <is>
          <t>3 / 5</t>
        </is>
      </c>
      <c r="M746" s="5" t="n">
        <v>0.5</v>
      </c>
      <c r="N746" s="5" t="n">
        <v>0.38</v>
      </c>
    </row>
    <row r="747">
      <c r="A747" t="n">
        <v>746</v>
      </c>
      <c r="B747" t="n">
        <v>2016</v>
      </c>
      <c r="C747" t="inlineStr">
        <is>
          <t>Eiman Javaid Khan</t>
        </is>
      </c>
      <c r="D747">
        <f>HYPERLINK("https://ota.tournamentsoftware.com/player-profile/417EBA88-24AB-42AB-9421-1764C4FCA777", "Link")</f>
        <v/>
      </c>
      <c r="E747" s="3" t="n">
        <v>12</v>
      </c>
      <c r="F747" s="4" t="n">
        <v>2</v>
      </c>
      <c r="G747" t="inlineStr">
        <is>
          <t>Tennis Newfoundland &amp; Labrador</t>
        </is>
      </c>
      <c r="H747" t="inlineStr">
        <is>
          <t>Greenbelt Tennis Club</t>
        </is>
      </c>
      <c r="I747" t="inlineStr">
        <is>
          <t>unavailable</t>
        </is>
      </c>
      <c r="J747" s="4" t="n">
        <v>14</v>
      </c>
      <c r="K747" t="inlineStr">
        <is>
          <t>4 / 10</t>
        </is>
      </c>
      <c r="L747" t="inlineStr">
        <is>
          <t>3 / 6</t>
        </is>
      </c>
      <c r="M747" s="5" t="n">
        <v>0.29</v>
      </c>
      <c r="N747" s="5" t="n">
        <v>0.33</v>
      </c>
    </row>
    <row r="748">
      <c r="A748" t="n">
        <v>747</v>
      </c>
      <c r="B748" t="n">
        <v>2012</v>
      </c>
      <c r="C748" t="inlineStr">
        <is>
          <t>Belen Aldana</t>
        </is>
      </c>
      <c r="D748">
        <f>HYPERLINK("https://ota.tournamentsoftware.com/player-profile/403664F3-E594-4FFF-BEC0-1AF63F2F73E4", "Link")</f>
        <v/>
      </c>
      <c r="E748" s="3" t="n">
        <v>11.855</v>
      </c>
      <c r="F748" s="4" t="n">
        <v>4</v>
      </c>
      <c r="G748" t="inlineStr">
        <is>
          <t>Tennis Québec</t>
        </is>
      </c>
      <c r="H748" t="inlineStr">
        <is>
          <t>SANI Sport</t>
        </is>
      </c>
      <c r="I748" t="n">
        <v>40</v>
      </c>
      <c r="J748" s="4" t="n">
        <v>5</v>
      </c>
      <c r="K748" t="inlineStr">
        <is>
          <t>0 / 5</t>
        </is>
      </c>
      <c r="L748" t="inlineStr">
        <is>
          <t>0 / 5</t>
        </is>
      </c>
      <c r="M748" s="5" t="n">
        <v>0</v>
      </c>
      <c r="N748" s="5" t="n">
        <v>0</v>
      </c>
    </row>
    <row r="749">
      <c r="A749" t="n">
        <v>748</v>
      </c>
      <c r="B749" t="n">
        <v>2014</v>
      </c>
      <c r="C749" t="inlineStr">
        <is>
          <t>Kayla Caden</t>
        </is>
      </c>
      <c r="D749">
        <f>HYPERLINK("https://ota.tournamentsoftware.com/player-profile/EB31E71A-90E6-4B10-9538-33BC7B66EA6E", "Link")</f>
        <v/>
      </c>
      <c r="E749" s="3" t="n">
        <v>11.809</v>
      </c>
      <c r="F749" s="4" t="n">
        <v>3</v>
      </c>
      <c r="G749" t="inlineStr">
        <is>
          <t>Tennis Québec</t>
        </is>
      </c>
      <c r="H749" t="inlineStr">
        <is>
          <t>Club de tennis St-Lambert</t>
        </is>
      </c>
      <c r="I749" t="n">
        <v>39.4</v>
      </c>
      <c r="J749" s="4" t="n">
        <v>11</v>
      </c>
      <c r="K749" t="inlineStr">
        <is>
          <t>4 / 7</t>
        </is>
      </c>
      <c r="L749" t="inlineStr">
        <is>
          <t>2 / 3</t>
        </is>
      </c>
      <c r="M749" s="5" t="n">
        <v>0.36</v>
      </c>
      <c r="N749" s="5" t="n">
        <v>0.4</v>
      </c>
    </row>
    <row r="750">
      <c r="A750" t="n">
        <v>749</v>
      </c>
      <c r="B750" t="n">
        <v>2016</v>
      </c>
      <c r="C750" t="inlineStr">
        <is>
          <t>Yuetian Caroline Guo</t>
        </is>
      </c>
      <c r="D750">
        <f>HYPERLINK("https://ota.tournamentsoftware.com/player-profile/D9EEB088-31A0-4FD1-A91B-A82319998935", "Link")</f>
        <v/>
      </c>
      <c r="E750" s="3" t="n">
        <v>11.794</v>
      </c>
      <c r="F750" s="4" t="n">
        <v>6</v>
      </c>
      <c r="G750" t="inlineStr">
        <is>
          <t>British Columbia</t>
        </is>
      </c>
      <c r="H750" t="inlineStr">
        <is>
          <t>The Tennis Centre</t>
        </is>
      </c>
      <c r="I750" t="n">
        <v>39.9</v>
      </c>
      <c r="J750" s="4" t="n">
        <v>94</v>
      </c>
      <c r="K750" t="inlineStr">
        <is>
          <t>55 / 39</t>
        </is>
      </c>
      <c r="L750" t="inlineStr">
        <is>
          <t>25 / 13</t>
        </is>
      </c>
      <c r="M750" s="5" t="n">
        <v>0.59</v>
      </c>
      <c r="N750" s="5" t="n">
        <v>0.66</v>
      </c>
    </row>
    <row r="751">
      <c r="A751" t="n">
        <v>750</v>
      </c>
      <c r="B751" t="n">
        <v>2013</v>
      </c>
      <c r="C751" t="inlineStr">
        <is>
          <t>Lilya Youssef</t>
        </is>
      </c>
      <c r="D751">
        <f>HYPERLINK("https://ota.tournamentsoftware.com/player-profile/E4A52F0A-7400-4236-ACEF-6680D7FB1262", "Link")</f>
        <v/>
      </c>
      <c r="E751" s="3" t="n">
        <v>11.749</v>
      </c>
      <c r="F751" s="4" t="n">
        <v>1</v>
      </c>
      <c r="G751" t="inlineStr">
        <is>
          <t>Tennis Québec</t>
        </is>
      </c>
      <c r="H751" t="inlineStr">
        <is>
          <t>Tennis 13</t>
        </is>
      </c>
      <c r="I751" t="inlineStr">
        <is>
          <t>unavailable</t>
        </is>
      </c>
      <c r="J751" s="4" t="n">
        <v>7</v>
      </c>
      <c r="K751" t="inlineStr">
        <is>
          <t>3 / 4</t>
        </is>
      </c>
      <c r="L751" t="inlineStr">
        <is>
          <t>3 / 4</t>
        </is>
      </c>
      <c r="M751" s="5" t="n">
        <v>0.43</v>
      </c>
      <c r="N751" s="5" t="n">
        <v>0.43</v>
      </c>
    </row>
    <row r="752">
      <c r="A752" t="n">
        <v>751</v>
      </c>
      <c r="B752" t="n">
        <v>2012</v>
      </c>
      <c r="C752" t="inlineStr">
        <is>
          <t>Angel Wen</t>
        </is>
      </c>
      <c r="D752">
        <f>HYPERLINK("https://ota.tournamentsoftware.com/player-profile/2BF37F0F-B2BA-4533-859D-5AFB82154AAC", "Link")</f>
        <v/>
      </c>
      <c r="E752" s="3" t="n">
        <v>11.664</v>
      </c>
      <c r="F752" s="4" t="n">
        <v>1</v>
      </c>
      <c r="G752" t="inlineStr">
        <is>
          <t>Tennis Nova Scotia</t>
        </is>
      </c>
      <c r="H752" t="inlineStr">
        <is>
          <t>Atlantic Tennis Centre</t>
        </is>
      </c>
      <c r="I752" t="n">
        <v>36.7</v>
      </c>
      <c r="J752" s="4" t="n">
        <v>2</v>
      </c>
      <c r="K752" t="inlineStr">
        <is>
          <t>0 / 2</t>
        </is>
      </c>
      <c r="L752" t="inlineStr">
        <is>
          <t>0 / 0</t>
        </is>
      </c>
      <c r="M752" s="5" t="n">
        <v>0</v>
      </c>
      <c r="N752" s="5" t="n">
        <v>0</v>
      </c>
    </row>
    <row r="753">
      <c r="A753" t="n">
        <v>751</v>
      </c>
      <c r="B753" t="n">
        <v>2015</v>
      </c>
      <c r="C753" t="inlineStr">
        <is>
          <t>Isla Cowper</t>
        </is>
      </c>
      <c r="D753">
        <f>HYPERLINK("https://ota.tournamentsoftware.com/player-profile/B4F82BC2-5552-446F-89FC-C5F7C7A674B7", "Link")</f>
        <v/>
      </c>
      <c r="E753" s="3" t="n">
        <v>11.664</v>
      </c>
      <c r="F753" s="4" t="n">
        <v>3</v>
      </c>
      <c r="G753" t="inlineStr">
        <is>
          <t>Ontario Tennis Association</t>
        </is>
      </c>
      <c r="H753" t="inlineStr">
        <is>
          <t>Tam Heather Tennis Club</t>
        </is>
      </c>
      <c r="I753" t="n">
        <v>40</v>
      </c>
      <c r="J753" s="4" t="n">
        <v>60</v>
      </c>
      <c r="K753" t="inlineStr">
        <is>
          <t>27 / 33</t>
        </is>
      </c>
      <c r="L753" t="inlineStr">
        <is>
          <t>7 / 9</t>
        </is>
      </c>
      <c r="M753" s="5" t="n">
        <v>0.45</v>
      </c>
      <c r="N753" s="5" t="n">
        <v>0.44</v>
      </c>
    </row>
    <row r="754">
      <c r="A754" t="n">
        <v>753</v>
      </c>
      <c r="B754" t="n">
        <v>2013</v>
      </c>
      <c r="C754" t="inlineStr">
        <is>
          <t>Giselle Christine Lambert</t>
        </is>
      </c>
      <c r="D754">
        <f>HYPERLINK("https://ota.tournamentsoftware.com/player-profile/2E2CA1C3-86CC-418F-BF1B-9B9E4D99F292", "Link")</f>
        <v/>
      </c>
      <c r="E754" s="3" t="n">
        <v>11.48</v>
      </c>
      <c r="F754" s="4" t="n">
        <v>2</v>
      </c>
      <c r="G754" t="inlineStr">
        <is>
          <t>British Columbia</t>
        </is>
      </c>
      <c r="H754" t="inlineStr">
        <is>
          <t>Hollyburn Country Club</t>
        </is>
      </c>
      <c r="I754" t="n">
        <v>39.9</v>
      </c>
      <c r="J754" s="4" t="n">
        <v>44</v>
      </c>
      <c r="K754" t="inlineStr">
        <is>
          <t>10 / 34</t>
        </is>
      </c>
      <c r="L754" t="inlineStr">
        <is>
          <t>0 / 0</t>
        </is>
      </c>
      <c r="M754" s="5" t="n">
        <v>0.23</v>
      </c>
      <c r="N754" s="5" t="n">
        <v>0</v>
      </c>
    </row>
    <row r="755">
      <c r="A755" t="n">
        <v>754</v>
      </c>
      <c r="B755" t="n">
        <v>2016</v>
      </c>
      <c r="C755" t="inlineStr">
        <is>
          <t>Harper Whitehead</t>
        </is>
      </c>
      <c r="D755">
        <f>HYPERLINK("https://ota.tournamentsoftware.com/player-profile/11F4D113-D7D4-48BC-9EC5-3040B116C96D", "Link")</f>
        <v/>
      </c>
      <c r="E755" s="3" t="n">
        <v>11.448</v>
      </c>
      <c r="F755" s="4" t="n">
        <v>9</v>
      </c>
      <c r="G755" t="inlineStr">
        <is>
          <t>Tennis Nova Scotia</t>
        </is>
      </c>
      <c r="H755" t="inlineStr">
        <is>
          <t>Atlantic Tennis Centre</t>
        </is>
      </c>
      <c r="I755" t="n">
        <v>39.9</v>
      </c>
      <c r="J755" s="4" t="n">
        <v>76</v>
      </c>
      <c r="K755" t="inlineStr">
        <is>
          <t>34 / 42</t>
        </is>
      </c>
      <c r="L755" t="inlineStr">
        <is>
          <t>9 / 12</t>
        </is>
      </c>
      <c r="M755" s="5" t="n">
        <v>0.45</v>
      </c>
      <c r="N755" s="5" t="n">
        <v>0.43</v>
      </c>
    </row>
    <row r="756">
      <c r="A756" t="n">
        <v>754</v>
      </c>
      <c r="B756" t="n">
        <v>2015</v>
      </c>
      <c r="C756" t="inlineStr">
        <is>
          <t>Daisy Dai</t>
        </is>
      </c>
      <c r="D756">
        <f>HYPERLINK("https://ota.tournamentsoftware.com/player-profile/C64DEFB9-4BBC-4AA1-8CC8-9020440935AB", "Link")</f>
        <v/>
      </c>
      <c r="E756" s="3" t="n">
        <v>11.448</v>
      </c>
      <c r="F756" s="4" t="n">
        <v>1</v>
      </c>
      <c r="G756" t="inlineStr">
        <is>
          <t>Tennis Nova Scotia</t>
        </is>
      </c>
      <c r="H756" t="inlineStr">
        <is>
          <t>Atlantic Tennis Centre</t>
        </is>
      </c>
      <c r="I756" t="n">
        <v>37</v>
      </c>
      <c r="J756" s="4" t="n">
        <v>19</v>
      </c>
      <c r="K756" t="inlineStr">
        <is>
          <t>13 / 6</t>
        </is>
      </c>
      <c r="L756" t="inlineStr">
        <is>
          <t>1 / 1</t>
        </is>
      </c>
      <c r="M756" s="5" t="n">
        <v>0.68</v>
      </c>
      <c r="N756" s="5" t="n">
        <v>0.5</v>
      </c>
    </row>
    <row r="757">
      <c r="A757" t="n">
        <v>756</v>
      </c>
      <c r="B757" t="n">
        <v>2015</v>
      </c>
      <c r="C757" t="inlineStr">
        <is>
          <t>Cléony Le</t>
        </is>
      </c>
      <c r="D757">
        <f>HYPERLINK("https://ota.tournamentsoftware.com/player-profile/D1C4971B-CB54-436E-9303-C69424DC84AC", "Link")</f>
        <v/>
      </c>
      <c r="E757" s="3" t="n">
        <v>11.429</v>
      </c>
      <c r="F757" s="4" t="n">
        <v>1</v>
      </c>
      <c r="G757" t="inlineStr">
        <is>
          <t>Tennis Québec</t>
        </is>
      </c>
      <c r="H757" t="inlineStr">
        <is>
          <t>Centre récréatif de Repentigny / Académie Tennis Momentum</t>
        </is>
      </c>
      <c r="I757" t="n">
        <v>39.9</v>
      </c>
      <c r="J757" s="4" t="n">
        <v>32</v>
      </c>
      <c r="K757" t="inlineStr">
        <is>
          <t>15 / 17</t>
        </is>
      </c>
      <c r="L757" t="inlineStr">
        <is>
          <t>0 / 1</t>
        </is>
      </c>
      <c r="M757" s="5" t="n">
        <v>0.47</v>
      </c>
      <c r="N757" s="5" t="n">
        <v>0</v>
      </c>
    </row>
    <row r="758">
      <c r="A758" t="n">
        <v>757</v>
      </c>
      <c r="B758" t="n">
        <v>2013</v>
      </c>
      <c r="C758" t="inlineStr">
        <is>
          <t>Vasta Keshavarz</t>
        </is>
      </c>
      <c r="D758">
        <f>HYPERLINK("https://ota.tournamentsoftware.com/player-profile/601A80FC-EABC-4AF6-9B13-BEBCF22814BA", "Link")</f>
        <v/>
      </c>
      <c r="E758" s="3" t="n">
        <v>11.303</v>
      </c>
      <c r="F758" s="4" t="n">
        <v>3</v>
      </c>
      <c r="G758" t="inlineStr">
        <is>
          <t>British Columbia</t>
        </is>
      </c>
      <c r="H758" t="inlineStr">
        <is>
          <t>North Vancouver Tennis Centre</t>
        </is>
      </c>
      <c r="I758" t="inlineStr">
        <is>
          <t>unavailable</t>
        </is>
      </c>
      <c r="J758" s="4" t="n">
        <v>31</v>
      </c>
      <c r="K758" t="inlineStr">
        <is>
          <t>9 / 22</t>
        </is>
      </c>
      <c r="L758" t="inlineStr">
        <is>
          <t>1 / 15</t>
        </is>
      </c>
      <c r="M758" s="5" t="n">
        <v>0.29</v>
      </c>
      <c r="N758" s="5" t="n">
        <v>0.06</v>
      </c>
    </row>
    <row r="759">
      <c r="A759" t="n">
        <v>758</v>
      </c>
      <c r="B759" t="n">
        <v>2012</v>
      </c>
      <c r="C759" t="inlineStr">
        <is>
          <t>Charley Burgess</t>
        </is>
      </c>
      <c r="D759">
        <f>HYPERLINK("https://ota.tournamentsoftware.com/player-profile/F7818ED5-A370-4D5D-9CAE-03309F03D5FD", "Link")</f>
        <v/>
      </c>
      <c r="E759" s="3" t="n">
        <v>11.301</v>
      </c>
      <c r="F759" s="4" t="n">
        <v>3</v>
      </c>
      <c r="G759" t="inlineStr">
        <is>
          <t>Tennis Alberta</t>
        </is>
      </c>
      <c r="H759" t="inlineStr">
        <is>
          <t>The Glencoe Club</t>
        </is>
      </c>
      <c r="I759" t="inlineStr">
        <is>
          <t>unavailable</t>
        </is>
      </c>
      <c r="J759" s="4" t="n">
        <v>52</v>
      </c>
      <c r="K759" t="inlineStr">
        <is>
          <t>23 / 29</t>
        </is>
      </c>
      <c r="L759" t="inlineStr">
        <is>
          <t>0 / 0</t>
        </is>
      </c>
      <c r="M759" s="5" t="n">
        <v>0.44</v>
      </c>
      <c r="N759" s="5" t="n">
        <v>0</v>
      </c>
    </row>
    <row r="760">
      <c r="A760" t="n">
        <v>759</v>
      </c>
      <c r="B760" t="n">
        <v>2017</v>
      </c>
      <c r="C760" t="inlineStr">
        <is>
          <t>Erika ko</t>
        </is>
      </c>
      <c r="D760">
        <f>HYPERLINK("https://ota.tournamentsoftware.com/player-profile/63E3DB95-CFC7-47F5-8461-E32C50FD6342", "Link")</f>
        <v/>
      </c>
      <c r="E760" s="3" t="n">
        <v>11.16</v>
      </c>
      <c r="F760" s="4" t="n">
        <v>5</v>
      </c>
      <c r="G760" t="inlineStr">
        <is>
          <t>British Columbia</t>
        </is>
      </c>
      <c r="H760" t="inlineStr">
        <is>
          <t>Richmond Country Club</t>
        </is>
      </c>
      <c r="I760" t="n">
        <v>39.5</v>
      </c>
      <c r="J760" s="4" t="n">
        <v>133</v>
      </c>
      <c r="K760" t="inlineStr">
        <is>
          <t>60 / 73</t>
        </is>
      </c>
      <c r="L760" t="inlineStr">
        <is>
          <t>3 / 7</t>
        </is>
      </c>
      <c r="M760" s="5" t="n">
        <v>0.45</v>
      </c>
      <c r="N760" s="5" t="n">
        <v>0.3</v>
      </c>
    </row>
    <row r="761">
      <c r="A761" t="n">
        <v>760</v>
      </c>
      <c r="B761" t="n">
        <v>2016</v>
      </c>
      <c r="C761" t="inlineStr">
        <is>
          <t>Emma Hao</t>
        </is>
      </c>
      <c r="D761">
        <f>HYPERLINK("https://ota.tournamentsoftware.com/player-profile/144D222A-CD06-4355-817D-B27D5DB62B85", "Link")</f>
        <v/>
      </c>
      <c r="E761" s="3" t="n">
        <v>11.141</v>
      </c>
      <c r="F761" s="4" t="n">
        <v>3</v>
      </c>
      <c r="G761" t="inlineStr">
        <is>
          <t>Ontario Tennis Association</t>
        </is>
      </c>
      <c r="H761" t="inlineStr">
        <is>
          <t>Toronto Tennis City</t>
        </is>
      </c>
      <c r="I761" t="n">
        <v>39.4</v>
      </c>
      <c r="J761" s="4" t="n">
        <v>67</v>
      </c>
      <c r="K761" t="inlineStr">
        <is>
          <t>36 / 31</t>
        </is>
      </c>
      <c r="L761" t="inlineStr">
        <is>
          <t>16 / 7</t>
        </is>
      </c>
      <c r="M761" s="5" t="n">
        <v>0.54</v>
      </c>
      <c r="N761" s="5" t="n">
        <v>0.7</v>
      </c>
    </row>
    <row r="762">
      <c r="A762" t="n">
        <v>761</v>
      </c>
      <c r="B762" t="n">
        <v>2012</v>
      </c>
      <c r="C762" t="inlineStr">
        <is>
          <t>Jeanne Ricard</t>
        </is>
      </c>
      <c r="D762">
        <f>HYPERLINK("https://ota.tournamentsoftware.com/player-profile/0C0EC550-1536-4AE2-9886-E59F56C6C34D", "Link")</f>
        <v/>
      </c>
      <c r="E762" s="3" t="n">
        <v>10.964</v>
      </c>
      <c r="F762" s="4" t="n">
        <v>2</v>
      </c>
      <c r="G762" t="inlineStr">
        <is>
          <t>Tennis Québec</t>
        </is>
      </c>
      <c r="H762" t="inlineStr">
        <is>
          <t>Académie Tennis Momentum (club extérieur)</t>
        </is>
      </c>
      <c r="I762" t="n">
        <v>40</v>
      </c>
      <c r="J762" s="4" t="n">
        <v>44</v>
      </c>
      <c r="K762" t="inlineStr">
        <is>
          <t>19 / 25</t>
        </is>
      </c>
      <c r="L762" t="inlineStr">
        <is>
          <t>0 / 0</t>
        </is>
      </c>
      <c r="M762" s="5" t="n">
        <v>0.43</v>
      </c>
      <c r="N762" s="5" t="n">
        <v>0</v>
      </c>
    </row>
    <row r="763">
      <c r="A763" t="n">
        <v>762</v>
      </c>
      <c r="B763" t="n">
        <v>2015</v>
      </c>
      <c r="C763" t="inlineStr">
        <is>
          <t>Fabiola Antonella Sanchez Ferreyra</t>
        </is>
      </c>
      <c r="D763">
        <f>HYPERLINK("https://ota.tournamentsoftware.com/player-profile/B37A6388-D965-4303-A37E-1111875A98DF", "Link")</f>
        <v/>
      </c>
      <c r="E763" s="3" t="n">
        <v>10.873</v>
      </c>
      <c r="F763" s="4" t="n">
        <v>1</v>
      </c>
      <c r="G763" t="inlineStr">
        <is>
          <t>Tennis Québec</t>
        </is>
      </c>
      <c r="H763" t="inlineStr">
        <is>
          <t>SANI Sport</t>
        </is>
      </c>
      <c r="I763" t="n">
        <v>37.1</v>
      </c>
      <c r="J763" s="4" t="n">
        <v>12</v>
      </c>
      <c r="K763" t="inlineStr">
        <is>
          <t>7 / 5</t>
        </is>
      </c>
      <c r="L763" t="inlineStr">
        <is>
          <t>0 / 1</t>
        </is>
      </c>
      <c r="M763" s="5" t="n">
        <v>0.58</v>
      </c>
      <c r="N763" s="5" t="n">
        <v>0</v>
      </c>
    </row>
    <row r="764">
      <c r="A764" t="n">
        <v>763</v>
      </c>
      <c r="B764" t="n">
        <v>2017</v>
      </c>
      <c r="C764" t="inlineStr">
        <is>
          <t>Safiatou Ntentie Nchange</t>
        </is>
      </c>
      <c r="D764">
        <f>HYPERLINK("https://ota.tournamentsoftware.com/player-profile/5B1E15AE-3503-449A-B482-B98077F40A43", "Link")</f>
        <v/>
      </c>
      <c r="E764" s="3" t="n">
        <v>10.858</v>
      </c>
      <c r="F764" s="4" t="n">
        <v>4</v>
      </c>
      <c r="G764" t="inlineStr">
        <is>
          <t>Tennis Alberta</t>
        </is>
      </c>
      <c r="H764" t="inlineStr">
        <is>
          <t>No Club</t>
        </is>
      </c>
      <c r="I764" t="n">
        <v>40</v>
      </c>
      <c r="J764" s="4" t="n">
        <v>31</v>
      </c>
      <c r="K764" t="inlineStr">
        <is>
          <t>22 / 9</t>
        </is>
      </c>
      <c r="L764" t="inlineStr">
        <is>
          <t>18 / 8</t>
        </is>
      </c>
      <c r="M764" s="5" t="n">
        <v>0.71</v>
      </c>
      <c r="N764" s="5" t="n">
        <v>0.6899999999999999</v>
      </c>
    </row>
    <row r="765">
      <c r="A765" t="n">
        <v>764</v>
      </c>
      <c r="B765" t="n">
        <v>2012</v>
      </c>
      <c r="C765" t="inlineStr">
        <is>
          <t>Jiayi Emma Wang</t>
        </is>
      </c>
      <c r="D765">
        <f>HYPERLINK("https://ota.tournamentsoftware.com/player-profile/C6ED9D5C-83AD-4AC9-9DCE-1D21A2304573", "Link")</f>
        <v/>
      </c>
      <c r="E765" s="3" t="n">
        <v>10.8</v>
      </c>
      <c r="F765" s="4" t="n">
        <v>1</v>
      </c>
      <c r="G765" t="inlineStr">
        <is>
          <t>British Columbia</t>
        </is>
      </c>
      <c r="H765" t="inlineStr">
        <is>
          <t>No Club</t>
        </is>
      </c>
      <c r="I765" t="inlineStr">
        <is>
          <t>unavailable</t>
        </is>
      </c>
      <c r="J765" s="4" t="n">
        <v>12</v>
      </c>
      <c r="K765" t="inlineStr">
        <is>
          <t>2 / 10</t>
        </is>
      </c>
      <c r="L765" t="inlineStr">
        <is>
          <t>1 / 1</t>
        </is>
      </c>
      <c r="M765" s="5" t="n">
        <v>0.17</v>
      </c>
      <c r="N765" s="5" t="n">
        <v>0.5</v>
      </c>
    </row>
    <row r="766">
      <c r="A766" t="n">
        <v>764</v>
      </c>
      <c r="B766" t="n">
        <v>2015</v>
      </c>
      <c r="C766" t="inlineStr">
        <is>
          <t>Meera Ramanathan</t>
        </is>
      </c>
      <c r="D766">
        <f>HYPERLINK("https://ota.tournamentsoftware.com/player-profile/4BFD1C94-F572-47D9-8892-3117B37D58A1", "Link")</f>
        <v/>
      </c>
      <c r="E766" s="3" t="n">
        <v>10.8</v>
      </c>
      <c r="F766" s="4" t="n">
        <v>1</v>
      </c>
      <c r="G766" t="inlineStr">
        <is>
          <t>Ontario Tennis Association</t>
        </is>
      </c>
      <c r="H766" t="inlineStr">
        <is>
          <t>March Tennis Club</t>
        </is>
      </c>
      <c r="I766" t="n">
        <v>38.6</v>
      </c>
      <c r="J766" s="4" t="n">
        <v>2</v>
      </c>
      <c r="K766" t="inlineStr">
        <is>
          <t>1 / 1</t>
        </is>
      </c>
      <c r="L766" t="inlineStr">
        <is>
          <t>1 / 1</t>
        </is>
      </c>
      <c r="M766" s="5" t="n">
        <v>0.5</v>
      </c>
      <c r="N766" s="5" t="n">
        <v>0.5</v>
      </c>
    </row>
    <row r="767">
      <c r="A767" t="n">
        <v>764</v>
      </c>
      <c r="B767" t="n">
        <v>2015</v>
      </c>
      <c r="C767" t="inlineStr">
        <is>
          <t>Tamara Amad</t>
        </is>
      </c>
      <c r="D767">
        <f>HYPERLINK("https://ota.tournamentsoftware.com/player-profile/4DB13A7D-F9F2-45DD-AAD4-FA9987D24AC9", "Link")</f>
        <v/>
      </c>
      <c r="E767" s="3" t="n">
        <v>10.8</v>
      </c>
      <c r="F767" s="4" t="n">
        <v>1</v>
      </c>
      <c r="G767" t="inlineStr">
        <is>
          <t>Ontario Tennis Association</t>
        </is>
      </c>
      <c r="H767" t="inlineStr">
        <is>
          <t>Ontario Racquet Club</t>
        </is>
      </c>
      <c r="I767" t="inlineStr">
        <is>
          <t>unavailable</t>
        </is>
      </c>
      <c r="J767" s="4" t="n">
        <v>20</v>
      </c>
      <c r="K767" t="inlineStr">
        <is>
          <t>12 / 8</t>
        </is>
      </c>
      <c r="L767" t="inlineStr">
        <is>
          <t>3 / 3</t>
        </is>
      </c>
      <c r="M767" s="5" t="n">
        <v>0.6</v>
      </c>
      <c r="N767" s="5" t="n">
        <v>0.5</v>
      </c>
    </row>
    <row r="768">
      <c r="A768" t="n">
        <v>764</v>
      </c>
      <c r="B768" t="n">
        <v>2016</v>
      </c>
      <c r="C768" t="inlineStr">
        <is>
          <t>Stella Somerville</t>
        </is>
      </c>
      <c r="D768">
        <f>HYPERLINK("https://ota.tournamentsoftware.com/player-profile/87C92774-21A4-4A46-97F9-D656FA91A212", "Link")</f>
        <v/>
      </c>
      <c r="E768" s="3" t="n">
        <v>10.8</v>
      </c>
      <c r="F768" s="4" t="n">
        <v>3</v>
      </c>
      <c r="G768" t="inlineStr">
        <is>
          <t>Ontario Tennis Association</t>
        </is>
      </c>
      <c r="H768" t="inlineStr">
        <is>
          <t>Advantage Tennis International at Veneto</t>
        </is>
      </c>
      <c r="I768" t="n">
        <v>40</v>
      </c>
      <c r="J768" s="4" t="n">
        <v>79</v>
      </c>
      <c r="K768" t="inlineStr">
        <is>
          <t>36 / 43</t>
        </is>
      </c>
      <c r="L768" t="inlineStr">
        <is>
          <t>5 / 5</t>
        </is>
      </c>
      <c r="M768" s="5" t="n">
        <v>0.46</v>
      </c>
      <c r="N768" s="5" t="n">
        <v>0.5</v>
      </c>
    </row>
    <row r="769">
      <c r="A769" t="n">
        <v>764</v>
      </c>
      <c r="B769" t="n">
        <v>2016</v>
      </c>
      <c r="C769" t="inlineStr">
        <is>
          <t>Archini Bera</t>
        </is>
      </c>
      <c r="D769">
        <f>HYPERLINK("https://ota.tournamentsoftware.com/player-profile/6FA68B83-6E0E-4A78-81A0-6004576A8E6E", "Link")</f>
        <v/>
      </c>
      <c r="E769" s="3" t="n">
        <v>10.8</v>
      </c>
      <c r="F769" s="4" t="n">
        <v>1</v>
      </c>
      <c r="G769" t="inlineStr">
        <is>
          <t>Ontario Tennis Association</t>
        </is>
      </c>
      <c r="H769" t="inlineStr">
        <is>
          <t>Rideau Sports Centre</t>
        </is>
      </c>
      <c r="I769" t="inlineStr">
        <is>
          <t>unavailable</t>
        </is>
      </c>
      <c r="J769" s="4" t="n">
        <v>42</v>
      </c>
      <c r="K769" t="inlineStr">
        <is>
          <t>24 / 18</t>
        </is>
      </c>
      <c r="L769" t="inlineStr">
        <is>
          <t>21 / 9</t>
        </is>
      </c>
      <c r="M769" s="5" t="n">
        <v>0.57</v>
      </c>
      <c r="N769" s="5" t="n">
        <v>0.7</v>
      </c>
    </row>
    <row r="770">
      <c r="A770" t="n">
        <v>769</v>
      </c>
      <c r="B770" t="n">
        <v>2012</v>
      </c>
      <c r="C770" t="inlineStr">
        <is>
          <t>Sofia Kalchenko</t>
        </is>
      </c>
      <c r="D770">
        <f>HYPERLINK("https://ota.tournamentsoftware.com/player-profile/95371403-EC89-475C-B20A-60F935026FFA", "Link")</f>
        <v/>
      </c>
      <c r="E770" s="3" t="n">
        <v>10.627</v>
      </c>
      <c r="F770" s="4" t="n">
        <v>4</v>
      </c>
      <c r="G770" t="inlineStr">
        <is>
          <t>Tennis Alberta</t>
        </is>
      </c>
      <c r="H770" t="inlineStr">
        <is>
          <t>Aforza</t>
        </is>
      </c>
      <c r="I770" t="inlineStr">
        <is>
          <t>unavailable</t>
        </is>
      </c>
      <c r="J770" s="4" t="n">
        <v>41</v>
      </c>
      <c r="K770" t="inlineStr">
        <is>
          <t>20 / 21</t>
        </is>
      </c>
      <c r="L770" t="inlineStr">
        <is>
          <t>3 / 1</t>
        </is>
      </c>
      <c r="M770" s="5" t="n">
        <v>0.49</v>
      </c>
      <c r="N770" s="5" t="n">
        <v>0.75</v>
      </c>
    </row>
    <row r="771">
      <c r="A771" t="n">
        <v>770</v>
      </c>
      <c r="B771" t="n">
        <v>2015</v>
      </c>
      <c r="C771" t="inlineStr">
        <is>
          <t>Maggie Yang</t>
        </is>
      </c>
      <c r="D771">
        <f>HYPERLINK("https://ota.tournamentsoftware.com/player-profile/1188855E-2EBD-473C-B3CD-74B3CDDF9042", "Link")</f>
        <v/>
      </c>
      <c r="E771" s="3" t="n">
        <v>10.557</v>
      </c>
      <c r="F771" s="4" t="n">
        <v>2</v>
      </c>
      <c r="G771" t="inlineStr">
        <is>
          <t>Ontario Tennis Association</t>
        </is>
      </c>
      <c r="H771" t="inlineStr">
        <is>
          <t>Royal City Tennis Club</t>
        </is>
      </c>
      <c r="I771" t="n">
        <v>39.6</v>
      </c>
      <c r="J771" s="4" t="n">
        <v>27</v>
      </c>
      <c r="K771" t="inlineStr">
        <is>
          <t>10 / 17</t>
        </is>
      </c>
      <c r="L771" t="inlineStr">
        <is>
          <t>1 / 2</t>
        </is>
      </c>
      <c r="M771" s="5" t="n">
        <v>0.37</v>
      </c>
      <c r="N771" s="5" t="n">
        <v>0.33</v>
      </c>
    </row>
    <row r="772">
      <c r="A772" t="n">
        <v>771</v>
      </c>
      <c r="B772" t="n">
        <v>2016</v>
      </c>
      <c r="C772" t="inlineStr">
        <is>
          <t>Brielle Han</t>
        </is>
      </c>
      <c r="D772">
        <f>HYPERLINK("https://ota.tournamentsoftware.com/player-profile/76F58D78-6F14-462B-9C79-943F718FD16A", "Link")</f>
        <v/>
      </c>
      <c r="E772" s="3" t="n">
        <v>10.485</v>
      </c>
      <c r="F772" s="4" t="n">
        <v>6</v>
      </c>
      <c r="G772" t="inlineStr">
        <is>
          <t>British Columbia</t>
        </is>
      </c>
      <c r="H772" t="inlineStr">
        <is>
          <t>North Vancouver Tennis Centre</t>
        </is>
      </c>
      <c r="I772" t="inlineStr">
        <is>
          <t>unavailable</t>
        </is>
      </c>
      <c r="J772" s="4" t="n">
        <v>193</v>
      </c>
      <c r="K772" t="inlineStr">
        <is>
          <t>65 / 128</t>
        </is>
      </c>
      <c r="L772" t="inlineStr">
        <is>
          <t>17 / 16</t>
        </is>
      </c>
      <c r="M772" s="5" t="n">
        <v>0.34</v>
      </c>
      <c r="N772" s="5" t="n">
        <v>0.52</v>
      </c>
    </row>
    <row r="773">
      <c r="A773" t="n">
        <v>772</v>
      </c>
      <c r="B773" t="n">
        <v>2016</v>
      </c>
      <c r="C773" t="inlineStr">
        <is>
          <t>Madison Prsa</t>
        </is>
      </c>
      <c r="D773">
        <f>HYPERLINK("https://ota.tournamentsoftware.com/player-profile/E90BB9E9-F58B-415B-8202-1B024EFB9E36", "Link")</f>
        <v/>
      </c>
      <c r="E773" s="3" t="n">
        <v>10.368</v>
      </c>
      <c r="F773" s="4" t="n">
        <v>4</v>
      </c>
      <c r="G773" t="inlineStr">
        <is>
          <t>Ontario Tennis Association</t>
        </is>
      </c>
      <c r="H773" t="inlineStr">
        <is>
          <t>Advantage Tennis International at Veneto</t>
        </is>
      </c>
      <c r="I773" t="n">
        <v>39.5</v>
      </c>
      <c r="J773" s="4" t="n">
        <v>140</v>
      </c>
      <c r="K773" t="inlineStr">
        <is>
          <t>53 / 87</t>
        </is>
      </c>
      <c r="L773" t="inlineStr">
        <is>
          <t>12 / 19</t>
        </is>
      </c>
      <c r="M773" s="5" t="n">
        <v>0.38</v>
      </c>
      <c r="N773" s="5" t="n">
        <v>0.39</v>
      </c>
    </row>
    <row r="774">
      <c r="A774" t="n">
        <v>772</v>
      </c>
      <c r="B774" t="n">
        <v>2015</v>
      </c>
      <c r="C774" t="inlineStr">
        <is>
          <t>Emmanuelle Farah Kwin Onana</t>
        </is>
      </c>
      <c r="D774">
        <f>HYPERLINK("https://ota.tournamentsoftware.com/player-profile/7931DDBA-D7CA-40E8-97CF-DF1CA8113B24", "Link")</f>
        <v/>
      </c>
      <c r="E774" s="3" t="n">
        <v>10.368</v>
      </c>
      <c r="F774" s="4" t="n">
        <v>1</v>
      </c>
      <c r="G774" t="inlineStr">
        <is>
          <t>Tennis Québec</t>
        </is>
      </c>
      <c r="H774" t="inlineStr">
        <is>
          <t>Club de tennis de Gatineau</t>
        </is>
      </c>
      <c r="I774" t="inlineStr">
        <is>
          <t>unavailable</t>
        </is>
      </c>
      <c r="J774" s="4" t="n">
        <v>13</v>
      </c>
      <c r="K774" t="inlineStr">
        <is>
          <t>6 / 7</t>
        </is>
      </c>
      <c r="L774" t="inlineStr">
        <is>
          <t>0 / 1</t>
        </is>
      </c>
      <c r="M774" s="5" t="n">
        <v>0.46</v>
      </c>
      <c r="N774" s="5" t="n">
        <v>0</v>
      </c>
    </row>
    <row r="775">
      <c r="A775" t="n">
        <v>772</v>
      </c>
      <c r="B775" t="n">
        <v>2016</v>
      </c>
      <c r="C775" t="inlineStr">
        <is>
          <t>Alice Trépanier</t>
        </is>
      </c>
      <c r="D775">
        <f>HYPERLINK("https://ota.tournamentsoftware.com/player-profile/005FD3B5-057F-4BFE-B6D1-1D3CC87FBA27", "Link")</f>
        <v/>
      </c>
      <c r="E775" s="3" t="n">
        <v>10.368</v>
      </c>
      <c r="F775" s="4" t="n">
        <v>1</v>
      </c>
      <c r="G775" t="inlineStr">
        <is>
          <t>Tennis Québec</t>
        </is>
      </c>
      <c r="H775" t="inlineStr">
        <is>
          <t>Centre Récréatif Rock Forest</t>
        </is>
      </c>
      <c r="I775" t="inlineStr">
        <is>
          <t>unavailable</t>
        </is>
      </c>
      <c r="J775" s="4" t="n">
        <v>28</v>
      </c>
      <c r="K775" t="inlineStr">
        <is>
          <t>13 / 15</t>
        </is>
      </c>
      <c r="L775" t="inlineStr">
        <is>
          <t>9 / 7</t>
        </is>
      </c>
      <c r="M775" s="5" t="n">
        <v>0.46</v>
      </c>
      <c r="N775" s="5" t="n">
        <v>0.5600000000000001</v>
      </c>
    </row>
    <row r="776">
      <c r="A776" t="n">
        <v>772</v>
      </c>
      <c r="B776" t="n">
        <v>2015</v>
      </c>
      <c r="C776" t="inlineStr">
        <is>
          <t>Charlotte Harvey</t>
        </is>
      </c>
      <c r="D776">
        <f>HYPERLINK("https://ota.tournamentsoftware.com/player-profile/222A5F1C-DAD0-4E2A-B035-6A15561C1E0A", "Link")</f>
        <v/>
      </c>
      <c r="E776" s="3" t="n">
        <v>10.368</v>
      </c>
      <c r="F776" s="4" t="n">
        <v>1</v>
      </c>
      <c r="G776" t="inlineStr">
        <is>
          <t>Tennis Québec</t>
        </is>
      </c>
      <c r="H776" t="inlineStr">
        <is>
          <t>Les Tennis de Rimouski (intérieur)</t>
        </is>
      </c>
      <c r="I776" t="n">
        <v>36.1</v>
      </c>
      <c r="J776" s="4" t="n">
        <v>8</v>
      </c>
      <c r="K776" t="inlineStr">
        <is>
          <t>5 / 3</t>
        </is>
      </c>
      <c r="L776" t="inlineStr">
        <is>
          <t>3 / 2</t>
        </is>
      </c>
      <c r="M776" s="5" t="n">
        <v>0.62</v>
      </c>
      <c r="N776" s="5" t="n">
        <v>0.6</v>
      </c>
    </row>
    <row r="777">
      <c r="A777" t="n">
        <v>772</v>
      </c>
      <c r="B777" t="n">
        <v>2015</v>
      </c>
      <c r="C777" t="inlineStr">
        <is>
          <t>ALYSSA MA</t>
        </is>
      </c>
      <c r="D777">
        <f>HYPERLINK("https://ota.tournamentsoftware.com/player-profile/7C80CDC4-31A2-4667-A2A3-AE7AD2699300", "Link")</f>
        <v/>
      </c>
      <c r="E777" s="3" t="n">
        <v>10.368</v>
      </c>
      <c r="F777" s="4" t="n">
        <v>2</v>
      </c>
      <c r="G777" t="inlineStr">
        <is>
          <t>Ontario Tennis Association</t>
        </is>
      </c>
      <c r="H777" t="inlineStr">
        <is>
          <t>Blackmore Tennis Club</t>
        </is>
      </c>
      <c r="I777" t="n">
        <v>38.1</v>
      </c>
      <c r="J777" s="4" t="n">
        <v>13</v>
      </c>
      <c r="K777" t="inlineStr">
        <is>
          <t>7 / 6</t>
        </is>
      </c>
      <c r="L777" t="inlineStr">
        <is>
          <t>1 / 3</t>
        </is>
      </c>
      <c r="M777" s="5" t="n">
        <v>0.54</v>
      </c>
      <c r="N777" s="5" t="n">
        <v>0.25</v>
      </c>
    </row>
    <row r="778">
      <c r="A778" t="n">
        <v>777</v>
      </c>
      <c r="B778" t="n">
        <v>2014</v>
      </c>
      <c r="C778" t="inlineStr">
        <is>
          <t>Chenxi Zhang</t>
        </is>
      </c>
      <c r="D778">
        <f>HYPERLINK("https://ota.tournamentsoftware.com/player-profile/59864E6D-09A6-4FE6-AFB0-7DB473F5A72D", "Link")</f>
        <v/>
      </c>
      <c r="E778" s="3" t="n">
        <v>10.152</v>
      </c>
      <c r="F778" s="4" t="n">
        <v>1</v>
      </c>
      <c r="G778" t="inlineStr">
        <is>
          <t>Ontario Tennis Association</t>
        </is>
      </c>
      <c r="H778" t="inlineStr">
        <is>
          <t>Kingston Racquet Centre</t>
        </is>
      </c>
      <c r="I778" t="n">
        <v>39</v>
      </c>
      <c r="J778" s="4" t="n">
        <v>3</v>
      </c>
      <c r="K778" t="inlineStr">
        <is>
          <t>1 / 2</t>
        </is>
      </c>
      <c r="L778" t="inlineStr">
        <is>
          <t>0 / 0</t>
        </is>
      </c>
      <c r="M778" s="5" t="n">
        <v>0.33</v>
      </c>
      <c r="N778" s="5" t="n">
        <v>0</v>
      </c>
    </row>
    <row r="779">
      <c r="A779" t="n">
        <v>778</v>
      </c>
      <c r="B779" t="n">
        <v>2014</v>
      </c>
      <c r="C779" t="inlineStr">
        <is>
          <t>Flore Laferrière</t>
        </is>
      </c>
      <c r="D779">
        <f>HYPERLINK("https://ota.tournamentsoftware.com/player-profile/14AB607F-E600-4113-85A8-3FA78DC9A248", "Link")</f>
        <v/>
      </c>
      <c r="E779" s="3" t="n">
        <v>10.149</v>
      </c>
      <c r="F779" s="4" t="n">
        <v>3</v>
      </c>
      <c r="G779" t="inlineStr">
        <is>
          <t>Tennis Québec</t>
        </is>
      </c>
      <c r="H779" t="inlineStr">
        <is>
          <t>Tennis 3R- l’Academie l’échange</t>
        </is>
      </c>
      <c r="I779" t="n">
        <v>40</v>
      </c>
      <c r="J779" s="4" t="n">
        <v>8</v>
      </c>
      <c r="K779" t="inlineStr">
        <is>
          <t>1 / 7</t>
        </is>
      </c>
      <c r="L779" t="inlineStr">
        <is>
          <t>0 / 3</t>
        </is>
      </c>
      <c r="M779" s="5" t="n">
        <v>0.12</v>
      </c>
      <c r="N779" s="5" t="n">
        <v>0</v>
      </c>
    </row>
    <row r="780">
      <c r="A780" t="n">
        <v>779</v>
      </c>
      <c r="B780" t="n">
        <v>2015</v>
      </c>
      <c r="C780" t="inlineStr">
        <is>
          <t>Autumn VandeCoevering</t>
        </is>
      </c>
      <c r="D780">
        <f>HYPERLINK("https://ota.tournamentsoftware.com/player-profile/1CD9DDAD-A036-4365-A97E-F88D56D4B94B", "Link")</f>
        <v/>
      </c>
      <c r="E780" s="3" t="n">
        <v>10.146</v>
      </c>
      <c r="F780" s="4" t="n">
        <v>2</v>
      </c>
      <c r="G780" t="inlineStr">
        <is>
          <t>Ontario Tennis Association</t>
        </is>
      </c>
      <c r="H780" t="inlineStr">
        <is>
          <t>Greenhills Golf Club</t>
        </is>
      </c>
      <c r="I780" t="inlineStr">
        <is>
          <t>unavailable</t>
        </is>
      </c>
      <c r="J780" s="4" t="n">
        <v>6</v>
      </c>
      <c r="K780" t="inlineStr">
        <is>
          <t>2 / 4</t>
        </is>
      </c>
      <c r="L780" t="inlineStr">
        <is>
          <t>2 / 4</t>
        </is>
      </c>
      <c r="M780" s="5" t="n">
        <v>0.33</v>
      </c>
      <c r="N780" s="5" t="n">
        <v>0.33</v>
      </c>
    </row>
    <row r="781">
      <c r="A781" t="n">
        <v>780</v>
      </c>
      <c r="B781" t="n">
        <v>2015</v>
      </c>
      <c r="C781" t="inlineStr">
        <is>
          <t>Jaelynn Lumandas</t>
        </is>
      </c>
      <c r="D781">
        <f>HYPERLINK("https://ota.tournamentsoftware.com/player-profile/586CE1E5-E974-4A42-B919-DE1FC94F6144", "Link")</f>
        <v/>
      </c>
      <c r="E781" s="3" t="n">
        <v>10.137</v>
      </c>
      <c r="F781" s="4" t="n">
        <v>3</v>
      </c>
      <c r="G781" t="inlineStr">
        <is>
          <t>Tennis Alberta</t>
        </is>
      </c>
      <c r="H781" t="inlineStr">
        <is>
          <t>Saville Community Sports Centre</t>
        </is>
      </c>
      <c r="I781" t="n">
        <v>40</v>
      </c>
      <c r="J781" s="4" t="n">
        <v>25</v>
      </c>
      <c r="K781" t="inlineStr">
        <is>
          <t>1 / 24</t>
        </is>
      </c>
      <c r="L781" t="inlineStr">
        <is>
          <t>0 / 4</t>
        </is>
      </c>
      <c r="M781" s="5" t="n">
        <v>0.04</v>
      </c>
      <c r="N781" s="5" t="n">
        <v>0</v>
      </c>
    </row>
    <row r="782">
      <c r="A782" t="n">
        <v>781</v>
      </c>
      <c r="B782" t="n">
        <v>2013</v>
      </c>
      <c r="C782" t="inlineStr">
        <is>
          <t>Addison Gilbertson</t>
        </is>
      </c>
      <c r="D782">
        <f>HYPERLINK("https://ota.tournamentsoftware.com/player-profile/C50AF072-EF16-4516-9D5D-42DF1D345F44", "Link")</f>
        <v/>
      </c>
      <c r="E782" s="3" t="n">
        <v>10.12</v>
      </c>
      <c r="F782" s="4" t="n">
        <v>4</v>
      </c>
      <c r="G782" t="inlineStr">
        <is>
          <t>Tennis Alberta</t>
        </is>
      </c>
      <c r="H782" t="inlineStr">
        <is>
          <t>Royal Glenora Club</t>
        </is>
      </c>
      <c r="I782" t="n">
        <v>39.7</v>
      </c>
      <c r="J782" s="4" t="n">
        <v>46</v>
      </c>
      <c r="K782" t="inlineStr">
        <is>
          <t>18 / 28</t>
        </is>
      </c>
      <c r="L782" t="inlineStr">
        <is>
          <t>1 / 2</t>
        </is>
      </c>
      <c r="M782" s="5" t="n">
        <v>0.39</v>
      </c>
      <c r="N782" s="5" t="n">
        <v>0.33</v>
      </c>
    </row>
    <row r="783">
      <c r="A783" t="n">
        <v>782</v>
      </c>
      <c r="B783" t="n">
        <v>2012</v>
      </c>
      <c r="C783" t="inlineStr">
        <is>
          <t>Elise Landry</t>
        </is>
      </c>
      <c r="D783">
        <f>HYPERLINK("https://ota.tournamentsoftware.com/player-profile/E61A7837-F4EB-4DDA-B26F-2D7CE7910B80", "Link")</f>
        <v/>
      </c>
      <c r="E783" s="3" t="n">
        <v>9.978999999999999</v>
      </c>
      <c r="F783" s="4" t="n">
        <v>1</v>
      </c>
      <c r="G783" t="inlineStr">
        <is>
          <t>Ontario Tennis Association</t>
        </is>
      </c>
      <c r="H783" t="inlineStr">
        <is>
          <t>Toronto Tennis City</t>
        </is>
      </c>
      <c r="I783" t="inlineStr">
        <is>
          <t>unavailable</t>
        </is>
      </c>
      <c r="J783" s="4" t="n">
        <v>5</v>
      </c>
      <c r="K783" t="inlineStr">
        <is>
          <t>4 / 1</t>
        </is>
      </c>
      <c r="L783" t="inlineStr">
        <is>
          <t>4 / 1</t>
        </is>
      </c>
      <c r="M783" s="5" t="n">
        <v>0.8</v>
      </c>
      <c r="N783" s="5" t="n">
        <v>0.8</v>
      </c>
    </row>
    <row r="784">
      <c r="A784" t="n">
        <v>783</v>
      </c>
      <c r="B784" t="n">
        <v>2012</v>
      </c>
      <c r="C784" t="inlineStr">
        <is>
          <t>Xiaoyue (Vivian) Zhang</t>
        </is>
      </c>
      <c r="D784">
        <f>HYPERLINK("https://ota.tournamentsoftware.com/player-profile/78AF63B4-51BB-4826-AFEB-269DB17B18ED", "Link")</f>
        <v/>
      </c>
      <c r="E784" s="3" t="n">
        <v>9.720000000000001</v>
      </c>
      <c r="F784" s="4" t="n">
        <v>1</v>
      </c>
      <c r="G784" t="inlineStr">
        <is>
          <t>British Columbia</t>
        </is>
      </c>
      <c r="H784" t="inlineStr">
        <is>
          <t>Coquitlam Tennis Club</t>
        </is>
      </c>
      <c r="I784" t="n">
        <v>37</v>
      </c>
      <c r="J784" s="4" t="n">
        <v>4</v>
      </c>
      <c r="K784" t="inlineStr">
        <is>
          <t>1 / 3</t>
        </is>
      </c>
      <c r="L784" t="inlineStr">
        <is>
          <t>0 / 0</t>
        </is>
      </c>
      <c r="M784" s="5" t="n">
        <v>0.25</v>
      </c>
      <c r="N784" s="5" t="n">
        <v>0</v>
      </c>
    </row>
    <row r="785">
      <c r="A785" t="n">
        <v>784</v>
      </c>
      <c r="B785" t="n">
        <v>2013</v>
      </c>
      <c r="C785" t="inlineStr">
        <is>
          <t>Anastasia Gorceac</t>
        </is>
      </c>
      <c r="D785">
        <f>HYPERLINK("https://ota.tournamentsoftware.com/player-profile/34DB6E68-DC2D-46A3-9FCF-82A58A1EDBE3", "Link")</f>
        <v/>
      </c>
      <c r="E785" s="3" t="n">
        <v>9.612</v>
      </c>
      <c r="F785" s="4" t="n">
        <v>2</v>
      </c>
      <c r="G785" t="inlineStr">
        <is>
          <t>Tennis Québec</t>
        </is>
      </c>
      <c r="H785" t="inlineStr">
        <is>
          <t>No Club</t>
        </is>
      </c>
      <c r="I785" t="n">
        <v>40</v>
      </c>
      <c r="J785" s="4" t="n">
        <v>8</v>
      </c>
      <c r="K785" t="inlineStr">
        <is>
          <t>4 / 4</t>
        </is>
      </c>
      <c r="L785" t="inlineStr">
        <is>
          <t>0 / 0</t>
        </is>
      </c>
      <c r="M785" s="5" t="n">
        <v>0.5</v>
      </c>
      <c r="N785" s="5" t="n">
        <v>0</v>
      </c>
    </row>
    <row r="786">
      <c r="A786" t="n">
        <v>785</v>
      </c>
      <c r="B786" t="n">
        <v>2015</v>
      </c>
      <c r="C786" t="inlineStr">
        <is>
          <t>Violet Rose Divell</t>
        </is>
      </c>
      <c r="D786">
        <f>HYPERLINK("https://ota.tournamentsoftware.com/player-profile/264EFCE5-2D5B-4014-A1E4-CF0F958237B9", "Link")</f>
        <v/>
      </c>
      <c r="E786" s="3" t="n">
        <v>9.598000000000001</v>
      </c>
      <c r="F786" s="4" t="n">
        <v>3</v>
      </c>
      <c r="G786" t="inlineStr">
        <is>
          <t>Tennis Québec</t>
        </is>
      </c>
      <c r="H786" t="inlineStr">
        <is>
          <t>Académie de tennis UNI(T)</t>
        </is>
      </c>
      <c r="I786" t="n">
        <v>40</v>
      </c>
      <c r="J786" s="4" t="n">
        <v>6</v>
      </c>
      <c r="K786" t="inlineStr">
        <is>
          <t>1 / 5</t>
        </is>
      </c>
      <c r="L786" t="inlineStr">
        <is>
          <t>1 / 5</t>
        </is>
      </c>
      <c r="M786" s="5" t="n">
        <v>0.17</v>
      </c>
      <c r="N786" s="5" t="n">
        <v>0.17</v>
      </c>
    </row>
    <row r="787">
      <c r="A787" t="n">
        <v>786</v>
      </c>
      <c r="B787" t="n">
        <v>2012</v>
      </c>
      <c r="C787" t="inlineStr">
        <is>
          <t>Eya Louati</t>
        </is>
      </c>
      <c r="D787">
        <f>HYPERLINK("https://ota.tournamentsoftware.com/player-profile/679317D4-2CCC-4345-A8E0-4E4AB637C148", "Link")</f>
        <v/>
      </c>
      <c r="E787" s="3" t="n">
        <v>9.504</v>
      </c>
      <c r="F787" s="4" t="n">
        <v>1</v>
      </c>
      <c r="G787" t="inlineStr">
        <is>
          <t>Tennis Québec</t>
        </is>
      </c>
      <c r="H787" t="inlineStr">
        <is>
          <t>SANI Sport</t>
        </is>
      </c>
      <c r="I787" t="inlineStr">
        <is>
          <t>unavailable</t>
        </is>
      </c>
      <c r="J787" s="4" t="n">
        <v>90</v>
      </c>
      <c r="K787" t="inlineStr">
        <is>
          <t>28 / 62</t>
        </is>
      </c>
      <c r="L787" t="inlineStr">
        <is>
          <t>1 / 2</t>
        </is>
      </c>
      <c r="M787" s="5" t="n">
        <v>0.31</v>
      </c>
      <c r="N787" s="5" t="n">
        <v>0.33</v>
      </c>
    </row>
    <row r="788">
      <c r="A788" t="n">
        <v>787</v>
      </c>
      <c r="B788" t="n">
        <v>2014</v>
      </c>
      <c r="C788" t="inlineStr">
        <is>
          <t>Yuxin Bella Cao</t>
        </is>
      </c>
      <c r="D788">
        <f>HYPERLINK("https://ota.tournamentsoftware.com/player-profile/ECABBEB5-67C3-48F1-8CC6-A7628D8721E8", "Link")</f>
        <v/>
      </c>
      <c r="E788" s="3" t="n">
        <v>9.486000000000001</v>
      </c>
      <c r="F788" s="4" t="n">
        <v>2</v>
      </c>
      <c r="G788" t="inlineStr">
        <is>
          <t>Ontario Tennis Association</t>
        </is>
      </c>
      <c r="H788" t="inlineStr">
        <is>
          <t>ACE Tennis - Burlington</t>
        </is>
      </c>
      <c r="I788" t="n">
        <v>40</v>
      </c>
      <c r="J788" s="4" t="n">
        <v>36</v>
      </c>
      <c r="K788" t="inlineStr">
        <is>
          <t>10 / 26</t>
        </is>
      </c>
      <c r="L788" t="inlineStr">
        <is>
          <t>0 / 0</t>
        </is>
      </c>
      <c r="M788" s="5" t="n">
        <v>0.28</v>
      </c>
      <c r="N788" s="5" t="n">
        <v>0</v>
      </c>
    </row>
    <row r="789">
      <c r="A789" t="n">
        <v>788</v>
      </c>
      <c r="B789" t="n">
        <v>2014</v>
      </c>
      <c r="C789" t="inlineStr">
        <is>
          <t>Yingshan Zoey Chen</t>
        </is>
      </c>
      <c r="D789">
        <f>HYPERLINK("https://ota.tournamentsoftware.com/player-profile/A4F9AF2C-7FB4-474F-BA3A-0E1AB32672E3", "Link")</f>
        <v/>
      </c>
      <c r="E789" s="3" t="n">
        <v>9.414999999999999</v>
      </c>
      <c r="F789" s="4" t="n">
        <v>3</v>
      </c>
      <c r="G789" t="inlineStr">
        <is>
          <t>Ontario Tennis Association</t>
        </is>
      </c>
      <c r="H789" t="inlineStr">
        <is>
          <t>Thornhill Country Club</t>
        </is>
      </c>
      <c r="I789" t="n">
        <v>40</v>
      </c>
      <c r="J789" s="4" t="n">
        <v>24</v>
      </c>
      <c r="K789" t="inlineStr">
        <is>
          <t>5 / 19</t>
        </is>
      </c>
      <c r="L789" t="inlineStr">
        <is>
          <t>2 / 4</t>
        </is>
      </c>
      <c r="M789" s="5" t="n">
        <v>0.21</v>
      </c>
      <c r="N789" s="5" t="n">
        <v>0.33</v>
      </c>
    </row>
    <row r="790">
      <c r="A790" t="n">
        <v>789</v>
      </c>
      <c r="B790" t="n">
        <v>2014</v>
      </c>
      <c r="C790" t="inlineStr">
        <is>
          <t>Xihan Stephanie Qiu</t>
        </is>
      </c>
      <c r="D790">
        <f>HYPERLINK("https://ota.tournamentsoftware.com/player-profile/8BF8E67C-773E-44C1-A0B0-1FC7926DBFDD", "Link")</f>
        <v/>
      </c>
      <c r="E790" s="3" t="n">
        <v>9.345000000000001</v>
      </c>
      <c r="F790" s="4" t="n">
        <v>1</v>
      </c>
      <c r="G790" t="inlineStr">
        <is>
          <t>Ontario Tennis Association</t>
        </is>
      </c>
      <c r="H790" t="inlineStr">
        <is>
          <t>Zekelman Tennis Centre</t>
        </is>
      </c>
      <c r="I790" t="inlineStr">
        <is>
          <t>unavailable</t>
        </is>
      </c>
      <c r="J790" s="4" t="n">
        <v>2</v>
      </c>
      <c r="K790" t="inlineStr">
        <is>
          <t>0 / 2</t>
        </is>
      </c>
      <c r="L790" t="inlineStr">
        <is>
          <t>0 / 0</t>
        </is>
      </c>
      <c r="M790" s="5" t="n">
        <v>0</v>
      </c>
      <c r="N790" s="5" t="n">
        <v>0</v>
      </c>
    </row>
    <row r="791">
      <c r="A791" t="n">
        <v>790</v>
      </c>
      <c r="B791" t="n">
        <v>2013</v>
      </c>
      <c r="C791" t="inlineStr">
        <is>
          <t>Harper Thompson</t>
        </is>
      </c>
      <c r="D791">
        <f>HYPERLINK("https://ota.tournamentsoftware.com/player-profile/D930EA05-6917-4BB8-9AD8-DE7F29C99324", "Link")</f>
        <v/>
      </c>
      <c r="E791" s="3" t="n">
        <v>8.938000000000001</v>
      </c>
      <c r="F791" s="4" t="n">
        <v>3</v>
      </c>
      <c r="G791" t="inlineStr">
        <is>
          <t>Tennis Alberta</t>
        </is>
      </c>
      <c r="H791" t="inlineStr">
        <is>
          <t>The Glencoe Club</t>
        </is>
      </c>
      <c r="I791" t="inlineStr">
        <is>
          <t>unavailable</t>
        </is>
      </c>
      <c r="J791" s="4" t="n">
        <v>44</v>
      </c>
      <c r="K791" t="inlineStr">
        <is>
          <t>2 / 42</t>
        </is>
      </c>
      <c r="L791" t="inlineStr">
        <is>
          <t>0 / 2</t>
        </is>
      </c>
      <c r="M791" s="5" t="n">
        <v>0.05</v>
      </c>
      <c r="N791" s="5" t="n">
        <v>0</v>
      </c>
    </row>
    <row r="792">
      <c r="A792" t="n">
        <v>791</v>
      </c>
      <c r="B792" t="n">
        <v>2014</v>
      </c>
      <c r="C792" t="inlineStr">
        <is>
          <t>Avery Rose Kon</t>
        </is>
      </c>
      <c r="D792">
        <f>HYPERLINK("https://ota.tournamentsoftware.com/player-profile/3F621439-578C-4BDD-A8A2-880ECC795615", "Link")</f>
        <v/>
      </c>
      <c r="E792" s="3" t="n">
        <v>8.888</v>
      </c>
      <c r="F792" s="4" t="n">
        <v>2</v>
      </c>
      <c r="G792" t="inlineStr">
        <is>
          <t>Ontario Tennis Association</t>
        </is>
      </c>
      <c r="H792" t="inlineStr">
        <is>
          <t>Toronto Lawn Tennis Club</t>
        </is>
      </c>
      <c r="I792" t="n">
        <v>38.2</v>
      </c>
      <c r="J792" s="4" t="n">
        <v>8</v>
      </c>
      <c r="K792" t="inlineStr">
        <is>
          <t>1 / 7</t>
        </is>
      </c>
      <c r="L792" t="inlineStr">
        <is>
          <t>0 / 2</t>
        </is>
      </c>
      <c r="M792" s="5" t="n">
        <v>0.12</v>
      </c>
      <c r="N792" s="5" t="n">
        <v>0</v>
      </c>
    </row>
    <row r="793">
      <c r="A793" t="n">
        <v>792</v>
      </c>
      <c r="B793" t="n">
        <v>2014</v>
      </c>
      <c r="C793" t="inlineStr">
        <is>
          <t>Annabelle Zhao</t>
        </is>
      </c>
      <c r="D793">
        <f>HYPERLINK("https://ota.tournamentsoftware.com/player-profile/F9367D16-E3B7-41BB-810F-85E4C6371542", "Link")</f>
        <v/>
      </c>
      <c r="E793" s="3" t="n">
        <v>8.882999999999999</v>
      </c>
      <c r="F793" s="4" t="n">
        <v>3</v>
      </c>
      <c r="G793" t="inlineStr">
        <is>
          <t>British Columbia</t>
        </is>
      </c>
      <c r="H793" t="inlineStr">
        <is>
          <t>The Tennis Centre</t>
        </is>
      </c>
      <c r="I793" t="n">
        <v>40</v>
      </c>
      <c r="J793" s="4" t="n">
        <v>61</v>
      </c>
      <c r="K793" t="inlineStr">
        <is>
          <t>30 / 31</t>
        </is>
      </c>
      <c r="L793" t="inlineStr">
        <is>
          <t>10 / 8</t>
        </is>
      </c>
      <c r="M793" s="5" t="n">
        <v>0.49</v>
      </c>
      <c r="N793" s="5" t="n">
        <v>0.5600000000000001</v>
      </c>
    </row>
    <row r="794">
      <c r="A794" t="n">
        <v>793</v>
      </c>
      <c r="B794" t="n">
        <v>2013</v>
      </c>
      <c r="C794" t="inlineStr">
        <is>
          <t>Juliana Pena</t>
        </is>
      </c>
      <c r="D794">
        <f>HYPERLINK("https://ota.tournamentsoftware.com/player-profile/8F1CA811-953C-4FAC-980B-55D7FE7A6E50", "Link")</f>
        <v/>
      </c>
      <c r="E794" s="3" t="n">
        <v>8.813000000000001</v>
      </c>
      <c r="F794" s="4" t="n">
        <v>2</v>
      </c>
      <c r="G794" t="inlineStr">
        <is>
          <t>Tennis Québec</t>
        </is>
      </c>
      <c r="H794" t="inlineStr">
        <is>
          <t>Tennis Québec (région Montréal Ouest)</t>
        </is>
      </c>
      <c r="I794" t="inlineStr">
        <is>
          <t>unavailable</t>
        </is>
      </c>
      <c r="J794" s="4" t="n">
        <v>10</v>
      </c>
      <c r="K794" t="inlineStr">
        <is>
          <t>3 / 7</t>
        </is>
      </c>
      <c r="L794" t="inlineStr">
        <is>
          <t>0 / 0</t>
        </is>
      </c>
      <c r="M794" s="5" t="n">
        <v>0.3</v>
      </c>
      <c r="N794" s="5" t="n">
        <v>0</v>
      </c>
    </row>
    <row r="795">
      <c r="A795" t="n">
        <v>794</v>
      </c>
      <c r="B795" t="n">
        <v>2015</v>
      </c>
      <c r="C795" t="inlineStr">
        <is>
          <t>Chloe Brown</t>
        </is>
      </c>
      <c r="D795">
        <f>HYPERLINK("https://ota.tournamentsoftware.com/player-profile/E3B2C995-F41E-4C95-81DE-7B219EF03CBD", "Link")</f>
        <v/>
      </c>
      <c r="E795" s="3" t="n">
        <v>8.640000000000001</v>
      </c>
      <c r="F795" s="4" t="n">
        <v>4</v>
      </c>
      <c r="G795" t="inlineStr">
        <is>
          <t>British Columbia</t>
        </is>
      </c>
      <c r="H795" t="inlineStr">
        <is>
          <t>Commons Racquet Club at Predator Ridge</t>
        </is>
      </c>
      <c r="I795" t="n">
        <v>40</v>
      </c>
      <c r="J795" s="4" t="n">
        <v>25</v>
      </c>
      <c r="K795" t="inlineStr">
        <is>
          <t>10 / 15</t>
        </is>
      </c>
      <c r="L795" t="inlineStr">
        <is>
          <t>7 / 5</t>
        </is>
      </c>
      <c r="M795" s="5" t="n">
        <v>0.4</v>
      </c>
      <c r="N795" s="5" t="n">
        <v>0.58</v>
      </c>
    </row>
    <row r="796">
      <c r="A796" t="n">
        <v>794</v>
      </c>
      <c r="B796" t="n">
        <v>2014</v>
      </c>
      <c r="C796" t="inlineStr">
        <is>
          <t>Candice Cui</t>
        </is>
      </c>
      <c r="D796">
        <f>HYPERLINK("https://ota.tournamentsoftware.com/player-profile/389A79F0-4AEE-4BAD-A33E-98A21CD35738", "Link")</f>
        <v/>
      </c>
      <c r="E796" s="3" t="n">
        <v>8.640000000000001</v>
      </c>
      <c r="F796" s="4" t="n">
        <v>2</v>
      </c>
      <c r="G796" t="inlineStr">
        <is>
          <t>British Columbia</t>
        </is>
      </c>
      <c r="H796" t="inlineStr">
        <is>
          <t>Okanagan Mission Tennis Club Kelowna</t>
        </is>
      </c>
      <c r="I796" t="inlineStr">
        <is>
          <t>unavailable</t>
        </is>
      </c>
      <c r="J796" s="4" t="n">
        <v>30</v>
      </c>
      <c r="K796" t="inlineStr">
        <is>
          <t>11 / 19</t>
        </is>
      </c>
      <c r="L796" t="inlineStr">
        <is>
          <t>2 / 2</t>
        </is>
      </c>
      <c r="M796" s="5" t="n">
        <v>0.37</v>
      </c>
      <c r="N796" s="5" t="n">
        <v>0.5</v>
      </c>
    </row>
    <row r="797">
      <c r="A797" t="n">
        <v>794</v>
      </c>
      <c r="B797" t="n">
        <v>2015</v>
      </c>
      <c r="C797" t="inlineStr">
        <is>
          <t>Marissa Grisedale</t>
        </is>
      </c>
      <c r="D797">
        <f>HYPERLINK("https://ota.tournamentsoftware.com/player-profile/FACB5C24-4DB7-463B-A373-69C70E1AC8E4", "Link")</f>
        <v/>
      </c>
      <c r="E797" s="3" t="n">
        <v>8.640000000000001</v>
      </c>
      <c r="F797" s="4" t="n">
        <v>2</v>
      </c>
      <c r="G797" t="inlineStr">
        <is>
          <t>British Columbia</t>
        </is>
      </c>
      <c r="H797" t="inlineStr">
        <is>
          <t>Commons Racquet Club at Predator Ridge</t>
        </is>
      </c>
      <c r="I797" t="n">
        <v>38.7</v>
      </c>
      <c r="J797" s="4" t="n">
        <v>37</v>
      </c>
      <c r="K797" t="inlineStr">
        <is>
          <t>19 / 18</t>
        </is>
      </c>
      <c r="L797" t="inlineStr">
        <is>
          <t>2 / 3</t>
        </is>
      </c>
      <c r="M797" s="5" t="n">
        <v>0.51</v>
      </c>
      <c r="N797" s="5" t="n">
        <v>0.4</v>
      </c>
    </row>
    <row r="798">
      <c r="A798" t="n">
        <v>797</v>
      </c>
      <c r="B798" t="n">
        <v>2012</v>
      </c>
      <c r="C798" t="inlineStr">
        <is>
          <t>Ai-Ni Amelia Cheng</t>
        </is>
      </c>
      <c r="D798">
        <f>HYPERLINK("https://ota.tournamentsoftware.com/player-profile/040F8D36-CAF3-4E90-85FB-8F17F2F92E8F", "Link")</f>
        <v/>
      </c>
      <c r="E798" s="3" t="n">
        <v>8.555</v>
      </c>
      <c r="F798" s="4" t="n">
        <v>1</v>
      </c>
      <c r="G798" t="inlineStr">
        <is>
          <t>Ontario Tennis Association</t>
        </is>
      </c>
      <c r="H798" t="inlineStr">
        <is>
          <t>ON West Central No Club</t>
        </is>
      </c>
      <c r="I798" t="n">
        <v>36.9</v>
      </c>
      <c r="J798" s="4" t="n">
        <v>5</v>
      </c>
      <c r="K798" t="inlineStr">
        <is>
          <t>4 / 1</t>
        </is>
      </c>
      <c r="L798" t="inlineStr">
        <is>
          <t>0 / 0</t>
        </is>
      </c>
      <c r="M798" s="5" t="n">
        <v>0.8</v>
      </c>
      <c r="N798" s="5" t="n">
        <v>0</v>
      </c>
    </row>
    <row r="799">
      <c r="A799" t="n">
        <v>798</v>
      </c>
      <c r="B799" t="n">
        <v>2013</v>
      </c>
      <c r="C799" t="inlineStr">
        <is>
          <t>Nya Robinson</t>
        </is>
      </c>
      <c r="D799">
        <f>HYPERLINK("https://ota.tournamentsoftware.com/player-profile/FCE45E04-6DF1-4A68-89D1-ACB65286BF31", "Link")</f>
        <v/>
      </c>
      <c r="E799" s="3" t="n">
        <v>8.449999999999999</v>
      </c>
      <c r="F799" s="4" t="n">
        <v>5</v>
      </c>
      <c r="G799" t="inlineStr">
        <is>
          <t>Tennis Alberta</t>
        </is>
      </c>
      <c r="H799" t="inlineStr">
        <is>
          <t>Osten &amp; Victor Alberta Tennis Centre</t>
        </is>
      </c>
      <c r="I799" t="n">
        <v>39.9</v>
      </c>
      <c r="J799" s="4" t="n">
        <v>17</v>
      </c>
      <c r="K799" t="inlineStr">
        <is>
          <t>7 / 10</t>
        </is>
      </c>
      <c r="L799" t="inlineStr">
        <is>
          <t>2 / 1</t>
        </is>
      </c>
      <c r="M799" s="5" t="n">
        <v>0.41</v>
      </c>
      <c r="N799" s="5" t="n">
        <v>0.67</v>
      </c>
    </row>
    <row r="800">
      <c r="A800" t="n">
        <v>799</v>
      </c>
      <c r="B800" t="n">
        <v>2013</v>
      </c>
      <c r="C800" t="inlineStr">
        <is>
          <t>KIanna Jia Christianson</t>
        </is>
      </c>
      <c r="D800">
        <f>HYPERLINK("https://ota.tournamentsoftware.com/player-profile/A76E75A0-5CAF-4017-8B3C-2D69366CF0FB", "Link")</f>
        <v/>
      </c>
      <c r="E800" s="3" t="n">
        <v>8.423999999999999</v>
      </c>
      <c r="F800" s="4" t="n">
        <v>1</v>
      </c>
      <c r="G800" t="inlineStr">
        <is>
          <t>British Columbia</t>
        </is>
      </c>
      <c r="H800" t="inlineStr">
        <is>
          <t>City of Burnaby</t>
        </is>
      </c>
      <c r="I800" t="n">
        <v>40</v>
      </c>
      <c r="J800" s="4" t="n">
        <v>10</v>
      </c>
      <c r="K800" t="inlineStr">
        <is>
          <t>5 / 5</t>
        </is>
      </c>
      <c r="L800" t="inlineStr">
        <is>
          <t>2 / 3</t>
        </is>
      </c>
      <c r="M800" s="5" t="n">
        <v>0.5</v>
      </c>
      <c r="N800" s="5" t="n">
        <v>0.4</v>
      </c>
    </row>
    <row r="801">
      <c r="A801" t="n">
        <v>800</v>
      </c>
      <c r="B801" t="n">
        <v>2015</v>
      </c>
      <c r="C801" t="inlineStr">
        <is>
          <t>Mila Sofia Galvez Bourgeois-Charbonneau</t>
        </is>
      </c>
      <c r="D801">
        <f>HYPERLINK("https://ota.tournamentsoftware.com/player-profile/4F9CCD8C-A7BD-4FA0-B17A-3689BD230A0C", "Link")</f>
        <v/>
      </c>
      <c r="E801" s="3" t="n">
        <v>8.298</v>
      </c>
      <c r="F801" s="4" t="n">
        <v>2</v>
      </c>
      <c r="G801" t="inlineStr">
        <is>
          <t>Tennis Québec</t>
        </is>
      </c>
      <c r="H801" t="inlineStr">
        <is>
          <t>AA Autre club</t>
        </is>
      </c>
      <c r="I801" t="n">
        <v>39</v>
      </c>
      <c r="J801" s="4" t="n">
        <v>7</v>
      </c>
      <c r="K801" t="inlineStr">
        <is>
          <t>2 / 5</t>
        </is>
      </c>
      <c r="L801" t="inlineStr">
        <is>
          <t>2 / 2</t>
        </is>
      </c>
      <c r="M801" s="5" t="n">
        <v>0.29</v>
      </c>
      <c r="N801" s="5" t="n">
        <v>0.5</v>
      </c>
    </row>
    <row r="802">
      <c r="A802" t="n">
        <v>801</v>
      </c>
      <c r="B802" t="n">
        <v>2016</v>
      </c>
      <c r="C802" t="inlineStr">
        <is>
          <t>Scarlett Prsa</t>
        </is>
      </c>
      <c r="D802">
        <f>HYPERLINK("https://ota.tournamentsoftware.com/player-profile/CDBDFDF5-0DDE-4F1C-B33B-F163CF134B52", "Link")</f>
        <v/>
      </c>
      <c r="E802" s="3" t="n">
        <v>8.105</v>
      </c>
      <c r="F802" s="4" t="n">
        <v>4</v>
      </c>
      <c r="G802" t="inlineStr">
        <is>
          <t>Ontario Tennis Association</t>
        </is>
      </c>
      <c r="H802" t="inlineStr">
        <is>
          <t>Advantage Tennis International at Veneto</t>
        </is>
      </c>
      <c r="I802" t="n">
        <v>38.9</v>
      </c>
      <c r="J802" s="4" t="n">
        <v>136</v>
      </c>
      <c r="K802" t="inlineStr">
        <is>
          <t>52 / 84</t>
        </is>
      </c>
      <c r="L802" t="inlineStr">
        <is>
          <t>16 / 18</t>
        </is>
      </c>
      <c r="M802" s="5" t="n">
        <v>0.38</v>
      </c>
      <c r="N802" s="5" t="n">
        <v>0.47</v>
      </c>
    </row>
    <row r="803">
      <c r="A803" t="n">
        <v>802</v>
      </c>
      <c r="B803" t="n">
        <v>2015</v>
      </c>
      <c r="C803" t="inlineStr">
        <is>
          <t>Sofia Belyavskaya</t>
        </is>
      </c>
      <c r="D803">
        <f>HYPERLINK("https://ota.tournamentsoftware.com/player-profile/103C1284-54D3-4E14-8B3B-D860AD353A8C", "Link")</f>
        <v/>
      </c>
      <c r="E803" s="3" t="n">
        <v>8.045999999999999</v>
      </c>
      <c r="F803" s="4" t="n">
        <v>3</v>
      </c>
      <c r="G803" t="inlineStr">
        <is>
          <t>British Columbia</t>
        </is>
      </c>
      <c r="H803" t="inlineStr">
        <is>
          <t>The Tennis Centre</t>
        </is>
      </c>
      <c r="I803" t="n">
        <v>39.4</v>
      </c>
      <c r="J803" s="4" t="n">
        <v>88</v>
      </c>
      <c r="K803" t="inlineStr">
        <is>
          <t>35 / 53</t>
        </is>
      </c>
      <c r="L803" t="inlineStr">
        <is>
          <t>2 / 5</t>
        </is>
      </c>
      <c r="M803" s="5" t="n">
        <v>0.4</v>
      </c>
      <c r="N803" s="5" t="n">
        <v>0.29</v>
      </c>
    </row>
    <row r="804">
      <c r="A804" t="n">
        <v>803</v>
      </c>
      <c r="B804" t="n">
        <v>2013</v>
      </c>
      <c r="C804" t="inlineStr">
        <is>
          <t>Anaya Mohammed Shurrab</t>
        </is>
      </c>
      <c r="D804">
        <f>HYPERLINK("https://ota.tournamentsoftware.com/player-profile/A4BA7F79-3B20-4355-B83D-7B81774D6C97", "Link")</f>
        <v/>
      </c>
      <c r="E804" s="3" t="n">
        <v>8.01</v>
      </c>
      <c r="F804" s="4" t="n">
        <v>1</v>
      </c>
      <c r="G804" t="inlineStr">
        <is>
          <t>Ontario Tennis Association</t>
        </is>
      </c>
      <c r="H804" t="inlineStr">
        <is>
          <t>Sudbury Indoor Tennis Centre</t>
        </is>
      </c>
      <c r="I804" t="n">
        <v>37.6</v>
      </c>
      <c r="J804" s="4" t="n">
        <v>2</v>
      </c>
      <c r="K804" t="inlineStr">
        <is>
          <t>0 / 2</t>
        </is>
      </c>
      <c r="L804" t="inlineStr">
        <is>
          <t>0 / 0</t>
        </is>
      </c>
      <c r="M804" s="5" t="n">
        <v>0</v>
      </c>
      <c r="N804" s="5" t="n">
        <v>0</v>
      </c>
    </row>
    <row r="805">
      <c r="A805" t="n">
        <v>804</v>
      </c>
      <c r="B805" t="n">
        <v>2015</v>
      </c>
      <c r="C805" t="inlineStr">
        <is>
          <t>Lyskha Ann Louis</t>
        </is>
      </c>
      <c r="D805">
        <f>HYPERLINK("https://ota.tournamentsoftware.com/player-profile/E63460EF-56D0-4F3C-845C-D047E7B9C366", "Link")</f>
        <v/>
      </c>
      <c r="E805" s="3" t="n">
        <v>7.906</v>
      </c>
      <c r="F805" s="4" t="n">
        <v>2</v>
      </c>
      <c r="G805" t="inlineStr">
        <is>
          <t>Tennis Québec</t>
        </is>
      </c>
      <c r="H805" t="inlineStr">
        <is>
          <t>Tennis 13</t>
        </is>
      </c>
      <c r="I805" t="n">
        <v>35.5</v>
      </c>
      <c r="J805" s="4" t="n">
        <v>9</v>
      </c>
      <c r="K805" t="inlineStr">
        <is>
          <t>4 / 5</t>
        </is>
      </c>
      <c r="L805" t="inlineStr">
        <is>
          <t>4 / 2</t>
        </is>
      </c>
      <c r="M805" s="5" t="n">
        <v>0.44</v>
      </c>
      <c r="N805" s="5" t="n">
        <v>0.67</v>
      </c>
    </row>
    <row r="806">
      <c r="A806" t="n">
        <v>805</v>
      </c>
      <c r="B806" t="n">
        <v>2013</v>
      </c>
      <c r="C806" t="inlineStr">
        <is>
          <t>Seher Sharma</t>
        </is>
      </c>
      <c r="D806">
        <f>HYPERLINK("https://ota.tournamentsoftware.com/player-profile/383B0843-9E5F-4A01-8304-C01EA147B7A2", "Link")</f>
        <v/>
      </c>
      <c r="E806" s="3" t="n">
        <v>7.892</v>
      </c>
      <c r="F806" s="4" t="n">
        <v>1</v>
      </c>
      <c r="G806" t="inlineStr">
        <is>
          <t>Ontario Tennis Association</t>
        </is>
      </c>
      <c r="H806" t="inlineStr">
        <is>
          <t>Glendale Tennis Club</t>
        </is>
      </c>
      <c r="I806" t="inlineStr">
        <is>
          <t>unavailable</t>
        </is>
      </c>
      <c r="J806" s="4" t="n">
        <v>15</v>
      </c>
      <c r="K806" t="inlineStr">
        <is>
          <t>4 / 11</t>
        </is>
      </c>
      <c r="L806" t="inlineStr">
        <is>
          <t>0 / 2</t>
        </is>
      </c>
      <c r="M806" s="5" t="n">
        <v>0.27</v>
      </c>
      <c r="N806" s="5" t="n">
        <v>0</v>
      </c>
    </row>
    <row r="807">
      <c r="A807" t="n">
        <v>806</v>
      </c>
      <c r="B807" t="n">
        <v>2014</v>
      </c>
      <c r="C807" t="inlineStr">
        <is>
          <t>Juliette Viel</t>
        </is>
      </c>
      <c r="D807">
        <f>HYPERLINK("https://ota.tournamentsoftware.com/player-profile/3C42B108-2BA4-41D7-8AE2-19A52170601F", "Link")</f>
        <v/>
      </c>
      <c r="E807" s="3" t="n">
        <v>7.881</v>
      </c>
      <c r="F807" s="4" t="n">
        <v>2</v>
      </c>
      <c r="G807" t="inlineStr">
        <is>
          <t>Tennis Québec</t>
        </is>
      </c>
      <c r="H807" t="inlineStr">
        <is>
          <t>Club de tennis de Rivière-du-Loup</t>
        </is>
      </c>
      <c r="I807" t="n">
        <v>38.3</v>
      </c>
      <c r="J807" s="4" t="n">
        <v>20</v>
      </c>
      <c r="K807" t="inlineStr">
        <is>
          <t>8 / 12</t>
        </is>
      </c>
      <c r="L807" t="inlineStr">
        <is>
          <t>1 / 2</t>
        </is>
      </c>
      <c r="M807" s="5" t="n">
        <v>0.4</v>
      </c>
      <c r="N807" s="5" t="n">
        <v>0.33</v>
      </c>
    </row>
    <row r="808">
      <c r="A808" t="n">
        <v>807</v>
      </c>
      <c r="B808" t="n">
        <v>2016</v>
      </c>
      <c r="C808" t="inlineStr">
        <is>
          <t>Heidi Liu</t>
        </is>
      </c>
      <c r="D808">
        <f>HYPERLINK("https://ota.tournamentsoftware.com/player-profile/E3F0466B-50E4-4105-A35A-1BB6B1C1C09C", "Link")</f>
        <v/>
      </c>
      <c r="E808" s="3" t="n">
        <v>7.803</v>
      </c>
      <c r="F808" s="4" t="n">
        <v>4</v>
      </c>
      <c r="G808" t="inlineStr">
        <is>
          <t>British Columbia</t>
        </is>
      </c>
      <c r="H808" t="inlineStr">
        <is>
          <t>UBC Tennis Centre</t>
        </is>
      </c>
      <c r="I808" t="n">
        <v>40</v>
      </c>
      <c r="J808" s="4" t="n">
        <v>72</v>
      </c>
      <c r="K808" t="inlineStr">
        <is>
          <t>42 / 30</t>
        </is>
      </c>
      <c r="L808" t="inlineStr">
        <is>
          <t>19 / 17</t>
        </is>
      </c>
      <c r="M808" s="5" t="n">
        <v>0.58</v>
      </c>
      <c r="N808" s="5" t="n">
        <v>0.53</v>
      </c>
    </row>
    <row r="809">
      <c r="A809" t="n">
        <v>808</v>
      </c>
      <c r="B809" t="n">
        <v>2014</v>
      </c>
      <c r="C809" t="inlineStr">
        <is>
          <t>Gloriana Shiqi Zhang</t>
        </is>
      </c>
      <c r="D809">
        <f>HYPERLINK("https://ota.tournamentsoftware.com/player-profile/2717E828-0882-43B7-ADDB-D078FFA580CF", "Link")</f>
        <v/>
      </c>
      <c r="E809" s="3" t="n">
        <v>7.776</v>
      </c>
      <c r="F809" s="4" t="n">
        <v>2</v>
      </c>
      <c r="G809" t="inlineStr">
        <is>
          <t>British Columbia</t>
        </is>
      </c>
      <c r="H809" t="inlineStr">
        <is>
          <t>Hollyburn Country Club</t>
        </is>
      </c>
      <c r="I809" t="inlineStr">
        <is>
          <t>unavailable</t>
        </is>
      </c>
      <c r="J809" s="4" t="n">
        <v>32</v>
      </c>
      <c r="K809" t="inlineStr">
        <is>
          <t>5 / 27</t>
        </is>
      </c>
      <c r="L809" t="inlineStr">
        <is>
          <t>0 / 0</t>
        </is>
      </c>
      <c r="M809" s="5" t="n">
        <v>0.16</v>
      </c>
      <c r="N809" s="5" t="n">
        <v>0</v>
      </c>
    </row>
    <row r="810">
      <c r="A810" t="n">
        <v>809</v>
      </c>
      <c r="B810" t="n">
        <v>2015</v>
      </c>
      <c r="C810" t="inlineStr">
        <is>
          <t>Dani Banquicio</t>
        </is>
      </c>
      <c r="D810">
        <f>HYPERLINK("https://ota.tournamentsoftware.com/player-profile/46430071-90F3-4471-A44B-9BE4F31E2D72", "Link")</f>
        <v/>
      </c>
      <c r="E810" s="3" t="n">
        <v>7.652</v>
      </c>
      <c r="F810" s="4" t="n">
        <v>2</v>
      </c>
      <c r="G810" t="inlineStr">
        <is>
          <t>Tennis New Brunswick</t>
        </is>
      </c>
      <c r="H810" t="inlineStr">
        <is>
          <t>Abony Family Tennis Center</t>
        </is>
      </c>
      <c r="I810" t="n">
        <v>40</v>
      </c>
      <c r="J810" s="4" t="n">
        <v>54</v>
      </c>
      <c r="K810" t="inlineStr">
        <is>
          <t>17 / 37</t>
        </is>
      </c>
      <c r="L810" t="inlineStr">
        <is>
          <t>3 / 7</t>
        </is>
      </c>
      <c r="M810" s="5" t="n">
        <v>0.31</v>
      </c>
      <c r="N810" s="5" t="n">
        <v>0.3</v>
      </c>
    </row>
    <row r="811">
      <c r="A811" t="n">
        <v>810</v>
      </c>
      <c r="B811" t="n">
        <v>2014</v>
      </c>
      <c r="C811" t="inlineStr">
        <is>
          <t>Audrey Dionne-Chen</t>
        </is>
      </c>
      <c r="D811">
        <f>HYPERLINK("https://ota.tournamentsoftware.com/player-profile/7AE565BD-506E-4133-AA69-F89B361E38C0", "Link")</f>
        <v/>
      </c>
      <c r="E811" s="3" t="n">
        <v>7.552</v>
      </c>
      <c r="F811" s="4" t="n">
        <v>1</v>
      </c>
      <c r="G811" t="inlineStr">
        <is>
          <t>Ontario Tennis Association</t>
        </is>
      </c>
      <c r="H811" t="inlineStr">
        <is>
          <t>Rideau Sports Centre</t>
        </is>
      </c>
      <c r="I811" t="n">
        <v>39.1</v>
      </c>
      <c r="J811" s="4" t="n">
        <v>14</v>
      </c>
      <c r="K811" t="inlineStr">
        <is>
          <t>4 / 10</t>
        </is>
      </c>
      <c r="L811" t="inlineStr">
        <is>
          <t>0 / 1</t>
        </is>
      </c>
      <c r="M811" s="5" t="n">
        <v>0.29</v>
      </c>
      <c r="N811" s="5" t="n">
        <v>0</v>
      </c>
    </row>
    <row r="812">
      <c r="A812" t="n">
        <v>811</v>
      </c>
      <c r="B812" t="n">
        <v>2013</v>
      </c>
      <c r="C812" t="inlineStr">
        <is>
          <t>rafaela pena</t>
        </is>
      </c>
      <c r="D812">
        <f>HYPERLINK("https://ota.tournamentsoftware.com/player-profile/A4EAF82E-5402-4B2B-B03B-0E790D9A9F99", "Link")</f>
        <v/>
      </c>
      <c r="E812" s="3" t="n">
        <v>7.174</v>
      </c>
      <c r="F812" s="4" t="n">
        <v>2</v>
      </c>
      <c r="G812" t="inlineStr">
        <is>
          <t>Tennis Québec</t>
        </is>
      </c>
      <c r="H812" t="inlineStr">
        <is>
          <t>Tennis Québec (région Montréal Ouest)</t>
        </is>
      </c>
      <c r="I812" t="inlineStr">
        <is>
          <t>unavailable</t>
        </is>
      </c>
      <c r="J812" s="4" t="n">
        <v>10</v>
      </c>
      <c r="K812" t="inlineStr">
        <is>
          <t>4 / 6</t>
        </is>
      </c>
      <c r="L812" t="inlineStr">
        <is>
          <t>0 / 0</t>
        </is>
      </c>
      <c r="M812" s="5" t="n">
        <v>0.4</v>
      </c>
      <c r="N812" s="5" t="n">
        <v>0</v>
      </c>
    </row>
    <row r="813">
      <c r="A813" t="n">
        <v>812</v>
      </c>
      <c r="B813" t="n">
        <v>2016</v>
      </c>
      <c r="C813" t="inlineStr">
        <is>
          <t>Joud Marmash</t>
        </is>
      </c>
      <c r="D813">
        <f>HYPERLINK("https://ota.tournamentsoftware.com/player-profile/7F8FB01C-3EB1-48B9-B051-119BB01F4118", "Link")</f>
        <v/>
      </c>
      <c r="E813" s="3" t="n">
        <v>6.84</v>
      </c>
      <c r="F813" s="4" t="n">
        <v>3</v>
      </c>
      <c r="G813" t="inlineStr">
        <is>
          <t>Ontario Tennis Association</t>
        </is>
      </c>
      <c r="H813" t="inlineStr">
        <is>
          <t>Zekelman Tennis Centre</t>
        </is>
      </c>
      <c r="I813" t="n">
        <v>36.7</v>
      </c>
      <c r="J813" s="4" t="n">
        <v>12</v>
      </c>
      <c r="K813" t="inlineStr">
        <is>
          <t>4 / 8</t>
        </is>
      </c>
      <c r="L813" t="inlineStr">
        <is>
          <t>4 / 8</t>
        </is>
      </c>
      <c r="M813" s="5" t="n">
        <v>0.33</v>
      </c>
      <c r="N813" s="5" t="n">
        <v>0.33</v>
      </c>
    </row>
    <row r="814">
      <c r="A814" t="n">
        <v>812</v>
      </c>
      <c r="B814" t="n">
        <v>2017</v>
      </c>
      <c r="C814" t="inlineStr">
        <is>
          <t>Kaja Gacanin</t>
        </is>
      </c>
      <c r="D814">
        <f>HYPERLINK("https://ota.tournamentsoftware.com/player-profile/51158AF8-F463-4974-AE1F-B1924D114B2F", "Link")</f>
        <v/>
      </c>
      <c r="E814" s="3" t="n">
        <v>6.84</v>
      </c>
      <c r="F814" s="4" t="n">
        <v>2</v>
      </c>
      <c r="G814" t="inlineStr">
        <is>
          <t>Ontario Tennis Association</t>
        </is>
      </c>
      <c r="H814" t="inlineStr">
        <is>
          <t>Zekelman Tennis Centre</t>
        </is>
      </c>
      <c r="I814" t="n">
        <v>36.6</v>
      </c>
      <c r="J814" s="4" t="n">
        <v>7</v>
      </c>
      <c r="K814" t="inlineStr">
        <is>
          <t>2 / 5</t>
        </is>
      </c>
      <c r="L814" t="inlineStr">
        <is>
          <t>2 / 5</t>
        </is>
      </c>
      <c r="M814" s="5" t="n">
        <v>0.29</v>
      </c>
      <c r="N814" s="5" t="n">
        <v>0.29</v>
      </c>
    </row>
    <row r="815">
      <c r="A815" t="n">
        <v>814</v>
      </c>
      <c r="B815" t="n">
        <v>2014</v>
      </c>
      <c r="C815" t="inlineStr">
        <is>
          <t>Mantian Ellie Ni</t>
        </is>
      </c>
      <c r="D815">
        <f>HYPERLINK("https://ota.tournamentsoftware.com/player-profile/7FD8D72E-3679-4613-A482-A282508BEA32", "Link")</f>
        <v/>
      </c>
      <c r="E815" s="3" t="n">
        <v>6.607</v>
      </c>
      <c r="F815" s="4" t="n">
        <v>2</v>
      </c>
      <c r="G815" t="inlineStr">
        <is>
          <t>Ontario Tennis Association</t>
        </is>
      </c>
      <c r="H815" t="inlineStr">
        <is>
          <t>Premier Racquet Club</t>
        </is>
      </c>
      <c r="I815" t="n">
        <v>39.7</v>
      </c>
      <c r="J815" s="4" t="n">
        <v>23</v>
      </c>
      <c r="K815" t="inlineStr">
        <is>
          <t>7 / 16</t>
        </is>
      </c>
      <c r="L815" t="inlineStr">
        <is>
          <t>3 / 4</t>
        </is>
      </c>
      <c r="M815" s="5" t="n">
        <v>0.3</v>
      </c>
      <c r="N815" s="5" t="n">
        <v>0.43</v>
      </c>
    </row>
    <row r="816">
      <c r="A816" t="n">
        <v>814</v>
      </c>
      <c r="B816" t="n">
        <v>2015</v>
      </c>
      <c r="C816" t="inlineStr">
        <is>
          <t>Ruby Mika Szakacs</t>
        </is>
      </c>
      <c r="D816">
        <f>HYPERLINK("https://ota.tournamentsoftware.com/player-profile/200B8C95-20A4-4F60-90C6-7E30A84EAEA7", "Link")</f>
        <v/>
      </c>
      <c r="E816" s="3" t="n">
        <v>6.607</v>
      </c>
      <c r="F816" s="4" t="n">
        <v>2</v>
      </c>
      <c r="G816" t="inlineStr">
        <is>
          <t>Ontario Tennis Association</t>
        </is>
      </c>
      <c r="H816" t="inlineStr">
        <is>
          <t>No Club</t>
        </is>
      </c>
      <c r="I816" t="n">
        <v>40</v>
      </c>
      <c r="J816" s="4" t="n">
        <v>55</v>
      </c>
      <c r="K816" t="inlineStr">
        <is>
          <t>28 / 27</t>
        </is>
      </c>
      <c r="L816" t="inlineStr">
        <is>
          <t>0 / 4</t>
        </is>
      </c>
      <c r="M816" s="5" t="n">
        <v>0.51</v>
      </c>
      <c r="N816" s="5" t="n">
        <v>0</v>
      </c>
    </row>
    <row r="817">
      <c r="A817" t="n">
        <v>816</v>
      </c>
      <c r="B817" t="n">
        <v>2015</v>
      </c>
      <c r="C817" t="inlineStr">
        <is>
          <t>Ivana Novatus Nguma</t>
        </is>
      </c>
      <c r="D817">
        <f>HYPERLINK("https://ota.tournamentsoftware.com/player-profile/152EACD1-B447-4FFD-B45D-419526079F6E", "Link")</f>
        <v/>
      </c>
      <c r="E817" s="3" t="n">
        <v>6.6</v>
      </c>
      <c r="F817" s="4" t="n">
        <v>1</v>
      </c>
      <c r="G817" t="inlineStr">
        <is>
          <t>Tennis Alberta</t>
        </is>
      </c>
      <c r="H817" t="inlineStr">
        <is>
          <t>Mega Courts Pickleball and Tennis</t>
        </is>
      </c>
      <c r="I817" t="n">
        <v>39.6</v>
      </c>
      <c r="J817" s="4" t="n">
        <v>22</v>
      </c>
      <c r="K817" t="inlineStr">
        <is>
          <t>11 / 11</t>
        </is>
      </c>
      <c r="L817" t="inlineStr">
        <is>
          <t>7 / 3</t>
        </is>
      </c>
      <c r="M817" s="5" t="n">
        <v>0.5</v>
      </c>
      <c r="N817" s="5" t="n">
        <v>0.7</v>
      </c>
    </row>
    <row r="818">
      <c r="A818" t="n">
        <v>817</v>
      </c>
      <c r="B818" t="n">
        <v>2015</v>
      </c>
      <c r="C818" t="inlineStr">
        <is>
          <t>Olive Allen</t>
        </is>
      </c>
      <c r="D818">
        <f>HYPERLINK("https://ota.tournamentsoftware.com/player-profile/B0709DF4-F657-4BE5-870B-1467DB919D18", "Link")</f>
        <v/>
      </c>
      <c r="E818" s="3" t="n">
        <v>6.48</v>
      </c>
      <c r="F818" s="4" t="n">
        <v>2</v>
      </c>
      <c r="G818" t="inlineStr">
        <is>
          <t>British Columbia</t>
        </is>
      </c>
      <c r="H818" t="inlineStr">
        <is>
          <t>Hollyburn Country Club</t>
        </is>
      </c>
      <c r="I818" t="n">
        <v>40</v>
      </c>
      <c r="J818" s="4" t="n">
        <v>35</v>
      </c>
      <c r="K818" t="inlineStr">
        <is>
          <t>12 / 23</t>
        </is>
      </c>
      <c r="L818" t="inlineStr">
        <is>
          <t>3 / 7</t>
        </is>
      </c>
      <c r="M818" s="5" t="n">
        <v>0.34</v>
      </c>
      <c r="N818" s="5" t="n">
        <v>0.3</v>
      </c>
    </row>
    <row r="819">
      <c r="A819" t="n">
        <v>817</v>
      </c>
      <c r="B819" t="n">
        <v>2015</v>
      </c>
      <c r="C819" t="inlineStr">
        <is>
          <t>Catherine Qu</t>
        </is>
      </c>
      <c r="D819">
        <f>HYPERLINK("https://ota.tournamentsoftware.com/player-profile/6BFBAA24-1779-441C-B7FC-7EF81219D270", "Link")</f>
        <v/>
      </c>
      <c r="E819" s="3" t="n">
        <v>6.48</v>
      </c>
      <c r="F819" s="4" t="n">
        <v>1</v>
      </c>
      <c r="G819" t="inlineStr">
        <is>
          <t>Ontario Tennis Association</t>
        </is>
      </c>
      <c r="H819" t="inlineStr">
        <is>
          <t>Royal City Tennis Club</t>
        </is>
      </c>
      <c r="I819" t="n">
        <v>38</v>
      </c>
      <c r="J819" s="4" t="n">
        <v>19</v>
      </c>
      <c r="K819" t="inlineStr">
        <is>
          <t>3 / 16</t>
        </is>
      </c>
      <c r="L819" t="inlineStr">
        <is>
          <t>1 / 1</t>
        </is>
      </c>
      <c r="M819" s="5" t="n">
        <v>0.16</v>
      </c>
      <c r="N819" s="5" t="n">
        <v>0.5</v>
      </c>
    </row>
    <row r="820">
      <c r="A820" t="n">
        <v>817</v>
      </c>
      <c r="B820" t="n">
        <v>2014</v>
      </c>
      <c r="C820" t="inlineStr">
        <is>
          <t>Elina Chai</t>
        </is>
      </c>
      <c r="D820">
        <f>HYPERLINK("https://ota.tournamentsoftware.com/player-profile/93EB3F3A-118C-460C-AB18-42D8F042E5A9", "Link")</f>
        <v/>
      </c>
      <c r="E820" s="3" t="n">
        <v>6.48</v>
      </c>
      <c r="F820" s="4" t="n">
        <v>1</v>
      </c>
      <c r="G820" t="inlineStr">
        <is>
          <t>Ontario Tennis Association</t>
        </is>
      </c>
      <c r="H820" t="inlineStr">
        <is>
          <t>ACE Tennis - Toronto Tennis City</t>
        </is>
      </c>
      <c r="I820" t="n">
        <v>37.6</v>
      </c>
      <c r="J820" s="4" t="n">
        <v>6</v>
      </c>
      <c r="K820" t="inlineStr">
        <is>
          <t>4 / 2</t>
        </is>
      </c>
      <c r="L820" t="inlineStr">
        <is>
          <t>4 / 2</t>
        </is>
      </c>
      <c r="M820" s="5" t="n">
        <v>0.67</v>
      </c>
      <c r="N820" s="5" t="n">
        <v>0.67</v>
      </c>
    </row>
    <row r="821">
      <c r="A821" t="n">
        <v>817</v>
      </c>
      <c r="B821" t="n">
        <v>2014</v>
      </c>
      <c r="C821" t="inlineStr">
        <is>
          <t>Vira Beskupska</t>
        </is>
      </c>
      <c r="D821">
        <f>HYPERLINK("https://ota.tournamentsoftware.com/player-profile/116FA89C-68A6-4FE9-ADC6-34260809351C", "Link")</f>
        <v/>
      </c>
      <c r="E821" s="3" t="n">
        <v>6.48</v>
      </c>
      <c r="F821" s="4" t="n">
        <v>1</v>
      </c>
      <c r="G821" t="inlineStr">
        <is>
          <t>Ontario Tennis Association</t>
        </is>
      </c>
      <c r="H821" t="inlineStr">
        <is>
          <t>National Tennis School</t>
        </is>
      </c>
      <c r="I821" t="inlineStr">
        <is>
          <t>unavailable</t>
        </is>
      </c>
      <c r="J821" s="4" t="n">
        <v>1</v>
      </c>
      <c r="K821" t="inlineStr">
        <is>
          <t>0 / 1</t>
        </is>
      </c>
      <c r="L821" t="inlineStr">
        <is>
          <t>0 / 1</t>
        </is>
      </c>
      <c r="M821" s="5" t="n">
        <v>0</v>
      </c>
      <c r="N821" s="5" t="n">
        <v>0</v>
      </c>
    </row>
    <row r="822">
      <c r="A822" t="n">
        <v>821</v>
      </c>
      <c r="B822" t="n">
        <v>2012</v>
      </c>
      <c r="C822" t="inlineStr">
        <is>
          <t>Huiran Zhang</t>
        </is>
      </c>
      <c r="D822">
        <f>HYPERLINK("https://ota.tournamentsoftware.com/player-profile/1E917C5C-2B33-48E2-908B-A812DD532CD4", "Link")</f>
        <v/>
      </c>
      <c r="E822" s="3" t="n">
        <v>6.248</v>
      </c>
      <c r="F822" s="4" t="n">
        <v>1</v>
      </c>
      <c r="G822" t="inlineStr">
        <is>
          <t>British Columbia</t>
        </is>
      </c>
      <c r="H822" t="inlineStr">
        <is>
          <t>No Club</t>
        </is>
      </c>
      <c r="I822" t="n">
        <v>37.9</v>
      </c>
      <c r="J822" s="4" t="n">
        <v>13</v>
      </c>
      <c r="K822" t="inlineStr">
        <is>
          <t>2 / 11</t>
        </is>
      </c>
      <c r="L822" t="inlineStr">
        <is>
          <t>1 / 4</t>
        </is>
      </c>
      <c r="M822" s="5" t="n">
        <v>0.15</v>
      </c>
      <c r="N822" s="5" t="n">
        <v>0.2</v>
      </c>
    </row>
    <row r="823">
      <c r="A823" t="n">
        <v>821</v>
      </c>
      <c r="B823" t="n">
        <v>2012</v>
      </c>
      <c r="C823" t="inlineStr">
        <is>
          <t>Feiran Zhang</t>
        </is>
      </c>
      <c r="D823">
        <f>HYPERLINK("https://ota.tournamentsoftware.com/player-profile/8FFC114F-FEF3-40BF-AF97-E338D1EA4209", "Link")</f>
        <v/>
      </c>
      <c r="E823" s="3" t="n">
        <v>6.248</v>
      </c>
      <c r="F823" s="4" t="n">
        <v>1</v>
      </c>
      <c r="G823" t="inlineStr">
        <is>
          <t>British Columbia</t>
        </is>
      </c>
      <c r="H823" t="inlineStr">
        <is>
          <t>No Club</t>
        </is>
      </c>
      <c r="I823" t="n">
        <v>38.7</v>
      </c>
      <c r="J823" s="4" t="n">
        <v>14</v>
      </c>
      <c r="K823" t="inlineStr">
        <is>
          <t>5 / 9</t>
        </is>
      </c>
      <c r="L823" t="inlineStr">
        <is>
          <t>2 / 3</t>
        </is>
      </c>
      <c r="M823" s="5" t="n">
        <v>0.36</v>
      </c>
      <c r="N823" s="5" t="n">
        <v>0.4</v>
      </c>
    </row>
    <row r="824">
      <c r="A824" t="n">
        <v>823</v>
      </c>
      <c r="B824" t="n">
        <v>2015</v>
      </c>
      <c r="C824" t="inlineStr">
        <is>
          <t>Lydia Hilborn</t>
        </is>
      </c>
      <c r="D824">
        <f>HYPERLINK("https://ota.tournamentsoftware.com/player-profile/30626EFD-AB33-4307-B2FA-1CF205F3C271", "Link")</f>
        <v/>
      </c>
      <c r="E824" s="3" t="n">
        <v>6.23</v>
      </c>
      <c r="F824" s="4" t="n">
        <v>1</v>
      </c>
      <c r="G824" t="inlineStr">
        <is>
          <t>Ontario Tennis Association</t>
        </is>
      </c>
      <c r="H824" t="inlineStr">
        <is>
          <t>Cutten Fields</t>
        </is>
      </c>
      <c r="I824" t="n">
        <v>38.7</v>
      </c>
      <c r="J824" s="4" t="n">
        <v>50</v>
      </c>
      <c r="K824" t="inlineStr">
        <is>
          <t>23 / 27</t>
        </is>
      </c>
      <c r="L824" t="inlineStr">
        <is>
          <t>0 / 0</t>
        </is>
      </c>
      <c r="M824" s="5" t="n">
        <v>0.46</v>
      </c>
      <c r="N824" s="5" t="n">
        <v>0</v>
      </c>
    </row>
    <row r="825">
      <c r="A825" t="n">
        <v>824</v>
      </c>
      <c r="B825" t="n">
        <v>2016</v>
      </c>
      <c r="C825" t="inlineStr">
        <is>
          <t>Samantha Bronwyn Daniell</t>
        </is>
      </c>
      <c r="D825">
        <f>HYPERLINK("https://ota.tournamentsoftware.com/player-profile/7D796AB4-F8DD-43AD-8451-41C0A3E3949A", "Link")</f>
        <v/>
      </c>
      <c r="E825" s="3" t="n">
        <v>6.106</v>
      </c>
      <c r="F825" s="4" t="n">
        <v>4</v>
      </c>
      <c r="G825" t="inlineStr">
        <is>
          <t>British Columbia</t>
        </is>
      </c>
      <c r="H825" t="inlineStr">
        <is>
          <t>The Tennis Centre</t>
        </is>
      </c>
      <c r="I825" t="n">
        <v>39.2</v>
      </c>
      <c r="J825" s="4" t="n">
        <v>117</v>
      </c>
      <c r="K825" t="inlineStr">
        <is>
          <t>61 / 56</t>
        </is>
      </c>
      <c r="L825" t="inlineStr">
        <is>
          <t>29 / 18</t>
        </is>
      </c>
      <c r="M825" s="5" t="n">
        <v>0.52</v>
      </c>
      <c r="N825" s="5" t="n">
        <v>0.62</v>
      </c>
    </row>
    <row r="826">
      <c r="A826" t="n">
        <v>825</v>
      </c>
      <c r="B826" t="n">
        <v>2014</v>
      </c>
      <c r="C826" t="inlineStr">
        <is>
          <t>Dina Karahotzitis</t>
        </is>
      </c>
      <c r="D826">
        <f>HYPERLINK("https://ota.tournamentsoftware.com/player-profile/741C9055-B842-4064-A339-E591B8FD72C4", "Link")</f>
        <v/>
      </c>
      <c r="E826" s="3" t="n">
        <v>6</v>
      </c>
      <c r="F826" s="4" t="n">
        <v>1</v>
      </c>
      <c r="G826" t="inlineStr">
        <is>
          <t>Ontario Tennis Association</t>
        </is>
      </c>
      <c r="H826" t="inlineStr">
        <is>
          <t>Mayfair West Fitness &amp; Racquet Club</t>
        </is>
      </c>
      <c r="I826" t="n">
        <v>36.8</v>
      </c>
      <c r="J826" s="4" t="n">
        <v>19</v>
      </c>
      <c r="K826" t="inlineStr">
        <is>
          <t>0 / 19</t>
        </is>
      </c>
      <c r="L826" t="inlineStr">
        <is>
          <t>0 / 0</t>
        </is>
      </c>
      <c r="M826" s="5" t="n">
        <v>0</v>
      </c>
      <c r="N826" s="5" t="n">
        <v>0</v>
      </c>
    </row>
    <row r="827">
      <c r="A827" t="n">
        <v>825</v>
      </c>
      <c r="B827" t="n">
        <v>2015</v>
      </c>
      <c r="C827" t="inlineStr">
        <is>
          <t>Allison Zhang</t>
        </is>
      </c>
      <c r="D827">
        <f>HYPERLINK("https://ota.tournamentsoftware.com/player-profile/7EED065B-4139-4D18-B6C0-4800BB20D171", "Link")</f>
        <v/>
      </c>
      <c r="E827" s="3" t="n">
        <v>6</v>
      </c>
      <c r="F827" s="4" t="n">
        <v>1</v>
      </c>
      <c r="G827" t="inlineStr">
        <is>
          <t>Ontario Tennis Association</t>
        </is>
      </c>
      <c r="H827" t="inlineStr">
        <is>
          <t>No Club</t>
        </is>
      </c>
      <c r="I827" t="inlineStr">
        <is>
          <t>unavailable</t>
        </is>
      </c>
      <c r="J827" s="4" t="n">
        <v>23</v>
      </c>
      <c r="K827" t="inlineStr">
        <is>
          <t>4 / 19</t>
        </is>
      </c>
      <c r="L827" t="inlineStr">
        <is>
          <t>0 / 0</t>
        </is>
      </c>
      <c r="M827" s="5" t="n">
        <v>0.17</v>
      </c>
      <c r="N827" s="5" t="n">
        <v>0</v>
      </c>
    </row>
    <row r="828">
      <c r="A828" t="n">
        <v>827</v>
      </c>
      <c r="B828" t="n">
        <v>2013</v>
      </c>
      <c r="C828" t="inlineStr">
        <is>
          <t>Caroline Wang</t>
        </is>
      </c>
      <c r="D828">
        <f>HYPERLINK("https://ota.tournamentsoftware.com/player-profile/3F052198-DCE4-4852-8FA0-B0793E67B6FC", "Link")</f>
        <v/>
      </c>
      <c r="E828" s="3" t="n">
        <v>5.89</v>
      </c>
      <c r="F828" s="4" t="n">
        <v>1</v>
      </c>
      <c r="G828" t="inlineStr">
        <is>
          <t>British Columbia</t>
        </is>
      </c>
      <c r="H828" t="inlineStr">
        <is>
          <t>Richmond Country Club</t>
        </is>
      </c>
      <c r="I828" t="n">
        <v>39.4</v>
      </c>
      <c r="J828" s="4" t="n">
        <v>14</v>
      </c>
      <c r="K828" t="inlineStr">
        <is>
          <t>4 / 10</t>
        </is>
      </c>
      <c r="L828" t="inlineStr">
        <is>
          <t>4 / 10</t>
        </is>
      </c>
      <c r="M828" s="5" t="n">
        <v>0.29</v>
      </c>
      <c r="N828" s="5" t="n">
        <v>0.29</v>
      </c>
    </row>
    <row r="829">
      <c r="A829" t="n">
        <v>828</v>
      </c>
      <c r="B829" t="n">
        <v>2015</v>
      </c>
      <c r="C829" t="inlineStr">
        <is>
          <t>Vera Nino</t>
        </is>
      </c>
      <c r="D829">
        <f>HYPERLINK("https://ota.tournamentsoftware.com/player-profile/081EF9A9-B991-431D-B2FC-AC8426BD2711", "Link")</f>
        <v/>
      </c>
      <c r="E829" s="3" t="n">
        <v>5.803</v>
      </c>
      <c r="F829" s="4" t="n">
        <v>1</v>
      </c>
      <c r="G829" t="inlineStr">
        <is>
          <t>Ontario Tennis Association</t>
        </is>
      </c>
      <c r="H829" t="inlineStr">
        <is>
          <t>Zekelman Tennis Centre</t>
        </is>
      </c>
      <c r="I829" t="inlineStr">
        <is>
          <t>unavailable</t>
        </is>
      </c>
      <c r="J829" s="4" t="n">
        <v>6</v>
      </c>
      <c r="K829" t="inlineStr">
        <is>
          <t>0 / 6</t>
        </is>
      </c>
      <c r="L829" t="inlineStr">
        <is>
          <t>0 / 6</t>
        </is>
      </c>
      <c r="M829" s="5" t="n">
        <v>0</v>
      </c>
      <c r="N829" s="5" t="n">
        <v>0</v>
      </c>
    </row>
    <row r="830">
      <c r="A830" t="n">
        <v>829</v>
      </c>
      <c r="B830" t="n">
        <v>2013</v>
      </c>
      <c r="C830" t="inlineStr">
        <is>
          <t>Isabella Salum</t>
        </is>
      </c>
      <c r="D830">
        <f>HYPERLINK("https://ota.tournamentsoftware.com/player-profile/AD20BB62-5360-484E-820D-DA1E16118088", "Link")</f>
        <v/>
      </c>
      <c r="E830" s="3" t="n">
        <v>5.497</v>
      </c>
      <c r="F830" s="4" t="n">
        <v>1</v>
      </c>
      <c r="G830" t="inlineStr">
        <is>
          <t>British Columbia</t>
        </is>
      </c>
      <c r="H830" t="inlineStr">
        <is>
          <t>Bear Mountain Tennis Centre</t>
        </is>
      </c>
      <c r="I830" t="inlineStr">
        <is>
          <t>unavailable</t>
        </is>
      </c>
      <c r="J830" s="4" t="n">
        <v>23</v>
      </c>
      <c r="K830" t="inlineStr">
        <is>
          <t>6 / 17</t>
        </is>
      </c>
      <c r="L830" t="inlineStr">
        <is>
          <t>1 / 2</t>
        </is>
      </c>
      <c r="M830" s="5" t="n">
        <v>0.26</v>
      </c>
      <c r="N830" s="5" t="n">
        <v>0.33</v>
      </c>
    </row>
    <row r="831">
      <c r="A831" t="n">
        <v>830</v>
      </c>
      <c r="B831" t="n">
        <v>2013</v>
      </c>
      <c r="C831" t="inlineStr">
        <is>
          <t>Eve Bussière</t>
        </is>
      </c>
      <c r="D831">
        <f>HYPERLINK("https://ota.tournamentsoftware.com/player-profile/01D291A9-D1EC-4A34-907D-E221D9B25023", "Link")</f>
        <v/>
      </c>
      <c r="E831" s="3" t="n">
        <v>5.408</v>
      </c>
      <c r="F831" s="4" t="n">
        <v>2</v>
      </c>
      <c r="G831" t="inlineStr">
        <is>
          <t>Tennis Québec</t>
        </is>
      </c>
      <c r="H831" t="inlineStr">
        <is>
          <t>No Club</t>
        </is>
      </c>
      <c r="I831" t="inlineStr">
        <is>
          <t>unavailable</t>
        </is>
      </c>
      <c r="J831" s="4" t="n">
        <v>10</v>
      </c>
      <c r="K831" t="inlineStr">
        <is>
          <t>2 / 8</t>
        </is>
      </c>
      <c r="L831" t="inlineStr">
        <is>
          <t>0 / 0</t>
        </is>
      </c>
      <c r="M831" s="5" t="n">
        <v>0.2</v>
      </c>
      <c r="N831" s="5" t="n">
        <v>0</v>
      </c>
    </row>
    <row r="832">
      <c r="A832" t="n">
        <v>831</v>
      </c>
      <c r="B832" t="n">
        <v>2012</v>
      </c>
      <c r="C832" t="inlineStr">
        <is>
          <t>Emma Thomson</t>
        </is>
      </c>
      <c r="D832">
        <f>HYPERLINK("https://ota.tournamentsoftware.com/player-profile/EE28DE8E-EE8A-4FBB-885B-733BCB8A08C4", "Link")</f>
        <v/>
      </c>
      <c r="E832" s="3" t="n">
        <v>5.404</v>
      </c>
      <c r="F832" s="4" t="n">
        <v>3</v>
      </c>
      <c r="G832" t="inlineStr">
        <is>
          <t>Tennis Alberta</t>
        </is>
      </c>
      <c r="H832" t="inlineStr">
        <is>
          <t>Osten &amp; Victor Alberta Tennis Centre</t>
        </is>
      </c>
      <c r="I832" t="inlineStr">
        <is>
          <t>unavailable</t>
        </is>
      </c>
      <c r="J832" s="4" t="n">
        <v>6</v>
      </c>
      <c r="K832" t="inlineStr">
        <is>
          <t>1 / 5</t>
        </is>
      </c>
      <c r="L832" t="inlineStr">
        <is>
          <t>1 / 1</t>
        </is>
      </c>
      <c r="M832" s="5" t="n">
        <v>0.17</v>
      </c>
      <c r="N832" s="5" t="n">
        <v>0.5</v>
      </c>
    </row>
    <row r="833">
      <c r="A833" t="n">
        <v>832</v>
      </c>
      <c r="B833" t="n">
        <v>2014</v>
      </c>
      <c r="C833" t="inlineStr">
        <is>
          <t>Madelyn Palsat</t>
        </is>
      </c>
      <c r="D833">
        <f>HYPERLINK("https://ota.tournamentsoftware.com/player-profile/B7A28D92-CC5D-460E-A752-75C63DAB2E9F", "Link")</f>
        <v/>
      </c>
      <c r="E833" s="3" t="n">
        <v>5.314</v>
      </c>
      <c r="F833" s="4" t="n">
        <v>3</v>
      </c>
      <c r="G833" t="inlineStr">
        <is>
          <t>Tennis Alberta</t>
        </is>
      </c>
      <c r="H833" t="inlineStr">
        <is>
          <t>Royal Glenora Club</t>
        </is>
      </c>
      <c r="I833" t="n">
        <v>37.6</v>
      </c>
      <c r="J833" s="4" t="n">
        <v>8</v>
      </c>
      <c r="K833" t="inlineStr">
        <is>
          <t>3 / 5</t>
        </is>
      </c>
      <c r="L833" t="inlineStr">
        <is>
          <t>3 / 5</t>
        </is>
      </c>
      <c r="M833" s="5" t="n">
        <v>0.38</v>
      </c>
      <c r="N833" s="5" t="n">
        <v>0.38</v>
      </c>
    </row>
    <row r="834">
      <c r="A834" t="n">
        <v>832</v>
      </c>
      <c r="B834" t="n">
        <v>2014</v>
      </c>
      <c r="C834" t="inlineStr">
        <is>
          <t>Abigale Julia Dioszeghy Beatty</t>
        </is>
      </c>
      <c r="D834">
        <f>HYPERLINK("https://ota.tournamentsoftware.com/player-profile/3376BA08-B4B7-40B5-A81E-8F995772526B", "Link")</f>
        <v/>
      </c>
      <c r="E834" s="3" t="n">
        <v>5.314</v>
      </c>
      <c r="F834" s="4" t="n">
        <v>3</v>
      </c>
      <c r="G834" t="inlineStr">
        <is>
          <t>Tennis Alberta</t>
        </is>
      </c>
      <c r="H834" t="inlineStr">
        <is>
          <t>Royal Glenora Club</t>
        </is>
      </c>
      <c r="I834" t="n">
        <v>40</v>
      </c>
      <c r="J834" s="4" t="n">
        <v>8</v>
      </c>
      <c r="K834" t="inlineStr">
        <is>
          <t>3 / 5</t>
        </is>
      </c>
      <c r="L834" t="inlineStr">
        <is>
          <t>3 / 5</t>
        </is>
      </c>
      <c r="M834" s="5" t="n">
        <v>0.38</v>
      </c>
      <c r="N834" s="5" t="n">
        <v>0.38</v>
      </c>
    </row>
    <row r="835">
      <c r="A835" t="n">
        <v>834</v>
      </c>
      <c r="B835" t="n">
        <v>2014</v>
      </c>
      <c r="C835" t="inlineStr">
        <is>
          <t>Alexandra Ciacoi-Pop</t>
        </is>
      </c>
      <c r="D835">
        <f>HYPERLINK("https://ota.tournamentsoftware.com/player-profile/4F87B1A1-F52A-4C8C-8C6B-776A59CC6D03", "Link")</f>
        <v/>
      </c>
      <c r="E835" s="3" t="n">
        <v>5.125</v>
      </c>
      <c r="F835" s="4" t="n">
        <v>1</v>
      </c>
      <c r="G835" t="inlineStr">
        <is>
          <t>Ontario Tennis Association</t>
        </is>
      </c>
      <c r="H835" t="inlineStr">
        <is>
          <t>Parkway Valley Tennis Club</t>
        </is>
      </c>
      <c r="I835" t="n">
        <v>39.1</v>
      </c>
      <c r="J835" s="4" t="n">
        <v>28</v>
      </c>
      <c r="K835" t="inlineStr">
        <is>
          <t>11 / 17</t>
        </is>
      </c>
      <c r="L835" t="inlineStr">
        <is>
          <t>7 / 12</t>
        </is>
      </c>
      <c r="M835" s="5" t="n">
        <v>0.39</v>
      </c>
      <c r="N835" s="5" t="n">
        <v>0.37</v>
      </c>
    </row>
    <row r="836">
      <c r="A836" t="n">
        <v>834</v>
      </c>
      <c r="B836" t="n">
        <v>2016</v>
      </c>
      <c r="C836" t="inlineStr">
        <is>
          <t>Marusya Bakaeva</t>
        </is>
      </c>
      <c r="D836">
        <f>HYPERLINK("https://ota.tournamentsoftware.com/player-profile/B7C51186-F387-4E99-B849-E8275BB7C0E9", "Link")</f>
        <v/>
      </c>
      <c r="E836" s="3" t="n">
        <v>5.125</v>
      </c>
      <c r="F836" s="4" t="n">
        <v>1</v>
      </c>
      <c r="G836" t="inlineStr">
        <is>
          <t>Ontario Tennis Association</t>
        </is>
      </c>
      <c r="H836" t="inlineStr">
        <is>
          <t>Toronto Tennis City</t>
        </is>
      </c>
      <c r="I836" t="n">
        <v>37.2</v>
      </c>
      <c r="J836" s="4" t="n">
        <v>14</v>
      </c>
      <c r="K836" t="inlineStr">
        <is>
          <t>6 / 8</t>
        </is>
      </c>
      <c r="L836" t="inlineStr">
        <is>
          <t>3 / 4</t>
        </is>
      </c>
      <c r="M836" s="5" t="n">
        <v>0.43</v>
      </c>
      <c r="N836" s="5" t="n">
        <v>0.43</v>
      </c>
    </row>
    <row r="837">
      <c r="A837" t="n">
        <v>836</v>
      </c>
      <c r="B837" t="n">
        <v>2012</v>
      </c>
      <c r="C837" t="inlineStr">
        <is>
          <t>Frankie Hunsberger</t>
        </is>
      </c>
      <c r="D837">
        <f>HYPERLINK("https://ota.tournamentsoftware.com/player-profile/288F03A3-20CB-46BE-B35D-7428B5B7FA35", "Link")</f>
        <v/>
      </c>
      <c r="E837" s="3" t="n">
        <v>5.054</v>
      </c>
      <c r="F837" s="4" t="n">
        <v>2</v>
      </c>
      <c r="G837" t="inlineStr">
        <is>
          <t>British Columbia</t>
        </is>
      </c>
      <c r="H837" t="inlineStr">
        <is>
          <t>North Shore Winter Club</t>
        </is>
      </c>
      <c r="I837" t="n">
        <v>40</v>
      </c>
      <c r="J837" s="4" t="n">
        <v>18</v>
      </c>
      <c r="K837" t="inlineStr">
        <is>
          <t>10 / 8</t>
        </is>
      </c>
      <c r="L837" t="inlineStr">
        <is>
          <t>3 / 2</t>
        </is>
      </c>
      <c r="M837" s="5" t="n">
        <v>0.5600000000000001</v>
      </c>
      <c r="N837" s="5" t="n">
        <v>0.6</v>
      </c>
    </row>
    <row r="838">
      <c r="A838" t="n">
        <v>837</v>
      </c>
      <c r="B838" t="n">
        <v>2013</v>
      </c>
      <c r="C838" t="inlineStr">
        <is>
          <t>Barbara Li</t>
        </is>
      </c>
      <c r="D838">
        <f>HYPERLINK("https://ota.tournamentsoftware.com/player-profile/FFEAFA99-A203-4A57-A5C8-1E0592A53A81", "Link")</f>
        <v/>
      </c>
      <c r="E838" s="3" t="n">
        <v>5</v>
      </c>
      <c r="F838" s="4" t="n">
        <v>1</v>
      </c>
      <c r="G838" t="inlineStr">
        <is>
          <t>British Columbia</t>
        </is>
      </c>
      <c r="H838" t="inlineStr">
        <is>
          <t>Hollyburn Country Club</t>
        </is>
      </c>
      <c r="I838" t="n">
        <v>40</v>
      </c>
      <c r="J838" s="4" t="n">
        <v>13</v>
      </c>
      <c r="K838" t="inlineStr">
        <is>
          <t>3 / 10</t>
        </is>
      </c>
      <c r="L838" t="inlineStr">
        <is>
          <t>0 / 0</t>
        </is>
      </c>
      <c r="M838" s="5" t="n">
        <v>0.23</v>
      </c>
      <c r="N838" s="5" t="n">
        <v>0</v>
      </c>
    </row>
    <row r="839">
      <c r="A839" t="n">
        <v>837</v>
      </c>
      <c r="B839" t="n">
        <v>2014</v>
      </c>
      <c r="C839" t="inlineStr">
        <is>
          <t>Mackenzie Lee</t>
        </is>
      </c>
      <c r="D839">
        <f>HYPERLINK("https://ota.tournamentsoftware.com/player-profile/7734E749-B5B7-4067-9AE1-B5CB58EFDC1A", "Link")</f>
        <v/>
      </c>
      <c r="E839" s="3" t="n">
        <v>5</v>
      </c>
      <c r="F839" s="4" t="n">
        <v>1</v>
      </c>
      <c r="G839" t="inlineStr">
        <is>
          <t>Ontario Tennis Association</t>
        </is>
      </c>
      <c r="H839" t="inlineStr">
        <is>
          <t>Toronto Lawn Tennis Club</t>
        </is>
      </c>
      <c r="I839" t="inlineStr">
        <is>
          <t>unavailable</t>
        </is>
      </c>
      <c r="J839" s="4" t="n">
        <v>13</v>
      </c>
      <c r="K839" t="inlineStr">
        <is>
          <t>5 / 8</t>
        </is>
      </c>
      <c r="L839" t="inlineStr">
        <is>
          <t>4 / 3</t>
        </is>
      </c>
      <c r="M839" s="5" t="n">
        <v>0.38</v>
      </c>
      <c r="N839" s="5" t="n">
        <v>0.57</v>
      </c>
    </row>
    <row r="840">
      <c r="A840" t="n">
        <v>837</v>
      </c>
      <c r="B840" t="n">
        <v>2015</v>
      </c>
      <c r="C840" t="inlineStr">
        <is>
          <t>Cynthia Wang</t>
        </is>
      </c>
      <c r="D840">
        <f>HYPERLINK("https://ota.tournamentsoftware.com/player-profile/C8736B80-1071-4F4F-86B0-CA7FB630F618", "Link")</f>
        <v/>
      </c>
      <c r="E840" s="3" t="n">
        <v>5</v>
      </c>
      <c r="F840" s="4" t="n">
        <v>1</v>
      </c>
      <c r="G840" t="inlineStr">
        <is>
          <t>Ontario Tennis Association</t>
        </is>
      </c>
      <c r="H840" t="inlineStr">
        <is>
          <t>SmartVMC Racquetsports by ACE</t>
        </is>
      </c>
      <c r="I840" t="n">
        <v>38.9</v>
      </c>
      <c r="J840" s="4" t="n">
        <v>3</v>
      </c>
      <c r="K840" t="inlineStr">
        <is>
          <t>0 / 3</t>
        </is>
      </c>
      <c r="L840" t="inlineStr">
        <is>
          <t>0 / 0</t>
        </is>
      </c>
      <c r="M840" s="5" t="n">
        <v>0</v>
      </c>
      <c r="N840" s="5" t="n">
        <v>0</v>
      </c>
    </row>
    <row r="841">
      <c r="A841" t="n">
        <v>837</v>
      </c>
      <c r="B841" t="n">
        <v>2014</v>
      </c>
      <c r="C841" t="inlineStr">
        <is>
          <t>Freya Run Rutledge</t>
        </is>
      </c>
      <c r="D841">
        <f>HYPERLINK("https://ota.tournamentsoftware.com/player-profile/76B60137-7272-4F42-A455-109E20840062", "Link")</f>
        <v/>
      </c>
      <c r="E841" s="3" t="n">
        <v>5</v>
      </c>
      <c r="F841" s="4" t="n">
        <v>1</v>
      </c>
      <c r="G841" t="inlineStr">
        <is>
          <t>Ontario Tennis Association</t>
        </is>
      </c>
      <c r="H841" t="inlineStr">
        <is>
          <t>Boulevard Club</t>
        </is>
      </c>
      <c r="I841" t="n">
        <v>37.4</v>
      </c>
      <c r="J841" s="4" t="n">
        <v>14</v>
      </c>
      <c r="K841" t="inlineStr">
        <is>
          <t>0 / 14</t>
        </is>
      </c>
      <c r="L841" t="inlineStr">
        <is>
          <t>0 / 1</t>
        </is>
      </c>
      <c r="M841" s="5" t="n">
        <v>0</v>
      </c>
      <c r="N841" s="5" t="n">
        <v>0</v>
      </c>
    </row>
    <row r="842">
      <c r="A842" t="n">
        <v>841</v>
      </c>
      <c r="B842" t="n">
        <v>2015</v>
      </c>
      <c r="C842" t="inlineStr">
        <is>
          <t>Rowan Ferris</t>
        </is>
      </c>
      <c r="D842">
        <f>HYPERLINK("https://ota.tournamentsoftware.com/player-profile/48292DD6-1A8C-41C7-997E-9A5C5BD68EFF", "Link")</f>
        <v/>
      </c>
      <c r="E842" s="3" t="n">
        <v>4.966</v>
      </c>
      <c r="F842" s="4" t="n">
        <v>1</v>
      </c>
      <c r="G842" t="inlineStr">
        <is>
          <t>Tennis Alberta</t>
        </is>
      </c>
      <c r="H842" t="inlineStr">
        <is>
          <t>Medicine Hat Tennis Club</t>
        </is>
      </c>
      <c r="I842" t="n">
        <v>38.7</v>
      </c>
      <c r="J842" s="4" t="n">
        <v>8</v>
      </c>
      <c r="K842" t="inlineStr">
        <is>
          <t>2 / 6</t>
        </is>
      </c>
      <c r="L842" t="inlineStr">
        <is>
          <t>0 / 2</t>
        </is>
      </c>
      <c r="M842" s="5" t="n">
        <v>0.25</v>
      </c>
      <c r="N842" s="5" t="n">
        <v>0</v>
      </c>
    </row>
    <row r="843">
      <c r="A843" t="n">
        <v>842</v>
      </c>
      <c r="B843" t="n">
        <v>2014</v>
      </c>
      <c r="C843" t="inlineStr">
        <is>
          <t>Jylian May II Mauricio Luces</t>
        </is>
      </c>
      <c r="D843">
        <f>HYPERLINK("https://ota.tournamentsoftware.com/player-profile/EE4C1547-2DEF-4E96-BA65-F8069863F09D", "Link")</f>
        <v/>
      </c>
      <c r="E843" s="3" t="n">
        <v>4.939</v>
      </c>
      <c r="F843" s="4" t="n">
        <v>4</v>
      </c>
      <c r="G843" t="inlineStr">
        <is>
          <t>Tennis Alberta</t>
        </is>
      </c>
      <c r="H843" t="inlineStr">
        <is>
          <t>Osten &amp; Victor Alberta Tennis Centre</t>
        </is>
      </c>
      <c r="I843" t="inlineStr">
        <is>
          <t>unavailable</t>
        </is>
      </c>
      <c r="J843" s="4" t="n">
        <v>25</v>
      </c>
      <c r="K843" t="inlineStr">
        <is>
          <t>4 / 21</t>
        </is>
      </c>
      <c r="L843" t="inlineStr">
        <is>
          <t>0 / 2</t>
        </is>
      </c>
      <c r="M843" s="5" t="n">
        <v>0.16</v>
      </c>
      <c r="N843" s="5" t="n">
        <v>0</v>
      </c>
    </row>
    <row r="844">
      <c r="A844" t="n">
        <v>843</v>
      </c>
      <c r="B844" t="n">
        <v>2014</v>
      </c>
      <c r="C844" t="inlineStr">
        <is>
          <t>Alicia Januario</t>
        </is>
      </c>
      <c r="D844">
        <f>HYPERLINK("https://ota.tournamentsoftware.com/player-profile/C042725A-21A9-463F-848F-04CEA3B56FE5", "Link")</f>
        <v/>
      </c>
      <c r="E844" s="3" t="n">
        <v>4.927</v>
      </c>
      <c r="F844" s="4" t="n">
        <v>2</v>
      </c>
      <c r="G844" t="inlineStr">
        <is>
          <t>Tennis Québec</t>
        </is>
      </c>
      <c r="H844" t="inlineStr">
        <is>
          <t>No Club</t>
        </is>
      </c>
      <c r="I844" t="n">
        <v>37.4</v>
      </c>
      <c r="J844" s="4" t="n">
        <v>6</v>
      </c>
      <c r="K844" t="inlineStr">
        <is>
          <t>1 / 5</t>
        </is>
      </c>
      <c r="L844" t="inlineStr">
        <is>
          <t>1 / 5</t>
        </is>
      </c>
      <c r="M844" s="5" t="n">
        <v>0.17</v>
      </c>
      <c r="N844" s="5" t="n">
        <v>0.17</v>
      </c>
    </row>
    <row r="845">
      <c r="A845" t="n">
        <v>844</v>
      </c>
      <c r="B845" t="n">
        <v>2014</v>
      </c>
      <c r="C845" t="inlineStr">
        <is>
          <t>Emma Sun</t>
        </is>
      </c>
      <c r="D845">
        <f>HYPERLINK("https://ota.tournamentsoftware.com/player-profile/872E410F-742F-4F80-9387-6C15C73FE92E", "Link")</f>
        <v/>
      </c>
      <c r="E845" s="3" t="n">
        <v>4.806</v>
      </c>
      <c r="F845" s="4" t="n">
        <v>1</v>
      </c>
      <c r="G845" t="inlineStr">
        <is>
          <t>Ontario Tennis Association</t>
        </is>
      </c>
      <c r="H845" t="inlineStr">
        <is>
          <t>Valan Tennis Academy</t>
        </is>
      </c>
      <c r="I845" t="n">
        <v>39.8</v>
      </c>
      <c r="J845" s="4" t="n">
        <v>18</v>
      </c>
      <c r="K845" t="inlineStr">
        <is>
          <t>10 / 8</t>
        </is>
      </c>
      <c r="L845" t="inlineStr">
        <is>
          <t>1 / 1</t>
        </is>
      </c>
      <c r="M845" s="5" t="n">
        <v>0.5600000000000001</v>
      </c>
      <c r="N845" s="5" t="n">
        <v>0.5</v>
      </c>
    </row>
    <row r="846">
      <c r="A846" t="n">
        <v>844</v>
      </c>
      <c r="B846" t="n">
        <v>2013</v>
      </c>
      <c r="C846" t="inlineStr">
        <is>
          <t>Grâce-David Adzo TRAORÉ</t>
        </is>
      </c>
      <c r="D846">
        <f>HYPERLINK("https://ota.tournamentsoftware.com/player-profile/2A96F5BB-709B-450E-A0CA-0442985A8D03", "Link")</f>
        <v/>
      </c>
      <c r="E846" s="3" t="n">
        <v>4.806</v>
      </c>
      <c r="F846" s="4" t="n">
        <v>1</v>
      </c>
      <c r="G846" t="inlineStr">
        <is>
          <t>Tennis Québec</t>
        </is>
      </c>
      <c r="H846" t="inlineStr">
        <is>
          <t>QC AutreClub</t>
        </is>
      </c>
      <c r="I846" t="inlineStr">
        <is>
          <t>unavailable</t>
        </is>
      </c>
      <c r="J846" s="4" t="n">
        <v>1</v>
      </c>
      <c r="K846" t="inlineStr">
        <is>
          <t>0 / 1</t>
        </is>
      </c>
      <c r="L846" t="inlineStr">
        <is>
          <t>0 / 0</t>
        </is>
      </c>
      <c r="M846" s="5" t="n">
        <v>0</v>
      </c>
      <c r="N846" s="5" t="n">
        <v>0</v>
      </c>
    </row>
    <row r="847">
      <c r="A847" t="n">
        <v>844</v>
      </c>
      <c r="B847" t="n">
        <v>2014</v>
      </c>
      <c r="C847" t="inlineStr">
        <is>
          <t>Neiva George</t>
        </is>
      </c>
      <c r="D847">
        <f>HYPERLINK("https://ota.tournamentsoftware.com/player-profile/1A9BA311-0F1E-40A7-9341-ECED97AEEBBD", "Link")</f>
        <v/>
      </c>
      <c r="E847" s="3" t="n">
        <v>4.806</v>
      </c>
      <c r="F847" s="4" t="n">
        <v>1</v>
      </c>
      <c r="G847" t="inlineStr">
        <is>
          <t>Ontario Tennis Association</t>
        </is>
      </c>
      <c r="H847" t="inlineStr">
        <is>
          <t>Headwaters Racquet Club</t>
        </is>
      </c>
      <c r="I847" t="n">
        <v>36.3</v>
      </c>
      <c r="J847" s="4" t="n">
        <v>42</v>
      </c>
      <c r="K847" t="inlineStr">
        <is>
          <t>22 / 20</t>
        </is>
      </c>
      <c r="L847" t="inlineStr">
        <is>
          <t>6 / 2</t>
        </is>
      </c>
      <c r="M847" s="5" t="n">
        <v>0.52</v>
      </c>
      <c r="N847" s="5" t="n">
        <v>0.75</v>
      </c>
    </row>
    <row r="848">
      <c r="A848" t="n">
        <v>847</v>
      </c>
      <c r="B848" t="n">
        <v>2012</v>
      </c>
      <c r="C848" t="inlineStr">
        <is>
          <t>Katie Elizabeth Furlan</t>
        </is>
      </c>
      <c r="D848">
        <f>HYPERLINK("https://ota.tournamentsoftware.com/player-profile/CB36C2DA-0DAF-44E4-AE44-0A925ED0DFC0", "Link")</f>
        <v/>
      </c>
      <c r="E848" s="3" t="n">
        <v>4.538</v>
      </c>
      <c r="F848" s="4" t="n">
        <v>4</v>
      </c>
      <c r="G848" t="inlineStr">
        <is>
          <t>Tennis Alberta</t>
        </is>
      </c>
      <c r="H848" t="inlineStr">
        <is>
          <t>The Glencoe Club</t>
        </is>
      </c>
      <c r="I848" t="n">
        <v>40</v>
      </c>
      <c r="J848" s="4" t="n">
        <v>25</v>
      </c>
      <c r="K848" t="inlineStr">
        <is>
          <t>6 / 19</t>
        </is>
      </c>
      <c r="L848" t="inlineStr">
        <is>
          <t>0 / 2</t>
        </is>
      </c>
      <c r="M848" s="5" t="n">
        <v>0.24</v>
      </c>
      <c r="N848" s="5" t="n">
        <v>0</v>
      </c>
    </row>
    <row r="849">
      <c r="A849" t="n">
        <v>848</v>
      </c>
      <c r="B849" t="n">
        <v>2014</v>
      </c>
      <c r="C849" t="inlineStr">
        <is>
          <t>Irryssa Kaur Bains</t>
        </is>
      </c>
      <c r="D849">
        <f>HYPERLINK("https://ota.tournamentsoftware.com/player-profile/F89C56EB-E5EA-437F-81C3-207DA0AA59A7", "Link")</f>
        <v/>
      </c>
      <c r="E849" s="3" t="n">
        <v>4.536</v>
      </c>
      <c r="F849" s="4" t="n">
        <v>1</v>
      </c>
      <c r="G849" t="inlineStr">
        <is>
          <t>Tennis Nova Scotia</t>
        </is>
      </c>
      <c r="H849" t="inlineStr">
        <is>
          <t>HEADSTART</t>
        </is>
      </c>
      <c r="I849" t="n">
        <v>38.8</v>
      </c>
      <c r="J849" s="4" t="n">
        <v>8</v>
      </c>
      <c r="K849" t="inlineStr">
        <is>
          <t>5 / 3</t>
        </is>
      </c>
      <c r="L849" t="inlineStr">
        <is>
          <t>3 / 0</t>
        </is>
      </c>
      <c r="M849" s="5" t="n">
        <v>0.62</v>
      </c>
      <c r="N849" s="5" t="n">
        <v>1</v>
      </c>
    </row>
    <row r="850">
      <c r="A850" t="n">
        <v>849</v>
      </c>
      <c r="B850" t="n">
        <v>2012</v>
      </c>
      <c r="C850" t="inlineStr">
        <is>
          <t>Lucia Racquel Deagle</t>
        </is>
      </c>
      <c r="D850">
        <f>HYPERLINK("https://ota.tournamentsoftware.com/player-profile/9262B9F2-035F-451E-8B86-6E98C95AB597", "Link")</f>
        <v/>
      </c>
      <c r="E850" s="3" t="n">
        <v>4.173</v>
      </c>
      <c r="F850" s="4" t="n">
        <v>2</v>
      </c>
      <c r="G850" t="inlineStr">
        <is>
          <t>Tennis Alberta</t>
        </is>
      </c>
      <c r="H850" t="inlineStr">
        <is>
          <t>Aforza</t>
        </is>
      </c>
      <c r="I850" t="n">
        <v>40</v>
      </c>
      <c r="J850" s="4" t="n">
        <v>17</v>
      </c>
      <c r="K850" t="inlineStr">
        <is>
          <t>1 / 16</t>
        </is>
      </c>
      <c r="L850" t="inlineStr">
        <is>
          <t>0 / 0</t>
        </is>
      </c>
      <c r="M850" s="5" t="n">
        <v>0.06</v>
      </c>
      <c r="N850" s="5" t="n">
        <v>0</v>
      </c>
    </row>
    <row r="851">
      <c r="A851" t="n">
        <v>850</v>
      </c>
      <c r="B851" t="n">
        <v>2016</v>
      </c>
      <c r="C851" t="inlineStr">
        <is>
          <t>Peiyu(Cici) Li</t>
        </is>
      </c>
      <c r="D851">
        <f>HYPERLINK("https://ota.tournamentsoftware.com/player-profile/C4571297-B444-4579-A011-D24753628021", "Link")</f>
        <v/>
      </c>
      <c r="E851" s="3" t="n">
        <v>4.052</v>
      </c>
      <c r="F851" s="4" t="n">
        <v>6</v>
      </c>
      <c r="G851" t="inlineStr">
        <is>
          <t>Tennis Nova Scotia</t>
        </is>
      </c>
      <c r="H851" t="inlineStr">
        <is>
          <t>Atlantic Tennis Centre</t>
        </is>
      </c>
      <c r="I851" t="n">
        <v>40</v>
      </c>
      <c r="J851" s="4" t="n">
        <v>44</v>
      </c>
      <c r="K851" t="inlineStr">
        <is>
          <t>16 / 28</t>
        </is>
      </c>
      <c r="L851" t="inlineStr">
        <is>
          <t>8 / 18</t>
        </is>
      </c>
      <c r="M851" s="5" t="n">
        <v>0.36</v>
      </c>
      <c r="N851" s="5" t="n">
        <v>0.31</v>
      </c>
    </row>
    <row r="852">
      <c r="A852" t="n">
        <v>851</v>
      </c>
      <c r="B852" t="n">
        <v>2014</v>
      </c>
      <c r="C852" t="inlineStr">
        <is>
          <t>Sophia Jaffer</t>
        </is>
      </c>
      <c r="D852">
        <f>HYPERLINK("https://ota.tournamentsoftware.com/player-profile/264F2E7F-0F8D-4B4E-875F-FAAFDB4E9D43", "Link")</f>
        <v/>
      </c>
      <c r="E852" s="3" t="n">
        <v>4</v>
      </c>
      <c r="F852" s="4" t="n">
        <v>1</v>
      </c>
      <c r="G852" t="inlineStr">
        <is>
          <t>British Columbia</t>
        </is>
      </c>
      <c r="H852" t="inlineStr">
        <is>
          <t>Hollyburn Country Club</t>
        </is>
      </c>
      <c r="I852" t="n">
        <v>40</v>
      </c>
      <c r="J852" s="4" t="n">
        <v>14</v>
      </c>
      <c r="K852" t="inlineStr">
        <is>
          <t>3 / 11</t>
        </is>
      </c>
      <c r="L852" t="inlineStr">
        <is>
          <t>3 / 6</t>
        </is>
      </c>
      <c r="M852" s="5" t="n">
        <v>0.21</v>
      </c>
      <c r="N852" s="5" t="n">
        <v>0.33</v>
      </c>
    </row>
    <row r="853">
      <c r="A853" t="n">
        <v>851</v>
      </c>
      <c r="B853" t="n">
        <v>2013</v>
      </c>
      <c r="C853" t="inlineStr">
        <is>
          <t>Xi Niu</t>
        </is>
      </c>
      <c r="D853">
        <f>HYPERLINK("https://ota.tournamentsoftware.com/player-profile/B2759B21-5521-4528-9454-D7FF201653DE", "Link")</f>
        <v/>
      </c>
      <c r="E853" s="3" t="n">
        <v>4</v>
      </c>
      <c r="F853" s="4" t="n">
        <v>1</v>
      </c>
      <c r="G853" t="inlineStr">
        <is>
          <t>British Columbia</t>
        </is>
      </c>
      <c r="H853" t="inlineStr">
        <is>
          <t>No Club</t>
        </is>
      </c>
      <c r="I853" t="inlineStr">
        <is>
          <t>unavailable</t>
        </is>
      </c>
      <c r="J853" s="4" t="n">
        <v>3</v>
      </c>
      <c r="K853" t="inlineStr">
        <is>
          <t>0 / 3</t>
        </is>
      </c>
      <c r="L853" t="inlineStr">
        <is>
          <t>0 / 0</t>
        </is>
      </c>
      <c r="M853" s="5" t="n">
        <v>0</v>
      </c>
      <c r="N853" s="5" t="n">
        <v>0</v>
      </c>
    </row>
    <row r="854">
      <c r="A854" t="n">
        <v>851</v>
      </c>
      <c r="B854" t="n">
        <v>2014</v>
      </c>
      <c r="C854" t="inlineStr">
        <is>
          <t>Sophia Zhao</t>
        </is>
      </c>
      <c r="D854">
        <f>HYPERLINK("https://ota.tournamentsoftware.com/player-profile/388D9D37-AB69-4888-AB07-C709FC6BB450", "Link")</f>
        <v/>
      </c>
      <c r="E854" s="3" t="n">
        <v>4</v>
      </c>
      <c r="F854" s="4" t="n">
        <v>1</v>
      </c>
      <c r="G854" t="inlineStr">
        <is>
          <t>British Columbia</t>
        </is>
      </c>
      <c r="H854" t="inlineStr">
        <is>
          <t>Hollyburn Country Club</t>
        </is>
      </c>
      <c r="I854" t="inlineStr">
        <is>
          <t>unavailable</t>
        </is>
      </c>
      <c r="J854" s="4" t="n">
        <v>3</v>
      </c>
      <c r="K854" t="inlineStr">
        <is>
          <t>0 / 3</t>
        </is>
      </c>
      <c r="L854" t="inlineStr">
        <is>
          <t>0 / 0</t>
        </is>
      </c>
      <c r="M854" s="5" t="n">
        <v>0</v>
      </c>
      <c r="N854" s="5" t="n">
        <v>0</v>
      </c>
    </row>
    <row r="855">
      <c r="A855" t="n">
        <v>854</v>
      </c>
      <c r="B855" t="n">
        <v>2016</v>
      </c>
      <c r="C855" t="inlineStr">
        <is>
          <t>Delia Stoian</t>
        </is>
      </c>
      <c r="D855">
        <f>HYPERLINK("https://ota.tournamentsoftware.com/player-profile/97BF71BC-EF3B-40A8-B2A8-4211E6570024", "Link")</f>
        <v/>
      </c>
      <c r="E855" s="3" t="n">
        <v>3.97</v>
      </c>
      <c r="F855" s="4" t="n">
        <v>1</v>
      </c>
      <c r="G855" t="inlineStr">
        <is>
          <t>Tennis Québec</t>
        </is>
      </c>
      <c r="H855" t="inlineStr">
        <is>
          <t>SANI Sport</t>
        </is>
      </c>
      <c r="I855" t="n">
        <v>38.5</v>
      </c>
      <c r="J855" s="4" t="n">
        <v>77</v>
      </c>
      <c r="K855" t="inlineStr">
        <is>
          <t>44 / 33</t>
        </is>
      </c>
      <c r="L855" t="inlineStr">
        <is>
          <t>16 / 12</t>
        </is>
      </c>
      <c r="M855" s="5" t="n">
        <v>0.57</v>
      </c>
      <c r="N855" s="5" t="n">
        <v>0.57</v>
      </c>
    </row>
    <row r="856">
      <c r="A856" t="n">
        <v>855</v>
      </c>
      <c r="B856" t="n">
        <v>2015</v>
      </c>
      <c r="C856" t="inlineStr">
        <is>
          <t>Olivia Franchi</t>
        </is>
      </c>
      <c r="D856">
        <f>HYPERLINK("https://ota.tournamentsoftware.com/player-profile/71DEE53D-92D1-4C5D-A9AE-0F02860DD189", "Link")</f>
        <v/>
      </c>
      <c r="E856" s="3" t="n">
        <v>3.888</v>
      </c>
      <c r="F856" s="4" t="n">
        <v>1</v>
      </c>
      <c r="G856" t="inlineStr">
        <is>
          <t>Ontario Tennis Association</t>
        </is>
      </c>
      <c r="H856" t="inlineStr">
        <is>
          <t>Barrie North Winter Tennis</t>
        </is>
      </c>
      <c r="I856" t="n">
        <v>38.5</v>
      </c>
      <c r="J856" s="4" t="n">
        <v>14</v>
      </c>
      <c r="K856" t="inlineStr">
        <is>
          <t>0 / 14</t>
        </is>
      </c>
      <c r="L856" t="inlineStr">
        <is>
          <t>0 / 2</t>
        </is>
      </c>
      <c r="M856" s="5" t="n">
        <v>0</v>
      </c>
      <c r="N856" s="5" t="n">
        <v>0</v>
      </c>
    </row>
    <row r="857">
      <c r="A857" t="n">
        <v>855</v>
      </c>
      <c r="B857" t="n">
        <v>2013</v>
      </c>
      <c r="C857" t="inlineStr">
        <is>
          <t>Amy Duo</t>
        </is>
      </c>
      <c r="D857">
        <f>HYPERLINK("https://ota.tournamentsoftware.com/player-profile/71495656-F9AD-402C-B368-62609F5D70B9", "Link")</f>
        <v/>
      </c>
      <c r="E857" s="3" t="n">
        <v>3.888</v>
      </c>
      <c r="F857" s="4" t="n">
        <v>1</v>
      </c>
      <c r="G857" t="inlineStr">
        <is>
          <t>British Columbia</t>
        </is>
      </c>
      <c r="H857" t="inlineStr">
        <is>
          <t>North Shore Winter Club</t>
        </is>
      </c>
      <c r="I857" t="inlineStr">
        <is>
          <t>unavailable</t>
        </is>
      </c>
      <c r="J857" s="4" t="n">
        <v>25</v>
      </c>
      <c r="K857" t="inlineStr">
        <is>
          <t>8 / 17</t>
        </is>
      </c>
      <c r="L857" t="inlineStr">
        <is>
          <t>0 / 0</t>
        </is>
      </c>
      <c r="M857" s="5" t="n">
        <v>0.32</v>
      </c>
      <c r="N857" s="5" t="n">
        <v>0</v>
      </c>
    </row>
    <row r="858">
      <c r="A858" t="n">
        <v>855</v>
      </c>
      <c r="B858" t="n">
        <v>2015</v>
      </c>
      <c r="C858" t="inlineStr">
        <is>
          <t>JIAYI LIN</t>
        </is>
      </c>
      <c r="D858">
        <f>HYPERLINK("https://ota.tournamentsoftware.com/player-profile/9025A036-DFDA-4A69-B03F-EEE43D14A3C3", "Link")</f>
        <v/>
      </c>
      <c r="E858" s="3" t="n">
        <v>3.888</v>
      </c>
      <c r="F858" s="4" t="n">
        <v>1</v>
      </c>
      <c r="G858" t="inlineStr">
        <is>
          <t>Ontario Tennis Association</t>
        </is>
      </c>
      <c r="H858" t="inlineStr">
        <is>
          <t>Mayfair Parkway Racquet Club</t>
        </is>
      </c>
      <c r="I858" t="n">
        <v>38.5</v>
      </c>
      <c r="J858" s="4" t="n">
        <v>2</v>
      </c>
      <c r="K858" t="inlineStr">
        <is>
          <t>0 / 2</t>
        </is>
      </c>
      <c r="L858" t="inlineStr">
        <is>
          <t>0 / 2</t>
        </is>
      </c>
      <c r="M858" s="5" t="n">
        <v>0</v>
      </c>
      <c r="N858" s="5" t="n">
        <v>0</v>
      </c>
    </row>
    <row r="859">
      <c r="A859" t="n">
        <v>855</v>
      </c>
      <c r="B859" t="n">
        <v>2015</v>
      </c>
      <c r="C859" t="inlineStr">
        <is>
          <t>Hannah Lewis</t>
        </is>
      </c>
      <c r="D859">
        <f>HYPERLINK("https://ota.tournamentsoftware.com/player-profile/B25290C5-DB82-4ED0-843D-33516AFF301F", "Link")</f>
        <v/>
      </c>
      <c r="E859" s="3" t="n">
        <v>3.888</v>
      </c>
      <c r="F859" s="4" t="n">
        <v>1</v>
      </c>
      <c r="G859" t="inlineStr">
        <is>
          <t>Ontario Tennis Association</t>
        </is>
      </c>
      <c r="H859" t="inlineStr">
        <is>
          <t>Tam Heather Tennis Club</t>
        </is>
      </c>
      <c r="I859" t="n">
        <v>37.3</v>
      </c>
      <c r="J859" s="4" t="n">
        <v>29</v>
      </c>
      <c r="K859" t="inlineStr">
        <is>
          <t>5 / 24</t>
        </is>
      </c>
      <c r="L859" t="inlineStr">
        <is>
          <t>4 / 7</t>
        </is>
      </c>
      <c r="M859" s="5" t="n">
        <v>0.17</v>
      </c>
      <c r="N859" s="5" t="n">
        <v>0.36</v>
      </c>
    </row>
    <row r="860">
      <c r="A860" t="n">
        <v>855</v>
      </c>
      <c r="B860" t="n">
        <v>2014</v>
      </c>
      <c r="C860" t="inlineStr">
        <is>
          <t>Mila Phoebe Madrid</t>
        </is>
      </c>
      <c r="D860">
        <f>HYPERLINK("https://ota.tournamentsoftware.com/player-profile/3994748B-2ED2-4F57-8907-B1AE9B874F9B", "Link")</f>
        <v/>
      </c>
      <c r="E860" s="3" t="n">
        <v>3.888</v>
      </c>
      <c r="F860" s="4" t="n">
        <v>1</v>
      </c>
      <c r="G860" t="inlineStr">
        <is>
          <t>Ontario Tennis Association</t>
        </is>
      </c>
      <c r="H860" t="inlineStr">
        <is>
          <t>Newmarket Winter Tennis Club</t>
        </is>
      </c>
      <c r="I860" t="inlineStr">
        <is>
          <t>unavailable</t>
        </is>
      </c>
      <c r="J860" s="4" t="n">
        <v>40</v>
      </c>
      <c r="K860" t="inlineStr">
        <is>
          <t>12 / 28</t>
        </is>
      </c>
      <c r="L860" t="inlineStr">
        <is>
          <t>5 / 2</t>
        </is>
      </c>
      <c r="M860" s="5" t="n">
        <v>0.3</v>
      </c>
      <c r="N860" s="5" t="n">
        <v>0.71</v>
      </c>
    </row>
    <row r="861">
      <c r="A861" t="n">
        <v>855</v>
      </c>
      <c r="B861" t="n">
        <v>2014</v>
      </c>
      <c r="C861" t="inlineStr">
        <is>
          <t>Yanxi Chen</t>
        </is>
      </c>
      <c r="D861">
        <f>HYPERLINK("https://ota.tournamentsoftware.com/player-profile/E6571B14-6651-4CD3-A420-8263947DBA1E", "Link")</f>
        <v/>
      </c>
      <c r="E861" s="3" t="n">
        <v>3.888</v>
      </c>
      <c r="F861" s="4" t="n">
        <v>1</v>
      </c>
      <c r="G861" t="inlineStr">
        <is>
          <t>British Columbia</t>
        </is>
      </c>
      <c r="H861" t="inlineStr">
        <is>
          <t>West Vancouver Tennis Club</t>
        </is>
      </c>
      <c r="I861" t="n">
        <v>37.3</v>
      </c>
      <c r="J861" s="4" t="n">
        <v>10</v>
      </c>
      <c r="K861" t="inlineStr">
        <is>
          <t>5 / 5</t>
        </is>
      </c>
      <c r="L861" t="inlineStr">
        <is>
          <t>3 / 3</t>
        </is>
      </c>
      <c r="M861" s="5" t="n">
        <v>0.5</v>
      </c>
      <c r="N861" s="5" t="n">
        <v>0.5</v>
      </c>
    </row>
    <row r="862">
      <c r="A862" t="n">
        <v>855</v>
      </c>
      <c r="B862" t="n">
        <v>2015</v>
      </c>
      <c r="C862" t="inlineStr">
        <is>
          <t>Maya Clara Shakra</t>
        </is>
      </c>
      <c r="D862">
        <f>HYPERLINK("https://ota.tournamentsoftware.com/player-profile/50FA5A17-1808-42C0-B8C3-34766E9151A2", "Link")</f>
        <v/>
      </c>
      <c r="E862" s="3" t="n">
        <v>3.888</v>
      </c>
      <c r="F862" s="4" t="n">
        <v>1</v>
      </c>
      <c r="G862" t="inlineStr">
        <is>
          <t>Ontario Tennis Association</t>
        </is>
      </c>
      <c r="H862" t="inlineStr">
        <is>
          <t>Toronto Tennis Academy</t>
        </is>
      </c>
      <c r="I862" t="inlineStr">
        <is>
          <t>unavailable</t>
        </is>
      </c>
      <c r="J862" s="4" t="n">
        <v>39</v>
      </c>
      <c r="K862" t="inlineStr">
        <is>
          <t>11 / 28</t>
        </is>
      </c>
      <c r="L862" t="inlineStr">
        <is>
          <t>0 / 4</t>
        </is>
      </c>
      <c r="M862" s="5" t="n">
        <v>0.28</v>
      </c>
      <c r="N862" s="5" t="n">
        <v>0</v>
      </c>
    </row>
    <row r="863">
      <c r="A863" t="n">
        <v>862</v>
      </c>
      <c r="B863" t="n">
        <v>2015</v>
      </c>
      <c r="C863" t="inlineStr">
        <is>
          <t>Tamara Skayem</t>
        </is>
      </c>
      <c r="D863">
        <f>HYPERLINK("https://ota.tournamentsoftware.com/player-profile/C90206C3-DC6E-4BE3-938F-C8608F20CDD6", "Link")</f>
        <v/>
      </c>
      <c r="E863" s="3" t="n">
        <v>3.758</v>
      </c>
      <c r="F863" s="4" t="n">
        <v>1</v>
      </c>
      <c r="G863" t="inlineStr">
        <is>
          <t>Tennis Québec</t>
        </is>
      </c>
      <c r="H863" t="inlineStr">
        <is>
          <t>No Club</t>
        </is>
      </c>
      <c r="I863" t="inlineStr">
        <is>
          <t>unavailable</t>
        </is>
      </c>
      <c r="J863" s="4" t="n">
        <v>0</v>
      </c>
      <c r="K863" t="inlineStr">
        <is>
          <t>0 / 0</t>
        </is>
      </c>
      <c r="L863" t="inlineStr">
        <is>
          <t>0 / 0</t>
        </is>
      </c>
      <c r="M863" s="5" t="n">
        <v>0</v>
      </c>
      <c r="N863" s="5" t="n">
        <v>0</v>
      </c>
    </row>
    <row r="864">
      <c r="A864" t="n">
        <v>862</v>
      </c>
      <c r="B864" t="n">
        <v>2014</v>
      </c>
      <c r="C864" t="inlineStr">
        <is>
          <t>Charlotte Lanthier</t>
        </is>
      </c>
      <c r="D864">
        <f>HYPERLINK("https://ota.tournamentsoftware.com/player-profile/930A92EC-BBE2-40FD-8684-CB6F18EAD19A", "Link")</f>
        <v/>
      </c>
      <c r="E864" s="3" t="n">
        <v>3.758</v>
      </c>
      <c r="F864" s="4" t="n">
        <v>5</v>
      </c>
      <c r="G864" t="inlineStr">
        <is>
          <t>Tennis Québec</t>
        </is>
      </c>
      <c r="H864" t="inlineStr">
        <is>
          <t>EB Tennis inc.</t>
        </is>
      </c>
      <c r="I864" t="n">
        <v>39.2</v>
      </c>
      <c r="J864" s="4" t="n">
        <v>6</v>
      </c>
      <c r="K864" t="inlineStr">
        <is>
          <t>0 / 6</t>
        </is>
      </c>
      <c r="L864" t="inlineStr">
        <is>
          <t>0 / 4</t>
        </is>
      </c>
      <c r="M864" s="5" t="n">
        <v>0</v>
      </c>
      <c r="N864" s="5" t="n">
        <v>0</v>
      </c>
    </row>
    <row r="865">
      <c r="A865" t="n">
        <v>864</v>
      </c>
      <c r="B865" t="n">
        <v>2013</v>
      </c>
      <c r="C865" t="inlineStr">
        <is>
          <t>Apphia Anderson</t>
        </is>
      </c>
      <c r="D865">
        <f>HYPERLINK("https://ota.tournamentsoftware.com/player-profile/557E4D67-D9E9-47B3-800F-DB2194C8FCA3", "Link")</f>
        <v/>
      </c>
      <c r="E865" s="3" t="n">
        <v>3.629</v>
      </c>
      <c r="F865" s="4" t="n">
        <v>2</v>
      </c>
      <c r="G865" t="inlineStr">
        <is>
          <t>Tennis Alberta</t>
        </is>
      </c>
      <c r="H865" t="inlineStr">
        <is>
          <t>No Club</t>
        </is>
      </c>
      <c r="I865" t="inlineStr">
        <is>
          <t>unavailable</t>
        </is>
      </c>
      <c r="J865" s="4" t="n">
        <v>3</v>
      </c>
      <c r="K865" t="inlineStr">
        <is>
          <t>0 / 3</t>
        </is>
      </c>
      <c r="L865" t="inlineStr">
        <is>
          <t>0 / 3</t>
        </is>
      </c>
      <c r="M865" s="5" t="n">
        <v>0</v>
      </c>
      <c r="N865" s="5" t="n">
        <v>0</v>
      </c>
    </row>
    <row r="866">
      <c r="A866" t="n">
        <v>864</v>
      </c>
      <c r="B866" t="n">
        <v>2014</v>
      </c>
      <c r="C866" t="inlineStr">
        <is>
          <t>Cindy Chai</t>
        </is>
      </c>
      <c r="D866">
        <f>HYPERLINK("https://ota.tournamentsoftware.com/player-profile/1777FA49-1C9D-4D7D-AF29-8B5B024F1F30", "Link")</f>
        <v/>
      </c>
      <c r="E866" s="3" t="n">
        <v>3.629</v>
      </c>
      <c r="F866" s="4" t="n">
        <v>1</v>
      </c>
      <c r="G866" t="inlineStr">
        <is>
          <t>Ontario Tennis Association</t>
        </is>
      </c>
      <c r="H866" t="inlineStr">
        <is>
          <t>Ontario Racquet Club</t>
        </is>
      </c>
      <c r="I866" t="inlineStr">
        <is>
          <t>unavailable</t>
        </is>
      </c>
      <c r="J866" s="4" t="n">
        <v>8</v>
      </c>
      <c r="K866" t="inlineStr">
        <is>
          <t>3 / 5</t>
        </is>
      </c>
      <c r="L866" t="inlineStr">
        <is>
          <t>3 / 3</t>
        </is>
      </c>
      <c r="M866" s="5" t="n">
        <v>0.38</v>
      </c>
      <c r="N866" s="5" t="n">
        <v>0.5</v>
      </c>
    </row>
    <row r="867">
      <c r="A867" t="n">
        <v>864</v>
      </c>
      <c r="B867" t="n">
        <v>2014</v>
      </c>
      <c r="C867" t="inlineStr">
        <is>
          <t>Kaira Ankit Arora</t>
        </is>
      </c>
      <c r="D867">
        <f>HYPERLINK("https://ota.tournamentsoftware.com/player-profile/48CDC473-6B50-4781-BB3F-2B72F12C6320", "Link")</f>
        <v/>
      </c>
      <c r="E867" s="3" t="n">
        <v>3.629</v>
      </c>
      <c r="F867" s="4" t="n">
        <v>1</v>
      </c>
      <c r="G867" t="inlineStr">
        <is>
          <t>Ontario Tennis Association</t>
        </is>
      </c>
      <c r="H867" t="inlineStr">
        <is>
          <t>Mohawk Tennis Club</t>
        </is>
      </c>
      <c r="I867" t="n">
        <v>38.3</v>
      </c>
      <c r="J867" s="4" t="n">
        <v>23</v>
      </c>
      <c r="K867" t="inlineStr">
        <is>
          <t>2 / 21</t>
        </is>
      </c>
      <c r="L867" t="inlineStr">
        <is>
          <t>0 / 0</t>
        </is>
      </c>
      <c r="M867" s="5" t="n">
        <v>0.09</v>
      </c>
      <c r="N867" s="5" t="n">
        <v>0</v>
      </c>
    </row>
    <row r="868">
      <c r="A868" t="n">
        <v>867</v>
      </c>
      <c r="B868" t="n">
        <v>2014</v>
      </c>
      <c r="C868" t="inlineStr">
        <is>
          <t>Zixi Kang</t>
        </is>
      </c>
      <c r="D868">
        <f>HYPERLINK("https://ota.tournamentsoftware.com/player-profile/A5E15599-8C2B-4217-B0C0-BAEF0009ED39", "Link")</f>
        <v/>
      </c>
      <c r="E868" s="3" t="n">
        <v>3.587</v>
      </c>
      <c r="F868" s="4" t="n">
        <v>1</v>
      </c>
      <c r="G868" t="inlineStr">
        <is>
          <t>Tennis Nova Scotia</t>
        </is>
      </c>
      <c r="H868" t="inlineStr">
        <is>
          <t>Bedford</t>
        </is>
      </c>
      <c r="I868" t="n">
        <v>40</v>
      </c>
      <c r="J868" s="4" t="n">
        <v>9</v>
      </c>
      <c r="K868" t="inlineStr">
        <is>
          <t>2 / 7</t>
        </is>
      </c>
      <c r="L868" t="inlineStr">
        <is>
          <t>0 / 0</t>
        </is>
      </c>
      <c r="M868" s="5" t="n">
        <v>0.22</v>
      </c>
      <c r="N868" s="5" t="n">
        <v>0</v>
      </c>
    </row>
    <row r="869">
      <c r="A869" t="n">
        <v>868</v>
      </c>
      <c r="B869" t="n">
        <v>2012</v>
      </c>
      <c r="C869" t="inlineStr">
        <is>
          <t>Harlow Beddis</t>
        </is>
      </c>
      <c r="D869">
        <f>HYPERLINK("https://ota.tournamentsoftware.com/player-profile/2230B20A-F3FA-4C43-BB0F-CD3AB46F4ACE", "Link")</f>
        <v/>
      </c>
      <c r="E869" s="3" t="n">
        <v>3.499</v>
      </c>
      <c r="F869" s="4" t="n">
        <v>1</v>
      </c>
      <c r="G869" t="inlineStr">
        <is>
          <t>Tennis Alberta</t>
        </is>
      </c>
      <c r="H869" t="inlineStr">
        <is>
          <t>The Glencoe Club</t>
        </is>
      </c>
      <c r="I869" t="n">
        <v>38.8</v>
      </c>
      <c r="J869" s="4" t="n">
        <v>75</v>
      </c>
      <c r="K869" t="inlineStr">
        <is>
          <t>27 / 48</t>
        </is>
      </c>
      <c r="L869" t="inlineStr">
        <is>
          <t>0 / 0</t>
        </is>
      </c>
      <c r="M869" s="5" t="n">
        <v>0.36</v>
      </c>
      <c r="N869" s="5" t="n">
        <v>0</v>
      </c>
    </row>
    <row r="870">
      <c r="A870" t="n">
        <v>869</v>
      </c>
      <c r="B870" t="n">
        <v>2012</v>
      </c>
      <c r="C870" t="inlineStr">
        <is>
          <t>Hannah Grace Burrows</t>
        </is>
      </c>
      <c r="D870">
        <f>HYPERLINK("https://ota.tournamentsoftware.com/player-profile/A4FFA0A4-EAE7-43E6-AF92-E22114BE5D8B", "Link")</f>
        <v/>
      </c>
      <c r="E870" s="3" t="n">
        <v>3.421</v>
      </c>
      <c r="F870" s="4" t="n">
        <v>2</v>
      </c>
      <c r="G870" t="inlineStr">
        <is>
          <t>Tennis Alberta</t>
        </is>
      </c>
      <c r="H870" t="inlineStr">
        <is>
          <t>The Glencoe Club</t>
        </is>
      </c>
      <c r="I870" t="n">
        <v>40</v>
      </c>
      <c r="J870" s="4" t="n">
        <v>28</v>
      </c>
      <c r="K870" t="inlineStr">
        <is>
          <t>6 / 22</t>
        </is>
      </c>
      <c r="L870" t="inlineStr">
        <is>
          <t>0 / 2</t>
        </is>
      </c>
      <c r="M870" s="5" t="n">
        <v>0.21</v>
      </c>
      <c r="N870" s="5" t="n">
        <v>0</v>
      </c>
    </row>
    <row r="871">
      <c r="A871" t="n">
        <v>870</v>
      </c>
      <c r="B871" t="n">
        <v>2016</v>
      </c>
      <c r="C871" t="inlineStr">
        <is>
          <t>Jaclyn Zhang</t>
        </is>
      </c>
      <c r="D871">
        <f>HYPERLINK("https://ota.tournamentsoftware.com/player-profile/E6E9780C-ACDE-4CFD-B134-4984C266BCEB", "Link")</f>
        <v/>
      </c>
      <c r="E871" s="3" t="n">
        <v>3.24</v>
      </c>
      <c r="F871" s="4" t="n">
        <v>3</v>
      </c>
      <c r="G871" t="inlineStr">
        <is>
          <t>British Columbia</t>
        </is>
      </c>
      <c r="H871" t="inlineStr">
        <is>
          <t>UBC Tennis Centre</t>
        </is>
      </c>
      <c r="I871" t="n">
        <v>39.8</v>
      </c>
      <c r="J871" s="4" t="n">
        <v>71</v>
      </c>
      <c r="K871" t="inlineStr">
        <is>
          <t>42 / 29</t>
        </is>
      </c>
      <c r="L871" t="inlineStr">
        <is>
          <t>16 / 17</t>
        </is>
      </c>
      <c r="M871" s="5" t="n">
        <v>0.59</v>
      </c>
      <c r="N871" s="5" t="n">
        <v>0.48</v>
      </c>
    </row>
    <row r="872">
      <c r="A872" t="n">
        <v>871</v>
      </c>
      <c r="B872" t="n">
        <v>2014</v>
      </c>
      <c r="C872" t="inlineStr">
        <is>
          <t>Amaara Bhardwaj</t>
        </is>
      </c>
      <c r="D872">
        <f>HYPERLINK("https://ota.tournamentsoftware.com/player-profile/5E30A7A6-4E75-4094-9C50-E36BC2D57510", "Link")</f>
        <v/>
      </c>
      <c r="E872" s="3" t="n">
        <v>3.098</v>
      </c>
      <c r="F872" s="4" t="n">
        <v>1</v>
      </c>
      <c r="G872" t="inlineStr">
        <is>
          <t>British Columbia</t>
        </is>
      </c>
      <c r="H872" t="inlineStr">
        <is>
          <t>No Club</t>
        </is>
      </c>
      <c r="I872" t="n">
        <v>39.5</v>
      </c>
      <c r="J872" s="4" t="n">
        <v>15</v>
      </c>
      <c r="K872" t="inlineStr">
        <is>
          <t>7 / 8</t>
        </is>
      </c>
      <c r="L872" t="inlineStr">
        <is>
          <t>0 / 2</t>
        </is>
      </c>
      <c r="M872" s="5" t="n">
        <v>0.47</v>
      </c>
      <c r="N872" s="5" t="n">
        <v>0</v>
      </c>
    </row>
    <row r="873">
      <c r="A873" t="n">
        <v>872</v>
      </c>
      <c r="B873" t="n">
        <v>2014</v>
      </c>
      <c r="C873" t="inlineStr">
        <is>
          <t>Arianna Shiyong Zhang</t>
        </is>
      </c>
      <c r="D873">
        <f>HYPERLINK("https://ota.tournamentsoftware.com/player-profile/534D64C5-0604-4070-B56D-0E5A49B9F850", "Link")</f>
        <v/>
      </c>
      <c r="E873" s="3" t="n">
        <v>3.075</v>
      </c>
      <c r="F873" s="4" t="n">
        <v>1</v>
      </c>
      <c r="G873" t="inlineStr">
        <is>
          <t>British Columbia</t>
        </is>
      </c>
      <c r="H873" t="inlineStr">
        <is>
          <t>Hollyburn Country Club</t>
        </is>
      </c>
      <c r="I873" t="inlineStr">
        <is>
          <t>unavailable</t>
        </is>
      </c>
      <c r="J873" s="4" t="n">
        <v>34</v>
      </c>
      <c r="K873" t="inlineStr">
        <is>
          <t>13 / 21</t>
        </is>
      </c>
      <c r="L873" t="inlineStr">
        <is>
          <t>0 / 0</t>
        </is>
      </c>
      <c r="M873" s="5" t="n">
        <v>0.38</v>
      </c>
      <c r="N873" s="5" t="n">
        <v>0</v>
      </c>
    </row>
    <row r="874">
      <c r="A874" t="n">
        <v>873</v>
      </c>
      <c r="B874" t="n">
        <v>2014</v>
      </c>
      <c r="C874" t="inlineStr">
        <is>
          <t>Evelyn Jewell Rautenbach</t>
        </is>
      </c>
      <c r="D874">
        <f>HYPERLINK("https://ota.tournamentsoftware.com/player-profile/867F5D6A-BB9A-4FEB-A95E-565609563C13", "Link")</f>
        <v/>
      </c>
      <c r="E874" s="3" t="n">
        <v>2.618</v>
      </c>
      <c r="F874" s="4" t="n">
        <v>2</v>
      </c>
      <c r="G874" t="inlineStr">
        <is>
          <t>Tennis Alberta</t>
        </is>
      </c>
      <c r="H874" t="inlineStr">
        <is>
          <t>The Glencoe Club</t>
        </is>
      </c>
      <c r="I874" t="n">
        <v>38.5</v>
      </c>
      <c r="J874" s="4" t="n">
        <v>34</v>
      </c>
      <c r="K874" t="inlineStr">
        <is>
          <t>14 / 20</t>
        </is>
      </c>
      <c r="L874" t="inlineStr">
        <is>
          <t>1 / 1</t>
        </is>
      </c>
      <c r="M874" s="5" t="n">
        <v>0.41</v>
      </c>
      <c r="N874" s="5" t="n">
        <v>0.5</v>
      </c>
    </row>
    <row r="875">
      <c r="A875" t="n">
        <v>874</v>
      </c>
      <c r="B875" t="n">
        <v>2014</v>
      </c>
      <c r="C875" t="inlineStr">
        <is>
          <t>Elva Zhang</t>
        </is>
      </c>
      <c r="D875">
        <f>HYPERLINK("https://ota.tournamentsoftware.com/player-profile/1216B569-5E4A-499A-9B21-CDA3D2F7917B", "Link")</f>
        <v/>
      </c>
      <c r="E875" s="3" t="n">
        <v>2.574</v>
      </c>
      <c r="F875" s="4" t="n">
        <v>1</v>
      </c>
      <c r="G875" t="inlineStr">
        <is>
          <t>British Columbia</t>
        </is>
      </c>
      <c r="H875" t="inlineStr">
        <is>
          <t>Vancouver Lawn Tennis and Badminton Club</t>
        </is>
      </c>
      <c r="I875" t="inlineStr">
        <is>
          <t>unavailable</t>
        </is>
      </c>
      <c r="J875" s="4" t="n">
        <v>51</v>
      </c>
      <c r="K875" t="inlineStr">
        <is>
          <t>17 / 34</t>
        </is>
      </c>
      <c r="L875" t="inlineStr">
        <is>
          <t>4 / 2</t>
        </is>
      </c>
      <c r="M875" s="5" t="n">
        <v>0.33</v>
      </c>
      <c r="N875" s="5" t="n">
        <v>0.67</v>
      </c>
    </row>
    <row r="876">
      <c r="A876" t="n">
        <v>875</v>
      </c>
      <c r="B876" t="n">
        <v>2014</v>
      </c>
      <c r="C876" t="inlineStr">
        <is>
          <t>Frances Fletcher</t>
        </is>
      </c>
      <c r="D876">
        <f>HYPERLINK("https://ota.tournamentsoftware.com/player-profile/67CBECB7-306E-4C07-AB72-7C9F967F74F1", "Link")</f>
        <v/>
      </c>
      <c r="E876" s="3" t="n">
        <v>2.431</v>
      </c>
      <c r="F876" s="4" t="n">
        <v>2</v>
      </c>
      <c r="G876" t="inlineStr">
        <is>
          <t>Tennis Québec</t>
        </is>
      </c>
      <c r="H876" t="inlineStr">
        <is>
          <t>Club Sportif Côte-de-Liesse</t>
        </is>
      </c>
      <c r="I876" t="n">
        <v>38.8</v>
      </c>
      <c r="J876" s="4" t="n">
        <v>3</v>
      </c>
      <c r="K876" t="inlineStr">
        <is>
          <t>1 / 2</t>
        </is>
      </c>
      <c r="L876" t="inlineStr">
        <is>
          <t>1 / 2</t>
        </is>
      </c>
      <c r="M876" s="5" t="n">
        <v>0.33</v>
      </c>
      <c r="N876" s="5" t="n">
        <v>0.33</v>
      </c>
    </row>
    <row r="877">
      <c r="A877" t="n">
        <v>876</v>
      </c>
      <c r="B877" t="n">
        <v>2014</v>
      </c>
      <c r="C877" t="inlineStr">
        <is>
          <t>Iris Li</t>
        </is>
      </c>
      <c r="D877">
        <f>HYPERLINK("https://ota.tournamentsoftware.com/player-profile/CC36F5CC-203F-4A28-B27C-068A0E15610C", "Link")</f>
        <v/>
      </c>
      <c r="E877" s="3" t="n">
        <v>2.403</v>
      </c>
      <c r="F877" s="4" t="n">
        <v>1</v>
      </c>
      <c r="G877" t="inlineStr">
        <is>
          <t>British Columbia</t>
        </is>
      </c>
      <c r="H877" t="inlineStr">
        <is>
          <t>Coquitlam Tennis Club</t>
        </is>
      </c>
      <c r="I877" t="n">
        <v>40</v>
      </c>
      <c r="J877" s="4" t="n">
        <v>34</v>
      </c>
      <c r="K877" t="inlineStr">
        <is>
          <t>10 / 24</t>
        </is>
      </c>
      <c r="L877" t="inlineStr">
        <is>
          <t>1 / 2</t>
        </is>
      </c>
      <c r="M877" s="5" t="n">
        <v>0.29</v>
      </c>
      <c r="N877" s="5" t="n">
        <v>0.33</v>
      </c>
    </row>
    <row r="878">
      <c r="A878" t="n">
        <v>876</v>
      </c>
      <c r="B878" t="n">
        <v>2014</v>
      </c>
      <c r="C878" t="inlineStr">
        <is>
          <t>Danika Masi</t>
        </is>
      </c>
      <c r="D878">
        <f>HYPERLINK("https://ota.tournamentsoftware.com/player-profile/9FA580FC-05F1-4060-AF06-7AAC23F8ED24", "Link")</f>
        <v/>
      </c>
      <c r="E878" s="3" t="n">
        <v>2.403</v>
      </c>
      <c r="F878" s="4" t="n">
        <v>1</v>
      </c>
      <c r="G878" t="inlineStr">
        <is>
          <t>British Columbia</t>
        </is>
      </c>
      <c r="H878" t="inlineStr">
        <is>
          <t>Suncoast Racquet Club</t>
        </is>
      </c>
      <c r="I878" t="n">
        <v>37.9</v>
      </c>
      <c r="J878" s="4" t="n">
        <v>26</v>
      </c>
      <c r="K878" t="inlineStr">
        <is>
          <t>17 / 9</t>
        </is>
      </c>
      <c r="L878" t="inlineStr">
        <is>
          <t>9 / 2</t>
        </is>
      </c>
      <c r="M878" s="5" t="n">
        <v>0.65</v>
      </c>
      <c r="N878" s="5" t="n">
        <v>0.82</v>
      </c>
    </row>
    <row r="879">
      <c r="A879" t="n">
        <v>876</v>
      </c>
      <c r="B879" t="n">
        <v>2016</v>
      </c>
      <c r="C879" t="inlineStr">
        <is>
          <t>Hazel Geng</t>
        </is>
      </c>
      <c r="D879">
        <f>HYPERLINK("https://ota.tournamentsoftware.com/player-profile/00BB4A74-B4FB-4FAC-B874-79D9E778FAAE", "Link")</f>
        <v/>
      </c>
      <c r="E879" s="3" t="n">
        <v>2.403</v>
      </c>
      <c r="F879" s="4" t="n">
        <v>1</v>
      </c>
      <c r="G879" t="inlineStr">
        <is>
          <t>British Columbia</t>
        </is>
      </c>
      <c r="H879" t="inlineStr">
        <is>
          <t>Vancouver Lawn Tennis and Badminton Club</t>
        </is>
      </c>
      <c r="I879" t="n">
        <v>37.8</v>
      </c>
      <c r="J879" s="4" t="n">
        <v>38</v>
      </c>
      <c r="K879" t="inlineStr">
        <is>
          <t>8 / 30</t>
        </is>
      </c>
      <c r="L879" t="inlineStr">
        <is>
          <t>1 / 2</t>
        </is>
      </c>
      <c r="M879" s="5" t="n">
        <v>0.21</v>
      </c>
      <c r="N879" s="5" t="n">
        <v>0.33</v>
      </c>
    </row>
    <row r="880">
      <c r="A880" t="n">
        <v>876</v>
      </c>
      <c r="B880" t="n">
        <v>2015</v>
      </c>
      <c r="C880" t="inlineStr">
        <is>
          <t>Niveah Watt-Shelton</t>
        </is>
      </c>
      <c r="D880">
        <f>HYPERLINK("https://ota.tournamentsoftware.com/player-profile/2142B288-43FF-46B4-8037-BD18E957E823", "Link")</f>
        <v/>
      </c>
      <c r="E880" s="3" t="n">
        <v>2.403</v>
      </c>
      <c r="F880" s="4" t="n">
        <v>1</v>
      </c>
      <c r="G880" t="inlineStr">
        <is>
          <t>British Columbia</t>
        </is>
      </c>
      <c r="H880" t="inlineStr">
        <is>
          <t>UBC Tennis Centre</t>
        </is>
      </c>
      <c r="I880" t="inlineStr">
        <is>
          <t>unavailable</t>
        </is>
      </c>
      <c r="J880" s="4" t="n">
        <v>53</v>
      </c>
      <c r="K880" t="inlineStr">
        <is>
          <t>26 / 27</t>
        </is>
      </c>
      <c r="L880" t="inlineStr">
        <is>
          <t>6 / 5</t>
        </is>
      </c>
      <c r="M880" s="5" t="n">
        <v>0.49</v>
      </c>
      <c r="N880" s="5" t="n">
        <v>0.55</v>
      </c>
    </row>
    <row r="881">
      <c r="A881" t="n">
        <v>876</v>
      </c>
      <c r="B881" t="n">
        <v>2015</v>
      </c>
      <c r="C881" t="inlineStr">
        <is>
          <t>Claire Sattar</t>
        </is>
      </c>
      <c r="D881">
        <f>HYPERLINK("https://ota.tournamentsoftware.com/player-profile/F9E336C7-A13D-430E-A056-C66EFFC2A0D5", "Link")</f>
        <v/>
      </c>
      <c r="E881" s="3" t="n">
        <v>2.403</v>
      </c>
      <c r="F881" s="4" t="n">
        <v>3</v>
      </c>
      <c r="G881" t="inlineStr">
        <is>
          <t>British Columbia</t>
        </is>
      </c>
      <c r="H881" t="inlineStr">
        <is>
          <t>Great West Fitness and Racquets Club</t>
        </is>
      </c>
      <c r="I881" t="inlineStr">
        <is>
          <t>unavailable</t>
        </is>
      </c>
      <c r="J881" s="4" t="n">
        <v>36</v>
      </c>
      <c r="K881" t="inlineStr">
        <is>
          <t>10 / 26</t>
        </is>
      </c>
      <c r="L881" t="inlineStr">
        <is>
          <t>0 / 2</t>
        </is>
      </c>
      <c r="M881" s="5" t="n">
        <v>0.28</v>
      </c>
      <c r="N881" s="5" t="n">
        <v>0</v>
      </c>
    </row>
    <row r="882">
      <c r="A882" t="n">
        <v>881</v>
      </c>
      <c r="B882" t="n">
        <v>2017</v>
      </c>
      <c r="C882" t="inlineStr">
        <is>
          <t>Nysa Iyer</t>
        </is>
      </c>
      <c r="D882">
        <f>HYPERLINK("https://ota.tournamentsoftware.com/player-profile/7133F3A1-6724-4B35-BBF9-2DFB20E0D933", "Link")</f>
        <v/>
      </c>
      <c r="E882" s="3" t="n">
        <v>2.376</v>
      </c>
      <c r="F882" s="4" t="n">
        <v>1</v>
      </c>
      <c r="G882" t="inlineStr">
        <is>
          <t>Tennis Alberta</t>
        </is>
      </c>
      <c r="H882" t="inlineStr">
        <is>
          <t>No Club</t>
        </is>
      </c>
      <c r="I882" t="n">
        <v>38.6</v>
      </c>
      <c r="J882" s="4" t="n">
        <v>61</v>
      </c>
      <c r="K882" t="inlineStr">
        <is>
          <t>31 / 30</t>
        </is>
      </c>
      <c r="L882" t="inlineStr">
        <is>
          <t>14 / 9</t>
        </is>
      </c>
      <c r="M882" s="5" t="n">
        <v>0.51</v>
      </c>
      <c r="N882" s="5" t="n">
        <v>0.61</v>
      </c>
    </row>
    <row r="883">
      <c r="A883" t="n">
        <v>882</v>
      </c>
      <c r="B883" t="n">
        <v>2015</v>
      </c>
      <c r="C883" t="inlineStr">
        <is>
          <t>Mischa Simone Teotico</t>
        </is>
      </c>
      <c r="D883">
        <f>HYPERLINK("https://ota.tournamentsoftware.com/player-profile/E41BBBEF-6912-4E0D-BF5C-BBB0CBC74249", "Link")</f>
        <v/>
      </c>
      <c r="E883" s="3" t="n">
        <v>2.203</v>
      </c>
      <c r="F883" s="4" t="n">
        <v>5</v>
      </c>
      <c r="G883" t="inlineStr">
        <is>
          <t>Tennis Alberta</t>
        </is>
      </c>
      <c r="H883" t="inlineStr">
        <is>
          <t>Aforza</t>
        </is>
      </c>
      <c r="I883" t="n">
        <v>40</v>
      </c>
      <c r="J883" s="4" t="n">
        <v>60</v>
      </c>
      <c r="K883" t="inlineStr">
        <is>
          <t>13 / 47</t>
        </is>
      </c>
      <c r="L883" t="inlineStr">
        <is>
          <t>0 / 2</t>
        </is>
      </c>
      <c r="M883" s="5" t="n">
        <v>0.22</v>
      </c>
      <c r="N883" s="5" t="n">
        <v>0</v>
      </c>
    </row>
    <row r="884">
      <c r="A884" t="n">
        <v>883</v>
      </c>
      <c r="B884" t="n">
        <v>2014</v>
      </c>
      <c r="C884" t="inlineStr">
        <is>
          <t>Mia Tan</t>
        </is>
      </c>
      <c r="D884">
        <f>HYPERLINK("https://ota.tournamentsoftware.com/player-profile/9C9A5A33-4CA6-4975-BDCD-67DA2BA4B2E9", "Link")</f>
        <v/>
      </c>
      <c r="E884" s="3" t="n">
        <v>2.202</v>
      </c>
      <c r="F884" s="4" t="n">
        <v>3</v>
      </c>
      <c r="G884" t="inlineStr">
        <is>
          <t>Tennis Alberta</t>
        </is>
      </c>
      <c r="H884" t="inlineStr">
        <is>
          <t>Osten &amp; Victor Alberta Tennis Centre</t>
        </is>
      </c>
      <c r="I884" t="n">
        <v>38.7</v>
      </c>
      <c r="J884" s="4" t="n">
        <v>3</v>
      </c>
      <c r="K884" t="inlineStr">
        <is>
          <t>1 / 2</t>
        </is>
      </c>
      <c r="L884" t="inlineStr">
        <is>
          <t>0 / 0</t>
        </is>
      </c>
      <c r="M884" s="5" t="n">
        <v>0.33</v>
      </c>
      <c r="N884" s="5" t="n">
        <v>0</v>
      </c>
    </row>
    <row r="885">
      <c r="A885" t="n">
        <v>884</v>
      </c>
      <c r="B885" t="n">
        <v>2013</v>
      </c>
      <c r="C885" t="inlineStr">
        <is>
          <t>Zelda Gwen Zenith</t>
        </is>
      </c>
      <c r="D885">
        <f>HYPERLINK("https://ota.tournamentsoftware.com/player-profile/F460E6C2-2456-43C6-B19A-E5695E232448", "Link")</f>
        <v/>
      </c>
      <c r="E885" s="3" t="n">
        <v>2.16</v>
      </c>
      <c r="F885" s="4" t="n">
        <v>1</v>
      </c>
      <c r="G885" t="inlineStr">
        <is>
          <t>Tennis Alberta</t>
        </is>
      </c>
      <c r="H885" t="inlineStr">
        <is>
          <t>No Club</t>
        </is>
      </c>
      <c r="I885" t="inlineStr">
        <is>
          <t>unavailable</t>
        </is>
      </c>
      <c r="J885" s="4" t="n">
        <v>129</v>
      </c>
      <c r="K885" t="inlineStr">
        <is>
          <t>47 / 82</t>
        </is>
      </c>
      <c r="L885" t="inlineStr">
        <is>
          <t>0 / 0</t>
        </is>
      </c>
      <c r="M885" s="5" t="n">
        <v>0.36</v>
      </c>
      <c r="N885" s="5" t="n">
        <v>0</v>
      </c>
    </row>
    <row r="886">
      <c r="A886" t="n">
        <v>885</v>
      </c>
      <c r="B886" t="n">
        <v>2015</v>
      </c>
      <c r="C886" t="inlineStr">
        <is>
          <t>Sophie Clara Vandor</t>
        </is>
      </c>
      <c r="D886">
        <f>HYPERLINK("https://ota.tournamentsoftware.com/player-profile/23B3E879-EE71-4CE7-949F-9E08E7F6FDC9", "Link")</f>
        <v/>
      </c>
      <c r="E886" s="3" t="n">
        <v>1.944</v>
      </c>
      <c r="F886" s="4" t="n">
        <v>3</v>
      </c>
      <c r="G886" t="inlineStr">
        <is>
          <t>British Columbia</t>
        </is>
      </c>
      <c r="H886" t="inlineStr">
        <is>
          <t>UBC Tennis Centre</t>
        </is>
      </c>
      <c r="I886" t="n">
        <v>40</v>
      </c>
      <c r="J886" s="4" t="n">
        <v>20</v>
      </c>
      <c r="K886" t="inlineStr">
        <is>
          <t>5 / 15</t>
        </is>
      </c>
      <c r="L886" t="inlineStr">
        <is>
          <t>0 / 2</t>
        </is>
      </c>
      <c r="M886" s="5" t="n">
        <v>0.25</v>
      </c>
      <c r="N886" s="5" t="n">
        <v>0</v>
      </c>
    </row>
    <row r="887">
      <c r="A887" t="n">
        <v>885</v>
      </c>
      <c r="B887" t="n">
        <v>2015</v>
      </c>
      <c r="C887" t="inlineStr">
        <is>
          <t>Harchanan Kaur Kandola</t>
        </is>
      </c>
      <c r="D887">
        <f>HYPERLINK("https://ota.tournamentsoftware.com/player-profile/604DEB6C-89BC-4F3B-9551-3DD1A6EDA123", "Link")</f>
        <v/>
      </c>
      <c r="E887" s="3" t="n">
        <v>1.944</v>
      </c>
      <c r="F887" s="4" t="n">
        <v>1</v>
      </c>
      <c r="G887" t="inlineStr">
        <is>
          <t>British Columbia</t>
        </is>
      </c>
      <c r="H887" t="inlineStr">
        <is>
          <t>The Tennis Centre</t>
        </is>
      </c>
      <c r="I887" t="inlineStr">
        <is>
          <t>unavailable</t>
        </is>
      </c>
      <c r="J887" s="4" t="n">
        <v>24</v>
      </c>
      <c r="K887" t="inlineStr">
        <is>
          <t>10 / 14</t>
        </is>
      </c>
      <c r="L887" t="inlineStr">
        <is>
          <t>0 / 4</t>
        </is>
      </c>
      <c r="M887" s="5" t="n">
        <v>0.42</v>
      </c>
      <c r="N887" s="5" t="n">
        <v>0</v>
      </c>
    </row>
    <row r="888">
      <c r="A888" t="n">
        <v>885</v>
      </c>
      <c r="B888" t="n">
        <v>2014</v>
      </c>
      <c r="C888" t="inlineStr">
        <is>
          <t>Phoenix Anneliese Daniel</t>
        </is>
      </c>
      <c r="D888">
        <f>HYPERLINK("https://ota.tournamentsoftware.com/player-profile/B00B3D37-513A-4ECC-A51C-B74D255D4B87", "Link")</f>
        <v/>
      </c>
      <c r="E888" s="3" t="n">
        <v>1.944</v>
      </c>
      <c r="F888" s="4" t="n">
        <v>1</v>
      </c>
      <c r="G888" t="inlineStr">
        <is>
          <t>British Columbia</t>
        </is>
      </c>
      <c r="H888" t="inlineStr">
        <is>
          <t>Great West Fitness and Racquets Club</t>
        </is>
      </c>
      <c r="I888" t="n">
        <v>39.8</v>
      </c>
      <c r="J888" s="4" t="n">
        <v>22</v>
      </c>
      <c r="K888" t="inlineStr">
        <is>
          <t>6 / 16</t>
        </is>
      </c>
      <c r="L888" t="inlineStr">
        <is>
          <t>0 / 2</t>
        </is>
      </c>
      <c r="M888" s="5" t="n">
        <v>0.27</v>
      </c>
      <c r="N888" s="5" t="n">
        <v>0</v>
      </c>
    </row>
    <row r="889">
      <c r="A889" t="n">
        <v>888</v>
      </c>
      <c r="B889" t="n">
        <v>2016</v>
      </c>
      <c r="C889" t="inlineStr">
        <is>
          <t>Michelle Hiu Tung Law</t>
        </is>
      </c>
      <c r="D889">
        <f>HYPERLINK("https://ota.tournamentsoftware.com/player-profile/6B7246D7-C656-43B4-A93A-54E15E04D73D", "Link")</f>
        <v/>
      </c>
      <c r="E889" s="3" t="n">
        <v>1.512</v>
      </c>
      <c r="F889" s="4" t="n">
        <v>6</v>
      </c>
      <c r="G889" t="inlineStr">
        <is>
          <t>Tennis Alberta</t>
        </is>
      </c>
      <c r="H889" t="inlineStr">
        <is>
          <t>Saville Community Sports Centre</t>
        </is>
      </c>
      <c r="I889" t="n">
        <v>40</v>
      </c>
      <c r="J889" s="4" t="n">
        <v>71</v>
      </c>
      <c r="K889" t="inlineStr">
        <is>
          <t>29 / 42</t>
        </is>
      </c>
      <c r="L889" t="inlineStr">
        <is>
          <t>10 / 14</t>
        </is>
      </c>
      <c r="M889" s="5" t="n">
        <v>0.41</v>
      </c>
      <c r="N889" s="5" t="n">
        <v>0.42</v>
      </c>
    </row>
    <row r="890">
      <c r="A890" t="n">
        <v>889</v>
      </c>
      <c r="B890" t="n">
        <v>2015</v>
      </c>
      <c r="C890" t="inlineStr">
        <is>
          <t>Makarei Kaye Pujadas</t>
        </is>
      </c>
      <c r="D890">
        <f>HYPERLINK("https://ota.tournamentsoftware.com/player-profile/3265ABF0-65AE-44F0-8F32-63163EC4FE8F", "Link")</f>
        <v/>
      </c>
      <c r="E890" s="3" t="n">
        <v>1.426</v>
      </c>
      <c r="F890" s="4" t="n">
        <v>1</v>
      </c>
      <c r="G890" t="inlineStr">
        <is>
          <t>Tennis Alberta</t>
        </is>
      </c>
      <c r="H890" t="inlineStr">
        <is>
          <t>Mega Courts Pickleball and Tennis</t>
        </is>
      </c>
      <c r="I890" t="n">
        <v>39.1</v>
      </c>
      <c r="J890" s="4" t="n">
        <v>22</v>
      </c>
      <c r="K890" t="inlineStr">
        <is>
          <t>9 / 13</t>
        </is>
      </c>
      <c r="L890" t="inlineStr">
        <is>
          <t>3 / 5</t>
        </is>
      </c>
      <c r="M890" s="5" t="n">
        <v>0.41</v>
      </c>
      <c r="N890" s="5" t="n">
        <v>0.38</v>
      </c>
    </row>
    <row r="891">
      <c r="A891" t="n">
        <v>889</v>
      </c>
      <c r="B891" t="n">
        <v>2015</v>
      </c>
      <c r="C891" t="inlineStr">
        <is>
          <t>Alison Kao</t>
        </is>
      </c>
      <c r="D891">
        <f>HYPERLINK("https://ota.tournamentsoftware.com/player-profile/BAEC89E7-F54C-49F7-AA56-227606797D02", "Link")</f>
        <v/>
      </c>
      <c r="E891" s="3" t="n">
        <v>1.426</v>
      </c>
      <c r="F891" s="4" t="n">
        <v>1</v>
      </c>
      <c r="G891" t="inlineStr">
        <is>
          <t>Tennis Alberta</t>
        </is>
      </c>
      <c r="H891" t="inlineStr">
        <is>
          <t>Osten &amp; Victor Alberta Tennis Centre</t>
        </is>
      </c>
      <c r="I891" t="n">
        <v>37.8</v>
      </c>
      <c r="J891" s="4" t="n">
        <v>33</v>
      </c>
      <c r="K891" t="inlineStr">
        <is>
          <t>15 / 18</t>
        </is>
      </c>
      <c r="L891" t="inlineStr">
        <is>
          <t>5 / 3</t>
        </is>
      </c>
      <c r="M891" s="5" t="n">
        <v>0.45</v>
      </c>
      <c r="N891" s="5" t="n">
        <v>0.62</v>
      </c>
    </row>
    <row r="892">
      <c r="A892" t="n">
        <v>889</v>
      </c>
      <c r="B892" t="n">
        <v>2015</v>
      </c>
      <c r="C892" t="inlineStr">
        <is>
          <t>Ruhi Juneja</t>
        </is>
      </c>
      <c r="D892">
        <f>HYPERLINK("https://ota.tournamentsoftware.com/player-profile/E7A03006-4960-4A35-8B80-22CB122EB413", "Link")</f>
        <v/>
      </c>
      <c r="E892" s="3" t="n">
        <v>1.426</v>
      </c>
      <c r="F892" s="4" t="n">
        <v>1</v>
      </c>
      <c r="G892" t="inlineStr">
        <is>
          <t>Tennis Alberta</t>
        </is>
      </c>
      <c r="H892" t="inlineStr">
        <is>
          <t>IQ Tennis and Pickleball Centre</t>
        </is>
      </c>
      <c r="I892" t="n">
        <v>37.6</v>
      </c>
      <c r="J892" s="4" t="n">
        <v>1</v>
      </c>
      <c r="K892" t="inlineStr">
        <is>
          <t>0 / 1</t>
        </is>
      </c>
      <c r="L892" t="inlineStr">
        <is>
          <t>0 / 1</t>
        </is>
      </c>
      <c r="M892" s="5" t="n">
        <v>0</v>
      </c>
      <c r="N892" s="5" t="n">
        <v>0</v>
      </c>
    </row>
    <row r="893">
      <c r="A893" t="n">
        <v>889</v>
      </c>
      <c r="B893" t="n">
        <v>2015</v>
      </c>
      <c r="C893" t="inlineStr">
        <is>
          <t>Elyse Pritchard</t>
        </is>
      </c>
      <c r="D893">
        <f>HYPERLINK("https://ota.tournamentsoftware.com/player-profile/BB85EE3A-D120-4D12-9084-91A38B09AF2C", "Link")</f>
        <v/>
      </c>
      <c r="E893" s="3" t="n">
        <v>1.426</v>
      </c>
      <c r="F893" s="4" t="n">
        <v>1</v>
      </c>
      <c r="G893" t="inlineStr">
        <is>
          <t>Tennis Alberta</t>
        </is>
      </c>
      <c r="H893" t="inlineStr">
        <is>
          <t>Edgemont Athletic</t>
        </is>
      </c>
      <c r="I893" t="n">
        <v>38.6</v>
      </c>
      <c r="J893" s="4" t="n">
        <v>10</v>
      </c>
      <c r="K893" t="inlineStr">
        <is>
          <t>0 / 10</t>
        </is>
      </c>
      <c r="L893" t="inlineStr">
        <is>
          <t>0 / 2</t>
        </is>
      </c>
      <c r="M893" s="5" t="n">
        <v>0</v>
      </c>
      <c r="N893" s="5" t="n">
        <v>0</v>
      </c>
    </row>
    <row r="894">
      <c r="A894" t="n">
        <v>889</v>
      </c>
      <c r="B894" t="n">
        <v>2014</v>
      </c>
      <c r="C894" t="inlineStr">
        <is>
          <t>Tillya Villeneuve</t>
        </is>
      </c>
      <c r="D894">
        <f>HYPERLINK("https://ota.tournamentsoftware.com/player-profile/B96926BC-0825-4914-B6C7-E7906E4AC960", "Link")</f>
        <v/>
      </c>
      <c r="E894" s="3" t="n">
        <v>1.426</v>
      </c>
      <c r="F894" s="4" t="n">
        <v>2</v>
      </c>
      <c r="G894" t="inlineStr">
        <is>
          <t>Tennis Alberta</t>
        </is>
      </c>
      <c r="H894" t="inlineStr">
        <is>
          <t>Aforza</t>
        </is>
      </c>
      <c r="I894" t="inlineStr">
        <is>
          <t>unavailable</t>
        </is>
      </c>
      <c r="J894" s="4" t="n">
        <v>5</v>
      </c>
      <c r="K894" t="inlineStr">
        <is>
          <t>2 / 3</t>
        </is>
      </c>
      <c r="L894" t="inlineStr">
        <is>
          <t>2 / 3</t>
        </is>
      </c>
      <c r="M894" s="5" t="n">
        <v>0.4</v>
      </c>
      <c r="N894" s="5" t="n">
        <v>0.4</v>
      </c>
    </row>
    <row r="895">
      <c r="A895" t="n">
        <v>894</v>
      </c>
      <c r="B895" t="n">
        <v>2013</v>
      </c>
      <c r="C895" t="inlineStr">
        <is>
          <t>Vittoria Veronica Noce</t>
        </is>
      </c>
      <c r="D895">
        <f>HYPERLINK("https://ota.tournamentsoftware.com/player-profile/00D388D4-0B24-4339-9B51-BDB96207A30D", "Link")</f>
        <v/>
      </c>
      <c r="E895" s="3" t="n">
        <v>1.322</v>
      </c>
      <c r="F895" s="4" t="n">
        <v>2</v>
      </c>
      <c r="G895" t="inlineStr">
        <is>
          <t>Tennis Alberta</t>
        </is>
      </c>
      <c r="H895" t="inlineStr">
        <is>
          <t>Derrick Golf &amp; Winter Club</t>
        </is>
      </c>
      <c r="I895" t="n">
        <v>40</v>
      </c>
      <c r="J895" s="4" t="n">
        <v>49</v>
      </c>
      <c r="K895" t="inlineStr">
        <is>
          <t>13 / 36</t>
        </is>
      </c>
      <c r="L895" t="inlineStr">
        <is>
          <t>3 / 3</t>
        </is>
      </c>
      <c r="M895" s="5" t="n">
        <v>0.27</v>
      </c>
      <c r="N895" s="5" t="n">
        <v>0.5</v>
      </c>
    </row>
    <row r="896">
      <c r="A896" t="n">
        <v>894</v>
      </c>
      <c r="B896" t="n">
        <v>2013</v>
      </c>
      <c r="C896" t="inlineStr">
        <is>
          <t>Jane Reinhart</t>
        </is>
      </c>
      <c r="D896">
        <f>HYPERLINK("https://ota.tournamentsoftware.com/player-profile/84D5B790-9C0B-4064-8067-7D45BCFACC7F", "Link")</f>
        <v/>
      </c>
      <c r="E896" s="3" t="n">
        <v>1.322</v>
      </c>
      <c r="F896" s="4" t="n">
        <v>1</v>
      </c>
      <c r="G896" t="inlineStr">
        <is>
          <t>Tennis Alberta</t>
        </is>
      </c>
      <c r="H896" t="inlineStr">
        <is>
          <t>The Glencoe Club</t>
        </is>
      </c>
      <c r="I896" t="inlineStr">
        <is>
          <t>unavailable</t>
        </is>
      </c>
      <c r="J896" s="4" t="n">
        <v>2</v>
      </c>
      <c r="K896" t="inlineStr">
        <is>
          <t>1 / 1</t>
        </is>
      </c>
      <c r="L896" t="inlineStr">
        <is>
          <t>1 / 1</t>
        </is>
      </c>
      <c r="M896" s="5" t="n">
        <v>0.5</v>
      </c>
      <c r="N896" s="5" t="n">
        <v>0.5</v>
      </c>
    </row>
    <row r="897">
      <c r="A897" t="n">
        <v>894</v>
      </c>
      <c r="B897" t="n">
        <v>2012</v>
      </c>
      <c r="C897" t="inlineStr">
        <is>
          <t>Olivia Lee</t>
        </is>
      </c>
      <c r="D897">
        <f>HYPERLINK("https://ota.tournamentsoftware.com/player-profile/1D7FCC9B-08EE-4210-A681-04CBB94829B0", "Link")</f>
        <v/>
      </c>
      <c r="E897" s="3" t="n">
        <v>1.322</v>
      </c>
      <c r="F897" s="4" t="n">
        <v>1</v>
      </c>
      <c r="G897" t="inlineStr">
        <is>
          <t>Tennis Alberta</t>
        </is>
      </c>
      <c r="H897" t="inlineStr">
        <is>
          <t>Calgary - Public</t>
        </is>
      </c>
      <c r="I897" t="n">
        <v>40</v>
      </c>
      <c r="J897" s="4" t="n">
        <v>24</v>
      </c>
      <c r="K897" t="inlineStr">
        <is>
          <t>6 / 18</t>
        </is>
      </c>
      <c r="L897" t="inlineStr">
        <is>
          <t>1 / 2</t>
        </is>
      </c>
      <c r="M897" s="5" t="n">
        <v>0.25</v>
      </c>
      <c r="N897" s="5" t="n">
        <v>0.33</v>
      </c>
    </row>
    <row r="898">
      <c r="A898" t="n">
        <v>897</v>
      </c>
      <c r="B898" t="n">
        <v>2013</v>
      </c>
      <c r="C898" t="inlineStr">
        <is>
          <t>Ophelia Swan Hughes</t>
        </is>
      </c>
      <c r="D898">
        <f>HYPERLINK("https://ota.tournamentsoftware.com/player-profile/8141EB21-2AAE-464A-981A-1B41AF01ABA8", "Link")</f>
        <v/>
      </c>
      <c r="E898" s="3" t="n">
        <v>1.082</v>
      </c>
      <c r="F898" s="4" t="n">
        <v>1</v>
      </c>
      <c r="G898" t="inlineStr">
        <is>
          <t>Tennis Alberta</t>
        </is>
      </c>
      <c r="H898" t="inlineStr">
        <is>
          <t>The Glencoe Club</t>
        </is>
      </c>
      <c r="I898" t="n">
        <v>38.6</v>
      </c>
      <c r="J898" s="4" t="n">
        <v>2</v>
      </c>
      <c r="K898" t="inlineStr">
        <is>
          <t>0 / 2</t>
        </is>
      </c>
      <c r="L898" t="inlineStr">
        <is>
          <t>0 / 2</t>
        </is>
      </c>
      <c r="M898" s="5" t="n">
        <v>0</v>
      </c>
      <c r="N898" s="5" t="n">
        <v>0</v>
      </c>
    </row>
    <row r="899">
      <c r="A899" t="n">
        <v>898</v>
      </c>
      <c r="B899" t="n">
        <v>2014</v>
      </c>
      <c r="C899" t="inlineStr">
        <is>
          <t>Venba Prabhaharan</t>
        </is>
      </c>
      <c r="D899">
        <f>HYPERLINK("https://ota.tournamentsoftware.com/player-profile/4BCE45CF-F4D8-4218-B8D2-C0F2EE91D2A7", "Link")</f>
        <v/>
      </c>
      <c r="E899" s="3" t="n">
        <v>0.778</v>
      </c>
      <c r="F899" s="4" t="n">
        <v>1</v>
      </c>
      <c r="G899" t="inlineStr">
        <is>
          <t>Tennis Alberta</t>
        </is>
      </c>
      <c r="H899" t="inlineStr">
        <is>
          <t>Osten &amp; Victor Alberta Tennis Centre</t>
        </is>
      </c>
      <c r="I899" t="n">
        <v>37.7</v>
      </c>
      <c r="J899" s="4" t="n">
        <v>22</v>
      </c>
      <c r="K899" t="inlineStr">
        <is>
          <t>3 / 19</t>
        </is>
      </c>
      <c r="L899" t="inlineStr">
        <is>
          <t>0 / 0</t>
        </is>
      </c>
      <c r="M899" s="5" t="n">
        <v>0.14</v>
      </c>
      <c r="N899" s="5" t="n">
        <v>0</v>
      </c>
    </row>
    <row r="900">
      <c r="A900" t="n">
        <v>899</v>
      </c>
      <c r="B900" t="n">
        <v>2014</v>
      </c>
      <c r="C900" t="inlineStr">
        <is>
          <t>Sobha Kaur Sandhu</t>
        </is>
      </c>
      <c r="D900">
        <f>HYPERLINK("https://ota.tournamentsoftware.com/player-profile/6EB9CA55-6698-4613-9881-4D8AFB71AC67", "Link")</f>
        <v/>
      </c>
      <c r="E900" s="3" t="n">
        <v>0.615</v>
      </c>
      <c r="F900" s="4" t="n">
        <v>1</v>
      </c>
      <c r="G900" t="inlineStr">
        <is>
          <t>Tennis Alberta</t>
        </is>
      </c>
      <c r="H900" t="inlineStr">
        <is>
          <t>Calgary Winter Club</t>
        </is>
      </c>
      <c r="I900" t="inlineStr">
        <is>
          <t>unavailable</t>
        </is>
      </c>
      <c r="J900" s="4" t="n">
        <v>2</v>
      </c>
      <c r="K900" t="inlineStr">
        <is>
          <t>0 / 2</t>
        </is>
      </c>
      <c r="L900" t="inlineStr">
        <is>
          <t>0 / 0</t>
        </is>
      </c>
      <c r="M900" s="5" t="n">
        <v>0</v>
      </c>
      <c r="N900" s="5" t="n">
        <v>0</v>
      </c>
    </row>
    <row r="901">
      <c r="A901" t="n">
        <v>900</v>
      </c>
      <c r="B901" t="n">
        <v>2013</v>
      </c>
      <c r="C901" t="inlineStr">
        <is>
          <t>Lilian Muhammad</t>
        </is>
      </c>
      <c r="D901">
        <f>HYPERLINK("https://ota.tournamentsoftware.com/player-profile/4D303EDB-252F-41F3-ACFD-967A4123F0F1", "Link")</f>
        <v/>
      </c>
      <c r="E901" s="3" t="n">
        <v>0</v>
      </c>
      <c r="F901" s="4" t="n">
        <v>2</v>
      </c>
      <c r="G901" t="inlineStr">
        <is>
          <t>Tennis Alberta</t>
        </is>
      </c>
      <c r="H901" t="inlineStr">
        <is>
          <t>No Club</t>
        </is>
      </c>
      <c r="I901" t="n">
        <v>33.8</v>
      </c>
      <c r="J901" s="4" t="n">
        <v>121</v>
      </c>
      <c r="K901" t="inlineStr">
        <is>
          <t>61 / 60</t>
        </is>
      </c>
      <c r="L901" t="inlineStr">
        <is>
          <t>0 / 0</t>
        </is>
      </c>
      <c r="M901" s="5" t="n">
        <v>0.5</v>
      </c>
      <c r="N901" s="5" t="n">
        <v>0</v>
      </c>
    </row>
  </sheetData>
  <autoFilter ref="A1:N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18560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18.6</v>
      </c>
      <c r="J2" s="4" t="n">
        <v>334</v>
      </c>
      <c r="K2" t="inlineStr">
        <is>
          <t>180 / 154</t>
        </is>
      </c>
      <c r="L2" t="inlineStr">
        <is>
          <t>4 / 2</t>
        </is>
      </c>
      <c r="M2" s="5" t="n">
        <v>0.54</v>
      </c>
      <c r="N2" s="5" t="n">
        <v>0.67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10800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9895.576999999999</v>
      </c>
      <c r="F4" s="4" t="n">
        <v>12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14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Victoria Koniouchine</t>
        </is>
      </c>
      <c r="D6">
        <f>HYPERLINK("https://ota.tournamentsoftware.com/player-profile/4F2575CB-84B4-4072-ABEF-7652A7E74DBA", "Link")</f>
        <v/>
      </c>
      <c r="E6" s="3" t="n">
        <v>8177</v>
      </c>
      <c r="F6" s="4" t="n">
        <v>14</v>
      </c>
      <c r="G6" t="inlineStr">
        <is>
          <t>Tennis Québec</t>
        </is>
      </c>
      <c r="H6" t="inlineStr">
        <is>
          <t>Tennis Montréal Excellence</t>
        </is>
      </c>
      <c r="I6" t="n">
        <v>19.6</v>
      </c>
      <c r="J6" s="4" t="n">
        <v>374</v>
      </c>
      <c r="K6" t="inlineStr">
        <is>
          <t>240 / 134</t>
        </is>
      </c>
      <c r="L6" t="inlineStr">
        <is>
          <t>18 / 4</t>
        </is>
      </c>
      <c r="M6" s="5" t="n">
        <v>0.64</v>
      </c>
      <c r="N6" s="5" t="n">
        <v>0.82</v>
      </c>
    </row>
    <row r="7">
      <c r="A7" t="n">
        <v>6</v>
      </c>
      <c r="B7" t="n">
        <v>2012</v>
      </c>
      <c r="C7" t="inlineStr">
        <is>
          <t>Ruijing Chen</t>
        </is>
      </c>
      <c r="D7">
        <f>HYPERLINK("https://ota.tournamentsoftware.com/player-profile/CF3F9020-5B8A-4448-8412-B206DFD70D34", "Link")</f>
        <v/>
      </c>
      <c r="E7" s="3" t="n">
        <v>7050.04</v>
      </c>
      <c r="F7" s="4" t="n">
        <v>19</v>
      </c>
      <c r="G7" t="inlineStr">
        <is>
          <t>British Columbia</t>
        </is>
      </c>
      <c r="H7" t="inlineStr">
        <is>
          <t>North Vancouver Tennis Centre</t>
        </is>
      </c>
      <c r="I7" t="n">
        <v>20.8</v>
      </c>
      <c r="J7" s="4" t="n">
        <v>266</v>
      </c>
      <c r="K7" t="inlineStr">
        <is>
          <t>153 / 113</t>
        </is>
      </c>
      <c r="L7" t="inlineStr">
        <is>
          <t>35 / 18</t>
        </is>
      </c>
      <c r="M7" s="5" t="n">
        <v>0.58</v>
      </c>
      <c r="N7" s="5" t="n">
        <v>0.66</v>
      </c>
    </row>
    <row r="8">
      <c r="A8" t="n">
        <v>7</v>
      </c>
      <c r="B8" t="n">
        <v>2013</v>
      </c>
      <c r="C8" t="inlineStr">
        <is>
          <t>Callie Raharinosy</t>
        </is>
      </c>
      <c r="D8">
        <f>HYPERLINK("https://ota.tournamentsoftware.com/player-profile/C3BB19C9-39F8-4DF4-A576-AAB3D92B85C3", "Link")</f>
        <v/>
      </c>
      <c r="E8" s="3" t="n">
        <v>6722.294</v>
      </c>
      <c r="F8" s="4" t="n">
        <v>14</v>
      </c>
      <c r="G8" t="inlineStr">
        <is>
          <t>Ontario Tennis Association</t>
        </is>
      </c>
      <c r="H8" t="inlineStr">
        <is>
          <t>Richmondhill Golf &amp; Country Club</t>
        </is>
      </c>
      <c r="I8" t="n">
        <v>21</v>
      </c>
      <c r="J8" s="4" t="n">
        <v>237</v>
      </c>
      <c r="K8" t="inlineStr">
        <is>
          <t>152 / 85</t>
        </is>
      </c>
      <c r="L8" t="inlineStr">
        <is>
          <t>21 / 10</t>
        </is>
      </c>
      <c r="M8" s="5" t="n">
        <v>0.64</v>
      </c>
      <c r="N8" s="5" t="n">
        <v>0.68</v>
      </c>
    </row>
    <row r="9">
      <c r="A9" t="n">
        <v>8</v>
      </c>
      <c r="B9" t="n">
        <v>2012</v>
      </c>
      <c r="C9" t="inlineStr">
        <is>
          <t>Karina Swaminath</t>
        </is>
      </c>
      <c r="D9">
        <f>HYPERLINK("https://ota.tournamentsoftware.com/player-profile/4DB9D061-D74F-4482-87A3-9C7480D14EFD", "Link")</f>
        <v/>
      </c>
      <c r="E9" s="3" t="n">
        <v>6397.318</v>
      </c>
      <c r="F9" s="4" t="n">
        <v>19</v>
      </c>
      <c r="G9" t="inlineStr">
        <is>
          <t>Ontario Tennis Association</t>
        </is>
      </c>
      <c r="H9" t="inlineStr">
        <is>
          <t>Premier Racquet Clubs – Mississauga</t>
        </is>
      </c>
      <c r="I9" t="n">
        <v>19.8</v>
      </c>
      <c r="J9" s="4" t="n">
        <v>306</v>
      </c>
      <c r="K9" t="inlineStr">
        <is>
          <t>199 / 107</t>
        </is>
      </c>
      <c r="L9" t="inlineStr">
        <is>
          <t>36 / 14</t>
        </is>
      </c>
      <c r="M9" s="5" t="n">
        <v>0.65</v>
      </c>
      <c r="N9" s="5" t="n">
        <v>0.72</v>
      </c>
    </row>
    <row r="10">
      <c r="A10" t="n">
        <v>9</v>
      </c>
      <c r="B10" t="n">
        <v>2012</v>
      </c>
      <c r="C10" t="inlineStr">
        <is>
          <t>kendra zhang</t>
        </is>
      </c>
      <c r="D10">
        <f>HYPERLINK("https://ota.tournamentsoftware.com/player-profile/23508257-17E1-4A1F-A208-90A41A8C5BC8", "Link")</f>
        <v/>
      </c>
      <c r="E10" s="3" t="n">
        <v>6166.12</v>
      </c>
      <c r="F10" s="4" t="n">
        <v>16</v>
      </c>
      <c r="G10" t="inlineStr">
        <is>
          <t>Tennis Alberta</t>
        </is>
      </c>
      <c r="H10" t="inlineStr">
        <is>
          <t>Osten &amp; Victor Alberta Tennis Centre</t>
        </is>
      </c>
      <c r="I10" t="n">
        <v>20</v>
      </c>
      <c r="J10" s="4" t="n">
        <v>310</v>
      </c>
      <c r="K10" t="inlineStr">
        <is>
          <t>245 / 65</t>
        </is>
      </c>
      <c r="L10" t="inlineStr">
        <is>
          <t>36 / 3</t>
        </is>
      </c>
      <c r="M10" s="5" t="n">
        <v>0.79</v>
      </c>
      <c r="N10" s="5" t="n">
        <v>0.92</v>
      </c>
    </row>
    <row r="11">
      <c r="A11" t="n">
        <v>10</v>
      </c>
      <c r="B11" t="n">
        <v>2012</v>
      </c>
      <c r="C11" t="inlineStr">
        <is>
          <t>Zimo Xiang</t>
        </is>
      </c>
      <c r="D11">
        <f>HYPERLINK("https://ota.tournamentsoftware.com/player-profile/16758178-BB4B-49F9-847E-3024E74D5A86", "Link")</f>
        <v/>
      </c>
      <c r="E11" s="3" t="n">
        <v>5677.076</v>
      </c>
      <c r="F11" s="4" t="n">
        <v>20</v>
      </c>
      <c r="G11" t="inlineStr">
        <is>
          <t>Tennis Alberta</t>
        </is>
      </c>
      <c r="H11" t="inlineStr">
        <is>
          <t>Osten &amp; Victor Alberta Tennis Centre</t>
        </is>
      </c>
      <c r="I11" t="n">
        <v>18.5</v>
      </c>
      <c r="J11" s="4" t="n">
        <v>336</v>
      </c>
      <c r="K11" t="inlineStr">
        <is>
          <t>256 / 80</t>
        </is>
      </c>
      <c r="L11" t="inlineStr">
        <is>
          <t>42 / 7</t>
        </is>
      </c>
      <c r="M11" s="5" t="n">
        <v>0.76</v>
      </c>
      <c r="N11" s="5" t="n">
        <v>0.86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5600.6</v>
      </c>
      <c r="F12" s="4" t="n">
        <v>20</v>
      </c>
      <c r="G12" t="inlineStr">
        <is>
          <t>British Columbia</t>
        </is>
      </c>
      <c r="H12" t="inlineStr">
        <is>
          <t>Kamloops Tennis Centre</t>
        </is>
      </c>
      <c r="I12" t="n">
        <v>21</v>
      </c>
      <c r="J12" s="4" t="n">
        <v>230</v>
      </c>
      <c r="K12" t="inlineStr">
        <is>
          <t>154 / 76</t>
        </is>
      </c>
      <c r="L12" t="inlineStr">
        <is>
          <t>33 / 14</t>
        </is>
      </c>
      <c r="M12" s="5" t="n">
        <v>0.67</v>
      </c>
      <c r="N12" s="5" t="n">
        <v>0.7</v>
      </c>
    </row>
    <row r="13">
      <c r="A13" t="n">
        <v>12</v>
      </c>
      <c r="B13" t="n">
        <v>2013</v>
      </c>
      <c r="C13" t="inlineStr">
        <is>
          <t>Paris Radovic</t>
        </is>
      </c>
      <c r="D13">
        <f>HYPERLINK("https://ota.tournamentsoftware.com/player-profile/F1F29E41-D080-473C-93A3-FEF9F1122EE3", "Link")</f>
        <v/>
      </c>
      <c r="E13" s="3" t="n">
        <v>5430</v>
      </c>
      <c r="F13" s="4" t="n">
        <v>17</v>
      </c>
      <c r="G13" t="inlineStr">
        <is>
          <t>Ontario Tennis Association</t>
        </is>
      </c>
      <c r="H13" t="inlineStr">
        <is>
          <t>Advantage Tennis International at Veneto</t>
        </is>
      </c>
      <c r="I13" t="n">
        <v>21.8</v>
      </c>
      <c r="J13" s="4" t="n">
        <v>284</v>
      </c>
      <c r="K13" t="inlineStr">
        <is>
          <t>184 / 100</t>
        </is>
      </c>
      <c r="L13" t="inlineStr">
        <is>
          <t>28 / 10</t>
        </is>
      </c>
      <c r="M13" s="5" t="n">
        <v>0.65</v>
      </c>
      <c r="N13" s="5" t="n">
        <v>0.74</v>
      </c>
    </row>
    <row r="14">
      <c r="A14" t="n">
        <v>13</v>
      </c>
      <c r="B14" t="n">
        <v>2013</v>
      </c>
      <c r="C14" t="inlineStr">
        <is>
          <t>Urvi Singh</t>
        </is>
      </c>
      <c r="D14">
        <f>HYPERLINK("https://ota.tournamentsoftware.com/player-profile/20590827-22F8-402F-BC87-449928EE4236", "Link")</f>
        <v/>
      </c>
      <c r="E14" s="3" t="n">
        <v>5247.216</v>
      </c>
      <c r="F14" s="4" t="n">
        <v>17</v>
      </c>
      <c r="G14" t="inlineStr">
        <is>
          <t>Ontario Tennis Association</t>
        </is>
      </c>
      <c r="H14" t="inlineStr">
        <is>
          <t>Guildwood Tennis Club</t>
        </is>
      </c>
      <c r="I14" t="n">
        <v>20.3</v>
      </c>
      <c r="J14" s="4" t="n">
        <v>250</v>
      </c>
      <c r="K14" t="inlineStr">
        <is>
          <t>156 / 94</t>
        </is>
      </c>
      <c r="L14" t="inlineStr">
        <is>
          <t>28 / 12</t>
        </is>
      </c>
      <c r="M14" s="5" t="n">
        <v>0.62</v>
      </c>
      <c r="N14" s="5" t="n">
        <v>0.7</v>
      </c>
    </row>
    <row r="15">
      <c r="A15" t="n">
        <v>14</v>
      </c>
      <c r="B15" t="n">
        <v>2012</v>
      </c>
      <c r="C15" t="inlineStr">
        <is>
          <t>Angelica Panzieri</t>
        </is>
      </c>
      <c r="D15">
        <f>HYPERLINK("https://ota.tournamentsoftware.com/player-profile/E0ECCDC8-BEA7-4546-BAF7-5DF193FA2378", "Link")</f>
        <v/>
      </c>
      <c r="E15" s="3" t="n">
        <v>5079.44</v>
      </c>
      <c r="F15" s="4" t="n">
        <v>22</v>
      </c>
      <c r="G15" t="inlineStr">
        <is>
          <t>British Columbia</t>
        </is>
      </c>
      <c r="H15" t="inlineStr">
        <is>
          <t>North Vancouver Tennis Centre</t>
        </is>
      </c>
      <c r="I15" t="n">
        <v>21.9</v>
      </c>
      <c r="J15" s="4" t="n">
        <v>345</v>
      </c>
      <c r="K15" t="inlineStr">
        <is>
          <t>198 / 147</t>
        </is>
      </c>
      <c r="L15" t="inlineStr">
        <is>
          <t>41 / 20</t>
        </is>
      </c>
      <c r="M15" s="5" t="n">
        <v>0.57</v>
      </c>
      <c r="N15" s="5" t="n">
        <v>0.67</v>
      </c>
    </row>
    <row r="16">
      <c r="A16" t="n">
        <v>15</v>
      </c>
      <c r="B16" t="n">
        <v>2012</v>
      </c>
      <c r="C16" t="inlineStr">
        <is>
          <t>Amelia Mishelle Simutin</t>
        </is>
      </c>
      <c r="D16">
        <f>HYPERLINK("https://ota.tournamentsoftware.com/player-profile/35C4C9E4-BC47-4EAA-A89B-06AB12C19B49", "Link")</f>
        <v/>
      </c>
      <c r="E16" s="3" t="n">
        <v>4696.2</v>
      </c>
      <c r="F16" s="4" t="n">
        <v>21</v>
      </c>
      <c r="G16" t="inlineStr">
        <is>
          <t>Ontario Tennis Association</t>
        </is>
      </c>
      <c r="H16" t="inlineStr">
        <is>
          <t>North Toronto Tennis Club</t>
        </is>
      </c>
      <c r="I16" t="n">
        <v>21.1</v>
      </c>
      <c r="J16" s="4" t="n">
        <v>297</v>
      </c>
      <c r="K16" t="inlineStr">
        <is>
          <t>203 / 94</t>
        </is>
      </c>
      <c r="L16" t="inlineStr">
        <is>
          <t>31 / 19</t>
        </is>
      </c>
      <c r="M16" s="5" t="n">
        <v>0.68</v>
      </c>
      <c r="N16" s="5" t="n">
        <v>0.62</v>
      </c>
    </row>
    <row r="17">
      <c r="A17" t="n">
        <v>16</v>
      </c>
      <c r="B17" t="n">
        <v>2012</v>
      </c>
      <c r="C17" t="inlineStr">
        <is>
          <t>Elise Chen</t>
        </is>
      </c>
      <c r="D17">
        <f>HYPERLINK("https://ota.tournamentsoftware.com/player-profile/8E8A2CD5-37E0-4690-A780-846D1895BB0A", "Link")</f>
        <v/>
      </c>
      <c r="E17" s="3" t="n">
        <v>4625.573</v>
      </c>
      <c r="F17" s="4" t="n">
        <v>17</v>
      </c>
      <c r="G17" t="inlineStr">
        <is>
          <t>Tennis Québec</t>
        </is>
      </c>
      <c r="H17" t="inlineStr">
        <is>
          <t>AA Autre club</t>
        </is>
      </c>
      <c r="I17" t="n">
        <v>21.9</v>
      </c>
      <c r="J17" s="4" t="n">
        <v>334</v>
      </c>
      <c r="K17" t="inlineStr">
        <is>
          <t>219 / 115</t>
        </is>
      </c>
      <c r="L17" t="inlineStr">
        <is>
          <t>38 / 13</t>
        </is>
      </c>
      <c r="M17" s="5" t="n">
        <v>0.66</v>
      </c>
      <c r="N17" s="5" t="n">
        <v>0.75</v>
      </c>
    </row>
    <row r="18">
      <c r="A18" t="n">
        <v>17</v>
      </c>
      <c r="B18" t="n">
        <v>2013</v>
      </c>
      <c r="C18" t="inlineStr">
        <is>
          <t>Charlotte MacDonald</t>
        </is>
      </c>
      <c r="D18">
        <f>HYPERLINK("https://ota.tournamentsoftware.com/player-profile/C865FA15-1CF7-4628-A8F7-6AB8ED124599", "Link")</f>
        <v/>
      </c>
      <c r="E18" s="3" t="n">
        <v>4624.909</v>
      </c>
      <c r="F18" s="4" t="n">
        <v>20</v>
      </c>
      <c r="G18" t="inlineStr">
        <is>
          <t>Ontario Tennis Association</t>
        </is>
      </c>
      <c r="H18" t="inlineStr">
        <is>
          <t>10XTO</t>
        </is>
      </c>
      <c r="I18" t="n">
        <v>22.1</v>
      </c>
      <c r="J18" s="4" t="n">
        <v>331</v>
      </c>
      <c r="K18" t="inlineStr">
        <is>
          <t>229 / 102</t>
        </is>
      </c>
      <c r="L18" t="inlineStr">
        <is>
          <t>37 / 18</t>
        </is>
      </c>
      <c r="M18" s="5" t="n">
        <v>0.6899999999999999</v>
      </c>
      <c r="N18" s="5" t="n">
        <v>0.67</v>
      </c>
    </row>
    <row r="19">
      <c r="A19" t="n">
        <v>18</v>
      </c>
      <c r="B19" t="n">
        <v>2012</v>
      </c>
      <c r="C19" t="inlineStr">
        <is>
          <t>Clara Vicol</t>
        </is>
      </c>
      <c r="D19">
        <f>HYPERLINK("https://ota.tournamentsoftware.com/player-profile/A71836FF-9A71-48AD-96B3-DD39B38970B6", "Link")</f>
        <v/>
      </c>
      <c r="E19" s="3" t="n">
        <v>4462.04</v>
      </c>
      <c r="F19" s="4" t="n">
        <v>12</v>
      </c>
      <c r="G19" t="inlineStr">
        <is>
          <t>British Columbia</t>
        </is>
      </c>
      <c r="H19" t="inlineStr">
        <is>
          <t>Jericho Tennis Club</t>
        </is>
      </c>
      <c r="I19" t="n">
        <v>21.2</v>
      </c>
      <c r="J19" s="4" t="n">
        <v>402</v>
      </c>
      <c r="K19" t="inlineStr">
        <is>
          <t>248 / 154</t>
        </is>
      </c>
      <c r="L19" t="inlineStr">
        <is>
          <t>16 / 6</t>
        </is>
      </c>
      <c r="M19" s="5" t="n">
        <v>0.62</v>
      </c>
      <c r="N19" s="5" t="n">
        <v>0.73</v>
      </c>
    </row>
    <row r="20">
      <c r="A20" t="n">
        <v>19</v>
      </c>
      <c r="B20" t="n">
        <v>2013</v>
      </c>
      <c r="C20" t="inlineStr">
        <is>
          <t>Bishop Yonna Grossutti</t>
        </is>
      </c>
      <c r="D20">
        <f>HYPERLINK("https://ota.tournamentsoftware.com/player-profile/3FE8248C-2DBE-46EB-8C24-0AC82A0EC942", "Link")</f>
        <v/>
      </c>
      <c r="E20" s="3" t="n">
        <v>4190.901</v>
      </c>
      <c r="F20" s="4" t="n">
        <v>14</v>
      </c>
      <c r="G20" t="inlineStr">
        <is>
          <t>British Columbia</t>
        </is>
      </c>
      <c r="H20" t="inlineStr">
        <is>
          <t>No Club</t>
        </is>
      </c>
      <c r="I20" t="n">
        <v>21.6</v>
      </c>
      <c r="J20" s="4" t="n">
        <v>213</v>
      </c>
      <c r="K20" t="inlineStr">
        <is>
          <t>144 / 69</t>
        </is>
      </c>
      <c r="L20" t="inlineStr">
        <is>
          <t>34 / 11</t>
        </is>
      </c>
      <c r="M20" s="5" t="n">
        <v>0.68</v>
      </c>
      <c r="N20" s="5" t="n">
        <v>0.76</v>
      </c>
    </row>
    <row r="21">
      <c r="A21" t="n">
        <v>20</v>
      </c>
      <c r="B21" t="n">
        <v>2012</v>
      </c>
      <c r="C21" t="inlineStr">
        <is>
          <t>Olivia Laberge</t>
        </is>
      </c>
      <c r="D21">
        <f>HYPERLINK("https://ota.tournamentsoftware.com/player-profile/A7EF36D6-49FF-4272-A982-22FEC5F0ECCD", "Link")</f>
        <v/>
      </c>
      <c r="E21" s="3" t="n">
        <v>4084.733</v>
      </c>
      <c r="F21" s="4" t="n">
        <v>20</v>
      </c>
      <c r="G21" t="inlineStr">
        <is>
          <t>Tennis Québec</t>
        </is>
      </c>
      <c r="H21" t="inlineStr">
        <is>
          <t>Tennis 13</t>
        </is>
      </c>
      <c r="I21" t="n">
        <v>21.8</v>
      </c>
      <c r="J21" s="4" t="n">
        <v>304</v>
      </c>
      <c r="K21" t="inlineStr">
        <is>
          <t>193 / 111</t>
        </is>
      </c>
      <c r="L21" t="inlineStr">
        <is>
          <t>49 / 18</t>
        </is>
      </c>
      <c r="M21" s="5" t="n">
        <v>0.63</v>
      </c>
      <c r="N21" s="5" t="n">
        <v>0.73</v>
      </c>
    </row>
    <row r="22">
      <c r="A22" t="n">
        <v>21</v>
      </c>
      <c r="B22" t="n">
        <v>2012</v>
      </c>
      <c r="C22" t="inlineStr">
        <is>
          <t>Emma Ciobanu</t>
        </is>
      </c>
      <c r="D22">
        <f>HYPERLINK("https://ota.tournamentsoftware.com/player-profile/3FF64A25-D930-4C5E-8E36-3F04D7602157", "Link")</f>
        <v/>
      </c>
      <c r="E22" s="3" t="n">
        <v>4015.186</v>
      </c>
      <c r="F22" s="4" t="n">
        <v>17</v>
      </c>
      <c r="G22" t="inlineStr">
        <is>
          <t>Tennis Québec</t>
        </is>
      </c>
      <c r="H22" t="inlineStr">
        <is>
          <t>No Club</t>
        </is>
      </c>
      <c r="I22" t="n">
        <v>22.3</v>
      </c>
      <c r="J22" s="4" t="n">
        <v>445</v>
      </c>
      <c r="K22" t="inlineStr">
        <is>
          <t>254 / 191</t>
        </is>
      </c>
      <c r="L22" t="inlineStr">
        <is>
          <t>12 / 9</t>
        </is>
      </c>
      <c r="M22" s="5" t="n">
        <v>0.57</v>
      </c>
      <c r="N22" s="5" t="n">
        <v>0.57</v>
      </c>
    </row>
    <row r="23">
      <c r="A23" t="n">
        <v>22</v>
      </c>
      <c r="B23" t="n">
        <v>2012</v>
      </c>
      <c r="C23" t="inlineStr">
        <is>
          <t>Tabitha Olivia Morisette</t>
        </is>
      </c>
      <c r="D23">
        <f>HYPERLINK("https://ota.tournamentsoftware.com/player-profile/805BE387-8522-4C5E-A95F-857E21DC38E1", "Link")</f>
        <v/>
      </c>
      <c r="E23" s="3" t="n">
        <v>3960.808</v>
      </c>
      <c r="F23" s="4" t="n">
        <v>15</v>
      </c>
      <c r="G23" t="inlineStr">
        <is>
          <t>British Columbia</t>
        </is>
      </c>
      <c r="H23" t="inlineStr">
        <is>
          <t>Tennis BC Hub @ Richmond</t>
        </is>
      </c>
      <c r="I23" t="n">
        <v>22.3</v>
      </c>
      <c r="J23" s="4" t="n">
        <v>300</v>
      </c>
      <c r="K23" t="inlineStr">
        <is>
          <t>175 / 125</t>
        </is>
      </c>
      <c r="L23" t="inlineStr">
        <is>
          <t>17 / 11</t>
        </is>
      </c>
      <c r="M23" s="5" t="n">
        <v>0.58</v>
      </c>
      <c r="N23" s="5" t="n">
        <v>0.61</v>
      </c>
    </row>
    <row r="24">
      <c r="A24" t="n">
        <v>23</v>
      </c>
      <c r="B24" t="n">
        <v>2012</v>
      </c>
      <c r="C24" t="inlineStr">
        <is>
          <t>mackenzie zeidel</t>
        </is>
      </c>
      <c r="D24">
        <f>HYPERLINK("https://ota.tournamentsoftware.com/player-profile/3BADD9C6-CD9A-4858-8E91-EA11AA267135", "Link")</f>
        <v/>
      </c>
      <c r="E24" s="3" t="n">
        <v>3863.288</v>
      </c>
      <c r="F24" s="4" t="n">
        <v>14</v>
      </c>
      <c r="G24" t="inlineStr">
        <is>
          <t>Ontario Tennis Association</t>
        </is>
      </c>
      <c r="H24" t="inlineStr">
        <is>
          <t>Toronto Cricket Skating &amp; Curling</t>
        </is>
      </c>
      <c r="I24" t="n">
        <v>21.5</v>
      </c>
      <c r="J24" s="4" t="n">
        <v>258</v>
      </c>
      <c r="K24" t="inlineStr">
        <is>
          <t>172 / 86</t>
        </is>
      </c>
      <c r="L24" t="inlineStr">
        <is>
          <t>25 / 13</t>
        </is>
      </c>
      <c r="M24" s="5" t="n">
        <v>0.67</v>
      </c>
      <c r="N24" s="5" t="n">
        <v>0.66</v>
      </c>
    </row>
    <row r="25">
      <c r="A25" t="n">
        <v>24</v>
      </c>
      <c r="B25" t="n">
        <v>2014</v>
      </c>
      <c r="C25" t="inlineStr">
        <is>
          <t>Zoe Mao</t>
        </is>
      </c>
      <c r="D25">
        <f>HYPERLINK("https://ota.tournamentsoftware.com/player-profile/9C661BB4-74A2-44E0-A97C-93470EF4AE2B", "Link")</f>
        <v/>
      </c>
      <c r="E25" s="3" t="n">
        <v>3649.12</v>
      </c>
      <c r="F25" s="4" t="n">
        <v>21</v>
      </c>
      <c r="G25" t="inlineStr">
        <is>
          <t>Tennis Alberta</t>
        </is>
      </c>
      <c r="H25" t="inlineStr">
        <is>
          <t>No Club</t>
        </is>
      </c>
      <c r="I25" t="n">
        <v>24.3</v>
      </c>
      <c r="J25" s="4" t="n">
        <v>207</v>
      </c>
      <c r="K25" t="inlineStr">
        <is>
          <t>143 / 64</t>
        </is>
      </c>
      <c r="L25" t="inlineStr">
        <is>
          <t>60 / 10</t>
        </is>
      </c>
      <c r="M25" s="5" t="n">
        <v>0.6899999999999999</v>
      </c>
      <c r="N25" s="5" t="n">
        <v>0.86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3368.771</v>
      </c>
      <c r="F26" s="4" t="n">
        <v>15</v>
      </c>
      <c r="G26" t="inlineStr">
        <is>
          <t>Tennis Québec</t>
        </is>
      </c>
      <c r="H26" t="inlineStr">
        <is>
          <t>Tennis Ile- des- Soeurs</t>
        </is>
      </c>
      <c r="I26" t="n">
        <v>22.5</v>
      </c>
      <c r="J26" s="4" t="n">
        <v>258</v>
      </c>
      <c r="K26" t="inlineStr">
        <is>
          <t>175 / 83</t>
        </is>
      </c>
      <c r="L26" t="inlineStr">
        <is>
          <t>39 / 12</t>
        </is>
      </c>
      <c r="M26" s="5" t="n">
        <v>0.68</v>
      </c>
      <c r="N26" s="5" t="n">
        <v>0.76</v>
      </c>
    </row>
    <row r="27">
      <c r="A27" t="n">
        <v>26</v>
      </c>
      <c r="B27" t="n">
        <v>2013</v>
      </c>
      <c r="C27" t="inlineStr">
        <is>
          <t>Vera Wing</t>
        </is>
      </c>
      <c r="D27">
        <f>HYPERLINK("https://ota.tournamentsoftware.com/player-profile/9436679B-ADF6-41C9-A343-AB5B05F342AE", "Link")</f>
        <v/>
      </c>
      <c r="E27" s="3" t="n">
        <v>3359.944</v>
      </c>
      <c r="F27" s="4" t="n">
        <v>20</v>
      </c>
      <c r="G27" t="inlineStr">
        <is>
          <t>Tennis Alberta</t>
        </is>
      </c>
      <c r="H27" t="inlineStr">
        <is>
          <t>Aforza</t>
        </is>
      </c>
      <c r="I27" t="n">
        <v>22.2</v>
      </c>
      <c r="J27" s="4" t="n">
        <v>341</v>
      </c>
      <c r="K27" t="inlineStr">
        <is>
          <t>216 / 125</t>
        </is>
      </c>
      <c r="L27" t="inlineStr">
        <is>
          <t>37 / 18</t>
        </is>
      </c>
      <c r="M27" s="5" t="n">
        <v>0.63</v>
      </c>
      <c r="N27" s="5" t="n">
        <v>0.67</v>
      </c>
    </row>
    <row r="28">
      <c r="A28" t="n">
        <v>27</v>
      </c>
      <c r="B28" t="n">
        <v>2012</v>
      </c>
      <c r="C28" t="inlineStr">
        <is>
          <t>Joni Faye Colburne</t>
        </is>
      </c>
      <c r="D28">
        <f>HYPERLINK("https://ota.tournamentsoftware.com/player-profile/497EB335-7B19-4354-A8BD-7D257EE2CBEF", "Link")</f>
        <v/>
      </c>
      <c r="E28" s="3" t="n">
        <v>3356.812</v>
      </c>
      <c r="F28" s="4" t="n">
        <v>10</v>
      </c>
      <c r="G28" t="inlineStr">
        <is>
          <t>Tennis Québec</t>
        </is>
      </c>
      <c r="H28" t="inlineStr">
        <is>
          <t>Stade IGA</t>
        </is>
      </c>
      <c r="I28" t="n">
        <v>22.6</v>
      </c>
      <c r="J28" s="4" t="n">
        <v>320</v>
      </c>
      <c r="K28" t="inlineStr">
        <is>
          <t>198 / 122</t>
        </is>
      </c>
      <c r="L28" t="inlineStr">
        <is>
          <t>4 / 1</t>
        </is>
      </c>
      <c r="M28" s="5" t="n">
        <v>0.62</v>
      </c>
      <c r="N28" s="5" t="n">
        <v>0.8</v>
      </c>
    </row>
    <row r="29">
      <c r="A29" t="n">
        <v>28</v>
      </c>
      <c r="B29" t="n">
        <v>2012</v>
      </c>
      <c r="C29" t="inlineStr">
        <is>
          <t>Ariel Desbiens</t>
        </is>
      </c>
      <c r="D29">
        <f>HYPERLINK("https://ota.tournamentsoftware.com/player-profile/7381CFF5-5BA3-457C-9F6C-499D0F36D2DD", "Link")</f>
        <v/>
      </c>
      <c r="E29" s="3" t="n">
        <v>3288</v>
      </c>
      <c r="F29" s="4" t="n">
        <v>28</v>
      </c>
      <c r="G29" t="inlineStr">
        <is>
          <t>Tennis Québec</t>
        </is>
      </c>
      <c r="H29" t="inlineStr">
        <is>
          <t>SANI Sport</t>
        </is>
      </c>
      <c r="I29" t="n">
        <v>23.4</v>
      </c>
      <c r="J29" s="4" t="n">
        <v>380</v>
      </c>
      <c r="K29" t="inlineStr">
        <is>
          <t>236 / 144</t>
        </is>
      </c>
      <c r="L29" t="inlineStr">
        <is>
          <t>45 / 25</t>
        </is>
      </c>
      <c r="M29" s="5" t="n">
        <v>0.62</v>
      </c>
      <c r="N29" s="5" t="n">
        <v>0.64</v>
      </c>
    </row>
    <row r="30">
      <c r="A30" t="n">
        <v>29</v>
      </c>
      <c r="B30" t="n">
        <v>2014</v>
      </c>
      <c r="C30" t="inlineStr">
        <is>
          <t>Yoyo Siyi Li</t>
        </is>
      </c>
      <c r="D30">
        <f>HYPERLINK("https://ota.tournamentsoftware.com/player-profile/E0E18831-EA34-4F88-BD1F-E79079687846", "Link")</f>
        <v/>
      </c>
      <c r="E30" s="3" t="n">
        <v>3252.016</v>
      </c>
      <c r="F30" s="4" t="n">
        <v>11</v>
      </c>
      <c r="G30" t="inlineStr">
        <is>
          <t>Tennis Saskatchewan</t>
        </is>
      </c>
      <c r="H30" t="inlineStr">
        <is>
          <t>Lakeshore Tennis Club</t>
        </is>
      </c>
      <c r="I30" t="inlineStr">
        <is>
          <t>unavailable</t>
        </is>
      </c>
      <c r="J30" s="4" t="n">
        <v>242</v>
      </c>
      <c r="K30" t="inlineStr">
        <is>
          <t>172 / 70</t>
        </is>
      </c>
      <c r="L30" t="inlineStr">
        <is>
          <t>54 / 7</t>
        </is>
      </c>
      <c r="M30" s="5" t="n">
        <v>0.71</v>
      </c>
      <c r="N30" s="5" t="n">
        <v>0.89</v>
      </c>
    </row>
    <row r="31">
      <c r="A31" t="n">
        <v>30</v>
      </c>
      <c r="B31" t="n">
        <v>2013</v>
      </c>
      <c r="C31" t="inlineStr">
        <is>
          <t>YASMINE SOUISSI</t>
        </is>
      </c>
      <c r="D31">
        <f>HYPERLINK("https://ota.tournamentsoftware.com/player-profile/1B8E66F9-8E72-48A5-A280-1ADD14488B21", "Link")</f>
        <v/>
      </c>
      <c r="E31" s="3" t="n">
        <v>3080.814</v>
      </c>
      <c r="F31" s="4" t="n">
        <v>10</v>
      </c>
      <c r="G31" t="inlineStr">
        <is>
          <t>Tennis Québec</t>
        </is>
      </c>
      <c r="H31" t="inlineStr">
        <is>
          <t>Tennis 13</t>
        </is>
      </c>
      <c r="I31" t="n">
        <v>23.1</v>
      </c>
      <c r="J31" s="4" t="n">
        <v>242</v>
      </c>
      <c r="K31" t="inlineStr">
        <is>
          <t>163 / 79</t>
        </is>
      </c>
      <c r="L31" t="inlineStr">
        <is>
          <t>20 / 11</t>
        </is>
      </c>
      <c r="M31" s="5" t="n">
        <v>0.67</v>
      </c>
      <c r="N31" s="5" t="n">
        <v>0.65</v>
      </c>
    </row>
    <row r="32">
      <c r="A32" t="n">
        <v>31</v>
      </c>
      <c r="B32" t="n">
        <v>2012</v>
      </c>
      <c r="C32" t="inlineStr">
        <is>
          <t>Sophie Rachel Murray</t>
        </is>
      </c>
      <c r="D32">
        <f>HYPERLINK("https://ota.tournamentsoftware.com/player-profile/ADAA4094-7084-435C-80A6-9DA79EB19D3F", "Link")</f>
        <v/>
      </c>
      <c r="E32" s="3" t="n">
        <v>2878.56</v>
      </c>
      <c r="F32" s="4" t="n">
        <v>17</v>
      </c>
      <c r="G32" t="inlineStr">
        <is>
          <t>Tennis Alberta</t>
        </is>
      </c>
      <c r="H32" t="inlineStr">
        <is>
          <t>Osten &amp; Victor Alberta Tennis Centre</t>
        </is>
      </c>
      <c r="I32" t="n">
        <v>22.2</v>
      </c>
      <c r="J32" s="4" t="n">
        <v>322</v>
      </c>
      <c r="K32" t="inlineStr">
        <is>
          <t>194 / 128</t>
        </is>
      </c>
      <c r="L32" t="inlineStr">
        <is>
          <t>20 / 6</t>
        </is>
      </c>
      <c r="M32" s="5" t="n">
        <v>0.6</v>
      </c>
      <c r="N32" s="5" t="n">
        <v>0.77</v>
      </c>
    </row>
    <row r="33">
      <c r="A33" t="n">
        <v>32</v>
      </c>
      <c r="B33" t="n">
        <v>2013</v>
      </c>
      <c r="C33" t="inlineStr">
        <is>
          <t>Janelle Mao</t>
        </is>
      </c>
      <c r="D33">
        <f>HYPERLINK("https://ota.tournamentsoftware.com/player-profile/25605052-7047-4B82-9C15-5D4C8CE7946D", "Link")</f>
        <v/>
      </c>
      <c r="E33" s="3" t="n">
        <v>2800.744</v>
      </c>
      <c r="F33" s="4" t="n">
        <v>15</v>
      </c>
      <c r="G33" t="inlineStr">
        <is>
          <t>Ontario Tennis Association</t>
        </is>
      </c>
      <c r="H33" t="inlineStr">
        <is>
          <t>London Hunt &amp; Country Club</t>
        </is>
      </c>
      <c r="I33" t="n">
        <v>24.5</v>
      </c>
      <c r="J33" s="4" t="n">
        <v>210</v>
      </c>
      <c r="K33" t="inlineStr">
        <is>
          <t>124 / 86</t>
        </is>
      </c>
      <c r="L33" t="inlineStr">
        <is>
          <t>19 / 18</t>
        </is>
      </c>
      <c r="M33" s="5" t="n">
        <v>0.59</v>
      </c>
      <c r="N33" s="5" t="n">
        <v>0.51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2675.936</v>
      </c>
      <c r="F34" s="4" t="n">
        <v>22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24.5</v>
      </c>
      <c r="J34" s="4" t="n">
        <v>249</v>
      </c>
      <c r="K34" t="inlineStr">
        <is>
          <t>138 / 111</t>
        </is>
      </c>
      <c r="L34" t="inlineStr">
        <is>
          <t>37 / 23</t>
        </is>
      </c>
      <c r="M34" s="5" t="n">
        <v>0.55</v>
      </c>
      <c r="N34" s="5" t="n">
        <v>0.62</v>
      </c>
    </row>
    <row r="35">
      <c r="A35" t="n">
        <v>34</v>
      </c>
      <c r="B35" t="n">
        <v>2012</v>
      </c>
      <c r="C35" t="inlineStr">
        <is>
          <t>Misaki Rukovanjski</t>
        </is>
      </c>
      <c r="D35">
        <f>HYPERLINK("https://ota.tournamentsoftware.com/player-profile/CECDBF80-C74F-40ED-B426-04CA75BF14C1", "Link")</f>
        <v/>
      </c>
      <c r="E35" s="3" t="n">
        <v>2463.158</v>
      </c>
      <c r="F35" s="4" t="n">
        <v>23</v>
      </c>
      <c r="G35" t="inlineStr">
        <is>
          <t>Ontario Tennis Association</t>
        </is>
      </c>
      <c r="H35" t="inlineStr">
        <is>
          <t>No Club</t>
        </is>
      </c>
      <c r="I35" t="n">
        <v>24.8</v>
      </c>
      <c r="J35" s="4" t="n">
        <v>266</v>
      </c>
      <c r="K35" t="inlineStr">
        <is>
          <t>169 / 97</t>
        </is>
      </c>
      <c r="L35" t="inlineStr">
        <is>
          <t>25 / 17</t>
        </is>
      </c>
      <c r="M35" s="5" t="n">
        <v>0.64</v>
      </c>
      <c r="N35" s="5" t="n">
        <v>0.6</v>
      </c>
    </row>
    <row r="36">
      <c r="A36" t="n">
        <v>35</v>
      </c>
      <c r="B36" t="n">
        <v>2012</v>
      </c>
      <c r="C36" t="inlineStr">
        <is>
          <t>Daisy Okechukwu</t>
        </is>
      </c>
      <c r="D36">
        <f>HYPERLINK("https://ota.tournamentsoftware.com/player-profile/9909D668-CC24-45D1-AD61-DE790BE62029", "Link")</f>
        <v/>
      </c>
      <c r="E36" s="3" t="n">
        <v>2400</v>
      </c>
      <c r="F36" s="4" t="n">
        <v>12</v>
      </c>
      <c r="G36" t="inlineStr">
        <is>
          <t>Ontario Tennis Association</t>
        </is>
      </c>
      <c r="H36" t="inlineStr">
        <is>
          <t>Carleton Tennis Centre</t>
        </is>
      </c>
      <c r="I36" t="n">
        <v>26.8</v>
      </c>
      <c r="J36" s="4" t="n">
        <v>129</v>
      </c>
      <c r="K36" t="inlineStr">
        <is>
          <t>36 / 93</t>
        </is>
      </c>
      <c r="L36" t="inlineStr">
        <is>
          <t>0 / 0</t>
        </is>
      </c>
      <c r="M36" s="5" t="n">
        <v>0.28</v>
      </c>
      <c r="N36" s="5" t="n">
        <v>0</v>
      </c>
    </row>
    <row r="37">
      <c r="A37" t="n">
        <v>36</v>
      </c>
      <c r="B37" t="n">
        <v>2012</v>
      </c>
      <c r="C37" t="inlineStr">
        <is>
          <t>Victoria Cui</t>
        </is>
      </c>
      <c r="D37">
        <f>HYPERLINK("https://ota.tournamentsoftware.com/player-profile/0645977B-E01D-437B-A80F-04D3BC7B5871", "Link")</f>
        <v/>
      </c>
      <c r="E37" s="3" t="n">
        <v>2377.36</v>
      </c>
      <c r="F37" s="4" t="n">
        <v>19</v>
      </c>
      <c r="G37" t="inlineStr">
        <is>
          <t>Ontario Tennis Association</t>
        </is>
      </c>
      <c r="H37" t="inlineStr">
        <is>
          <t>Mayfair East Racquet Club</t>
        </is>
      </c>
      <c r="I37" t="n">
        <v>23.3</v>
      </c>
      <c r="J37" s="4" t="n">
        <v>241</v>
      </c>
      <c r="K37" t="inlineStr">
        <is>
          <t>153 / 88</t>
        </is>
      </c>
      <c r="L37" t="inlineStr">
        <is>
          <t>25 / 15</t>
        </is>
      </c>
      <c r="M37" s="5" t="n">
        <v>0.63</v>
      </c>
      <c r="N37" s="5" t="n">
        <v>0.62</v>
      </c>
    </row>
    <row r="38">
      <c r="A38" t="n">
        <v>37</v>
      </c>
      <c r="B38" t="n">
        <v>2012</v>
      </c>
      <c r="C38" t="inlineStr">
        <is>
          <t>scarlett Ai</t>
        </is>
      </c>
      <c r="D38">
        <f>HYPERLINK("https://ota.tournamentsoftware.com/player-profile/99B381B6-120A-4EAE-A001-756292C53927", "Link")</f>
        <v/>
      </c>
      <c r="E38" s="3" t="n">
        <v>2328.047</v>
      </c>
      <c r="F38" s="4" t="n">
        <v>15</v>
      </c>
      <c r="G38" t="inlineStr">
        <is>
          <t>Ontario Tennis Association</t>
        </is>
      </c>
      <c r="H38" t="inlineStr">
        <is>
          <t>Toronto Tennis Academy</t>
        </is>
      </c>
      <c r="I38" t="n">
        <v>25.1</v>
      </c>
      <c r="J38" s="4" t="n">
        <v>220</v>
      </c>
      <c r="K38" t="inlineStr">
        <is>
          <t>120 / 100</t>
        </is>
      </c>
      <c r="L38" t="inlineStr">
        <is>
          <t>23 / 15</t>
        </is>
      </c>
      <c r="M38" s="5" t="n">
        <v>0.55</v>
      </c>
      <c r="N38" s="5" t="n">
        <v>0.61</v>
      </c>
    </row>
    <row r="39">
      <c r="A39" t="n">
        <v>38</v>
      </c>
      <c r="B39" t="n">
        <v>2012</v>
      </c>
      <c r="C39" t="inlineStr">
        <is>
          <t>Xinyi Kwan</t>
        </is>
      </c>
      <c r="D39">
        <f>HYPERLINK("https://ota.tournamentsoftware.com/player-profile/5146AC8F-EF0E-4E7A-A6A0-D65D12E5BF6E", "Link")</f>
        <v/>
      </c>
      <c r="E39" s="3" t="n">
        <v>2169.55</v>
      </c>
      <c r="F39" s="4" t="n">
        <v>23</v>
      </c>
      <c r="G39" t="inlineStr">
        <is>
          <t>Ontario Tennis Association</t>
        </is>
      </c>
      <c r="H39" t="inlineStr">
        <is>
          <t>Burlington Hall Sporting Club</t>
        </is>
      </c>
      <c r="I39" t="n">
        <v>22.7</v>
      </c>
      <c r="J39" s="4" t="n">
        <v>206</v>
      </c>
      <c r="K39" t="inlineStr">
        <is>
          <t>101 / 105</t>
        </is>
      </c>
      <c r="L39" t="inlineStr">
        <is>
          <t>24 / 16</t>
        </is>
      </c>
      <c r="M39" s="5" t="n">
        <v>0.49</v>
      </c>
      <c r="N39" s="5" t="n">
        <v>0.6</v>
      </c>
    </row>
    <row r="40">
      <c r="A40" t="n">
        <v>39</v>
      </c>
      <c r="B40" t="n">
        <v>2013</v>
      </c>
      <c r="C40" t="inlineStr">
        <is>
          <t>Valesca Calabrese</t>
        </is>
      </c>
      <c r="D40">
        <f>HYPERLINK("https://ota.tournamentsoftware.com/player-profile/B0833DD4-B006-4DA5-A204-F5A1B4F3FABB", "Link")</f>
        <v/>
      </c>
      <c r="E40" s="3" t="n">
        <v>2075.42</v>
      </c>
      <c r="F40" s="4" t="n">
        <v>22</v>
      </c>
      <c r="G40" t="inlineStr">
        <is>
          <t>Ontario Tennis Association</t>
        </is>
      </c>
      <c r="H40" t="inlineStr">
        <is>
          <t>Kingston Racquet Centre</t>
        </is>
      </c>
      <c r="I40" t="n">
        <v>25.3</v>
      </c>
      <c r="J40" s="4" t="n">
        <v>257</v>
      </c>
      <c r="K40" t="inlineStr">
        <is>
          <t>170 / 87</t>
        </is>
      </c>
      <c r="L40" t="inlineStr">
        <is>
          <t>21 / 11</t>
        </is>
      </c>
      <c r="M40" s="5" t="n">
        <v>0.66</v>
      </c>
      <c r="N40" s="5" t="n">
        <v>0.66</v>
      </c>
    </row>
    <row r="41">
      <c r="A41" t="n">
        <v>40</v>
      </c>
      <c r="B41" t="n">
        <v>2014</v>
      </c>
      <c r="C41" t="inlineStr">
        <is>
          <t>Adelina Tanashikova</t>
        </is>
      </c>
      <c r="D41">
        <f>HYPERLINK("https://ota.tournamentsoftware.com/player-profile/AD7F41D2-B208-4518-963D-851BBA4276F4", "Link")</f>
        <v/>
      </c>
      <c r="E41" s="3" t="n">
        <v>2032.278</v>
      </c>
      <c r="F41" s="4" t="n">
        <v>15</v>
      </c>
      <c r="G41" t="inlineStr">
        <is>
          <t>Ontario Tennis Association</t>
        </is>
      </c>
      <c r="H41" t="inlineStr">
        <is>
          <t>No Club</t>
        </is>
      </c>
      <c r="I41" t="n">
        <v>24</v>
      </c>
      <c r="J41" s="4" t="n">
        <v>266</v>
      </c>
      <c r="K41" t="inlineStr">
        <is>
          <t>143 / 123</t>
        </is>
      </c>
      <c r="L41" t="inlineStr">
        <is>
          <t>26 / 6</t>
        </is>
      </c>
      <c r="M41" s="5" t="n">
        <v>0.54</v>
      </c>
      <c r="N41" s="5" t="n">
        <v>0.8100000000000001</v>
      </c>
    </row>
    <row r="42">
      <c r="A42" t="n">
        <v>41</v>
      </c>
      <c r="B42" t="n">
        <v>2012</v>
      </c>
      <c r="C42" t="inlineStr">
        <is>
          <t>Amaliia Bakumenko</t>
        </is>
      </c>
      <c r="D42">
        <f>HYPERLINK("https://ota.tournamentsoftware.com/player-profile/E789F167-880C-4307-840C-31D5E72C32F0", "Link")</f>
        <v/>
      </c>
      <c r="E42" s="3" t="n">
        <v>1923.936</v>
      </c>
      <c r="F42" s="4" t="n">
        <v>2</v>
      </c>
      <c r="G42" t="inlineStr">
        <is>
          <t>Tennis Québec</t>
        </is>
      </c>
      <c r="H42" t="inlineStr">
        <is>
          <t>Tennis 13 / Académie Ménard et associé</t>
        </is>
      </c>
      <c r="I42" t="n">
        <v>17.8</v>
      </c>
      <c r="J42" s="4" t="n">
        <v>81</v>
      </c>
      <c r="K42" t="inlineStr">
        <is>
          <t>60 / 21</t>
        </is>
      </c>
      <c r="L42" t="inlineStr">
        <is>
          <t>0 / 1</t>
        </is>
      </c>
      <c r="M42" s="5" t="n">
        <v>0.74</v>
      </c>
      <c r="N42" s="5" t="n">
        <v>0</v>
      </c>
    </row>
    <row r="43">
      <c r="A43" t="n">
        <v>42</v>
      </c>
      <c r="B43" t="n">
        <v>2014</v>
      </c>
      <c r="C43" t="inlineStr">
        <is>
          <t>Wilma Wai Bo Yue</t>
        </is>
      </c>
      <c r="D43">
        <f>HYPERLINK("https://ota.tournamentsoftware.com/player-profile/6CAEB488-574A-45E0-B597-01F96FA5C987", "Link")</f>
        <v/>
      </c>
      <c r="E43" s="3" t="n">
        <v>1828.64</v>
      </c>
      <c r="F43" s="4" t="n">
        <v>14</v>
      </c>
      <c r="G43" t="inlineStr">
        <is>
          <t>Ontario Tennis Association</t>
        </is>
      </c>
      <c r="H43" t="inlineStr">
        <is>
          <t>No Club</t>
        </is>
      </c>
      <c r="I43" t="n">
        <v>26.9</v>
      </c>
      <c r="J43" s="4" t="n">
        <v>204</v>
      </c>
      <c r="K43" t="inlineStr">
        <is>
          <t>148 / 56</t>
        </is>
      </c>
      <c r="L43" t="inlineStr">
        <is>
          <t>33 / 10</t>
        </is>
      </c>
      <c r="M43" s="5" t="n">
        <v>0.73</v>
      </c>
      <c r="N43" s="5" t="n">
        <v>0.77</v>
      </c>
    </row>
    <row r="44">
      <c r="A44" t="n">
        <v>43</v>
      </c>
      <c r="B44" t="n">
        <v>2014</v>
      </c>
      <c r="C44" t="inlineStr">
        <is>
          <t>Fiona Huang</t>
        </is>
      </c>
      <c r="D44">
        <f>HYPERLINK("https://ota.tournamentsoftware.com/player-profile/701ADA13-714A-48E5-B54F-4DB9E25DBDB3", "Link")</f>
        <v/>
      </c>
      <c r="E44" s="3" t="n">
        <v>1815.25</v>
      </c>
      <c r="F44" s="4" t="n">
        <v>15</v>
      </c>
      <c r="G44" t="inlineStr">
        <is>
          <t>British Columbia</t>
        </is>
      </c>
      <c r="H44" t="inlineStr">
        <is>
          <t>No Club</t>
        </is>
      </c>
      <c r="I44" t="n">
        <v>25.1</v>
      </c>
      <c r="J44" s="4" t="n">
        <v>219</v>
      </c>
      <c r="K44" t="inlineStr">
        <is>
          <t>140 / 79</t>
        </is>
      </c>
      <c r="L44" t="inlineStr">
        <is>
          <t>32 / 12</t>
        </is>
      </c>
      <c r="M44" s="5" t="n">
        <v>0.64</v>
      </c>
      <c r="N44" s="5" t="n">
        <v>0.73</v>
      </c>
    </row>
    <row r="45">
      <c r="A45" t="n">
        <v>44</v>
      </c>
      <c r="B45" t="n">
        <v>2012</v>
      </c>
      <c r="C45" t="inlineStr">
        <is>
          <t>Marilyn deBruin-Sawutz</t>
        </is>
      </c>
      <c r="D45">
        <f>HYPERLINK("https://ota.tournamentsoftware.com/player-profile/3DC26724-8571-4345-A75C-D904297288CB", "Link")</f>
        <v/>
      </c>
      <c r="E45" s="3" t="n">
        <v>1809.043</v>
      </c>
      <c r="F45" s="4" t="n">
        <v>24</v>
      </c>
      <c r="G45" t="inlineStr">
        <is>
          <t>Ontario Tennis Association</t>
        </is>
      </c>
      <c r="H45" t="inlineStr">
        <is>
          <t>Advantage Tennis International at Veneto</t>
        </is>
      </c>
      <c r="I45" t="n">
        <v>25.5</v>
      </c>
      <c r="J45" s="4" t="n">
        <v>282</v>
      </c>
      <c r="K45" t="inlineStr">
        <is>
          <t>145 / 137</t>
        </is>
      </c>
      <c r="L45" t="inlineStr">
        <is>
          <t>24 / 18</t>
        </is>
      </c>
      <c r="M45" s="5" t="n">
        <v>0.51</v>
      </c>
      <c r="N45" s="5" t="n">
        <v>0.57</v>
      </c>
    </row>
    <row r="46">
      <c r="A46" t="n">
        <v>45</v>
      </c>
      <c r="B46" t="n">
        <v>2012</v>
      </c>
      <c r="C46" t="inlineStr">
        <is>
          <t>Hannah Yiwei Wang</t>
        </is>
      </c>
      <c r="D46">
        <f>HYPERLINK("https://ota.tournamentsoftware.com/player-profile/CEB4A334-7BA1-4478-96B0-66580448520A", "Link")</f>
        <v/>
      </c>
      <c r="E46" s="3" t="n">
        <v>1798.023</v>
      </c>
      <c r="F46" s="4" t="n">
        <v>17</v>
      </c>
      <c r="G46" t="inlineStr">
        <is>
          <t>Ontario Tennis Association</t>
        </is>
      </c>
      <c r="H46" t="inlineStr">
        <is>
          <t>Richmondhill Golf &amp; Country Club</t>
        </is>
      </c>
      <c r="I46" t="n">
        <v>24.2</v>
      </c>
      <c r="J46" s="4" t="n">
        <v>172</v>
      </c>
      <c r="K46" t="inlineStr">
        <is>
          <t>90 / 82</t>
        </is>
      </c>
      <c r="L46" t="inlineStr">
        <is>
          <t>20 / 16</t>
        </is>
      </c>
      <c r="M46" s="5" t="n">
        <v>0.52</v>
      </c>
      <c r="N46" s="5" t="n">
        <v>0.5600000000000001</v>
      </c>
    </row>
    <row r="47">
      <c r="A47" t="n">
        <v>46</v>
      </c>
      <c r="B47" t="n">
        <v>2013</v>
      </c>
      <c r="C47" t="inlineStr">
        <is>
          <t>Anvitha Mahadevaswamy</t>
        </is>
      </c>
      <c r="D47">
        <f>HYPERLINK("https://ota.tournamentsoftware.com/player-profile/09DB8B30-6DCB-4B0E-9241-CA7456F2AD6D", "Link")</f>
        <v/>
      </c>
      <c r="E47" s="3" t="n">
        <v>1779.55</v>
      </c>
      <c r="F47" s="4" t="n">
        <v>14</v>
      </c>
      <c r="G47" t="inlineStr">
        <is>
          <t>Tennis New Brunswick</t>
        </is>
      </c>
      <c r="H47" t="inlineStr">
        <is>
          <t>Abony Family Tennis Center</t>
        </is>
      </c>
      <c r="I47" t="n">
        <v>26.4</v>
      </c>
      <c r="J47" s="4" t="n">
        <v>232</v>
      </c>
      <c r="K47" t="inlineStr">
        <is>
          <t>137 / 95</t>
        </is>
      </c>
      <c r="L47" t="inlineStr">
        <is>
          <t>37 / 21</t>
        </is>
      </c>
      <c r="M47" s="5" t="n">
        <v>0.59</v>
      </c>
      <c r="N47" s="5" t="n">
        <v>0.64</v>
      </c>
    </row>
    <row r="48">
      <c r="A48" t="n">
        <v>47</v>
      </c>
      <c r="B48" t="n">
        <v>2013</v>
      </c>
      <c r="C48" t="inlineStr">
        <is>
          <t>Haeun (Emily) Jo</t>
        </is>
      </c>
      <c r="D48">
        <f>HYPERLINK("https://ota.tournamentsoftware.com/player-profile/BBD49A71-6CAE-4AC7-908B-9DB5263DA715", "Link")</f>
        <v/>
      </c>
      <c r="E48" s="3" t="n">
        <v>1714.8</v>
      </c>
      <c r="F48" s="4" t="n">
        <v>13</v>
      </c>
      <c r="G48" t="inlineStr">
        <is>
          <t>Tennis Nova Scotia</t>
        </is>
      </c>
      <c r="H48" t="inlineStr">
        <is>
          <t>Atlantic Tennis Centre</t>
        </is>
      </c>
      <c r="I48" t="n">
        <v>25.5</v>
      </c>
      <c r="J48" s="4" t="n">
        <v>285</v>
      </c>
      <c r="K48" t="inlineStr">
        <is>
          <t>190 / 95</t>
        </is>
      </c>
      <c r="L48" t="inlineStr">
        <is>
          <t>41 / 16</t>
        </is>
      </c>
      <c r="M48" s="5" t="n">
        <v>0.67</v>
      </c>
      <c r="N48" s="5" t="n">
        <v>0.72</v>
      </c>
    </row>
    <row r="49">
      <c r="A49" t="n">
        <v>48</v>
      </c>
      <c r="B49" t="n">
        <v>2012</v>
      </c>
      <c r="C49" t="inlineStr">
        <is>
          <t>Katelyn Pasula</t>
        </is>
      </c>
      <c r="D49">
        <f>HYPERLINK("https://ota.tournamentsoftware.com/player-profile/2F075CB1-8090-4588-823C-59BF58DDDA64", "Link")</f>
        <v/>
      </c>
      <c r="E49" s="3" t="n">
        <v>1661.687</v>
      </c>
      <c r="F49" s="4" t="n">
        <v>6</v>
      </c>
      <c r="G49" t="inlineStr">
        <is>
          <t>British Columbia</t>
        </is>
      </c>
      <c r="H49" t="inlineStr">
        <is>
          <t>BC NI No Club</t>
        </is>
      </c>
      <c r="I49" t="inlineStr">
        <is>
          <t>unavailable</t>
        </is>
      </c>
      <c r="J49" s="4" t="n">
        <v>32</v>
      </c>
      <c r="K49" t="inlineStr">
        <is>
          <t>18 / 14</t>
        </is>
      </c>
      <c r="L49" t="inlineStr">
        <is>
          <t>5 / 5</t>
        </is>
      </c>
      <c r="M49" s="5" t="n">
        <v>0.5600000000000001</v>
      </c>
      <c r="N49" s="5" t="n">
        <v>0.5</v>
      </c>
    </row>
    <row r="50">
      <c r="A50" t="n">
        <v>49</v>
      </c>
      <c r="B50" t="n">
        <v>2014</v>
      </c>
      <c r="C50" t="inlineStr">
        <is>
          <t>Aleksandra Alymov</t>
        </is>
      </c>
      <c r="D50">
        <f>HYPERLINK("https://ota.tournamentsoftware.com/player-profile/3ED01243-78C8-4179-A634-27E1B1E8443A", "Link")</f>
        <v/>
      </c>
      <c r="E50" s="3" t="n">
        <v>1624.264</v>
      </c>
      <c r="F50" s="4" t="n">
        <v>13</v>
      </c>
      <c r="G50" t="inlineStr">
        <is>
          <t>Ontario Tennis Association</t>
        </is>
      </c>
      <c r="H50" t="inlineStr">
        <is>
          <t>Rexall Centre</t>
        </is>
      </c>
      <c r="I50" t="n">
        <v>26.6</v>
      </c>
      <c r="J50" s="4" t="n">
        <v>212</v>
      </c>
      <c r="K50" t="inlineStr">
        <is>
          <t>135 / 77</t>
        </is>
      </c>
      <c r="L50" t="inlineStr">
        <is>
          <t>34 / 8</t>
        </is>
      </c>
      <c r="M50" s="5" t="n">
        <v>0.64</v>
      </c>
      <c r="N50" s="5" t="n">
        <v>0.8100000000000001</v>
      </c>
    </row>
    <row r="51">
      <c r="A51" t="n">
        <v>50</v>
      </c>
      <c r="B51" t="n">
        <v>2013</v>
      </c>
      <c r="C51" t="inlineStr">
        <is>
          <t>xiayue(Cecelia) Bi</t>
        </is>
      </c>
      <c r="D51">
        <f>HYPERLINK("https://ota.tournamentsoftware.com/player-profile/081CD41C-A9E4-4340-A239-2D92F6639919", "Link")</f>
        <v/>
      </c>
      <c r="E51" s="3" t="n">
        <v>1614.716</v>
      </c>
      <c r="F51" s="4" t="n">
        <v>13</v>
      </c>
      <c r="G51" t="inlineStr">
        <is>
          <t>British Columbia</t>
        </is>
      </c>
      <c r="H51" t="inlineStr">
        <is>
          <t>North Vancouver Tennis Centre</t>
        </is>
      </c>
      <c r="I51" t="n">
        <v>24.3</v>
      </c>
      <c r="J51" s="4" t="n">
        <v>242</v>
      </c>
      <c r="K51" t="inlineStr">
        <is>
          <t>155 / 87</t>
        </is>
      </c>
      <c r="L51" t="inlineStr">
        <is>
          <t>16 / 19</t>
        </is>
      </c>
      <c r="M51" s="5" t="n">
        <v>0.64</v>
      </c>
      <c r="N51" s="5" t="n">
        <v>0.46</v>
      </c>
    </row>
    <row r="52">
      <c r="A52" t="n">
        <v>51</v>
      </c>
      <c r="B52" t="n">
        <v>2013</v>
      </c>
      <c r="C52" t="inlineStr">
        <is>
          <t>Elena Rusic</t>
        </is>
      </c>
      <c r="D52">
        <f>HYPERLINK("https://ota.tournamentsoftware.com/player-profile/C202F0BA-61C5-459D-993A-2D56C17C2B04", "Link")</f>
        <v/>
      </c>
      <c r="E52" s="3" t="n">
        <v>1612.81</v>
      </c>
      <c r="F52" s="4" t="n">
        <v>24</v>
      </c>
      <c r="G52" t="inlineStr">
        <is>
          <t>Ontario Tennis Association</t>
        </is>
      </c>
      <c r="H52" t="inlineStr">
        <is>
          <t>Joshua Creek Golf &amp; Tennis</t>
        </is>
      </c>
      <c r="I52" t="n">
        <v>26.5</v>
      </c>
      <c r="J52" s="4" t="n">
        <v>256</v>
      </c>
      <c r="K52" t="inlineStr">
        <is>
          <t>182 / 74</t>
        </is>
      </c>
      <c r="L52" t="inlineStr">
        <is>
          <t>23 / 19</t>
        </is>
      </c>
      <c r="M52" s="5" t="n">
        <v>0.71</v>
      </c>
      <c r="N52" s="5" t="n">
        <v>0.55</v>
      </c>
    </row>
    <row r="53">
      <c r="A53" t="n">
        <v>52</v>
      </c>
      <c r="B53" t="n">
        <v>2014</v>
      </c>
      <c r="C53" t="inlineStr">
        <is>
          <t>SOPHIA JIAJIA DENG</t>
        </is>
      </c>
      <c r="D53">
        <f>HYPERLINK("https://ota.tournamentsoftware.com/player-profile/FE6DD2AD-9E29-4128-BE09-D1E88B84D2C8", "Link")</f>
        <v/>
      </c>
      <c r="E53" s="3" t="n">
        <v>1517.542</v>
      </c>
      <c r="F53" s="4" t="n">
        <v>18</v>
      </c>
      <c r="G53" t="inlineStr">
        <is>
          <t>Ontario Tennis Association</t>
        </is>
      </c>
      <c r="H53" t="inlineStr">
        <is>
          <t>Mayfair West Fitness &amp; Racquet Club</t>
        </is>
      </c>
      <c r="I53" t="n">
        <v>26.2</v>
      </c>
      <c r="J53" s="4" t="n">
        <v>180</v>
      </c>
      <c r="K53" t="inlineStr">
        <is>
          <t>133 / 47</t>
        </is>
      </c>
      <c r="L53" t="inlineStr">
        <is>
          <t>33 / 13</t>
        </is>
      </c>
      <c r="M53" s="5" t="n">
        <v>0.74</v>
      </c>
      <c r="N53" s="5" t="n">
        <v>0.72</v>
      </c>
    </row>
    <row r="54">
      <c r="A54" t="n">
        <v>53</v>
      </c>
      <c r="B54" t="n">
        <v>2012</v>
      </c>
      <c r="C54" t="inlineStr">
        <is>
          <t>Natalie Le'er Sang</t>
        </is>
      </c>
      <c r="D54">
        <f>HYPERLINK("https://ota.tournamentsoftware.com/player-profile/993E5845-6FAB-4557-A6F0-C3D60CD8BB97", "Link")</f>
        <v/>
      </c>
      <c r="E54" s="3" t="n">
        <v>1488.96</v>
      </c>
      <c r="F54" s="4" t="n">
        <v>17</v>
      </c>
      <c r="G54" t="inlineStr">
        <is>
          <t>British Columbia</t>
        </is>
      </c>
      <c r="H54" t="inlineStr">
        <is>
          <t>No Club</t>
        </is>
      </c>
      <c r="I54" t="n">
        <v>25.4</v>
      </c>
      <c r="J54" s="4" t="n">
        <v>111</v>
      </c>
      <c r="K54" t="inlineStr">
        <is>
          <t>78 / 33</t>
        </is>
      </c>
      <c r="L54" t="inlineStr">
        <is>
          <t>21 / 19</t>
        </is>
      </c>
      <c r="M54" s="5" t="n">
        <v>0.7</v>
      </c>
      <c r="N54" s="5" t="n">
        <v>0.53</v>
      </c>
    </row>
    <row r="55">
      <c r="A55" t="n">
        <v>54</v>
      </c>
      <c r="B55" t="n">
        <v>2012</v>
      </c>
      <c r="C55" t="inlineStr">
        <is>
          <t>Allyson Experience</t>
        </is>
      </c>
      <c r="D55">
        <f>HYPERLINK("https://ota.tournamentsoftware.com/player-profile/9A5D0B4A-A8C7-47DA-8CAD-CA25D28C69CE", "Link")</f>
        <v/>
      </c>
      <c r="E55" s="3" t="n">
        <v>1448.291</v>
      </c>
      <c r="F55" s="4" t="n">
        <v>23</v>
      </c>
      <c r="G55" t="inlineStr">
        <is>
          <t>Tennis Québec</t>
        </is>
      </c>
      <c r="H55" t="inlineStr">
        <is>
          <t>Tennis Montréal Excellence</t>
        </is>
      </c>
      <c r="I55" t="n">
        <v>26.7</v>
      </c>
      <c r="J55" s="4" t="n">
        <v>261</v>
      </c>
      <c r="K55" t="inlineStr">
        <is>
          <t>120 / 141</t>
        </is>
      </c>
      <c r="L55" t="inlineStr">
        <is>
          <t>19 / 22</t>
        </is>
      </c>
      <c r="M55" s="5" t="n">
        <v>0.46</v>
      </c>
      <c r="N55" s="5" t="n">
        <v>0.46</v>
      </c>
    </row>
    <row r="56">
      <c r="A56" t="n">
        <v>55</v>
      </c>
      <c r="B56" t="n">
        <v>2014</v>
      </c>
      <c r="C56" t="inlineStr">
        <is>
          <t>Roseline Nana</t>
        </is>
      </c>
      <c r="D56">
        <f>HYPERLINK("https://ota.tournamentsoftware.com/player-profile/B0A425C4-2F23-4C29-8447-4FFBF9D90967", "Link")</f>
        <v/>
      </c>
      <c r="E56" s="3" t="n">
        <v>1437.2</v>
      </c>
      <c r="F56" s="4" t="n">
        <v>26</v>
      </c>
      <c r="G56" t="inlineStr">
        <is>
          <t>Tennis Québec</t>
        </is>
      </c>
      <c r="H56" t="inlineStr">
        <is>
          <t>Tennis Montréal Excellence</t>
        </is>
      </c>
      <c r="I56" t="n">
        <v>25.8</v>
      </c>
      <c r="J56" s="4" t="n">
        <v>193</v>
      </c>
      <c r="K56" t="inlineStr">
        <is>
          <t>137 / 56</t>
        </is>
      </c>
      <c r="L56" t="inlineStr">
        <is>
          <t>50 / 17</t>
        </is>
      </c>
      <c r="M56" s="5" t="n">
        <v>0.71</v>
      </c>
      <c r="N56" s="5" t="n">
        <v>0.75</v>
      </c>
    </row>
    <row r="57">
      <c r="A57" t="n">
        <v>56</v>
      </c>
      <c r="B57" t="n">
        <v>2014</v>
      </c>
      <c r="C57" t="inlineStr">
        <is>
          <t>Amelia Grace Balasuriya</t>
        </is>
      </c>
      <c r="D57">
        <f>HYPERLINK("https://ota.tournamentsoftware.com/player-profile/741A3060-1EA3-4E29-A0BE-1717DEF32CEA", "Link")</f>
        <v/>
      </c>
      <c r="E57" s="3" t="n">
        <v>1404.762</v>
      </c>
      <c r="F57" s="4" t="n">
        <v>27</v>
      </c>
      <c r="G57" t="inlineStr">
        <is>
          <t>Ontario Tennis Association</t>
        </is>
      </c>
      <c r="H57" t="inlineStr">
        <is>
          <t>The Supreme Court Tennis Club</t>
        </is>
      </c>
      <c r="I57" t="n">
        <v>26.3</v>
      </c>
      <c r="J57" s="4" t="n">
        <v>263</v>
      </c>
      <c r="K57" t="inlineStr">
        <is>
          <t>171 / 92</t>
        </is>
      </c>
      <c r="L57" t="inlineStr">
        <is>
          <t>48 / 22</t>
        </is>
      </c>
      <c r="M57" s="5" t="n">
        <v>0.65</v>
      </c>
      <c r="N57" s="5" t="n">
        <v>0.6899999999999999</v>
      </c>
    </row>
    <row r="58">
      <c r="A58" t="n">
        <v>57</v>
      </c>
      <c r="B58" t="n">
        <v>2014</v>
      </c>
      <c r="C58" t="inlineStr">
        <is>
          <t>jocelyn ai</t>
        </is>
      </c>
      <c r="D58">
        <f>HYPERLINK("https://ota.tournamentsoftware.com/player-profile/EADED953-942B-4335-BE21-C0DE8F31626D", "Link")</f>
        <v/>
      </c>
      <c r="E58" s="3" t="n">
        <v>1398.47</v>
      </c>
      <c r="F58" s="4" t="n">
        <v>22</v>
      </c>
      <c r="G58" t="inlineStr">
        <is>
          <t>Ontario Tennis Association</t>
        </is>
      </c>
      <c r="H58" t="inlineStr">
        <is>
          <t>No Club</t>
        </is>
      </c>
      <c r="I58" t="n">
        <v>27.3</v>
      </c>
      <c r="J58" s="4" t="n">
        <v>216</v>
      </c>
      <c r="K58" t="inlineStr">
        <is>
          <t>131 / 85</t>
        </is>
      </c>
      <c r="L58" t="inlineStr">
        <is>
          <t>37 / 22</t>
        </is>
      </c>
      <c r="M58" s="5" t="n">
        <v>0.61</v>
      </c>
      <c r="N58" s="5" t="n">
        <v>0.63</v>
      </c>
    </row>
    <row r="59">
      <c r="A59" t="n">
        <v>58</v>
      </c>
      <c r="B59" t="n">
        <v>2013</v>
      </c>
      <c r="C59" t="inlineStr">
        <is>
          <t>Eleanor Victoria Paura</t>
        </is>
      </c>
      <c r="D59">
        <f>HYPERLINK("https://ota.tournamentsoftware.com/player-profile/4D9EBB83-94D7-44A3-BD6F-1D98EF9559DF", "Link")</f>
        <v/>
      </c>
      <c r="E59" s="3" t="n">
        <v>1376.144</v>
      </c>
      <c r="F59" s="4" t="n">
        <v>12</v>
      </c>
      <c r="G59" t="inlineStr">
        <is>
          <t>Tennis Saskatchewan</t>
        </is>
      </c>
      <c r="H59" t="inlineStr">
        <is>
          <t>Lakeshore Tennis Club</t>
        </is>
      </c>
      <c r="I59" t="n">
        <v>29.8</v>
      </c>
      <c r="J59" s="4" t="n">
        <v>196</v>
      </c>
      <c r="K59" t="inlineStr">
        <is>
          <t>85 / 111</t>
        </is>
      </c>
      <c r="L59" t="inlineStr">
        <is>
          <t>27 / 22</t>
        </is>
      </c>
      <c r="M59" s="5" t="n">
        <v>0.43</v>
      </c>
      <c r="N59" s="5" t="n">
        <v>0.55</v>
      </c>
    </row>
    <row r="60">
      <c r="A60" t="n">
        <v>59</v>
      </c>
      <c r="B60" t="n">
        <v>2013</v>
      </c>
      <c r="C60" t="inlineStr">
        <is>
          <t>Aida Idrissi Serghini</t>
        </is>
      </c>
      <c r="D60">
        <f>HYPERLINK("https://ota.tournamentsoftware.com/player-profile/F5E49767-E427-41A0-B6F2-79E8AC4CB7AE", "Link")</f>
        <v/>
      </c>
      <c r="E60" s="3" t="n">
        <v>1370.516</v>
      </c>
      <c r="F60" s="4" t="n">
        <v>19</v>
      </c>
      <c r="G60" t="inlineStr">
        <is>
          <t>Tennis Québec</t>
        </is>
      </c>
      <c r="H60" t="inlineStr">
        <is>
          <t>Centre récréatif de Repentigny / Académie Tennis Momentum</t>
        </is>
      </c>
      <c r="I60" t="n">
        <v>25.4</v>
      </c>
      <c r="J60" s="4" t="n">
        <v>224</v>
      </c>
      <c r="K60" t="inlineStr">
        <is>
          <t>155 / 69</t>
        </is>
      </c>
      <c r="L60" t="inlineStr">
        <is>
          <t>29 / 16</t>
        </is>
      </c>
      <c r="M60" s="5" t="n">
        <v>0.6899999999999999</v>
      </c>
      <c r="N60" s="5" t="n">
        <v>0.64</v>
      </c>
    </row>
    <row r="61">
      <c r="A61" t="n">
        <v>60</v>
      </c>
      <c r="B61" t="n">
        <v>2013</v>
      </c>
      <c r="C61" t="inlineStr">
        <is>
          <t>Charlotte Dawes</t>
        </is>
      </c>
      <c r="D61">
        <f>HYPERLINK("https://ota.tournamentsoftware.com/player-profile/F2AC6B3A-37CF-4522-9228-9A614DED4E6F", "Link")</f>
        <v/>
      </c>
      <c r="E61" s="3" t="n">
        <v>1333.136</v>
      </c>
      <c r="F61" s="4" t="n">
        <v>14</v>
      </c>
      <c r="G61" t="inlineStr">
        <is>
          <t>Tennis Alberta</t>
        </is>
      </c>
      <c r="H61" t="inlineStr">
        <is>
          <t>Osten &amp; Victor Alberta Tennis Centre</t>
        </is>
      </c>
      <c r="I61" t="n">
        <v>27.3</v>
      </c>
      <c r="J61" s="4" t="n">
        <v>225</v>
      </c>
      <c r="K61" t="inlineStr">
        <is>
          <t>112 / 113</t>
        </is>
      </c>
      <c r="L61" t="inlineStr">
        <is>
          <t>25 / 18</t>
        </is>
      </c>
      <c r="M61" s="5" t="n">
        <v>0.5</v>
      </c>
      <c r="N61" s="5" t="n">
        <v>0.58</v>
      </c>
    </row>
    <row r="62">
      <c r="A62" t="n">
        <v>61</v>
      </c>
      <c r="B62" t="n">
        <v>2013</v>
      </c>
      <c r="C62" t="inlineStr">
        <is>
          <t>Dewa Ayu Devin Sum</t>
        </is>
      </c>
      <c r="D62">
        <f>HYPERLINK("https://ota.tournamentsoftware.com/player-profile/9DB24D5C-3B5C-4B40-BE7E-B331240C1B21", "Link")</f>
        <v/>
      </c>
      <c r="E62" s="3" t="n">
        <v>1321.767</v>
      </c>
      <c r="F62" s="4" t="n">
        <v>31</v>
      </c>
      <c r="G62" t="inlineStr">
        <is>
          <t>Ontario Tennis Association</t>
        </is>
      </c>
      <c r="H62" t="inlineStr">
        <is>
          <t>Premier Racquet Clubs – Mississauga</t>
        </is>
      </c>
      <c r="I62" t="n">
        <v>28.3</v>
      </c>
      <c r="J62" s="4" t="n">
        <v>172</v>
      </c>
      <c r="K62" t="inlineStr">
        <is>
          <t>88 / 84</t>
        </is>
      </c>
      <c r="L62" t="inlineStr">
        <is>
          <t>22 / 19</t>
        </is>
      </c>
      <c r="M62" s="5" t="n">
        <v>0.51</v>
      </c>
      <c r="N62" s="5" t="n">
        <v>0.54</v>
      </c>
    </row>
    <row r="63">
      <c r="A63" t="n">
        <v>62</v>
      </c>
      <c r="B63" t="n">
        <v>2013</v>
      </c>
      <c r="C63" t="inlineStr">
        <is>
          <t>Adèle Juneau</t>
        </is>
      </c>
      <c r="D63">
        <f>HYPERLINK("https://ota.tournamentsoftware.com/player-profile/3A8C3EB0-444C-4108-A91E-FC74701A660D", "Link")</f>
        <v/>
      </c>
      <c r="E63" s="3" t="n">
        <v>1297.566</v>
      </c>
      <c r="F63" s="4" t="n">
        <v>18</v>
      </c>
      <c r="G63" t="inlineStr">
        <is>
          <t>Tennis Québec</t>
        </is>
      </c>
      <c r="H63" t="inlineStr">
        <is>
          <t>Tennis 13 / Académie Ménard et associé</t>
        </is>
      </c>
      <c r="I63" t="n">
        <v>25</v>
      </c>
      <c r="J63" s="4" t="n">
        <v>330</v>
      </c>
      <c r="K63" t="inlineStr">
        <is>
          <t>186 / 144</t>
        </is>
      </c>
      <c r="L63" t="inlineStr">
        <is>
          <t>18 / 19</t>
        </is>
      </c>
      <c r="M63" s="5" t="n">
        <v>0.5600000000000001</v>
      </c>
      <c r="N63" s="5" t="n">
        <v>0.49</v>
      </c>
    </row>
    <row r="64">
      <c r="A64" t="n">
        <v>63</v>
      </c>
      <c r="B64" t="n">
        <v>2014</v>
      </c>
      <c r="C64" t="inlineStr">
        <is>
          <t>Naomi Danyod</t>
        </is>
      </c>
      <c r="D64">
        <f>HYPERLINK("https://ota.tournamentsoftware.com/player-profile/2037E4D8-F8CE-4A2B-858E-7FBBA84F2BC7", "Link")</f>
        <v/>
      </c>
      <c r="E64" s="3" t="n">
        <v>1281.058</v>
      </c>
      <c r="F64" s="4" t="n">
        <v>16</v>
      </c>
      <c r="G64" t="inlineStr">
        <is>
          <t>Tennis Québec</t>
        </is>
      </c>
      <c r="H64" t="inlineStr">
        <is>
          <t>Rouge et Or - Université Laval</t>
        </is>
      </c>
      <c r="I64" t="n">
        <v>26.4</v>
      </c>
      <c r="J64" s="4" t="n">
        <v>156</v>
      </c>
      <c r="K64" t="inlineStr">
        <is>
          <t>102 / 54</t>
        </is>
      </c>
      <c r="L64" t="inlineStr">
        <is>
          <t>32 / 15</t>
        </is>
      </c>
      <c r="M64" s="5" t="n">
        <v>0.65</v>
      </c>
      <c r="N64" s="5" t="n">
        <v>0.68</v>
      </c>
    </row>
    <row r="65">
      <c r="A65" t="n">
        <v>64</v>
      </c>
      <c r="B65" t="n">
        <v>2013</v>
      </c>
      <c r="C65" t="inlineStr">
        <is>
          <t>Alexane Deschênes</t>
        </is>
      </c>
      <c r="D65">
        <f>HYPERLINK("https://ota.tournamentsoftware.com/player-profile/124D1E6B-E463-4461-A5D1-9C844DE2C6D9", "Link")</f>
        <v/>
      </c>
      <c r="E65" s="3" t="n">
        <v>1259.201</v>
      </c>
      <c r="F65" s="4" t="n">
        <v>20</v>
      </c>
      <c r="G65" t="inlineStr">
        <is>
          <t>Tennis Québec</t>
        </is>
      </c>
      <c r="H65" t="inlineStr">
        <is>
          <t>Centre récréatif de Repentigny / Académie Tennis Momentum</t>
        </is>
      </c>
      <c r="I65" t="n">
        <v>26.1</v>
      </c>
      <c r="J65" s="4" t="n">
        <v>284</v>
      </c>
      <c r="K65" t="inlineStr">
        <is>
          <t>152 / 132</t>
        </is>
      </c>
      <c r="L65" t="inlineStr">
        <is>
          <t>32 / 30</t>
        </is>
      </c>
      <c r="M65" s="5" t="n">
        <v>0.54</v>
      </c>
      <c r="N65" s="5" t="n">
        <v>0.52</v>
      </c>
    </row>
    <row r="66">
      <c r="A66" t="n">
        <v>65</v>
      </c>
      <c r="B66" t="n">
        <v>2012</v>
      </c>
      <c r="C66" t="inlineStr">
        <is>
          <t>Zahava Olszynko</t>
        </is>
      </c>
      <c r="D66">
        <f>HYPERLINK("https://ota.tournamentsoftware.com/player-profile/B6F84042-B29D-4CD8-984E-787094BFA8A4", "Link")</f>
        <v/>
      </c>
      <c r="E66" s="3" t="n">
        <v>1253.258</v>
      </c>
      <c r="F66" s="4" t="n">
        <v>28</v>
      </c>
      <c r="G66" t="inlineStr">
        <is>
          <t>Ontario Tennis Association</t>
        </is>
      </c>
      <c r="H66" t="inlineStr">
        <is>
          <t>Rideau Sports Centre</t>
        </is>
      </c>
      <c r="I66" t="n">
        <v>26.2</v>
      </c>
      <c r="J66" s="4" t="n">
        <v>221</v>
      </c>
      <c r="K66" t="inlineStr">
        <is>
          <t>123 / 98</t>
        </is>
      </c>
      <c r="L66" t="inlineStr">
        <is>
          <t>31 / 18</t>
        </is>
      </c>
      <c r="M66" s="5" t="n">
        <v>0.5600000000000001</v>
      </c>
      <c r="N66" s="5" t="n">
        <v>0.63</v>
      </c>
    </row>
    <row r="67">
      <c r="A67" t="n">
        <v>66</v>
      </c>
      <c r="B67" t="n">
        <v>2013</v>
      </c>
      <c r="C67" t="inlineStr">
        <is>
          <t>Iris Fu</t>
        </is>
      </c>
      <c r="D67">
        <f>HYPERLINK("https://ota.tournamentsoftware.com/player-profile/0A3A4B5A-8950-4E67-BAA9-3F132754A3FD", "Link")</f>
        <v/>
      </c>
      <c r="E67" s="3" t="n">
        <v>1248.201</v>
      </c>
      <c r="F67" s="4" t="n">
        <v>17</v>
      </c>
      <c r="G67" t="inlineStr">
        <is>
          <t>Ontario Tennis Association</t>
        </is>
      </c>
      <c r="H67" t="inlineStr">
        <is>
          <t>Premier Racquet Clubs – Mississauga</t>
        </is>
      </c>
      <c r="I67" t="inlineStr">
        <is>
          <t>unavailable</t>
        </is>
      </c>
      <c r="J67" s="4" t="n">
        <v>240</v>
      </c>
      <c r="K67" t="inlineStr">
        <is>
          <t>138 / 102</t>
        </is>
      </c>
      <c r="L67" t="inlineStr">
        <is>
          <t>23 / 12</t>
        </is>
      </c>
      <c r="M67" s="5" t="n">
        <v>0.57</v>
      </c>
      <c r="N67" s="5" t="n">
        <v>0.66</v>
      </c>
    </row>
    <row r="68">
      <c r="A68" t="n">
        <v>67</v>
      </c>
      <c r="B68" t="n">
        <v>2013</v>
      </c>
      <c r="C68" t="inlineStr">
        <is>
          <t>Avery Badyal</t>
        </is>
      </c>
      <c r="D68">
        <f>HYPERLINK("https://ota.tournamentsoftware.com/player-profile/9486479F-C8FD-48FB-BCCD-0246C53A632C", "Link")</f>
        <v/>
      </c>
      <c r="E68" s="3" t="n">
        <v>1248.194</v>
      </c>
      <c r="F68" s="4" t="n">
        <v>12</v>
      </c>
      <c r="G68" t="inlineStr">
        <is>
          <t>British Columbia</t>
        </is>
      </c>
      <c r="H68" t="inlineStr">
        <is>
          <t>The Tennis Centre</t>
        </is>
      </c>
      <c r="I68" t="n">
        <v>25.7</v>
      </c>
      <c r="J68" s="4" t="n">
        <v>233</v>
      </c>
      <c r="K68" t="inlineStr">
        <is>
          <t>143 / 90</t>
        </is>
      </c>
      <c r="L68" t="inlineStr">
        <is>
          <t>15 / 15</t>
        </is>
      </c>
      <c r="M68" s="5" t="n">
        <v>0.61</v>
      </c>
      <c r="N68" s="5" t="n">
        <v>0.5</v>
      </c>
    </row>
    <row r="69">
      <c r="A69" t="n">
        <v>68</v>
      </c>
      <c r="B69" t="n">
        <v>2012</v>
      </c>
      <c r="C69" t="inlineStr">
        <is>
          <t>Alecia Yahan Liu</t>
        </is>
      </c>
      <c r="D69">
        <f>HYPERLINK("https://ota.tournamentsoftware.com/player-profile/3FBB1729-DE66-45FA-864E-C010DC83E5AD", "Link")</f>
        <v/>
      </c>
      <c r="E69" s="3" t="n">
        <v>1215.679</v>
      </c>
      <c r="F69" s="4" t="n">
        <v>20</v>
      </c>
      <c r="G69" t="inlineStr">
        <is>
          <t>Tennis Alberta</t>
        </is>
      </c>
      <c r="H69" t="inlineStr">
        <is>
          <t>Saville Community Sports Centre</t>
        </is>
      </c>
      <c r="I69" t="n">
        <v>26.6</v>
      </c>
      <c r="J69" s="4" t="n">
        <v>242</v>
      </c>
      <c r="K69" t="inlineStr">
        <is>
          <t>125 / 117</t>
        </is>
      </c>
      <c r="L69" t="inlineStr">
        <is>
          <t>23 / 22</t>
        </is>
      </c>
      <c r="M69" s="5" t="n">
        <v>0.52</v>
      </c>
      <c r="N69" s="5" t="n">
        <v>0.51</v>
      </c>
    </row>
    <row r="70">
      <c r="A70" t="n">
        <v>69</v>
      </c>
      <c r="B70" t="n">
        <v>2012</v>
      </c>
      <c r="C70" t="inlineStr">
        <is>
          <t>Alessia Lungu</t>
        </is>
      </c>
      <c r="D70">
        <f>HYPERLINK("https://ota.tournamentsoftware.com/player-profile/99FF719F-9C8F-4394-BE76-5455D457977A", "Link")</f>
        <v/>
      </c>
      <c r="E70" s="3" t="n">
        <v>1212.805</v>
      </c>
      <c r="F70" s="4" t="n">
        <v>10</v>
      </c>
      <c r="G70" t="inlineStr">
        <is>
          <t>Ontario Tennis Association</t>
        </is>
      </c>
      <c r="H70" t="inlineStr">
        <is>
          <t>Joshua Creek Golf &amp; Tennis</t>
        </is>
      </c>
      <c r="I70" t="n">
        <v>23.2</v>
      </c>
      <c r="J70" s="4" t="n">
        <v>181</v>
      </c>
      <c r="K70" t="inlineStr">
        <is>
          <t>116 / 65</t>
        </is>
      </c>
      <c r="L70" t="inlineStr">
        <is>
          <t>5 / 3</t>
        </is>
      </c>
      <c r="M70" s="5" t="n">
        <v>0.64</v>
      </c>
      <c r="N70" s="5" t="n">
        <v>0.62</v>
      </c>
    </row>
    <row r="71">
      <c r="A71" t="n">
        <v>70</v>
      </c>
      <c r="B71" t="n">
        <v>2012</v>
      </c>
      <c r="C71" t="inlineStr">
        <is>
          <t>Karina Zhang</t>
        </is>
      </c>
      <c r="D71">
        <f>HYPERLINK("https://ota.tournamentsoftware.com/player-profile/7BB53E38-BBB9-4E1E-B8A2-8EFC2E762653", "Link")</f>
        <v/>
      </c>
      <c r="E71" s="3" t="n">
        <v>1204.716</v>
      </c>
      <c r="F71" s="4" t="n">
        <v>27</v>
      </c>
      <c r="G71" t="inlineStr">
        <is>
          <t>Ontario Tennis Association</t>
        </is>
      </c>
      <c r="H71" t="inlineStr">
        <is>
          <t>Richmondhill Golf &amp; Country Club</t>
        </is>
      </c>
      <c r="I71" t="n">
        <v>25.9</v>
      </c>
      <c r="J71" s="4" t="n">
        <v>203</v>
      </c>
      <c r="K71" t="inlineStr">
        <is>
          <t>127 / 76</t>
        </is>
      </c>
      <c r="L71" t="inlineStr">
        <is>
          <t>27 / 20</t>
        </is>
      </c>
      <c r="M71" s="5" t="n">
        <v>0.63</v>
      </c>
      <c r="N71" s="5" t="n">
        <v>0.57</v>
      </c>
    </row>
    <row r="72">
      <c r="A72" t="n">
        <v>71</v>
      </c>
      <c r="B72" t="n">
        <v>2012</v>
      </c>
      <c r="C72" t="inlineStr">
        <is>
          <t>Ashlee Hanul Yoo</t>
        </is>
      </c>
      <c r="D72">
        <f>HYPERLINK("https://ota.tournamentsoftware.com/player-profile/BA09F220-C66B-4A96-9C0C-1BEE71ADDA56", "Link")</f>
        <v/>
      </c>
      <c r="E72" s="3" t="n">
        <v>1170.503</v>
      </c>
      <c r="F72" s="4" t="n">
        <v>13</v>
      </c>
      <c r="G72" t="inlineStr">
        <is>
          <t>British Columbia</t>
        </is>
      </c>
      <c r="H72" t="inlineStr">
        <is>
          <t>No Club</t>
        </is>
      </c>
      <c r="I72" t="inlineStr">
        <is>
          <t>unavailable</t>
        </is>
      </c>
      <c r="J72" s="4" t="n">
        <v>205</v>
      </c>
      <c r="K72" t="inlineStr">
        <is>
          <t>109 / 96</t>
        </is>
      </c>
      <c r="L72" t="inlineStr">
        <is>
          <t>18 / 18</t>
        </is>
      </c>
      <c r="M72" s="5" t="n">
        <v>0.53</v>
      </c>
      <c r="N72" s="5" t="n">
        <v>0.5</v>
      </c>
    </row>
    <row r="73">
      <c r="A73" t="n">
        <v>72</v>
      </c>
      <c r="B73" t="n">
        <v>2012</v>
      </c>
      <c r="C73" t="inlineStr">
        <is>
          <t>Kate Louise Violet Dee</t>
        </is>
      </c>
      <c r="D73">
        <f>HYPERLINK("https://ota.tournamentsoftware.com/player-profile/807F7468-99D8-4717-B3DF-3F2ED69EFA0A", "Link")</f>
        <v/>
      </c>
      <c r="E73" s="3" t="n">
        <v>1135.533</v>
      </c>
      <c r="F73" s="4" t="n">
        <v>12</v>
      </c>
      <c r="G73" t="inlineStr">
        <is>
          <t>British Columbia</t>
        </is>
      </c>
      <c r="H73" t="inlineStr">
        <is>
          <t>North Vancouver Tennis Centre</t>
        </is>
      </c>
      <c r="I73" t="n">
        <v>25.8</v>
      </c>
      <c r="J73" s="4" t="n">
        <v>244</v>
      </c>
      <c r="K73" t="inlineStr">
        <is>
          <t>136 / 108</t>
        </is>
      </c>
      <c r="L73" t="inlineStr">
        <is>
          <t>14 / 16</t>
        </is>
      </c>
      <c r="M73" s="5" t="n">
        <v>0.5600000000000001</v>
      </c>
      <c r="N73" s="5" t="n">
        <v>0.47</v>
      </c>
    </row>
    <row r="74">
      <c r="A74" t="n">
        <v>73</v>
      </c>
      <c r="B74" t="n">
        <v>2013</v>
      </c>
      <c r="C74" t="inlineStr">
        <is>
          <t>Cindy Liu</t>
        </is>
      </c>
      <c r="D74">
        <f>HYPERLINK("https://ota.tournamentsoftware.com/player-profile/89018759-835F-4CE0-A297-3449F2A42D00", "Link")</f>
        <v/>
      </c>
      <c r="E74" s="3" t="n">
        <v>1113.273</v>
      </c>
      <c r="F74" s="4" t="n">
        <v>24</v>
      </c>
      <c r="G74" t="inlineStr">
        <is>
          <t>British Columbia</t>
        </is>
      </c>
      <c r="H74" t="inlineStr">
        <is>
          <t>The Tennis Centre</t>
        </is>
      </c>
      <c r="I74" t="n">
        <v>25.8</v>
      </c>
      <c r="J74" s="4" t="n">
        <v>195</v>
      </c>
      <c r="K74" t="inlineStr">
        <is>
          <t>104 / 91</t>
        </is>
      </c>
      <c r="L74" t="inlineStr">
        <is>
          <t>34 / 18</t>
        </is>
      </c>
      <c r="M74" s="5" t="n">
        <v>0.53</v>
      </c>
      <c r="N74" s="5" t="n">
        <v>0.65</v>
      </c>
    </row>
    <row r="75">
      <c r="A75" t="n">
        <v>74</v>
      </c>
      <c r="B75" t="n">
        <v>2014</v>
      </c>
      <c r="C75" t="inlineStr">
        <is>
          <t>Nanette Du</t>
        </is>
      </c>
      <c r="D75">
        <f>HYPERLINK("https://ota.tournamentsoftware.com/player-profile/53190390-CC68-4E5E-8079-A41733ADF41A", "Link")</f>
        <v/>
      </c>
      <c r="E75" s="3" t="n">
        <v>1108.596</v>
      </c>
      <c r="F75" s="4" t="n">
        <v>17</v>
      </c>
      <c r="G75" t="inlineStr">
        <is>
          <t>Ontario Tennis Association</t>
        </is>
      </c>
      <c r="H75" t="inlineStr">
        <is>
          <t>Advantage Tennis International at Veneto</t>
        </is>
      </c>
      <c r="I75" t="n">
        <v>28.2</v>
      </c>
      <c r="J75" s="4" t="n">
        <v>146</v>
      </c>
      <c r="K75" t="inlineStr">
        <is>
          <t>90 / 56</t>
        </is>
      </c>
      <c r="L75" t="inlineStr">
        <is>
          <t>24 / 12</t>
        </is>
      </c>
      <c r="M75" s="5" t="n">
        <v>0.62</v>
      </c>
      <c r="N75" s="5" t="n">
        <v>0.67</v>
      </c>
    </row>
    <row r="76">
      <c r="A76" t="n">
        <v>75</v>
      </c>
      <c r="B76" t="n">
        <v>2013</v>
      </c>
      <c r="C76" t="inlineStr">
        <is>
          <t>Etooluwa Michelle Bammeke</t>
        </is>
      </c>
      <c r="D76">
        <f>HYPERLINK("https://ota.tournamentsoftware.com/player-profile/7C02D882-BDA0-4F5A-9586-AF17737417F7", "Link")</f>
        <v/>
      </c>
      <c r="E76" s="3" t="n">
        <v>1085</v>
      </c>
      <c r="F76" s="4" t="n">
        <v>27</v>
      </c>
      <c r="G76" t="inlineStr">
        <is>
          <t>Ontario Tennis Association</t>
        </is>
      </c>
      <c r="H76" t="inlineStr">
        <is>
          <t>Joshua Creek Golf &amp; Tennis</t>
        </is>
      </c>
      <c r="I76" t="n">
        <v>28.3</v>
      </c>
      <c r="J76" s="4" t="n">
        <v>265</v>
      </c>
      <c r="K76" t="inlineStr">
        <is>
          <t>163 / 102</t>
        </is>
      </c>
      <c r="L76" t="inlineStr">
        <is>
          <t>19 / 12</t>
        </is>
      </c>
      <c r="M76" s="5" t="n">
        <v>0.62</v>
      </c>
      <c r="N76" s="5" t="n">
        <v>0.61</v>
      </c>
    </row>
    <row r="77">
      <c r="A77" t="n">
        <v>76</v>
      </c>
      <c r="B77" t="n">
        <v>2014</v>
      </c>
      <c r="C77" t="inlineStr">
        <is>
          <t>Naella Sehic</t>
        </is>
      </c>
      <c r="D77">
        <f>HYPERLINK("https://ota.tournamentsoftware.com/player-profile/C86BA5BA-97F0-463B-BBE7-6A41452E0D47", "Link")</f>
        <v/>
      </c>
      <c r="E77" s="3" t="n">
        <v>1078.951</v>
      </c>
      <c r="F77" s="4" t="n">
        <v>19</v>
      </c>
      <c r="G77" t="inlineStr">
        <is>
          <t>Tennis Québec</t>
        </is>
      </c>
      <c r="H77" t="inlineStr">
        <is>
          <t>Tennis Ile- des- Soeurs</t>
        </is>
      </c>
      <c r="I77" t="n">
        <v>25.9</v>
      </c>
      <c r="J77" s="4" t="n">
        <v>289</v>
      </c>
      <c r="K77" t="inlineStr">
        <is>
          <t>177 / 112</t>
        </is>
      </c>
      <c r="L77" t="inlineStr">
        <is>
          <t>42 / 14</t>
        </is>
      </c>
      <c r="M77" s="5" t="n">
        <v>0.61</v>
      </c>
      <c r="N77" s="5" t="n">
        <v>0.75</v>
      </c>
    </row>
    <row r="78">
      <c r="A78" t="n">
        <v>77</v>
      </c>
      <c r="B78" t="n">
        <v>2012</v>
      </c>
      <c r="C78" t="inlineStr">
        <is>
          <t>Emilia Klimek</t>
        </is>
      </c>
      <c r="D78">
        <f>HYPERLINK("https://ota.tournamentsoftware.com/player-profile/B65F75BD-7091-433B-817C-EC3472CCA6E3", "Link")</f>
        <v/>
      </c>
      <c r="E78" s="3" t="n">
        <v>1074.821</v>
      </c>
      <c r="F78" s="4" t="n">
        <v>20</v>
      </c>
      <c r="G78" t="inlineStr">
        <is>
          <t>British Columbia</t>
        </is>
      </c>
      <c r="H78" t="inlineStr">
        <is>
          <t>No Club</t>
        </is>
      </c>
      <c r="I78" t="n">
        <v>26</v>
      </c>
      <c r="J78" s="4" t="n">
        <v>221</v>
      </c>
      <c r="K78" t="inlineStr">
        <is>
          <t>119 / 102</t>
        </is>
      </c>
      <c r="L78" t="inlineStr">
        <is>
          <t>31 / 17</t>
        </is>
      </c>
      <c r="M78" s="5" t="n">
        <v>0.54</v>
      </c>
      <c r="N78" s="5" t="n">
        <v>0.65</v>
      </c>
    </row>
    <row r="79">
      <c r="A79" t="n">
        <v>78</v>
      </c>
      <c r="B79" t="n">
        <v>2015</v>
      </c>
      <c r="C79" t="inlineStr">
        <is>
          <t>Sofia Tabunshchyk</t>
        </is>
      </c>
      <c r="D79">
        <f>HYPERLINK("https://ota.tournamentsoftware.com/player-profile/3714FE82-9045-425F-937B-7104A43D57F9", "Link")</f>
        <v/>
      </c>
      <c r="E79" s="3" t="n">
        <v>1067.083</v>
      </c>
      <c r="F79" s="4" t="n">
        <v>39</v>
      </c>
      <c r="G79" t="inlineStr">
        <is>
          <t>Ontario Tennis Association</t>
        </is>
      </c>
      <c r="H79" t="inlineStr">
        <is>
          <t>ACE Tennis - Burlington</t>
        </is>
      </c>
      <c r="I79" t="inlineStr">
        <is>
          <t>unavailable</t>
        </is>
      </c>
      <c r="J79" s="4" t="n">
        <v>320</v>
      </c>
      <c r="K79" t="inlineStr">
        <is>
          <t>160 / 160</t>
        </is>
      </c>
      <c r="L79" t="inlineStr">
        <is>
          <t>50 / 24</t>
        </is>
      </c>
      <c r="M79" s="5" t="n">
        <v>0.5</v>
      </c>
      <c r="N79" s="5" t="n">
        <v>0.68</v>
      </c>
    </row>
    <row r="80">
      <c r="A80" t="n">
        <v>79</v>
      </c>
      <c r="B80" t="n">
        <v>2013</v>
      </c>
      <c r="C80" t="inlineStr">
        <is>
          <t>Halo Boyu Li</t>
        </is>
      </c>
      <c r="D80">
        <f>HYPERLINK("https://ota.tournamentsoftware.com/player-profile/42371346-12B9-439B-B9EB-FB5DD0ABCB73", "Link")</f>
        <v/>
      </c>
      <c r="E80" s="3" t="n">
        <v>1061.845</v>
      </c>
      <c r="F80" s="4" t="n">
        <v>11</v>
      </c>
      <c r="G80" t="inlineStr">
        <is>
          <t>Tennis Saskatchewan</t>
        </is>
      </c>
      <c r="H80" t="inlineStr">
        <is>
          <t>No Club</t>
        </is>
      </c>
      <c r="I80" t="n">
        <v>31.3</v>
      </c>
      <c r="J80" s="4" t="n">
        <v>173</v>
      </c>
      <c r="K80" t="inlineStr">
        <is>
          <t>77 / 96</t>
        </is>
      </c>
      <c r="L80" t="inlineStr">
        <is>
          <t>27 / 21</t>
        </is>
      </c>
      <c r="M80" s="5" t="n">
        <v>0.45</v>
      </c>
      <c r="N80" s="5" t="n">
        <v>0.5600000000000001</v>
      </c>
    </row>
    <row r="81">
      <c r="A81" t="n">
        <v>80</v>
      </c>
      <c r="B81" t="n">
        <v>2013</v>
      </c>
      <c r="C81" t="inlineStr">
        <is>
          <t>Sophia Gettle</t>
        </is>
      </c>
      <c r="D81">
        <f>HYPERLINK("https://ota.tournamentsoftware.com/player-profile/5CC0A57F-C369-42D6-B845-B30A38F24F56", "Link")</f>
        <v/>
      </c>
      <c r="E81" s="3" t="n">
        <v>1060.252</v>
      </c>
      <c r="F81" s="4" t="n">
        <v>13</v>
      </c>
      <c r="G81" t="inlineStr">
        <is>
          <t>Tennis Saskatchewan</t>
        </is>
      </c>
      <c r="H81" t="inlineStr">
        <is>
          <t>Lakeshore Tennis Club</t>
        </is>
      </c>
      <c r="I81" t="inlineStr">
        <is>
          <t>unavailable</t>
        </is>
      </c>
      <c r="J81" s="4" t="n">
        <v>206</v>
      </c>
      <c r="K81" t="inlineStr">
        <is>
          <t>90 / 116</t>
        </is>
      </c>
      <c r="L81" t="inlineStr">
        <is>
          <t>21 / 30</t>
        </is>
      </c>
      <c r="M81" s="5" t="n">
        <v>0.44</v>
      </c>
      <c r="N81" s="5" t="n">
        <v>0.41</v>
      </c>
    </row>
    <row r="82">
      <c r="A82" t="n">
        <v>81</v>
      </c>
      <c r="B82" t="n">
        <v>2014</v>
      </c>
      <c r="C82" t="inlineStr">
        <is>
          <t>Emma Allen</t>
        </is>
      </c>
      <c r="D82">
        <f>HYPERLINK("https://ota.tournamentsoftware.com/player-profile/5640B61E-0EE7-4BB3-ABC3-AD9CB508E4E9", "Link")</f>
        <v/>
      </c>
      <c r="E82" s="3" t="n">
        <v>1054.397</v>
      </c>
      <c r="F82" s="4" t="n">
        <v>20</v>
      </c>
      <c r="G82" t="inlineStr">
        <is>
          <t>Ontario Tennis Association</t>
        </is>
      </c>
      <c r="H82" t="inlineStr">
        <is>
          <t>Joshua Creek Golf &amp; Tennis</t>
        </is>
      </c>
      <c r="I82" t="n">
        <v>27.5</v>
      </c>
      <c r="J82" s="4" t="n">
        <v>252</v>
      </c>
      <c r="K82" t="inlineStr">
        <is>
          <t>182 / 70</t>
        </is>
      </c>
      <c r="L82" t="inlineStr">
        <is>
          <t>34 / 18</t>
        </is>
      </c>
      <c r="M82" s="5" t="n">
        <v>0.72</v>
      </c>
      <c r="N82" s="5" t="n">
        <v>0.65</v>
      </c>
    </row>
    <row r="83">
      <c r="A83" t="n">
        <v>82</v>
      </c>
      <c r="B83" t="n">
        <v>2013</v>
      </c>
      <c r="C83" t="inlineStr">
        <is>
          <t>Chloé Normandin</t>
        </is>
      </c>
      <c r="D83">
        <f>HYPERLINK("https://ota.tournamentsoftware.com/player-profile/A22608C6-6D99-476C-9EC7-9A31F3CACB0A", "Link")</f>
        <v/>
      </c>
      <c r="E83" s="3" t="n">
        <v>1038.169</v>
      </c>
      <c r="F83" s="4" t="n">
        <v>21</v>
      </c>
      <c r="G83" t="inlineStr">
        <is>
          <t>Tennis Québec</t>
        </is>
      </c>
      <c r="H83" t="inlineStr">
        <is>
          <t>Tennis Ile- des- Soeurs</t>
        </is>
      </c>
      <c r="I83" t="n">
        <v>26.8</v>
      </c>
      <c r="J83" s="4" t="n">
        <v>263</v>
      </c>
      <c r="K83" t="inlineStr">
        <is>
          <t>144 / 119</t>
        </is>
      </c>
      <c r="L83" t="inlineStr">
        <is>
          <t>35 / 19</t>
        </is>
      </c>
      <c r="M83" s="5" t="n">
        <v>0.55</v>
      </c>
      <c r="N83" s="5" t="n">
        <v>0.65</v>
      </c>
    </row>
    <row r="84">
      <c r="A84" t="n">
        <v>83</v>
      </c>
      <c r="B84" t="n">
        <v>2014</v>
      </c>
      <c r="C84" t="inlineStr">
        <is>
          <t>Ruoran Hou</t>
        </is>
      </c>
      <c r="D84">
        <f>HYPERLINK("https://ota.tournamentsoftware.com/player-profile/01D9A845-667C-4EDB-ABF5-CFE1C5418675", "Link")</f>
        <v/>
      </c>
      <c r="E84" s="3" t="n">
        <v>1036.365</v>
      </c>
      <c r="F84" s="4" t="n">
        <v>15</v>
      </c>
      <c r="G84" t="inlineStr">
        <is>
          <t>Tennis Nova Scotia</t>
        </is>
      </c>
      <c r="H84" t="inlineStr">
        <is>
          <t>Atlantic Tennis Centre</t>
        </is>
      </c>
      <c r="I84" t="n">
        <v>28.4</v>
      </c>
      <c r="J84" s="4" t="n">
        <v>227</v>
      </c>
      <c r="K84" t="inlineStr">
        <is>
          <t>134 / 93</t>
        </is>
      </c>
      <c r="L84" t="inlineStr">
        <is>
          <t>36 / 20</t>
        </is>
      </c>
      <c r="M84" s="5" t="n">
        <v>0.59</v>
      </c>
      <c r="N84" s="5" t="n">
        <v>0.64</v>
      </c>
    </row>
    <row r="85">
      <c r="A85" t="n">
        <v>84</v>
      </c>
      <c r="B85" t="n">
        <v>2012</v>
      </c>
      <c r="C85" t="inlineStr">
        <is>
          <t>Margarita Ter-Grigoryan</t>
        </is>
      </c>
      <c r="D85">
        <f>HYPERLINK("https://ota.tournamentsoftware.com/player-profile/A86B3E87-30AA-4D57-86CF-572CF663421E", "Link")</f>
        <v/>
      </c>
      <c r="E85" s="3" t="n">
        <v>1020.42</v>
      </c>
      <c r="F85" s="4" t="n">
        <v>14</v>
      </c>
      <c r="G85" t="inlineStr">
        <is>
          <t>Tennis Saskatchewan</t>
        </is>
      </c>
      <c r="H85" t="inlineStr">
        <is>
          <t>No Club</t>
        </is>
      </c>
      <c r="I85" t="n">
        <v>31</v>
      </c>
      <c r="J85" s="4" t="n">
        <v>127</v>
      </c>
      <c r="K85" t="inlineStr">
        <is>
          <t>67 / 60</t>
        </is>
      </c>
      <c r="L85" t="inlineStr">
        <is>
          <t>27 / 30</t>
        </is>
      </c>
      <c r="M85" s="5" t="n">
        <v>0.53</v>
      </c>
      <c r="N85" s="5" t="n">
        <v>0.47</v>
      </c>
    </row>
    <row r="86">
      <c r="A86" t="n">
        <v>85</v>
      </c>
      <c r="B86" t="n">
        <v>2012</v>
      </c>
      <c r="C86" t="inlineStr">
        <is>
          <t>Annika Richards</t>
        </is>
      </c>
      <c r="D86">
        <f>HYPERLINK("https://ota.tournamentsoftware.com/player-profile/CFED81F9-9EA3-48DF-84C4-507456D5D68B", "Link")</f>
        <v/>
      </c>
      <c r="E86" s="3" t="n">
        <v>994.5170000000001</v>
      </c>
      <c r="F86" s="4" t="n">
        <v>18</v>
      </c>
      <c r="G86" t="inlineStr">
        <is>
          <t>Ontario Tennis Association</t>
        </is>
      </c>
      <c r="H86" t="inlineStr">
        <is>
          <t>Toronto Cricket Skating &amp; Curling</t>
        </is>
      </c>
      <c r="I86" t="n">
        <v>28.4</v>
      </c>
      <c r="J86" s="4" t="n">
        <v>186</v>
      </c>
      <c r="K86" t="inlineStr">
        <is>
          <t>79 / 107</t>
        </is>
      </c>
      <c r="L86" t="inlineStr">
        <is>
          <t>6 / 16</t>
        </is>
      </c>
      <c r="M86" s="5" t="n">
        <v>0.42</v>
      </c>
      <c r="N86" s="5" t="n">
        <v>0.27</v>
      </c>
    </row>
    <row r="87">
      <c r="A87" t="n">
        <v>86</v>
      </c>
      <c r="B87" t="n">
        <v>2014</v>
      </c>
      <c r="C87" t="inlineStr">
        <is>
          <t>Victoria Markova</t>
        </is>
      </c>
      <c r="D87">
        <f>HYPERLINK("https://ota.tournamentsoftware.com/player-profile/DE909631-ADF4-4157-ABE4-0097B95C4307", "Link")</f>
        <v/>
      </c>
      <c r="E87" s="3" t="n">
        <v>987.542</v>
      </c>
      <c r="F87" s="4" t="n">
        <v>23</v>
      </c>
      <c r="G87" t="inlineStr">
        <is>
          <t>Tennis Québec</t>
        </is>
      </c>
      <c r="H87" t="inlineStr">
        <is>
          <t>Carrefour Multisports</t>
        </is>
      </c>
      <c r="I87" t="n">
        <v>29.2</v>
      </c>
      <c r="J87" s="4" t="n">
        <v>215</v>
      </c>
      <c r="K87" t="inlineStr">
        <is>
          <t>118 / 97</t>
        </is>
      </c>
      <c r="L87" t="inlineStr">
        <is>
          <t>33 / 20</t>
        </is>
      </c>
      <c r="M87" s="5" t="n">
        <v>0.55</v>
      </c>
      <c r="N87" s="5" t="n">
        <v>0.62</v>
      </c>
    </row>
    <row r="88">
      <c r="A88" t="n">
        <v>87</v>
      </c>
      <c r="B88" t="n">
        <v>2013</v>
      </c>
      <c r="C88" t="inlineStr">
        <is>
          <t>Varvara Lutsyk</t>
        </is>
      </c>
      <c r="D88">
        <f>HYPERLINK("https://ota.tournamentsoftware.com/player-profile/5197490D-6996-4375-892E-2696E508FF34", "Link")</f>
        <v/>
      </c>
      <c r="E88" s="3" t="n">
        <v>982.403</v>
      </c>
      <c r="F88" s="4" t="n">
        <v>21</v>
      </c>
      <c r="G88" t="inlineStr">
        <is>
          <t>Tennis Québec</t>
        </is>
      </c>
      <c r="H88" t="inlineStr">
        <is>
          <t>Club Sportif Côte-de-Liesse</t>
        </is>
      </c>
      <c r="I88" t="n">
        <v>25.6</v>
      </c>
      <c r="J88" s="4" t="n">
        <v>197</v>
      </c>
      <c r="K88" t="inlineStr">
        <is>
          <t>128 / 69</t>
        </is>
      </c>
      <c r="L88" t="inlineStr">
        <is>
          <t>22 / 13</t>
        </is>
      </c>
      <c r="M88" s="5" t="n">
        <v>0.65</v>
      </c>
      <c r="N88" s="5" t="n">
        <v>0.63</v>
      </c>
    </row>
    <row r="89">
      <c r="A89" t="n">
        <v>88</v>
      </c>
      <c r="B89" t="n">
        <v>2013</v>
      </c>
      <c r="C89" t="inlineStr">
        <is>
          <t>Aubrianna Ellen York</t>
        </is>
      </c>
      <c r="D89">
        <f>HYPERLINK("https://ota.tournamentsoftware.com/player-profile/FDFD6FEF-AD8B-4B1E-ADE3-15417E1BCF05", "Link")</f>
        <v/>
      </c>
      <c r="E89" s="3" t="n">
        <v>970.944</v>
      </c>
      <c r="F89" s="4" t="n">
        <v>19</v>
      </c>
      <c r="G89" t="inlineStr">
        <is>
          <t>Tennis Alberta</t>
        </is>
      </c>
      <c r="H89" t="inlineStr">
        <is>
          <t>Aforza</t>
        </is>
      </c>
      <c r="I89" t="n">
        <v>28.1</v>
      </c>
      <c r="J89" s="4" t="n">
        <v>214</v>
      </c>
      <c r="K89" t="inlineStr">
        <is>
          <t>113 / 101</t>
        </is>
      </c>
      <c r="L89" t="inlineStr">
        <is>
          <t>28 / 19</t>
        </is>
      </c>
      <c r="M89" s="5" t="n">
        <v>0.53</v>
      </c>
      <c r="N89" s="5" t="n">
        <v>0.6</v>
      </c>
    </row>
    <row r="90">
      <c r="A90" t="n">
        <v>89</v>
      </c>
      <c r="B90" t="n">
        <v>2012</v>
      </c>
      <c r="C90" t="inlineStr">
        <is>
          <t>Chloe Lou Friesen</t>
        </is>
      </c>
      <c r="D90">
        <f>HYPERLINK("https://ota.tournamentsoftware.com/player-profile/A0A11672-F1E8-4BD3-A43A-BB82984EDDA5", "Link")</f>
        <v/>
      </c>
      <c r="E90" s="3" t="n">
        <v>959.691</v>
      </c>
      <c r="F90" s="4" t="n">
        <v>20</v>
      </c>
      <c r="G90" t="inlineStr">
        <is>
          <t>British Columbia</t>
        </is>
      </c>
      <c r="H90" t="inlineStr">
        <is>
          <t>Vancouver Lawn Tennis and Badminton Club</t>
        </is>
      </c>
      <c r="I90" t="n">
        <v>26</v>
      </c>
      <c r="J90" s="4" t="n">
        <v>235</v>
      </c>
      <c r="K90" t="inlineStr">
        <is>
          <t>129 / 106</t>
        </is>
      </c>
      <c r="L90" t="inlineStr">
        <is>
          <t>24 / 16</t>
        </is>
      </c>
      <c r="M90" s="5" t="n">
        <v>0.55</v>
      </c>
      <c r="N90" s="5" t="n">
        <v>0.6</v>
      </c>
    </row>
    <row r="91">
      <c r="A91" t="n">
        <v>90</v>
      </c>
      <c r="B91" t="n">
        <v>2015</v>
      </c>
      <c r="C91" t="inlineStr">
        <is>
          <t>Aahana Guha</t>
        </is>
      </c>
      <c r="D91">
        <f>HYPERLINK("https://ota.tournamentsoftware.com/player-profile/B6BFAEC0-924F-4635-B45C-E700061D4B03", "Link")</f>
        <v/>
      </c>
      <c r="E91" s="3" t="n">
        <v>939.28</v>
      </c>
      <c r="F91" s="4" t="n">
        <v>10</v>
      </c>
      <c r="G91" t="inlineStr">
        <is>
          <t>Tennis Saskatchewan</t>
        </is>
      </c>
      <c r="H91" t="inlineStr">
        <is>
          <t>Lakeshore Tennis Club</t>
        </is>
      </c>
      <c r="I91" t="n">
        <v>29.8</v>
      </c>
      <c r="J91" s="4" t="n">
        <v>162</v>
      </c>
      <c r="K91" t="inlineStr">
        <is>
          <t>89 / 73</t>
        </is>
      </c>
      <c r="L91" t="inlineStr">
        <is>
          <t>33 / 15</t>
        </is>
      </c>
      <c r="M91" s="5" t="n">
        <v>0.55</v>
      </c>
      <c r="N91" s="5" t="n">
        <v>0.6899999999999999</v>
      </c>
    </row>
    <row r="92">
      <c r="A92" t="n">
        <v>91</v>
      </c>
      <c r="B92" t="n">
        <v>2014</v>
      </c>
      <c r="C92" t="inlineStr">
        <is>
          <t>JOANNA QIHENG FEI</t>
        </is>
      </c>
      <c r="D92">
        <f>HYPERLINK("https://ota.tournamentsoftware.com/player-profile/1DD48A17-96B6-42F9-8D67-EE4CBF6DFA95", "Link")</f>
        <v/>
      </c>
      <c r="E92" s="3" t="n">
        <v>932.457</v>
      </c>
      <c r="F92" s="4" t="n">
        <v>22</v>
      </c>
      <c r="G92" t="inlineStr">
        <is>
          <t>British Columbia</t>
        </is>
      </c>
      <c r="H92" t="inlineStr">
        <is>
          <t>No Club</t>
        </is>
      </c>
      <c r="I92" t="n">
        <v>27.1</v>
      </c>
      <c r="J92" s="4" t="n">
        <v>259</v>
      </c>
      <c r="K92" t="inlineStr">
        <is>
          <t>125 / 134</t>
        </is>
      </c>
      <c r="L92" t="inlineStr">
        <is>
          <t>32 / 18</t>
        </is>
      </c>
      <c r="M92" s="5" t="n">
        <v>0.48</v>
      </c>
      <c r="N92" s="5" t="n">
        <v>0.64</v>
      </c>
    </row>
    <row r="93">
      <c r="A93" t="n">
        <v>92</v>
      </c>
      <c r="B93" t="n">
        <v>2013</v>
      </c>
      <c r="C93" t="inlineStr">
        <is>
          <t>Charlotte Ng</t>
        </is>
      </c>
      <c r="D93">
        <f>HYPERLINK("https://ota.tournamentsoftware.com/player-profile/1FAB3C52-8224-4122-A705-ED95AC2AE538", "Link")</f>
        <v/>
      </c>
      <c r="E93" s="3" t="n">
        <v>898.023</v>
      </c>
      <c r="F93" s="4" t="n">
        <v>31</v>
      </c>
      <c r="G93" t="inlineStr">
        <is>
          <t>Ontario Tennis Association</t>
        </is>
      </c>
      <c r="H93" t="inlineStr">
        <is>
          <t>Blackmore Tennis Club</t>
        </is>
      </c>
      <c r="I93" t="n">
        <v>30</v>
      </c>
      <c r="J93" s="4" t="n">
        <v>213</v>
      </c>
      <c r="K93" t="inlineStr">
        <is>
          <t>122 / 91</t>
        </is>
      </c>
      <c r="L93" t="inlineStr">
        <is>
          <t>31 / 17</t>
        </is>
      </c>
      <c r="M93" s="5" t="n">
        <v>0.57</v>
      </c>
      <c r="N93" s="5" t="n">
        <v>0.65</v>
      </c>
    </row>
    <row r="94">
      <c r="A94" t="n">
        <v>93</v>
      </c>
      <c r="B94" t="n">
        <v>2013</v>
      </c>
      <c r="C94" t="inlineStr">
        <is>
          <t>Amelia Karapalevski</t>
        </is>
      </c>
      <c r="D94">
        <f>HYPERLINK("https://ota.tournamentsoftware.com/player-profile/FA2D2790-6EBD-4928-94F7-17F54621E2B4", "Link")</f>
        <v/>
      </c>
      <c r="E94" s="3" t="n">
        <v>896.6180000000001</v>
      </c>
      <c r="F94" s="4" t="n">
        <v>36</v>
      </c>
      <c r="G94" t="inlineStr">
        <is>
          <t>Ontario Tennis Association</t>
        </is>
      </c>
      <c r="H94" t="inlineStr">
        <is>
          <t>No Club</t>
        </is>
      </c>
      <c r="I94" t="n">
        <v>28.2</v>
      </c>
      <c r="J94" s="4" t="n">
        <v>215</v>
      </c>
      <c r="K94" t="inlineStr">
        <is>
          <t>126 / 89</t>
        </is>
      </c>
      <c r="L94" t="inlineStr">
        <is>
          <t>32 / 18</t>
        </is>
      </c>
      <c r="M94" s="5" t="n">
        <v>0.59</v>
      </c>
      <c r="N94" s="5" t="n">
        <v>0.64</v>
      </c>
    </row>
    <row r="95">
      <c r="A95" t="n">
        <v>94</v>
      </c>
      <c r="B95" t="n">
        <v>2012</v>
      </c>
      <c r="C95" t="inlineStr">
        <is>
          <t>Adrienne Keaton Nelson</t>
        </is>
      </c>
      <c r="D95">
        <f>HYPERLINK("https://ota.tournamentsoftware.com/player-profile/1D977DD3-331D-4977-B4D6-E3202A6C56BD", "Link")</f>
        <v/>
      </c>
      <c r="E95" s="3" t="n">
        <v>886.347</v>
      </c>
      <c r="F95" s="4" t="n">
        <v>43</v>
      </c>
      <c r="G95" t="inlineStr">
        <is>
          <t>Ontario Tennis Association</t>
        </is>
      </c>
      <c r="H95" t="inlineStr">
        <is>
          <t>Blackmore Tennis Club</t>
        </is>
      </c>
      <c r="I95" t="n">
        <v>28.3</v>
      </c>
      <c r="J95" s="4" t="n">
        <v>223</v>
      </c>
      <c r="K95" t="inlineStr">
        <is>
          <t>109 / 114</t>
        </is>
      </c>
      <c r="L95" t="inlineStr">
        <is>
          <t>23 / 19</t>
        </is>
      </c>
      <c r="M95" s="5" t="n">
        <v>0.49</v>
      </c>
      <c r="N95" s="5" t="n">
        <v>0.55</v>
      </c>
    </row>
    <row r="96">
      <c r="A96" t="n">
        <v>95</v>
      </c>
      <c r="B96" t="n">
        <v>2012</v>
      </c>
      <c r="C96" t="inlineStr">
        <is>
          <t>Kelly L Zhang</t>
        </is>
      </c>
      <c r="D96">
        <f>HYPERLINK("https://ota.tournamentsoftware.com/player-profile/2504E03B-B05C-4307-B90E-F3F72DD94827", "Link")</f>
        <v/>
      </c>
      <c r="E96" s="3" t="n">
        <v>870.523</v>
      </c>
      <c r="F96" s="4" t="n">
        <v>22</v>
      </c>
      <c r="G96" t="inlineStr">
        <is>
          <t>Ontario Tennis Association</t>
        </is>
      </c>
      <c r="H96" t="inlineStr">
        <is>
          <t>NYTA Winter Tennis Club</t>
        </is>
      </c>
      <c r="I96" t="n">
        <v>29.4</v>
      </c>
      <c r="J96" s="4" t="n">
        <v>180</v>
      </c>
      <c r="K96" t="inlineStr">
        <is>
          <t>88 / 92</t>
        </is>
      </c>
      <c r="L96" t="inlineStr">
        <is>
          <t>21 / 14</t>
        </is>
      </c>
      <c r="M96" s="5" t="n">
        <v>0.49</v>
      </c>
      <c r="N96" s="5" t="n">
        <v>0.6</v>
      </c>
    </row>
    <row r="97">
      <c r="A97" t="n">
        <v>96</v>
      </c>
      <c r="B97" t="n">
        <v>2012</v>
      </c>
      <c r="C97" t="inlineStr">
        <is>
          <t>Hailey MacDonald</t>
        </is>
      </c>
      <c r="D97">
        <f>HYPERLINK("https://ota.tournamentsoftware.com/player-profile/7B752A16-6837-4A5A-AFD8-83F950F37834", "Link")</f>
        <v/>
      </c>
      <c r="E97" s="3" t="n">
        <v>851.106</v>
      </c>
      <c r="F97" s="4" t="n">
        <v>14</v>
      </c>
      <c r="G97" t="inlineStr">
        <is>
          <t>Ontario Tennis Association</t>
        </is>
      </c>
      <c r="H97" t="inlineStr">
        <is>
          <t>Advantage Tennis International at Veneto</t>
        </is>
      </c>
      <c r="I97" t="n">
        <v>24.5</v>
      </c>
      <c r="J97" s="4" t="n">
        <v>318</v>
      </c>
      <c r="K97" t="inlineStr">
        <is>
          <t>214 / 104</t>
        </is>
      </c>
      <c r="L97" t="inlineStr">
        <is>
          <t>12 / 9</t>
        </is>
      </c>
      <c r="M97" s="5" t="n">
        <v>0.67</v>
      </c>
      <c r="N97" s="5" t="n">
        <v>0.57</v>
      </c>
    </row>
    <row r="98">
      <c r="A98" t="n">
        <v>97</v>
      </c>
      <c r="B98" t="n">
        <v>2013</v>
      </c>
      <c r="C98" t="inlineStr">
        <is>
          <t>Jeanne Lampron</t>
        </is>
      </c>
      <c r="D98">
        <f>HYPERLINK("https://ota.tournamentsoftware.com/player-profile/DBA36429-C15E-4F24-9832-7D6BA94887C6", "Link")</f>
        <v/>
      </c>
      <c r="E98" s="3" t="n">
        <v>850.005</v>
      </c>
      <c r="F98" s="4" t="n">
        <v>26</v>
      </c>
      <c r="G98" t="inlineStr">
        <is>
          <t>Tennis Québec</t>
        </is>
      </c>
      <c r="H98" t="inlineStr">
        <is>
          <t>Tennis Montréal Excellence</t>
        </is>
      </c>
      <c r="I98" t="n">
        <v>26.6</v>
      </c>
      <c r="J98" s="4" t="n">
        <v>133</v>
      </c>
      <c r="K98" t="inlineStr">
        <is>
          <t>63 / 70</t>
        </is>
      </c>
      <c r="L98" t="inlineStr">
        <is>
          <t>28 / 23</t>
        </is>
      </c>
      <c r="M98" s="5" t="n">
        <v>0.47</v>
      </c>
      <c r="N98" s="5" t="n">
        <v>0.55</v>
      </c>
    </row>
    <row r="99">
      <c r="A99" t="n">
        <v>98</v>
      </c>
      <c r="B99" t="n">
        <v>2012</v>
      </c>
      <c r="C99" t="inlineStr">
        <is>
          <t>Alexsandra Stanislavksy</t>
        </is>
      </c>
      <c r="D99">
        <f>HYPERLINK("https://ota.tournamentsoftware.com/player-profile/A067EDC1-6B71-4023-8C13-88CA87AA808B", "Link")</f>
        <v/>
      </c>
      <c r="E99" s="3" t="n">
        <v>849.433</v>
      </c>
      <c r="F99" s="4" t="n">
        <v>30</v>
      </c>
      <c r="G99" t="inlineStr">
        <is>
          <t>Ontario Tennis Association</t>
        </is>
      </c>
      <c r="H99" t="inlineStr">
        <is>
          <t>No Club</t>
        </is>
      </c>
      <c r="I99" t="n">
        <v>29</v>
      </c>
      <c r="J99" s="4" t="n">
        <v>184</v>
      </c>
      <c r="K99" t="inlineStr">
        <is>
          <t>82 / 102</t>
        </is>
      </c>
      <c r="L99" t="inlineStr">
        <is>
          <t>19 / 21</t>
        </is>
      </c>
      <c r="M99" s="5" t="n">
        <v>0.45</v>
      </c>
      <c r="N99" s="5" t="n">
        <v>0.47</v>
      </c>
    </row>
    <row r="100">
      <c r="A100" t="n">
        <v>99</v>
      </c>
      <c r="B100" t="n">
        <v>2012</v>
      </c>
      <c r="C100" t="inlineStr">
        <is>
          <t>Laura Patsynka</t>
        </is>
      </c>
      <c r="D100">
        <f>HYPERLINK("https://ota.tournamentsoftware.com/player-profile/49340E93-6E30-4683-9E0F-4D50A1C584F1", "Link")</f>
        <v/>
      </c>
      <c r="E100" s="3" t="n">
        <v>838.826</v>
      </c>
      <c r="F100" s="4" t="n">
        <v>31</v>
      </c>
      <c r="G100" t="inlineStr">
        <is>
          <t>Ontario Tennis Association</t>
        </is>
      </c>
      <c r="H100" t="inlineStr">
        <is>
          <t>Peak Performance Tennis Academy</t>
        </is>
      </c>
      <c r="I100" t="inlineStr">
        <is>
          <t>unavailable</t>
        </is>
      </c>
      <c r="J100" s="4" t="n">
        <v>196</v>
      </c>
      <c r="K100" t="inlineStr">
        <is>
          <t>79 / 117</t>
        </is>
      </c>
      <c r="L100" t="inlineStr">
        <is>
          <t>10 / 18</t>
        </is>
      </c>
      <c r="M100" s="5" t="n">
        <v>0.4</v>
      </c>
      <c r="N100" s="5" t="n">
        <v>0.36</v>
      </c>
    </row>
    <row r="101">
      <c r="A101" t="n">
        <v>100</v>
      </c>
      <c r="B101" t="n">
        <v>2013</v>
      </c>
      <c r="C101" t="inlineStr">
        <is>
          <t>Navya Chawla</t>
        </is>
      </c>
      <c r="D101">
        <f>HYPERLINK("https://ota.tournamentsoftware.com/player-profile/26838C23-66D4-4CAD-825B-C69620EB242D", "Link")</f>
        <v/>
      </c>
      <c r="E101" s="3" t="n">
        <v>838.197</v>
      </c>
      <c r="F101" s="4" t="n">
        <v>19</v>
      </c>
      <c r="G101" t="inlineStr">
        <is>
          <t>Tennis Alberta</t>
        </is>
      </c>
      <c r="H101" t="inlineStr">
        <is>
          <t>Osten &amp; Victor Alberta Tennis Centre</t>
        </is>
      </c>
      <c r="I101" t="n">
        <v>24.2</v>
      </c>
      <c r="J101" s="4" t="n">
        <v>281</v>
      </c>
      <c r="K101" t="inlineStr">
        <is>
          <t>178 / 103</t>
        </is>
      </c>
      <c r="L101" t="inlineStr">
        <is>
          <t>14 / 13</t>
        </is>
      </c>
      <c r="M101" s="5" t="n">
        <v>0.63</v>
      </c>
      <c r="N101" s="5" t="n">
        <v>0.52</v>
      </c>
    </row>
    <row r="102">
      <c r="A102" t="n">
        <v>101</v>
      </c>
      <c r="B102" t="n">
        <v>2012</v>
      </c>
      <c r="C102" t="inlineStr">
        <is>
          <t>Olivia Escobar</t>
        </is>
      </c>
      <c r="D102">
        <f>HYPERLINK("https://ota.tournamentsoftware.com/player-profile/9E3A15EA-D947-4048-B7A7-6C2437D34132", "Link")</f>
        <v/>
      </c>
      <c r="E102" s="3" t="n">
        <v>836.9160000000001</v>
      </c>
      <c r="F102" s="4" t="n">
        <v>37</v>
      </c>
      <c r="G102" t="inlineStr">
        <is>
          <t>Tennis Québec</t>
        </is>
      </c>
      <c r="H102" t="inlineStr">
        <is>
          <t>Tennis Ile- des- Soeurs</t>
        </is>
      </c>
      <c r="I102" t="n">
        <v>28.8</v>
      </c>
      <c r="J102" s="4" t="n">
        <v>345</v>
      </c>
      <c r="K102" t="inlineStr">
        <is>
          <t>131 / 214</t>
        </is>
      </c>
      <c r="L102" t="inlineStr">
        <is>
          <t>19 / 23</t>
        </is>
      </c>
      <c r="M102" s="5" t="n">
        <v>0.38</v>
      </c>
      <c r="N102" s="5" t="n">
        <v>0.45</v>
      </c>
    </row>
    <row r="103">
      <c r="A103" t="n">
        <v>102</v>
      </c>
      <c r="B103" t="n">
        <v>2015</v>
      </c>
      <c r="C103" t="inlineStr">
        <is>
          <t>Emilie Joly</t>
        </is>
      </c>
      <c r="D103">
        <f>HYPERLINK("https://ota.tournamentsoftware.com/player-profile/57736008-B9CA-4FCE-BEF6-90222787F336", "Link")</f>
        <v/>
      </c>
      <c r="E103" s="3" t="n">
        <v>827.96</v>
      </c>
      <c r="F103" s="4" t="n">
        <v>16</v>
      </c>
      <c r="G103" t="inlineStr">
        <is>
          <t>Ontario Tennis Association</t>
        </is>
      </c>
      <c r="H103" t="inlineStr">
        <is>
          <t>Kingston Racquet Centre</t>
        </is>
      </c>
      <c r="I103" t="n">
        <v>27.1</v>
      </c>
      <c r="J103" s="4" t="n">
        <v>221</v>
      </c>
      <c r="K103" t="inlineStr">
        <is>
          <t>155 / 66</t>
        </is>
      </c>
      <c r="L103" t="inlineStr">
        <is>
          <t>32 / 6</t>
        </is>
      </c>
      <c r="M103" s="5" t="n">
        <v>0.7</v>
      </c>
      <c r="N103" s="5" t="n">
        <v>0.84</v>
      </c>
    </row>
    <row r="104">
      <c r="A104" t="n">
        <v>103</v>
      </c>
      <c r="B104" t="n">
        <v>2012</v>
      </c>
      <c r="C104" t="inlineStr">
        <is>
          <t>Maia-Alexandra Popa</t>
        </is>
      </c>
      <c r="D104">
        <f>HYPERLINK("https://ota.tournamentsoftware.com/player-profile/1D5E0C32-9DDE-4B44-ADF9-FDB75BF638BC", "Link")</f>
        <v/>
      </c>
      <c r="E104" s="3" t="n">
        <v>827.341</v>
      </c>
      <c r="F104" s="4" t="n">
        <v>21</v>
      </c>
      <c r="G104" t="inlineStr">
        <is>
          <t>Ontario Tennis Association</t>
        </is>
      </c>
      <c r="H104" t="inlineStr">
        <is>
          <t>No Club</t>
        </is>
      </c>
      <c r="I104" t="n">
        <v>26</v>
      </c>
      <c r="J104" s="4" t="n">
        <v>193</v>
      </c>
      <c r="K104" t="inlineStr">
        <is>
          <t>99 / 94</t>
        </is>
      </c>
      <c r="L104" t="inlineStr">
        <is>
          <t>17 / 9</t>
        </is>
      </c>
      <c r="M104" s="5" t="n">
        <v>0.51</v>
      </c>
      <c r="N104" s="5" t="n">
        <v>0.65</v>
      </c>
    </row>
    <row r="105">
      <c r="A105" t="n">
        <v>104</v>
      </c>
      <c r="B105" t="n">
        <v>2012</v>
      </c>
      <c r="C105" t="inlineStr">
        <is>
          <t>Daria Glinna</t>
        </is>
      </c>
      <c r="D105">
        <f>HYPERLINK("https://ota.tournamentsoftware.com/player-profile/75F31A41-BD9F-46AC-A064-06ECE54741E7", "Link")</f>
        <v/>
      </c>
      <c r="E105" s="3" t="n">
        <v>817.88</v>
      </c>
      <c r="F105" s="4" t="n">
        <v>13</v>
      </c>
      <c r="G105" t="inlineStr">
        <is>
          <t>Ontario Tennis Association</t>
        </is>
      </c>
      <c r="H105" t="inlineStr">
        <is>
          <t>Premier Racquet Clubs – Mississauga</t>
        </is>
      </c>
      <c r="I105" t="n">
        <v>28.8</v>
      </c>
      <c r="J105" s="4" t="n">
        <v>158</v>
      </c>
      <c r="K105" t="inlineStr">
        <is>
          <t>59 / 99</t>
        </is>
      </c>
      <c r="L105" t="inlineStr">
        <is>
          <t>4 / 8</t>
        </is>
      </c>
      <c r="M105" s="5" t="n">
        <v>0.37</v>
      </c>
      <c r="N105" s="5" t="n">
        <v>0.33</v>
      </c>
    </row>
    <row r="106">
      <c r="A106" t="n">
        <v>105</v>
      </c>
      <c r="B106" t="n">
        <v>2012</v>
      </c>
      <c r="C106" t="inlineStr">
        <is>
          <t>Estelle Kroupetski</t>
        </is>
      </c>
      <c r="D106">
        <f>HYPERLINK("https://ota.tournamentsoftware.com/player-profile/7A8D0D40-A77C-429C-81D6-05DC21DB8D28", "Link")</f>
        <v/>
      </c>
      <c r="E106" s="3" t="n">
        <v>816.504</v>
      </c>
      <c r="F106" s="4" t="n">
        <v>18</v>
      </c>
      <c r="G106" t="inlineStr">
        <is>
          <t>Ontario Tennis Association</t>
        </is>
      </c>
      <c r="H106" t="inlineStr">
        <is>
          <t>Ontario Racquet Club</t>
        </is>
      </c>
      <c r="I106" t="n">
        <v>28.1</v>
      </c>
      <c r="J106" s="4" t="n">
        <v>142</v>
      </c>
      <c r="K106" t="inlineStr">
        <is>
          <t>71 / 71</t>
        </is>
      </c>
      <c r="L106" t="inlineStr">
        <is>
          <t>27 / 9</t>
        </is>
      </c>
      <c r="M106" s="5" t="n">
        <v>0.5</v>
      </c>
      <c r="N106" s="5" t="n">
        <v>0.75</v>
      </c>
    </row>
    <row r="107">
      <c r="A107" t="n">
        <v>106</v>
      </c>
      <c r="B107" t="n">
        <v>2015</v>
      </c>
      <c r="C107" t="inlineStr">
        <is>
          <t>Evelyn J.C. Liu</t>
        </is>
      </c>
      <c r="D107">
        <f>HYPERLINK("https://ota.tournamentsoftware.com/player-profile/193F9EEB-1528-48A2-A0D8-C6448E62254A", "Link")</f>
        <v/>
      </c>
      <c r="E107" s="3" t="n">
        <v>807.245</v>
      </c>
      <c r="F107" s="4" t="n">
        <v>20</v>
      </c>
      <c r="G107" t="inlineStr">
        <is>
          <t>British Columbia</t>
        </is>
      </c>
      <c r="H107" t="inlineStr">
        <is>
          <t>Vancouver Lawn Tennis and Badminton Club</t>
        </is>
      </c>
      <c r="I107" t="n">
        <v>27.9</v>
      </c>
      <c r="J107" s="4" t="n">
        <v>266</v>
      </c>
      <c r="K107" t="inlineStr">
        <is>
          <t>149 / 117</t>
        </is>
      </c>
      <c r="L107" t="inlineStr">
        <is>
          <t>38 / 20</t>
        </is>
      </c>
      <c r="M107" s="5" t="n">
        <v>0.5600000000000001</v>
      </c>
      <c r="N107" s="5" t="n">
        <v>0.66</v>
      </c>
    </row>
    <row r="108">
      <c r="A108" t="n">
        <v>107</v>
      </c>
      <c r="B108" t="n">
        <v>2014</v>
      </c>
      <c r="C108" t="inlineStr">
        <is>
          <t>Nyah Morgan</t>
        </is>
      </c>
      <c r="D108">
        <f>HYPERLINK("https://ota.tournamentsoftware.com/player-profile/D9CA028A-3366-4954-9B65-F9840B84F93D", "Link")</f>
        <v/>
      </c>
      <c r="E108" s="3" t="n">
        <v>794.096</v>
      </c>
      <c r="F108" s="4" t="n">
        <v>20</v>
      </c>
      <c r="G108" t="inlineStr">
        <is>
          <t>Ontario Tennis Association</t>
        </is>
      </c>
      <c r="H108" t="inlineStr">
        <is>
          <t>Premier Racquet Clubs – Mississauga</t>
        </is>
      </c>
      <c r="I108" t="n">
        <v>29</v>
      </c>
      <c r="J108" s="4" t="n">
        <v>200</v>
      </c>
      <c r="K108" t="inlineStr">
        <is>
          <t>128 / 72</t>
        </is>
      </c>
      <c r="L108" t="inlineStr">
        <is>
          <t>26 / 16</t>
        </is>
      </c>
      <c r="M108" s="5" t="n">
        <v>0.64</v>
      </c>
      <c r="N108" s="5" t="n">
        <v>0.62</v>
      </c>
    </row>
    <row r="109">
      <c r="A109" t="n">
        <v>108</v>
      </c>
      <c r="B109" t="n">
        <v>2012</v>
      </c>
      <c r="C109" t="inlineStr">
        <is>
          <t>Penelope Brandt</t>
        </is>
      </c>
      <c r="D109">
        <f>HYPERLINK("https://ota.tournamentsoftware.com/player-profile/AA2E46A9-EC33-4492-A527-0C8E0CA405B0", "Link")</f>
        <v/>
      </c>
      <c r="E109" s="3" t="n">
        <v>784.1559999999999</v>
      </c>
      <c r="F109" s="4" t="n">
        <v>26</v>
      </c>
      <c r="G109" t="inlineStr">
        <is>
          <t>Tennis Québec</t>
        </is>
      </c>
      <c r="H109" t="inlineStr">
        <is>
          <t>SANI Sport</t>
        </is>
      </c>
      <c r="I109" t="n">
        <v>27.9</v>
      </c>
      <c r="J109" s="4" t="n">
        <v>244</v>
      </c>
      <c r="K109" t="inlineStr">
        <is>
          <t>123 / 121</t>
        </is>
      </c>
      <c r="L109" t="inlineStr">
        <is>
          <t>32 / 20</t>
        </is>
      </c>
      <c r="M109" s="5" t="n">
        <v>0.5</v>
      </c>
      <c r="N109" s="5" t="n">
        <v>0.62</v>
      </c>
    </row>
    <row r="110">
      <c r="A110" t="n">
        <v>109</v>
      </c>
      <c r="B110" t="n">
        <v>2012</v>
      </c>
      <c r="C110" t="inlineStr">
        <is>
          <t>Jaydalie Isaac</t>
        </is>
      </c>
      <c r="D110">
        <f>HYPERLINK("https://ota.tournamentsoftware.com/player-profile/A56DDC7B-03D0-424A-907D-63A363906F9A", "Link")</f>
        <v/>
      </c>
      <c r="E110" s="3" t="n">
        <v>780.429</v>
      </c>
      <c r="F110" s="4" t="n">
        <v>12</v>
      </c>
      <c r="G110" t="inlineStr">
        <is>
          <t>Tennis Québec</t>
        </is>
      </c>
      <c r="H110" t="inlineStr">
        <is>
          <t>No Club</t>
        </is>
      </c>
      <c r="I110" t="n">
        <v>27.7</v>
      </c>
      <c r="J110" s="4" t="n">
        <v>235</v>
      </c>
      <c r="K110" t="inlineStr">
        <is>
          <t>111 / 124</t>
        </is>
      </c>
      <c r="L110" t="inlineStr">
        <is>
          <t>21 / 12</t>
        </is>
      </c>
      <c r="M110" s="5" t="n">
        <v>0.47</v>
      </c>
      <c r="N110" s="5" t="n">
        <v>0.64</v>
      </c>
    </row>
    <row r="111">
      <c r="A111" t="n">
        <v>110</v>
      </c>
      <c r="B111" t="n">
        <v>2014</v>
      </c>
      <c r="C111" t="inlineStr">
        <is>
          <t>Edwina Ed Xue</t>
        </is>
      </c>
      <c r="D111">
        <f>HYPERLINK("https://ota.tournamentsoftware.com/player-profile/16F3FDF7-F098-4A63-9D5F-87B196D248B5", "Link")</f>
        <v/>
      </c>
      <c r="E111" s="3" t="n">
        <v>779.297</v>
      </c>
      <c r="F111" s="4" t="n">
        <v>24</v>
      </c>
      <c r="G111" t="inlineStr">
        <is>
          <t>Ontario Tennis Association</t>
        </is>
      </c>
      <c r="H111" t="inlineStr">
        <is>
          <t>Granite Club</t>
        </is>
      </c>
      <c r="I111" t="n">
        <v>28.9</v>
      </c>
      <c r="J111" s="4" t="n">
        <v>283</v>
      </c>
      <c r="K111" t="inlineStr">
        <is>
          <t>168 / 115</t>
        </is>
      </c>
      <c r="L111" t="inlineStr">
        <is>
          <t>28 / 19</t>
        </is>
      </c>
      <c r="M111" s="5" t="n">
        <v>0.59</v>
      </c>
      <c r="N111" s="5" t="n">
        <v>0.6</v>
      </c>
    </row>
    <row r="112">
      <c r="A112" t="n">
        <v>111</v>
      </c>
      <c r="B112" t="n">
        <v>2012</v>
      </c>
      <c r="C112" t="inlineStr">
        <is>
          <t>Zenaida May Kolesnikov</t>
        </is>
      </c>
      <c r="D112">
        <f>HYPERLINK("https://ota.tournamentsoftware.com/player-profile/0D20CA06-CC79-483F-87DD-AD6F5FC76972", "Link")</f>
        <v/>
      </c>
      <c r="E112" s="3" t="n">
        <v>776.88</v>
      </c>
      <c r="F112" s="4" t="n">
        <v>6</v>
      </c>
      <c r="G112" t="inlineStr">
        <is>
          <t>Ontario Tennis Association</t>
        </is>
      </c>
      <c r="H112" t="inlineStr">
        <is>
          <t>Kew Gardens Tennis Club</t>
        </is>
      </c>
      <c r="I112" t="n">
        <v>24.3</v>
      </c>
      <c r="J112" s="4" t="n">
        <v>80</v>
      </c>
      <c r="K112" t="inlineStr">
        <is>
          <t>62 / 18</t>
        </is>
      </c>
      <c r="L112" t="inlineStr">
        <is>
          <t>8 / 1</t>
        </is>
      </c>
      <c r="M112" s="5" t="n">
        <v>0.78</v>
      </c>
      <c r="N112" s="5" t="n">
        <v>0.89</v>
      </c>
    </row>
    <row r="113">
      <c r="A113" t="n">
        <v>112</v>
      </c>
      <c r="B113" t="n">
        <v>2013</v>
      </c>
      <c r="C113" t="inlineStr">
        <is>
          <t>Mia Nikolovska</t>
        </is>
      </c>
      <c r="D113">
        <f>HYPERLINK("https://ota.tournamentsoftware.com/player-profile/52158395-8ADB-4430-ABAA-C56A79756D09", "Link")</f>
        <v/>
      </c>
      <c r="E113" s="3" t="n">
        <v>767.96</v>
      </c>
      <c r="F113" s="4" t="n">
        <v>38</v>
      </c>
      <c r="G113" t="inlineStr">
        <is>
          <t>Ontario Tennis Association</t>
        </is>
      </c>
      <c r="H113" t="inlineStr">
        <is>
          <t>No Club</t>
        </is>
      </c>
      <c r="I113" t="inlineStr">
        <is>
          <t>unavailable</t>
        </is>
      </c>
      <c r="J113" s="4" t="n">
        <v>355</v>
      </c>
      <c r="K113" t="inlineStr">
        <is>
          <t>215 / 140</t>
        </is>
      </c>
      <c r="L113" t="inlineStr">
        <is>
          <t>25 / 19</t>
        </is>
      </c>
      <c r="M113" s="5" t="n">
        <v>0.61</v>
      </c>
      <c r="N113" s="5" t="n">
        <v>0.57</v>
      </c>
    </row>
    <row r="114">
      <c r="A114" t="n">
        <v>113</v>
      </c>
      <c r="B114" t="n">
        <v>2014</v>
      </c>
      <c r="C114" t="inlineStr">
        <is>
          <t>Thanida (Belle) Shaipanich</t>
        </is>
      </c>
      <c r="D114">
        <f>HYPERLINK("https://ota.tournamentsoftware.com/player-profile/98546C72-5CCA-44E8-AFB9-20B9D560E5E3", "Link")</f>
        <v/>
      </c>
      <c r="E114" s="3" t="n">
        <v>744.032</v>
      </c>
      <c r="F114" s="4" t="n">
        <v>16</v>
      </c>
      <c r="G114" t="inlineStr">
        <is>
          <t>British Columbia</t>
        </is>
      </c>
      <c r="H114" t="inlineStr">
        <is>
          <t>UBC Tennis Centre</t>
        </is>
      </c>
      <c r="I114" t="n">
        <v>27.6</v>
      </c>
      <c r="J114" s="4" t="n">
        <v>201</v>
      </c>
      <c r="K114" t="inlineStr">
        <is>
          <t>146 / 55</t>
        </is>
      </c>
      <c r="L114" t="inlineStr">
        <is>
          <t>29 / 18</t>
        </is>
      </c>
      <c r="M114" s="5" t="n">
        <v>0.73</v>
      </c>
      <c r="N114" s="5" t="n">
        <v>0.62</v>
      </c>
    </row>
    <row r="115">
      <c r="A115" t="n">
        <v>114</v>
      </c>
      <c r="B115" t="n">
        <v>2013</v>
      </c>
      <c r="C115" t="inlineStr">
        <is>
          <t>Akshara Bavanaka</t>
        </is>
      </c>
      <c r="D115">
        <f>HYPERLINK("https://ota.tournamentsoftware.com/player-profile/DB56F65D-8A18-4169-BE31-18F89B25E14B", "Link")</f>
        <v/>
      </c>
      <c r="E115" s="3" t="n">
        <v>743.59</v>
      </c>
      <c r="F115" s="4" t="n">
        <v>37</v>
      </c>
      <c r="G115" t="inlineStr">
        <is>
          <t>Ontario Tennis Association</t>
        </is>
      </c>
      <c r="H115" t="inlineStr">
        <is>
          <t>Advantage Tennis International at Veneto</t>
        </is>
      </c>
      <c r="I115" t="n">
        <v>32.2</v>
      </c>
      <c r="J115" s="4" t="n">
        <v>222</v>
      </c>
      <c r="K115" t="inlineStr">
        <is>
          <t>113 / 109</t>
        </is>
      </c>
      <c r="L115" t="inlineStr">
        <is>
          <t>12 / 18</t>
        </is>
      </c>
      <c r="M115" s="5" t="n">
        <v>0.51</v>
      </c>
      <c r="N115" s="5" t="n">
        <v>0.4</v>
      </c>
    </row>
    <row r="116">
      <c r="A116" t="n">
        <v>115</v>
      </c>
      <c r="B116" t="n">
        <v>2012</v>
      </c>
      <c r="C116" t="inlineStr">
        <is>
          <t>Victoria Chow</t>
        </is>
      </c>
      <c r="D116">
        <f>HYPERLINK("https://ota.tournamentsoftware.com/player-profile/7A966C5F-11C4-49ED-9F9D-2B1D18AB7E3B", "Link")</f>
        <v/>
      </c>
      <c r="E116" s="3" t="n">
        <v>743.375</v>
      </c>
      <c r="F116" s="4" t="n">
        <v>18</v>
      </c>
      <c r="G116" t="inlineStr">
        <is>
          <t>Ontario Tennis Association</t>
        </is>
      </c>
      <c r="H116" t="inlineStr">
        <is>
          <t>No Club</t>
        </is>
      </c>
      <c r="I116" t="inlineStr">
        <is>
          <t>unavailable</t>
        </is>
      </c>
      <c r="J116" s="4" t="n">
        <v>274</v>
      </c>
      <c r="K116" t="inlineStr">
        <is>
          <t>139 / 135</t>
        </is>
      </c>
      <c r="L116" t="inlineStr">
        <is>
          <t>13 / 21</t>
        </is>
      </c>
      <c r="M116" s="5" t="n">
        <v>0.51</v>
      </c>
      <c r="N116" s="5" t="n">
        <v>0.38</v>
      </c>
    </row>
    <row r="117">
      <c r="A117" t="n">
        <v>116</v>
      </c>
      <c r="B117" t="n">
        <v>2012</v>
      </c>
      <c r="C117" t="inlineStr">
        <is>
          <t>Meika Sebastian</t>
        </is>
      </c>
      <c r="D117">
        <f>HYPERLINK("https://ota.tournamentsoftware.com/player-profile/0CA7407B-419A-43BA-82FB-32200AA68BA2", "Link")</f>
        <v/>
      </c>
      <c r="E117" s="3" t="n">
        <v>719.111</v>
      </c>
      <c r="F117" s="4" t="n">
        <v>8</v>
      </c>
      <c r="G117" t="inlineStr">
        <is>
          <t>Ontario Tennis Association</t>
        </is>
      </c>
      <c r="H117" t="inlineStr">
        <is>
          <t>City of Kingston</t>
        </is>
      </c>
      <c r="I117" t="n">
        <v>24.6</v>
      </c>
      <c r="J117" s="4" t="n">
        <v>287</v>
      </c>
      <c r="K117" t="inlineStr">
        <is>
          <t>147 / 140</t>
        </is>
      </c>
      <c r="L117" t="inlineStr">
        <is>
          <t>0 / 4</t>
        </is>
      </c>
      <c r="M117" s="5" t="n">
        <v>0.51</v>
      </c>
      <c r="N117" s="5" t="n">
        <v>0</v>
      </c>
    </row>
    <row r="118">
      <c r="A118" t="n">
        <v>117</v>
      </c>
      <c r="B118" t="n">
        <v>2013</v>
      </c>
      <c r="C118" t="inlineStr">
        <is>
          <t>Élianne Bouchard</t>
        </is>
      </c>
      <c r="D118">
        <f>HYPERLINK("https://ota.tournamentsoftware.com/player-profile/44233F45-64EC-49B2-AA72-859E176C2987", "Link")</f>
        <v/>
      </c>
      <c r="E118" s="3" t="n">
        <v>713.631</v>
      </c>
      <c r="F118" s="4" t="n">
        <v>28</v>
      </c>
      <c r="G118" t="inlineStr">
        <is>
          <t>Tennis Québec</t>
        </is>
      </c>
      <c r="H118" t="inlineStr">
        <is>
          <t>Tennis Interclub Piedmont</t>
        </is>
      </c>
      <c r="I118" t="n">
        <v>29.9</v>
      </c>
      <c r="J118" s="4" t="n">
        <v>241</v>
      </c>
      <c r="K118" t="inlineStr">
        <is>
          <t>113 / 128</t>
        </is>
      </c>
      <c r="L118" t="inlineStr">
        <is>
          <t>27 / 20</t>
        </is>
      </c>
      <c r="M118" s="5" t="n">
        <v>0.47</v>
      </c>
      <c r="N118" s="5" t="n">
        <v>0.57</v>
      </c>
    </row>
    <row r="119">
      <c r="A119" t="n">
        <v>118</v>
      </c>
      <c r="B119" t="n">
        <v>2012</v>
      </c>
      <c r="C119" t="inlineStr">
        <is>
          <t>Dina Yijia Zhang</t>
        </is>
      </c>
      <c r="D119">
        <f>HYPERLINK("https://ota.tournamentsoftware.com/player-profile/CF7261D5-5723-40A9-853D-2B21D7A35985", "Link")</f>
        <v/>
      </c>
      <c r="E119" s="3" t="n">
        <v>703.611</v>
      </c>
      <c r="F119" s="4" t="n">
        <v>10</v>
      </c>
      <c r="G119" t="inlineStr">
        <is>
          <t>Tennis Nova Scotia</t>
        </is>
      </c>
      <c r="H119" t="inlineStr">
        <is>
          <t>HEADSTART</t>
        </is>
      </c>
      <c r="I119" t="n">
        <v>30.8</v>
      </c>
      <c r="J119" s="4" t="n">
        <v>157</v>
      </c>
      <c r="K119" t="inlineStr">
        <is>
          <t>64 / 93</t>
        </is>
      </c>
      <c r="L119" t="inlineStr">
        <is>
          <t>8 / 14</t>
        </is>
      </c>
      <c r="M119" s="5" t="n">
        <v>0.41</v>
      </c>
      <c r="N119" s="5" t="n">
        <v>0.36</v>
      </c>
    </row>
    <row r="120">
      <c r="A120" t="n">
        <v>119</v>
      </c>
      <c r="B120" t="n">
        <v>2016</v>
      </c>
      <c r="C120" t="inlineStr">
        <is>
          <t>Kaili Ear Gui</t>
        </is>
      </c>
      <c r="D120">
        <f>HYPERLINK("https://ota.tournamentsoftware.com/player-profile/6E1FCBA7-1BA6-4DCA-9440-D121E3710638", "Link")</f>
        <v/>
      </c>
      <c r="E120" s="3" t="n">
        <v>695.772</v>
      </c>
      <c r="F120" s="4" t="n">
        <v>12</v>
      </c>
      <c r="G120" t="inlineStr">
        <is>
          <t>Tennis Saskatchewan</t>
        </is>
      </c>
      <c r="H120" t="inlineStr">
        <is>
          <t>Lakeshore Tennis Club</t>
        </is>
      </c>
      <c r="I120" t="n">
        <v>32.9</v>
      </c>
      <c r="J120" s="4" t="n">
        <v>141</v>
      </c>
      <c r="K120" t="inlineStr">
        <is>
          <t>80 / 61</t>
        </is>
      </c>
      <c r="L120" t="inlineStr">
        <is>
          <t>31 / 28</t>
        </is>
      </c>
      <c r="M120" s="5" t="n">
        <v>0.57</v>
      </c>
      <c r="N120" s="5" t="n">
        <v>0.53</v>
      </c>
    </row>
    <row r="121">
      <c r="A121" t="n">
        <v>120</v>
      </c>
      <c r="B121" t="n">
        <v>2012</v>
      </c>
      <c r="C121" t="inlineStr">
        <is>
          <t>Emilie Chen</t>
        </is>
      </c>
      <c r="D121">
        <f>HYPERLINK("https://ota.tournamentsoftware.com/player-profile/829AD033-5D37-4AE8-9F34-8C50F25B20C3", "Link")</f>
        <v/>
      </c>
      <c r="E121" s="3" t="n">
        <v>695.691</v>
      </c>
      <c r="F121" s="4" t="n">
        <v>12</v>
      </c>
      <c r="G121" t="inlineStr">
        <is>
          <t>Ontario Tennis Association</t>
        </is>
      </c>
      <c r="H121" t="inlineStr">
        <is>
          <t>Toronto Cricket Skating &amp; Curling</t>
        </is>
      </c>
      <c r="I121" t="n">
        <v>26.4</v>
      </c>
      <c r="J121" s="4" t="n">
        <v>208</v>
      </c>
      <c r="K121" t="inlineStr">
        <is>
          <t>87 / 121</t>
        </is>
      </c>
      <c r="L121" t="inlineStr">
        <is>
          <t>10 / 9</t>
        </is>
      </c>
      <c r="M121" s="5" t="n">
        <v>0.42</v>
      </c>
      <c r="N121" s="5" t="n">
        <v>0.53</v>
      </c>
    </row>
    <row r="122">
      <c r="A122" t="n">
        <v>121</v>
      </c>
      <c r="B122" t="n">
        <v>2013</v>
      </c>
      <c r="C122" t="inlineStr">
        <is>
          <t>EMMA ANTONIA DOBREAN</t>
        </is>
      </c>
      <c r="D122">
        <f>HYPERLINK("https://ota.tournamentsoftware.com/player-profile/A556E1FC-8159-42C1-A5DB-35375535B6F4", "Link")</f>
        <v/>
      </c>
      <c r="E122" s="3" t="n">
        <v>663.673</v>
      </c>
      <c r="F122" s="4" t="n">
        <v>4</v>
      </c>
      <c r="G122" t="inlineStr">
        <is>
          <t>Ontario Tennis Association</t>
        </is>
      </c>
      <c r="H122" t="inlineStr">
        <is>
          <t>No Club</t>
        </is>
      </c>
      <c r="I122" t="inlineStr">
        <is>
          <t>unavailable</t>
        </is>
      </c>
      <c r="J122" s="4" t="n">
        <v>137</v>
      </c>
      <c r="K122" t="inlineStr">
        <is>
          <t>98 / 39</t>
        </is>
      </c>
      <c r="L122" t="inlineStr">
        <is>
          <t>2 / 3</t>
        </is>
      </c>
      <c r="M122" s="5" t="n">
        <v>0.72</v>
      </c>
      <c r="N122" s="5" t="n">
        <v>0.4</v>
      </c>
    </row>
    <row r="123">
      <c r="A123" t="n">
        <v>122</v>
      </c>
      <c r="B123" t="n">
        <v>2012</v>
      </c>
      <c r="C123" t="inlineStr">
        <is>
          <t>Emma Abdou</t>
        </is>
      </c>
      <c r="D123">
        <f>HYPERLINK("https://ota.tournamentsoftware.com/player-profile/FD6387AB-774D-491E-8A68-CE4DD20FAEF7", "Link")</f>
        <v/>
      </c>
      <c r="E123" s="3" t="n">
        <v>662.182</v>
      </c>
      <c r="F123" s="4" t="n">
        <v>30</v>
      </c>
      <c r="G123" t="inlineStr">
        <is>
          <t>Ontario Tennis Association</t>
        </is>
      </c>
      <c r="H123" t="inlineStr">
        <is>
          <t>Granite Club</t>
        </is>
      </c>
      <c r="I123" t="n">
        <v>30.1</v>
      </c>
      <c r="J123" s="4" t="n">
        <v>203</v>
      </c>
      <c r="K123" t="inlineStr">
        <is>
          <t>97 / 106</t>
        </is>
      </c>
      <c r="L123" t="inlineStr">
        <is>
          <t>29 / 23</t>
        </is>
      </c>
      <c r="M123" s="5" t="n">
        <v>0.48</v>
      </c>
      <c r="N123" s="5" t="n">
        <v>0.5600000000000001</v>
      </c>
    </row>
    <row r="124">
      <c r="A124" t="n">
        <v>123</v>
      </c>
      <c r="B124" t="n">
        <v>2012</v>
      </c>
      <c r="C124" t="inlineStr">
        <is>
          <t>Cindy Zixuan Li</t>
        </is>
      </c>
      <c r="D124">
        <f>HYPERLINK("https://ota.tournamentsoftware.com/player-profile/23E61DC5-74BF-4612-8E7F-7DA0B013D911", "Link")</f>
        <v/>
      </c>
      <c r="E124" s="3" t="n">
        <v>661.299</v>
      </c>
      <c r="F124" s="4" t="n">
        <v>10</v>
      </c>
      <c r="G124" t="inlineStr">
        <is>
          <t>British Columbia</t>
        </is>
      </c>
      <c r="H124" t="inlineStr">
        <is>
          <t>Vanguard Tennis Academy</t>
        </is>
      </c>
      <c r="I124" t="n">
        <v>27.2</v>
      </c>
      <c r="J124" s="4" t="n">
        <v>137</v>
      </c>
      <c r="K124" t="inlineStr">
        <is>
          <t>69 / 68</t>
        </is>
      </c>
      <c r="L124" t="inlineStr">
        <is>
          <t>8 / 7</t>
        </is>
      </c>
      <c r="M124" s="5" t="n">
        <v>0.5</v>
      </c>
      <c r="N124" s="5" t="n">
        <v>0.53</v>
      </c>
    </row>
    <row r="125">
      <c r="A125" t="n">
        <v>124</v>
      </c>
      <c r="B125" t="n">
        <v>2012</v>
      </c>
      <c r="C125" t="inlineStr">
        <is>
          <t>Luisa Victoria Davis</t>
        </is>
      </c>
      <c r="D125">
        <f>HYPERLINK("https://ota.tournamentsoftware.com/player-profile/F5AE6D4A-50BA-4E57-AD34-589189161D57", "Link")</f>
        <v/>
      </c>
      <c r="E125" s="3" t="n">
        <v>656.047</v>
      </c>
      <c r="F125" s="4" t="n">
        <v>14</v>
      </c>
      <c r="G125" t="inlineStr">
        <is>
          <t>Ontario Tennis Association</t>
        </is>
      </c>
      <c r="H125" t="inlineStr">
        <is>
          <t>Mayfair West Fitness &amp; Racquet Club</t>
        </is>
      </c>
      <c r="I125" t="inlineStr">
        <is>
          <t>unavailable</t>
        </is>
      </c>
      <c r="J125" s="4" t="n">
        <v>200</v>
      </c>
      <c r="K125" t="inlineStr">
        <is>
          <t>128 / 72</t>
        </is>
      </c>
      <c r="L125" t="inlineStr">
        <is>
          <t>6 / 10</t>
        </is>
      </c>
      <c r="M125" s="5" t="n">
        <v>0.64</v>
      </c>
      <c r="N125" s="5" t="n">
        <v>0.38</v>
      </c>
    </row>
    <row r="126">
      <c r="A126" t="n">
        <v>125</v>
      </c>
      <c r="B126" t="n">
        <v>2014</v>
      </c>
      <c r="C126" t="inlineStr">
        <is>
          <t>Nuanyi Li</t>
        </is>
      </c>
      <c r="D126">
        <f>HYPERLINK("https://ota.tournamentsoftware.com/player-profile/341DA394-9039-4254-B369-B8C52872A168", "Link")</f>
        <v/>
      </c>
      <c r="E126" s="3" t="n">
        <v>646.429</v>
      </c>
      <c r="F126" s="4" t="n">
        <v>30</v>
      </c>
      <c r="G126" t="inlineStr">
        <is>
          <t>Ontario Tennis Association</t>
        </is>
      </c>
      <c r="H126" t="inlineStr">
        <is>
          <t>Fainblum Tennis Academy</t>
        </is>
      </c>
      <c r="I126" t="n">
        <v>28.9</v>
      </c>
      <c r="J126" s="4" t="n">
        <v>284</v>
      </c>
      <c r="K126" t="inlineStr">
        <is>
          <t>176 / 108</t>
        </is>
      </c>
      <c r="L126" t="inlineStr">
        <is>
          <t>25 / 25</t>
        </is>
      </c>
      <c r="M126" s="5" t="n">
        <v>0.62</v>
      </c>
      <c r="N126" s="5" t="n">
        <v>0.5</v>
      </c>
    </row>
    <row r="127">
      <c r="A127" t="n">
        <v>126</v>
      </c>
      <c r="B127" t="n">
        <v>2012</v>
      </c>
      <c r="C127" t="inlineStr">
        <is>
          <t>Yutong (Olivia) Ha</t>
        </is>
      </c>
      <c r="D127">
        <f>HYPERLINK("https://ota.tournamentsoftware.com/player-profile/53AE0DB5-1F76-4FB8-9870-3B236A9DAA97", "Link")</f>
        <v/>
      </c>
      <c r="E127" s="3" t="n">
        <v>624.7430000000001</v>
      </c>
      <c r="F127" s="4" t="n">
        <v>19</v>
      </c>
      <c r="G127" t="inlineStr">
        <is>
          <t>Ontario Tennis Association</t>
        </is>
      </c>
      <c r="H127" t="inlineStr">
        <is>
          <t>Richmondhill Golf &amp; Country Club</t>
        </is>
      </c>
      <c r="I127" t="inlineStr">
        <is>
          <t>unavailable</t>
        </is>
      </c>
      <c r="J127" s="4" t="n">
        <v>195</v>
      </c>
      <c r="K127" t="inlineStr">
        <is>
          <t>84 / 111</t>
        </is>
      </c>
      <c r="L127" t="inlineStr">
        <is>
          <t>6 / 16</t>
        </is>
      </c>
      <c r="M127" s="5" t="n">
        <v>0.43</v>
      </c>
      <c r="N127" s="5" t="n">
        <v>0.27</v>
      </c>
    </row>
    <row r="128">
      <c r="A128" t="n">
        <v>127</v>
      </c>
      <c r="B128" t="n">
        <v>2015</v>
      </c>
      <c r="C128" t="inlineStr">
        <is>
          <t>Emma Yin</t>
        </is>
      </c>
      <c r="D128">
        <f>HYPERLINK("https://ota.tournamentsoftware.com/player-profile/F90E2576-5989-4051-9E1F-45C789378967", "Link")</f>
        <v/>
      </c>
      <c r="E128" s="3" t="n">
        <v>613.705</v>
      </c>
      <c r="F128" s="4" t="n">
        <v>11</v>
      </c>
      <c r="G128" t="inlineStr">
        <is>
          <t>Tennis Saskatchewan</t>
        </is>
      </c>
      <c r="H128" t="inlineStr">
        <is>
          <t>Lakeshore Tennis Club</t>
        </is>
      </c>
      <c r="I128" t="n">
        <v>30.9</v>
      </c>
      <c r="J128" s="4" t="n">
        <v>154</v>
      </c>
      <c r="K128" t="inlineStr">
        <is>
          <t>78 / 76</t>
        </is>
      </c>
      <c r="L128" t="inlineStr">
        <is>
          <t>32 / 21</t>
        </is>
      </c>
      <c r="M128" s="5" t="n">
        <v>0.51</v>
      </c>
      <c r="N128" s="5" t="n">
        <v>0.6</v>
      </c>
    </row>
    <row r="129">
      <c r="A129" t="n">
        <v>128</v>
      </c>
      <c r="B129" t="n">
        <v>2014</v>
      </c>
      <c r="C129" t="inlineStr">
        <is>
          <t>Naomi Iamandi</t>
        </is>
      </c>
      <c r="D129">
        <f>HYPERLINK("https://ota.tournamentsoftware.com/player-profile/5653599F-FFB6-46FA-B574-E53D7FBC278E", "Link")</f>
        <v/>
      </c>
      <c r="E129" s="3" t="n">
        <v>602.866</v>
      </c>
      <c r="F129" s="4" t="n">
        <v>23</v>
      </c>
      <c r="G129" t="inlineStr">
        <is>
          <t>Ontario Tennis Association</t>
        </is>
      </c>
      <c r="H129" t="inlineStr">
        <is>
          <t>Joshua Creek Golf &amp; Tennis</t>
        </is>
      </c>
      <c r="I129" t="n">
        <v>29.6</v>
      </c>
      <c r="J129" s="4" t="n">
        <v>224</v>
      </c>
      <c r="K129" t="inlineStr">
        <is>
          <t>123 / 101</t>
        </is>
      </c>
      <c r="L129" t="inlineStr">
        <is>
          <t>14 / 20</t>
        </is>
      </c>
      <c r="M129" s="5" t="n">
        <v>0.55</v>
      </c>
      <c r="N129" s="5" t="n">
        <v>0.41</v>
      </c>
    </row>
    <row r="130">
      <c r="A130" t="n">
        <v>129</v>
      </c>
      <c r="B130" t="n">
        <v>2013</v>
      </c>
      <c r="C130" t="inlineStr">
        <is>
          <t>Blaire Ming min kaminski</t>
        </is>
      </c>
      <c r="D130">
        <f>HYPERLINK("https://ota.tournamentsoftware.com/player-profile/F1255585-993D-4DBF-ADE9-E5818DCBA131", "Link")</f>
        <v/>
      </c>
      <c r="E130" s="3" t="n">
        <v>601.103</v>
      </c>
      <c r="F130" s="4" t="n">
        <v>17</v>
      </c>
      <c r="G130" t="inlineStr">
        <is>
          <t>Tennis Alberta</t>
        </is>
      </c>
      <c r="H130" t="inlineStr">
        <is>
          <t>Osten &amp; Victor Alberta Tennis Centre</t>
        </is>
      </c>
      <c r="I130" t="inlineStr">
        <is>
          <t>unavailable</t>
        </is>
      </c>
      <c r="J130" s="4" t="n">
        <v>124</v>
      </c>
      <c r="K130" t="inlineStr">
        <is>
          <t>60 / 64</t>
        </is>
      </c>
      <c r="L130" t="inlineStr">
        <is>
          <t>15 / 13</t>
        </is>
      </c>
      <c r="M130" s="5" t="n">
        <v>0.48</v>
      </c>
      <c r="N130" s="5" t="n">
        <v>0.54</v>
      </c>
    </row>
    <row r="131">
      <c r="A131" t="n">
        <v>130</v>
      </c>
      <c r="B131" t="n">
        <v>2012</v>
      </c>
      <c r="C131" t="inlineStr">
        <is>
          <t>Avea Ungureanu Pinto</t>
        </is>
      </c>
      <c r="D131">
        <f>HYPERLINK("https://ota.tournamentsoftware.com/player-profile/527FEC9E-D920-4439-9E01-51A3CFDED939", "Link")</f>
        <v/>
      </c>
      <c r="E131" s="3" t="n">
        <v>599.981</v>
      </c>
      <c r="F131" s="4" t="n">
        <v>27</v>
      </c>
      <c r="G131" t="inlineStr">
        <is>
          <t>Ontario Tennis Association</t>
        </is>
      </c>
      <c r="H131" t="inlineStr">
        <is>
          <t>Mayfair East Racquet Club</t>
        </is>
      </c>
      <c r="I131" t="n">
        <v>29.3</v>
      </c>
      <c r="J131" s="4" t="n">
        <v>137</v>
      </c>
      <c r="K131" t="inlineStr">
        <is>
          <t>73 / 64</t>
        </is>
      </c>
      <c r="L131" t="inlineStr">
        <is>
          <t>18 / 15</t>
        </is>
      </c>
      <c r="M131" s="5" t="n">
        <v>0.53</v>
      </c>
      <c r="N131" s="5" t="n">
        <v>0.55</v>
      </c>
    </row>
    <row r="132">
      <c r="A132" t="n">
        <v>131</v>
      </c>
      <c r="B132" t="n">
        <v>2013</v>
      </c>
      <c r="C132" t="inlineStr">
        <is>
          <t>Elena Vamoser</t>
        </is>
      </c>
      <c r="D132">
        <f>HYPERLINK("https://ota.tournamentsoftware.com/player-profile/F839ADA6-2875-4712-9FE7-C958E075D669", "Link")</f>
        <v/>
      </c>
      <c r="E132" s="3" t="n">
        <v>589.066</v>
      </c>
      <c r="F132" s="4" t="n">
        <v>28</v>
      </c>
      <c r="G132" t="inlineStr">
        <is>
          <t>Ontario Tennis Association</t>
        </is>
      </c>
      <c r="H132" t="inlineStr">
        <is>
          <t>ACE Tennis - Burlington</t>
        </is>
      </c>
      <c r="I132" t="n">
        <v>31</v>
      </c>
      <c r="J132" s="4" t="n">
        <v>127</v>
      </c>
      <c r="K132" t="inlineStr">
        <is>
          <t>74 / 53</t>
        </is>
      </c>
      <c r="L132" t="inlineStr">
        <is>
          <t>15 / 16</t>
        </is>
      </c>
      <c r="M132" s="5" t="n">
        <v>0.58</v>
      </c>
      <c r="N132" s="5" t="n">
        <v>0.48</v>
      </c>
    </row>
    <row r="133">
      <c r="A133" t="n">
        <v>132</v>
      </c>
      <c r="B133" t="n">
        <v>2013</v>
      </c>
      <c r="C133" t="inlineStr">
        <is>
          <t>Zoe Yeung</t>
        </is>
      </c>
      <c r="D133">
        <f>HYPERLINK("https://ota.tournamentsoftware.com/player-profile/69712725-5DA5-49A3-9C42-5A05BBB6B230", "Link")</f>
        <v/>
      </c>
      <c r="E133" s="3" t="n">
        <v>583.942</v>
      </c>
      <c r="F133" s="4" t="n">
        <v>17</v>
      </c>
      <c r="G133" t="inlineStr">
        <is>
          <t>Tennis Alberta</t>
        </is>
      </c>
      <c r="H133" t="inlineStr">
        <is>
          <t>Osten &amp; Victor Alberta Tennis Centre</t>
        </is>
      </c>
      <c r="I133" t="n">
        <v>29.2</v>
      </c>
      <c r="J133" s="4" t="n">
        <v>184</v>
      </c>
      <c r="K133" t="inlineStr">
        <is>
          <t>87 / 97</t>
        </is>
      </c>
      <c r="L133" t="inlineStr">
        <is>
          <t>13 / 16</t>
        </is>
      </c>
      <c r="M133" s="5" t="n">
        <v>0.47</v>
      </c>
      <c r="N133" s="5" t="n">
        <v>0.45</v>
      </c>
    </row>
    <row r="134">
      <c r="A134" t="n">
        <v>133</v>
      </c>
      <c r="B134" t="n">
        <v>2012</v>
      </c>
      <c r="C134" t="inlineStr">
        <is>
          <t>Malia Lee Datta</t>
        </is>
      </c>
      <c r="D134">
        <f>HYPERLINK("https://ota.tournamentsoftware.com/player-profile/0FC1E5E7-0316-49C4-95C5-C429E3032398", "Link")</f>
        <v/>
      </c>
      <c r="E134" s="3" t="n">
        <v>583.375</v>
      </c>
      <c r="F134" s="4" t="n">
        <v>17</v>
      </c>
      <c r="G134" t="inlineStr">
        <is>
          <t>Tennis Alberta</t>
        </is>
      </c>
      <c r="H134" t="inlineStr">
        <is>
          <t>Calgary Winter Club</t>
        </is>
      </c>
      <c r="I134" t="n">
        <v>28.5</v>
      </c>
      <c r="J134" s="4" t="n">
        <v>149</v>
      </c>
      <c r="K134" t="inlineStr">
        <is>
          <t>64 / 85</t>
        </is>
      </c>
      <c r="L134" t="inlineStr">
        <is>
          <t>13 / 18</t>
        </is>
      </c>
      <c r="M134" s="5" t="n">
        <v>0.43</v>
      </c>
      <c r="N134" s="5" t="n">
        <v>0.42</v>
      </c>
    </row>
    <row r="135">
      <c r="A135" t="n">
        <v>134</v>
      </c>
      <c r="B135" t="n">
        <v>2014</v>
      </c>
      <c r="C135" t="inlineStr">
        <is>
          <t>Evelyn Wang</t>
        </is>
      </c>
      <c r="D135">
        <f>HYPERLINK("https://ota.tournamentsoftware.com/player-profile/3A43E7FB-647C-4296-8E8D-106421DC2080", "Link")</f>
        <v/>
      </c>
      <c r="E135" s="3" t="n">
        <v>579.64</v>
      </c>
      <c r="F135" s="4" t="n">
        <v>19</v>
      </c>
      <c r="G135" t="inlineStr">
        <is>
          <t>British Columbia</t>
        </is>
      </c>
      <c r="H135" t="inlineStr">
        <is>
          <t>UBC Tennis Centre</t>
        </is>
      </c>
      <c r="I135" t="n">
        <v>28.4</v>
      </c>
      <c r="J135" s="4" t="n">
        <v>242</v>
      </c>
      <c r="K135" t="inlineStr">
        <is>
          <t>121 / 121</t>
        </is>
      </c>
      <c r="L135" t="inlineStr">
        <is>
          <t>25 / 22</t>
        </is>
      </c>
      <c r="M135" s="5" t="n">
        <v>0.5</v>
      </c>
      <c r="N135" s="5" t="n">
        <v>0.53</v>
      </c>
    </row>
    <row r="136">
      <c r="A136" t="n">
        <v>135</v>
      </c>
      <c r="B136" t="n">
        <v>2015</v>
      </c>
      <c r="C136" t="inlineStr">
        <is>
          <t>Amy Jiao</t>
        </is>
      </c>
      <c r="D136">
        <f>HYPERLINK("https://ota.tournamentsoftware.com/player-profile/5977984B-8EC9-4812-BCFA-CD93C4FFD7AF", "Link")</f>
        <v/>
      </c>
      <c r="E136" s="3" t="n">
        <v>579.221</v>
      </c>
      <c r="F136" s="4" t="n">
        <v>22</v>
      </c>
      <c r="G136" t="inlineStr">
        <is>
          <t>Ontario Tennis Association</t>
        </is>
      </c>
      <c r="H136" t="inlineStr">
        <is>
          <t>Rideau Sports Centre</t>
        </is>
      </c>
      <c r="I136" t="n">
        <v>29.9</v>
      </c>
      <c r="J136" s="4" t="n">
        <v>287</v>
      </c>
      <c r="K136" t="inlineStr">
        <is>
          <t>161 / 126</t>
        </is>
      </c>
      <c r="L136" t="inlineStr">
        <is>
          <t>42 / 24</t>
        </is>
      </c>
      <c r="M136" s="5" t="n">
        <v>0.5600000000000001</v>
      </c>
      <c r="N136" s="5" t="n">
        <v>0.64</v>
      </c>
    </row>
    <row r="137">
      <c r="A137" t="n">
        <v>136</v>
      </c>
      <c r="B137" t="n">
        <v>2012</v>
      </c>
      <c r="C137" t="inlineStr">
        <is>
          <t>Eliana Cantin</t>
        </is>
      </c>
      <c r="D137">
        <f>HYPERLINK("https://ota.tournamentsoftware.com/player-profile/D4DBD3FF-74D7-4D84-BB8F-104CA729E69E", "Link")</f>
        <v/>
      </c>
      <c r="E137" s="3" t="n">
        <v>579.148</v>
      </c>
      <c r="F137" s="4" t="n">
        <v>14</v>
      </c>
      <c r="G137" t="inlineStr">
        <is>
          <t>Tennis Québec</t>
        </is>
      </c>
      <c r="H137" t="inlineStr">
        <is>
          <t>Centre récréatif de Repentigny / Académie Tennis Momentum</t>
        </is>
      </c>
      <c r="I137" t="n">
        <v>29</v>
      </c>
      <c r="J137" s="4" t="n">
        <v>186</v>
      </c>
      <c r="K137" t="inlineStr">
        <is>
          <t>91 / 95</t>
        </is>
      </c>
      <c r="L137" t="inlineStr">
        <is>
          <t>9 / 16</t>
        </is>
      </c>
      <c r="M137" s="5" t="n">
        <v>0.49</v>
      </c>
      <c r="N137" s="5" t="n">
        <v>0.36</v>
      </c>
    </row>
    <row r="138">
      <c r="A138" t="n">
        <v>137</v>
      </c>
      <c r="B138" t="n">
        <v>2014</v>
      </c>
      <c r="C138" t="inlineStr">
        <is>
          <t>Emmanuella Ibrahim</t>
        </is>
      </c>
      <c r="D138">
        <f>HYPERLINK("https://ota.tournamentsoftware.com/player-profile/8CFFE2B1-9508-4CB2-8E6A-6761AA8394EA", "Link")</f>
        <v/>
      </c>
      <c r="E138" s="3" t="n">
        <v>578.7430000000001</v>
      </c>
      <c r="F138" s="4" t="n">
        <v>18</v>
      </c>
      <c r="G138" t="inlineStr">
        <is>
          <t>Tennis Alberta</t>
        </is>
      </c>
      <c r="H138" t="inlineStr">
        <is>
          <t>Aforza</t>
        </is>
      </c>
      <c r="I138" t="inlineStr">
        <is>
          <t>unavailable</t>
        </is>
      </c>
      <c r="J138" s="4" t="n">
        <v>186</v>
      </c>
      <c r="K138" t="inlineStr">
        <is>
          <t>135 / 51</t>
        </is>
      </c>
      <c r="L138" t="inlineStr">
        <is>
          <t>37 / 14</t>
        </is>
      </c>
      <c r="M138" s="5" t="n">
        <v>0.73</v>
      </c>
      <c r="N138" s="5" t="n">
        <v>0.73</v>
      </c>
    </row>
    <row r="139">
      <c r="A139" t="n">
        <v>138</v>
      </c>
      <c r="B139" t="n">
        <v>2013</v>
      </c>
      <c r="C139" t="inlineStr">
        <is>
          <t>Maliah Morgan</t>
        </is>
      </c>
      <c r="D139">
        <f>HYPERLINK("https://ota.tournamentsoftware.com/player-profile/9A3C1326-AE04-42FE-BCE6-AF95D32715F8", "Link")</f>
        <v/>
      </c>
      <c r="E139" s="3" t="n">
        <v>577.035</v>
      </c>
      <c r="F139" s="4" t="n">
        <v>20</v>
      </c>
      <c r="G139" t="inlineStr">
        <is>
          <t>Ontario Tennis Association</t>
        </is>
      </c>
      <c r="H139" t="inlineStr">
        <is>
          <t>Joshua Creek Golf &amp; Tennis</t>
        </is>
      </c>
      <c r="I139" t="n">
        <v>29.1</v>
      </c>
      <c r="J139" s="4" t="n">
        <v>186</v>
      </c>
      <c r="K139" t="inlineStr">
        <is>
          <t>111 / 75</t>
        </is>
      </c>
      <c r="L139" t="inlineStr">
        <is>
          <t>11 / 12</t>
        </is>
      </c>
      <c r="M139" s="5" t="n">
        <v>0.6</v>
      </c>
      <c r="N139" s="5" t="n">
        <v>0.48</v>
      </c>
    </row>
    <row r="140">
      <c r="A140" t="n">
        <v>139</v>
      </c>
      <c r="B140" t="n">
        <v>2013</v>
      </c>
      <c r="C140" t="inlineStr">
        <is>
          <t>Leyan Isabella Yik Sum Leung</t>
        </is>
      </c>
      <c r="D140">
        <f>HYPERLINK("https://ota.tournamentsoftware.com/player-profile/7FB2D792-ABB2-4F05-B9D4-757321E9FA35", "Link")</f>
        <v/>
      </c>
      <c r="E140" s="3" t="n">
        <v>574.508</v>
      </c>
      <c r="F140" s="4" t="n">
        <v>20</v>
      </c>
      <c r="G140" t="inlineStr">
        <is>
          <t>British Columbia</t>
        </is>
      </c>
      <c r="H140" t="inlineStr">
        <is>
          <t>Vanguard Tennis Academy</t>
        </is>
      </c>
      <c r="I140" t="n">
        <v>27.8</v>
      </c>
      <c r="J140" s="4" t="n">
        <v>120</v>
      </c>
      <c r="K140" t="inlineStr">
        <is>
          <t>77 / 43</t>
        </is>
      </c>
      <c r="L140" t="inlineStr">
        <is>
          <t>27 / 15</t>
        </is>
      </c>
      <c r="M140" s="5" t="n">
        <v>0.64</v>
      </c>
      <c r="N140" s="5" t="n">
        <v>0.64</v>
      </c>
    </row>
    <row r="141">
      <c r="A141" t="n">
        <v>140</v>
      </c>
      <c r="B141" t="n">
        <v>2012</v>
      </c>
      <c r="C141" t="inlineStr">
        <is>
          <t>Caroline ChuYun Yang</t>
        </is>
      </c>
      <c r="D141">
        <f>HYPERLINK("https://ota.tournamentsoftware.com/player-profile/973A8D96-42F5-42BC-9DF2-0A195E1A983F", "Link")</f>
        <v/>
      </c>
      <c r="E141" s="3" t="n">
        <v>574.0700000000001</v>
      </c>
      <c r="F141" s="4" t="n">
        <v>22</v>
      </c>
      <c r="G141" t="inlineStr">
        <is>
          <t>British Columbia</t>
        </is>
      </c>
      <c r="H141" t="inlineStr">
        <is>
          <t>The Tennis Centre</t>
        </is>
      </c>
      <c r="I141" t="n">
        <v>28.5</v>
      </c>
      <c r="J141" s="4" t="n">
        <v>265</v>
      </c>
      <c r="K141" t="inlineStr">
        <is>
          <t>159 / 106</t>
        </is>
      </c>
      <c r="L141" t="inlineStr">
        <is>
          <t>27 / 20</t>
        </is>
      </c>
      <c r="M141" s="5" t="n">
        <v>0.6</v>
      </c>
      <c r="N141" s="5" t="n">
        <v>0.57</v>
      </c>
    </row>
    <row r="142">
      <c r="A142" t="n">
        <v>141</v>
      </c>
      <c r="B142" t="n">
        <v>2012</v>
      </c>
      <c r="C142" t="inlineStr">
        <is>
          <t>Madison Tam</t>
        </is>
      </c>
      <c r="D142">
        <f>HYPERLINK("https://ota.tournamentsoftware.com/player-profile/827C7FCD-2D7D-406E-B5C0-29D0720096DC", "Link")</f>
        <v/>
      </c>
      <c r="E142" s="3" t="n">
        <v>572.6</v>
      </c>
      <c r="F142" s="4" t="n">
        <v>22</v>
      </c>
      <c r="G142" t="inlineStr">
        <is>
          <t>Ontario Tennis Association</t>
        </is>
      </c>
      <c r="H142" t="inlineStr">
        <is>
          <t>Sir Winston Churchill Tennis Club</t>
        </is>
      </c>
      <c r="I142" t="n">
        <v>29.4</v>
      </c>
      <c r="J142" s="4" t="n">
        <v>435</v>
      </c>
      <c r="K142" t="inlineStr">
        <is>
          <t>311 / 124</t>
        </is>
      </c>
      <c r="L142" t="inlineStr">
        <is>
          <t>14 / 9</t>
        </is>
      </c>
      <c r="M142" s="5" t="n">
        <v>0.71</v>
      </c>
      <c r="N142" s="5" t="n">
        <v>0.61</v>
      </c>
    </row>
    <row r="143">
      <c r="A143" t="n">
        <v>142</v>
      </c>
      <c r="B143" t="n">
        <v>2012</v>
      </c>
      <c r="C143" t="inlineStr">
        <is>
          <t>Alexandra Dorobantu</t>
        </is>
      </c>
      <c r="D143">
        <f>HYPERLINK("https://ota.tournamentsoftware.com/player-profile/CE7FB59F-F5CB-4CA3-A3EB-27DC05EB2B7D", "Link")</f>
        <v/>
      </c>
      <c r="E143" s="3" t="n">
        <v>568.771</v>
      </c>
      <c r="F143" s="4" t="n">
        <v>13</v>
      </c>
      <c r="G143" t="inlineStr">
        <is>
          <t>Tennis Alberta</t>
        </is>
      </c>
      <c r="H143" t="inlineStr">
        <is>
          <t>Saville Community Sports Centre</t>
        </is>
      </c>
      <c r="I143" t="inlineStr">
        <is>
          <t>unavailable</t>
        </is>
      </c>
      <c r="J143" s="4" t="n">
        <v>156</v>
      </c>
      <c r="K143" t="inlineStr">
        <is>
          <t>76 / 80</t>
        </is>
      </c>
      <c r="L143" t="inlineStr">
        <is>
          <t>14 / 17</t>
        </is>
      </c>
      <c r="M143" s="5" t="n">
        <v>0.49</v>
      </c>
      <c r="N143" s="5" t="n">
        <v>0.45</v>
      </c>
    </row>
    <row r="144">
      <c r="A144" t="n">
        <v>143</v>
      </c>
      <c r="B144" t="n">
        <v>2012</v>
      </c>
      <c r="C144" t="inlineStr">
        <is>
          <t>Anna Lucenti</t>
        </is>
      </c>
      <c r="D144">
        <f>HYPERLINK("https://ota.tournamentsoftware.com/player-profile/332E40CD-AB90-41CE-81C3-858501B2FAD3", "Link")</f>
        <v/>
      </c>
      <c r="E144" s="3" t="n">
        <v>559.466</v>
      </c>
      <c r="F144" s="4" t="n">
        <v>30</v>
      </c>
      <c r="G144" t="inlineStr">
        <is>
          <t>Ontario Tennis Association</t>
        </is>
      </c>
      <c r="H144" t="inlineStr">
        <is>
          <t>SmartVMC Racquetsports by ACE</t>
        </is>
      </c>
      <c r="I144" t="n">
        <v>31.2</v>
      </c>
      <c r="J144" s="4" t="n">
        <v>128</v>
      </c>
      <c r="K144" t="inlineStr">
        <is>
          <t>51 / 77</t>
        </is>
      </c>
      <c r="L144" t="inlineStr">
        <is>
          <t>18 / 14</t>
        </is>
      </c>
      <c r="M144" s="5" t="n">
        <v>0.4</v>
      </c>
      <c r="N144" s="5" t="n">
        <v>0.5600000000000001</v>
      </c>
    </row>
    <row r="145">
      <c r="A145" t="n">
        <v>144</v>
      </c>
      <c r="B145" t="n">
        <v>2013</v>
      </c>
      <c r="C145" t="inlineStr">
        <is>
          <t>Natalia Sena</t>
        </is>
      </c>
      <c r="D145">
        <f>HYPERLINK("https://ota.tournamentsoftware.com/player-profile/D89592D5-D2EA-499E-9A9C-8B20B391C761", "Link")</f>
        <v/>
      </c>
      <c r="E145" s="3" t="n">
        <v>550.612</v>
      </c>
      <c r="F145" s="4" t="n">
        <v>27</v>
      </c>
      <c r="G145" t="inlineStr">
        <is>
          <t>Tennis Québec</t>
        </is>
      </c>
      <c r="H145" t="inlineStr">
        <is>
          <t>No Club</t>
        </is>
      </c>
      <c r="I145" t="n">
        <v>30</v>
      </c>
      <c r="J145" s="4" t="n">
        <v>80</v>
      </c>
      <c r="K145" t="inlineStr">
        <is>
          <t>38 / 42</t>
        </is>
      </c>
      <c r="L145" t="inlineStr">
        <is>
          <t>19 / 13</t>
        </is>
      </c>
      <c r="M145" s="5" t="n">
        <v>0.47</v>
      </c>
      <c r="N145" s="5" t="n">
        <v>0.59</v>
      </c>
    </row>
    <row r="146">
      <c r="A146" t="n">
        <v>145</v>
      </c>
      <c r="B146" t="n">
        <v>2012</v>
      </c>
      <c r="C146" t="inlineStr">
        <is>
          <t>Riddhi Jha</t>
        </is>
      </c>
      <c r="D146">
        <f>HYPERLINK("https://ota.tournamentsoftware.com/player-profile/3B4B01BB-2AAD-49DD-B186-312576B12DC9", "Link")</f>
        <v/>
      </c>
      <c r="E146" s="3" t="n">
        <v>540.386</v>
      </c>
      <c r="F146" s="4" t="n">
        <v>11</v>
      </c>
      <c r="G146" t="inlineStr">
        <is>
          <t>Ontario Tennis Association</t>
        </is>
      </c>
      <c r="H146" t="inlineStr">
        <is>
          <t>Bramalea Tennis Club</t>
        </is>
      </c>
      <c r="I146" t="n">
        <v>31.7</v>
      </c>
      <c r="J146" s="4" t="n">
        <v>235</v>
      </c>
      <c r="K146" t="inlineStr">
        <is>
          <t>85 / 150</t>
        </is>
      </c>
      <c r="L146" t="inlineStr">
        <is>
          <t>14 / 9</t>
        </is>
      </c>
      <c r="M146" s="5" t="n">
        <v>0.36</v>
      </c>
      <c r="N146" s="5" t="n">
        <v>0.61</v>
      </c>
    </row>
    <row r="147">
      <c r="A147" t="n">
        <v>146</v>
      </c>
      <c r="B147" t="n">
        <v>2014</v>
      </c>
      <c r="C147" t="inlineStr">
        <is>
          <t>Alice Yu-Qi Ren</t>
        </is>
      </c>
      <c r="D147">
        <f>HYPERLINK("https://ota.tournamentsoftware.com/player-profile/FE127D3B-825E-4C4F-9666-BA4529348FE4", "Link")</f>
        <v/>
      </c>
      <c r="E147" s="3" t="n">
        <v>535.64</v>
      </c>
      <c r="F147" s="4" t="n">
        <v>18</v>
      </c>
      <c r="G147" t="inlineStr">
        <is>
          <t>Tennis Alberta</t>
        </is>
      </c>
      <c r="H147" t="inlineStr">
        <is>
          <t>Saville Community Sports Centre</t>
        </is>
      </c>
      <c r="I147" t="n">
        <v>28.2</v>
      </c>
      <c r="J147" s="4" t="n">
        <v>204</v>
      </c>
      <c r="K147" t="inlineStr">
        <is>
          <t>139 / 65</t>
        </is>
      </c>
      <c r="L147" t="inlineStr">
        <is>
          <t>36 / 16</t>
        </is>
      </c>
      <c r="M147" s="5" t="n">
        <v>0.68</v>
      </c>
      <c r="N147" s="5" t="n">
        <v>0.6899999999999999</v>
      </c>
    </row>
    <row r="148">
      <c r="A148" t="n">
        <v>147</v>
      </c>
      <c r="B148" t="n">
        <v>2012</v>
      </c>
      <c r="C148" t="inlineStr">
        <is>
          <t>Yuehan DONG</t>
        </is>
      </c>
      <c r="D148">
        <f>HYPERLINK("https://ota.tournamentsoftware.com/player-profile/F5996998-771E-46C9-A222-1C90911DD4C3", "Link")</f>
        <v/>
      </c>
      <c r="E148" s="3" t="n">
        <v>534.77</v>
      </c>
      <c r="F148" s="4" t="n">
        <v>31</v>
      </c>
      <c r="G148" t="inlineStr">
        <is>
          <t>Ontario Tennis Association</t>
        </is>
      </c>
      <c r="H148" t="inlineStr">
        <is>
          <t>Fainblum Tennis Academy</t>
        </is>
      </c>
      <c r="I148" t="n">
        <v>31.7</v>
      </c>
      <c r="J148" s="4" t="n">
        <v>125</v>
      </c>
      <c r="K148" t="inlineStr">
        <is>
          <t>56 / 69</t>
        </is>
      </c>
      <c r="L148" t="inlineStr">
        <is>
          <t>8 / 18</t>
        </is>
      </c>
      <c r="M148" s="5" t="n">
        <v>0.45</v>
      </c>
      <c r="N148" s="5" t="n">
        <v>0.31</v>
      </c>
    </row>
    <row r="149">
      <c r="A149" t="n">
        <v>148</v>
      </c>
      <c r="B149" t="n">
        <v>2012</v>
      </c>
      <c r="C149" t="inlineStr">
        <is>
          <t>Marisol Hilal</t>
        </is>
      </c>
      <c r="D149">
        <f>HYPERLINK("https://ota.tournamentsoftware.com/player-profile/A59841ED-F3F4-4773-A197-5502453988FE", "Link")</f>
        <v/>
      </c>
      <c r="E149" s="3" t="n">
        <v>532.003</v>
      </c>
      <c r="F149" s="4" t="n">
        <v>29</v>
      </c>
      <c r="G149" t="inlineStr">
        <is>
          <t>Tennis Québec</t>
        </is>
      </c>
      <c r="H149" t="inlineStr">
        <is>
          <t>Carrefour Multisports</t>
        </is>
      </c>
      <c r="I149" t="n">
        <v>30.1</v>
      </c>
      <c r="J149" s="4" t="n">
        <v>281</v>
      </c>
      <c r="K149" t="inlineStr">
        <is>
          <t>113 / 168</t>
        </is>
      </c>
      <c r="L149" t="inlineStr">
        <is>
          <t>16 / 23</t>
        </is>
      </c>
      <c r="M149" s="5" t="n">
        <v>0.4</v>
      </c>
      <c r="N149" s="5" t="n">
        <v>0.41</v>
      </c>
    </row>
    <row r="150">
      <c r="A150" t="n">
        <v>149</v>
      </c>
      <c r="B150" t="n">
        <v>2012</v>
      </c>
      <c r="C150" t="inlineStr">
        <is>
          <t>Emma Sun</t>
        </is>
      </c>
      <c r="D150">
        <f>HYPERLINK("https://ota.tournamentsoftware.com/player-profile/00B8EFA4-17DF-49B4-90DE-B5A577BC8620", "Link")</f>
        <v/>
      </c>
      <c r="E150" s="3" t="n">
        <v>530.172</v>
      </c>
      <c r="F150" s="4" t="n">
        <v>17</v>
      </c>
      <c r="G150" t="inlineStr">
        <is>
          <t>British Columbia</t>
        </is>
      </c>
      <c r="H150" t="inlineStr">
        <is>
          <t>The Tennis Centre</t>
        </is>
      </c>
      <c r="I150" t="n">
        <v>27.6</v>
      </c>
      <c r="J150" s="4" t="n">
        <v>258</v>
      </c>
      <c r="K150" t="inlineStr">
        <is>
          <t>123 / 135</t>
        </is>
      </c>
      <c r="L150" t="inlineStr">
        <is>
          <t>14 / 14</t>
        </is>
      </c>
      <c r="M150" s="5" t="n">
        <v>0.48</v>
      </c>
      <c r="N150" s="5" t="n">
        <v>0.5</v>
      </c>
    </row>
    <row r="151">
      <c r="A151" t="n">
        <v>150</v>
      </c>
      <c r="B151" t="n">
        <v>2015</v>
      </c>
      <c r="C151" t="inlineStr">
        <is>
          <t>Alexia Djomo</t>
        </is>
      </c>
      <c r="D151">
        <f>HYPERLINK("https://ota.tournamentsoftware.com/player-profile/DCE433A3-22C1-4484-BA5B-62931094794E", "Link")</f>
        <v/>
      </c>
      <c r="E151" s="3" t="n">
        <v>529.005</v>
      </c>
      <c r="F151" s="4" t="n">
        <v>12</v>
      </c>
      <c r="G151" t="inlineStr">
        <is>
          <t>Tennis Manitoba</t>
        </is>
      </c>
      <c r="H151" t="inlineStr">
        <is>
          <t>Winnipeg Winter Club</t>
        </is>
      </c>
      <c r="I151" t="n">
        <v>33.3</v>
      </c>
      <c r="J151" s="4" t="n">
        <v>75</v>
      </c>
      <c r="K151" t="inlineStr">
        <is>
          <t>30 / 45</t>
        </is>
      </c>
      <c r="L151" t="inlineStr">
        <is>
          <t>23 / 26</t>
        </is>
      </c>
      <c r="M151" s="5" t="n">
        <v>0.4</v>
      </c>
      <c r="N151" s="5" t="n">
        <v>0.47</v>
      </c>
    </row>
    <row r="152">
      <c r="A152" t="n">
        <v>151</v>
      </c>
      <c r="B152" t="n">
        <v>2014</v>
      </c>
      <c r="C152" t="inlineStr">
        <is>
          <t>Sophie Lu</t>
        </is>
      </c>
      <c r="D152">
        <f>HYPERLINK("https://ota.tournamentsoftware.com/player-profile/5C3C8ABA-3BF6-4232-B65C-B26C16207D0A", "Link")</f>
        <v/>
      </c>
      <c r="E152" s="3" t="n">
        <v>528.918</v>
      </c>
      <c r="F152" s="4" t="n">
        <v>19</v>
      </c>
      <c r="G152" t="inlineStr">
        <is>
          <t>Tennis Québec</t>
        </is>
      </c>
      <c r="H152" t="inlineStr">
        <is>
          <t>Tennis Ile- des- Soeurs</t>
        </is>
      </c>
      <c r="I152" t="inlineStr">
        <is>
          <t>unavailable</t>
        </is>
      </c>
      <c r="J152" s="4" t="n">
        <v>206</v>
      </c>
      <c r="K152" t="inlineStr">
        <is>
          <t>105 / 101</t>
        </is>
      </c>
      <c r="L152" t="inlineStr">
        <is>
          <t>34 / 22</t>
        </is>
      </c>
      <c r="M152" s="5" t="n">
        <v>0.51</v>
      </c>
      <c r="N152" s="5" t="n">
        <v>0.61</v>
      </c>
    </row>
    <row r="153">
      <c r="A153" t="n">
        <v>152</v>
      </c>
      <c r="B153" t="n">
        <v>2014</v>
      </c>
      <c r="C153" t="inlineStr">
        <is>
          <t>Charlie Thomas-Simard</t>
        </is>
      </c>
      <c r="D153">
        <f>HYPERLINK("https://ota.tournamentsoftware.com/player-profile/E101E3D0-39D8-4861-AB44-D9BE1C346E1E", "Link")</f>
        <v/>
      </c>
      <c r="E153" s="3" t="n">
        <v>528.784</v>
      </c>
      <c r="F153" s="4" t="n">
        <v>23</v>
      </c>
      <c r="G153" t="inlineStr">
        <is>
          <t>Tennis Québec</t>
        </is>
      </c>
      <c r="H153" t="inlineStr">
        <is>
          <t>Club Avantage Multi-sports / Académie de tennis Hérisset Bordeleau</t>
        </is>
      </c>
      <c r="I153" t="n">
        <v>31.1</v>
      </c>
      <c r="J153" s="4" t="n">
        <v>117</v>
      </c>
      <c r="K153" t="inlineStr">
        <is>
          <t>64 / 53</t>
        </is>
      </c>
      <c r="L153" t="inlineStr">
        <is>
          <t>28 / 25</t>
        </is>
      </c>
      <c r="M153" s="5" t="n">
        <v>0.55</v>
      </c>
      <c r="N153" s="5" t="n">
        <v>0.53</v>
      </c>
    </row>
    <row r="154">
      <c r="A154" t="n">
        <v>153</v>
      </c>
      <c r="B154" t="n">
        <v>2013</v>
      </c>
      <c r="C154" t="inlineStr">
        <is>
          <t>Sonya Notta</t>
        </is>
      </c>
      <c r="D154">
        <f>HYPERLINK("https://ota.tournamentsoftware.com/player-profile/6AF626BE-D8F1-4939-AF03-813D0A17EE25", "Link")</f>
        <v/>
      </c>
      <c r="E154" s="3" t="n">
        <v>527.968</v>
      </c>
      <c r="F154" s="4" t="n">
        <v>9</v>
      </c>
      <c r="G154" t="inlineStr">
        <is>
          <t>Ontario Tennis Association</t>
        </is>
      </c>
      <c r="H154" t="inlineStr">
        <is>
          <t>Mayfair East Racquet Club</t>
        </is>
      </c>
      <c r="I154" t="inlineStr">
        <is>
          <t>unavailable</t>
        </is>
      </c>
      <c r="J154" s="4" t="n">
        <v>76</v>
      </c>
      <c r="K154" t="inlineStr">
        <is>
          <t>51 / 25</t>
        </is>
      </c>
      <c r="L154" t="inlineStr">
        <is>
          <t>8 / 3</t>
        </is>
      </c>
      <c r="M154" s="5" t="n">
        <v>0.67</v>
      </c>
      <c r="N154" s="5" t="n">
        <v>0.73</v>
      </c>
    </row>
    <row r="155">
      <c r="A155" t="n">
        <v>154</v>
      </c>
      <c r="B155" t="n">
        <v>2012</v>
      </c>
      <c r="C155" t="inlineStr">
        <is>
          <t>Lourdes Valentina Haun</t>
        </is>
      </c>
      <c r="D155">
        <f>HYPERLINK("https://ota.tournamentsoftware.com/player-profile/97D1640C-AAFD-43B2-8C9A-BAA1649A3937", "Link")</f>
        <v/>
      </c>
      <c r="E155" s="3" t="n">
        <v>527.521</v>
      </c>
      <c r="F155" s="4" t="n">
        <v>13</v>
      </c>
      <c r="G155" t="inlineStr">
        <is>
          <t>Tennis Alberta</t>
        </is>
      </c>
      <c r="H155" t="inlineStr">
        <is>
          <t>Osten &amp; Victor Alberta Tennis Centre</t>
        </is>
      </c>
      <c r="I155" t="n">
        <v>25.5</v>
      </c>
      <c r="J155" s="4" t="n">
        <v>286</v>
      </c>
      <c r="K155" t="inlineStr">
        <is>
          <t>169 / 117</t>
        </is>
      </c>
      <c r="L155" t="inlineStr">
        <is>
          <t>20 / 11</t>
        </is>
      </c>
      <c r="M155" s="5" t="n">
        <v>0.59</v>
      </c>
      <c r="N155" s="5" t="n">
        <v>0.65</v>
      </c>
    </row>
    <row r="156">
      <c r="A156" t="n">
        <v>155</v>
      </c>
      <c r="B156" t="n">
        <v>2012</v>
      </c>
      <c r="C156" t="inlineStr">
        <is>
          <t>Meeth Kaur Rai</t>
        </is>
      </c>
      <c r="D156">
        <f>HYPERLINK("https://ota.tournamentsoftware.com/player-profile/3C191393-570A-4DF7-80D4-0613143CE54B", "Link")</f>
        <v/>
      </c>
      <c r="E156" s="3" t="n">
        <v>522.904</v>
      </c>
      <c r="F156" s="4" t="n">
        <v>19</v>
      </c>
      <c r="G156" t="inlineStr">
        <is>
          <t>British Columbia</t>
        </is>
      </c>
      <c r="H156" t="inlineStr">
        <is>
          <t>No Club</t>
        </is>
      </c>
      <c r="I156" t="n">
        <v>28.5</v>
      </c>
      <c r="J156" s="4" t="n">
        <v>221</v>
      </c>
      <c r="K156" t="inlineStr">
        <is>
          <t>121 / 100</t>
        </is>
      </c>
      <c r="L156" t="inlineStr">
        <is>
          <t>11 / 23</t>
        </is>
      </c>
      <c r="M156" s="5" t="n">
        <v>0.55</v>
      </c>
      <c r="N156" s="5" t="n">
        <v>0.32</v>
      </c>
    </row>
    <row r="157">
      <c r="A157" t="n">
        <v>156</v>
      </c>
      <c r="B157" t="n">
        <v>2012</v>
      </c>
      <c r="C157" t="inlineStr">
        <is>
          <t>Chloe Fischer</t>
        </is>
      </c>
      <c r="D157">
        <f>HYPERLINK("https://ota.tournamentsoftware.com/player-profile/4F19921D-D25C-4DFA-8A7D-90DE48FEB722", "Link")</f>
        <v/>
      </c>
      <c r="E157" s="3" t="n">
        <v>518.341</v>
      </c>
      <c r="F157" s="4" t="n">
        <v>26</v>
      </c>
      <c r="G157" t="inlineStr">
        <is>
          <t>Ontario Tennis Association</t>
        </is>
      </c>
      <c r="H157" t="inlineStr">
        <is>
          <t>No Club</t>
        </is>
      </c>
      <c r="I157" t="n">
        <v>33.5</v>
      </c>
      <c r="J157" s="4" t="n">
        <v>214</v>
      </c>
      <c r="K157" t="inlineStr">
        <is>
          <t>100 / 114</t>
        </is>
      </c>
      <c r="L157" t="inlineStr">
        <is>
          <t>6 / 20</t>
        </is>
      </c>
      <c r="M157" s="5" t="n">
        <v>0.47</v>
      </c>
      <c r="N157" s="5" t="n">
        <v>0.23</v>
      </c>
    </row>
    <row r="158">
      <c r="A158" t="n">
        <v>157</v>
      </c>
      <c r="B158" t="n">
        <v>2012</v>
      </c>
      <c r="C158" t="inlineStr">
        <is>
          <t>Izibeyle Bhopal</t>
        </is>
      </c>
      <c r="D158">
        <f>HYPERLINK("https://ota.tournamentsoftware.com/player-profile/E9C7A60A-D097-4925-9456-764C57DCF01A", "Link")</f>
        <v/>
      </c>
      <c r="E158" s="3" t="n">
        <v>514.73</v>
      </c>
      <c r="F158" s="4" t="n">
        <v>3</v>
      </c>
      <c r="G158" t="inlineStr">
        <is>
          <t>British Columbia</t>
        </is>
      </c>
      <c r="H158" t="inlineStr">
        <is>
          <t>Bear Mountain Tennis Centre</t>
        </is>
      </c>
      <c r="I158" t="n">
        <v>24.4</v>
      </c>
      <c r="J158" s="4" t="n">
        <v>64</v>
      </c>
      <c r="K158" t="inlineStr">
        <is>
          <t>39 / 25</t>
        </is>
      </c>
      <c r="L158" t="inlineStr">
        <is>
          <t>4 / 0</t>
        </is>
      </c>
      <c r="M158" s="5" t="n">
        <v>0.61</v>
      </c>
      <c r="N158" s="5" t="n">
        <v>1</v>
      </c>
    </row>
    <row r="159">
      <c r="A159" t="n">
        <v>158</v>
      </c>
      <c r="B159" t="n">
        <v>2014</v>
      </c>
      <c r="C159" t="inlineStr">
        <is>
          <t>Michelle Zhang</t>
        </is>
      </c>
      <c r="D159">
        <f>HYPERLINK("https://ota.tournamentsoftware.com/player-profile/9912697B-2876-4A36-8F98-3B7F524694E1", "Link")</f>
        <v/>
      </c>
      <c r="E159" s="3" t="n">
        <v>514.627</v>
      </c>
      <c r="F159" s="4" t="n">
        <v>10</v>
      </c>
      <c r="G159" t="inlineStr">
        <is>
          <t>Tennis Nova Scotia</t>
        </is>
      </c>
      <c r="H159" t="inlineStr">
        <is>
          <t>Atlantic Tennis Centre</t>
        </is>
      </c>
      <c r="I159" t="n">
        <v>30.8</v>
      </c>
      <c r="J159" s="4" t="n">
        <v>147</v>
      </c>
      <c r="K159" t="inlineStr">
        <is>
          <t>85 / 62</t>
        </is>
      </c>
      <c r="L159" t="inlineStr">
        <is>
          <t>23 / 21</t>
        </is>
      </c>
      <c r="M159" s="5" t="n">
        <v>0.58</v>
      </c>
      <c r="N159" s="5" t="n">
        <v>0.52</v>
      </c>
    </row>
    <row r="160">
      <c r="A160" t="n">
        <v>159</v>
      </c>
      <c r="B160" t="n">
        <v>2013</v>
      </c>
      <c r="C160" t="inlineStr">
        <is>
          <t>Nelly Campagna</t>
        </is>
      </c>
      <c r="D160">
        <f>HYPERLINK("https://ota.tournamentsoftware.com/player-profile/57A742FF-F88B-4C14-A895-DA6559972095", "Link")</f>
        <v/>
      </c>
      <c r="E160" s="3" t="n">
        <v>514.603</v>
      </c>
      <c r="F160" s="4" t="n">
        <v>20</v>
      </c>
      <c r="G160" t="inlineStr">
        <is>
          <t>Tennis Québec</t>
        </is>
      </c>
      <c r="H160" t="inlineStr">
        <is>
          <t>Centre récréatif de Repentigny / Académie Tennis Momentum</t>
        </is>
      </c>
      <c r="I160" t="n">
        <v>29.6</v>
      </c>
      <c r="J160" s="4" t="n">
        <v>167</v>
      </c>
      <c r="K160" t="inlineStr">
        <is>
          <t>89 / 78</t>
        </is>
      </c>
      <c r="L160" t="inlineStr">
        <is>
          <t>21 / 16</t>
        </is>
      </c>
      <c r="M160" s="5" t="n">
        <v>0.53</v>
      </c>
      <c r="N160" s="5" t="n">
        <v>0.57</v>
      </c>
    </row>
    <row r="161">
      <c r="A161" t="n">
        <v>160</v>
      </c>
      <c r="B161" t="n">
        <v>2014</v>
      </c>
      <c r="C161" t="inlineStr">
        <is>
          <t>Laetitia Thuy Van Nguyen</t>
        </is>
      </c>
      <c r="D161">
        <f>HYPERLINK("https://ota.tournamentsoftware.com/player-profile/B151CB64-D12D-48B2-8087-4EABB50157E8", "Link")</f>
        <v/>
      </c>
      <c r="E161" s="3" t="n">
        <v>508.37</v>
      </c>
      <c r="F161" s="4" t="n">
        <v>22</v>
      </c>
      <c r="G161" t="inlineStr">
        <is>
          <t>Tennis Québec</t>
        </is>
      </c>
      <c r="H161" t="inlineStr">
        <is>
          <t>Tennis Outaouais Performance (TOP)</t>
        </is>
      </c>
      <c r="I161" t="n">
        <v>29.7</v>
      </c>
      <c r="J161" s="4" t="n">
        <v>213</v>
      </c>
      <c r="K161" t="inlineStr">
        <is>
          <t>116 / 97</t>
        </is>
      </c>
      <c r="L161" t="inlineStr">
        <is>
          <t>30 / 22</t>
        </is>
      </c>
      <c r="M161" s="5" t="n">
        <v>0.54</v>
      </c>
      <c r="N161" s="5" t="n">
        <v>0.58</v>
      </c>
    </row>
    <row r="162">
      <c r="A162" t="n">
        <v>161</v>
      </c>
      <c r="B162" t="n">
        <v>2015</v>
      </c>
      <c r="C162" t="inlineStr">
        <is>
          <t>Grace Wang</t>
        </is>
      </c>
      <c r="D162">
        <f>HYPERLINK("https://ota.tournamentsoftware.com/player-profile/2F68C1DC-1A19-4E3A-AF58-6DC4541843F2", "Link")</f>
        <v/>
      </c>
      <c r="E162" s="3" t="n">
        <v>502.704</v>
      </c>
      <c r="F162" s="4" t="n">
        <v>25</v>
      </c>
      <c r="G162" t="inlineStr">
        <is>
          <t>British Columbia</t>
        </is>
      </c>
      <c r="H162" t="inlineStr">
        <is>
          <t>The Tennis Centre</t>
        </is>
      </c>
      <c r="I162" t="n">
        <v>29.4</v>
      </c>
      <c r="J162" s="4" t="n">
        <v>233</v>
      </c>
      <c r="K162" t="inlineStr">
        <is>
          <t>139 / 94</t>
        </is>
      </c>
      <c r="L162" t="inlineStr">
        <is>
          <t>38 / 21</t>
        </is>
      </c>
      <c r="M162" s="5" t="n">
        <v>0.6</v>
      </c>
      <c r="N162" s="5" t="n">
        <v>0.64</v>
      </c>
    </row>
    <row r="163">
      <c r="A163" t="n">
        <v>162</v>
      </c>
      <c r="B163" t="n">
        <v>2015</v>
      </c>
      <c r="C163" t="inlineStr">
        <is>
          <t>Abbey Crump</t>
        </is>
      </c>
      <c r="D163">
        <f>HYPERLINK("https://ota.tournamentsoftware.com/player-profile/92F0423F-2B57-40B1-A6AA-5C7DC6477800", "Link")</f>
        <v/>
      </c>
      <c r="E163" s="3" t="n">
        <v>493.889</v>
      </c>
      <c r="F163" s="4" t="n">
        <v>16</v>
      </c>
      <c r="G163" t="inlineStr">
        <is>
          <t>Ontario Tennis Association</t>
        </is>
      </c>
      <c r="H163" t="inlineStr">
        <is>
          <t>Joshua Creek Golf &amp; Tennis</t>
        </is>
      </c>
      <c r="I163" t="n">
        <v>30.7</v>
      </c>
      <c r="J163" s="4" t="n">
        <v>146</v>
      </c>
      <c r="K163" t="inlineStr">
        <is>
          <t>120 / 26</t>
        </is>
      </c>
      <c r="L163" t="inlineStr">
        <is>
          <t>28 / 15</t>
        </is>
      </c>
      <c r="M163" s="5" t="n">
        <v>0.82</v>
      </c>
      <c r="N163" s="5" t="n">
        <v>0.65</v>
      </c>
    </row>
    <row r="164">
      <c r="A164" t="n">
        <v>163</v>
      </c>
      <c r="B164" t="n">
        <v>2012</v>
      </c>
      <c r="C164" t="inlineStr">
        <is>
          <t>Maya Sophia Abdullah</t>
        </is>
      </c>
      <c r="D164">
        <f>HYPERLINK("https://ota.tournamentsoftware.com/player-profile/6169AD2A-5AC2-4220-8B87-C5D54BAF6AD4", "Link")</f>
        <v/>
      </c>
      <c r="E164" s="3" t="n">
        <v>485.934</v>
      </c>
      <c r="F164" s="4" t="n">
        <v>19</v>
      </c>
      <c r="G164" t="inlineStr">
        <is>
          <t>Tennis Alberta</t>
        </is>
      </c>
      <c r="H164" t="inlineStr">
        <is>
          <t>Aforza</t>
        </is>
      </c>
      <c r="I164" t="n">
        <v>31.9</v>
      </c>
      <c r="J164" s="4" t="n">
        <v>58</v>
      </c>
      <c r="K164" t="inlineStr">
        <is>
          <t>28 / 30</t>
        </is>
      </c>
      <c r="L164" t="inlineStr">
        <is>
          <t>16 / 18</t>
        </is>
      </c>
      <c r="M164" s="5" t="n">
        <v>0.48</v>
      </c>
      <c r="N164" s="5" t="n">
        <v>0.47</v>
      </c>
    </row>
    <row r="165">
      <c r="A165" t="n">
        <v>164</v>
      </c>
      <c r="B165" t="n">
        <v>2013</v>
      </c>
      <c r="C165" t="inlineStr">
        <is>
          <t>Melanie Moon</t>
        </is>
      </c>
      <c r="D165">
        <f>HYPERLINK("https://ota.tournamentsoftware.com/player-profile/90FC60A1-D48C-4A9A-97D8-A17B60CF6D4A", "Link")</f>
        <v/>
      </c>
      <c r="E165" s="3" t="n">
        <v>483.719</v>
      </c>
      <c r="F165" s="4" t="n">
        <v>15</v>
      </c>
      <c r="G165" t="inlineStr">
        <is>
          <t>British Columbia</t>
        </is>
      </c>
      <c r="H165" t="inlineStr">
        <is>
          <t>Vancouver Lawn Tennis and Badminton Club</t>
        </is>
      </c>
      <c r="I165" t="n">
        <v>28.9</v>
      </c>
      <c r="J165" s="4" t="n">
        <v>232</v>
      </c>
      <c r="K165" t="inlineStr">
        <is>
          <t>115 / 117</t>
        </is>
      </c>
      <c r="L165" t="inlineStr">
        <is>
          <t>6 / 17</t>
        </is>
      </c>
      <c r="M165" s="5" t="n">
        <v>0.5</v>
      </c>
      <c r="N165" s="5" t="n">
        <v>0.26</v>
      </c>
    </row>
    <row r="166">
      <c r="A166" t="n">
        <v>165</v>
      </c>
      <c r="B166" t="n">
        <v>2013</v>
      </c>
      <c r="C166" t="inlineStr">
        <is>
          <t>Alexandra Choe</t>
        </is>
      </c>
      <c r="D166">
        <f>HYPERLINK("https://ota.tournamentsoftware.com/player-profile/0BFF8F09-A612-40D9-B491-E305A472672B", "Link")</f>
        <v/>
      </c>
      <c r="E166" s="3" t="n">
        <v>481.947</v>
      </c>
      <c r="F166" s="4" t="n">
        <v>18</v>
      </c>
      <c r="G166" t="inlineStr">
        <is>
          <t>Ontario Tennis Association</t>
        </is>
      </c>
      <c r="H166" t="inlineStr">
        <is>
          <t>Joshua Creek Golf &amp; Tennis</t>
        </is>
      </c>
      <c r="I166" t="n">
        <v>29.9</v>
      </c>
      <c r="J166" s="4" t="n">
        <v>221</v>
      </c>
      <c r="K166" t="inlineStr">
        <is>
          <t>135 / 86</t>
        </is>
      </c>
      <c r="L166" t="inlineStr">
        <is>
          <t>8 / 4</t>
        </is>
      </c>
      <c r="M166" s="5" t="n">
        <v>0.61</v>
      </c>
      <c r="N166" s="5" t="n">
        <v>0.67</v>
      </c>
    </row>
    <row r="167">
      <c r="A167" t="n">
        <v>166</v>
      </c>
      <c r="B167" t="n">
        <v>2012</v>
      </c>
      <c r="C167" t="inlineStr">
        <is>
          <t>Margot de Candé</t>
        </is>
      </c>
      <c r="D167">
        <f>HYPERLINK("https://ota.tournamentsoftware.com/player-profile/695315EE-6360-44B7-9352-E2A867A09DAD", "Link")</f>
        <v/>
      </c>
      <c r="E167" s="3" t="n">
        <v>478.435</v>
      </c>
      <c r="F167" s="4" t="n">
        <v>13</v>
      </c>
      <c r="G167" t="inlineStr">
        <is>
          <t>Tennis Québec</t>
        </is>
      </c>
      <c r="H167" t="inlineStr">
        <is>
          <t>Tennis Ile- des- Soeurs</t>
        </is>
      </c>
      <c r="I167" t="n">
        <v>29.9</v>
      </c>
      <c r="J167" s="4" t="n">
        <v>110</v>
      </c>
      <c r="K167" t="inlineStr">
        <is>
          <t>52 / 58</t>
        </is>
      </c>
      <c r="L167" t="inlineStr">
        <is>
          <t>12 / 3</t>
        </is>
      </c>
      <c r="M167" s="5" t="n">
        <v>0.47</v>
      </c>
      <c r="N167" s="5" t="n">
        <v>0.8</v>
      </c>
    </row>
    <row r="168">
      <c r="A168" t="n">
        <v>167</v>
      </c>
      <c r="B168" t="n">
        <v>2012</v>
      </c>
      <c r="C168" t="inlineStr">
        <is>
          <t>Ella Zhao</t>
        </is>
      </c>
      <c r="D168">
        <f>HYPERLINK("https://ota.tournamentsoftware.com/player-profile/4CFC4B61-0F67-4AD7-8CC6-03CC7A224737", "Link")</f>
        <v/>
      </c>
      <c r="E168" s="3" t="n">
        <v>469.642</v>
      </c>
      <c r="F168" s="4" t="n">
        <v>11</v>
      </c>
      <c r="G168" t="inlineStr">
        <is>
          <t>British Columbia</t>
        </is>
      </c>
      <c r="H168" t="inlineStr">
        <is>
          <t>North Shore Winter Club</t>
        </is>
      </c>
      <c r="I168" t="n">
        <v>26.9</v>
      </c>
      <c r="J168" s="4" t="n">
        <v>121</v>
      </c>
      <c r="K168" t="inlineStr">
        <is>
          <t>89 / 32</t>
        </is>
      </c>
      <c r="L168" t="inlineStr">
        <is>
          <t>9 / 7</t>
        </is>
      </c>
      <c r="M168" s="5" t="n">
        <v>0.74</v>
      </c>
      <c r="N168" s="5" t="n">
        <v>0.5600000000000001</v>
      </c>
    </row>
    <row r="169">
      <c r="A169" t="n">
        <v>168</v>
      </c>
      <c r="B169" t="n">
        <v>2012</v>
      </c>
      <c r="C169" t="inlineStr">
        <is>
          <t>Daniella Kulemin</t>
        </is>
      </c>
      <c r="D169">
        <f>HYPERLINK("https://ota.tournamentsoftware.com/player-profile/665847C2-A172-4164-B9E1-C1030269B793", "Link")</f>
        <v/>
      </c>
      <c r="E169" s="3" t="n">
        <v>464.042</v>
      </c>
      <c r="F169" s="4" t="n">
        <v>17</v>
      </c>
      <c r="G169" t="inlineStr">
        <is>
          <t>Ontario Tennis Association</t>
        </is>
      </c>
      <c r="H169" t="inlineStr">
        <is>
          <t>Concord Tennis Academy</t>
        </is>
      </c>
      <c r="I169" t="n">
        <v>30.5</v>
      </c>
      <c r="J169" s="4" t="n">
        <v>53</v>
      </c>
      <c r="K169" t="inlineStr">
        <is>
          <t>25 / 28</t>
        </is>
      </c>
      <c r="L169" t="inlineStr">
        <is>
          <t>15 / 14</t>
        </is>
      </c>
      <c r="M169" s="5" t="n">
        <v>0.47</v>
      </c>
      <c r="N169" s="5" t="n">
        <v>0.52</v>
      </c>
    </row>
    <row r="170">
      <c r="A170" t="n">
        <v>169</v>
      </c>
      <c r="B170" t="n">
        <v>2014</v>
      </c>
      <c r="C170" t="inlineStr">
        <is>
          <t>Fengfei ZHANG</t>
        </is>
      </c>
      <c r="D170">
        <f>HYPERLINK("https://ota.tournamentsoftware.com/player-profile/AB18AFB2-DEDF-42AF-BFB1-458553AF250C", "Link")</f>
        <v/>
      </c>
      <c r="E170" s="3" t="n">
        <v>459.702</v>
      </c>
      <c r="F170" s="4" t="n">
        <v>25</v>
      </c>
      <c r="G170" t="inlineStr">
        <is>
          <t>Tennis Québec</t>
        </is>
      </c>
      <c r="H170" t="inlineStr">
        <is>
          <t>Tennis Ile- des- Soeurs</t>
        </is>
      </c>
      <c r="I170" t="n">
        <v>30.1</v>
      </c>
      <c r="J170" s="4" t="n">
        <v>223</v>
      </c>
      <c r="K170" t="inlineStr">
        <is>
          <t>96 / 127</t>
        </is>
      </c>
      <c r="L170" t="inlineStr">
        <is>
          <t>30 / 28</t>
        </is>
      </c>
      <c r="M170" s="5" t="n">
        <v>0.43</v>
      </c>
      <c r="N170" s="5" t="n">
        <v>0.52</v>
      </c>
    </row>
    <row r="171">
      <c r="A171" t="n">
        <v>170</v>
      </c>
      <c r="B171" t="n">
        <v>2013</v>
      </c>
      <c r="C171" t="inlineStr">
        <is>
          <t>Isidora Trkulja</t>
        </is>
      </c>
      <c r="D171">
        <f>HYPERLINK("https://ota.tournamentsoftware.com/player-profile/1A3F3EE8-FB93-483C-A52C-E761E6FA42CE", "Link")</f>
        <v/>
      </c>
      <c r="E171" s="3" t="n">
        <v>458.3</v>
      </c>
      <c r="F171" s="4" t="n">
        <v>9</v>
      </c>
      <c r="G171" t="inlineStr">
        <is>
          <t>Tennis Alberta</t>
        </is>
      </c>
      <c r="H171" t="inlineStr">
        <is>
          <t>Saville Community Sports Centre</t>
        </is>
      </c>
      <c r="I171" t="n">
        <v>26.2</v>
      </c>
      <c r="J171" s="4" t="n">
        <v>194</v>
      </c>
      <c r="K171" t="inlineStr">
        <is>
          <t>125 / 69</t>
        </is>
      </c>
      <c r="L171" t="inlineStr">
        <is>
          <t>8 / 6</t>
        </is>
      </c>
      <c r="M171" s="5" t="n">
        <v>0.64</v>
      </c>
      <c r="N171" s="5" t="n">
        <v>0.57</v>
      </c>
    </row>
    <row r="172">
      <c r="A172" t="n">
        <v>171</v>
      </c>
      <c r="B172" t="n">
        <v>2012</v>
      </c>
      <c r="C172" t="inlineStr">
        <is>
          <t>Tiffany Ren Jun Cao</t>
        </is>
      </c>
      <c r="D172">
        <f>HYPERLINK("https://ota.tournamentsoftware.com/player-profile/07B17DA5-DD47-4C90-B575-478C58AD7465", "Link")</f>
        <v/>
      </c>
      <c r="E172" s="3" t="n">
        <v>453.144</v>
      </c>
      <c r="F172" s="4" t="n">
        <v>25</v>
      </c>
      <c r="G172" t="inlineStr">
        <is>
          <t>British Columbia</t>
        </is>
      </c>
      <c r="H172" t="inlineStr">
        <is>
          <t>Richmond Country Club</t>
        </is>
      </c>
      <c r="I172" t="n">
        <v>29.7</v>
      </c>
      <c r="J172" s="4" t="n">
        <v>205</v>
      </c>
      <c r="K172" t="inlineStr">
        <is>
          <t>104 / 101</t>
        </is>
      </c>
      <c r="L172" t="inlineStr">
        <is>
          <t>17 / 21</t>
        </is>
      </c>
      <c r="M172" s="5" t="n">
        <v>0.51</v>
      </c>
      <c r="N172" s="5" t="n">
        <v>0.45</v>
      </c>
    </row>
    <row r="173">
      <c r="A173" t="n">
        <v>172</v>
      </c>
      <c r="B173" t="n">
        <v>2015</v>
      </c>
      <c r="C173" t="inlineStr">
        <is>
          <t>NELIA BERKOUD</t>
        </is>
      </c>
      <c r="D173">
        <f>HYPERLINK("https://ota.tournamentsoftware.com/player-profile/2E73021E-DEDD-484B-95FC-00429D223FB2", "Link")</f>
        <v/>
      </c>
      <c r="E173" s="3" t="n">
        <v>452.696</v>
      </c>
      <c r="F173" s="4" t="n">
        <v>25</v>
      </c>
      <c r="G173" t="inlineStr">
        <is>
          <t>Tennis Québec</t>
        </is>
      </c>
      <c r="H173" t="inlineStr">
        <is>
          <t>Carrefour Multisports</t>
        </is>
      </c>
      <c r="I173" t="n">
        <v>30.8</v>
      </c>
      <c r="J173" s="4" t="n">
        <v>139</v>
      </c>
      <c r="K173" t="inlineStr">
        <is>
          <t>86 / 53</t>
        </is>
      </c>
      <c r="L173" t="inlineStr">
        <is>
          <t>30 / 25</t>
        </is>
      </c>
      <c r="M173" s="5" t="n">
        <v>0.62</v>
      </c>
      <c r="N173" s="5" t="n">
        <v>0.55</v>
      </c>
    </row>
    <row r="174">
      <c r="A174" t="n">
        <v>173</v>
      </c>
      <c r="B174" t="n">
        <v>2013</v>
      </c>
      <c r="C174" t="inlineStr">
        <is>
          <t>Bianca Nestor</t>
        </is>
      </c>
      <c r="D174">
        <f>HYPERLINK("https://ota.tournamentsoftware.com/player-profile/8BAE5D37-8145-43F6-9016-30DDC5E4E994", "Link")</f>
        <v/>
      </c>
      <c r="E174" s="3" t="n">
        <v>450.581</v>
      </c>
      <c r="F174" s="4" t="n">
        <v>22</v>
      </c>
      <c r="G174" t="inlineStr">
        <is>
          <t>Ontario Tennis Association</t>
        </is>
      </c>
      <c r="H174" t="inlineStr">
        <is>
          <t>Toronto Lawn Tennis Club</t>
        </is>
      </c>
      <c r="I174" t="n">
        <v>30.5</v>
      </c>
      <c r="J174" s="4" t="n">
        <v>193</v>
      </c>
      <c r="K174" t="inlineStr">
        <is>
          <t>95 / 98</t>
        </is>
      </c>
      <c r="L174" t="inlineStr">
        <is>
          <t>14 / 12</t>
        </is>
      </c>
      <c r="M174" s="5" t="n">
        <v>0.49</v>
      </c>
      <c r="N174" s="5" t="n">
        <v>0.54</v>
      </c>
    </row>
    <row r="175">
      <c r="A175" t="n">
        <v>174</v>
      </c>
      <c r="B175" t="n">
        <v>2015</v>
      </c>
      <c r="C175" t="inlineStr">
        <is>
          <t>Alyanna Jane Principe</t>
        </is>
      </c>
      <c r="D175">
        <f>HYPERLINK("https://ota.tournamentsoftware.com/player-profile/DF18434B-FE2E-4647-9481-0DA91B5C9B92", "Link")</f>
        <v/>
      </c>
      <c r="E175" s="3" t="n">
        <v>449.433</v>
      </c>
      <c r="F175" s="4" t="n">
        <v>24</v>
      </c>
      <c r="G175" t="inlineStr">
        <is>
          <t>British Columbia</t>
        </is>
      </c>
      <c r="H175" t="inlineStr">
        <is>
          <t>The Tennis Centre</t>
        </is>
      </c>
      <c r="I175" t="n">
        <v>29.2</v>
      </c>
      <c r="J175" s="4" t="n">
        <v>232</v>
      </c>
      <c r="K175" t="inlineStr">
        <is>
          <t>151 / 81</t>
        </is>
      </c>
      <c r="L175" t="inlineStr">
        <is>
          <t>29 / 22</t>
        </is>
      </c>
      <c r="M175" s="5" t="n">
        <v>0.65</v>
      </c>
      <c r="N175" s="5" t="n">
        <v>0.57</v>
      </c>
    </row>
    <row r="176">
      <c r="A176" t="n">
        <v>175</v>
      </c>
      <c r="B176" t="n">
        <v>2012</v>
      </c>
      <c r="C176" t="inlineStr">
        <is>
          <t>OLIVIA JUNHAN CAO</t>
        </is>
      </c>
      <c r="D176">
        <f>HYPERLINK("https://ota.tournamentsoftware.com/player-profile/3D68BE77-5DE2-40D9-BCC3-C836A764F3EF", "Link")</f>
        <v/>
      </c>
      <c r="E176" s="3" t="n">
        <v>448.837</v>
      </c>
      <c r="F176" s="4" t="n">
        <v>18</v>
      </c>
      <c r="G176" t="inlineStr">
        <is>
          <t>British Columbia</t>
        </is>
      </c>
      <c r="H176" t="inlineStr">
        <is>
          <t>Richmond Country Club</t>
        </is>
      </c>
      <c r="I176" t="n">
        <v>27.3</v>
      </c>
      <c r="J176" s="4" t="n">
        <v>143</v>
      </c>
      <c r="K176" t="inlineStr">
        <is>
          <t>97 / 46</t>
        </is>
      </c>
      <c r="L176" t="inlineStr">
        <is>
          <t>34 / 15</t>
        </is>
      </c>
      <c r="M176" s="5" t="n">
        <v>0.68</v>
      </c>
      <c r="N176" s="5" t="n">
        <v>0.6899999999999999</v>
      </c>
    </row>
    <row r="177">
      <c r="A177" t="n">
        <v>176</v>
      </c>
      <c r="B177" t="n">
        <v>2012</v>
      </c>
      <c r="C177" t="inlineStr">
        <is>
          <t>MISHIKA SURESH BALAJI</t>
        </is>
      </c>
      <c r="D177">
        <f>HYPERLINK("https://ota.tournamentsoftware.com/player-profile/B11C615C-6BB8-4655-BCAA-370D01C186B1", "Link")</f>
        <v/>
      </c>
      <c r="E177" s="3" t="n">
        <v>448</v>
      </c>
      <c r="F177" s="4" t="n">
        <v>15</v>
      </c>
      <c r="G177" t="inlineStr">
        <is>
          <t>Tennis Nova Scotia</t>
        </is>
      </c>
      <c r="H177" t="inlineStr">
        <is>
          <t>Atlantic Tennis Centre</t>
        </is>
      </c>
      <c r="I177" t="n">
        <v>28.4</v>
      </c>
      <c r="J177" s="4" t="n">
        <v>169</v>
      </c>
      <c r="K177" t="inlineStr">
        <is>
          <t>87 / 82</t>
        </is>
      </c>
      <c r="L177" t="inlineStr">
        <is>
          <t>22 / 14</t>
        </is>
      </c>
      <c r="M177" s="5" t="n">
        <v>0.51</v>
      </c>
      <c r="N177" s="5" t="n">
        <v>0.61</v>
      </c>
    </row>
    <row r="178">
      <c r="A178" t="n">
        <v>177</v>
      </c>
      <c r="B178" t="n">
        <v>2013</v>
      </c>
      <c r="C178" t="inlineStr">
        <is>
          <t>Mariela Ibrahim</t>
        </is>
      </c>
      <c r="D178">
        <f>HYPERLINK("https://ota.tournamentsoftware.com/player-profile/D80C965C-4117-4C2C-9F46-F371E9E47454", "Link")</f>
        <v/>
      </c>
      <c r="E178" s="3" t="n">
        <v>447.042</v>
      </c>
      <c r="F178" s="4" t="n">
        <v>26</v>
      </c>
      <c r="G178" t="inlineStr">
        <is>
          <t>Ontario Tennis Association</t>
        </is>
      </c>
      <c r="H178" t="inlineStr">
        <is>
          <t>Concord Tennis Academy</t>
        </is>
      </c>
      <c r="I178" t="inlineStr">
        <is>
          <t>unavailable</t>
        </is>
      </c>
      <c r="J178" s="4" t="n">
        <v>97</v>
      </c>
      <c r="K178" t="inlineStr">
        <is>
          <t>56 / 41</t>
        </is>
      </c>
      <c r="L178" t="inlineStr">
        <is>
          <t>22 / 15</t>
        </is>
      </c>
      <c r="M178" s="5" t="n">
        <v>0.58</v>
      </c>
      <c r="N178" s="5" t="n">
        <v>0.59</v>
      </c>
    </row>
    <row r="179">
      <c r="A179" t="n">
        <v>178</v>
      </c>
      <c r="B179" t="n">
        <v>2014</v>
      </c>
      <c r="C179" t="inlineStr">
        <is>
          <t>Naima Majumdar-Moreau</t>
        </is>
      </c>
      <c r="D179">
        <f>HYPERLINK("https://ota.tournamentsoftware.com/player-profile/DCA02929-B08F-46CE-9CFE-852A987CEBF8", "Link")</f>
        <v/>
      </c>
      <c r="E179" s="3" t="n">
        <v>446.62</v>
      </c>
      <c r="F179" s="4" t="n">
        <v>26</v>
      </c>
      <c r="G179" t="inlineStr">
        <is>
          <t>Tennis Québec</t>
        </is>
      </c>
      <c r="H179" t="inlineStr">
        <is>
          <t>Tennis Ile- des- Soeurs</t>
        </is>
      </c>
      <c r="I179" t="inlineStr">
        <is>
          <t>unavailable</t>
        </is>
      </c>
      <c r="J179" s="4" t="n">
        <v>151</v>
      </c>
      <c r="K179" t="inlineStr">
        <is>
          <t>70 / 81</t>
        </is>
      </c>
      <c r="L179" t="inlineStr">
        <is>
          <t>26 / 26</t>
        </is>
      </c>
      <c r="M179" s="5" t="n">
        <v>0.46</v>
      </c>
      <c r="N179" s="5" t="n">
        <v>0.5</v>
      </c>
    </row>
    <row r="180">
      <c r="A180" t="n">
        <v>179</v>
      </c>
      <c r="B180" t="n">
        <v>2013</v>
      </c>
      <c r="C180" t="inlineStr">
        <is>
          <t>Bianca Bordogna</t>
        </is>
      </c>
      <c r="D180">
        <f>HYPERLINK("https://ota.tournamentsoftware.com/player-profile/71A0B4E7-3A92-4F64-82D6-42A032600DC7", "Link")</f>
        <v/>
      </c>
      <c r="E180" s="3" t="n">
        <v>445.52</v>
      </c>
      <c r="F180" s="4" t="n">
        <v>11</v>
      </c>
      <c r="G180" t="inlineStr">
        <is>
          <t>Ontario Tennis Association</t>
        </is>
      </c>
      <c r="H180" t="inlineStr">
        <is>
          <t>Carleton Tennis Centre</t>
        </is>
      </c>
      <c r="I180" t="n">
        <v>33</v>
      </c>
      <c r="J180" s="4" t="n">
        <v>99</v>
      </c>
      <c r="K180" t="inlineStr">
        <is>
          <t>50 / 49</t>
        </is>
      </c>
      <c r="L180" t="inlineStr">
        <is>
          <t>7 / 9</t>
        </is>
      </c>
      <c r="M180" s="5" t="n">
        <v>0.51</v>
      </c>
      <c r="N180" s="5" t="n">
        <v>0.44</v>
      </c>
    </row>
    <row r="181">
      <c r="A181" t="n">
        <v>180</v>
      </c>
      <c r="B181" t="n">
        <v>2014</v>
      </c>
      <c r="C181" t="inlineStr">
        <is>
          <t>KENZA JERBI</t>
        </is>
      </c>
      <c r="D181">
        <f>HYPERLINK("https://ota.tournamentsoftware.com/player-profile/C6A8B859-96DA-46D9-A270-B08DA27DDE5C", "Link")</f>
        <v/>
      </c>
      <c r="E181" s="3" t="n">
        <v>442.895</v>
      </c>
      <c r="F181" s="4" t="n">
        <v>15</v>
      </c>
      <c r="G181" t="inlineStr">
        <is>
          <t>Tennis Québec</t>
        </is>
      </c>
      <c r="H181" t="inlineStr">
        <is>
          <t>Tennis Montréal Excellence</t>
        </is>
      </c>
      <c r="I181" t="n">
        <v>32</v>
      </c>
      <c r="J181" s="4" t="n">
        <v>108</v>
      </c>
      <c r="K181" t="inlineStr">
        <is>
          <t>65 / 43</t>
        </is>
      </c>
      <c r="L181" t="inlineStr">
        <is>
          <t>7 / 11</t>
        </is>
      </c>
      <c r="M181" s="5" t="n">
        <v>0.6</v>
      </c>
      <c r="N181" s="5" t="n">
        <v>0.39</v>
      </c>
    </row>
    <row r="182">
      <c r="A182" t="n">
        <v>181</v>
      </c>
      <c r="B182" t="n">
        <v>2013</v>
      </c>
      <c r="C182" t="inlineStr">
        <is>
          <t>Juliana Sophie Ho</t>
        </is>
      </c>
      <c r="D182">
        <f>HYPERLINK("https://ota.tournamentsoftware.com/player-profile/D79AC720-EA55-42CC-ACCB-558E5C86D00C", "Link")</f>
        <v/>
      </c>
      <c r="E182" s="3" t="n">
        <v>442.834</v>
      </c>
      <c r="F182" s="4" t="n">
        <v>28</v>
      </c>
      <c r="G182" t="inlineStr">
        <is>
          <t>Ontario Tennis Association</t>
        </is>
      </c>
      <c r="H182" t="inlineStr">
        <is>
          <t>Ontario Racquet Club</t>
        </is>
      </c>
      <c r="I182" t="n">
        <v>32.2</v>
      </c>
      <c r="J182" s="4" t="n">
        <v>138</v>
      </c>
      <c r="K182" t="inlineStr">
        <is>
          <t>69 / 69</t>
        </is>
      </c>
      <c r="L182" t="inlineStr">
        <is>
          <t>17 / 18</t>
        </is>
      </c>
      <c r="M182" s="5" t="n">
        <v>0.5</v>
      </c>
      <c r="N182" s="5" t="n">
        <v>0.49</v>
      </c>
    </row>
    <row r="183">
      <c r="A183" t="n">
        <v>182</v>
      </c>
      <c r="B183" t="n">
        <v>2013</v>
      </c>
      <c r="C183" t="inlineStr">
        <is>
          <t>Mila Anna Kodjian</t>
        </is>
      </c>
      <c r="D183">
        <f>HYPERLINK("https://ota.tournamentsoftware.com/player-profile/CE1F1BC7-04CB-4652-A947-AF91FA03ECD5", "Link")</f>
        <v/>
      </c>
      <c r="E183" s="3" t="n">
        <v>440.264</v>
      </c>
      <c r="F183" s="4" t="n">
        <v>19</v>
      </c>
      <c r="G183" t="inlineStr">
        <is>
          <t>Ontario Tennis Association</t>
        </is>
      </c>
      <c r="H183" t="inlineStr">
        <is>
          <t>Rosethorn Tennis Club</t>
        </is>
      </c>
      <c r="I183" t="n">
        <v>32</v>
      </c>
      <c r="J183" s="4" t="n">
        <v>111</v>
      </c>
      <c r="K183" t="inlineStr">
        <is>
          <t>63 / 48</t>
        </is>
      </c>
      <c r="L183" t="inlineStr">
        <is>
          <t>22 / 10</t>
        </is>
      </c>
      <c r="M183" s="5" t="n">
        <v>0.57</v>
      </c>
      <c r="N183" s="5" t="n">
        <v>0.6899999999999999</v>
      </c>
    </row>
    <row r="184">
      <c r="A184" t="n">
        <v>183</v>
      </c>
      <c r="B184" t="n">
        <v>2014</v>
      </c>
      <c r="C184" t="inlineStr">
        <is>
          <t>Adrianna Gianvito</t>
        </is>
      </c>
      <c r="D184">
        <f>HYPERLINK("https://ota.tournamentsoftware.com/player-profile/1412F0F4-82D3-410D-980E-969EFE386B01", "Link")</f>
        <v/>
      </c>
      <c r="E184" s="3" t="n">
        <v>439.384</v>
      </c>
      <c r="F184" s="4" t="n">
        <v>20</v>
      </c>
      <c r="G184" t="inlineStr">
        <is>
          <t>Tennis Québec</t>
        </is>
      </c>
      <c r="H184" t="inlineStr">
        <is>
          <t>No Club</t>
        </is>
      </c>
      <c r="I184" t="inlineStr">
        <is>
          <t>unavailable</t>
        </is>
      </c>
      <c r="J184" s="4" t="n">
        <v>145</v>
      </c>
      <c r="K184" t="inlineStr">
        <is>
          <t>75 / 70</t>
        </is>
      </c>
      <c r="L184" t="inlineStr">
        <is>
          <t>25 / 18</t>
        </is>
      </c>
      <c r="M184" s="5" t="n">
        <v>0.52</v>
      </c>
      <c r="N184" s="5" t="n">
        <v>0.58</v>
      </c>
    </row>
    <row r="185">
      <c r="A185" t="n">
        <v>184</v>
      </c>
      <c r="B185" t="n">
        <v>2015</v>
      </c>
      <c r="C185" t="inlineStr">
        <is>
          <t>Tina liu</t>
        </is>
      </c>
      <c r="D185">
        <f>HYPERLINK("https://ota.tournamentsoftware.com/player-profile/E7D1FBAC-8033-480E-A688-28CBCEF6D907", "Link")</f>
        <v/>
      </c>
      <c r="E185" s="3" t="n">
        <v>436.506</v>
      </c>
      <c r="F185" s="4" t="n">
        <v>33</v>
      </c>
      <c r="G185" t="inlineStr">
        <is>
          <t>Ontario Tennis Association</t>
        </is>
      </c>
      <c r="H185" t="inlineStr">
        <is>
          <t>No Club</t>
        </is>
      </c>
      <c r="I185" t="n">
        <v>32.4</v>
      </c>
      <c r="J185" s="4" t="n">
        <v>200</v>
      </c>
      <c r="K185" t="inlineStr">
        <is>
          <t>128 / 72</t>
        </is>
      </c>
      <c r="L185" t="inlineStr">
        <is>
          <t>32 / 19</t>
        </is>
      </c>
      <c r="M185" s="5" t="n">
        <v>0.64</v>
      </c>
      <c r="N185" s="5" t="n">
        <v>0.63</v>
      </c>
    </row>
    <row r="186">
      <c r="A186" t="n">
        <v>185</v>
      </c>
      <c r="B186" t="n">
        <v>2014</v>
      </c>
      <c r="C186" t="inlineStr">
        <is>
          <t>Anica Yachun Liu</t>
        </is>
      </c>
      <c r="D186">
        <f>HYPERLINK("https://ota.tournamentsoftware.com/player-profile/B58148E6-4895-4918-B4B6-ADFAA5FEE0D2", "Link")</f>
        <v/>
      </c>
      <c r="E186" s="3" t="n">
        <v>429.425</v>
      </c>
      <c r="F186" s="4" t="n">
        <v>22</v>
      </c>
      <c r="G186" t="inlineStr">
        <is>
          <t>Tennis Alberta</t>
        </is>
      </c>
      <c r="H186" t="inlineStr">
        <is>
          <t>Saville Community Sports Centre</t>
        </is>
      </c>
      <c r="I186" t="n">
        <v>30.2</v>
      </c>
      <c r="J186" s="4" t="n">
        <v>220</v>
      </c>
      <c r="K186" t="inlineStr">
        <is>
          <t>110 / 110</t>
        </is>
      </c>
      <c r="L186" t="inlineStr">
        <is>
          <t>29 / 32</t>
        </is>
      </c>
      <c r="M186" s="5" t="n">
        <v>0.5</v>
      </c>
      <c r="N186" s="5" t="n">
        <v>0.48</v>
      </c>
    </row>
    <row r="187">
      <c r="A187" t="n">
        <v>186</v>
      </c>
      <c r="B187" t="n">
        <v>2012</v>
      </c>
      <c r="C187" t="inlineStr">
        <is>
          <t>Ira Karthi</t>
        </is>
      </c>
      <c r="D187">
        <f>HYPERLINK("https://ota.tournamentsoftware.com/player-profile/87DFD688-7475-43FD-B605-7E13CDDC471C", "Link")</f>
        <v/>
      </c>
      <c r="E187" s="3" t="n">
        <v>428.808</v>
      </c>
      <c r="F187" s="4" t="n">
        <v>19</v>
      </c>
      <c r="G187" t="inlineStr">
        <is>
          <t>Ontario Tennis Association</t>
        </is>
      </c>
      <c r="H187" t="inlineStr">
        <is>
          <t>Sandy Beach Tennis Club</t>
        </is>
      </c>
      <c r="I187" t="n">
        <v>33.3</v>
      </c>
      <c r="J187" s="4" t="n">
        <v>69</v>
      </c>
      <c r="K187" t="inlineStr">
        <is>
          <t>18 / 51</t>
        </is>
      </c>
      <c r="L187" t="inlineStr">
        <is>
          <t>7 / 13</t>
        </is>
      </c>
      <c r="M187" s="5" t="n">
        <v>0.26</v>
      </c>
      <c r="N187" s="5" t="n">
        <v>0.35</v>
      </c>
    </row>
    <row r="188">
      <c r="A188" t="n">
        <v>187</v>
      </c>
      <c r="B188" t="n">
        <v>2015</v>
      </c>
      <c r="C188" t="inlineStr">
        <is>
          <t>Olivia Lu</t>
        </is>
      </c>
      <c r="D188">
        <f>HYPERLINK("https://ota.tournamentsoftware.com/player-profile/807CAE71-A1FD-4ED2-952F-E0EDBF0E66E6", "Link")</f>
        <v/>
      </c>
      <c r="E188" s="3" t="n">
        <v>425.088</v>
      </c>
      <c r="F188" s="4" t="n">
        <v>26</v>
      </c>
      <c r="G188" t="inlineStr">
        <is>
          <t>Ontario Tennis Association</t>
        </is>
      </c>
      <c r="H188" t="inlineStr">
        <is>
          <t>Advantage Tennis International at Veneto</t>
        </is>
      </c>
      <c r="I188" t="n">
        <v>31.1</v>
      </c>
      <c r="J188" s="4" t="n">
        <v>155</v>
      </c>
      <c r="K188" t="inlineStr">
        <is>
          <t>88 / 67</t>
        </is>
      </c>
      <c r="L188" t="inlineStr">
        <is>
          <t>21 / 15</t>
        </is>
      </c>
      <c r="M188" s="5" t="n">
        <v>0.57</v>
      </c>
      <c r="N188" s="5" t="n">
        <v>0.58</v>
      </c>
    </row>
    <row r="189">
      <c r="A189" t="n">
        <v>188</v>
      </c>
      <c r="B189" t="n">
        <v>2012</v>
      </c>
      <c r="C189" t="inlineStr">
        <is>
          <t>Joanna Pananchickal</t>
        </is>
      </c>
      <c r="D189">
        <f>HYPERLINK("https://ota.tournamentsoftware.com/player-profile/6487D297-D67D-4189-9D3C-05A8EA398E60", "Link")</f>
        <v/>
      </c>
      <c r="E189" s="3" t="n">
        <v>424.811</v>
      </c>
      <c r="F189" s="4" t="n">
        <v>9</v>
      </c>
      <c r="G189" t="inlineStr">
        <is>
          <t>Ontario Tennis Association</t>
        </is>
      </c>
      <c r="H189" t="inlineStr">
        <is>
          <t>No Club</t>
        </is>
      </c>
      <c r="I189" t="n">
        <v>31.6</v>
      </c>
      <c r="J189" s="4" t="n">
        <v>59</v>
      </c>
      <c r="K189" t="inlineStr">
        <is>
          <t>26 / 33</t>
        </is>
      </c>
      <c r="L189" t="inlineStr">
        <is>
          <t>8 / 5</t>
        </is>
      </c>
      <c r="M189" s="5" t="n">
        <v>0.44</v>
      </c>
      <c r="N189" s="5" t="n">
        <v>0.62</v>
      </c>
    </row>
    <row r="190">
      <c r="A190" t="n">
        <v>189</v>
      </c>
      <c r="B190" t="n">
        <v>2015</v>
      </c>
      <c r="C190" t="inlineStr">
        <is>
          <t>Elina Wang</t>
        </is>
      </c>
      <c r="D190">
        <f>HYPERLINK("https://ota.tournamentsoftware.com/player-profile/D1A88E02-8A26-413B-866E-8A72948B268F", "Link")</f>
        <v/>
      </c>
      <c r="E190" s="3" t="n">
        <v>420.636</v>
      </c>
      <c r="F190" s="4" t="n">
        <v>22</v>
      </c>
      <c r="G190" t="inlineStr">
        <is>
          <t>Ontario Tennis Association</t>
        </is>
      </c>
      <c r="H190" t="inlineStr">
        <is>
          <t>Richmondhill Golf &amp; Country Club</t>
        </is>
      </c>
      <c r="I190" t="n">
        <v>30.5</v>
      </c>
      <c r="J190" s="4" t="n">
        <v>230</v>
      </c>
      <c r="K190" t="inlineStr">
        <is>
          <t>152 / 78</t>
        </is>
      </c>
      <c r="L190" t="inlineStr">
        <is>
          <t>35 / 13</t>
        </is>
      </c>
      <c r="M190" s="5" t="n">
        <v>0.66</v>
      </c>
      <c r="N190" s="5" t="n">
        <v>0.73</v>
      </c>
    </row>
    <row r="191">
      <c r="A191" t="n">
        <v>190</v>
      </c>
      <c r="B191" t="n">
        <v>2015</v>
      </c>
      <c r="C191" t="inlineStr">
        <is>
          <t>Sunandita Pal</t>
        </is>
      </c>
      <c r="D191">
        <f>HYPERLINK("https://ota.tournamentsoftware.com/player-profile/10185E41-C6E2-4C6A-9A47-A3AF6C77F2A4", "Link")</f>
        <v/>
      </c>
      <c r="E191" s="3" t="n">
        <v>418.017</v>
      </c>
      <c r="F191" s="4" t="n">
        <v>27</v>
      </c>
      <c r="G191" t="inlineStr">
        <is>
          <t>Ontario Tennis Association</t>
        </is>
      </c>
      <c r="H191" t="inlineStr">
        <is>
          <t>No Club</t>
        </is>
      </c>
      <c r="I191" t="n">
        <v>34</v>
      </c>
      <c r="J191" s="4" t="n">
        <v>226</v>
      </c>
      <c r="K191" t="inlineStr">
        <is>
          <t>105 / 121</t>
        </is>
      </c>
      <c r="L191" t="inlineStr">
        <is>
          <t>21 / 20</t>
        </is>
      </c>
      <c r="M191" s="5" t="n">
        <v>0.46</v>
      </c>
      <c r="N191" s="5" t="n">
        <v>0.51</v>
      </c>
    </row>
    <row r="192">
      <c r="A192" t="n">
        <v>191</v>
      </c>
      <c r="B192" t="n">
        <v>2014</v>
      </c>
      <c r="C192" t="inlineStr">
        <is>
          <t>Veronica Mourlatov</t>
        </is>
      </c>
      <c r="D192">
        <f>HYPERLINK("https://ota.tournamentsoftware.com/player-profile/B6154A4C-BA94-41F6-A39C-E106D7116C1A", "Link")</f>
        <v/>
      </c>
      <c r="E192" s="3" t="n">
        <v>415.477</v>
      </c>
      <c r="F192" s="4" t="n">
        <v>31</v>
      </c>
      <c r="G192" t="inlineStr">
        <is>
          <t>Ontario Tennis Association</t>
        </is>
      </c>
      <c r="H192" t="inlineStr">
        <is>
          <t>SmartVMC Racquetsports by ACE</t>
        </is>
      </c>
      <c r="I192" t="n">
        <v>31.2</v>
      </c>
      <c r="J192" s="4" t="n">
        <v>211</v>
      </c>
      <c r="K192" t="inlineStr">
        <is>
          <t>132 / 79</t>
        </is>
      </c>
      <c r="L192" t="inlineStr">
        <is>
          <t>35 / 16</t>
        </is>
      </c>
      <c r="M192" s="5" t="n">
        <v>0.63</v>
      </c>
      <c r="N192" s="5" t="n">
        <v>0.6899999999999999</v>
      </c>
    </row>
    <row r="193">
      <c r="A193" t="n">
        <v>192</v>
      </c>
      <c r="B193" t="n">
        <v>2014</v>
      </c>
      <c r="C193" t="inlineStr">
        <is>
          <t>Sophia Pavlovska</t>
        </is>
      </c>
      <c r="D193">
        <f>HYPERLINK("https://ota.tournamentsoftware.com/player-profile/5C58F1EE-F291-431D-AC00-FB9096274E0A", "Link")</f>
        <v/>
      </c>
      <c r="E193" s="3" t="n">
        <v>413.785</v>
      </c>
      <c r="F193" s="4" t="n">
        <v>14</v>
      </c>
      <c r="G193" t="inlineStr">
        <is>
          <t>Tennis New Brunswick</t>
        </is>
      </c>
      <c r="H193" t="inlineStr">
        <is>
          <t>Dieppe</t>
        </is>
      </c>
      <c r="I193" t="n">
        <v>34.7</v>
      </c>
      <c r="J193" s="4" t="n">
        <v>166</v>
      </c>
      <c r="K193" t="inlineStr">
        <is>
          <t>56 / 110</t>
        </is>
      </c>
      <c r="L193" t="inlineStr">
        <is>
          <t>13 / 15</t>
        </is>
      </c>
      <c r="M193" s="5" t="n">
        <v>0.34</v>
      </c>
      <c r="N193" s="5" t="n">
        <v>0.46</v>
      </c>
    </row>
    <row r="194">
      <c r="A194" t="n">
        <v>193</v>
      </c>
      <c r="B194" t="n">
        <v>2013</v>
      </c>
      <c r="C194" t="inlineStr">
        <is>
          <t>Arya Kaur Dhillon</t>
        </is>
      </c>
      <c r="D194">
        <f>HYPERLINK("https://ota.tournamentsoftware.com/player-profile/3DBC0BDE-C3D6-40A5-992E-F7274098EF5D", "Link")</f>
        <v/>
      </c>
      <c r="E194" s="3" t="n">
        <v>405.446</v>
      </c>
      <c r="F194" s="4" t="n">
        <v>18</v>
      </c>
      <c r="G194" t="inlineStr">
        <is>
          <t>Tennis Alberta</t>
        </is>
      </c>
      <c r="H194" t="inlineStr">
        <is>
          <t>Saville Community Sports Centre</t>
        </is>
      </c>
      <c r="I194" t="n">
        <v>29.6</v>
      </c>
      <c r="J194" s="4" t="n">
        <v>173</v>
      </c>
      <c r="K194" t="inlineStr">
        <is>
          <t>85 / 88</t>
        </is>
      </c>
      <c r="L194" t="inlineStr">
        <is>
          <t>23 / 20</t>
        </is>
      </c>
      <c r="M194" s="5" t="n">
        <v>0.49</v>
      </c>
      <c r="N194" s="5" t="n">
        <v>0.53</v>
      </c>
    </row>
    <row r="195">
      <c r="A195" t="n">
        <v>194</v>
      </c>
      <c r="B195" t="n">
        <v>2014</v>
      </c>
      <c r="C195" t="inlineStr">
        <is>
          <t>Eva Larose</t>
        </is>
      </c>
      <c r="D195">
        <f>HYPERLINK("https://ota.tournamentsoftware.com/player-profile/BC2D4F14-515B-4F2A-AD3B-8DA03F3E5E5B", "Link")</f>
        <v/>
      </c>
      <c r="E195" s="3" t="n">
        <v>400.296</v>
      </c>
      <c r="F195" s="4" t="n">
        <v>21</v>
      </c>
      <c r="G195" t="inlineStr">
        <is>
          <t>Tennis Québec</t>
        </is>
      </c>
      <c r="H195" t="inlineStr">
        <is>
          <t>Tennis Ile- des- Soeurs</t>
        </is>
      </c>
      <c r="I195" t="inlineStr">
        <is>
          <t>unavailable</t>
        </is>
      </c>
      <c r="J195" s="4" t="n">
        <v>158</v>
      </c>
      <c r="K195" t="inlineStr">
        <is>
          <t>92 / 66</t>
        </is>
      </c>
      <c r="L195" t="inlineStr">
        <is>
          <t>40 / 18</t>
        </is>
      </c>
      <c r="M195" s="5" t="n">
        <v>0.58</v>
      </c>
      <c r="N195" s="5" t="n">
        <v>0.6899999999999999</v>
      </c>
    </row>
    <row r="196">
      <c r="A196" t="n">
        <v>195</v>
      </c>
      <c r="B196" t="n">
        <v>2015</v>
      </c>
      <c r="C196" t="inlineStr">
        <is>
          <t>Mila Caporusso</t>
        </is>
      </c>
      <c r="D196">
        <f>HYPERLINK("https://ota.tournamentsoftware.com/player-profile/71A1C940-3E73-49DA-929B-3B90328FC4BC", "Link")</f>
        <v/>
      </c>
      <c r="E196" s="3" t="n">
        <v>392.138</v>
      </c>
      <c r="F196" s="4" t="n">
        <v>8</v>
      </c>
      <c r="G196" t="inlineStr">
        <is>
          <t>Tennis Québec</t>
        </is>
      </c>
      <c r="H196" t="inlineStr">
        <is>
          <t>Tennis 13 / Académie Ménard et associé</t>
        </is>
      </c>
      <c r="I196" t="n">
        <v>30.6</v>
      </c>
      <c r="J196" s="4" t="n">
        <v>109</v>
      </c>
      <c r="K196" t="inlineStr">
        <is>
          <t>71 / 38</t>
        </is>
      </c>
      <c r="L196" t="inlineStr">
        <is>
          <t>10 / 10</t>
        </is>
      </c>
      <c r="M196" s="5" t="n">
        <v>0.65</v>
      </c>
      <c r="N196" s="5" t="n">
        <v>0.5</v>
      </c>
    </row>
    <row r="197">
      <c r="A197" t="n">
        <v>196</v>
      </c>
      <c r="B197" t="n">
        <v>2013</v>
      </c>
      <c r="C197" t="inlineStr">
        <is>
          <t>Rihanna Kulyk</t>
        </is>
      </c>
      <c r="D197">
        <f>HYPERLINK("https://ota.tournamentsoftware.com/player-profile/6E1703BA-DB25-4B47-9BB7-314BDDCFDBAC", "Link")</f>
        <v/>
      </c>
      <c r="E197" s="3" t="n">
        <v>389.844</v>
      </c>
      <c r="F197" s="4" t="n">
        <v>22</v>
      </c>
      <c r="G197" t="inlineStr">
        <is>
          <t>Tennis Québec</t>
        </is>
      </c>
      <c r="H197" t="inlineStr">
        <is>
          <t>Tennis Ile- des- Soeurs</t>
        </is>
      </c>
      <c r="I197" t="inlineStr">
        <is>
          <t>unavailable</t>
        </is>
      </c>
      <c r="J197" s="4" t="n">
        <v>238</v>
      </c>
      <c r="K197" t="inlineStr">
        <is>
          <t>105 / 133</t>
        </is>
      </c>
      <c r="L197" t="inlineStr">
        <is>
          <t>12 / 19</t>
        </is>
      </c>
      <c r="M197" s="5" t="n">
        <v>0.44</v>
      </c>
      <c r="N197" s="5" t="n">
        <v>0.39</v>
      </c>
    </row>
    <row r="198">
      <c r="A198" t="n">
        <v>197</v>
      </c>
      <c r="B198" t="n">
        <v>2013</v>
      </c>
      <c r="C198" t="inlineStr">
        <is>
          <t>Coralie D'Amours</t>
        </is>
      </c>
      <c r="D198">
        <f>HYPERLINK("https://ota.tournamentsoftware.com/player-profile/35A6230C-9F9D-4861-B1DB-6367FB38A039", "Link")</f>
        <v/>
      </c>
      <c r="E198" s="3" t="n">
        <v>389.814</v>
      </c>
      <c r="F198" s="4" t="n">
        <v>14</v>
      </c>
      <c r="G198" t="inlineStr">
        <is>
          <t>Ontario Tennis Association</t>
        </is>
      </c>
      <c r="H198" t="inlineStr">
        <is>
          <t>Rideau Sports Centre</t>
        </is>
      </c>
      <c r="I198" t="n">
        <v>34.1</v>
      </c>
      <c r="J198" s="4" t="n">
        <v>50</v>
      </c>
      <c r="K198" t="inlineStr">
        <is>
          <t>17 / 33</t>
        </is>
      </c>
      <c r="L198" t="inlineStr">
        <is>
          <t>9 / 11</t>
        </is>
      </c>
      <c r="M198" s="5" t="n">
        <v>0.34</v>
      </c>
      <c r="N198" s="5" t="n">
        <v>0.45</v>
      </c>
    </row>
    <row r="199">
      <c r="A199" t="n">
        <v>198</v>
      </c>
      <c r="B199" t="n">
        <v>2014</v>
      </c>
      <c r="C199" t="inlineStr">
        <is>
          <t>Maeva Cantin</t>
        </is>
      </c>
      <c r="D199">
        <f>HYPERLINK("https://ota.tournamentsoftware.com/player-profile/B46D6374-4A68-4FB0-8516-4056AFA1047A", "Link")</f>
        <v/>
      </c>
      <c r="E199" s="3" t="n">
        <v>389.285</v>
      </c>
      <c r="F199" s="4" t="n">
        <v>17</v>
      </c>
      <c r="G199" t="inlineStr">
        <is>
          <t>Tennis Québec</t>
        </is>
      </c>
      <c r="H199" t="inlineStr">
        <is>
          <t>Centre récréatif de Repentigny / Académie Tennis Momentum</t>
        </is>
      </c>
      <c r="I199" t="n">
        <v>30.9</v>
      </c>
      <c r="J199" s="4" t="n">
        <v>149</v>
      </c>
      <c r="K199" t="inlineStr">
        <is>
          <t>79 / 70</t>
        </is>
      </c>
      <c r="L199" t="inlineStr">
        <is>
          <t>26 / 17</t>
        </is>
      </c>
      <c r="M199" s="5" t="n">
        <v>0.53</v>
      </c>
      <c r="N199" s="5" t="n">
        <v>0.6</v>
      </c>
    </row>
    <row r="200">
      <c r="A200" t="n">
        <v>199</v>
      </c>
      <c r="B200" t="n">
        <v>2012</v>
      </c>
      <c r="C200" t="inlineStr">
        <is>
          <t>Victoria Perez Vargas</t>
        </is>
      </c>
      <c r="D200">
        <f>HYPERLINK("https://ota.tournamentsoftware.com/player-profile/6649B15F-628D-4ED7-81D6-AEB9036DF19A", "Link")</f>
        <v/>
      </c>
      <c r="E200" s="3" t="n">
        <v>389.181</v>
      </c>
      <c r="F200" s="4" t="n">
        <v>21</v>
      </c>
      <c r="G200" t="inlineStr">
        <is>
          <t>Tennis Québec</t>
        </is>
      </c>
      <c r="H200" t="inlineStr">
        <is>
          <t>Centre récréatif de Repentigny / Académie Tennis Momentum</t>
        </is>
      </c>
      <c r="I200" t="n">
        <v>32.3</v>
      </c>
      <c r="J200" s="4" t="n">
        <v>97</v>
      </c>
      <c r="K200" t="inlineStr">
        <is>
          <t>47 / 50</t>
        </is>
      </c>
      <c r="L200" t="inlineStr">
        <is>
          <t>22 / 13</t>
        </is>
      </c>
      <c r="M200" s="5" t="n">
        <v>0.48</v>
      </c>
      <c r="N200" s="5" t="n">
        <v>0.63</v>
      </c>
    </row>
    <row r="201">
      <c r="A201" t="n">
        <v>200</v>
      </c>
      <c r="B201" t="n">
        <v>2013</v>
      </c>
      <c r="C201" t="inlineStr">
        <is>
          <t>Audrey Yiyi Xu</t>
        </is>
      </c>
      <c r="D201">
        <f>HYPERLINK("https://ota.tournamentsoftware.com/player-profile/25D8C643-E3DC-418B-948B-22520C94F8E3", "Link")</f>
        <v/>
      </c>
      <c r="E201" s="3" t="n">
        <v>387.8</v>
      </c>
      <c r="F201" s="4" t="n">
        <v>22</v>
      </c>
      <c r="G201" t="inlineStr">
        <is>
          <t>Ontario Tennis Association</t>
        </is>
      </c>
      <c r="H201" t="inlineStr">
        <is>
          <t>Joshua Creek Golf &amp; Tennis</t>
        </is>
      </c>
      <c r="I201" t="n">
        <v>32.5</v>
      </c>
      <c r="J201" s="4" t="n">
        <v>136</v>
      </c>
      <c r="K201" t="inlineStr">
        <is>
          <t>58 / 78</t>
        </is>
      </c>
      <c r="L201" t="inlineStr">
        <is>
          <t>19 / 14</t>
        </is>
      </c>
      <c r="M201" s="5" t="n">
        <v>0.43</v>
      </c>
      <c r="N201" s="5" t="n">
        <v>0.58</v>
      </c>
    </row>
    <row r="202">
      <c r="A202" t="n">
        <v>201</v>
      </c>
      <c r="B202" t="n">
        <v>2012</v>
      </c>
      <c r="C202" t="inlineStr">
        <is>
          <t>Aliya Star Michel</t>
        </is>
      </c>
      <c r="D202">
        <f>HYPERLINK("https://ota.tournamentsoftware.com/player-profile/B34E6AA6-2962-4DB5-93DB-BCA4DBF97316", "Link")</f>
        <v/>
      </c>
      <c r="E202" s="3" t="n">
        <v>386.865</v>
      </c>
      <c r="F202" s="4" t="n">
        <v>7</v>
      </c>
      <c r="G202" t="inlineStr">
        <is>
          <t>Tennis Québec</t>
        </is>
      </c>
      <c r="H202" t="inlineStr">
        <is>
          <t>Carrefour Multisports</t>
        </is>
      </c>
      <c r="I202" t="n">
        <v>29.9</v>
      </c>
      <c r="J202" s="4" t="n">
        <v>184</v>
      </c>
      <c r="K202" t="inlineStr">
        <is>
          <t>96 / 88</t>
        </is>
      </c>
      <c r="L202" t="inlineStr">
        <is>
          <t>2 / 2</t>
        </is>
      </c>
      <c r="M202" s="5" t="n">
        <v>0.52</v>
      </c>
      <c r="N202" s="5" t="n">
        <v>0.5</v>
      </c>
    </row>
    <row r="203">
      <c r="A203" t="n">
        <v>202</v>
      </c>
      <c r="B203" t="n">
        <v>2012</v>
      </c>
      <c r="C203" t="inlineStr">
        <is>
          <t>Milena Mavrin</t>
        </is>
      </c>
      <c r="D203">
        <f>HYPERLINK("https://ota.tournamentsoftware.com/player-profile/E6DED1E8-57C3-4627-8D59-94A636610A6B", "Link")</f>
        <v/>
      </c>
      <c r="E203" s="3" t="n">
        <v>386.04</v>
      </c>
      <c r="F203" s="4" t="n">
        <v>25</v>
      </c>
      <c r="G203" t="inlineStr">
        <is>
          <t>Ontario Tennis Association</t>
        </is>
      </c>
      <c r="H203" t="inlineStr">
        <is>
          <t>Blackmore Tennis Club</t>
        </is>
      </c>
      <c r="I203" t="n">
        <v>31.5</v>
      </c>
      <c r="J203" s="4" t="n">
        <v>71</v>
      </c>
      <c r="K203" t="inlineStr">
        <is>
          <t>32 / 39</t>
        </is>
      </c>
      <c r="L203" t="inlineStr">
        <is>
          <t>24 / 19</t>
        </is>
      </c>
      <c r="M203" s="5" t="n">
        <v>0.45</v>
      </c>
      <c r="N203" s="5" t="n">
        <v>0.5600000000000001</v>
      </c>
    </row>
    <row r="204">
      <c r="A204" t="n">
        <v>203</v>
      </c>
      <c r="B204" t="n">
        <v>2013</v>
      </c>
      <c r="C204" t="inlineStr">
        <is>
          <t>Rosemarie Gagnon</t>
        </is>
      </c>
      <c r="D204">
        <f>HYPERLINK("https://ota.tournamentsoftware.com/player-profile/55A370D6-4FAD-414D-9E3D-2889C644855A", "Link")</f>
        <v/>
      </c>
      <c r="E204" s="3" t="n">
        <v>382.781</v>
      </c>
      <c r="F204" s="4" t="n">
        <v>19</v>
      </c>
      <c r="G204" t="inlineStr">
        <is>
          <t>Tennis Québec</t>
        </is>
      </c>
      <c r="H204" t="inlineStr">
        <is>
          <t>Club de tennis intérieur Saguenay / École de tennis Delisle-Poirel</t>
        </is>
      </c>
      <c r="I204" t="n">
        <v>33.3</v>
      </c>
      <c r="J204" s="4" t="n">
        <v>107</v>
      </c>
      <c r="K204" t="inlineStr">
        <is>
          <t>46 / 61</t>
        </is>
      </c>
      <c r="L204" t="inlineStr">
        <is>
          <t>8 / 16</t>
        </is>
      </c>
      <c r="M204" s="5" t="n">
        <v>0.43</v>
      </c>
      <c r="N204" s="5" t="n">
        <v>0.33</v>
      </c>
    </row>
    <row r="205">
      <c r="A205" t="n">
        <v>204</v>
      </c>
      <c r="B205" t="n">
        <v>2014</v>
      </c>
      <c r="C205" t="inlineStr">
        <is>
          <t>Olivia Zhang</t>
        </is>
      </c>
      <c r="D205">
        <f>HYPERLINK("https://ota.tournamentsoftware.com/player-profile/8A1E61A8-3535-4F88-8C90-68A511D75AC2", "Link")</f>
        <v/>
      </c>
      <c r="E205" s="3" t="n">
        <v>371.704</v>
      </c>
      <c r="F205" s="4" t="n">
        <v>16</v>
      </c>
      <c r="G205" t="inlineStr">
        <is>
          <t>Ontario Tennis Association</t>
        </is>
      </c>
      <c r="H205" t="inlineStr">
        <is>
          <t>Richmondhill Golf &amp; Country Club</t>
        </is>
      </c>
      <c r="I205" t="n">
        <v>30.2</v>
      </c>
      <c r="J205" s="4" t="n">
        <v>95</v>
      </c>
      <c r="K205" t="inlineStr">
        <is>
          <t>58 / 37</t>
        </is>
      </c>
      <c r="L205" t="inlineStr">
        <is>
          <t>27 / 14</t>
        </is>
      </c>
      <c r="M205" s="5" t="n">
        <v>0.61</v>
      </c>
      <c r="N205" s="5" t="n">
        <v>0.66</v>
      </c>
    </row>
    <row r="206">
      <c r="A206" t="n">
        <v>205</v>
      </c>
      <c r="B206" t="n">
        <v>2013</v>
      </c>
      <c r="C206" t="inlineStr">
        <is>
          <t>Noelle Coyne</t>
        </is>
      </c>
      <c r="D206">
        <f>HYPERLINK("https://ota.tournamentsoftware.com/player-profile/F9F10EB5-F22D-4997-85F1-78377170C70A", "Link")</f>
        <v/>
      </c>
      <c r="E206" s="3" t="n">
        <v>367.853</v>
      </c>
      <c r="F206" s="4" t="n">
        <v>26</v>
      </c>
      <c r="G206" t="inlineStr">
        <is>
          <t>Tennis Alberta</t>
        </is>
      </c>
      <c r="H206" t="inlineStr">
        <is>
          <t>Osten &amp; Victor Alberta Tennis Centre</t>
        </is>
      </c>
      <c r="I206" t="n">
        <v>32.6</v>
      </c>
      <c r="J206" s="4" t="n">
        <v>118</v>
      </c>
      <c r="K206" t="inlineStr">
        <is>
          <t>47 / 71</t>
        </is>
      </c>
      <c r="L206" t="inlineStr">
        <is>
          <t>19 / 32</t>
        </is>
      </c>
      <c r="M206" s="5" t="n">
        <v>0.4</v>
      </c>
      <c r="N206" s="5" t="n">
        <v>0.37</v>
      </c>
    </row>
    <row r="207">
      <c r="A207" t="n">
        <v>206</v>
      </c>
      <c r="B207" t="n">
        <v>2013</v>
      </c>
      <c r="C207" t="inlineStr">
        <is>
          <t>Mary Grace MacDonnell Doak</t>
        </is>
      </c>
      <c r="D207">
        <f>HYPERLINK("https://ota.tournamentsoftware.com/player-profile/7E3C3388-CB92-4FE9-B0C8-FE6415D966E4", "Link")</f>
        <v/>
      </c>
      <c r="E207" s="3" t="n">
        <v>366.079</v>
      </c>
      <c r="F207" s="4" t="n">
        <v>19</v>
      </c>
      <c r="G207" t="inlineStr">
        <is>
          <t>Ontario Tennis Association</t>
        </is>
      </c>
      <c r="H207" t="inlineStr">
        <is>
          <t>St. James Tennis Club</t>
        </is>
      </c>
      <c r="I207" t="n">
        <v>36.2</v>
      </c>
      <c r="J207" s="4" t="n">
        <v>143</v>
      </c>
      <c r="K207" t="inlineStr">
        <is>
          <t>69 / 74</t>
        </is>
      </c>
      <c r="L207" t="inlineStr">
        <is>
          <t>5 / 12</t>
        </is>
      </c>
      <c r="M207" s="5" t="n">
        <v>0.48</v>
      </c>
      <c r="N207" s="5" t="n">
        <v>0.29</v>
      </c>
    </row>
    <row r="208">
      <c r="A208" t="n">
        <v>207</v>
      </c>
      <c r="B208" t="n">
        <v>2013</v>
      </c>
      <c r="C208" t="inlineStr">
        <is>
          <t>Mathilde Labeeuw</t>
        </is>
      </c>
      <c r="D208">
        <f>HYPERLINK("https://ota.tournamentsoftware.com/player-profile/ACCBCF37-0334-4ED1-B564-DFD6E35F3445", "Link")</f>
        <v/>
      </c>
      <c r="E208" s="3" t="n">
        <v>364.66</v>
      </c>
      <c r="F208" s="4" t="n">
        <v>20</v>
      </c>
      <c r="G208" t="inlineStr">
        <is>
          <t>Tennis Québec</t>
        </is>
      </c>
      <c r="H208" t="inlineStr">
        <is>
          <t>SANI Sport</t>
        </is>
      </c>
      <c r="I208" t="n">
        <v>31</v>
      </c>
      <c r="J208" s="4" t="n">
        <v>186</v>
      </c>
      <c r="K208" t="inlineStr">
        <is>
          <t>86 / 100</t>
        </is>
      </c>
      <c r="L208" t="inlineStr">
        <is>
          <t>8 / 14</t>
        </is>
      </c>
      <c r="M208" s="5" t="n">
        <v>0.46</v>
      </c>
      <c r="N208" s="5" t="n">
        <v>0.36</v>
      </c>
    </row>
    <row r="209">
      <c r="A209" t="n">
        <v>208</v>
      </c>
      <c r="B209" t="n">
        <v>2014</v>
      </c>
      <c r="C209" t="inlineStr">
        <is>
          <t>Qiuyue Li</t>
        </is>
      </c>
      <c r="D209">
        <f>HYPERLINK("https://ota.tournamentsoftware.com/player-profile/20DDEF60-3700-4387-8C53-C32DB7F857D4", "Link")</f>
        <v/>
      </c>
      <c r="E209" s="3" t="n">
        <v>360.8</v>
      </c>
      <c r="F209" s="4" t="n">
        <v>6</v>
      </c>
      <c r="G209" t="inlineStr">
        <is>
          <t>Ontario Tennis Association</t>
        </is>
      </c>
      <c r="H209" t="inlineStr">
        <is>
          <t>No Club</t>
        </is>
      </c>
      <c r="I209" t="n">
        <v>26.5</v>
      </c>
      <c r="J209" s="4" t="n">
        <v>21</v>
      </c>
      <c r="K209" t="inlineStr">
        <is>
          <t>20 / 1</t>
        </is>
      </c>
      <c r="L209" t="inlineStr">
        <is>
          <t>10 / 0</t>
        </is>
      </c>
      <c r="M209" s="5" t="n">
        <v>0.95</v>
      </c>
      <c r="N209" s="5" t="n">
        <v>1</v>
      </c>
    </row>
    <row r="210">
      <c r="A210" t="n">
        <v>209</v>
      </c>
      <c r="B210" t="n">
        <v>2014</v>
      </c>
      <c r="C210" t="inlineStr">
        <is>
          <t>Ema Zonjic</t>
        </is>
      </c>
      <c r="D210">
        <f>HYPERLINK("https://ota.tournamentsoftware.com/player-profile/42A43C76-E08F-4134-B876-2E9D05859D92", "Link")</f>
        <v/>
      </c>
      <c r="E210" s="3" t="n">
        <v>356.351</v>
      </c>
      <c r="F210" s="4" t="n">
        <v>25</v>
      </c>
      <c r="G210" t="inlineStr">
        <is>
          <t>Ontario Tennis Association</t>
        </is>
      </c>
      <c r="H210" t="inlineStr">
        <is>
          <t>Rideau Sports Centre</t>
        </is>
      </c>
      <c r="I210" t="n">
        <v>31.7</v>
      </c>
      <c r="J210" s="4" t="n">
        <v>177</v>
      </c>
      <c r="K210" t="inlineStr">
        <is>
          <t>99 / 78</t>
        </is>
      </c>
      <c r="L210" t="inlineStr">
        <is>
          <t>31 / 21</t>
        </is>
      </c>
      <c r="M210" s="5" t="n">
        <v>0.5600000000000001</v>
      </c>
      <c r="N210" s="5" t="n">
        <v>0.6</v>
      </c>
    </row>
    <row r="211">
      <c r="A211" t="n">
        <v>210</v>
      </c>
      <c r="B211" t="n">
        <v>2014</v>
      </c>
      <c r="C211" t="inlineStr">
        <is>
          <t>Hanna Julia Barta</t>
        </is>
      </c>
      <c r="D211">
        <f>HYPERLINK("https://ota.tournamentsoftware.com/player-profile/BAF4D69B-39E5-4A7E-BB04-5AF0EDC7734B", "Link")</f>
        <v/>
      </c>
      <c r="E211" s="3" t="n">
        <v>355.103</v>
      </c>
      <c r="F211" s="4" t="n">
        <v>28</v>
      </c>
      <c r="G211" t="inlineStr">
        <is>
          <t>Ontario Tennis Association</t>
        </is>
      </c>
      <c r="H211" t="inlineStr">
        <is>
          <t>Advantage Tennis International at Veneto</t>
        </is>
      </c>
      <c r="I211" t="n">
        <v>32.7</v>
      </c>
      <c r="J211" s="4" t="n">
        <v>202</v>
      </c>
      <c r="K211" t="inlineStr">
        <is>
          <t>99 / 103</t>
        </is>
      </c>
      <c r="L211" t="inlineStr">
        <is>
          <t>19 / 17</t>
        </is>
      </c>
      <c r="M211" s="5" t="n">
        <v>0.49</v>
      </c>
      <c r="N211" s="5" t="n">
        <v>0.53</v>
      </c>
    </row>
    <row r="212">
      <c r="A212" t="n">
        <v>211</v>
      </c>
      <c r="B212" t="n">
        <v>2012</v>
      </c>
      <c r="C212" t="inlineStr">
        <is>
          <t>Anne-Frédérique Jacob</t>
        </is>
      </c>
      <c r="D212">
        <f>HYPERLINK("https://ota.tournamentsoftware.com/player-profile/6FDF9E24-9EF2-40B8-AA29-4E8DB70822F9", "Link")</f>
        <v/>
      </c>
      <c r="E212" s="3" t="n">
        <v>339.237</v>
      </c>
      <c r="F212" s="4" t="n">
        <v>15</v>
      </c>
      <c r="G212" t="inlineStr">
        <is>
          <t>Tennis Québec</t>
        </is>
      </c>
      <c r="H212" t="inlineStr">
        <is>
          <t>SANI Sport</t>
        </is>
      </c>
      <c r="I212" t="n">
        <v>30.3</v>
      </c>
      <c r="J212" s="4" t="n">
        <v>147</v>
      </c>
      <c r="K212" t="inlineStr">
        <is>
          <t>73 / 74</t>
        </is>
      </c>
      <c r="L212" t="inlineStr">
        <is>
          <t>5 / 11</t>
        </is>
      </c>
      <c r="M212" s="5" t="n">
        <v>0.5</v>
      </c>
      <c r="N212" s="5" t="n">
        <v>0.31</v>
      </c>
    </row>
    <row r="213">
      <c r="A213" t="n">
        <v>212</v>
      </c>
      <c r="B213" t="n">
        <v>2014</v>
      </c>
      <c r="C213" t="inlineStr">
        <is>
          <t>Isabelle Prusinkiewicz</t>
        </is>
      </c>
      <c r="D213">
        <f>HYPERLINK("https://ota.tournamentsoftware.com/player-profile/15F8CE0F-EF62-4029-B13B-F131581B8B29", "Link")</f>
        <v/>
      </c>
      <c r="E213" s="3" t="n">
        <v>338.545</v>
      </c>
      <c r="F213" s="4" t="n">
        <v>23</v>
      </c>
      <c r="G213" t="inlineStr">
        <is>
          <t>Tennis Alberta</t>
        </is>
      </c>
      <c r="H213" t="inlineStr">
        <is>
          <t>Aforza</t>
        </is>
      </c>
      <c r="I213" t="n">
        <v>31.4</v>
      </c>
      <c r="J213" s="4" t="n">
        <v>173</v>
      </c>
      <c r="K213" t="inlineStr">
        <is>
          <t>99 / 74</t>
        </is>
      </c>
      <c r="L213" t="inlineStr">
        <is>
          <t>27 / 18</t>
        </is>
      </c>
      <c r="M213" s="5" t="n">
        <v>0.57</v>
      </c>
      <c r="N213" s="5" t="n">
        <v>0.6</v>
      </c>
    </row>
    <row r="214">
      <c r="A214" t="n">
        <v>213</v>
      </c>
      <c r="B214" t="n">
        <v>2016</v>
      </c>
      <c r="C214" t="inlineStr">
        <is>
          <t>Alisha Goel</t>
        </is>
      </c>
      <c r="D214">
        <f>HYPERLINK("https://ota.tournamentsoftware.com/player-profile/7F9E9DD0-77A1-4F40-B2B5-C4B89592B089", "Link")</f>
        <v/>
      </c>
      <c r="E214" s="3" t="n">
        <v>337.414</v>
      </c>
      <c r="F214" s="4" t="n">
        <v>20</v>
      </c>
      <c r="G214" t="inlineStr">
        <is>
          <t>Ontario Tennis Association</t>
        </is>
      </c>
      <c r="H214" t="inlineStr">
        <is>
          <t>The Supreme Court Tennis Club</t>
        </is>
      </c>
      <c r="I214" t="n">
        <v>32.8</v>
      </c>
      <c r="J214" s="4" t="n">
        <v>176</v>
      </c>
      <c r="K214" t="inlineStr">
        <is>
          <t>121 / 55</t>
        </is>
      </c>
      <c r="L214" t="inlineStr">
        <is>
          <t>34 / 17</t>
        </is>
      </c>
      <c r="M214" s="5" t="n">
        <v>0.6899999999999999</v>
      </c>
      <c r="N214" s="5" t="n">
        <v>0.67</v>
      </c>
    </row>
    <row r="215">
      <c r="A215" t="n">
        <v>214</v>
      </c>
      <c r="B215" t="n">
        <v>2013</v>
      </c>
      <c r="C215" t="inlineStr">
        <is>
          <t>Jessica Rosemary Hill</t>
        </is>
      </c>
      <c r="D215">
        <f>HYPERLINK("https://ota.tournamentsoftware.com/player-profile/9F68BF9A-4FFA-4754-8023-C9F4ABCF0003", "Link")</f>
        <v/>
      </c>
      <c r="E215" s="3" t="n">
        <v>336.999</v>
      </c>
      <c r="F215" s="4" t="n">
        <v>22</v>
      </c>
      <c r="G215" t="inlineStr">
        <is>
          <t>British Columbia</t>
        </is>
      </c>
      <c r="H215" t="inlineStr">
        <is>
          <t>No Club</t>
        </is>
      </c>
      <c r="I215" t="n">
        <v>30.2</v>
      </c>
      <c r="J215" s="4" t="n">
        <v>165</v>
      </c>
      <c r="K215" t="inlineStr">
        <is>
          <t>93 / 72</t>
        </is>
      </c>
      <c r="L215" t="inlineStr">
        <is>
          <t>23 / 17</t>
        </is>
      </c>
      <c r="M215" s="5" t="n">
        <v>0.5600000000000001</v>
      </c>
      <c r="N215" s="5" t="n">
        <v>0.57</v>
      </c>
    </row>
    <row r="216">
      <c r="A216" t="n">
        <v>215</v>
      </c>
      <c r="B216" t="n">
        <v>2014</v>
      </c>
      <c r="C216" t="inlineStr">
        <is>
          <t>Erin Yida Li</t>
        </is>
      </c>
      <c r="D216">
        <f>HYPERLINK("https://ota.tournamentsoftware.com/player-profile/48592A27-18BE-4C04-BE24-73F536B6D5D5", "Link")</f>
        <v/>
      </c>
      <c r="E216" s="3" t="n">
        <v>336.352</v>
      </c>
      <c r="F216" s="4" t="n">
        <v>18</v>
      </c>
      <c r="G216" t="inlineStr">
        <is>
          <t>Ontario Tennis Association</t>
        </is>
      </c>
      <c r="H216" t="inlineStr">
        <is>
          <t>Richmondhill Golf &amp; Country Club</t>
        </is>
      </c>
      <c r="I216" t="n">
        <v>32.7</v>
      </c>
      <c r="J216" s="4" t="n">
        <v>81</v>
      </c>
      <c r="K216" t="inlineStr">
        <is>
          <t>41 / 40</t>
        </is>
      </c>
      <c r="L216" t="inlineStr">
        <is>
          <t>18 / 15</t>
        </is>
      </c>
      <c r="M216" s="5" t="n">
        <v>0.51</v>
      </c>
      <c r="N216" s="5" t="n">
        <v>0.55</v>
      </c>
    </row>
    <row r="217">
      <c r="A217" t="n">
        <v>216</v>
      </c>
      <c r="B217" t="n">
        <v>2013</v>
      </c>
      <c r="C217" t="inlineStr">
        <is>
          <t>Élisabeth Circé</t>
        </is>
      </c>
      <c r="D217">
        <f>HYPERLINK("https://ota.tournamentsoftware.com/player-profile/6616439A-F3CD-4D57-876F-DCE4AC4B88C9", "Link")</f>
        <v/>
      </c>
      <c r="E217" s="3" t="n">
        <v>335.328</v>
      </c>
      <c r="F217" s="4" t="n">
        <v>30</v>
      </c>
      <c r="G217" t="inlineStr">
        <is>
          <t>Tennis Québec</t>
        </is>
      </c>
      <c r="H217" t="inlineStr">
        <is>
          <t>Tennis Interclub Piedmont</t>
        </is>
      </c>
      <c r="I217" t="inlineStr">
        <is>
          <t>unavailable</t>
        </is>
      </c>
      <c r="J217" s="4" t="n">
        <v>145</v>
      </c>
      <c r="K217" t="inlineStr">
        <is>
          <t>47 / 98</t>
        </is>
      </c>
      <c r="L217" t="inlineStr">
        <is>
          <t>13 / 22</t>
        </is>
      </c>
      <c r="M217" s="5" t="n">
        <v>0.32</v>
      </c>
      <c r="N217" s="5" t="n">
        <v>0.37</v>
      </c>
    </row>
    <row r="218">
      <c r="A218" t="n">
        <v>217</v>
      </c>
      <c r="B218" t="n">
        <v>2013</v>
      </c>
      <c r="C218" t="inlineStr">
        <is>
          <t>Kmar ELHOUIJ</t>
        </is>
      </c>
      <c r="D218">
        <f>HYPERLINK("https://ota.tournamentsoftware.com/player-profile/D690466C-B3D9-45B2-B453-BA40F436A5C1", "Link")</f>
        <v/>
      </c>
      <c r="E218" s="3" t="n">
        <v>335.176</v>
      </c>
      <c r="F218" s="4" t="n">
        <v>4</v>
      </c>
      <c r="G218" t="inlineStr">
        <is>
          <t>Tennis New Brunswick</t>
        </is>
      </c>
      <c r="H218" t="inlineStr">
        <is>
          <t>No Club</t>
        </is>
      </c>
      <c r="I218" t="n">
        <v>27.5</v>
      </c>
      <c r="J218" s="4" t="n">
        <v>39</v>
      </c>
      <c r="K218" t="inlineStr">
        <is>
          <t>30 / 9</t>
        </is>
      </c>
      <c r="L218" t="inlineStr">
        <is>
          <t>19 / 6</t>
        </is>
      </c>
      <c r="M218" s="5" t="n">
        <v>0.77</v>
      </c>
      <c r="N218" s="5" t="n">
        <v>0.76</v>
      </c>
    </row>
    <row r="219">
      <c r="A219" t="n">
        <v>218</v>
      </c>
      <c r="B219" t="n">
        <v>2014</v>
      </c>
      <c r="C219" t="inlineStr">
        <is>
          <t>Eva Paquette</t>
        </is>
      </c>
      <c r="D219">
        <f>HYPERLINK("https://ota.tournamentsoftware.com/player-profile/631BF8EC-5FD6-41F7-A4BC-1B4980693D40", "Link")</f>
        <v/>
      </c>
      <c r="E219" s="3" t="n">
        <v>335.088</v>
      </c>
      <c r="F219" s="4" t="n">
        <v>32</v>
      </c>
      <c r="G219" t="inlineStr">
        <is>
          <t>Tennis Québec</t>
        </is>
      </c>
      <c r="H219" t="inlineStr">
        <is>
          <t>Club Sportif Côte-de-Liesse</t>
        </is>
      </c>
      <c r="I219" t="n">
        <v>32.3</v>
      </c>
      <c r="J219" s="4" t="n">
        <v>200</v>
      </c>
      <c r="K219" t="inlineStr">
        <is>
          <t>103 / 97</t>
        </is>
      </c>
      <c r="L219" t="inlineStr">
        <is>
          <t>39 / 22</t>
        </is>
      </c>
      <c r="M219" s="5" t="n">
        <v>0.52</v>
      </c>
      <c r="N219" s="5" t="n">
        <v>0.64</v>
      </c>
    </row>
    <row r="220">
      <c r="A220" t="n">
        <v>219</v>
      </c>
      <c r="B220" t="n">
        <v>2013</v>
      </c>
      <c r="C220" t="inlineStr">
        <is>
          <t>Aicha Ben Ali</t>
        </is>
      </c>
      <c r="D220">
        <f>HYPERLINK("https://ota.tournamentsoftware.com/player-profile/87F8F2BE-10FE-41D7-8382-85524C1D5D23", "Link")</f>
        <v/>
      </c>
      <c r="E220" s="3" t="n">
        <v>330.988</v>
      </c>
      <c r="F220" s="4" t="n">
        <v>9</v>
      </c>
      <c r="G220" t="inlineStr">
        <is>
          <t>Tennis Saskatchewan</t>
        </is>
      </c>
      <c r="H220" t="inlineStr">
        <is>
          <t>Lakeshore Tennis Club</t>
        </is>
      </c>
      <c r="I220" t="inlineStr">
        <is>
          <t>unavailable</t>
        </is>
      </c>
      <c r="J220" s="4" t="n">
        <v>31</v>
      </c>
      <c r="K220" t="inlineStr">
        <is>
          <t>4 / 27</t>
        </is>
      </c>
      <c r="L220" t="inlineStr">
        <is>
          <t>4 / 23</t>
        </is>
      </c>
      <c r="M220" s="5" t="n">
        <v>0.13</v>
      </c>
      <c r="N220" s="5" t="n">
        <v>0.15</v>
      </c>
    </row>
    <row r="221">
      <c r="A221" t="n">
        <v>220</v>
      </c>
      <c r="B221" t="n">
        <v>2012</v>
      </c>
      <c r="C221" t="inlineStr">
        <is>
          <t>Alexandra Bayentin</t>
        </is>
      </c>
      <c r="D221">
        <f>HYPERLINK("https://ota.tournamentsoftware.com/player-profile/EFF894D9-35F7-45C9-9C57-06584708D213", "Link")</f>
        <v/>
      </c>
      <c r="E221" s="3" t="n">
        <v>327.269</v>
      </c>
      <c r="F221" s="4" t="n">
        <v>13</v>
      </c>
      <c r="G221" t="inlineStr">
        <is>
          <t>Tennis Alberta</t>
        </is>
      </c>
      <c r="H221" t="inlineStr">
        <is>
          <t>Osten &amp; Victor Alberta Tennis Centre</t>
        </is>
      </c>
      <c r="I221" t="n">
        <v>29.2</v>
      </c>
      <c r="J221" s="4" t="n">
        <v>167</v>
      </c>
      <c r="K221" t="inlineStr">
        <is>
          <t>81 / 86</t>
        </is>
      </c>
      <c r="L221" t="inlineStr">
        <is>
          <t>11 / 12</t>
        </is>
      </c>
      <c r="M221" s="5" t="n">
        <v>0.49</v>
      </c>
      <c r="N221" s="5" t="n">
        <v>0.48</v>
      </c>
    </row>
    <row r="222">
      <c r="A222" t="n">
        <v>221</v>
      </c>
      <c r="B222" t="n">
        <v>2012</v>
      </c>
      <c r="C222" t="inlineStr">
        <is>
          <t>Ariyana Usharah Mahanandan</t>
        </is>
      </c>
      <c r="D222">
        <f>HYPERLINK("https://ota.tournamentsoftware.com/player-profile/FE0B9224-EA2B-4B60-AB52-7A0A2ACA90DA", "Link")</f>
        <v/>
      </c>
      <c r="E222" s="3" t="n">
        <v>327.166</v>
      </c>
      <c r="F222" s="4" t="n">
        <v>21</v>
      </c>
      <c r="G222" t="inlineStr">
        <is>
          <t>Ontario Tennis Association</t>
        </is>
      </c>
      <c r="H222" t="inlineStr">
        <is>
          <t>Premier Racquet Clubs – Mississauga</t>
        </is>
      </c>
      <c r="I222" t="inlineStr">
        <is>
          <t>unavailable</t>
        </is>
      </c>
      <c r="J222" s="4" t="n">
        <v>132</v>
      </c>
      <c r="K222" t="inlineStr">
        <is>
          <t>56 / 76</t>
        </is>
      </c>
      <c r="L222" t="inlineStr">
        <is>
          <t>10 / 18</t>
        </is>
      </c>
      <c r="M222" s="5" t="n">
        <v>0.42</v>
      </c>
      <c r="N222" s="5" t="n">
        <v>0.36</v>
      </c>
    </row>
    <row r="223">
      <c r="A223" t="n">
        <v>222</v>
      </c>
      <c r="B223" t="n">
        <v>2013</v>
      </c>
      <c r="C223" t="inlineStr">
        <is>
          <t>Livia Seguin</t>
        </is>
      </c>
      <c r="D223">
        <f>HYPERLINK("https://ota.tournamentsoftware.com/player-profile/2B987274-8A56-4EE6-B85D-948871231CC0", "Link")</f>
        <v/>
      </c>
      <c r="E223" s="3" t="n">
        <v>322.76</v>
      </c>
      <c r="F223" s="4" t="n">
        <v>32</v>
      </c>
      <c r="G223" t="inlineStr">
        <is>
          <t>Tennis Québec</t>
        </is>
      </c>
      <c r="H223" t="inlineStr">
        <is>
          <t>Tennis Interclub Piedmont</t>
        </is>
      </c>
      <c r="I223" t="n">
        <v>33.1</v>
      </c>
      <c r="J223" s="4" t="n">
        <v>126</v>
      </c>
      <c r="K223" t="inlineStr">
        <is>
          <t>38 / 88</t>
        </is>
      </c>
      <c r="L223" t="inlineStr">
        <is>
          <t>14 / 27</t>
        </is>
      </c>
      <c r="M223" s="5" t="n">
        <v>0.3</v>
      </c>
      <c r="N223" s="5" t="n">
        <v>0.34</v>
      </c>
    </row>
    <row r="224">
      <c r="A224" t="n">
        <v>223</v>
      </c>
      <c r="B224" t="n">
        <v>2015</v>
      </c>
      <c r="C224" t="inlineStr">
        <is>
          <t>Josephine Yitong Wu</t>
        </is>
      </c>
      <c r="D224">
        <f>HYPERLINK("https://ota.tournamentsoftware.com/player-profile/1DF0BC06-9057-4469-9CEF-A9B5D864D9C9", "Link")</f>
        <v/>
      </c>
      <c r="E224" s="3" t="n">
        <v>321.68</v>
      </c>
      <c r="F224" s="4" t="n">
        <v>21</v>
      </c>
      <c r="G224" t="inlineStr">
        <is>
          <t>British Columbia</t>
        </is>
      </c>
      <c r="H224" t="inlineStr">
        <is>
          <t>North Vancouver Tennis Centre</t>
        </is>
      </c>
      <c r="I224" t="n">
        <v>29.5</v>
      </c>
      <c r="J224" s="4" t="n">
        <v>167</v>
      </c>
      <c r="K224" t="inlineStr">
        <is>
          <t>99 / 68</t>
        </is>
      </c>
      <c r="L224" t="inlineStr">
        <is>
          <t>22 / 12</t>
        </is>
      </c>
      <c r="M224" s="5" t="n">
        <v>0.59</v>
      </c>
      <c r="N224" s="5" t="n">
        <v>0.65</v>
      </c>
    </row>
    <row r="225">
      <c r="A225" t="n">
        <v>224</v>
      </c>
      <c r="B225" t="n">
        <v>2012</v>
      </c>
      <c r="C225" t="inlineStr">
        <is>
          <t>Abby Jean Tobac</t>
        </is>
      </c>
      <c r="D225">
        <f>HYPERLINK("https://ota.tournamentsoftware.com/player-profile/CDFDF0FB-A147-4D3C-BF4D-24E115B9EC1A", "Link")</f>
        <v/>
      </c>
      <c r="E225" s="3" t="n">
        <v>318.528</v>
      </c>
      <c r="F225" s="4" t="n">
        <v>6</v>
      </c>
      <c r="G225" t="inlineStr">
        <is>
          <t>Tennis Manitoba</t>
        </is>
      </c>
      <c r="H225" t="inlineStr">
        <is>
          <t>Taylor Tennis</t>
        </is>
      </c>
      <c r="I225" t="n">
        <v>35.1</v>
      </c>
      <c r="J225" s="4" t="n">
        <v>49</v>
      </c>
      <c r="K225" t="inlineStr">
        <is>
          <t>14 / 35</t>
        </is>
      </c>
      <c r="L225" t="inlineStr">
        <is>
          <t>2 / 9</t>
        </is>
      </c>
      <c r="M225" s="5" t="n">
        <v>0.29</v>
      </c>
      <c r="N225" s="5" t="n">
        <v>0.18</v>
      </c>
    </row>
    <row r="226">
      <c r="A226" t="n">
        <v>225</v>
      </c>
      <c r="B226" t="n">
        <v>2013</v>
      </c>
      <c r="C226" t="inlineStr">
        <is>
          <t>Alina Luo</t>
        </is>
      </c>
      <c r="D226">
        <f>HYPERLINK("https://ota.tournamentsoftware.com/player-profile/848C25E0-4CBB-4051-8AB5-C8460313D4A3", "Link")</f>
        <v/>
      </c>
      <c r="E226" s="3" t="n">
        <v>317.425</v>
      </c>
      <c r="F226" s="4" t="n">
        <v>22</v>
      </c>
      <c r="G226" t="inlineStr">
        <is>
          <t>Tennis Québec</t>
        </is>
      </c>
      <c r="H226" t="inlineStr">
        <is>
          <t>SANI Sport</t>
        </is>
      </c>
      <c r="I226" t="n">
        <v>32.4</v>
      </c>
      <c r="J226" s="4" t="n">
        <v>217</v>
      </c>
      <c r="K226" t="inlineStr">
        <is>
          <t>103 / 114</t>
        </is>
      </c>
      <c r="L226" t="inlineStr">
        <is>
          <t>3 / 17</t>
        </is>
      </c>
      <c r="M226" s="5" t="n">
        <v>0.47</v>
      </c>
      <c r="N226" s="5" t="n">
        <v>0.15</v>
      </c>
    </row>
    <row r="227">
      <c r="A227" t="n">
        <v>226</v>
      </c>
      <c r="B227" t="n">
        <v>2015</v>
      </c>
      <c r="C227" t="inlineStr">
        <is>
          <t>Clara Fanoos</t>
        </is>
      </c>
      <c r="D227">
        <f>HYPERLINK("https://ota.tournamentsoftware.com/player-profile/4AE431B3-C9E6-49D8-8003-48666B13F94B", "Link")</f>
        <v/>
      </c>
      <c r="E227" s="3" t="n">
        <v>316.509</v>
      </c>
      <c r="F227" s="4" t="n">
        <v>21</v>
      </c>
      <c r="G227" t="inlineStr">
        <is>
          <t>Tennis Québec</t>
        </is>
      </c>
      <c r="H227" t="inlineStr">
        <is>
          <t>Complexe de tennis de St-Augustin</t>
        </is>
      </c>
      <c r="I227" t="n">
        <v>31.5</v>
      </c>
      <c r="J227" s="4" t="n">
        <v>192</v>
      </c>
      <c r="K227" t="inlineStr">
        <is>
          <t>117 / 75</t>
        </is>
      </c>
      <c r="L227" t="inlineStr">
        <is>
          <t>29 / 19</t>
        </is>
      </c>
      <c r="M227" s="5" t="n">
        <v>0.61</v>
      </c>
      <c r="N227" s="5" t="n">
        <v>0.6</v>
      </c>
    </row>
    <row r="228">
      <c r="A228" t="n">
        <v>227</v>
      </c>
      <c r="B228" t="n">
        <v>2012</v>
      </c>
      <c r="C228" t="inlineStr">
        <is>
          <t>Camie Wang</t>
        </is>
      </c>
      <c r="D228">
        <f>HYPERLINK("https://ota.tournamentsoftware.com/player-profile/5CE5CCC5-E821-48EF-86C9-6973D97D1F92", "Link")</f>
        <v/>
      </c>
      <c r="E228" s="3" t="n">
        <v>311.911</v>
      </c>
      <c r="F228" s="4" t="n">
        <v>17</v>
      </c>
      <c r="G228" t="inlineStr">
        <is>
          <t>Tennis Alberta</t>
        </is>
      </c>
      <c r="H228" t="inlineStr">
        <is>
          <t>Osten &amp; Victor Alberta Tennis Centre</t>
        </is>
      </c>
      <c r="I228" t="n">
        <v>28</v>
      </c>
      <c r="J228" s="4" t="n">
        <v>115</v>
      </c>
      <c r="K228" t="inlineStr">
        <is>
          <t>61 / 54</t>
        </is>
      </c>
      <c r="L228" t="inlineStr">
        <is>
          <t>20 / 19</t>
        </is>
      </c>
      <c r="M228" s="5" t="n">
        <v>0.53</v>
      </c>
      <c r="N228" s="5" t="n">
        <v>0.51</v>
      </c>
    </row>
    <row r="229">
      <c r="A229" t="n">
        <v>228</v>
      </c>
      <c r="B229" t="n">
        <v>2012</v>
      </c>
      <c r="C229" t="inlineStr">
        <is>
          <t>Sneha Sahiba Bhatti</t>
        </is>
      </c>
      <c r="D229">
        <f>HYPERLINK("https://ota.tournamentsoftware.com/player-profile/16EA0E7B-0025-4333-9A2A-28395C436A40", "Link")</f>
        <v/>
      </c>
      <c r="E229" s="3" t="n">
        <v>311.382</v>
      </c>
      <c r="F229" s="4" t="n">
        <v>18</v>
      </c>
      <c r="G229" t="inlineStr">
        <is>
          <t>British Columbia</t>
        </is>
      </c>
      <c r="H229" t="inlineStr">
        <is>
          <t>Coquitlam Tennis Club</t>
        </is>
      </c>
      <c r="I229" t="n">
        <v>30.3</v>
      </c>
      <c r="J229" s="4" t="n">
        <v>182</v>
      </c>
      <c r="K229" t="inlineStr">
        <is>
          <t>91 / 91</t>
        </is>
      </c>
      <c r="L229" t="inlineStr">
        <is>
          <t>13 / 17</t>
        </is>
      </c>
      <c r="M229" s="5" t="n">
        <v>0.5</v>
      </c>
      <c r="N229" s="5" t="n">
        <v>0.43</v>
      </c>
    </row>
    <row r="230">
      <c r="A230" t="n">
        <v>229</v>
      </c>
      <c r="B230" t="n">
        <v>2012</v>
      </c>
      <c r="C230" t="inlineStr">
        <is>
          <t>Daisy Tingru Wang</t>
        </is>
      </c>
      <c r="D230">
        <f>HYPERLINK("https://ota.tournamentsoftware.com/player-profile/40DA5F9F-8E70-4030-A0ED-A54E3D8832D2", "Link")</f>
        <v/>
      </c>
      <c r="E230" s="3" t="n">
        <v>310.853</v>
      </c>
      <c r="F230" s="4" t="n">
        <v>7</v>
      </c>
      <c r="G230" t="inlineStr">
        <is>
          <t>Tennis Nova Scotia</t>
        </is>
      </c>
      <c r="H230" t="inlineStr">
        <is>
          <t>HEADSTART</t>
        </is>
      </c>
      <c r="I230" t="n">
        <v>36.8</v>
      </c>
      <c r="J230" s="4" t="n">
        <v>32</v>
      </c>
      <c r="K230" t="inlineStr">
        <is>
          <t>6 / 26</t>
        </is>
      </c>
      <c r="L230" t="inlineStr">
        <is>
          <t>3 / 16</t>
        </is>
      </c>
      <c r="M230" s="5" t="n">
        <v>0.19</v>
      </c>
      <c r="N230" s="5" t="n">
        <v>0.16</v>
      </c>
    </row>
    <row r="231">
      <c r="A231" t="n">
        <v>230</v>
      </c>
      <c r="B231" t="n">
        <v>2014</v>
      </c>
      <c r="C231" t="inlineStr">
        <is>
          <t>Isabella Quintero-Gonzalez</t>
        </is>
      </c>
      <c r="D231">
        <f>HYPERLINK("https://ota.tournamentsoftware.com/player-profile/7215E114-BC9E-4292-9B97-03B766DB64EA", "Link")</f>
        <v/>
      </c>
      <c r="E231" s="3" t="n">
        <v>309.855</v>
      </c>
      <c r="F231" s="4" t="n">
        <v>12</v>
      </c>
      <c r="G231" t="inlineStr">
        <is>
          <t>Tennis Nova Scotia</t>
        </is>
      </c>
      <c r="H231" t="inlineStr">
        <is>
          <t>Atlantic Tennis Centre</t>
        </is>
      </c>
      <c r="I231" t="n">
        <v>33</v>
      </c>
      <c r="J231" s="4" t="n">
        <v>120</v>
      </c>
      <c r="K231" t="inlineStr">
        <is>
          <t>61 / 59</t>
        </is>
      </c>
      <c r="L231" t="inlineStr">
        <is>
          <t>25 / 19</t>
        </is>
      </c>
      <c r="M231" s="5" t="n">
        <v>0.51</v>
      </c>
      <c r="N231" s="5" t="n">
        <v>0.57</v>
      </c>
    </row>
    <row r="232">
      <c r="A232" t="n">
        <v>231</v>
      </c>
      <c r="B232" t="n">
        <v>2015</v>
      </c>
      <c r="C232" t="inlineStr">
        <is>
          <t>Mia Louise LADEWIG</t>
        </is>
      </c>
      <c r="D232">
        <f>HYPERLINK("https://ota.tournamentsoftware.com/player-profile/25055713-74C7-482D-8A9B-00D94FB7068B", "Link")</f>
        <v/>
      </c>
      <c r="E232" s="3" t="n">
        <v>309.295</v>
      </c>
      <c r="F232" s="4" t="n">
        <v>23</v>
      </c>
      <c r="G232" t="inlineStr">
        <is>
          <t>British Columbia</t>
        </is>
      </c>
      <c r="H232" t="inlineStr">
        <is>
          <t>North Vancouver Tennis Centre</t>
        </is>
      </c>
      <c r="I232" t="n">
        <v>29.2</v>
      </c>
      <c r="J232" s="4" t="n">
        <v>221</v>
      </c>
      <c r="K232" t="inlineStr">
        <is>
          <t>140 / 81</t>
        </is>
      </c>
      <c r="L232" t="inlineStr">
        <is>
          <t>30 / 19</t>
        </is>
      </c>
      <c r="M232" s="5" t="n">
        <v>0.63</v>
      </c>
      <c r="N232" s="5" t="n">
        <v>0.61</v>
      </c>
    </row>
    <row r="233">
      <c r="A233" t="n">
        <v>232</v>
      </c>
      <c r="B233" t="n">
        <v>2013</v>
      </c>
      <c r="C233" t="inlineStr">
        <is>
          <t>Keona Asogwa</t>
        </is>
      </c>
      <c r="D233">
        <f>HYPERLINK("https://ota.tournamentsoftware.com/player-profile/1F426AE8-5B0F-4535-AD10-450570C37073", "Link")</f>
        <v/>
      </c>
      <c r="E233" s="3" t="n">
        <v>308.808</v>
      </c>
      <c r="F233" s="4" t="n">
        <v>15</v>
      </c>
      <c r="G233" t="inlineStr">
        <is>
          <t>Ontario Tennis Association</t>
        </is>
      </c>
      <c r="H233" t="inlineStr">
        <is>
          <t>Carleton Tennis Centre</t>
        </is>
      </c>
      <c r="I233" t="inlineStr">
        <is>
          <t>unavailable</t>
        </is>
      </c>
      <c r="J233" s="4" t="n">
        <v>106</v>
      </c>
      <c r="K233" t="inlineStr">
        <is>
          <t>40 / 66</t>
        </is>
      </c>
      <c r="L233" t="inlineStr">
        <is>
          <t>4 / 10</t>
        </is>
      </c>
      <c r="M233" s="5" t="n">
        <v>0.38</v>
      </c>
      <c r="N233" s="5" t="n">
        <v>0.29</v>
      </c>
    </row>
    <row r="234">
      <c r="A234" t="n">
        <v>233</v>
      </c>
      <c r="B234" t="n">
        <v>2015</v>
      </c>
      <c r="C234" t="inlineStr">
        <is>
          <t>Maya Lupu</t>
        </is>
      </c>
      <c r="D234">
        <f>HYPERLINK("https://ota.tournamentsoftware.com/player-profile/C02052CF-6FBB-4C91-8237-A96FF9B4C794", "Link")</f>
        <v/>
      </c>
      <c r="E234" s="3" t="n">
        <v>308.771</v>
      </c>
      <c r="F234" s="4" t="n">
        <v>16</v>
      </c>
      <c r="G234" t="inlineStr">
        <is>
          <t>Tennis Alberta</t>
        </is>
      </c>
      <c r="H234" t="inlineStr">
        <is>
          <t>Saville Community Sports Centre</t>
        </is>
      </c>
      <c r="I234" t="n">
        <v>31.2</v>
      </c>
      <c r="J234" s="4" t="n">
        <v>162</v>
      </c>
      <c r="K234" t="inlineStr">
        <is>
          <t>104 / 58</t>
        </is>
      </c>
      <c r="L234" t="inlineStr">
        <is>
          <t>19 / 23</t>
        </is>
      </c>
      <c r="M234" s="5" t="n">
        <v>0.64</v>
      </c>
      <c r="N234" s="5" t="n">
        <v>0.45</v>
      </c>
    </row>
    <row r="235">
      <c r="A235" t="n">
        <v>234</v>
      </c>
      <c r="B235" t="n">
        <v>2013</v>
      </c>
      <c r="C235" t="inlineStr">
        <is>
          <t>Kany Kaba</t>
        </is>
      </c>
      <c r="D235">
        <f>HYPERLINK("https://ota.tournamentsoftware.com/player-profile/7816DF47-252D-402D-BF26-B906A8AB6ED7", "Link")</f>
        <v/>
      </c>
      <c r="E235" s="3" t="n">
        <v>308.368</v>
      </c>
      <c r="F235" s="4" t="n">
        <v>8</v>
      </c>
      <c r="G235" t="inlineStr">
        <is>
          <t>Tennis Québec</t>
        </is>
      </c>
      <c r="H235" t="inlineStr">
        <is>
          <t>EB Tennis inc.</t>
        </is>
      </c>
      <c r="I235" t="n">
        <v>32.4</v>
      </c>
      <c r="J235" s="4" t="n">
        <v>134</v>
      </c>
      <c r="K235" t="inlineStr">
        <is>
          <t>83 / 51</t>
        </is>
      </c>
      <c r="L235" t="inlineStr">
        <is>
          <t>5 / 8</t>
        </is>
      </c>
      <c r="M235" s="5" t="n">
        <v>0.62</v>
      </c>
      <c r="N235" s="5" t="n">
        <v>0.38</v>
      </c>
    </row>
    <row r="236">
      <c r="A236" t="n">
        <v>235</v>
      </c>
      <c r="B236" t="n">
        <v>2014</v>
      </c>
      <c r="C236" t="inlineStr">
        <is>
          <t>Hailey Zhou</t>
        </is>
      </c>
      <c r="D236">
        <f>HYPERLINK("https://ota.tournamentsoftware.com/player-profile/3046278B-E91E-4DE6-B598-5CD7D202AA49", "Link")</f>
        <v/>
      </c>
      <c r="E236" s="3" t="n">
        <v>307.594</v>
      </c>
      <c r="F236" s="4" t="n">
        <v>31</v>
      </c>
      <c r="G236" t="inlineStr">
        <is>
          <t>Ontario Tennis Association</t>
        </is>
      </c>
      <c r="H236" t="inlineStr">
        <is>
          <t>Advantage Tennis International at Veneto</t>
        </is>
      </c>
      <c r="I236" t="n">
        <v>33.8</v>
      </c>
      <c r="J236" s="4" t="n">
        <v>73</v>
      </c>
      <c r="K236" t="inlineStr">
        <is>
          <t>38 / 35</t>
        </is>
      </c>
      <c r="L236" t="inlineStr">
        <is>
          <t>28 / 23</t>
        </is>
      </c>
      <c r="M236" s="5" t="n">
        <v>0.52</v>
      </c>
      <c r="N236" s="5" t="n">
        <v>0.55</v>
      </c>
    </row>
    <row r="237">
      <c r="A237" t="n">
        <v>236</v>
      </c>
      <c r="B237" t="n">
        <v>2013</v>
      </c>
      <c r="C237" t="inlineStr">
        <is>
          <t>ZOE SOFIA CARDENAS PANIAGUA</t>
        </is>
      </c>
      <c r="D237">
        <f>HYPERLINK("https://ota.tournamentsoftware.com/player-profile/6ADCA248-D68F-47BB-9ED7-CDC7448C4AE9", "Link")</f>
        <v/>
      </c>
      <c r="E237" s="3" t="n">
        <v>307.118</v>
      </c>
      <c r="F237" s="4" t="n">
        <v>6</v>
      </c>
      <c r="G237" t="inlineStr">
        <is>
          <t>Tennis Manitoba</t>
        </is>
      </c>
      <c r="H237" t="inlineStr">
        <is>
          <t>Tuxedo Tennis Club</t>
        </is>
      </c>
      <c r="I237" t="inlineStr">
        <is>
          <t>unavailable</t>
        </is>
      </c>
      <c r="J237" s="4" t="n">
        <v>59</v>
      </c>
      <c r="K237" t="inlineStr">
        <is>
          <t>22 / 37</t>
        </is>
      </c>
      <c r="L237" t="inlineStr">
        <is>
          <t>6 / 8</t>
        </is>
      </c>
      <c r="M237" s="5" t="n">
        <v>0.37</v>
      </c>
      <c r="N237" s="5" t="n">
        <v>0.43</v>
      </c>
    </row>
    <row r="238">
      <c r="A238" t="n">
        <v>237</v>
      </c>
      <c r="B238" t="n">
        <v>2013</v>
      </c>
      <c r="C238" t="inlineStr">
        <is>
          <t>Anastazia De Lain</t>
        </is>
      </c>
      <c r="D238">
        <f>HYPERLINK("https://ota.tournamentsoftware.com/player-profile/BEE8D838-8464-4CCF-9268-D0D58F108999", "Link")</f>
        <v/>
      </c>
      <c r="E238" s="3" t="n">
        <v>306.39</v>
      </c>
      <c r="F238" s="4" t="n">
        <v>19</v>
      </c>
      <c r="G238" t="inlineStr">
        <is>
          <t>Tennis Québec</t>
        </is>
      </c>
      <c r="H238" t="inlineStr">
        <is>
          <t>EB Tennis inc.</t>
        </is>
      </c>
      <c r="I238" t="n">
        <v>36.6</v>
      </c>
      <c r="J238" s="4" t="n">
        <v>172</v>
      </c>
      <c r="K238" t="inlineStr">
        <is>
          <t>37 / 135</t>
        </is>
      </c>
      <c r="L238" t="inlineStr">
        <is>
          <t>4 / 21</t>
        </is>
      </c>
      <c r="M238" s="5" t="n">
        <v>0.22</v>
      </c>
      <c r="N238" s="5" t="n">
        <v>0.16</v>
      </c>
    </row>
    <row r="239">
      <c r="A239" t="n">
        <v>238</v>
      </c>
      <c r="B239" t="n">
        <v>2013</v>
      </c>
      <c r="C239" t="inlineStr">
        <is>
          <t>Sonya Resnikova</t>
        </is>
      </c>
      <c r="D239">
        <f>HYPERLINK("https://ota.tournamentsoftware.com/player-profile/083F5EEA-6E2D-488B-B778-27E4248C2F0D", "Link")</f>
        <v/>
      </c>
      <c r="E239" s="3" t="n">
        <v>304.84</v>
      </c>
      <c r="F239" s="4" t="n">
        <v>20</v>
      </c>
      <c r="G239" t="inlineStr">
        <is>
          <t>Ontario Tennis Association</t>
        </is>
      </c>
      <c r="H239" t="inlineStr">
        <is>
          <t>Concord Tennis Academy</t>
        </is>
      </c>
      <c r="I239" t="n">
        <v>32.2</v>
      </c>
      <c r="J239" s="4" t="n">
        <v>74</v>
      </c>
      <c r="K239" t="inlineStr">
        <is>
          <t>46 / 28</t>
        </is>
      </c>
      <c r="L239" t="inlineStr">
        <is>
          <t>14 / 14</t>
        </is>
      </c>
      <c r="M239" s="5" t="n">
        <v>0.62</v>
      </c>
      <c r="N239" s="5" t="n">
        <v>0.5</v>
      </c>
    </row>
    <row r="240">
      <c r="A240" t="n">
        <v>239</v>
      </c>
      <c r="B240" t="n">
        <v>2014</v>
      </c>
      <c r="C240" t="inlineStr">
        <is>
          <t>Rosie Mai Kowalewski</t>
        </is>
      </c>
      <c r="D240">
        <f>HYPERLINK("https://ota.tournamentsoftware.com/player-profile/6AE6D507-C7A4-4B8D-AF2E-EBFE848DD41B", "Link")</f>
        <v/>
      </c>
      <c r="E240" s="3" t="n">
        <v>303.327</v>
      </c>
      <c r="F240" s="4" t="n">
        <v>21</v>
      </c>
      <c r="G240" t="inlineStr">
        <is>
          <t>Ontario Tennis Association</t>
        </is>
      </c>
      <c r="H240" t="inlineStr">
        <is>
          <t>No Club</t>
        </is>
      </c>
      <c r="I240" t="n">
        <v>31.5</v>
      </c>
      <c r="J240" s="4" t="n">
        <v>192</v>
      </c>
      <c r="K240" t="inlineStr">
        <is>
          <t>113 / 79</t>
        </is>
      </c>
      <c r="L240" t="inlineStr">
        <is>
          <t>14 / 11</t>
        </is>
      </c>
      <c r="M240" s="5" t="n">
        <v>0.59</v>
      </c>
      <c r="N240" s="5" t="n">
        <v>0.5600000000000001</v>
      </c>
    </row>
    <row r="241">
      <c r="A241" t="n">
        <v>240</v>
      </c>
      <c r="B241" t="n">
        <v>2013</v>
      </c>
      <c r="C241" t="inlineStr">
        <is>
          <t>Chloe Lu</t>
        </is>
      </c>
      <c r="D241">
        <f>HYPERLINK("https://ota.tournamentsoftware.com/player-profile/30F898AC-1C96-41C5-BBB0-3BFD30EC0D0D", "Link")</f>
        <v/>
      </c>
      <c r="E241" s="3" t="n">
        <v>300.706</v>
      </c>
      <c r="F241" s="4" t="n">
        <v>27</v>
      </c>
      <c r="G241" t="inlineStr">
        <is>
          <t>British Columbia</t>
        </is>
      </c>
      <c r="H241" t="inlineStr">
        <is>
          <t>UBC Tennis Centre</t>
        </is>
      </c>
      <c r="I241" t="n">
        <v>31.8</v>
      </c>
      <c r="J241" s="4" t="n">
        <v>162</v>
      </c>
      <c r="K241" t="inlineStr">
        <is>
          <t>61 / 101</t>
        </is>
      </c>
      <c r="L241" t="inlineStr">
        <is>
          <t>21 / 23</t>
        </is>
      </c>
      <c r="M241" s="5" t="n">
        <v>0.38</v>
      </c>
      <c r="N241" s="5" t="n">
        <v>0.48</v>
      </c>
    </row>
    <row r="242">
      <c r="A242" t="n">
        <v>241</v>
      </c>
      <c r="B242" t="n">
        <v>2015</v>
      </c>
      <c r="C242" t="inlineStr">
        <is>
          <t>Zoë Crago</t>
        </is>
      </c>
      <c r="D242">
        <f>HYPERLINK("https://ota.tournamentsoftware.com/player-profile/C2D18227-6075-4F1E-83A2-40A822F874D3", "Link")</f>
        <v/>
      </c>
      <c r="E242" s="3" t="n">
        <v>298.67</v>
      </c>
      <c r="F242" s="4" t="n">
        <v>25</v>
      </c>
      <c r="G242" t="inlineStr">
        <is>
          <t>Tennis Québec</t>
        </is>
      </c>
      <c r="H242" t="inlineStr">
        <is>
          <t>Tennis Montréal Excellence</t>
        </is>
      </c>
      <c r="I242" t="n">
        <v>32.4</v>
      </c>
      <c r="J242" s="4" t="n">
        <v>189</v>
      </c>
      <c r="K242" t="inlineStr">
        <is>
          <t>100 / 89</t>
        </is>
      </c>
      <c r="L242" t="inlineStr">
        <is>
          <t>28 / 21</t>
        </is>
      </c>
      <c r="M242" s="5" t="n">
        <v>0.53</v>
      </c>
      <c r="N242" s="5" t="n">
        <v>0.57</v>
      </c>
    </row>
    <row r="243">
      <c r="A243" t="n">
        <v>242</v>
      </c>
      <c r="B243" t="n">
        <v>2015</v>
      </c>
      <c r="C243" t="inlineStr">
        <is>
          <t>Sofia Chan</t>
        </is>
      </c>
      <c r="D243">
        <f>HYPERLINK("https://ota.tournamentsoftware.com/player-profile/62C41ADF-8A1D-416E-AAF9-4C80ECB74645", "Link")</f>
        <v/>
      </c>
      <c r="E243" s="3" t="n">
        <v>291.583</v>
      </c>
      <c r="F243" s="4" t="n">
        <v>31</v>
      </c>
      <c r="G243" t="inlineStr">
        <is>
          <t>Ontario Tennis Association</t>
        </is>
      </c>
      <c r="H243" t="inlineStr">
        <is>
          <t>No Club</t>
        </is>
      </c>
      <c r="I243" t="n">
        <v>32.4</v>
      </c>
      <c r="J243" s="4" t="n">
        <v>143</v>
      </c>
      <c r="K243" t="inlineStr">
        <is>
          <t>90 / 53</t>
        </is>
      </c>
      <c r="L243" t="inlineStr">
        <is>
          <t>33 / 22</t>
        </is>
      </c>
      <c r="M243" s="5" t="n">
        <v>0.63</v>
      </c>
      <c r="N243" s="5" t="n">
        <v>0.6</v>
      </c>
    </row>
    <row r="244">
      <c r="A244" t="n">
        <v>243</v>
      </c>
      <c r="B244" t="n">
        <v>2014</v>
      </c>
      <c r="C244" t="inlineStr">
        <is>
          <t>Krystal Xuan Sun</t>
        </is>
      </c>
      <c r="D244">
        <f>HYPERLINK("https://ota.tournamentsoftware.com/player-profile/683C106F-AE4B-4C63-B1A3-D9C25FFAD31B", "Link")</f>
        <v/>
      </c>
      <c r="E244" s="3" t="n">
        <v>289.981</v>
      </c>
      <c r="F244" s="4" t="n">
        <v>11</v>
      </c>
      <c r="G244" t="inlineStr">
        <is>
          <t>Tennis Manitoba</t>
        </is>
      </c>
      <c r="H244" t="inlineStr">
        <is>
          <t>Taylor Tennis</t>
        </is>
      </c>
      <c r="I244" t="inlineStr">
        <is>
          <t>unavailable</t>
        </is>
      </c>
      <c r="J244" s="4" t="n">
        <v>74</v>
      </c>
      <c r="K244" t="inlineStr">
        <is>
          <t>21 / 53</t>
        </is>
      </c>
      <c r="L244" t="inlineStr">
        <is>
          <t>10 / 29</t>
        </is>
      </c>
      <c r="M244" s="5" t="n">
        <v>0.28</v>
      </c>
      <c r="N244" s="5" t="n">
        <v>0.26</v>
      </c>
    </row>
    <row r="245">
      <c r="A245" t="n">
        <v>244</v>
      </c>
      <c r="B245" t="n">
        <v>2013</v>
      </c>
      <c r="C245" t="inlineStr">
        <is>
          <t>Rachel Daniel</t>
        </is>
      </c>
      <c r="D245">
        <f>HYPERLINK("https://ota.tournamentsoftware.com/player-profile/C70279D5-586C-4A9D-94CC-EB9551085FF4", "Link")</f>
        <v/>
      </c>
      <c r="E245" s="3" t="n">
        <v>288.992</v>
      </c>
      <c r="F245" s="4" t="n">
        <v>16</v>
      </c>
      <c r="G245" t="inlineStr">
        <is>
          <t>Ontario Tennis Association</t>
        </is>
      </c>
      <c r="H245" t="inlineStr">
        <is>
          <t>Advantage Tennis International at Veneto</t>
        </is>
      </c>
      <c r="I245" t="n">
        <v>32.8</v>
      </c>
      <c r="J245" s="4" t="n">
        <v>96</v>
      </c>
      <c r="K245" t="inlineStr">
        <is>
          <t>37 / 59</t>
        </is>
      </c>
      <c r="L245" t="inlineStr">
        <is>
          <t>7 / 10</t>
        </is>
      </c>
      <c r="M245" s="5" t="n">
        <v>0.39</v>
      </c>
      <c r="N245" s="5" t="n">
        <v>0.41</v>
      </c>
    </row>
    <row r="246">
      <c r="A246" t="n">
        <v>245</v>
      </c>
      <c r="B246" t="n">
        <v>2012</v>
      </c>
      <c r="C246" t="inlineStr">
        <is>
          <t>helena Khorsid-G-Mahdi</t>
        </is>
      </c>
      <c r="D246">
        <f>HYPERLINK("https://ota.tournamentsoftware.com/player-profile/D9FB3068-A1A7-4F96-B728-095D292B805C", "Link")</f>
        <v/>
      </c>
      <c r="E246" s="3" t="n">
        <v>288.317</v>
      </c>
      <c r="F246" s="4" t="n">
        <v>17</v>
      </c>
      <c r="G246" t="inlineStr">
        <is>
          <t>Ontario Tennis Association</t>
        </is>
      </c>
      <c r="H246" t="inlineStr">
        <is>
          <t>Cottingham Tennis Club</t>
        </is>
      </c>
      <c r="I246" t="inlineStr">
        <is>
          <t>unavailable</t>
        </is>
      </c>
      <c r="J246" s="4" t="n">
        <v>53</v>
      </c>
      <c r="K246" t="inlineStr">
        <is>
          <t>32 / 21</t>
        </is>
      </c>
      <c r="L246" t="inlineStr">
        <is>
          <t>18 / 14</t>
        </is>
      </c>
      <c r="M246" s="5" t="n">
        <v>0.6</v>
      </c>
      <c r="N246" s="5" t="n">
        <v>0.5600000000000001</v>
      </c>
    </row>
    <row r="247">
      <c r="A247" t="n">
        <v>246</v>
      </c>
      <c r="B247" t="n">
        <v>2014</v>
      </c>
      <c r="C247" t="inlineStr">
        <is>
          <t>Vrishti Gehlot</t>
        </is>
      </c>
      <c r="D247">
        <f>HYPERLINK("https://ota.tournamentsoftware.com/player-profile/8D59FB71-FC68-41E0-B69F-920C29B60AD3", "Link")</f>
        <v/>
      </c>
      <c r="E247" s="3" t="n">
        <v>287.882</v>
      </c>
      <c r="F247" s="4" t="n">
        <v>27</v>
      </c>
      <c r="G247" t="inlineStr">
        <is>
          <t>Ontario Tennis Association</t>
        </is>
      </c>
      <c r="H247" t="inlineStr">
        <is>
          <t>Premier Racquet Clubs – Mississauga</t>
        </is>
      </c>
      <c r="I247" t="n">
        <v>32.9</v>
      </c>
      <c r="J247" s="4" t="n">
        <v>153</v>
      </c>
      <c r="K247" t="inlineStr">
        <is>
          <t>78 / 75</t>
        </is>
      </c>
      <c r="L247" t="inlineStr">
        <is>
          <t>30 / 16</t>
        </is>
      </c>
      <c r="M247" s="5" t="n">
        <v>0.51</v>
      </c>
      <c r="N247" s="5" t="n">
        <v>0.65</v>
      </c>
    </row>
    <row r="248">
      <c r="A248" t="n">
        <v>247</v>
      </c>
      <c r="B248" t="n">
        <v>2013</v>
      </c>
      <c r="C248" t="inlineStr">
        <is>
          <t>Sasha Stack</t>
        </is>
      </c>
      <c r="D248">
        <f>HYPERLINK("https://ota.tournamentsoftware.com/player-profile/C0B95842-5E69-4EBF-8E5C-398666A7112E", "Link")</f>
        <v/>
      </c>
      <c r="E248" s="3" t="n">
        <v>283.679</v>
      </c>
      <c r="F248" s="4" t="n">
        <v>15</v>
      </c>
      <c r="G248" t="inlineStr">
        <is>
          <t>British Columbia</t>
        </is>
      </c>
      <c r="H248" t="inlineStr">
        <is>
          <t>Hollyburn Country Club</t>
        </is>
      </c>
      <c r="I248" t="n">
        <v>33</v>
      </c>
      <c r="J248" s="4" t="n">
        <v>113</v>
      </c>
      <c r="K248" t="inlineStr">
        <is>
          <t>52 / 61</t>
        </is>
      </c>
      <c r="L248" t="inlineStr">
        <is>
          <t>8 / 15</t>
        </is>
      </c>
      <c r="M248" s="5" t="n">
        <v>0.46</v>
      </c>
      <c r="N248" s="5" t="n">
        <v>0.35</v>
      </c>
    </row>
    <row r="249">
      <c r="A249" t="n">
        <v>248</v>
      </c>
      <c r="B249" t="n">
        <v>2014</v>
      </c>
      <c r="C249" t="inlineStr">
        <is>
          <t>Avelyn Deepak</t>
        </is>
      </c>
      <c r="D249">
        <f>HYPERLINK("https://ota.tournamentsoftware.com/player-profile/4412DB09-5DE9-45DA-AB13-46B4F24B409F", "Link")</f>
        <v/>
      </c>
      <c r="E249" s="3" t="n">
        <v>282.546</v>
      </c>
      <c r="F249" s="4" t="n">
        <v>10</v>
      </c>
      <c r="G249" t="inlineStr">
        <is>
          <t>Tennis Manitoba</t>
        </is>
      </c>
      <c r="H249" t="inlineStr">
        <is>
          <t>Winnipeg Winter Club</t>
        </is>
      </c>
      <c r="I249" t="n">
        <v>35.2</v>
      </c>
      <c r="J249" s="4" t="n">
        <v>35</v>
      </c>
      <c r="K249" t="inlineStr">
        <is>
          <t>9 / 26</t>
        </is>
      </c>
      <c r="L249" t="inlineStr">
        <is>
          <t>9 / 26</t>
        </is>
      </c>
      <c r="M249" s="5" t="n">
        <v>0.26</v>
      </c>
      <c r="N249" s="5" t="n">
        <v>0.26</v>
      </c>
    </row>
    <row r="250">
      <c r="A250" t="n">
        <v>249</v>
      </c>
      <c r="B250" t="n">
        <v>2015</v>
      </c>
      <c r="C250" t="inlineStr">
        <is>
          <t>Danica Stamatovic</t>
        </is>
      </c>
      <c r="D250">
        <f>HYPERLINK("https://ota.tournamentsoftware.com/player-profile/3D976EDA-1737-4852-A9BF-C67ED47C73C1", "Link")</f>
        <v/>
      </c>
      <c r="E250" s="3" t="n">
        <v>281.872</v>
      </c>
      <c r="F250" s="4" t="n">
        <v>20</v>
      </c>
      <c r="G250" t="inlineStr">
        <is>
          <t>Ontario Tennis Association</t>
        </is>
      </c>
      <c r="H250" t="inlineStr">
        <is>
          <t>SmartVMC Racquetsports by ACE</t>
        </is>
      </c>
      <c r="I250" t="n">
        <v>32.2</v>
      </c>
      <c r="J250" s="4" t="n">
        <v>179</v>
      </c>
      <c r="K250" t="inlineStr">
        <is>
          <t>87 / 92</t>
        </is>
      </c>
      <c r="L250" t="inlineStr">
        <is>
          <t>20 / 13</t>
        </is>
      </c>
      <c r="M250" s="5" t="n">
        <v>0.49</v>
      </c>
      <c r="N250" s="5" t="n">
        <v>0.61</v>
      </c>
    </row>
    <row r="251">
      <c r="A251" t="n">
        <v>250</v>
      </c>
      <c r="B251" t="n">
        <v>2012</v>
      </c>
      <c r="C251" t="inlineStr">
        <is>
          <t>ella kim brend</t>
        </is>
      </c>
      <c r="D251">
        <f>HYPERLINK("https://ota.tournamentsoftware.com/player-profile/C777EDB2-AC2E-4E02-948A-26DCAC347821", "Link")</f>
        <v/>
      </c>
      <c r="E251" s="3" t="n">
        <v>280.297</v>
      </c>
      <c r="F251" s="4" t="n">
        <v>19</v>
      </c>
      <c r="G251" t="inlineStr">
        <is>
          <t>British Columbia</t>
        </is>
      </c>
      <c r="H251" t="inlineStr">
        <is>
          <t>The Tennis Centre</t>
        </is>
      </c>
      <c r="I251" t="n">
        <v>29.6</v>
      </c>
      <c r="J251" s="4" t="n">
        <v>124</v>
      </c>
      <c r="K251" t="inlineStr">
        <is>
          <t>87 / 37</t>
        </is>
      </c>
      <c r="L251" t="inlineStr">
        <is>
          <t>35 / 12</t>
        </is>
      </c>
      <c r="M251" s="5" t="n">
        <v>0.7</v>
      </c>
      <c r="N251" s="5" t="n">
        <v>0.74</v>
      </c>
    </row>
    <row r="252">
      <c r="A252" t="n">
        <v>251</v>
      </c>
      <c r="B252" t="n">
        <v>2013</v>
      </c>
      <c r="C252" t="inlineStr">
        <is>
          <t>Chloe Elizabeth Kotorobai</t>
        </is>
      </c>
      <c r="D252">
        <f>HYPERLINK("https://ota.tournamentsoftware.com/player-profile/FA516D57-03A4-4F2E-810D-864F5732F5CE", "Link")</f>
        <v/>
      </c>
      <c r="E252" s="3" t="n">
        <v>279.008</v>
      </c>
      <c r="F252" s="4" t="n">
        <v>21</v>
      </c>
      <c r="G252" t="inlineStr">
        <is>
          <t>Ontario Tennis Association</t>
        </is>
      </c>
      <c r="H252" t="inlineStr">
        <is>
          <t>City of Stoney Creek</t>
        </is>
      </c>
      <c r="I252" t="n">
        <v>33.1</v>
      </c>
      <c r="J252" s="4" t="n">
        <v>85</v>
      </c>
      <c r="K252" t="inlineStr">
        <is>
          <t>33 / 52</t>
        </is>
      </c>
      <c r="L252" t="inlineStr">
        <is>
          <t>5 / 11</t>
        </is>
      </c>
      <c r="M252" s="5" t="n">
        <v>0.39</v>
      </c>
      <c r="N252" s="5" t="n">
        <v>0.31</v>
      </c>
    </row>
    <row r="253">
      <c r="A253" t="n">
        <v>252</v>
      </c>
      <c r="B253" t="n">
        <v>2013</v>
      </c>
      <c r="C253" t="inlineStr">
        <is>
          <t>Chanjoban Kaur Birdi</t>
        </is>
      </c>
      <c r="D253">
        <f>HYPERLINK("https://ota.tournamentsoftware.com/player-profile/26D50988-CF95-4A0A-9087-8DC8E38F0BDB", "Link")</f>
        <v/>
      </c>
      <c r="E253" s="3" t="n">
        <v>278.58</v>
      </c>
      <c r="F253" s="4" t="n">
        <v>21</v>
      </c>
      <c r="G253" t="inlineStr">
        <is>
          <t>British Columbia</t>
        </is>
      </c>
      <c r="H253" t="inlineStr">
        <is>
          <t>Newton Tennis Club</t>
        </is>
      </c>
      <c r="I253" t="n">
        <v>30.3</v>
      </c>
      <c r="J253" s="4" t="n">
        <v>198</v>
      </c>
      <c r="K253" t="inlineStr">
        <is>
          <t>96 / 102</t>
        </is>
      </c>
      <c r="L253" t="inlineStr">
        <is>
          <t>21 / 15</t>
        </is>
      </c>
      <c r="M253" s="5" t="n">
        <v>0.48</v>
      </c>
      <c r="N253" s="5" t="n">
        <v>0.58</v>
      </c>
    </row>
    <row r="254">
      <c r="A254" t="n">
        <v>253</v>
      </c>
      <c r="B254" t="n">
        <v>2014</v>
      </c>
      <c r="C254" t="inlineStr">
        <is>
          <t>Elliette Leah Tran</t>
        </is>
      </c>
      <c r="D254">
        <f>HYPERLINK("https://ota.tournamentsoftware.com/player-profile/9986D752-4364-42A6-9A1B-E1BC239760F0", "Link")</f>
        <v/>
      </c>
      <c r="E254" s="3" t="n">
        <v>278.539</v>
      </c>
      <c r="F254" s="4" t="n">
        <v>17</v>
      </c>
      <c r="G254" t="inlineStr">
        <is>
          <t>Tennis Alberta</t>
        </is>
      </c>
      <c r="H254" t="inlineStr">
        <is>
          <t>Saville Community Sports Centre</t>
        </is>
      </c>
      <c r="I254" t="inlineStr">
        <is>
          <t>unavailable</t>
        </is>
      </c>
      <c r="J254" s="4" t="n">
        <v>118</v>
      </c>
      <c r="K254" t="inlineStr">
        <is>
          <t>59 / 59</t>
        </is>
      </c>
      <c r="L254" t="inlineStr">
        <is>
          <t>24 / 19</t>
        </is>
      </c>
      <c r="M254" s="5" t="n">
        <v>0.5</v>
      </c>
      <c r="N254" s="5" t="n">
        <v>0.5600000000000001</v>
      </c>
    </row>
    <row r="255">
      <c r="A255" t="n">
        <v>254</v>
      </c>
      <c r="B255" t="n">
        <v>2013</v>
      </c>
      <c r="C255" t="inlineStr">
        <is>
          <t>Maddie Kershaw</t>
        </is>
      </c>
      <c r="D255">
        <f>HYPERLINK("https://ota.tournamentsoftware.com/player-profile/14F8911D-BF5A-4FE7-BFF6-D5A71E72307F", "Link")</f>
        <v/>
      </c>
      <c r="E255" s="3" t="n">
        <v>278.432</v>
      </c>
      <c r="F255" s="4" t="n">
        <v>10</v>
      </c>
      <c r="G255" t="inlineStr">
        <is>
          <t>Tennis New Brunswick</t>
        </is>
      </c>
      <c r="H255" t="inlineStr">
        <is>
          <t>Abony Family Tennis Center</t>
        </is>
      </c>
      <c r="I255" t="n">
        <v>33.9</v>
      </c>
      <c r="J255" s="4" t="n">
        <v>188</v>
      </c>
      <c r="K255" t="inlineStr">
        <is>
          <t>95 / 93</t>
        </is>
      </c>
      <c r="L255" t="inlineStr">
        <is>
          <t>16 / 23</t>
        </is>
      </c>
      <c r="M255" s="5" t="n">
        <v>0.51</v>
      </c>
      <c r="N255" s="5" t="n">
        <v>0.41</v>
      </c>
    </row>
    <row r="256">
      <c r="A256" t="n">
        <v>255</v>
      </c>
      <c r="B256" t="n">
        <v>2013</v>
      </c>
      <c r="C256" t="inlineStr">
        <is>
          <t>Lily Gaumond-Boivin</t>
        </is>
      </c>
      <c r="D256">
        <f>HYPERLINK("https://ota.tournamentsoftware.com/player-profile/98461C64-ECF9-40D8-849E-C8999A9F9BA1", "Link")</f>
        <v/>
      </c>
      <c r="E256" s="3" t="n">
        <v>272.103</v>
      </c>
      <c r="F256" s="4" t="n">
        <v>20</v>
      </c>
      <c r="G256" t="inlineStr">
        <is>
          <t>Tennis Québec</t>
        </is>
      </c>
      <c r="H256" t="inlineStr">
        <is>
          <t>Club Avantage Multi-sports / Académie de tennis Hérisset Bordeleau</t>
        </is>
      </c>
      <c r="I256" t="inlineStr">
        <is>
          <t>unavailable</t>
        </is>
      </c>
      <c r="J256" s="4" t="n">
        <v>116</v>
      </c>
      <c r="K256" t="inlineStr">
        <is>
          <t>57 / 59</t>
        </is>
      </c>
      <c r="L256" t="inlineStr">
        <is>
          <t>7 / 10</t>
        </is>
      </c>
      <c r="M256" s="5" t="n">
        <v>0.49</v>
      </c>
      <c r="N256" s="5" t="n">
        <v>0.41</v>
      </c>
    </row>
    <row r="257">
      <c r="A257" t="n">
        <v>256</v>
      </c>
      <c r="B257" t="n">
        <v>2014</v>
      </c>
      <c r="C257" t="inlineStr">
        <is>
          <t>Katelyn Li</t>
        </is>
      </c>
      <c r="D257">
        <f>HYPERLINK("https://ota.tournamentsoftware.com/player-profile/4A74B151-256A-40ED-9F9D-F00036EDD0A5", "Link")</f>
        <v/>
      </c>
      <c r="E257" s="3" t="n">
        <v>270.485</v>
      </c>
      <c r="F257" s="4" t="n">
        <v>22</v>
      </c>
      <c r="G257" t="inlineStr">
        <is>
          <t>Ontario Tennis Association</t>
        </is>
      </c>
      <c r="H257" t="inlineStr">
        <is>
          <t>No Club</t>
        </is>
      </c>
      <c r="I257" t="inlineStr">
        <is>
          <t>unavailable</t>
        </is>
      </c>
      <c r="J257" s="4" t="n">
        <v>123</v>
      </c>
      <c r="K257" t="inlineStr">
        <is>
          <t>56 / 67</t>
        </is>
      </c>
      <c r="L257" t="inlineStr">
        <is>
          <t>15 / 17</t>
        </is>
      </c>
      <c r="M257" s="5" t="n">
        <v>0.46</v>
      </c>
      <c r="N257" s="5" t="n">
        <v>0.47</v>
      </c>
    </row>
    <row r="258">
      <c r="A258" t="n">
        <v>257</v>
      </c>
      <c r="B258" t="n">
        <v>2014</v>
      </c>
      <c r="C258" t="inlineStr">
        <is>
          <t>Elisa Krumov</t>
        </is>
      </c>
      <c r="D258">
        <f>HYPERLINK("https://ota.tournamentsoftware.com/player-profile/8B5D18FC-0F51-468A-BE7C-7EA242A06382", "Link")</f>
        <v/>
      </c>
      <c r="E258" s="3" t="n">
        <v>270.273</v>
      </c>
      <c r="F258" s="4" t="n">
        <v>16</v>
      </c>
      <c r="G258" t="inlineStr">
        <is>
          <t>Ontario Tennis Association</t>
        </is>
      </c>
      <c r="H258" t="inlineStr">
        <is>
          <t>Joshua Creek Golf &amp; Tennis</t>
        </is>
      </c>
      <c r="I258" t="n">
        <v>32.8</v>
      </c>
      <c r="J258" s="4" t="n">
        <v>89</v>
      </c>
      <c r="K258" t="inlineStr">
        <is>
          <t>43 / 46</t>
        </is>
      </c>
      <c r="L258" t="inlineStr">
        <is>
          <t>16 / 16</t>
        </is>
      </c>
      <c r="M258" s="5" t="n">
        <v>0.48</v>
      </c>
      <c r="N258" s="5" t="n">
        <v>0.5</v>
      </c>
    </row>
    <row r="259">
      <c r="A259" t="n">
        <v>258</v>
      </c>
      <c r="B259" t="n">
        <v>2013</v>
      </c>
      <c r="C259" t="inlineStr">
        <is>
          <t>Gabriela Gardonyi</t>
        </is>
      </c>
      <c r="D259">
        <f>HYPERLINK("https://ota.tournamentsoftware.com/player-profile/EA584DC9-AF4E-413B-BF0B-75746024F8E4", "Link")</f>
        <v/>
      </c>
      <c r="E259" s="3" t="n">
        <v>269.544</v>
      </c>
      <c r="F259" s="4" t="n">
        <v>24</v>
      </c>
      <c r="G259" t="inlineStr">
        <is>
          <t>Ontario Tennis Association</t>
        </is>
      </c>
      <c r="H259" t="inlineStr">
        <is>
          <t>Richmond Hill Country Club</t>
        </is>
      </c>
      <c r="I259" t="inlineStr">
        <is>
          <t>unavailable</t>
        </is>
      </c>
      <c r="J259" s="4" t="n">
        <v>119</v>
      </c>
      <c r="K259" t="inlineStr">
        <is>
          <t>56 / 63</t>
        </is>
      </c>
      <c r="L259" t="inlineStr">
        <is>
          <t>21 / 19</t>
        </is>
      </c>
      <c r="M259" s="5" t="n">
        <v>0.47</v>
      </c>
      <c r="N259" s="5" t="n">
        <v>0.53</v>
      </c>
    </row>
    <row r="260">
      <c r="A260" t="n">
        <v>259</v>
      </c>
      <c r="B260" t="n">
        <v>2014</v>
      </c>
      <c r="C260" t="inlineStr">
        <is>
          <t>Tehzeeb MRAR</t>
        </is>
      </c>
      <c r="D260">
        <f>HYPERLINK("https://ota.tournamentsoftware.com/player-profile/9E69163B-7ED7-4450-8845-0676D6C943B8", "Link")</f>
        <v/>
      </c>
      <c r="E260" s="3" t="n">
        <v>268.87</v>
      </c>
      <c r="F260" s="4" t="n">
        <v>19</v>
      </c>
      <c r="G260" t="inlineStr">
        <is>
          <t>British Columbia</t>
        </is>
      </c>
      <c r="H260" t="inlineStr">
        <is>
          <t>No Club</t>
        </is>
      </c>
      <c r="I260" t="n">
        <v>30.2</v>
      </c>
      <c r="J260" s="4" t="n">
        <v>191</v>
      </c>
      <c r="K260" t="inlineStr">
        <is>
          <t>103 / 88</t>
        </is>
      </c>
      <c r="L260" t="inlineStr">
        <is>
          <t>13 / 14</t>
        </is>
      </c>
      <c r="M260" s="5" t="n">
        <v>0.54</v>
      </c>
      <c r="N260" s="5" t="n">
        <v>0.48</v>
      </c>
    </row>
    <row r="261">
      <c r="A261" t="n">
        <v>260</v>
      </c>
      <c r="B261" t="n">
        <v>2015</v>
      </c>
      <c r="C261" t="inlineStr">
        <is>
          <t>Sophia Shiqi Zeng</t>
        </is>
      </c>
      <c r="D261">
        <f>HYPERLINK("https://ota.tournamentsoftware.com/player-profile/F1A373DA-18B2-46FA-AF39-157644DB679B", "Link")</f>
        <v/>
      </c>
      <c r="E261" s="3" t="n">
        <v>267.836</v>
      </c>
      <c r="F261" s="4" t="n">
        <v>23</v>
      </c>
      <c r="G261" t="inlineStr">
        <is>
          <t>British Columbia</t>
        </is>
      </c>
      <c r="H261" t="inlineStr">
        <is>
          <t>The Tennis Centre</t>
        </is>
      </c>
      <c r="I261" t="n">
        <v>31.4</v>
      </c>
      <c r="J261" s="4" t="n">
        <v>183</v>
      </c>
      <c r="K261" t="inlineStr">
        <is>
          <t>100 / 83</t>
        </is>
      </c>
      <c r="L261" t="inlineStr">
        <is>
          <t>26 / 14</t>
        </is>
      </c>
      <c r="M261" s="5" t="n">
        <v>0.55</v>
      </c>
      <c r="N261" s="5" t="n">
        <v>0.65</v>
      </c>
    </row>
    <row r="262">
      <c r="A262" t="n">
        <v>261</v>
      </c>
      <c r="B262" t="n">
        <v>2015</v>
      </c>
      <c r="C262" t="inlineStr">
        <is>
          <t>Alia Idrissi Serghini</t>
        </is>
      </c>
      <c r="D262">
        <f>HYPERLINK("https://ota.tournamentsoftware.com/player-profile/CF328206-362D-4259-AA9F-74B7EF760A80", "Link")</f>
        <v/>
      </c>
      <c r="E262" s="3" t="n">
        <v>267.456</v>
      </c>
      <c r="F262" s="4" t="n">
        <v>20</v>
      </c>
      <c r="G262" t="inlineStr">
        <is>
          <t>Tennis Québec</t>
        </is>
      </c>
      <c r="H262" t="inlineStr">
        <is>
          <t>Centre récréatif de Repentigny / Académie Tennis Momentum</t>
        </is>
      </c>
      <c r="I262" t="n">
        <v>32.6</v>
      </c>
      <c r="J262" s="4" t="n">
        <v>139</v>
      </c>
      <c r="K262" t="inlineStr">
        <is>
          <t>84 / 55</t>
        </is>
      </c>
      <c r="L262" t="inlineStr">
        <is>
          <t>19 / 19</t>
        </is>
      </c>
      <c r="M262" s="5" t="n">
        <v>0.6</v>
      </c>
      <c r="N262" s="5" t="n">
        <v>0.5</v>
      </c>
    </row>
    <row r="263">
      <c r="A263" t="n">
        <v>262</v>
      </c>
      <c r="B263" t="n">
        <v>2014</v>
      </c>
      <c r="C263" t="inlineStr">
        <is>
          <t>Thanushka Sadasivam</t>
        </is>
      </c>
      <c r="D263">
        <f>HYPERLINK("https://ota.tournamentsoftware.com/player-profile/CA495DA8-0B9D-4530-9886-FC567CD73AE9", "Link")</f>
        <v/>
      </c>
      <c r="E263" s="3" t="n">
        <v>261.793</v>
      </c>
      <c r="F263" s="4" t="n">
        <v>19</v>
      </c>
      <c r="G263" t="inlineStr">
        <is>
          <t>Ontario Tennis Association</t>
        </is>
      </c>
      <c r="H263" t="inlineStr">
        <is>
          <t>Ontario Racquet Club</t>
        </is>
      </c>
      <c r="I263" t="n">
        <v>35.2</v>
      </c>
      <c r="J263" s="4" t="n">
        <v>59</v>
      </c>
      <c r="K263" t="inlineStr">
        <is>
          <t>25 / 34</t>
        </is>
      </c>
      <c r="L263" t="inlineStr">
        <is>
          <t>7 / 12</t>
        </is>
      </c>
      <c r="M263" s="5" t="n">
        <v>0.42</v>
      </c>
      <c r="N263" s="5" t="n">
        <v>0.37</v>
      </c>
    </row>
    <row r="264">
      <c r="A264" t="n">
        <v>263</v>
      </c>
      <c r="B264" t="n">
        <v>2015</v>
      </c>
      <c r="C264" t="inlineStr">
        <is>
          <t>Emma Xu</t>
        </is>
      </c>
      <c r="D264">
        <f>HYPERLINK("https://ota.tournamentsoftware.com/player-profile/464089C3-D2B4-413F-A102-AF0AEFF9A318", "Link")</f>
        <v/>
      </c>
      <c r="E264" s="3" t="n">
        <v>259.338</v>
      </c>
      <c r="F264" s="4" t="n">
        <v>9</v>
      </c>
      <c r="G264" t="inlineStr">
        <is>
          <t>Tennis Manitoba</t>
        </is>
      </c>
      <c r="H264" t="inlineStr">
        <is>
          <t>Taylor Tennis</t>
        </is>
      </c>
      <c r="I264" t="n">
        <v>36.6</v>
      </c>
      <c r="J264" s="4" t="n">
        <v>98</v>
      </c>
      <c r="K264" t="inlineStr">
        <is>
          <t>27 / 71</t>
        </is>
      </c>
      <c r="L264" t="inlineStr">
        <is>
          <t>9 / 28</t>
        </is>
      </c>
      <c r="M264" s="5" t="n">
        <v>0.28</v>
      </c>
      <c r="N264" s="5" t="n">
        <v>0.24</v>
      </c>
    </row>
    <row r="265">
      <c r="A265" t="n">
        <v>264</v>
      </c>
      <c r="B265" t="n">
        <v>2013</v>
      </c>
      <c r="C265" t="inlineStr">
        <is>
          <t>Mia Tran</t>
        </is>
      </c>
      <c r="D265">
        <f>HYPERLINK("https://ota.tournamentsoftware.com/player-profile/140A029D-3BE9-44F2-AA6A-53ED5C2991A8", "Link")</f>
        <v/>
      </c>
      <c r="E265" s="3" t="n">
        <v>257.72</v>
      </c>
      <c r="F265" s="4" t="n">
        <v>10</v>
      </c>
      <c r="G265" t="inlineStr">
        <is>
          <t>Ontario Tennis Association</t>
        </is>
      </c>
      <c r="H265" t="inlineStr">
        <is>
          <t>SmartVMC Racquetsports by ACE</t>
        </is>
      </c>
      <c r="I265" t="n">
        <v>32.5</v>
      </c>
      <c r="J265" s="4" t="n">
        <v>81</v>
      </c>
      <c r="K265" t="inlineStr">
        <is>
          <t>50 / 31</t>
        </is>
      </c>
      <c r="L265" t="inlineStr">
        <is>
          <t>11 / 6</t>
        </is>
      </c>
      <c r="M265" s="5" t="n">
        <v>0.62</v>
      </c>
      <c r="N265" s="5" t="n">
        <v>0.65</v>
      </c>
    </row>
    <row r="266">
      <c r="A266" t="n">
        <v>265</v>
      </c>
      <c r="B266" t="n">
        <v>2012</v>
      </c>
      <c r="C266" t="inlineStr">
        <is>
          <t>Jana Karkoukli</t>
        </is>
      </c>
      <c r="D266">
        <f>HYPERLINK("https://ota.tournamentsoftware.com/player-profile/ED5D7332-7665-453C-87FD-D7E5B172FD8A", "Link")</f>
        <v/>
      </c>
      <c r="E266" s="3" t="n">
        <v>257.315</v>
      </c>
      <c r="F266" s="4" t="n">
        <v>21</v>
      </c>
      <c r="G266" t="inlineStr">
        <is>
          <t>Tennis Québec</t>
        </is>
      </c>
      <c r="H266" t="inlineStr">
        <is>
          <t>EB Tennis inc.</t>
        </is>
      </c>
      <c r="I266" t="n">
        <v>35.6</v>
      </c>
      <c r="J266" s="4" t="n">
        <v>183</v>
      </c>
      <c r="K266" t="inlineStr">
        <is>
          <t>50 / 133</t>
        </is>
      </c>
      <c r="L266" t="inlineStr">
        <is>
          <t>1 / 16</t>
        </is>
      </c>
      <c r="M266" s="5" t="n">
        <v>0.27</v>
      </c>
      <c r="N266" s="5" t="n">
        <v>0.06</v>
      </c>
    </row>
    <row r="267">
      <c r="A267" t="n">
        <v>266</v>
      </c>
      <c r="B267" t="n">
        <v>2013</v>
      </c>
      <c r="C267" t="inlineStr">
        <is>
          <t>Ebun Fasanya</t>
        </is>
      </c>
      <c r="D267">
        <f>HYPERLINK("https://ota.tournamentsoftware.com/player-profile/943BB22B-8108-44B4-80BD-15A6984D1D23", "Link")</f>
        <v/>
      </c>
      <c r="E267" s="3" t="n">
        <v>256.168</v>
      </c>
      <c r="F267" s="4" t="n">
        <v>18</v>
      </c>
      <c r="G267" t="inlineStr">
        <is>
          <t>Ontario Tennis Association</t>
        </is>
      </c>
      <c r="H267" t="inlineStr">
        <is>
          <t>Joshua Creek Golf &amp; Tennis</t>
        </is>
      </c>
      <c r="I267" t="n">
        <v>34</v>
      </c>
      <c r="J267" s="4" t="n">
        <v>80</v>
      </c>
      <c r="K267" t="inlineStr">
        <is>
          <t>44 / 36</t>
        </is>
      </c>
      <c r="L267" t="inlineStr">
        <is>
          <t>16 / 13</t>
        </is>
      </c>
      <c r="M267" s="5" t="n">
        <v>0.55</v>
      </c>
      <c r="N267" s="5" t="n">
        <v>0.55</v>
      </c>
    </row>
    <row r="268">
      <c r="A268" t="n">
        <v>267</v>
      </c>
      <c r="B268" t="n">
        <v>2014</v>
      </c>
      <c r="C268" t="inlineStr">
        <is>
          <t>Isabella Huang</t>
        </is>
      </c>
      <c r="D268">
        <f>HYPERLINK("https://ota.tournamentsoftware.com/player-profile/DB8FA904-8DE1-4D99-951F-F44CD792291A", "Link")</f>
        <v/>
      </c>
      <c r="E268" s="3" t="n">
        <v>255.752</v>
      </c>
      <c r="F268" s="4" t="n">
        <v>15</v>
      </c>
      <c r="G268" t="inlineStr">
        <is>
          <t>British Columbia</t>
        </is>
      </c>
      <c r="H268" t="inlineStr">
        <is>
          <t>Burnaby Tennis Club</t>
        </is>
      </c>
      <c r="I268" t="inlineStr">
        <is>
          <t>unavailable</t>
        </is>
      </c>
      <c r="J268" s="4" t="n">
        <v>186</v>
      </c>
      <c r="K268" t="inlineStr">
        <is>
          <t>103 / 83</t>
        </is>
      </c>
      <c r="L268" t="inlineStr">
        <is>
          <t>16 / 11</t>
        </is>
      </c>
      <c r="M268" s="5" t="n">
        <v>0.55</v>
      </c>
      <c r="N268" s="5" t="n">
        <v>0.59</v>
      </c>
    </row>
    <row r="269">
      <c r="A269" t="n">
        <v>268</v>
      </c>
      <c r="B269" t="n">
        <v>2012</v>
      </c>
      <c r="C269" t="inlineStr">
        <is>
          <t>Kristina Khlyebnykova</t>
        </is>
      </c>
      <c r="D269">
        <f>HYPERLINK("https://ota.tournamentsoftware.com/player-profile/D585FC7E-ABD0-44A4-A0AC-539E39880B84", "Link")</f>
        <v/>
      </c>
      <c r="E269" s="3" t="n">
        <v>255.56</v>
      </c>
      <c r="F269" s="4" t="n">
        <v>12</v>
      </c>
      <c r="G269" t="inlineStr">
        <is>
          <t>Ontario Tennis Association</t>
        </is>
      </c>
      <c r="H269" t="inlineStr">
        <is>
          <t>Concord Tennis Academy</t>
        </is>
      </c>
      <c r="I269" t="n">
        <v>33</v>
      </c>
      <c r="J269" s="4" t="n">
        <v>65</v>
      </c>
      <c r="K269" t="inlineStr">
        <is>
          <t>31 / 34</t>
        </is>
      </c>
      <c r="L269" t="inlineStr">
        <is>
          <t>10 / 7</t>
        </is>
      </c>
      <c r="M269" s="5" t="n">
        <v>0.48</v>
      </c>
      <c r="N269" s="5" t="n">
        <v>0.59</v>
      </c>
    </row>
    <row r="270">
      <c r="A270" t="n">
        <v>269</v>
      </c>
      <c r="B270" t="n">
        <v>2012</v>
      </c>
      <c r="C270" t="inlineStr">
        <is>
          <t>Yunia Bartha</t>
        </is>
      </c>
      <c r="D270">
        <f>HYPERLINK("https://ota.tournamentsoftware.com/player-profile/3A2980C0-C922-4870-A2B4-18E74AC903C2", "Link")</f>
        <v/>
      </c>
      <c r="E270" s="3" t="n">
        <v>253.684</v>
      </c>
      <c r="F270" s="4" t="n">
        <v>24</v>
      </c>
      <c r="G270" t="inlineStr">
        <is>
          <t>Tennis Québec</t>
        </is>
      </c>
      <c r="H270" t="inlineStr">
        <is>
          <t>Club Sportif Côte-de-Liesse</t>
        </is>
      </c>
      <c r="I270" t="n">
        <v>33.5</v>
      </c>
      <c r="J270" s="4" t="n">
        <v>137</v>
      </c>
      <c r="K270" t="inlineStr">
        <is>
          <t>53 / 84</t>
        </is>
      </c>
      <c r="L270" t="inlineStr">
        <is>
          <t>9 / 20</t>
        </is>
      </c>
      <c r="M270" s="5" t="n">
        <v>0.39</v>
      </c>
      <c r="N270" s="5" t="n">
        <v>0.31</v>
      </c>
    </row>
    <row r="271">
      <c r="A271" t="n">
        <v>270</v>
      </c>
      <c r="B271" t="n">
        <v>2012</v>
      </c>
      <c r="C271" t="inlineStr">
        <is>
          <t>Jamie Cui</t>
        </is>
      </c>
      <c r="D271">
        <f>HYPERLINK("https://ota.tournamentsoftware.com/player-profile/6F7B90A5-BECB-44C9-9B4E-74FED8443672", "Link")</f>
        <v/>
      </c>
      <c r="E271" s="3" t="n">
        <v>253.154</v>
      </c>
      <c r="F271" s="4" t="n">
        <v>20</v>
      </c>
      <c r="G271" t="inlineStr">
        <is>
          <t>British Columbia</t>
        </is>
      </c>
      <c r="H271" t="inlineStr">
        <is>
          <t>Coquitlam Tennis Club</t>
        </is>
      </c>
      <c r="I271" t="inlineStr">
        <is>
          <t>unavailable</t>
        </is>
      </c>
      <c r="J271" s="4" t="n">
        <v>164</v>
      </c>
      <c r="K271" t="inlineStr">
        <is>
          <t>44 / 120</t>
        </is>
      </c>
      <c r="L271" t="inlineStr">
        <is>
          <t>7 / 17</t>
        </is>
      </c>
      <c r="M271" s="5" t="n">
        <v>0.27</v>
      </c>
      <c r="N271" s="5" t="n">
        <v>0.29</v>
      </c>
    </row>
    <row r="272">
      <c r="A272" t="n">
        <v>271</v>
      </c>
      <c r="B272" t="n">
        <v>2012</v>
      </c>
      <c r="C272" t="inlineStr">
        <is>
          <t>Trisha Singh</t>
        </is>
      </c>
      <c r="D272">
        <f>HYPERLINK("https://ota.tournamentsoftware.com/player-profile/CA831513-6963-4556-B8FD-4D148748EB19", "Link")</f>
        <v/>
      </c>
      <c r="E272" s="3" t="n">
        <v>250.421</v>
      </c>
      <c r="F272" s="4" t="n">
        <v>17</v>
      </c>
      <c r="G272" t="inlineStr">
        <is>
          <t>Tennis Québec</t>
        </is>
      </c>
      <c r="H272" t="inlineStr">
        <is>
          <t>Tennis 13 / Académie Ménard et associé</t>
        </is>
      </c>
      <c r="I272" t="n">
        <v>32</v>
      </c>
      <c r="J272" s="4" t="n">
        <v>85</v>
      </c>
      <c r="K272" t="inlineStr">
        <is>
          <t>36 / 49</t>
        </is>
      </c>
      <c r="L272" t="inlineStr">
        <is>
          <t>6 / 16</t>
        </is>
      </c>
      <c r="M272" s="5" t="n">
        <v>0.42</v>
      </c>
      <c r="N272" s="5" t="n">
        <v>0.27</v>
      </c>
    </row>
    <row r="273">
      <c r="A273" t="n">
        <v>272</v>
      </c>
      <c r="B273" t="n">
        <v>2015</v>
      </c>
      <c r="C273" t="inlineStr">
        <is>
          <t>Keira Braudo</t>
        </is>
      </c>
      <c r="D273">
        <f>HYPERLINK("https://ota.tournamentsoftware.com/player-profile/8D683600-A107-430B-BBAA-BD98BDCE0FD8", "Link")</f>
        <v/>
      </c>
      <c r="E273" s="3" t="n">
        <v>250.103</v>
      </c>
      <c r="F273" s="4" t="n">
        <v>13</v>
      </c>
      <c r="G273" t="inlineStr">
        <is>
          <t>Ontario Tennis Association</t>
        </is>
      </c>
      <c r="H273" t="inlineStr">
        <is>
          <t>Mayfair West Fitness &amp; Racquet Club</t>
        </is>
      </c>
      <c r="I273" t="n">
        <v>30.7</v>
      </c>
      <c r="J273" s="4" t="n">
        <v>66</v>
      </c>
      <c r="K273" t="inlineStr">
        <is>
          <t>44 / 22</t>
        </is>
      </c>
      <c r="L273" t="inlineStr">
        <is>
          <t>21 / 4</t>
        </is>
      </c>
      <c r="M273" s="5" t="n">
        <v>0.67</v>
      </c>
      <c r="N273" s="5" t="n">
        <v>0.84</v>
      </c>
    </row>
    <row r="274">
      <c r="A274" t="n">
        <v>273</v>
      </c>
      <c r="B274" t="n">
        <v>2014</v>
      </c>
      <c r="C274" t="inlineStr">
        <is>
          <t>Sara Liao</t>
        </is>
      </c>
      <c r="D274">
        <f>HYPERLINK("https://ota.tournamentsoftware.com/player-profile/A86A9BCB-375D-415C-BD04-3D7638B2F6E8", "Link")</f>
        <v/>
      </c>
      <c r="E274" s="3" t="n">
        <v>249.717</v>
      </c>
      <c r="F274" s="4" t="n">
        <v>33</v>
      </c>
      <c r="G274" t="inlineStr">
        <is>
          <t>Ontario Tennis Association</t>
        </is>
      </c>
      <c r="H274" t="inlineStr">
        <is>
          <t>Ontario Racquet Club</t>
        </is>
      </c>
      <c r="I274" t="n">
        <v>33.6</v>
      </c>
      <c r="J274" s="4" t="n">
        <v>113</v>
      </c>
      <c r="K274" t="inlineStr">
        <is>
          <t>54 / 59</t>
        </is>
      </c>
      <c r="L274" t="inlineStr">
        <is>
          <t>27 / 26</t>
        </is>
      </c>
      <c r="M274" s="5" t="n">
        <v>0.48</v>
      </c>
      <c r="N274" s="5" t="n">
        <v>0.51</v>
      </c>
    </row>
    <row r="275">
      <c r="A275" t="n">
        <v>274</v>
      </c>
      <c r="B275" t="n">
        <v>2014</v>
      </c>
      <c r="C275" t="inlineStr">
        <is>
          <t>Emma Lajoie</t>
        </is>
      </c>
      <c r="D275">
        <f>HYPERLINK("https://ota.tournamentsoftware.com/player-profile/E1635D80-45C0-4A06-8270-280699032897", "Link")</f>
        <v/>
      </c>
      <c r="E275" s="3" t="n">
        <v>249.285</v>
      </c>
      <c r="F275" s="4" t="n">
        <v>23</v>
      </c>
      <c r="G275" t="inlineStr">
        <is>
          <t>Tennis Québec</t>
        </is>
      </c>
      <c r="H275" t="inlineStr">
        <is>
          <t>SANI Sport</t>
        </is>
      </c>
      <c r="I275" t="n">
        <v>33</v>
      </c>
      <c r="J275" s="4" t="n">
        <v>160</v>
      </c>
      <c r="K275" t="inlineStr">
        <is>
          <t>81 / 79</t>
        </is>
      </c>
      <c r="L275" t="inlineStr">
        <is>
          <t>19 / 23</t>
        </is>
      </c>
      <c r="M275" s="5" t="n">
        <v>0.51</v>
      </c>
      <c r="N275" s="5" t="n">
        <v>0.45</v>
      </c>
    </row>
    <row r="276">
      <c r="A276" t="n">
        <v>275</v>
      </c>
      <c r="B276" t="n">
        <v>2013</v>
      </c>
      <c r="C276" t="inlineStr">
        <is>
          <t>Elina Farmanbar</t>
        </is>
      </c>
      <c r="D276">
        <f>HYPERLINK("https://ota.tournamentsoftware.com/player-profile/CBAE609B-7C8B-4EA5-976F-0F6C1089D79C", "Link")</f>
        <v/>
      </c>
      <c r="E276" s="3" t="n">
        <v>248</v>
      </c>
      <c r="F276" s="4" t="n">
        <v>1</v>
      </c>
      <c r="G276" t="inlineStr">
        <is>
          <t>Ontario Tennis Association</t>
        </is>
      </c>
      <c r="H276" t="inlineStr">
        <is>
          <t>Thornhill Park Tennis Club</t>
        </is>
      </c>
      <c r="I276" t="n">
        <v>24</v>
      </c>
      <c r="J276" s="4" t="n">
        <v>73</v>
      </c>
      <c r="K276" t="inlineStr">
        <is>
          <t>54 / 19</t>
        </is>
      </c>
      <c r="L276" t="inlineStr">
        <is>
          <t>0 / 0</t>
        </is>
      </c>
      <c r="M276" s="5" t="n">
        <v>0.74</v>
      </c>
      <c r="N276" s="5" t="n">
        <v>0</v>
      </c>
    </row>
    <row r="277">
      <c r="A277" t="n">
        <v>276</v>
      </c>
      <c r="B277" t="n">
        <v>2012</v>
      </c>
      <c r="C277" t="inlineStr">
        <is>
          <t>Sophia Zhang</t>
        </is>
      </c>
      <c r="D277">
        <f>HYPERLINK("https://ota.tournamentsoftware.com/player-profile/D3858E79-6F6D-42C3-B497-74590CD50165", "Link")</f>
        <v/>
      </c>
      <c r="E277" s="3" t="n">
        <v>246.89</v>
      </c>
      <c r="F277" s="4" t="n">
        <v>10</v>
      </c>
      <c r="G277" t="inlineStr">
        <is>
          <t>British Columbia</t>
        </is>
      </c>
      <c r="H277" t="inlineStr">
        <is>
          <t>Richmond Country Club</t>
        </is>
      </c>
      <c r="I277" t="n">
        <v>32.9</v>
      </c>
      <c r="J277" s="4" t="n">
        <v>120</v>
      </c>
      <c r="K277" t="inlineStr">
        <is>
          <t>33 / 87</t>
        </is>
      </c>
      <c r="L277" t="inlineStr">
        <is>
          <t>1 / 10</t>
        </is>
      </c>
      <c r="M277" s="5" t="n">
        <v>0.28</v>
      </c>
      <c r="N277" s="5" t="n">
        <v>0.09</v>
      </c>
    </row>
    <row r="278">
      <c r="A278" t="n">
        <v>277</v>
      </c>
      <c r="B278" t="n">
        <v>2012</v>
      </c>
      <c r="C278" t="inlineStr">
        <is>
          <t>Norah Diop</t>
        </is>
      </c>
      <c r="D278">
        <f>HYPERLINK("https://ota.tournamentsoftware.com/player-profile/1B130952-D24A-467D-813D-2DA5B56ADFFF", "Link")</f>
        <v/>
      </c>
      <c r="E278" s="3" t="n">
        <v>245.04</v>
      </c>
      <c r="F278" s="4" t="n">
        <v>19</v>
      </c>
      <c r="G278" t="inlineStr">
        <is>
          <t>Tennis Québec</t>
        </is>
      </c>
      <c r="H278" t="inlineStr">
        <is>
          <t>Tennis 13</t>
        </is>
      </c>
      <c r="I278" t="inlineStr">
        <is>
          <t>unavailable</t>
        </is>
      </c>
      <c r="J278" s="4" t="n">
        <v>82</v>
      </c>
      <c r="K278" t="inlineStr">
        <is>
          <t>36 / 46</t>
        </is>
      </c>
      <c r="L278" t="inlineStr">
        <is>
          <t>11 / 11</t>
        </is>
      </c>
      <c r="M278" s="5" t="n">
        <v>0.44</v>
      </c>
      <c r="N278" s="5" t="n">
        <v>0.5</v>
      </c>
    </row>
    <row r="279">
      <c r="A279" t="n">
        <v>278</v>
      </c>
      <c r="B279" t="n">
        <v>2013</v>
      </c>
      <c r="C279" t="inlineStr">
        <is>
          <t>Ava Dancik</t>
        </is>
      </c>
      <c r="D279">
        <f>HYPERLINK("https://ota.tournamentsoftware.com/player-profile/CF808414-C0CE-4B07-9667-D3EE492D6BCE", "Link")</f>
        <v/>
      </c>
      <c r="E279" s="3" t="n">
        <v>244.96</v>
      </c>
      <c r="F279" s="4" t="n">
        <v>10</v>
      </c>
      <c r="G279" t="inlineStr">
        <is>
          <t>Tennis Québec</t>
        </is>
      </c>
      <c r="H279" t="inlineStr">
        <is>
          <t>Tennis Ile- des- Soeurs</t>
        </is>
      </c>
      <c r="I279" t="n">
        <v>30.7</v>
      </c>
      <c r="J279" s="4" t="n">
        <v>212</v>
      </c>
      <c r="K279" t="inlineStr">
        <is>
          <t>109 / 103</t>
        </is>
      </c>
      <c r="L279" t="inlineStr">
        <is>
          <t>13 / 6</t>
        </is>
      </c>
      <c r="M279" s="5" t="n">
        <v>0.51</v>
      </c>
      <c r="N279" s="5" t="n">
        <v>0.68</v>
      </c>
    </row>
    <row r="280">
      <c r="A280" t="n">
        <v>279</v>
      </c>
      <c r="B280" t="n">
        <v>2014</v>
      </c>
      <c r="C280" t="inlineStr">
        <is>
          <t>Ela Velic</t>
        </is>
      </c>
      <c r="D280">
        <f>HYPERLINK("https://ota.tournamentsoftware.com/player-profile/5CC54F7D-0D30-4EF4-BE6C-A336041BBEE2", "Link")</f>
        <v/>
      </c>
      <c r="E280" s="3" t="n">
        <v>242.549</v>
      </c>
      <c r="F280" s="4" t="n">
        <v>21</v>
      </c>
      <c r="G280" t="inlineStr">
        <is>
          <t>Ontario Tennis Association</t>
        </is>
      </c>
      <c r="H280" t="inlineStr">
        <is>
          <t>Central Tennis Club</t>
        </is>
      </c>
      <c r="I280" t="n">
        <v>34</v>
      </c>
      <c r="J280" s="4" t="n">
        <v>93</v>
      </c>
      <c r="K280" t="inlineStr">
        <is>
          <t>49 / 44</t>
        </is>
      </c>
      <c r="L280" t="inlineStr">
        <is>
          <t>18 / 16</t>
        </is>
      </c>
      <c r="M280" s="5" t="n">
        <v>0.53</v>
      </c>
      <c r="N280" s="5" t="n">
        <v>0.53</v>
      </c>
    </row>
    <row r="281">
      <c r="A281" t="n">
        <v>280</v>
      </c>
      <c r="B281" t="n">
        <v>2012</v>
      </c>
      <c r="C281" t="inlineStr">
        <is>
          <t>MICHELLE OREANE OLA ECHAO</t>
        </is>
      </c>
      <c r="D281">
        <f>HYPERLINK("https://ota.tournamentsoftware.com/player-profile/50FA5AE5-9557-483C-94FB-05937E25C837", "Link")</f>
        <v/>
      </c>
      <c r="E281" s="3" t="n">
        <v>241.101</v>
      </c>
      <c r="F281" s="4" t="n">
        <v>10</v>
      </c>
      <c r="G281" t="inlineStr">
        <is>
          <t>Ontario Tennis Association</t>
        </is>
      </c>
      <c r="H281" t="inlineStr">
        <is>
          <t>Rideau Sports Centre</t>
        </is>
      </c>
      <c r="I281" t="n">
        <v>36.9</v>
      </c>
      <c r="J281" s="4" t="n">
        <v>55</v>
      </c>
      <c r="K281" t="inlineStr">
        <is>
          <t>12 / 43</t>
        </is>
      </c>
      <c r="L281" t="inlineStr">
        <is>
          <t>3 / 8</t>
        </is>
      </c>
      <c r="M281" s="5" t="n">
        <v>0.22</v>
      </c>
      <c r="N281" s="5" t="n">
        <v>0.27</v>
      </c>
    </row>
    <row r="282">
      <c r="A282" t="n">
        <v>281</v>
      </c>
      <c r="B282" t="n">
        <v>2014</v>
      </c>
      <c r="C282" t="inlineStr">
        <is>
          <t>anne xie</t>
        </is>
      </c>
      <c r="D282">
        <f>HYPERLINK("https://ota.tournamentsoftware.com/player-profile/FA9126B9-8D97-4D5E-9E34-8893BB836AE1", "Link")</f>
        <v/>
      </c>
      <c r="E282" s="3" t="n">
        <v>240.344</v>
      </c>
      <c r="F282" s="4" t="n">
        <v>26</v>
      </c>
      <c r="G282" t="inlineStr">
        <is>
          <t>British Columbia</t>
        </is>
      </c>
      <c r="H282" t="inlineStr">
        <is>
          <t>North Vancouver Tennis Centre</t>
        </is>
      </c>
      <c r="I282" t="n">
        <v>30.2</v>
      </c>
      <c r="J282" s="4" t="n">
        <v>251</v>
      </c>
      <c r="K282" t="inlineStr">
        <is>
          <t>120 / 131</t>
        </is>
      </c>
      <c r="L282" t="inlineStr">
        <is>
          <t>23 / 23</t>
        </is>
      </c>
      <c r="M282" s="5" t="n">
        <v>0.48</v>
      </c>
      <c r="N282" s="5" t="n">
        <v>0.5</v>
      </c>
    </row>
    <row r="283">
      <c r="A283" t="n">
        <v>282</v>
      </c>
      <c r="B283" t="n">
        <v>2015</v>
      </c>
      <c r="C283" t="inlineStr">
        <is>
          <t>Ella Potechin</t>
        </is>
      </c>
      <c r="D283">
        <f>HYPERLINK("https://ota.tournamentsoftware.com/player-profile/6611C50A-5A2F-4DF7-B99B-97DD644D2C2A", "Link")</f>
        <v/>
      </c>
      <c r="E283" s="3" t="n">
        <v>239.009</v>
      </c>
      <c r="F283" s="4" t="n">
        <v>16</v>
      </c>
      <c r="G283" t="inlineStr">
        <is>
          <t>Ontario Tennis Association</t>
        </is>
      </c>
      <c r="H283" t="inlineStr">
        <is>
          <t>Tennis Outaouais Performance (TOP) ON</t>
        </is>
      </c>
      <c r="I283" t="n">
        <v>34.9</v>
      </c>
      <c r="J283" s="4" t="n">
        <v>87</v>
      </c>
      <c r="K283" t="inlineStr">
        <is>
          <t>33 / 54</t>
        </is>
      </c>
      <c r="L283" t="inlineStr">
        <is>
          <t>16 / 18</t>
        </is>
      </c>
      <c r="M283" s="5" t="n">
        <v>0.38</v>
      </c>
      <c r="N283" s="5" t="n">
        <v>0.47</v>
      </c>
    </row>
    <row r="284">
      <c r="A284" t="n">
        <v>283</v>
      </c>
      <c r="B284" t="n">
        <v>2015</v>
      </c>
      <c r="C284" t="inlineStr">
        <is>
          <t>Liana Arendain</t>
        </is>
      </c>
      <c r="D284">
        <f>HYPERLINK("https://ota.tournamentsoftware.com/player-profile/2D89D481-D621-43AF-8792-3F0114FE4D77", "Link")</f>
        <v/>
      </c>
      <c r="E284" s="3" t="n">
        <v>238.244</v>
      </c>
      <c r="F284" s="4" t="n">
        <v>19</v>
      </c>
      <c r="G284" t="inlineStr">
        <is>
          <t>Tennis Alberta</t>
        </is>
      </c>
      <c r="H284" t="inlineStr">
        <is>
          <t>Saville Community Sports Centre</t>
        </is>
      </c>
      <c r="I284" t="n">
        <v>31.4</v>
      </c>
      <c r="J284" s="4" t="n">
        <v>143</v>
      </c>
      <c r="K284" t="inlineStr">
        <is>
          <t>97 / 46</t>
        </is>
      </c>
      <c r="L284" t="inlineStr">
        <is>
          <t>30 / 18</t>
        </is>
      </c>
      <c r="M284" s="5" t="n">
        <v>0.68</v>
      </c>
      <c r="N284" s="5" t="n">
        <v>0.62</v>
      </c>
    </row>
    <row r="285">
      <c r="A285" t="n">
        <v>284</v>
      </c>
      <c r="B285" t="n">
        <v>2012</v>
      </c>
      <c r="C285" t="inlineStr">
        <is>
          <t>Ariella Wainer</t>
        </is>
      </c>
      <c r="D285">
        <f>HYPERLINK("https://ota.tournamentsoftware.com/player-profile/29A07F50-E6F3-4FFE-84BF-31DB048552D6", "Link")</f>
        <v/>
      </c>
      <c r="E285" s="3" t="n">
        <v>238.158</v>
      </c>
      <c r="F285" s="4" t="n">
        <v>24</v>
      </c>
      <c r="G285" t="inlineStr">
        <is>
          <t>Tennis Québec</t>
        </is>
      </c>
      <c r="H285" t="inlineStr">
        <is>
          <t>Club Sportif Côte-de-Liesse</t>
        </is>
      </c>
      <c r="I285" t="n">
        <v>34.9</v>
      </c>
      <c r="J285" s="4" t="n">
        <v>169</v>
      </c>
      <c r="K285" t="inlineStr">
        <is>
          <t>57 / 112</t>
        </is>
      </c>
      <c r="L285" t="inlineStr">
        <is>
          <t>3 / 17</t>
        </is>
      </c>
      <c r="M285" s="5" t="n">
        <v>0.34</v>
      </c>
      <c r="N285" s="5" t="n">
        <v>0.15</v>
      </c>
    </row>
    <row r="286">
      <c r="A286" t="n">
        <v>285</v>
      </c>
      <c r="B286" t="n">
        <v>2015</v>
      </c>
      <c r="C286" t="inlineStr">
        <is>
          <t>Violetta Munoz</t>
        </is>
      </c>
      <c r="D286">
        <f>HYPERLINK("https://ota.tournamentsoftware.com/player-profile/55FD2B42-2961-45DA-8250-9ECCED0E6566", "Link")</f>
        <v/>
      </c>
      <c r="E286" s="3" t="n">
        <v>236.517</v>
      </c>
      <c r="F286" s="4" t="n">
        <v>26</v>
      </c>
      <c r="G286" t="inlineStr">
        <is>
          <t>Tennis Québec</t>
        </is>
      </c>
      <c r="H286" t="inlineStr">
        <is>
          <t>Carrefour Multisports</t>
        </is>
      </c>
      <c r="I286" t="n">
        <v>32</v>
      </c>
      <c r="J286" s="4" t="n">
        <v>176</v>
      </c>
      <c r="K286" t="inlineStr">
        <is>
          <t>93 / 83</t>
        </is>
      </c>
      <c r="L286" t="inlineStr">
        <is>
          <t>22 / 18</t>
        </is>
      </c>
      <c r="M286" s="5" t="n">
        <v>0.53</v>
      </c>
      <c r="N286" s="5" t="n">
        <v>0.55</v>
      </c>
    </row>
    <row r="287">
      <c r="A287" t="n">
        <v>286</v>
      </c>
      <c r="B287" t="n">
        <v>2014</v>
      </c>
      <c r="C287" t="inlineStr">
        <is>
          <t>Penelope Anne McMillan</t>
        </is>
      </c>
      <c r="D287">
        <f>HYPERLINK("https://ota.tournamentsoftware.com/player-profile/D7699338-4FE5-4F30-9A7D-8E14842C2A9B", "Link")</f>
        <v/>
      </c>
      <c r="E287" s="3" t="n">
        <v>235.813</v>
      </c>
      <c r="F287" s="4" t="n">
        <v>9</v>
      </c>
      <c r="G287" t="inlineStr">
        <is>
          <t>Tennis Nova Scotia</t>
        </is>
      </c>
      <c r="H287" t="inlineStr">
        <is>
          <t>Atlantic Tennis Centre</t>
        </is>
      </c>
      <c r="I287" t="n">
        <v>36.1</v>
      </c>
      <c r="J287" s="4" t="n">
        <v>105</v>
      </c>
      <c r="K287" t="inlineStr">
        <is>
          <t>43 / 62</t>
        </is>
      </c>
      <c r="L287" t="inlineStr">
        <is>
          <t>13 / 22</t>
        </is>
      </c>
      <c r="M287" s="5" t="n">
        <v>0.41</v>
      </c>
      <c r="N287" s="5" t="n">
        <v>0.37</v>
      </c>
    </row>
    <row r="288">
      <c r="A288" t="n">
        <v>287</v>
      </c>
      <c r="B288" t="n">
        <v>2015</v>
      </c>
      <c r="C288" t="inlineStr">
        <is>
          <t>Alexia Picciola</t>
        </is>
      </c>
      <c r="D288">
        <f>HYPERLINK("https://ota.tournamentsoftware.com/player-profile/91C9A734-3E6E-45CC-B46D-51BF9C9A7FC4", "Link")</f>
        <v/>
      </c>
      <c r="E288" s="3" t="n">
        <v>235.183</v>
      </c>
      <c r="F288" s="4" t="n">
        <v>19</v>
      </c>
      <c r="G288" t="inlineStr">
        <is>
          <t>Tennis Québec</t>
        </is>
      </c>
      <c r="H288" t="inlineStr">
        <is>
          <t>Tennis Montréal Excellence</t>
        </is>
      </c>
      <c r="I288" t="n">
        <v>31.5</v>
      </c>
      <c r="J288" s="4" t="n">
        <v>160</v>
      </c>
      <c r="K288" t="inlineStr">
        <is>
          <t>78 / 82</t>
        </is>
      </c>
      <c r="L288" t="inlineStr">
        <is>
          <t>31 / 16</t>
        </is>
      </c>
      <c r="M288" s="5" t="n">
        <v>0.49</v>
      </c>
      <c r="N288" s="5" t="n">
        <v>0.66</v>
      </c>
    </row>
    <row r="289">
      <c r="A289" t="n">
        <v>288</v>
      </c>
      <c r="B289" t="n">
        <v>2013</v>
      </c>
      <c r="C289" t="inlineStr">
        <is>
          <t>Ria Tamber</t>
        </is>
      </c>
      <c r="D289">
        <f>HYPERLINK("https://ota.tournamentsoftware.com/player-profile/4A086BBB-EEC2-48A4-BDDA-142D9D4A3534", "Link")</f>
        <v/>
      </c>
      <c r="E289" s="3" t="n">
        <v>234.984</v>
      </c>
      <c r="F289" s="4" t="n">
        <v>22</v>
      </c>
      <c r="G289" t="inlineStr">
        <is>
          <t>Ontario Tennis Association</t>
        </is>
      </c>
      <c r="H289" t="inlineStr">
        <is>
          <t>Premier Racquet Clubs – Mississauga</t>
        </is>
      </c>
      <c r="I289" t="inlineStr">
        <is>
          <t>unavailable</t>
        </is>
      </c>
      <c r="J289" s="4" t="n">
        <v>94</v>
      </c>
      <c r="K289" t="inlineStr">
        <is>
          <t>39 / 55</t>
        </is>
      </c>
      <c r="L289" t="inlineStr">
        <is>
          <t>12 / 15</t>
        </is>
      </c>
      <c r="M289" s="5" t="n">
        <v>0.41</v>
      </c>
      <c r="N289" s="5" t="n">
        <v>0.44</v>
      </c>
    </row>
    <row r="290">
      <c r="A290" t="n">
        <v>289</v>
      </c>
      <c r="B290" t="n">
        <v>2013</v>
      </c>
      <c r="C290" t="inlineStr">
        <is>
          <t>Hazel Sharma</t>
        </is>
      </c>
      <c r="D290">
        <f>HYPERLINK("https://ota.tournamentsoftware.com/player-profile/114D9BCA-C6DA-49E0-9F64-5FB54E5B0E3E", "Link")</f>
        <v/>
      </c>
      <c r="E290" s="3" t="n">
        <v>234.934</v>
      </c>
      <c r="F290" s="4" t="n">
        <v>17</v>
      </c>
      <c r="G290" t="inlineStr">
        <is>
          <t>British Columbia</t>
        </is>
      </c>
      <c r="H290" t="inlineStr">
        <is>
          <t>The Tennis Centre</t>
        </is>
      </c>
      <c r="I290" t="n">
        <v>32.5</v>
      </c>
      <c r="J290" s="4" t="n">
        <v>192</v>
      </c>
      <c r="K290" t="inlineStr">
        <is>
          <t>85 / 107</t>
        </is>
      </c>
      <c r="L290" t="inlineStr">
        <is>
          <t>16 / 12</t>
        </is>
      </c>
      <c r="M290" s="5" t="n">
        <v>0.44</v>
      </c>
      <c r="N290" s="5" t="n">
        <v>0.57</v>
      </c>
    </row>
    <row r="291">
      <c r="A291" t="n">
        <v>290</v>
      </c>
      <c r="B291" t="n">
        <v>2015</v>
      </c>
      <c r="C291" t="inlineStr">
        <is>
          <t>ESTHER HAO</t>
        </is>
      </c>
      <c r="D291">
        <f>HYPERLINK("https://ota.tournamentsoftware.com/player-profile/8EA584DE-3986-4803-A3AA-F96230F853A7", "Link")</f>
        <v/>
      </c>
      <c r="E291" s="3" t="n">
        <v>233.33</v>
      </c>
      <c r="F291" s="4" t="n">
        <v>23</v>
      </c>
      <c r="G291" t="inlineStr">
        <is>
          <t>Ontario Tennis Association</t>
        </is>
      </c>
      <c r="H291" t="inlineStr">
        <is>
          <t>Ontario Racquet Club</t>
        </is>
      </c>
      <c r="I291" t="n">
        <v>34.2</v>
      </c>
      <c r="J291" s="4" t="n">
        <v>215</v>
      </c>
      <c r="K291" t="inlineStr">
        <is>
          <t>131 / 84</t>
        </is>
      </c>
      <c r="L291" t="inlineStr">
        <is>
          <t>9 / 9</t>
        </is>
      </c>
      <c r="M291" s="5" t="n">
        <v>0.61</v>
      </c>
      <c r="N291" s="5" t="n">
        <v>0.5</v>
      </c>
    </row>
    <row r="292">
      <c r="A292" t="n">
        <v>291</v>
      </c>
      <c r="B292" t="n">
        <v>2013</v>
      </c>
      <c r="C292" t="inlineStr">
        <is>
          <t>Victoria Ta</t>
        </is>
      </c>
      <c r="D292">
        <f>HYPERLINK("https://ota.tournamentsoftware.com/player-profile/A9D6CF45-A7F1-427F-A376-2C40852D98CD", "Link")</f>
        <v/>
      </c>
      <c r="E292" s="3" t="n">
        <v>232.195</v>
      </c>
      <c r="F292" s="4" t="n">
        <v>19</v>
      </c>
      <c r="G292" t="inlineStr">
        <is>
          <t>Ontario Tennis Association</t>
        </is>
      </c>
      <c r="H292" t="inlineStr">
        <is>
          <t>Lambton Golf &amp; Country Club</t>
        </is>
      </c>
      <c r="I292" t="n">
        <v>32.8</v>
      </c>
      <c r="J292" s="4" t="n">
        <v>97</v>
      </c>
      <c r="K292" t="inlineStr">
        <is>
          <t>47 / 50</t>
        </is>
      </c>
      <c r="L292" t="inlineStr">
        <is>
          <t>12 / 10</t>
        </is>
      </c>
      <c r="M292" s="5" t="n">
        <v>0.48</v>
      </c>
      <c r="N292" s="5" t="n">
        <v>0.55</v>
      </c>
    </row>
    <row r="293">
      <c r="A293" t="n">
        <v>292</v>
      </c>
      <c r="B293" t="n">
        <v>2015</v>
      </c>
      <c r="C293" t="inlineStr">
        <is>
          <t>Lacey Isabella Ly</t>
        </is>
      </c>
      <c r="D293">
        <f>HYPERLINK("https://ota.tournamentsoftware.com/player-profile/878918D3-5C76-4815-A98A-1D1A49BFC21F", "Link")</f>
        <v/>
      </c>
      <c r="E293" s="3" t="n">
        <v>231.26</v>
      </c>
      <c r="F293" s="4" t="n">
        <v>12</v>
      </c>
      <c r="G293" t="inlineStr">
        <is>
          <t>British Columbia</t>
        </is>
      </c>
      <c r="H293" t="inlineStr">
        <is>
          <t>The Tennis Centre</t>
        </is>
      </c>
      <c r="I293" t="n">
        <v>30.8</v>
      </c>
      <c r="J293" s="4" t="n">
        <v>133</v>
      </c>
      <c r="K293" t="inlineStr">
        <is>
          <t>100 / 33</t>
        </is>
      </c>
      <c r="L293" t="inlineStr">
        <is>
          <t>23 / 9</t>
        </is>
      </c>
      <c r="M293" s="5" t="n">
        <v>0.75</v>
      </c>
      <c r="N293" s="5" t="n">
        <v>0.72</v>
      </c>
    </row>
    <row r="294">
      <c r="A294" t="n">
        <v>293</v>
      </c>
      <c r="B294" t="n">
        <v>2014</v>
      </c>
      <c r="C294" t="inlineStr">
        <is>
          <t>Candice YAO</t>
        </is>
      </c>
      <c r="D294">
        <f>HYPERLINK("https://ota.tournamentsoftware.com/player-profile/2EEE6D95-1504-4E36-A996-F48A3CD7FC03", "Link")</f>
        <v/>
      </c>
      <c r="E294" s="3" t="n">
        <v>231.193</v>
      </c>
      <c r="F294" s="4" t="n">
        <v>19</v>
      </c>
      <c r="G294" t="inlineStr">
        <is>
          <t>Ontario Tennis Association</t>
        </is>
      </c>
      <c r="H294" t="inlineStr">
        <is>
          <t>Richmondhill Golf &amp; Country Club</t>
        </is>
      </c>
      <c r="I294" t="n">
        <v>32.4</v>
      </c>
      <c r="J294" s="4" t="n">
        <v>90</v>
      </c>
      <c r="K294" t="inlineStr">
        <is>
          <t>40 / 50</t>
        </is>
      </c>
      <c r="L294" t="inlineStr">
        <is>
          <t>16 / 11</t>
        </is>
      </c>
      <c r="M294" s="5" t="n">
        <v>0.44</v>
      </c>
      <c r="N294" s="5" t="n">
        <v>0.59</v>
      </c>
    </row>
    <row r="295">
      <c r="A295" t="n">
        <v>294</v>
      </c>
      <c r="B295" t="n">
        <v>2014</v>
      </c>
      <c r="C295" t="inlineStr">
        <is>
          <t>Dora Zhang</t>
        </is>
      </c>
      <c r="D295">
        <f>HYPERLINK("https://ota.tournamentsoftware.com/player-profile/3772BD57-A73E-4652-86C8-E1885FE20DCF", "Link")</f>
        <v/>
      </c>
      <c r="E295" s="3" t="n">
        <v>230.464</v>
      </c>
      <c r="F295" s="4" t="n">
        <v>20</v>
      </c>
      <c r="G295" t="inlineStr">
        <is>
          <t>Ontario Tennis Association</t>
        </is>
      </c>
      <c r="H295" t="inlineStr">
        <is>
          <t>Toronto Tennis City</t>
        </is>
      </c>
      <c r="I295" t="n">
        <v>33.1</v>
      </c>
      <c r="J295" s="4" t="n">
        <v>50</v>
      </c>
      <c r="K295" t="inlineStr">
        <is>
          <t>36 / 14</t>
        </is>
      </c>
      <c r="L295" t="inlineStr">
        <is>
          <t>5 / 4</t>
        </is>
      </c>
      <c r="M295" s="5" t="n">
        <v>0.72</v>
      </c>
      <c r="N295" s="5" t="n">
        <v>0.5600000000000001</v>
      </c>
    </row>
    <row r="296">
      <c r="A296" t="n">
        <v>295</v>
      </c>
      <c r="B296" t="n">
        <v>2012</v>
      </c>
      <c r="C296" t="inlineStr">
        <is>
          <t>Saroop Randhawa</t>
        </is>
      </c>
      <c r="D296">
        <f>HYPERLINK("https://ota.tournamentsoftware.com/player-profile/5F710ADB-6059-4376-8917-220BAD95C9B2", "Link")</f>
        <v/>
      </c>
      <c r="E296" s="3" t="n">
        <v>228</v>
      </c>
      <c r="F296" s="4" t="n">
        <v>2</v>
      </c>
      <c r="G296" t="inlineStr">
        <is>
          <t>Ontario Tennis Association</t>
        </is>
      </c>
      <c r="H296" t="inlineStr">
        <is>
          <t>Advantage Tennis International at Veneto</t>
        </is>
      </c>
      <c r="I296" t="n">
        <v>21.8</v>
      </c>
      <c r="J296" s="4" t="n">
        <v>153</v>
      </c>
      <c r="K296" t="inlineStr">
        <is>
          <t>114 / 39</t>
        </is>
      </c>
      <c r="L296" t="inlineStr">
        <is>
          <t>5 / 0</t>
        </is>
      </c>
      <c r="M296" s="5" t="n">
        <v>0.75</v>
      </c>
      <c r="N296" s="5" t="n">
        <v>1</v>
      </c>
    </row>
    <row r="297">
      <c r="A297" t="n">
        <v>296</v>
      </c>
      <c r="B297" t="n">
        <v>2012</v>
      </c>
      <c r="C297" t="inlineStr">
        <is>
          <t>Eva Brisson</t>
        </is>
      </c>
      <c r="D297">
        <f>HYPERLINK("https://ota.tournamentsoftware.com/player-profile/BC349487-CEB9-4CB8-ABCF-1006DD0F69AA", "Link")</f>
        <v/>
      </c>
      <c r="E297" s="3" t="n">
        <v>227.99</v>
      </c>
      <c r="F297" s="4" t="n">
        <v>21</v>
      </c>
      <c r="G297" t="inlineStr">
        <is>
          <t>Tennis Québec</t>
        </is>
      </c>
      <c r="H297" t="inlineStr">
        <is>
          <t>Club Sportif Côte-de-Liesse</t>
        </is>
      </c>
      <c r="I297" t="n">
        <v>32.9</v>
      </c>
      <c r="J297" s="4" t="n">
        <v>136</v>
      </c>
      <c r="K297" t="inlineStr">
        <is>
          <t>55 / 81</t>
        </is>
      </c>
      <c r="L297" t="inlineStr">
        <is>
          <t>9 / 13</t>
        </is>
      </c>
      <c r="M297" s="5" t="n">
        <v>0.4</v>
      </c>
      <c r="N297" s="5" t="n">
        <v>0.41</v>
      </c>
    </row>
    <row r="298">
      <c r="A298" t="n">
        <v>297</v>
      </c>
      <c r="B298" t="n">
        <v>2012</v>
      </c>
      <c r="C298" t="inlineStr">
        <is>
          <t>Louanna Perron</t>
        </is>
      </c>
      <c r="D298">
        <f>HYPERLINK("https://ota.tournamentsoftware.com/player-profile/0D5BD355-F71F-4A8A-B269-0D225B56C809", "Link")</f>
        <v/>
      </c>
      <c r="E298" s="3" t="n">
        <v>227.848</v>
      </c>
      <c r="F298" s="4" t="n">
        <v>9</v>
      </c>
      <c r="G298" t="inlineStr">
        <is>
          <t>Tennis Québec</t>
        </is>
      </c>
      <c r="H298" t="inlineStr">
        <is>
          <t>Tennis 13 / Académie Ménard et associé</t>
        </is>
      </c>
      <c r="I298" t="n">
        <v>33.3</v>
      </c>
      <c r="J298" s="4" t="n">
        <v>20</v>
      </c>
      <c r="K298" t="inlineStr">
        <is>
          <t>9 / 11</t>
        </is>
      </c>
      <c r="L298" t="inlineStr">
        <is>
          <t>3 / 5</t>
        </is>
      </c>
      <c r="M298" s="5" t="n">
        <v>0.45</v>
      </c>
      <c r="N298" s="5" t="n">
        <v>0.38</v>
      </c>
    </row>
    <row r="299">
      <c r="A299" t="n">
        <v>298</v>
      </c>
      <c r="B299" t="n">
        <v>2012</v>
      </c>
      <c r="C299" t="inlineStr">
        <is>
          <t>Charlotte Gal</t>
        </is>
      </c>
      <c r="D299">
        <f>HYPERLINK("https://ota.tournamentsoftware.com/player-profile/EF0AF614-E6CE-4E3C-9FC4-7EF8A5EB6B57", "Link")</f>
        <v/>
      </c>
      <c r="E299" s="3" t="n">
        <v>227.232</v>
      </c>
      <c r="F299" s="4" t="n">
        <v>4</v>
      </c>
      <c r="G299" t="inlineStr">
        <is>
          <t>Tennis Nova Scotia</t>
        </is>
      </c>
      <c r="H299" t="inlineStr">
        <is>
          <t>HEADSTART</t>
        </is>
      </c>
      <c r="I299" t="n">
        <v>37.2</v>
      </c>
      <c r="J299" s="4" t="n">
        <v>23</v>
      </c>
      <c r="K299" t="inlineStr">
        <is>
          <t>6 / 17</t>
        </is>
      </c>
      <c r="L299" t="inlineStr">
        <is>
          <t>2 / 11</t>
        </is>
      </c>
      <c r="M299" s="5" t="n">
        <v>0.26</v>
      </c>
      <c r="N299" s="5" t="n">
        <v>0.15</v>
      </c>
    </row>
    <row r="300">
      <c r="A300" t="n">
        <v>299</v>
      </c>
      <c r="B300" t="n">
        <v>2015</v>
      </c>
      <c r="C300" t="inlineStr">
        <is>
          <t>MASAL ELA YAZICI</t>
        </is>
      </c>
      <c r="D300">
        <f>HYPERLINK("https://ota.tournamentsoftware.com/player-profile/8556435C-B5F1-47A5-8C4A-46AF5B800D78", "Link")</f>
        <v/>
      </c>
      <c r="E300" s="3" t="n">
        <v>223.946</v>
      </c>
      <c r="F300" s="4" t="n">
        <v>18</v>
      </c>
      <c r="G300" t="inlineStr">
        <is>
          <t>Ontario Tennis Association</t>
        </is>
      </c>
      <c r="H300" t="inlineStr">
        <is>
          <t>Mayfair West Fitness &amp; Racquet Club</t>
        </is>
      </c>
      <c r="I300" t="n">
        <v>32.9</v>
      </c>
      <c r="J300" s="4" t="n">
        <v>54</v>
      </c>
      <c r="K300" t="inlineStr">
        <is>
          <t>35 / 19</t>
        </is>
      </c>
      <c r="L300" t="inlineStr">
        <is>
          <t>27 / 12</t>
        </is>
      </c>
      <c r="M300" s="5" t="n">
        <v>0.65</v>
      </c>
      <c r="N300" s="5" t="n">
        <v>0.6899999999999999</v>
      </c>
    </row>
    <row r="301">
      <c r="A301" t="n">
        <v>300</v>
      </c>
      <c r="B301" t="n">
        <v>2014</v>
      </c>
      <c r="C301" t="inlineStr">
        <is>
          <t>Aryella Ainame Duran Khongwir</t>
        </is>
      </c>
      <c r="D301">
        <f>HYPERLINK("https://ota.tournamentsoftware.com/player-profile/6DB3D46F-3C74-400D-92A4-62CF55426936", "Link")</f>
        <v/>
      </c>
      <c r="E301" s="3" t="n">
        <v>223.594</v>
      </c>
      <c r="F301" s="4" t="n">
        <v>19</v>
      </c>
      <c r="G301" t="inlineStr">
        <is>
          <t>Ontario Tennis Association</t>
        </is>
      </c>
      <c r="H301" t="inlineStr">
        <is>
          <t>Stefanovic Tennis Academy</t>
        </is>
      </c>
      <c r="I301" t="n">
        <v>34.3</v>
      </c>
      <c r="J301" s="4" t="n">
        <v>172</v>
      </c>
      <c r="K301" t="inlineStr">
        <is>
          <t>48 / 124</t>
        </is>
      </c>
      <c r="L301" t="inlineStr">
        <is>
          <t>14 / 12</t>
        </is>
      </c>
      <c r="M301" s="5" t="n">
        <v>0.28</v>
      </c>
      <c r="N301" s="5" t="n">
        <v>0.54</v>
      </c>
    </row>
    <row r="302">
      <c r="A302" t="n">
        <v>301</v>
      </c>
      <c r="B302" t="n">
        <v>2014</v>
      </c>
      <c r="C302" t="inlineStr">
        <is>
          <t>Mégane Bernard</t>
        </is>
      </c>
      <c r="D302">
        <f>HYPERLINK("https://ota.tournamentsoftware.com/player-profile/041B9415-6EB0-452F-AD3F-EA68CADBA2FB", "Link")</f>
        <v/>
      </c>
      <c r="E302" s="3" t="n">
        <v>220.072</v>
      </c>
      <c r="F302" s="4" t="n">
        <v>19</v>
      </c>
      <c r="G302" t="inlineStr">
        <is>
          <t>Tennis Québec</t>
        </is>
      </c>
      <c r="H302" t="inlineStr">
        <is>
          <t>Tennis 13</t>
        </is>
      </c>
      <c r="I302" t="n">
        <v>34.3</v>
      </c>
      <c r="J302" s="4" t="n">
        <v>180</v>
      </c>
      <c r="K302" t="inlineStr">
        <is>
          <t>78 / 102</t>
        </is>
      </c>
      <c r="L302" t="inlineStr">
        <is>
          <t>8 / 16</t>
        </is>
      </c>
      <c r="M302" s="5" t="n">
        <v>0.43</v>
      </c>
      <c r="N302" s="5" t="n">
        <v>0.33</v>
      </c>
    </row>
    <row r="303">
      <c r="A303" t="n">
        <v>302</v>
      </c>
      <c r="B303" t="n">
        <v>2012</v>
      </c>
      <c r="C303" t="inlineStr">
        <is>
          <t>Shrreya Elkturi</t>
        </is>
      </c>
      <c r="D303">
        <f>HYPERLINK("https://ota.tournamentsoftware.com/player-profile/1A8DA0C1-51FB-48B8-8AED-D37DAB186E95", "Link")</f>
        <v/>
      </c>
      <c r="E303" s="3" t="n">
        <v>216.761</v>
      </c>
      <c r="F303" s="4" t="n">
        <v>20</v>
      </c>
      <c r="G303" t="inlineStr">
        <is>
          <t>Ontario Tennis Association</t>
        </is>
      </c>
      <c r="H303" t="inlineStr">
        <is>
          <t>No Club</t>
        </is>
      </c>
      <c r="I303" t="n">
        <v>33</v>
      </c>
      <c r="J303" s="4" t="n">
        <v>83</v>
      </c>
      <c r="K303" t="inlineStr">
        <is>
          <t>30 / 53</t>
        </is>
      </c>
      <c r="L303" t="inlineStr">
        <is>
          <t>15 / 15</t>
        </is>
      </c>
      <c r="M303" s="5" t="n">
        <v>0.36</v>
      </c>
      <c r="N303" s="5" t="n">
        <v>0.5</v>
      </c>
    </row>
    <row r="304">
      <c r="A304" t="n">
        <v>303</v>
      </c>
      <c r="B304" t="n">
        <v>2014</v>
      </c>
      <c r="C304" t="inlineStr">
        <is>
          <t>Skylar Isabelle JOHNSTON</t>
        </is>
      </c>
      <c r="D304">
        <f>HYPERLINK("https://ota.tournamentsoftware.com/player-profile/18CCEC3F-12DA-4A55-A300-393E64FB4F6E", "Link")</f>
        <v/>
      </c>
      <c r="E304" s="3" t="n">
        <v>216.396</v>
      </c>
      <c r="F304" s="4" t="n">
        <v>11</v>
      </c>
      <c r="G304" t="inlineStr">
        <is>
          <t>Tennis Nova Scotia</t>
        </is>
      </c>
      <c r="H304" t="inlineStr">
        <is>
          <t>Gordon Hughes Tennis Club</t>
        </is>
      </c>
      <c r="I304" t="n">
        <v>33.5</v>
      </c>
      <c r="J304" s="4" t="n">
        <v>90</v>
      </c>
      <c r="K304" t="inlineStr">
        <is>
          <t>43 / 47</t>
        </is>
      </c>
      <c r="L304" t="inlineStr">
        <is>
          <t>22 / 14</t>
        </is>
      </c>
      <c r="M304" s="5" t="n">
        <v>0.48</v>
      </c>
      <c r="N304" s="5" t="n">
        <v>0.61</v>
      </c>
    </row>
    <row r="305">
      <c r="A305" t="n">
        <v>304</v>
      </c>
      <c r="B305" t="n">
        <v>2015</v>
      </c>
      <c r="C305" t="inlineStr">
        <is>
          <t>Daniella Lynne Lee</t>
        </is>
      </c>
      <c r="D305">
        <f>HYPERLINK("https://ota.tournamentsoftware.com/player-profile/92FC49CB-246B-48E6-ABC3-903AA780449F", "Link")</f>
        <v/>
      </c>
      <c r="E305" s="3" t="n">
        <v>215.601</v>
      </c>
      <c r="F305" s="4" t="n">
        <v>28</v>
      </c>
      <c r="G305" t="inlineStr">
        <is>
          <t>British Columbia</t>
        </is>
      </c>
      <c r="H305" t="inlineStr">
        <is>
          <t>Arbutus Club</t>
        </is>
      </c>
      <c r="I305" t="n">
        <v>32.4</v>
      </c>
      <c r="J305" s="4" t="n">
        <v>127</v>
      </c>
      <c r="K305" t="inlineStr">
        <is>
          <t>65 / 62</t>
        </is>
      </c>
      <c r="L305" t="inlineStr">
        <is>
          <t>26 / 23</t>
        </is>
      </c>
      <c r="M305" s="5" t="n">
        <v>0.51</v>
      </c>
      <c r="N305" s="5" t="n">
        <v>0.53</v>
      </c>
    </row>
    <row r="306">
      <c r="A306" t="n">
        <v>305</v>
      </c>
      <c r="B306" t="n">
        <v>2013</v>
      </c>
      <c r="C306" t="inlineStr">
        <is>
          <t>Alma Safinia</t>
        </is>
      </c>
      <c r="D306">
        <f>HYPERLINK("https://ota.tournamentsoftware.com/player-profile/5EF88718-BF69-42BC-A643-1C11174AD1CB", "Link")</f>
        <v/>
      </c>
      <c r="E306" s="3" t="n">
        <v>215.078</v>
      </c>
      <c r="F306" s="4" t="n">
        <v>2</v>
      </c>
      <c r="G306" t="inlineStr">
        <is>
          <t>Tennis Nova Scotia</t>
        </is>
      </c>
      <c r="H306" t="inlineStr">
        <is>
          <t>Atlantic Tennis Centre</t>
        </is>
      </c>
      <c r="I306" t="n">
        <v>33.8</v>
      </c>
      <c r="J306" s="4" t="n">
        <v>20</v>
      </c>
      <c r="K306" t="inlineStr">
        <is>
          <t>11 / 9</t>
        </is>
      </c>
      <c r="L306" t="inlineStr">
        <is>
          <t>0 / 1</t>
        </is>
      </c>
      <c r="M306" s="5" t="n">
        <v>0.55</v>
      </c>
      <c r="N306" s="5" t="n">
        <v>0</v>
      </c>
    </row>
    <row r="307">
      <c r="A307" t="n">
        <v>306</v>
      </c>
      <c r="B307" t="n">
        <v>2014</v>
      </c>
      <c r="C307" t="inlineStr">
        <is>
          <t>Alaia Grace Serravalle</t>
        </is>
      </c>
      <c r="D307">
        <f>HYPERLINK("https://ota.tournamentsoftware.com/player-profile/EDBCEC0C-45DE-4DFD-B17A-C176B306FC97", "Link")</f>
        <v/>
      </c>
      <c r="E307" s="3" t="n">
        <v>215.068</v>
      </c>
      <c r="F307" s="4" t="n">
        <v>22</v>
      </c>
      <c r="G307" t="inlineStr">
        <is>
          <t>Ontario Tennis Association</t>
        </is>
      </c>
      <c r="H307" t="inlineStr">
        <is>
          <t>Youngs Sportsplex</t>
        </is>
      </c>
      <c r="I307" t="n">
        <v>34.1</v>
      </c>
      <c r="J307" s="4" t="n">
        <v>55</v>
      </c>
      <c r="K307" t="inlineStr">
        <is>
          <t>30 / 25</t>
        </is>
      </c>
      <c r="L307" t="inlineStr">
        <is>
          <t>18 / 16</t>
        </is>
      </c>
      <c r="M307" s="5" t="n">
        <v>0.55</v>
      </c>
      <c r="N307" s="5" t="n">
        <v>0.53</v>
      </c>
    </row>
    <row r="308">
      <c r="A308" t="n">
        <v>307</v>
      </c>
      <c r="B308" t="n">
        <v>2012</v>
      </c>
      <c r="C308" t="inlineStr">
        <is>
          <t>Stefaniia Petrova</t>
        </is>
      </c>
      <c r="D308">
        <f>HYPERLINK("https://ota.tournamentsoftware.com/player-profile/23727B96-731B-4DBB-9789-81399E2B9950", "Link")</f>
        <v/>
      </c>
      <c r="E308" s="3" t="n">
        <v>213.48</v>
      </c>
      <c r="F308" s="4" t="n">
        <v>4</v>
      </c>
      <c r="G308" t="inlineStr">
        <is>
          <t>Ontario Tennis Association</t>
        </is>
      </c>
      <c r="H308" t="inlineStr">
        <is>
          <t>No Club</t>
        </is>
      </c>
      <c r="I308" t="n">
        <v>28.7</v>
      </c>
      <c r="J308" s="4" t="n">
        <v>301</v>
      </c>
      <c r="K308" t="inlineStr">
        <is>
          <t>177 / 124</t>
        </is>
      </c>
      <c r="L308" t="inlineStr">
        <is>
          <t>0 / 0</t>
        </is>
      </c>
      <c r="M308" s="5" t="n">
        <v>0.59</v>
      </c>
      <c r="N308" s="5" t="n">
        <v>0</v>
      </c>
    </row>
    <row r="309">
      <c r="A309" t="n">
        <v>308</v>
      </c>
      <c r="B309" t="n">
        <v>2013</v>
      </c>
      <c r="C309" t="inlineStr">
        <is>
          <t>Annabelle Chen</t>
        </is>
      </c>
      <c r="D309">
        <f>HYPERLINK("https://ota.tournamentsoftware.com/player-profile/E532A343-867C-4B97-BCB3-998A28EC84A8", "Link")</f>
        <v/>
      </c>
      <c r="E309" s="3" t="n">
        <v>212.416</v>
      </c>
      <c r="F309" s="4" t="n">
        <v>10</v>
      </c>
      <c r="G309" t="inlineStr">
        <is>
          <t>British Columbia</t>
        </is>
      </c>
      <c r="H309" t="inlineStr">
        <is>
          <t>UBC Tennis Centre</t>
        </is>
      </c>
      <c r="I309" t="n">
        <v>32</v>
      </c>
      <c r="J309" s="4" t="n">
        <v>152</v>
      </c>
      <c r="K309" t="inlineStr">
        <is>
          <t>84 / 68</t>
        </is>
      </c>
      <c r="L309" t="inlineStr">
        <is>
          <t>0 / 4</t>
        </is>
      </c>
      <c r="M309" s="5" t="n">
        <v>0.55</v>
      </c>
      <c r="N309" s="5" t="n">
        <v>0</v>
      </c>
    </row>
    <row r="310">
      <c r="A310" t="n">
        <v>309</v>
      </c>
      <c r="B310" t="n">
        <v>2015</v>
      </c>
      <c r="C310" t="inlineStr">
        <is>
          <t>Kiyara Dinuli Hinidumarachchi</t>
        </is>
      </c>
      <c r="D310">
        <f>HYPERLINK("https://ota.tournamentsoftware.com/player-profile/FD2638E4-B06D-478E-9F5A-FE51B9EC8DF8", "Link")</f>
        <v/>
      </c>
      <c r="E310" s="3" t="n">
        <v>211.944</v>
      </c>
      <c r="F310" s="4" t="n">
        <v>18</v>
      </c>
      <c r="G310" t="inlineStr">
        <is>
          <t>Ontario Tennis Association</t>
        </is>
      </c>
      <c r="H310" t="inlineStr">
        <is>
          <t>Sarnia Tennis Club</t>
        </is>
      </c>
      <c r="I310" t="inlineStr">
        <is>
          <t>unavailable</t>
        </is>
      </c>
      <c r="J310" s="4" t="n">
        <v>153</v>
      </c>
      <c r="K310" t="inlineStr">
        <is>
          <t>94 / 59</t>
        </is>
      </c>
      <c r="L310" t="inlineStr">
        <is>
          <t>9 / 13</t>
        </is>
      </c>
      <c r="M310" s="5" t="n">
        <v>0.61</v>
      </c>
      <c r="N310" s="5" t="n">
        <v>0.41</v>
      </c>
    </row>
    <row r="311">
      <c r="A311" t="n">
        <v>310</v>
      </c>
      <c r="B311" t="n">
        <v>2012</v>
      </c>
      <c r="C311" t="inlineStr">
        <is>
          <t>GURMEHR KAUR</t>
        </is>
      </c>
      <c r="D311">
        <f>HYPERLINK("https://ota.tournamentsoftware.com/player-profile/2C69CAA6-FCC8-49BC-ACA2-32F5C15717ED", "Link")</f>
        <v/>
      </c>
      <c r="E311" s="3" t="n">
        <v>210.416</v>
      </c>
      <c r="F311" s="4" t="n">
        <v>22</v>
      </c>
      <c r="G311" t="inlineStr">
        <is>
          <t>British Columbia</t>
        </is>
      </c>
      <c r="H311" t="inlineStr">
        <is>
          <t>Newton Tennis Club</t>
        </is>
      </c>
      <c r="I311" t="n">
        <v>32.6</v>
      </c>
      <c r="J311" s="4" t="n">
        <v>177</v>
      </c>
      <c r="K311" t="inlineStr">
        <is>
          <t>77 / 100</t>
        </is>
      </c>
      <c r="L311" t="inlineStr">
        <is>
          <t>17 / 21</t>
        </is>
      </c>
      <c r="M311" s="5" t="n">
        <v>0.44</v>
      </c>
      <c r="N311" s="5" t="n">
        <v>0.45</v>
      </c>
    </row>
    <row r="312">
      <c r="A312" t="n">
        <v>311</v>
      </c>
      <c r="B312" t="n">
        <v>2014</v>
      </c>
      <c r="C312" t="inlineStr">
        <is>
          <t>Sarah Gottlieb</t>
        </is>
      </c>
      <c r="D312">
        <f>HYPERLINK("https://ota.tournamentsoftware.com/player-profile/BD51254A-E036-424C-B89A-FB47A73C0DC5", "Link")</f>
        <v/>
      </c>
      <c r="E312" s="3" t="n">
        <v>209.5</v>
      </c>
      <c r="F312" s="4" t="n">
        <v>6</v>
      </c>
      <c r="G312" t="inlineStr">
        <is>
          <t>Tennis Québec</t>
        </is>
      </c>
      <c r="H312" t="inlineStr">
        <is>
          <t>Tennis 13</t>
        </is>
      </c>
      <c r="I312" t="n">
        <v>33.5</v>
      </c>
      <c r="J312" s="4" t="n">
        <v>92</v>
      </c>
      <c r="K312" t="inlineStr">
        <is>
          <t>46 / 46</t>
        </is>
      </c>
      <c r="L312" t="inlineStr">
        <is>
          <t>1 / 2</t>
        </is>
      </c>
      <c r="M312" s="5" t="n">
        <v>0.5</v>
      </c>
      <c r="N312" s="5" t="n">
        <v>0.33</v>
      </c>
    </row>
    <row r="313">
      <c r="A313" t="n">
        <v>312</v>
      </c>
      <c r="B313" t="n">
        <v>2015</v>
      </c>
      <c r="C313" t="inlineStr">
        <is>
          <t>Sofia Twynam</t>
        </is>
      </c>
      <c r="D313">
        <f>HYPERLINK("https://ota.tournamentsoftware.com/player-profile/025F0929-F490-4440-8CB6-08E8D1F59F08", "Link")</f>
        <v/>
      </c>
      <c r="E313" s="3" t="n">
        <v>209.039</v>
      </c>
      <c r="F313" s="4" t="n">
        <v>16</v>
      </c>
      <c r="G313" t="inlineStr">
        <is>
          <t>Tennis Québec</t>
        </is>
      </c>
      <c r="H313" t="inlineStr">
        <is>
          <t>SANI Sport</t>
        </is>
      </c>
      <c r="I313" t="n">
        <v>32.2</v>
      </c>
      <c r="J313" s="4" t="n">
        <v>127</v>
      </c>
      <c r="K313" t="inlineStr">
        <is>
          <t>69 / 58</t>
        </is>
      </c>
      <c r="L313" t="inlineStr">
        <is>
          <t>14 / 15</t>
        </is>
      </c>
      <c r="M313" s="5" t="n">
        <v>0.54</v>
      </c>
      <c r="N313" s="5" t="n">
        <v>0.48</v>
      </c>
    </row>
    <row r="314">
      <c r="A314" t="n">
        <v>313</v>
      </c>
      <c r="B314" t="n">
        <v>2014</v>
      </c>
      <c r="C314" t="inlineStr">
        <is>
          <t>Esabel Liu</t>
        </is>
      </c>
      <c r="D314">
        <f>HYPERLINK("https://ota.tournamentsoftware.com/player-profile/03274A3B-556F-4321-880B-2AF255E6A817", "Link")</f>
        <v/>
      </c>
      <c r="E314" s="3" t="n">
        <v>208.86</v>
      </c>
      <c r="F314" s="4" t="n">
        <v>21</v>
      </c>
      <c r="G314" t="inlineStr">
        <is>
          <t>British Columbia</t>
        </is>
      </c>
      <c r="H314" t="inlineStr">
        <is>
          <t>North Vancouver Tennis Centre</t>
        </is>
      </c>
      <c r="I314" t="n">
        <v>30</v>
      </c>
      <c r="J314" s="4" t="n">
        <v>224</v>
      </c>
      <c r="K314" t="inlineStr">
        <is>
          <t>139 / 85</t>
        </is>
      </c>
      <c r="L314" t="inlineStr">
        <is>
          <t>31 / 19</t>
        </is>
      </c>
      <c r="M314" s="5" t="n">
        <v>0.62</v>
      </c>
      <c r="N314" s="5" t="n">
        <v>0.62</v>
      </c>
    </row>
    <row r="315">
      <c r="A315" t="n">
        <v>314</v>
      </c>
      <c r="B315" t="n">
        <v>2014</v>
      </c>
      <c r="C315" t="inlineStr">
        <is>
          <t>Vida Jeftic</t>
        </is>
      </c>
      <c r="D315">
        <f>HYPERLINK("https://ota.tournamentsoftware.com/player-profile/5A42C908-572E-4E42-A8CB-609FCF083DE9", "Link")</f>
        <v/>
      </c>
      <c r="E315" s="3" t="n">
        <v>206.56</v>
      </c>
      <c r="F315" s="4" t="n">
        <v>10</v>
      </c>
      <c r="G315" t="inlineStr">
        <is>
          <t>Ontario Tennis Association</t>
        </is>
      </c>
      <c r="H315" t="inlineStr">
        <is>
          <t>Parkside Tennis Club</t>
        </is>
      </c>
      <c r="I315" t="n">
        <v>30.9</v>
      </c>
      <c r="J315" s="4" t="n">
        <v>38</v>
      </c>
      <c r="K315" t="inlineStr">
        <is>
          <t>27 / 11</t>
        </is>
      </c>
      <c r="L315" t="inlineStr">
        <is>
          <t>11 / 4</t>
        </is>
      </c>
      <c r="M315" s="5" t="n">
        <v>0.71</v>
      </c>
      <c r="N315" s="5" t="n">
        <v>0.73</v>
      </c>
    </row>
    <row r="316">
      <c r="A316" t="n">
        <v>315</v>
      </c>
      <c r="B316" t="n">
        <v>2014</v>
      </c>
      <c r="C316" t="inlineStr">
        <is>
          <t>Alexandra Strgacic</t>
        </is>
      </c>
      <c r="D316">
        <f>HYPERLINK("https://ota.tournamentsoftware.com/player-profile/C809B120-C1B7-4F85-B411-257E3DC9B63B", "Link")</f>
        <v/>
      </c>
      <c r="E316" s="3" t="n">
        <v>205.183</v>
      </c>
      <c r="F316" s="4" t="n">
        <v>10</v>
      </c>
      <c r="G316" t="inlineStr">
        <is>
          <t>Ontario Tennis Association</t>
        </is>
      </c>
      <c r="H316" t="inlineStr">
        <is>
          <t>Advantage Tennis International at Veneto</t>
        </is>
      </c>
      <c r="I316" t="n">
        <v>33.5</v>
      </c>
      <c r="J316" s="4" t="n">
        <v>165</v>
      </c>
      <c r="K316" t="inlineStr">
        <is>
          <t>96 / 69</t>
        </is>
      </c>
      <c r="L316" t="inlineStr">
        <is>
          <t>3 / 5</t>
        </is>
      </c>
      <c r="M316" s="5" t="n">
        <v>0.58</v>
      </c>
      <c r="N316" s="5" t="n">
        <v>0.38</v>
      </c>
    </row>
    <row r="317">
      <c r="A317" t="n">
        <v>316</v>
      </c>
      <c r="B317" t="n">
        <v>2014</v>
      </c>
      <c r="C317" t="inlineStr">
        <is>
          <t>Freya Jiaxin He</t>
        </is>
      </c>
      <c r="D317">
        <f>HYPERLINK("https://ota.tournamentsoftware.com/player-profile/8C1C07F2-C769-4A85-8385-40B14C9CD709", "Link")</f>
        <v/>
      </c>
      <c r="E317" s="3" t="n">
        <v>203.592</v>
      </c>
      <c r="F317" s="4" t="n">
        <v>6</v>
      </c>
      <c r="G317" t="inlineStr">
        <is>
          <t>Tennis Prince Edward Island</t>
        </is>
      </c>
      <c r="H317" t="inlineStr">
        <is>
          <t>Charlottetown Recreation Tennis Group</t>
        </is>
      </c>
      <c r="I317" t="n">
        <v>33.5</v>
      </c>
      <c r="J317" s="4" t="n">
        <v>99</v>
      </c>
      <c r="K317" t="inlineStr">
        <is>
          <t>53 / 46</t>
        </is>
      </c>
      <c r="L317" t="inlineStr">
        <is>
          <t>14 / 7</t>
        </is>
      </c>
      <c r="M317" s="5" t="n">
        <v>0.54</v>
      </c>
      <c r="N317" s="5" t="n">
        <v>0.67</v>
      </c>
    </row>
    <row r="318">
      <c r="A318" t="n">
        <v>317</v>
      </c>
      <c r="B318" t="n">
        <v>2012</v>
      </c>
      <c r="C318" t="inlineStr">
        <is>
          <t>Victoria Trempe</t>
        </is>
      </c>
      <c r="D318">
        <f>HYPERLINK("https://ota.tournamentsoftware.com/player-profile/90EB2857-D907-47BD-ABB6-AAED21876912", "Link")</f>
        <v/>
      </c>
      <c r="E318" s="3" t="n">
        <v>203.573</v>
      </c>
      <c r="F318" s="4" t="n">
        <v>8</v>
      </c>
      <c r="G318" t="inlineStr">
        <is>
          <t>Tennis Québec</t>
        </is>
      </c>
      <c r="H318" t="inlineStr">
        <is>
          <t>Club Sportif Côte-de-Liesse</t>
        </is>
      </c>
      <c r="I318" t="n">
        <v>34</v>
      </c>
      <c r="J318" s="4" t="n">
        <v>122</v>
      </c>
      <c r="K318" t="inlineStr">
        <is>
          <t>45 / 77</t>
        </is>
      </c>
      <c r="L318" t="inlineStr">
        <is>
          <t>2 / 4</t>
        </is>
      </c>
      <c r="M318" s="5" t="n">
        <v>0.37</v>
      </c>
      <c r="N318" s="5" t="n">
        <v>0.33</v>
      </c>
    </row>
    <row r="319">
      <c r="A319" t="n">
        <v>318</v>
      </c>
      <c r="B319" t="n">
        <v>2014</v>
      </c>
      <c r="C319" t="inlineStr">
        <is>
          <t>Mila Alexandra Voros</t>
        </is>
      </c>
      <c r="D319">
        <f>HYPERLINK("https://ota.tournamentsoftware.com/player-profile/96155B79-5199-481D-8AF1-A174FA860401", "Link")</f>
        <v/>
      </c>
      <c r="E319" s="3" t="n">
        <v>203.548</v>
      </c>
      <c r="F319" s="4" t="n">
        <v>14</v>
      </c>
      <c r="G319" t="inlineStr">
        <is>
          <t>Ontario Tennis Association</t>
        </is>
      </c>
      <c r="H319" t="inlineStr">
        <is>
          <t>GSM Tennis Club</t>
        </is>
      </c>
      <c r="I319" t="n">
        <v>35</v>
      </c>
      <c r="J319" s="4" t="n">
        <v>132</v>
      </c>
      <c r="K319" t="inlineStr">
        <is>
          <t>57 / 75</t>
        </is>
      </c>
      <c r="L319" t="inlineStr">
        <is>
          <t>6 / 12</t>
        </is>
      </c>
      <c r="M319" s="5" t="n">
        <v>0.43</v>
      </c>
      <c r="N319" s="5" t="n">
        <v>0.33</v>
      </c>
    </row>
    <row r="320">
      <c r="A320" t="n">
        <v>319</v>
      </c>
      <c r="B320" t="n">
        <v>2015</v>
      </c>
      <c r="C320" t="inlineStr">
        <is>
          <t>Hannah D'Souza</t>
        </is>
      </c>
      <c r="D320">
        <f>HYPERLINK("https://ota.tournamentsoftware.com/player-profile/6516E6BE-4D11-4CDB-8F62-FFE106E8A899", "Link")</f>
        <v/>
      </c>
      <c r="E320" s="3" t="n">
        <v>201.925</v>
      </c>
      <c r="F320" s="4" t="n">
        <v>26</v>
      </c>
      <c r="G320" t="inlineStr">
        <is>
          <t>Ontario Tennis Association</t>
        </is>
      </c>
      <c r="H320" t="inlineStr">
        <is>
          <t>No Club</t>
        </is>
      </c>
      <c r="I320" t="n">
        <v>34</v>
      </c>
      <c r="J320" s="4" t="n">
        <v>149</v>
      </c>
      <c r="K320" t="inlineStr">
        <is>
          <t>59 / 90</t>
        </is>
      </c>
      <c r="L320" t="inlineStr">
        <is>
          <t>15 / 21</t>
        </is>
      </c>
      <c r="M320" s="5" t="n">
        <v>0.4</v>
      </c>
      <c r="N320" s="5" t="n">
        <v>0.42</v>
      </c>
    </row>
    <row r="321">
      <c r="A321" t="n">
        <v>320</v>
      </c>
      <c r="B321" t="n">
        <v>2012</v>
      </c>
      <c r="C321" t="inlineStr">
        <is>
          <t>Harsimran Kaur Sandhu</t>
        </is>
      </c>
      <c r="D321">
        <f>HYPERLINK("https://ota.tournamentsoftware.com/player-profile/10345BBC-2CC8-4DA1-AA88-2730495B6CB8", "Link")</f>
        <v/>
      </c>
      <c r="E321" s="3" t="n">
        <v>201.384</v>
      </c>
      <c r="F321" s="4" t="n">
        <v>23</v>
      </c>
      <c r="G321" t="inlineStr">
        <is>
          <t>Ontario Tennis Association</t>
        </is>
      </c>
      <c r="H321" t="inlineStr">
        <is>
          <t>Premier Racquet Clubs – Mississauga</t>
        </is>
      </c>
      <c r="I321" t="inlineStr">
        <is>
          <t>unavailable</t>
        </is>
      </c>
      <c r="J321" s="4" t="n">
        <v>98</v>
      </c>
      <c r="K321" t="inlineStr">
        <is>
          <t>43 / 55</t>
        </is>
      </c>
      <c r="L321" t="inlineStr">
        <is>
          <t>18 / 16</t>
        </is>
      </c>
      <c r="M321" s="5" t="n">
        <v>0.44</v>
      </c>
      <c r="N321" s="5" t="n">
        <v>0.53</v>
      </c>
    </row>
    <row r="322">
      <c r="A322" t="n">
        <v>321</v>
      </c>
      <c r="B322" t="n">
        <v>2015</v>
      </c>
      <c r="C322" t="inlineStr">
        <is>
          <t>Kayla Chevez</t>
        </is>
      </c>
      <c r="D322">
        <f>HYPERLINK("https://ota.tournamentsoftware.com/player-profile/EE941149-B269-44AA-A65B-D00099EE4086", "Link")</f>
        <v/>
      </c>
      <c r="E322" s="3" t="n">
        <v>201.354</v>
      </c>
      <c r="F322" s="4" t="n">
        <v>26</v>
      </c>
      <c r="G322" t="inlineStr">
        <is>
          <t>Tennis Québec</t>
        </is>
      </c>
      <c r="H322" t="inlineStr">
        <is>
          <t>Tennis Montréal Excellence</t>
        </is>
      </c>
      <c r="I322" t="n">
        <v>34.3</v>
      </c>
      <c r="J322" s="4" t="n">
        <v>140</v>
      </c>
      <c r="K322" t="inlineStr">
        <is>
          <t>69 / 71</t>
        </is>
      </c>
      <c r="L322" t="inlineStr">
        <is>
          <t>18 / 20</t>
        </is>
      </c>
      <c r="M322" s="5" t="n">
        <v>0.49</v>
      </c>
      <c r="N322" s="5" t="n">
        <v>0.47</v>
      </c>
    </row>
    <row r="323">
      <c r="A323" t="n">
        <v>322</v>
      </c>
      <c r="B323" t="n">
        <v>2016</v>
      </c>
      <c r="C323" t="inlineStr">
        <is>
          <t>Minna TAN</t>
        </is>
      </c>
      <c r="D323">
        <f>HYPERLINK("https://ota.tournamentsoftware.com/player-profile/4830D271-776A-41F3-B5D9-B5D2EC272CB4", "Link")</f>
        <v/>
      </c>
      <c r="E323" s="3" t="n">
        <v>199.43</v>
      </c>
      <c r="F323" s="4" t="n">
        <v>9</v>
      </c>
      <c r="G323" t="inlineStr">
        <is>
          <t>Tennis Québec</t>
        </is>
      </c>
      <c r="H323" t="inlineStr">
        <is>
          <t>Tennis Ile- des- Soeurs</t>
        </is>
      </c>
      <c r="I323" t="n">
        <v>32.9</v>
      </c>
      <c r="J323" s="4" t="n">
        <v>81</v>
      </c>
      <c r="K323" t="inlineStr">
        <is>
          <t>49 / 32</t>
        </is>
      </c>
      <c r="L323" t="inlineStr">
        <is>
          <t>18 / 7</t>
        </is>
      </c>
      <c r="M323" s="5" t="n">
        <v>0.6</v>
      </c>
      <c r="N323" s="5" t="n">
        <v>0.72</v>
      </c>
    </row>
    <row r="324">
      <c r="A324" t="n">
        <v>323</v>
      </c>
      <c r="B324" t="n">
        <v>2013</v>
      </c>
      <c r="C324" t="inlineStr">
        <is>
          <t>Ana Sofia Prieto Echandia</t>
        </is>
      </c>
      <c r="D324">
        <f>HYPERLINK("https://ota.tournamentsoftware.com/player-profile/0A98F660-17C5-4374-B63C-9B5B0E183AF0", "Link")</f>
        <v/>
      </c>
      <c r="E324" s="3" t="n">
        <v>198.964</v>
      </c>
      <c r="F324" s="4" t="n">
        <v>8</v>
      </c>
      <c r="G324" t="inlineStr">
        <is>
          <t>Tennis Québec</t>
        </is>
      </c>
      <c r="H324" t="inlineStr">
        <is>
          <t>Tennis Ile- des- Soeurs</t>
        </is>
      </c>
      <c r="I324" t="n">
        <v>33.9</v>
      </c>
      <c r="J324" s="4" t="n">
        <v>33</v>
      </c>
      <c r="K324" t="inlineStr">
        <is>
          <t>19 / 14</t>
        </is>
      </c>
      <c r="L324" t="inlineStr">
        <is>
          <t>2 / 6</t>
        </is>
      </c>
      <c r="M324" s="5" t="n">
        <v>0.58</v>
      </c>
      <c r="N324" s="5" t="n">
        <v>0.25</v>
      </c>
    </row>
    <row r="325">
      <c r="A325" t="n">
        <v>324</v>
      </c>
      <c r="B325" t="n">
        <v>2016</v>
      </c>
      <c r="C325" t="inlineStr">
        <is>
          <t>Victoria Chang</t>
        </is>
      </c>
      <c r="D325">
        <f>HYPERLINK("https://ota.tournamentsoftware.com/player-profile/A391B4A7-44C6-4D9F-9A04-161A8B22E0C3", "Link")</f>
        <v/>
      </c>
      <c r="E325" s="3" t="n">
        <v>198.093</v>
      </c>
      <c r="F325" s="4" t="n">
        <v>14</v>
      </c>
      <c r="G325" t="inlineStr">
        <is>
          <t>Ontario Tennis Association</t>
        </is>
      </c>
      <c r="H325" t="inlineStr">
        <is>
          <t>Richmond Hill Country Club</t>
        </is>
      </c>
      <c r="I325" t="n">
        <v>32.2</v>
      </c>
      <c r="J325" s="4" t="n">
        <v>106</v>
      </c>
      <c r="K325" t="inlineStr">
        <is>
          <t>80 / 26</t>
        </is>
      </c>
      <c r="L325" t="inlineStr">
        <is>
          <t>32 / 10</t>
        </is>
      </c>
      <c r="M325" s="5" t="n">
        <v>0.75</v>
      </c>
      <c r="N325" s="5" t="n">
        <v>0.76</v>
      </c>
    </row>
    <row r="326">
      <c r="A326" t="n">
        <v>325</v>
      </c>
      <c r="B326" t="n">
        <v>2013</v>
      </c>
      <c r="C326" t="inlineStr">
        <is>
          <t>Eliza Willow Nguyen</t>
        </is>
      </c>
      <c r="D326">
        <f>HYPERLINK("https://ota.tournamentsoftware.com/player-profile/1A3AE60F-B4FB-4C4C-AE09-5D730884AC0A", "Link")</f>
        <v/>
      </c>
      <c r="E326" s="3" t="n">
        <v>198.067</v>
      </c>
      <c r="F326" s="4" t="n">
        <v>12</v>
      </c>
      <c r="G326" t="inlineStr">
        <is>
          <t>Tennis Alberta</t>
        </is>
      </c>
      <c r="H326" t="inlineStr">
        <is>
          <t>Saville Community Sports Centre</t>
        </is>
      </c>
      <c r="I326" t="n">
        <v>33.1</v>
      </c>
      <c r="J326" s="4" t="n">
        <v>143</v>
      </c>
      <c r="K326" t="inlineStr">
        <is>
          <t>66 / 77</t>
        </is>
      </c>
      <c r="L326" t="inlineStr">
        <is>
          <t>10 / 13</t>
        </is>
      </c>
      <c r="M326" s="5" t="n">
        <v>0.46</v>
      </c>
      <c r="N326" s="5" t="n">
        <v>0.43</v>
      </c>
    </row>
    <row r="327">
      <c r="A327" t="n">
        <v>326</v>
      </c>
      <c r="B327" t="n">
        <v>2013</v>
      </c>
      <c r="C327" t="inlineStr">
        <is>
          <t>Léa Crépault</t>
        </is>
      </c>
      <c r="D327">
        <f>HYPERLINK("https://ota.tournamentsoftware.com/player-profile/A3D2A82D-C6E8-410C-A1B3-E5DC3B845B7A", "Link")</f>
        <v/>
      </c>
      <c r="E327" s="3" t="n">
        <v>197.911</v>
      </c>
      <c r="F327" s="4" t="n">
        <v>20</v>
      </c>
      <c r="G327" t="inlineStr">
        <is>
          <t>Tennis Québec</t>
        </is>
      </c>
      <c r="H327" t="inlineStr">
        <is>
          <t>EB Tennis inc.</t>
        </is>
      </c>
      <c r="I327" t="n">
        <v>35.2</v>
      </c>
      <c r="J327" s="4" t="n">
        <v>149</v>
      </c>
      <c r="K327" t="inlineStr">
        <is>
          <t>38 / 111</t>
        </is>
      </c>
      <c r="L327" t="inlineStr">
        <is>
          <t>2 / 12</t>
        </is>
      </c>
      <c r="M327" s="5" t="n">
        <v>0.26</v>
      </c>
      <c r="N327" s="5" t="n">
        <v>0.14</v>
      </c>
    </row>
    <row r="328">
      <c r="A328" t="n">
        <v>327</v>
      </c>
      <c r="B328" t="n">
        <v>2012</v>
      </c>
      <c r="C328" t="inlineStr">
        <is>
          <t>Carys Miles</t>
        </is>
      </c>
      <c r="D328">
        <f>HYPERLINK("https://ota.tournamentsoftware.com/player-profile/7FCFD8F6-5B52-4825-B8AA-B72BF77A3298", "Link")</f>
        <v/>
      </c>
      <c r="E328" s="3" t="n">
        <v>194.325</v>
      </c>
      <c r="F328" s="4" t="n">
        <v>15</v>
      </c>
      <c r="G328" t="inlineStr">
        <is>
          <t>Tennis Alberta</t>
        </is>
      </c>
      <c r="H328" t="inlineStr">
        <is>
          <t>Osten &amp; Victor Alberta Tennis Centre</t>
        </is>
      </c>
      <c r="I328" t="n">
        <v>31.1</v>
      </c>
      <c r="J328" s="4" t="n">
        <v>200</v>
      </c>
      <c r="K328" t="inlineStr">
        <is>
          <t>98 / 102</t>
        </is>
      </c>
      <c r="L328" t="inlineStr">
        <is>
          <t>4 / 9</t>
        </is>
      </c>
      <c r="M328" s="5" t="n">
        <v>0.49</v>
      </c>
      <c r="N328" s="5" t="n">
        <v>0.31</v>
      </c>
    </row>
    <row r="329">
      <c r="A329" t="n">
        <v>328</v>
      </c>
      <c r="B329" t="n">
        <v>2015</v>
      </c>
      <c r="C329" t="inlineStr">
        <is>
          <t>Emma Echeverri Vujicic</t>
        </is>
      </c>
      <c r="D329">
        <f>HYPERLINK("https://ota.tournamentsoftware.com/player-profile/644C3F8A-163C-4BEA-8EBD-9263F89347F9", "Link")</f>
        <v/>
      </c>
      <c r="E329" s="3" t="n">
        <v>194.237</v>
      </c>
      <c r="F329" s="4" t="n">
        <v>22</v>
      </c>
      <c r="G329" t="inlineStr">
        <is>
          <t>Ontario Tennis Association</t>
        </is>
      </c>
      <c r="H329" t="inlineStr">
        <is>
          <t>Mayfair West Fitness &amp; Racquet Club</t>
        </is>
      </c>
      <c r="I329" t="n">
        <v>33.8</v>
      </c>
      <c r="J329" s="4" t="n">
        <v>130</v>
      </c>
      <c r="K329" t="inlineStr">
        <is>
          <t>63 / 67</t>
        </is>
      </c>
      <c r="L329" t="inlineStr">
        <is>
          <t>24 / 13</t>
        </is>
      </c>
      <c r="M329" s="5" t="n">
        <v>0.48</v>
      </c>
      <c r="N329" s="5" t="n">
        <v>0.65</v>
      </c>
    </row>
    <row r="330">
      <c r="A330" t="n">
        <v>329</v>
      </c>
      <c r="B330" t="n">
        <v>2013</v>
      </c>
      <c r="C330" t="inlineStr">
        <is>
          <t>Helena Shengyi Chen</t>
        </is>
      </c>
      <c r="D330">
        <f>HYPERLINK("https://ota.tournamentsoftware.com/player-profile/097D6397-0826-4C15-948E-B983C1D748F4", "Link")</f>
        <v/>
      </c>
      <c r="E330" s="3" t="n">
        <v>193.108</v>
      </c>
      <c r="F330" s="4" t="n">
        <v>15</v>
      </c>
      <c r="G330" t="inlineStr">
        <is>
          <t>British Columbia</t>
        </is>
      </c>
      <c r="H330" t="inlineStr">
        <is>
          <t>Tennis BC Hub @ Richmond</t>
        </is>
      </c>
      <c r="I330" t="n">
        <v>33.2</v>
      </c>
      <c r="J330" s="4" t="n">
        <v>115</v>
      </c>
      <c r="K330" t="inlineStr">
        <is>
          <t>49 / 66</t>
        </is>
      </c>
      <c r="L330" t="inlineStr">
        <is>
          <t>12 / 15</t>
        </is>
      </c>
      <c r="M330" s="5" t="n">
        <v>0.43</v>
      </c>
      <c r="N330" s="5" t="n">
        <v>0.44</v>
      </c>
    </row>
    <row r="331">
      <c r="A331" t="n">
        <v>330</v>
      </c>
      <c r="B331" t="n">
        <v>2012</v>
      </c>
      <c r="C331" t="inlineStr">
        <is>
          <t>Gabrielle Siewe Meliatou</t>
        </is>
      </c>
      <c r="D331">
        <f>HYPERLINK("https://ota.tournamentsoftware.com/player-profile/7E53A46A-6CF0-4DB8-9382-FCE1966714A8", "Link")</f>
        <v/>
      </c>
      <c r="E331" s="3" t="n">
        <v>192.866</v>
      </c>
      <c r="F331" s="4" t="n">
        <v>19</v>
      </c>
      <c r="G331" t="inlineStr">
        <is>
          <t>Tennis Québec</t>
        </is>
      </c>
      <c r="H331" t="inlineStr">
        <is>
          <t>SANI Sport</t>
        </is>
      </c>
      <c r="I331" t="n">
        <v>35.5</v>
      </c>
      <c r="J331" s="4" t="n">
        <v>78</v>
      </c>
      <c r="K331" t="inlineStr">
        <is>
          <t>24 / 54</t>
        </is>
      </c>
      <c r="L331" t="inlineStr">
        <is>
          <t>5 / 11</t>
        </is>
      </c>
      <c r="M331" s="5" t="n">
        <v>0.31</v>
      </c>
      <c r="N331" s="5" t="n">
        <v>0.31</v>
      </c>
    </row>
    <row r="332">
      <c r="A332" t="n">
        <v>331</v>
      </c>
      <c r="B332" t="n">
        <v>2014</v>
      </c>
      <c r="C332" t="inlineStr">
        <is>
          <t>Mariah Jorge-Eman</t>
        </is>
      </c>
      <c r="D332">
        <f>HYPERLINK("https://ota.tournamentsoftware.com/player-profile/B6887B12-5A2B-48B9-8A94-164305BBBBBE", "Link")</f>
        <v/>
      </c>
      <c r="E332" s="3" t="n">
        <v>192.757</v>
      </c>
      <c r="F332" s="4" t="n">
        <v>21</v>
      </c>
      <c r="G332" t="inlineStr">
        <is>
          <t>Ontario Tennis Association</t>
        </is>
      </c>
      <c r="H332" t="inlineStr">
        <is>
          <t>Premier Racquet Clubs – Mississauga</t>
        </is>
      </c>
      <c r="I332" t="n">
        <v>33.6</v>
      </c>
      <c r="J332" s="4" t="n">
        <v>102</v>
      </c>
      <c r="K332" t="inlineStr">
        <is>
          <t>48 / 54</t>
        </is>
      </c>
      <c r="L332" t="inlineStr">
        <is>
          <t>15 / 14</t>
        </is>
      </c>
      <c r="M332" s="5" t="n">
        <v>0.47</v>
      </c>
      <c r="N332" s="5" t="n">
        <v>0.52</v>
      </c>
    </row>
    <row r="333">
      <c r="A333" t="n">
        <v>332</v>
      </c>
      <c r="B333" t="n">
        <v>2015</v>
      </c>
      <c r="C333" t="inlineStr">
        <is>
          <t>Lydia Huang</t>
        </is>
      </c>
      <c r="D333">
        <f>HYPERLINK("https://ota.tournamentsoftware.com/player-profile/C398C976-6D88-4D76-B532-8E986C6FF0EA", "Link")</f>
        <v/>
      </c>
      <c r="E333" s="3" t="n">
        <v>192.252</v>
      </c>
      <c r="F333" s="4" t="n">
        <v>23</v>
      </c>
      <c r="G333" t="inlineStr">
        <is>
          <t>Ontario Tennis Association</t>
        </is>
      </c>
      <c r="H333" t="inlineStr">
        <is>
          <t>The Supreme Court Tennis Club</t>
        </is>
      </c>
      <c r="I333" t="n">
        <v>33.8</v>
      </c>
      <c r="J333" s="4" t="n">
        <v>91</v>
      </c>
      <c r="K333" t="inlineStr">
        <is>
          <t>54 / 37</t>
        </is>
      </c>
      <c r="L333" t="inlineStr">
        <is>
          <t>25 / 19</t>
        </is>
      </c>
      <c r="M333" s="5" t="n">
        <v>0.59</v>
      </c>
      <c r="N333" s="5" t="n">
        <v>0.57</v>
      </c>
    </row>
    <row r="334">
      <c r="A334" t="n">
        <v>333</v>
      </c>
      <c r="B334" t="n">
        <v>2015</v>
      </c>
      <c r="C334" t="inlineStr">
        <is>
          <t>Olivia Ormandy</t>
        </is>
      </c>
      <c r="D334">
        <f>HYPERLINK("https://ota.tournamentsoftware.com/player-profile/C2722647-7EFC-4E85-B2ED-55E77949843B", "Link")</f>
        <v/>
      </c>
      <c r="E334" s="3" t="n">
        <v>190.2</v>
      </c>
      <c r="F334" s="4" t="n">
        <v>29</v>
      </c>
      <c r="G334" t="inlineStr">
        <is>
          <t>Tennis Québec</t>
        </is>
      </c>
      <c r="H334" t="inlineStr">
        <is>
          <t>Tennis Interclub Piedmont</t>
        </is>
      </c>
      <c r="I334" t="n">
        <v>33.2</v>
      </c>
      <c r="J334" s="4" t="n">
        <v>190</v>
      </c>
      <c r="K334" t="inlineStr">
        <is>
          <t>92 / 98</t>
        </is>
      </c>
      <c r="L334" t="inlineStr">
        <is>
          <t>20 / 24</t>
        </is>
      </c>
      <c r="M334" s="5" t="n">
        <v>0.48</v>
      </c>
      <c r="N334" s="5" t="n">
        <v>0.45</v>
      </c>
    </row>
    <row r="335">
      <c r="A335" t="n">
        <v>334</v>
      </c>
      <c r="B335" t="n">
        <v>2012</v>
      </c>
      <c r="C335" t="inlineStr">
        <is>
          <t>Sabrina Sajjad</t>
        </is>
      </c>
      <c r="D335">
        <f>HYPERLINK("https://ota.tournamentsoftware.com/player-profile/6C7EB560-0C6C-49E6-9B42-49009727ED3D", "Link")</f>
        <v/>
      </c>
      <c r="E335" s="3" t="n">
        <v>189.48</v>
      </c>
      <c r="F335" s="4" t="n">
        <v>15</v>
      </c>
      <c r="G335" t="inlineStr">
        <is>
          <t>Ontario Tennis Association</t>
        </is>
      </c>
      <c r="H335" t="inlineStr">
        <is>
          <t>No Club</t>
        </is>
      </c>
      <c r="I335" t="n">
        <v>33.8</v>
      </c>
      <c r="J335" s="4" t="n">
        <v>67</v>
      </c>
      <c r="K335" t="inlineStr">
        <is>
          <t>35 / 32</t>
        </is>
      </c>
      <c r="L335" t="inlineStr">
        <is>
          <t>8 / 8</t>
        </is>
      </c>
      <c r="M335" s="5" t="n">
        <v>0.52</v>
      </c>
      <c r="N335" s="5" t="n">
        <v>0.5</v>
      </c>
    </row>
    <row r="336">
      <c r="A336" t="n">
        <v>335</v>
      </c>
      <c r="B336" t="n">
        <v>2014</v>
      </c>
      <c r="C336" t="inlineStr">
        <is>
          <t>Payton Isabelle JOHNSTON</t>
        </is>
      </c>
      <c r="D336">
        <f>HYPERLINK("https://ota.tournamentsoftware.com/player-profile/30639279-6EB4-43A0-806A-9F7E6209EBA5", "Link")</f>
        <v/>
      </c>
      <c r="E336" s="3" t="n">
        <v>189.449</v>
      </c>
      <c r="F336" s="4" t="n">
        <v>12</v>
      </c>
      <c r="G336" t="inlineStr">
        <is>
          <t>Tennis Nova Scotia</t>
        </is>
      </c>
      <c r="H336" t="inlineStr">
        <is>
          <t>Gordon Hughes Tennis Club</t>
        </is>
      </c>
      <c r="I336" t="n">
        <v>34.3</v>
      </c>
      <c r="J336" s="4" t="n">
        <v>93</v>
      </c>
      <c r="K336" t="inlineStr">
        <is>
          <t>47 / 46</t>
        </is>
      </c>
      <c r="L336" t="inlineStr">
        <is>
          <t>16 / 20</t>
        </is>
      </c>
      <c r="M336" s="5" t="n">
        <v>0.51</v>
      </c>
      <c r="N336" s="5" t="n">
        <v>0.44</v>
      </c>
    </row>
    <row r="337">
      <c r="A337" t="n">
        <v>336</v>
      </c>
      <c r="B337" t="n">
        <v>2015</v>
      </c>
      <c r="C337" t="inlineStr">
        <is>
          <t>Navena Thelepan</t>
        </is>
      </c>
      <c r="D337">
        <f>HYPERLINK("https://ota.tournamentsoftware.com/player-profile/811C2EA5-51E7-4FDE-BF82-1DF3D9D0AD27", "Link")</f>
        <v/>
      </c>
      <c r="E337" s="3" t="n">
        <v>189.163</v>
      </c>
      <c r="F337" s="4" t="n">
        <v>33</v>
      </c>
      <c r="G337" t="inlineStr">
        <is>
          <t>Ontario Tennis Association</t>
        </is>
      </c>
      <c r="H337" t="inlineStr">
        <is>
          <t>Markham Tennis Club</t>
        </is>
      </c>
      <c r="I337" t="n">
        <v>35.8</v>
      </c>
      <c r="J337" s="4" t="n">
        <v>133</v>
      </c>
      <c r="K337" t="inlineStr">
        <is>
          <t>61 / 72</t>
        </is>
      </c>
      <c r="L337" t="inlineStr">
        <is>
          <t>17 / 35</t>
        </is>
      </c>
      <c r="M337" s="5" t="n">
        <v>0.46</v>
      </c>
      <c r="N337" s="5" t="n">
        <v>0.33</v>
      </c>
    </row>
    <row r="338">
      <c r="A338" t="n">
        <v>337</v>
      </c>
      <c r="B338" t="n">
        <v>2013</v>
      </c>
      <c r="C338" t="inlineStr">
        <is>
          <t>Ophélia Carbonneau</t>
        </is>
      </c>
      <c r="D338">
        <f>HYPERLINK("https://ota.tournamentsoftware.com/player-profile/8B592B8F-8B82-48EF-9CDD-0CBA40EBB412", "Link")</f>
        <v/>
      </c>
      <c r="E338" s="3" t="n">
        <v>188.358</v>
      </c>
      <c r="F338" s="4" t="n">
        <v>16</v>
      </c>
      <c r="G338" t="inlineStr">
        <is>
          <t>Tennis Québec</t>
        </is>
      </c>
      <c r="H338" t="inlineStr">
        <is>
          <t>Tennis Interclub Piedmont</t>
        </is>
      </c>
      <c r="I338" t="n">
        <v>36.4</v>
      </c>
      <c r="J338" s="4" t="n">
        <v>105</v>
      </c>
      <c r="K338" t="inlineStr">
        <is>
          <t>30 / 75</t>
        </is>
      </c>
      <c r="L338" t="inlineStr">
        <is>
          <t>6 / 12</t>
        </is>
      </c>
      <c r="M338" s="5" t="n">
        <v>0.29</v>
      </c>
      <c r="N338" s="5" t="n">
        <v>0.33</v>
      </c>
    </row>
    <row r="339">
      <c r="A339" t="n">
        <v>338</v>
      </c>
      <c r="B339" t="n">
        <v>2012</v>
      </c>
      <c r="C339" t="inlineStr">
        <is>
          <t>Angelica Rose Spyrka</t>
        </is>
      </c>
      <c r="D339">
        <f>HYPERLINK("https://ota.tournamentsoftware.com/player-profile/7A8F99DB-3ADA-4FDB-AC08-5095AAF01985", "Link")</f>
        <v/>
      </c>
      <c r="E339" s="3" t="n">
        <v>188.137</v>
      </c>
      <c r="F339" s="4" t="n">
        <v>17</v>
      </c>
      <c r="G339" t="inlineStr">
        <is>
          <t>British Columbia</t>
        </is>
      </c>
      <c r="H339" t="inlineStr">
        <is>
          <t>Vanguard Tennis Academy</t>
        </is>
      </c>
      <c r="I339" t="n">
        <v>33.3</v>
      </c>
      <c r="J339" s="4" t="n">
        <v>74</v>
      </c>
      <c r="K339" t="inlineStr">
        <is>
          <t>32 / 42</t>
        </is>
      </c>
      <c r="L339" t="inlineStr">
        <is>
          <t>6 / 10</t>
        </is>
      </c>
      <c r="M339" s="5" t="n">
        <v>0.43</v>
      </c>
      <c r="N339" s="5" t="n">
        <v>0.38</v>
      </c>
    </row>
    <row r="340">
      <c r="A340" t="n">
        <v>339</v>
      </c>
      <c r="B340" t="n">
        <v>2015</v>
      </c>
      <c r="C340" t="inlineStr">
        <is>
          <t>Yasmine Maazouz</t>
        </is>
      </c>
      <c r="D340">
        <f>HYPERLINK("https://ota.tournamentsoftware.com/player-profile/004E04F8-71A7-4C1F-B42C-805F1590C456", "Link")</f>
        <v/>
      </c>
      <c r="E340" s="3" t="n">
        <v>187.932</v>
      </c>
      <c r="F340" s="4" t="n">
        <v>8</v>
      </c>
      <c r="G340" t="inlineStr">
        <is>
          <t>Tennis Québec</t>
        </is>
      </c>
      <c r="H340" t="inlineStr">
        <is>
          <t>Tennis Montréal Excellence</t>
        </is>
      </c>
      <c r="I340" t="n">
        <v>30.5</v>
      </c>
      <c r="J340" s="4" t="n">
        <v>113</v>
      </c>
      <c r="K340" t="inlineStr">
        <is>
          <t>68 / 45</t>
        </is>
      </c>
      <c r="L340" t="inlineStr">
        <is>
          <t>19 / 6</t>
        </is>
      </c>
      <c r="M340" s="5" t="n">
        <v>0.6</v>
      </c>
      <c r="N340" s="5" t="n">
        <v>0.76</v>
      </c>
    </row>
    <row r="341">
      <c r="A341" t="n">
        <v>340</v>
      </c>
      <c r="B341" t="n">
        <v>2016</v>
      </c>
      <c r="C341" t="inlineStr">
        <is>
          <t>Emily Zheng</t>
        </is>
      </c>
      <c r="D341">
        <f>HYPERLINK("https://ota.tournamentsoftware.com/player-profile/6AB11A61-4852-4958-84E1-2773676D29C2", "Link")</f>
        <v/>
      </c>
      <c r="E341" s="3" t="n">
        <v>187.89</v>
      </c>
      <c r="F341" s="4" t="n">
        <v>30</v>
      </c>
      <c r="G341" t="inlineStr">
        <is>
          <t>Ontario Tennis Association</t>
        </is>
      </c>
      <c r="H341" t="inlineStr">
        <is>
          <t>Toronto Cricket Skating &amp; Curling</t>
        </is>
      </c>
      <c r="I341" t="n">
        <v>32.8</v>
      </c>
      <c r="J341" s="4" t="n">
        <v>106</v>
      </c>
      <c r="K341" t="inlineStr">
        <is>
          <t>43 / 63</t>
        </is>
      </c>
      <c r="L341" t="inlineStr">
        <is>
          <t>22 / 13</t>
        </is>
      </c>
      <c r="M341" s="5" t="n">
        <v>0.41</v>
      </c>
      <c r="N341" s="5" t="n">
        <v>0.63</v>
      </c>
    </row>
    <row r="342">
      <c r="A342" t="n">
        <v>341</v>
      </c>
      <c r="B342" t="n">
        <v>2012</v>
      </c>
      <c r="C342" t="inlineStr">
        <is>
          <t>Ruoyu Wang</t>
        </is>
      </c>
      <c r="D342">
        <f>HYPERLINK("https://ota.tournamentsoftware.com/player-profile/BF1A51BB-FF4F-417F-AE41-0914B75C7FF1", "Link")</f>
        <v/>
      </c>
      <c r="E342" s="3" t="n">
        <v>187.562</v>
      </c>
      <c r="F342" s="4" t="n">
        <v>11</v>
      </c>
      <c r="G342" t="inlineStr">
        <is>
          <t>Tennis Québec</t>
        </is>
      </c>
      <c r="H342" t="inlineStr">
        <is>
          <t>Tennis 13</t>
        </is>
      </c>
      <c r="I342" t="inlineStr">
        <is>
          <t>unavailable</t>
        </is>
      </c>
      <c r="J342" s="4" t="n">
        <v>16</v>
      </c>
      <c r="K342" t="inlineStr">
        <is>
          <t>3 / 13</t>
        </is>
      </c>
      <c r="L342" t="inlineStr">
        <is>
          <t>2 / 7</t>
        </is>
      </c>
      <c r="M342" s="5" t="n">
        <v>0.19</v>
      </c>
      <c r="N342" s="5" t="n">
        <v>0.22</v>
      </c>
    </row>
    <row r="343">
      <c r="A343" t="n">
        <v>342</v>
      </c>
      <c r="B343" t="n">
        <v>2013</v>
      </c>
      <c r="C343" t="inlineStr">
        <is>
          <t>Alysha Alexis</t>
        </is>
      </c>
      <c r="D343">
        <f>HYPERLINK("https://ota.tournamentsoftware.com/player-profile/42191CE6-0E1E-460D-80E0-9A7FF78DA6C6", "Link")</f>
        <v/>
      </c>
      <c r="E343" s="3" t="n">
        <v>185.03</v>
      </c>
      <c r="F343" s="4" t="n">
        <v>16</v>
      </c>
      <c r="G343" t="inlineStr">
        <is>
          <t>Tennis Québec</t>
        </is>
      </c>
      <c r="H343" t="inlineStr">
        <is>
          <t>Académie Tennis Momentum (club extérieur)</t>
        </is>
      </c>
      <c r="I343" t="n">
        <v>33.9</v>
      </c>
      <c r="J343" s="4" t="n">
        <v>68</v>
      </c>
      <c r="K343" t="inlineStr">
        <is>
          <t>32 / 36</t>
        </is>
      </c>
      <c r="L343" t="inlineStr">
        <is>
          <t>12 / 12</t>
        </is>
      </c>
      <c r="M343" s="5" t="n">
        <v>0.47</v>
      </c>
      <c r="N343" s="5" t="n">
        <v>0.5</v>
      </c>
    </row>
    <row r="344">
      <c r="A344" t="n">
        <v>343</v>
      </c>
      <c r="B344" t="n">
        <v>2014</v>
      </c>
      <c r="C344" t="inlineStr">
        <is>
          <t>Amelia Rogette Hinnawi</t>
        </is>
      </c>
      <c r="D344">
        <f>HYPERLINK("https://ota.tournamentsoftware.com/player-profile/1DADE780-E571-45F1-BC6D-21B72637C0B7", "Link")</f>
        <v/>
      </c>
      <c r="E344" s="3" t="n">
        <v>184.213</v>
      </c>
      <c r="F344" s="4" t="n">
        <v>22</v>
      </c>
      <c r="G344" t="inlineStr">
        <is>
          <t>Tennis Québec</t>
        </is>
      </c>
      <c r="H344" t="inlineStr">
        <is>
          <t>Tennis Ile- des- Soeurs</t>
        </is>
      </c>
      <c r="I344" t="inlineStr">
        <is>
          <t>unavailable</t>
        </is>
      </c>
      <c r="J344" s="4" t="n">
        <v>135</v>
      </c>
      <c r="K344" t="inlineStr">
        <is>
          <t>42 / 93</t>
        </is>
      </c>
      <c r="L344" t="inlineStr">
        <is>
          <t>12 / 21</t>
        </is>
      </c>
      <c r="M344" s="5" t="n">
        <v>0.31</v>
      </c>
      <c r="N344" s="5" t="n">
        <v>0.36</v>
      </c>
    </row>
    <row r="345">
      <c r="A345" t="n">
        <v>344</v>
      </c>
      <c r="B345" t="n">
        <v>2013</v>
      </c>
      <c r="C345" t="inlineStr">
        <is>
          <t>Victoria Pellerin</t>
        </is>
      </c>
      <c r="D345">
        <f>HYPERLINK("https://ota.tournamentsoftware.com/player-profile/097573BE-64EA-4951-9B1B-3779B5938722", "Link")</f>
        <v/>
      </c>
      <c r="E345" s="3" t="n">
        <v>181.263</v>
      </c>
      <c r="F345" s="4" t="n">
        <v>16</v>
      </c>
      <c r="G345" t="inlineStr">
        <is>
          <t>Tennis Québec</t>
        </is>
      </c>
      <c r="H345" t="inlineStr">
        <is>
          <t>Centre récréatif de Repentigny / Académie Tennis Momentum</t>
        </is>
      </c>
      <c r="I345" t="n">
        <v>36.6</v>
      </c>
      <c r="J345" s="4" t="n">
        <v>56</v>
      </c>
      <c r="K345" t="inlineStr">
        <is>
          <t>16 / 40</t>
        </is>
      </c>
      <c r="L345" t="inlineStr">
        <is>
          <t>4 / 12</t>
        </is>
      </c>
      <c r="M345" s="5" t="n">
        <v>0.29</v>
      </c>
      <c r="N345" s="5" t="n">
        <v>0.25</v>
      </c>
    </row>
    <row r="346">
      <c r="A346" t="n">
        <v>345</v>
      </c>
      <c r="B346" t="n">
        <v>2014</v>
      </c>
      <c r="C346" t="inlineStr">
        <is>
          <t>Ella Meng</t>
        </is>
      </c>
      <c r="D346">
        <f>HYPERLINK("https://ota.tournamentsoftware.com/player-profile/B7EC0DBA-A6B8-49FA-A398-63ABEF8384E7", "Link")</f>
        <v/>
      </c>
      <c r="E346" s="3" t="n">
        <v>180.792</v>
      </c>
      <c r="F346" s="4" t="n">
        <v>11</v>
      </c>
      <c r="G346" t="inlineStr">
        <is>
          <t>Ontario Tennis Association</t>
        </is>
      </c>
      <c r="H346" t="inlineStr">
        <is>
          <t>Marilyn Redvers Tennis Club</t>
        </is>
      </c>
      <c r="I346" t="n">
        <v>34</v>
      </c>
      <c r="J346" s="4" t="n">
        <v>84</v>
      </c>
      <c r="K346" t="inlineStr">
        <is>
          <t>30 / 54</t>
        </is>
      </c>
      <c r="L346" t="inlineStr">
        <is>
          <t>11 / 12</t>
        </is>
      </c>
      <c r="M346" s="5" t="n">
        <v>0.36</v>
      </c>
      <c r="N346" s="5" t="n">
        <v>0.48</v>
      </c>
    </row>
    <row r="347">
      <c r="A347" t="n">
        <v>346</v>
      </c>
      <c r="B347" t="n">
        <v>2014</v>
      </c>
      <c r="C347" t="inlineStr">
        <is>
          <t>Lana Kasumovic</t>
        </is>
      </c>
      <c r="D347">
        <f>HYPERLINK("https://ota.tournamentsoftware.com/player-profile/7F2BA85F-A3DF-40B8-9457-1DD55A7C11FB", "Link")</f>
        <v/>
      </c>
      <c r="E347" s="3" t="n">
        <v>180.283</v>
      </c>
      <c r="F347" s="4" t="n">
        <v>24</v>
      </c>
      <c r="G347" t="inlineStr">
        <is>
          <t>Ontario Tennis Association</t>
        </is>
      </c>
      <c r="H347" t="inlineStr">
        <is>
          <t>Rideau Sports Centre</t>
        </is>
      </c>
      <c r="I347" t="n">
        <v>34.8</v>
      </c>
      <c r="J347" s="4" t="n">
        <v>138</v>
      </c>
      <c r="K347" t="inlineStr">
        <is>
          <t>44 / 94</t>
        </is>
      </c>
      <c r="L347" t="inlineStr">
        <is>
          <t>18 / 19</t>
        </is>
      </c>
      <c r="M347" s="5" t="n">
        <v>0.32</v>
      </c>
      <c r="N347" s="5" t="n">
        <v>0.49</v>
      </c>
    </row>
    <row r="348">
      <c r="A348" t="n">
        <v>347</v>
      </c>
      <c r="B348" t="n">
        <v>2013</v>
      </c>
      <c r="C348" t="inlineStr">
        <is>
          <t>Sophie Pothel</t>
        </is>
      </c>
      <c r="D348">
        <f>HYPERLINK("https://ota.tournamentsoftware.com/player-profile/21DD6509-0C4D-4711-BEB0-DC2D198520FD", "Link")</f>
        <v/>
      </c>
      <c r="E348" s="3" t="n">
        <v>179.691</v>
      </c>
      <c r="F348" s="4" t="n">
        <v>13</v>
      </c>
      <c r="G348" t="inlineStr">
        <is>
          <t>Tennis Québec</t>
        </is>
      </c>
      <c r="H348" t="inlineStr">
        <is>
          <t>Tennis Ile- des- Soeurs</t>
        </is>
      </c>
      <c r="I348" t="inlineStr">
        <is>
          <t>unavailable</t>
        </is>
      </c>
      <c r="J348" s="4" t="n">
        <v>51</v>
      </c>
      <c r="K348" t="inlineStr">
        <is>
          <t>7 / 44</t>
        </is>
      </c>
      <c r="L348" t="inlineStr">
        <is>
          <t>2 / 12</t>
        </is>
      </c>
      <c r="M348" s="5" t="n">
        <v>0.14</v>
      </c>
      <c r="N348" s="5" t="n">
        <v>0.14</v>
      </c>
    </row>
    <row r="349">
      <c r="A349" t="n">
        <v>348</v>
      </c>
      <c r="B349" t="n">
        <v>2012</v>
      </c>
      <c r="C349" t="inlineStr">
        <is>
          <t>Selena Wazelle</t>
        </is>
      </c>
      <c r="D349">
        <f>HYPERLINK("https://ota.tournamentsoftware.com/player-profile/B596341F-BD27-43AF-8888-AAD072F39AFB", "Link")</f>
        <v/>
      </c>
      <c r="E349" s="3" t="n">
        <v>178.632</v>
      </c>
      <c r="F349" s="4" t="n">
        <v>5</v>
      </c>
      <c r="G349" t="inlineStr">
        <is>
          <t>British Columbia</t>
        </is>
      </c>
      <c r="H349" t="inlineStr">
        <is>
          <t>No Club</t>
        </is>
      </c>
      <c r="I349" t="n">
        <v>30.1</v>
      </c>
      <c r="J349" s="4" t="n">
        <v>159</v>
      </c>
      <c r="K349" t="inlineStr">
        <is>
          <t>89 / 70</t>
        </is>
      </c>
      <c r="L349" t="inlineStr">
        <is>
          <t>0 / 0</t>
        </is>
      </c>
      <c r="M349" s="5" t="n">
        <v>0.5600000000000001</v>
      </c>
      <c r="N349" s="5" t="n">
        <v>0</v>
      </c>
    </row>
    <row r="350">
      <c r="A350" t="n">
        <v>349</v>
      </c>
      <c r="B350" t="n">
        <v>2015</v>
      </c>
      <c r="C350" t="inlineStr">
        <is>
          <t>Brielle York</t>
        </is>
      </c>
      <c r="D350">
        <f>HYPERLINK("https://ota.tournamentsoftware.com/player-profile/C0B1A514-EDF7-4907-9E4D-D3B8C705EB1D", "Link")</f>
        <v/>
      </c>
      <c r="E350" s="3" t="n">
        <v>177.941</v>
      </c>
      <c r="F350" s="4" t="n">
        <v>16</v>
      </c>
      <c r="G350" t="inlineStr">
        <is>
          <t>Tennis Alberta</t>
        </is>
      </c>
      <c r="H350" t="inlineStr">
        <is>
          <t>Aforza</t>
        </is>
      </c>
      <c r="I350" t="n">
        <v>36.3</v>
      </c>
      <c r="J350" s="4" t="n">
        <v>144</v>
      </c>
      <c r="K350" t="inlineStr">
        <is>
          <t>68 / 76</t>
        </is>
      </c>
      <c r="L350" t="inlineStr">
        <is>
          <t>13 / 21</t>
        </is>
      </c>
      <c r="M350" s="5" t="n">
        <v>0.47</v>
      </c>
      <c r="N350" s="5" t="n">
        <v>0.38</v>
      </c>
    </row>
    <row r="351">
      <c r="A351" t="n">
        <v>350</v>
      </c>
      <c r="B351" t="n">
        <v>2012</v>
      </c>
      <c r="C351" t="inlineStr">
        <is>
          <t>Charlianne Grace Kiss</t>
        </is>
      </c>
      <c r="D351">
        <f>HYPERLINK("https://ota.tournamentsoftware.com/player-profile/09C918D2-187B-42AF-836D-E31A35062CB3", "Link")</f>
        <v/>
      </c>
      <c r="E351" s="3" t="n">
        <v>176.12</v>
      </c>
      <c r="F351" s="4" t="n">
        <v>11</v>
      </c>
      <c r="G351" t="inlineStr">
        <is>
          <t>Tennis Alberta</t>
        </is>
      </c>
      <c r="H351" t="inlineStr">
        <is>
          <t>Saville Community Sports Centre</t>
        </is>
      </c>
      <c r="I351" t="n">
        <v>35.9</v>
      </c>
      <c r="J351" s="4" t="n">
        <v>72</v>
      </c>
      <c r="K351" t="inlineStr">
        <is>
          <t>27 / 45</t>
        </is>
      </c>
      <c r="L351" t="inlineStr">
        <is>
          <t>9 / 15</t>
        </is>
      </c>
      <c r="M351" s="5" t="n">
        <v>0.38</v>
      </c>
      <c r="N351" s="5" t="n">
        <v>0.38</v>
      </c>
    </row>
    <row r="352">
      <c r="A352" t="n">
        <v>351</v>
      </c>
      <c r="B352" t="n">
        <v>2013</v>
      </c>
      <c r="C352" t="inlineStr">
        <is>
          <t>Tia Patel</t>
        </is>
      </c>
      <c r="D352">
        <f>HYPERLINK("https://ota.tournamentsoftware.com/player-profile/5C480574-FD9C-4816-B1CF-F51441726B25", "Link")</f>
        <v/>
      </c>
      <c r="E352" s="3" t="n">
        <v>175.635</v>
      </c>
      <c r="F352" s="4" t="n">
        <v>15</v>
      </c>
      <c r="G352" t="inlineStr">
        <is>
          <t>Ontario Tennis Association</t>
        </is>
      </c>
      <c r="H352" t="inlineStr">
        <is>
          <t>Waterloo Tennis Club</t>
        </is>
      </c>
      <c r="I352" t="n">
        <v>35.3</v>
      </c>
      <c r="J352" s="4" t="n">
        <v>71</v>
      </c>
      <c r="K352" t="inlineStr">
        <is>
          <t>24 / 47</t>
        </is>
      </c>
      <c r="L352" t="inlineStr">
        <is>
          <t>2 / 7</t>
        </is>
      </c>
      <c r="M352" s="5" t="n">
        <v>0.34</v>
      </c>
      <c r="N352" s="5" t="n">
        <v>0.22</v>
      </c>
    </row>
    <row r="353">
      <c r="A353" t="n">
        <v>352</v>
      </c>
      <c r="B353" t="n">
        <v>2014</v>
      </c>
      <c r="C353" t="inlineStr">
        <is>
          <t>Nadia Stuparyk</t>
        </is>
      </c>
      <c r="D353">
        <f>HYPERLINK("https://ota.tournamentsoftware.com/player-profile/05ABA68F-2EB2-4BFB-B6CA-677BDD1DCDCA", "Link")</f>
        <v/>
      </c>
      <c r="E353" s="3" t="n">
        <v>173.522</v>
      </c>
      <c r="F353" s="4" t="n">
        <v>34</v>
      </c>
      <c r="G353" t="inlineStr">
        <is>
          <t>Ontario Tennis Association</t>
        </is>
      </c>
      <c r="H353" t="inlineStr">
        <is>
          <t>Parkside Tennis Club</t>
        </is>
      </c>
      <c r="I353" t="n">
        <v>33</v>
      </c>
      <c r="J353" s="4" t="n">
        <v>179</v>
      </c>
      <c r="K353" t="inlineStr">
        <is>
          <t>85 / 94</t>
        </is>
      </c>
      <c r="L353" t="inlineStr">
        <is>
          <t>20 / 18</t>
        </is>
      </c>
      <c r="M353" s="5" t="n">
        <v>0.47</v>
      </c>
      <c r="N353" s="5" t="n">
        <v>0.53</v>
      </c>
    </row>
    <row r="354">
      <c r="A354" t="n">
        <v>353</v>
      </c>
      <c r="B354" t="n">
        <v>2015</v>
      </c>
      <c r="C354" t="inlineStr">
        <is>
          <t>Isla J Green</t>
        </is>
      </c>
      <c r="D354">
        <f>HYPERLINK("https://ota.tournamentsoftware.com/player-profile/B2E098BE-DB7E-4756-BD31-93298500E09D", "Link")</f>
        <v/>
      </c>
      <c r="E354" s="3" t="n">
        <v>173.154</v>
      </c>
      <c r="F354" s="4" t="n">
        <v>21</v>
      </c>
      <c r="G354" t="inlineStr">
        <is>
          <t>Ontario Tennis Association</t>
        </is>
      </c>
      <c r="H354" t="inlineStr">
        <is>
          <t>Advantage Tennis International at Veneto</t>
        </is>
      </c>
      <c r="I354" t="n">
        <v>31.7</v>
      </c>
      <c r="J354" s="4" t="n">
        <v>231</v>
      </c>
      <c r="K354" t="inlineStr">
        <is>
          <t>155 / 76</t>
        </is>
      </c>
      <c r="L354" t="inlineStr">
        <is>
          <t>28 / 13</t>
        </is>
      </c>
      <c r="M354" s="5" t="n">
        <v>0.67</v>
      </c>
      <c r="N354" s="5" t="n">
        <v>0.68</v>
      </c>
    </row>
    <row r="355">
      <c r="A355" t="n">
        <v>354</v>
      </c>
      <c r="B355" t="n">
        <v>2012</v>
      </c>
      <c r="C355" t="inlineStr">
        <is>
          <t>Riley Lynn Banath</t>
        </is>
      </c>
      <c r="D355">
        <f>HYPERLINK("https://ota.tournamentsoftware.com/player-profile/4B613A1C-293C-4701-B6BA-BEC5F8EBDA29", "Link")</f>
        <v/>
      </c>
      <c r="E355" s="3" t="n">
        <v>173.105</v>
      </c>
      <c r="F355" s="4" t="n">
        <v>13</v>
      </c>
      <c r="G355" t="inlineStr">
        <is>
          <t>British Columbia</t>
        </is>
      </c>
      <c r="H355" t="inlineStr">
        <is>
          <t>Arbutus Club</t>
        </is>
      </c>
      <c r="I355" t="n">
        <v>37.4</v>
      </c>
      <c r="J355" s="4" t="n">
        <v>44</v>
      </c>
      <c r="K355" t="inlineStr">
        <is>
          <t>9 / 35</t>
        </is>
      </c>
      <c r="L355" t="inlineStr">
        <is>
          <t>5 / 20</t>
        </is>
      </c>
      <c r="M355" s="5" t="n">
        <v>0.2</v>
      </c>
      <c r="N355" s="5" t="n">
        <v>0.2</v>
      </c>
    </row>
    <row r="356">
      <c r="A356" t="n">
        <v>355</v>
      </c>
      <c r="B356" t="n">
        <v>2016</v>
      </c>
      <c r="C356" t="inlineStr">
        <is>
          <t>Tanishka Varishtha Tripathi</t>
        </is>
      </c>
      <c r="D356">
        <f>HYPERLINK("https://ota.tournamentsoftware.com/player-profile/C966D3AB-F944-4405-A712-C5FA591776A1", "Link")</f>
        <v/>
      </c>
      <c r="E356" s="3" t="n">
        <v>172.289</v>
      </c>
      <c r="F356" s="4" t="n">
        <v>12</v>
      </c>
      <c r="G356" t="inlineStr">
        <is>
          <t>Ontario Tennis Association</t>
        </is>
      </c>
      <c r="H356" t="inlineStr">
        <is>
          <t>Tennis Outaouais Performance (TOP) ON</t>
        </is>
      </c>
      <c r="I356" t="n">
        <v>32.8</v>
      </c>
      <c r="J356" s="4" t="n">
        <v>133</v>
      </c>
      <c r="K356" t="inlineStr">
        <is>
          <t>95 / 38</t>
        </is>
      </c>
      <c r="L356" t="inlineStr">
        <is>
          <t>18 / 11</t>
        </is>
      </c>
      <c r="M356" s="5" t="n">
        <v>0.71</v>
      </c>
      <c r="N356" s="5" t="n">
        <v>0.62</v>
      </c>
    </row>
    <row r="357">
      <c r="A357" t="n">
        <v>356</v>
      </c>
      <c r="B357" t="n">
        <v>2013</v>
      </c>
      <c r="C357" t="inlineStr">
        <is>
          <t>Alice Laganière</t>
        </is>
      </c>
      <c r="D357">
        <f>HYPERLINK("https://ota.tournamentsoftware.com/player-profile/C9532D29-EE9A-4084-ACB5-2DBCAD4DF862", "Link")</f>
        <v/>
      </c>
      <c r="E357" s="3" t="n">
        <v>171.17</v>
      </c>
      <c r="F357" s="4" t="n">
        <v>10</v>
      </c>
      <c r="G357" t="inlineStr">
        <is>
          <t>Tennis Québec</t>
        </is>
      </c>
      <c r="H357" t="inlineStr">
        <is>
          <t>Club de tennis intérieur Saguenay / École de tennis Delisle-Poirel</t>
        </is>
      </c>
      <c r="I357" t="n">
        <v>35.4</v>
      </c>
      <c r="J357" s="4" t="n">
        <v>39</v>
      </c>
      <c r="K357" t="inlineStr">
        <is>
          <t>13 / 26</t>
        </is>
      </c>
      <c r="L357" t="inlineStr">
        <is>
          <t>1 / 6</t>
        </is>
      </c>
      <c r="M357" s="5" t="n">
        <v>0.33</v>
      </c>
      <c r="N357" s="5" t="n">
        <v>0.14</v>
      </c>
    </row>
    <row r="358">
      <c r="A358" t="n">
        <v>357</v>
      </c>
      <c r="B358" t="n">
        <v>2015</v>
      </c>
      <c r="C358" t="inlineStr">
        <is>
          <t>Ruichu Rachel Piao</t>
        </is>
      </c>
      <c r="D358">
        <f>HYPERLINK("https://ota.tournamentsoftware.com/player-profile/13F65932-C96D-4F89-B571-4AA7315B2EEB", "Link")</f>
        <v/>
      </c>
      <c r="E358" s="3" t="n">
        <v>170.967</v>
      </c>
      <c r="F358" s="4" t="n">
        <v>13</v>
      </c>
      <c r="G358" t="inlineStr">
        <is>
          <t>Tennis Québec</t>
        </is>
      </c>
      <c r="H358" t="inlineStr">
        <is>
          <t>Tennis Ile- des- Soeurs</t>
        </is>
      </c>
      <c r="I358" t="inlineStr">
        <is>
          <t>unavailable</t>
        </is>
      </c>
      <c r="J358" s="4" t="n">
        <v>74</v>
      </c>
      <c r="K358" t="inlineStr">
        <is>
          <t>34 / 40</t>
        </is>
      </c>
      <c r="L358" t="inlineStr">
        <is>
          <t>7 / 12</t>
        </is>
      </c>
      <c r="M358" s="5" t="n">
        <v>0.46</v>
      </c>
      <c r="N358" s="5" t="n">
        <v>0.37</v>
      </c>
    </row>
    <row r="359">
      <c r="A359" t="n">
        <v>358</v>
      </c>
      <c r="B359" t="n">
        <v>2015</v>
      </c>
      <c r="C359" t="inlineStr">
        <is>
          <t>Adelaide Mossop</t>
        </is>
      </c>
      <c r="D359">
        <f>HYPERLINK("https://ota.tournamentsoftware.com/player-profile/0BA4F4DB-3133-41DE-9EE3-39EB4A609399", "Link")</f>
        <v/>
      </c>
      <c r="E359" s="3" t="n">
        <v>170.614</v>
      </c>
      <c r="F359" s="4" t="n">
        <v>12</v>
      </c>
      <c r="G359" t="inlineStr">
        <is>
          <t>Tennis Nova Scotia</t>
        </is>
      </c>
      <c r="H359" t="inlineStr">
        <is>
          <t>Atlantic Tennis Centre</t>
        </is>
      </c>
      <c r="I359" t="n">
        <v>35.9</v>
      </c>
      <c r="J359" s="4" t="n">
        <v>162</v>
      </c>
      <c r="K359" t="inlineStr">
        <is>
          <t>65 / 97</t>
        </is>
      </c>
      <c r="L359" t="inlineStr">
        <is>
          <t>14 / 24</t>
        </is>
      </c>
      <c r="M359" s="5" t="n">
        <v>0.4</v>
      </c>
      <c r="N359" s="5" t="n">
        <v>0.37</v>
      </c>
    </row>
    <row r="360">
      <c r="A360" t="n">
        <v>359</v>
      </c>
      <c r="B360" t="n">
        <v>2013</v>
      </c>
      <c r="C360" t="inlineStr">
        <is>
          <t>Makayla Najjar</t>
        </is>
      </c>
      <c r="D360">
        <f>HYPERLINK("https://ota.tournamentsoftware.com/player-profile/A931D3E2-A84F-4018-9B2A-A1664811863E", "Link")</f>
        <v/>
      </c>
      <c r="E360" s="3" t="n">
        <v>170.304</v>
      </c>
      <c r="F360" s="4" t="n">
        <v>12</v>
      </c>
      <c r="G360" t="inlineStr">
        <is>
          <t>Ontario Tennis Association</t>
        </is>
      </c>
      <c r="H360" t="inlineStr">
        <is>
          <t>Premier Racquet Clubs – Mississauga</t>
        </is>
      </c>
      <c r="I360" t="n">
        <v>33.9</v>
      </c>
      <c r="J360" s="4" t="n">
        <v>86</v>
      </c>
      <c r="K360" t="inlineStr">
        <is>
          <t>57 / 29</t>
        </is>
      </c>
      <c r="L360" t="inlineStr">
        <is>
          <t>14 / 10</t>
        </is>
      </c>
      <c r="M360" s="5" t="n">
        <v>0.66</v>
      </c>
      <c r="N360" s="5" t="n">
        <v>0.58</v>
      </c>
    </row>
    <row r="361">
      <c r="A361" t="n">
        <v>360</v>
      </c>
      <c r="B361" t="n">
        <v>2012</v>
      </c>
      <c r="C361" t="inlineStr">
        <is>
          <t>Amelia Jee</t>
        </is>
      </c>
      <c r="D361">
        <f>HYPERLINK("https://ota.tournamentsoftware.com/player-profile/485EA829-3893-4703-AF9A-1CF8D304CE5D", "Link")</f>
        <v/>
      </c>
      <c r="E361" s="3" t="n">
        <v>169.844</v>
      </c>
      <c r="F361" s="4" t="n">
        <v>13</v>
      </c>
      <c r="G361" t="inlineStr">
        <is>
          <t>Ontario Tennis Association</t>
        </is>
      </c>
      <c r="H361" t="inlineStr">
        <is>
          <t>Toronto Cricket Skating &amp; Curling</t>
        </is>
      </c>
      <c r="I361" t="n">
        <v>32.6</v>
      </c>
      <c r="J361" s="4" t="n">
        <v>120</v>
      </c>
      <c r="K361" t="inlineStr">
        <is>
          <t>50 / 70</t>
        </is>
      </c>
      <c r="L361" t="inlineStr">
        <is>
          <t>8 / 11</t>
        </is>
      </c>
      <c r="M361" s="5" t="n">
        <v>0.42</v>
      </c>
      <c r="N361" s="5" t="n">
        <v>0.42</v>
      </c>
    </row>
    <row r="362">
      <c r="A362" t="n">
        <v>361</v>
      </c>
      <c r="B362" t="n">
        <v>2013</v>
      </c>
      <c r="C362" t="inlineStr">
        <is>
          <t>Katelyn Zhao</t>
        </is>
      </c>
      <c r="D362">
        <f>HYPERLINK("https://ota.tournamentsoftware.com/player-profile/C6305E19-1670-4857-9967-0344F0C8AB1D", "Link")</f>
        <v/>
      </c>
      <c r="E362" s="3" t="n">
        <v>169.368</v>
      </c>
      <c r="F362" s="4" t="n">
        <v>24</v>
      </c>
      <c r="G362" t="inlineStr">
        <is>
          <t>Ontario Tennis Association</t>
        </is>
      </c>
      <c r="H362" t="inlineStr">
        <is>
          <t>Premier Racquet Club</t>
        </is>
      </c>
      <c r="I362" t="n">
        <v>34</v>
      </c>
      <c r="J362" s="4" t="n">
        <v>93</v>
      </c>
      <c r="K362" t="inlineStr">
        <is>
          <t>49 / 44</t>
        </is>
      </c>
      <c r="L362" t="inlineStr">
        <is>
          <t>17 / 18</t>
        </is>
      </c>
      <c r="M362" s="5" t="n">
        <v>0.53</v>
      </c>
      <c r="N362" s="5" t="n">
        <v>0.49</v>
      </c>
    </row>
    <row r="363">
      <c r="A363" t="n">
        <v>362</v>
      </c>
      <c r="B363" t="n">
        <v>2013</v>
      </c>
      <c r="C363" t="inlineStr">
        <is>
          <t>Nisa Karim</t>
        </is>
      </c>
      <c r="D363">
        <f>HYPERLINK("https://ota.tournamentsoftware.com/player-profile/11CB5752-5D45-47AB-82AD-AC3D554873E5", "Link")</f>
        <v/>
      </c>
      <c r="E363" s="3" t="n">
        <v>168.671</v>
      </c>
      <c r="F363" s="4" t="n">
        <v>15</v>
      </c>
      <c r="G363" t="inlineStr">
        <is>
          <t>British Columbia</t>
        </is>
      </c>
      <c r="H363" t="inlineStr">
        <is>
          <t>Arbutus Club</t>
        </is>
      </c>
      <c r="I363" t="n">
        <v>34.1</v>
      </c>
      <c r="J363" s="4" t="n">
        <v>88</v>
      </c>
      <c r="K363" t="inlineStr">
        <is>
          <t>47 / 41</t>
        </is>
      </c>
      <c r="L363" t="inlineStr">
        <is>
          <t>13 / 15</t>
        </is>
      </c>
      <c r="M363" s="5" t="n">
        <v>0.53</v>
      </c>
      <c r="N363" s="5" t="n">
        <v>0.46</v>
      </c>
    </row>
    <row r="364">
      <c r="A364" t="n">
        <v>363</v>
      </c>
      <c r="B364" t="n">
        <v>2012</v>
      </c>
      <c r="C364" t="inlineStr">
        <is>
          <t>Mavis Li</t>
        </is>
      </c>
      <c r="D364">
        <f>HYPERLINK("https://ota.tournamentsoftware.com/player-profile/FC8D1AE6-D9A0-409A-A095-1B2C12EDB359", "Link")</f>
        <v/>
      </c>
      <c r="E364" s="3" t="n">
        <v>168.577</v>
      </c>
      <c r="F364" s="4" t="n">
        <v>21</v>
      </c>
      <c r="G364" t="inlineStr">
        <is>
          <t>Ontario Tennis Association</t>
        </is>
      </c>
      <c r="H364" t="inlineStr">
        <is>
          <t>Blackmore Tennis Club</t>
        </is>
      </c>
      <c r="I364" t="n">
        <v>36.5</v>
      </c>
      <c r="J364" s="4" t="n">
        <v>61</v>
      </c>
      <c r="K364" t="inlineStr">
        <is>
          <t>22 / 39</t>
        </is>
      </c>
      <c r="L364" t="inlineStr">
        <is>
          <t>7 / 22</t>
        </is>
      </c>
      <c r="M364" s="5" t="n">
        <v>0.36</v>
      </c>
      <c r="N364" s="5" t="n">
        <v>0.24</v>
      </c>
    </row>
    <row r="365">
      <c r="A365" t="n">
        <v>364</v>
      </c>
      <c r="B365" t="n">
        <v>2012</v>
      </c>
      <c r="C365" t="inlineStr">
        <is>
          <t>Sophia Hamel</t>
        </is>
      </c>
      <c r="D365">
        <f>HYPERLINK("https://ota.tournamentsoftware.com/player-profile/D6C2A4EC-5F86-459B-A81E-7C31F47AD78D", "Link")</f>
        <v/>
      </c>
      <c r="E365" s="3" t="n">
        <v>168.019</v>
      </c>
      <c r="F365" s="4" t="n">
        <v>10</v>
      </c>
      <c r="G365" t="inlineStr">
        <is>
          <t>Tennis Québec</t>
        </is>
      </c>
      <c r="H365" t="inlineStr">
        <is>
          <t>Rouge et Or - Université Laval</t>
        </is>
      </c>
      <c r="I365" t="n">
        <v>35</v>
      </c>
      <c r="J365" s="4" t="n">
        <v>71</v>
      </c>
      <c r="K365" t="inlineStr">
        <is>
          <t>15 / 56</t>
        </is>
      </c>
      <c r="L365" t="inlineStr">
        <is>
          <t>6 / 11</t>
        </is>
      </c>
      <c r="M365" s="5" t="n">
        <v>0.21</v>
      </c>
      <c r="N365" s="5" t="n">
        <v>0.35</v>
      </c>
    </row>
    <row r="366">
      <c r="A366" t="n">
        <v>365</v>
      </c>
      <c r="B366" t="n">
        <v>2015</v>
      </c>
      <c r="C366" t="inlineStr">
        <is>
          <t>Nora Firoozi</t>
        </is>
      </c>
      <c r="D366">
        <f>HYPERLINK("https://ota.tournamentsoftware.com/player-profile/328F4CA8-B72D-4F94-9BB6-3F666B5E0706", "Link")</f>
        <v/>
      </c>
      <c r="E366" s="3" t="n">
        <v>167.643</v>
      </c>
      <c r="F366" s="4" t="n">
        <v>18</v>
      </c>
      <c r="G366" t="inlineStr">
        <is>
          <t>British Columbia</t>
        </is>
      </c>
      <c r="H366" t="inlineStr">
        <is>
          <t>North Vancouver Tennis Centre</t>
        </is>
      </c>
      <c r="I366" t="n">
        <v>33.5</v>
      </c>
      <c r="J366" s="4" t="n">
        <v>165</v>
      </c>
      <c r="K366" t="inlineStr">
        <is>
          <t>81 / 84</t>
        </is>
      </c>
      <c r="L366" t="inlineStr">
        <is>
          <t>15 / 18</t>
        </is>
      </c>
      <c r="M366" s="5" t="n">
        <v>0.49</v>
      </c>
      <c r="N366" s="5" t="n">
        <v>0.45</v>
      </c>
    </row>
    <row r="367">
      <c r="A367" t="n">
        <v>366</v>
      </c>
      <c r="B367" t="n">
        <v>2012</v>
      </c>
      <c r="C367" t="inlineStr">
        <is>
          <t>Naomi Lucy McCrank</t>
        </is>
      </c>
      <c r="D367">
        <f>HYPERLINK("https://ota.tournamentsoftware.com/player-profile/68E80EA0-3999-4449-8E0B-83CC30E1EF77", "Link")</f>
        <v/>
      </c>
      <c r="E367" s="3" t="n">
        <v>166.417</v>
      </c>
      <c r="F367" s="4" t="n">
        <v>15</v>
      </c>
      <c r="G367" t="inlineStr">
        <is>
          <t>Tennis Alberta</t>
        </is>
      </c>
      <c r="H367" t="inlineStr">
        <is>
          <t>Aforza</t>
        </is>
      </c>
      <c r="I367" t="n">
        <v>33.3</v>
      </c>
      <c r="J367" s="4" t="n">
        <v>77</v>
      </c>
      <c r="K367" t="inlineStr">
        <is>
          <t>22 / 55</t>
        </is>
      </c>
      <c r="L367" t="inlineStr">
        <is>
          <t>6 / 10</t>
        </is>
      </c>
      <c r="M367" s="5" t="n">
        <v>0.29</v>
      </c>
      <c r="N367" s="5" t="n">
        <v>0.38</v>
      </c>
    </row>
    <row r="368">
      <c r="A368" t="n">
        <v>367</v>
      </c>
      <c r="B368" t="n">
        <v>2014</v>
      </c>
      <c r="C368" t="inlineStr">
        <is>
          <t>Grace Li</t>
        </is>
      </c>
      <c r="D368">
        <f>HYPERLINK("https://ota.tournamentsoftware.com/player-profile/5B95D38D-7E3D-4B41-B418-6B2307ED0863", "Link")</f>
        <v/>
      </c>
      <c r="E368" s="3" t="n">
        <v>166.105</v>
      </c>
      <c r="F368" s="4" t="n">
        <v>19</v>
      </c>
      <c r="G368" t="inlineStr">
        <is>
          <t>Tennis Québec</t>
        </is>
      </c>
      <c r="H368" t="inlineStr">
        <is>
          <t>Tennis 13</t>
        </is>
      </c>
      <c r="I368" t="n">
        <v>35.1</v>
      </c>
      <c r="J368" s="4" t="n">
        <v>165</v>
      </c>
      <c r="K368" t="inlineStr">
        <is>
          <t>71 / 94</t>
        </is>
      </c>
      <c r="L368" t="inlineStr">
        <is>
          <t>7 / 13</t>
        </is>
      </c>
      <c r="M368" s="5" t="n">
        <v>0.43</v>
      </c>
      <c r="N368" s="5" t="n">
        <v>0.35</v>
      </c>
    </row>
    <row r="369">
      <c r="A369" t="n">
        <v>368</v>
      </c>
      <c r="B369" t="n">
        <v>2015</v>
      </c>
      <c r="C369" t="inlineStr">
        <is>
          <t>Jesi Myra Kumaran</t>
        </is>
      </c>
      <c r="D369">
        <f>HYPERLINK("https://ota.tournamentsoftware.com/player-profile/8DE19A2A-095B-4432-92FE-7CA64D28B7F1", "Link")</f>
        <v/>
      </c>
      <c r="E369" s="3" t="n">
        <v>165.712</v>
      </c>
      <c r="F369" s="4" t="n">
        <v>33</v>
      </c>
      <c r="G369" t="inlineStr">
        <is>
          <t>Ontario Tennis Association</t>
        </is>
      </c>
      <c r="H369" t="inlineStr">
        <is>
          <t>Valan Tennis Academy</t>
        </is>
      </c>
      <c r="I369" t="n">
        <v>36.6</v>
      </c>
      <c r="J369" s="4" t="n">
        <v>196</v>
      </c>
      <c r="K369" t="inlineStr">
        <is>
          <t>69 / 127</t>
        </is>
      </c>
      <c r="L369" t="inlineStr">
        <is>
          <t>15 / 30</t>
        </is>
      </c>
      <c r="M369" s="5" t="n">
        <v>0.35</v>
      </c>
      <c r="N369" s="5" t="n">
        <v>0.33</v>
      </c>
    </row>
    <row r="370">
      <c r="A370" t="n">
        <v>369</v>
      </c>
      <c r="B370" t="n">
        <v>2014</v>
      </c>
      <c r="C370" t="inlineStr">
        <is>
          <t>SOFIA LUCKY</t>
        </is>
      </c>
      <c r="D370">
        <f>HYPERLINK("https://ota.tournamentsoftware.com/player-profile/9A590660-3C23-4CD7-A9AF-30CC3227EC17", "Link")</f>
        <v/>
      </c>
      <c r="E370" s="3" t="n">
        <v>162.227</v>
      </c>
      <c r="F370" s="4" t="n">
        <v>13</v>
      </c>
      <c r="G370" t="inlineStr">
        <is>
          <t>Tennis Québec</t>
        </is>
      </c>
      <c r="H370" t="inlineStr">
        <is>
          <t>Académie de tennis UNI(T)</t>
        </is>
      </c>
      <c r="I370" t="n">
        <v>34.6</v>
      </c>
      <c r="J370" s="4" t="n">
        <v>85</v>
      </c>
      <c r="K370" t="inlineStr">
        <is>
          <t>31 / 54</t>
        </is>
      </c>
      <c r="L370" t="inlineStr">
        <is>
          <t>10 / 9</t>
        </is>
      </c>
      <c r="M370" s="5" t="n">
        <v>0.36</v>
      </c>
      <c r="N370" s="5" t="n">
        <v>0.53</v>
      </c>
    </row>
    <row r="371">
      <c r="A371" t="n">
        <v>370</v>
      </c>
      <c r="B371" t="n">
        <v>2016</v>
      </c>
      <c r="C371" t="inlineStr">
        <is>
          <t>Dorothy Ning</t>
        </is>
      </c>
      <c r="D371">
        <f>HYPERLINK("https://ota.tournamentsoftware.com/player-profile/15BEDAE4-AB73-4AE9-B466-BA81BCA77DB1", "Link")</f>
        <v/>
      </c>
      <c r="E371" s="3" t="n">
        <v>161</v>
      </c>
      <c r="F371" s="4" t="n">
        <v>20</v>
      </c>
      <c r="G371" t="inlineStr">
        <is>
          <t>Ontario Tennis Association</t>
        </is>
      </c>
      <c r="H371" t="inlineStr">
        <is>
          <t>Toronto Tennis Academy</t>
        </is>
      </c>
      <c r="I371" t="inlineStr">
        <is>
          <t>unavailable</t>
        </is>
      </c>
      <c r="J371" s="4" t="n">
        <v>147</v>
      </c>
      <c r="K371" t="inlineStr">
        <is>
          <t>79 / 68</t>
        </is>
      </c>
      <c r="L371" t="inlineStr">
        <is>
          <t>20 / 13</t>
        </is>
      </c>
      <c r="M371" s="5" t="n">
        <v>0.54</v>
      </c>
      <c r="N371" s="5" t="n">
        <v>0.61</v>
      </c>
    </row>
    <row r="372">
      <c r="A372" t="n">
        <v>371</v>
      </c>
      <c r="B372" t="n">
        <v>2012</v>
      </c>
      <c r="C372" t="inlineStr">
        <is>
          <t>Sophia Zhang</t>
        </is>
      </c>
      <c r="D372">
        <f>HYPERLINK("https://ota.tournamentsoftware.com/player-profile/2BBD611B-69D1-4A97-AAC3-1D897498B21A", "Link")</f>
        <v/>
      </c>
      <c r="E372" s="3" t="n">
        <v>160.591</v>
      </c>
      <c r="F372" s="4" t="n">
        <v>11</v>
      </c>
      <c r="G372" t="inlineStr">
        <is>
          <t>Ontario Tennis Association</t>
        </is>
      </c>
      <c r="H372" t="inlineStr">
        <is>
          <t>Burlington Tennis Club</t>
        </is>
      </c>
      <c r="I372" t="inlineStr">
        <is>
          <t>unavailable</t>
        </is>
      </c>
      <c r="J372" s="4" t="n">
        <v>38</v>
      </c>
      <c r="K372" t="inlineStr">
        <is>
          <t>17 / 21</t>
        </is>
      </c>
      <c r="L372" t="inlineStr">
        <is>
          <t>11 / 10</t>
        </is>
      </c>
      <c r="M372" s="5" t="n">
        <v>0.45</v>
      </c>
      <c r="N372" s="5" t="n">
        <v>0.52</v>
      </c>
    </row>
    <row r="373">
      <c r="A373" t="n">
        <v>372</v>
      </c>
      <c r="B373" t="n">
        <v>2014</v>
      </c>
      <c r="C373" t="inlineStr">
        <is>
          <t>Eve Martel</t>
        </is>
      </c>
      <c r="D373">
        <f>HYPERLINK("https://ota.tournamentsoftware.com/player-profile/590DE091-4FC9-494D-A8AC-45DB223E71D8", "Link")</f>
        <v/>
      </c>
      <c r="E373" s="3" t="n">
        <v>160.307</v>
      </c>
      <c r="F373" s="4" t="n">
        <v>21</v>
      </c>
      <c r="G373" t="inlineStr">
        <is>
          <t>Tennis Québec</t>
        </is>
      </c>
      <c r="H373" t="inlineStr">
        <is>
          <t>Club Avantage Multi-sports / Académie de tennis Hérisset Bordeleau</t>
        </is>
      </c>
      <c r="I373" t="inlineStr">
        <is>
          <t>unavailable</t>
        </is>
      </c>
      <c r="J373" s="4" t="n">
        <v>127</v>
      </c>
      <c r="K373" t="inlineStr">
        <is>
          <t>41 / 86</t>
        </is>
      </c>
      <c r="L373" t="inlineStr">
        <is>
          <t>12 / 14</t>
        </is>
      </c>
      <c r="M373" s="5" t="n">
        <v>0.32</v>
      </c>
      <c r="N373" s="5" t="n">
        <v>0.46</v>
      </c>
    </row>
    <row r="374">
      <c r="A374" t="n">
        <v>373</v>
      </c>
      <c r="B374" t="n">
        <v>2013</v>
      </c>
      <c r="C374" t="inlineStr">
        <is>
          <t>Jaheema Jajah Joseph</t>
        </is>
      </c>
      <c r="D374">
        <f>HYPERLINK("https://ota.tournamentsoftware.com/player-profile/2C08ABD4-0853-4E02-96D6-4CBDA8251E2A", "Link")</f>
        <v/>
      </c>
      <c r="E374" s="3" t="n">
        <v>157.451</v>
      </c>
      <c r="F374" s="4" t="n">
        <v>19</v>
      </c>
      <c r="G374" t="inlineStr">
        <is>
          <t>Tennis Québec</t>
        </is>
      </c>
      <c r="H374" t="inlineStr">
        <is>
          <t>Tennis Montréal</t>
        </is>
      </c>
      <c r="I374" t="n">
        <v>37.2</v>
      </c>
      <c r="J374" s="4" t="n">
        <v>91</v>
      </c>
      <c r="K374" t="inlineStr">
        <is>
          <t>37 / 54</t>
        </is>
      </c>
      <c r="L374" t="inlineStr">
        <is>
          <t>5 / 14</t>
        </is>
      </c>
      <c r="M374" s="5" t="n">
        <v>0.41</v>
      </c>
      <c r="N374" s="5" t="n">
        <v>0.26</v>
      </c>
    </row>
    <row r="375">
      <c r="A375" t="n">
        <v>374</v>
      </c>
      <c r="B375" t="n">
        <v>2015</v>
      </c>
      <c r="C375" t="inlineStr">
        <is>
          <t>Kynarra Tayt Burthwright</t>
        </is>
      </c>
      <c r="D375">
        <f>HYPERLINK("https://ota.tournamentsoftware.com/player-profile/54340729-CFE8-4AE6-B072-4BD29664CBEC", "Link")</f>
        <v/>
      </c>
      <c r="E375" s="3" t="n">
        <v>156.42</v>
      </c>
      <c r="F375" s="4" t="n">
        <v>18</v>
      </c>
      <c r="G375" t="inlineStr">
        <is>
          <t>Ontario Tennis Association</t>
        </is>
      </c>
      <c r="H375" t="inlineStr">
        <is>
          <t>Newmarket Community Tennis Club</t>
        </is>
      </c>
      <c r="I375" t="n">
        <v>35.5</v>
      </c>
      <c r="J375" s="4" t="n">
        <v>115</v>
      </c>
      <c r="K375" t="inlineStr">
        <is>
          <t>60 / 55</t>
        </is>
      </c>
      <c r="L375" t="inlineStr">
        <is>
          <t>23 / 22</t>
        </is>
      </c>
      <c r="M375" s="5" t="n">
        <v>0.52</v>
      </c>
      <c r="N375" s="5" t="n">
        <v>0.51</v>
      </c>
    </row>
    <row r="376">
      <c r="A376" t="n">
        <v>375</v>
      </c>
      <c r="B376" t="n">
        <v>2015</v>
      </c>
      <c r="C376" t="inlineStr">
        <is>
          <t>Mikaëlla Jean-Bart</t>
        </is>
      </c>
      <c r="D376">
        <f>HYPERLINK("https://ota.tournamentsoftware.com/player-profile/5309814B-24E5-4F46-920F-74FD0DAF8C7D", "Link")</f>
        <v/>
      </c>
      <c r="E376" s="3" t="n">
        <v>156.089</v>
      </c>
      <c r="F376" s="4" t="n">
        <v>14</v>
      </c>
      <c r="G376" t="inlineStr">
        <is>
          <t>Tennis Québec</t>
        </is>
      </c>
      <c r="H376" t="inlineStr">
        <is>
          <t>Centre récréatif de Repentigny / Académie Tennis Momentum</t>
        </is>
      </c>
      <c r="I376" t="n">
        <v>34.2</v>
      </c>
      <c r="J376" s="4" t="n">
        <v>72</v>
      </c>
      <c r="K376" t="inlineStr">
        <is>
          <t>29 / 43</t>
        </is>
      </c>
      <c r="L376" t="inlineStr">
        <is>
          <t>12 / 15</t>
        </is>
      </c>
      <c r="M376" s="5" t="n">
        <v>0.4</v>
      </c>
      <c r="N376" s="5" t="n">
        <v>0.44</v>
      </c>
    </row>
    <row r="377">
      <c r="A377" t="n">
        <v>376</v>
      </c>
      <c r="B377" t="n">
        <v>2013</v>
      </c>
      <c r="C377" t="inlineStr">
        <is>
          <t>Gabrielle Pompa</t>
        </is>
      </c>
      <c r="D377">
        <f>HYPERLINK("https://ota.tournamentsoftware.com/player-profile/668A29C0-962F-4DAD-B317-933787C09DCF", "Link")</f>
        <v/>
      </c>
      <c r="E377" s="3" t="n">
        <v>153.753</v>
      </c>
      <c r="F377" s="4" t="n">
        <v>8</v>
      </c>
      <c r="G377" t="inlineStr">
        <is>
          <t>Tennis Alberta</t>
        </is>
      </c>
      <c r="H377" t="inlineStr">
        <is>
          <t>Aforza</t>
        </is>
      </c>
      <c r="I377" t="n">
        <v>29.2</v>
      </c>
      <c r="J377" s="4" t="n">
        <v>162</v>
      </c>
      <c r="K377" t="inlineStr">
        <is>
          <t>111 / 51</t>
        </is>
      </c>
      <c r="L377" t="inlineStr">
        <is>
          <t>6 / 4</t>
        </is>
      </c>
      <c r="M377" s="5" t="n">
        <v>0.6899999999999999</v>
      </c>
      <c r="N377" s="5" t="n">
        <v>0.6</v>
      </c>
    </row>
    <row r="378">
      <c r="A378" t="n">
        <v>377</v>
      </c>
      <c r="B378" t="n">
        <v>2014</v>
      </c>
      <c r="C378" t="inlineStr">
        <is>
          <t>Andrea Robles Sgambatti</t>
        </is>
      </c>
      <c r="D378">
        <f>HYPERLINK("https://ota.tournamentsoftware.com/player-profile/842B5763-8026-4DFF-BD28-4FA110C3A345", "Link")</f>
        <v/>
      </c>
      <c r="E378" s="3" t="n">
        <v>152.162</v>
      </c>
      <c r="F378" s="4" t="n">
        <v>17</v>
      </c>
      <c r="G378" t="inlineStr">
        <is>
          <t>Tennis Alberta</t>
        </is>
      </c>
      <c r="H378" t="inlineStr">
        <is>
          <t>Osten &amp; Victor Alberta Tennis Centre</t>
        </is>
      </c>
      <c r="I378" t="n">
        <v>34.2</v>
      </c>
      <c r="J378" s="4" t="n">
        <v>150</v>
      </c>
      <c r="K378" t="inlineStr">
        <is>
          <t>62 / 88</t>
        </is>
      </c>
      <c r="L378" t="inlineStr">
        <is>
          <t>13 / 20</t>
        </is>
      </c>
      <c r="M378" s="5" t="n">
        <v>0.41</v>
      </c>
      <c r="N378" s="5" t="n">
        <v>0.39</v>
      </c>
    </row>
    <row r="379">
      <c r="A379" t="n">
        <v>378</v>
      </c>
      <c r="B379" t="n">
        <v>2014</v>
      </c>
      <c r="C379" t="inlineStr">
        <is>
          <t>Grace Wu</t>
        </is>
      </c>
      <c r="D379">
        <f>HYPERLINK("https://ota.tournamentsoftware.com/player-profile/0E55C3D7-7F72-4CDB-9BC3-2D90797931A5", "Link")</f>
        <v/>
      </c>
      <c r="E379" s="3" t="n">
        <v>151.73</v>
      </c>
      <c r="F379" s="4" t="n">
        <v>9</v>
      </c>
      <c r="G379" t="inlineStr">
        <is>
          <t>British Columbia</t>
        </is>
      </c>
      <c r="H379" t="inlineStr">
        <is>
          <t>The Tennis Centre</t>
        </is>
      </c>
      <c r="I379" t="n">
        <v>32.1</v>
      </c>
      <c r="J379" s="4" t="n">
        <v>96</v>
      </c>
      <c r="K379" t="inlineStr">
        <is>
          <t>63 / 33</t>
        </is>
      </c>
      <c r="L379" t="inlineStr">
        <is>
          <t>3 / 4</t>
        </is>
      </c>
      <c r="M379" s="5" t="n">
        <v>0.66</v>
      </c>
      <c r="N379" s="5" t="n">
        <v>0.43</v>
      </c>
    </row>
    <row r="380">
      <c r="A380" t="n">
        <v>379</v>
      </c>
      <c r="B380" t="n">
        <v>2017</v>
      </c>
      <c r="C380" t="inlineStr">
        <is>
          <t>Ella Nicolaeva</t>
        </is>
      </c>
      <c r="D380">
        <f>HYPERLINK("https://ota.tournamentsoftware.com/player-profile/7A11DAF6-4353-49AB-8591-07AB86D11272", "Link")</f>
        <v/>
      </c>
      <c r="E380" s="3" t="n">
        <v>150.858</v>
      </c>
      <c r="F380" s="4" t="n">
        <v>33</v>
      </c>
      <c r="G380" t="inlineStr">
        <is>
          <t>Ontario Tennis Association</t>
        </is>
      </c>
      <c r="H380" t="inlineStr">
        <is>
          <t>Valan Tennis Academy</t>
        </is>
      </c>
      <c r="I380" t="n">
        <v>33.9</v>
      </c>
      <c r="J380" s="4" t="n">
        <v>180</v>
      </c>
      <c r="K380" t="inlineStr">
        <is>
          <t>127 / 53</t>
        </is>
      </c>
      <c r="L380" t="inlineStr">
        <is>
          <t>38 / 23</t>
        </is>
      </c>
      <c r="M380" s="5" t="n">
        <v>0.71</v>
      </c>
      <c r="N380" s="5" t="n">
        <v>0.62</v>
      </c>
    </row>
    <row r="381">
      <c r="A381" t="n">
        <v>380</v>
      </c>
      <c r="B381" t="n">
        <v>2014</v>
      </c>
      <c r="C381" t="inlineStr">
        <is>
          <t>Sahana Bath</t>
        </is>
      </c>
      <c r="D381">
        <f>HYPERLINK("https://ota.tournamentsoftware.com/player-profile/25E19F82-227F-4B69-8295-16AA8F4F207F", "Link")</f>
        <v/>
      </c>
      <c r="E381" s="3" t="n">
        <v>150.564</v>
      </c>
      <c r="F381" s="4" t="n">
        <v>21</v>
      </c>
      <c r="G381" t="inlineStr">
        <is>
          <t>British Columbia</t>
        </is>
      </c>
      <c r="H381" t="inlineStr">
        <is>
          <t>The Tennis Centre</t>
        </is>
      </c>
      <c r="I381" t="n">
        <v>32.5</v>
      </c>
      <c r="J381" s="4" t="n">
        <v>166</v>
      </c>
      <c r="K381" t="inlineStr">
        <is>
          <t>94 / 72</t>
        </is>
      </c>
      <c r="L381" t="inlineStr">
        <is>
          <t>39 / 19</t>
        </is>
      </c>
      <c r="M381" s="5" t="n">
        <v>0.57</v>
      </c>
      <c r="N381" s="5" t="n">
        <v>0.67</v>
      </c>
    </row>
    <row r="382">
      <c r="A382" t="n">
        <v>381</v>
      </c>
      <c r="B382" t="n">
        <v>2013</v>
      </c>
      <c r="C382" t="inlineStr">
        <is>
          <t>Aarushi Pal</t>
        </is>
      </c>
      <c r="D382">
        <f>HYPERLINK("https://ota.tournamentsoftware.com/player-profile/F5E1E459-0A97-4C1F-8F37-D8CEF64DA1FA", "Link")</f>
        <v/>
      </c>
      <c r="E382" s="3" t="n">
        <v>149.571</v>
      </c>
      <c r="F382" s="4" t="n">
        <v>15</v>
      </c>
      <c r="G382" t="inlineStr">
        <is>
          <t>Tennis Alberta</t>
        </is>
      </c>
      <c r="H382" t="inlineStr">
        <is>
          <t>Osten &amp; Victor Alberta Tennis Centre</t>
        </is>
      </c>
      <c r="I382" t="n">
        <v>33.8</v>
      </c>
      <c r="J382" s="4" t="n">
        <v>165</v>
      </c>
      <c r="K382" t="inlineStr">
        <is>
          <t>81 / 84</t>
        </is>
      </c>
      <c r="L382" t="inlineStr">
        <is>
          <t>5 / 12</t>
        </is>
      </c>
      <c r="M382" s="5" t="n">
        <v>0.49</v>
      </c>
      <c r="N382" s="5" t="n">
        <v>0.29</v>
      </c>
    </row>
    <row r="383">
      <c r="A383" t="n">
        <v>382</v>
      </c>
      <c r="B383" t="n">
        <v>2012</v>
      </c>
      <c r="C383" t="inlineStr">
        <is>
          <t>Aila Olivia Brimacombe</t>
        </is>
      </c>
      <c r="D383">
        <f>HYPERLINK("https://ota.tournamentsoftware.com/player-profile/665F5A6C-3B65-4541-A5CF-6A84DC235104", "Link")</f>
        <v/>
      </c>
      <c r="E383" s="3" t="n">
        <v>147.688</v>
      </c>
      <c r="F383" s="4" t="n">
        <v>22</v>
      </c>
      <c r="G383" t="inlineStr">
        <is>
          <t>British Columbia</t>
        </is>
      </c>
      <c r="H383" t="inlineStr">
        <is>
          <t>West Vancouver Tennis Club</t>
        </is>
      </c>
      <c r="I383" t="n">
        <v>35.6</v>
      </c>
      <c r="J383" s="4" t="n">
        <v>113</v>
      </c>
      <c r="K383" t="inlineStr">
        <is>
          <t>19 / 94</t>
        </is>
      </c>
      <c r="L383" t="inlineStr">
        <is>
          <t>9 / 29</t>
        </is>
      </c>
      <c r="M383" s="5" t="n">
        <v>0.17</v>
      </c>
      <c r="N383" s="5" t="n">
        <v>0.24</v>
      </c>
    </row>
    <row r="384">
      <c r="A384" t="n">
        <v>383</v>
      </c>
      <c r="B384" t="n">
        <v>2013</v>
      </c>
      <c r="C384" t="inlineStr">
        <is>
          <t>Renée Jugalbot</t>
        </is>
      </c>
      <c r="D384">
        <f>HYPERLINK("https://ota.tournamentsoftware.com/player-profile/A487A79B-AB42-4314-BD75-6EFD99F64BC7", "Link")</f>
        <v/>
      </c>
      <c r="E384" s="3" t="n">
        <v>147.673</v>
      </c>
      <c r="F384" s="4" t="n">
        <v>25</v>
      </c>
      <c r="G384" t="inlineStr">
        <is>
          <t>Ontario Tennis Association</t>
        </is>
      </c>
      <c r="H384" t="inlineStr">
        <is>
          <t>Rosedale Tennis Club (Hamilton)</t>
        </is>
      </c>
      <c r="I384" t="n">
        <v>36.2</v>
      </c>
      <c r="J384" s="4" t="n">
        <v>78</v>
      </c>
      <c r="K384" t="inlineStr">
        <is>
          <t>31 / 47</t>
        </is>
      </c>
      <c r="L384" t="inlineStr">
        <is>
          <t>13 / 20</t>
        </is>
      </c>
      <c r="M384" s="5" t="n">
        <v>0.4</v>
      </c>
      <c r="N384" s="5" t="n">
        <v>0.39</v>
      </c>
    </row>
    <row r="385">
      <c r="A385" t="n">
        <v>384</v>
      </c>
      <c r="B385" t="n">
        <v>2015</v>
      </c>
      <c r="C385" t="inlineStr">
        <is>
          <t>Stefaniia Grimailo</t>
        </is>
      </c>
      <c r="D385">
        <f>HYPERLINK("https://ota.tournamentsoftware.com/player-profile/63AAF188-F773-4BFA-B6C2-97B1DFB9AF3A", "Link")</f>
        <v/>
      </c>
      <c r="E385" s="3" t="n">
        <v>147.389</v>
      </c>
      <c r="F385" s="4" t="n">
        <v>9</v>
      </c>
      <c r="G385" t="inlineStr">
        <is>
          <t>Tennis Manitoba</t>
        </is>
      </c>
      <c r="H385" t="inlineStr">
        <is>
          <t>Winnipeg Winter Club</t>
        </is>
      </c>
      <c r="I385" t="n">
        <v>38.6</v>
      </c>
      <c r="J385" s="4" t="n">
        <v>64</v>
      </c>
      <c r="K385" t="inlineStr">
        <is>
          <t>9 / 55</t>
        </is>
      </c>
      <c r="L385" t="inlineStr">
        <is>
          <t>2 / 25</t>
        </is>
      </c>
      <c r="M385" s="5" t="n">
        <v>0.14</v>
      </c>
      <c r="N385" s="5" t="n">
        <v>0.07000000000000001</v>
      </c>
    </row>
    <row r="386">
      <c r="A386" t="n">
        <v>385</v>
      </c>
      <c r="B386" t="n">
        <v>2012</v>
      </c>
      <c r="C386" t="inlineStr">
        <is>
          <t>Gaëlle Jodoin</t>
        </is>
      </c>
      <c r="D386">
        <f>HYPERLINK("https://ota.tournamentsoftware.com/player-profile/A3792AFC-E32E-4258-8FA9-9240021C6401", "Link")</f>
        <v/>
      </c>
      <c r="E386" s="3" t="n">
        <v>147.089</v>
      </c>
      <c r="F386" s="4" t="n">
        <v>5</v>
      </c>
      <c r="G386" t="inlineStr">
        <is>
          <t>Tennis Québec</t>
        </is>
      </c>
      <c r="H386" t="inlineStr">
        <is>
          <t>Tennis 13</t>
        </is>
      </c>
      <c r="I386" t="n">
        <v>38.5</v>
      </c>
      <c r="J386" s="4" t="n">
        <v>87</v>
      </c>
      <c r="K386" t="inlineStr">
        <is>
          <t>14 / 73</t>
        </is>
      </c>
      <c r="L386" t="inlineStr">
        <is>
          <t>0 / 3</t>
        </is>
      </c>
      <c r="M386" s="5" t="n">
        <v>0.16</v>
      </c>
      <c r="N386" s="5" t="n">
        <v>0</v>
      </c>
    </row>
    <row r="387">
      <c r="A387" t="n">
        <v>386</v>
      </c>
      <c r="B387" t="n">
        <v>2012</v>
      </c>
      <c r="C387" t="inlineStr">
        <is>
          <t>Chloe Park</t>
        </is>
      </c>
      <c r="D387">
        <f>HYPERLINK("https://ota.tournamentsoftware.com/player-profile/FD8FB9A4-F5D9-4A90-AA66-D8E6FC3D3BC5", "Link")</f>
        <v/>
      </c>
      <c r="E387" s="3" t="n">
        <v>146.362</v>
      </c>
      <c r="F387" s="4" t="n">
        <v>4</v>
      </c>
      <c r="G387" t="inlineStr">
        <is>
          <t>Tennis Prince Edward Island</t>
        </is>
      </c>
      <c r="H387" t="inlineStr">
        <is>
          <t>No Club</t>
        </is>
      </c>
      <c r="I387" t="n">
        <v>36.6</v>
      </c>
      <c r="J387" s="4" t="n">
        <v>48</v>
      </c>
      <c r="K387" t="inlineStr">
        <is>
          <t>9 / 39</t>
        </is>
      </c>
      <c r="L387" t="inlineStr">
        <is>
          <t>4 / 8</t>
        </is>
      </c>
      <c r="M387" s="5" t="n">
        <v>0.19</v>
      </c>
      <c r="N387" s="5" t="n">
        <v>0.33</v>
      </c>
    </row>
    <row r="388">
      <c r="A388" t="n">
        <v>387</v>
      </c>
      <c r="B388" t="n">
        <v>2015</v>
      </c>
      <c r="C388" t="inlineStr">
        <is>
          <t>Elaina York</t>
        </is>
      </c>
      <c r="D388">
        <f>HYPERLINK("https://ota.tournamentsoftware.com/player-profile/7D4D2F10-C754-4560-B490-903FD1C70ADE", "Link")</f>
        <v/>
      </c>
      <c r="E388" s="3" t="n">
        <v>145.952</v>
      </c>
      <c r="F388" s="4" t="n">
        <v>16</v>
      </c>
      <c r="G388" t="inlineStr">
        <is>
          <t>Tennis Alberta</t>
        </is>
      </c>
      <c r="H388" t="inlineStr">
        <is>
          <t>Aforza</t>
        </is>
      </c>
      <c r="I388" t="n">
        <v>34.9</v>
      </c>
      <c r="J388" s="4" t="n">
        <v>149</v>
      </c>
      <c r="K388" t="inlineStr">
        <is>
          <t>61 / 88</t>
        </is>
      </c>
      <c r="L388" t="inlineStr">
        <is>
          <t>15 / 23</t>
        </is>
      </c>
      <c r="M388" s="5" t="n">
        <v>0.41</v>
      </c>
      <c r="N388" s="5" t="n">
        <v>0.39</v>
      </c>
    </row>
    <row r="389">
      <c r="A389" t="n">
        <v>388</v>
      </c>
      <c r="B389" t="n">
        <v>2014</v>
      </c>
      <c r="C389" t="inlineStr">
        <is>
          <t>Sofia Zhuchenko</t>
        </is>
      </c>
      <c r="D389">
        <f>HYPERLINK("https://ota.tournamentsoftware.com/player-profile/F633DD21-A0C3-4CAC-B560-7222D07936B7", "Link")</f>
        <v/>
      </c>
      <c r="E389" s="3" t="n">
        <v>145.261</v>
      </c>
      <c r="F389" s="4" t="n">
        <v>15</v>
      </c>
      <c r="G389" t="inlineStr">
        <is>
          <t>Tennis Alberta</t>
        </is>
      </c>
      <c r="H389" t="inlineStr">
        <is>
          <t>Osten &amp; Victor Alberta Tennis Centre</t>
        </is>
      </c>
      <c r="I389" t="n">
        <v>33.3</v>
      </c>
      <c r="J389" s="4" t="n">
        <v>109</v>
      </c>
      <c r="K389" t="inlineStr">
        <is>
          <t>42 / 67</t>
        </is>
      </c>
      <c r="L389" t="inlineStr">
        <is>
          <t>12 / 17</t>
        </is>
      </c>
      <c r="M389" s="5" t="n">
        <v>0.39</v>
      </c>
      <c r="N389" s="5" t="n">
        <v>0.41</v>
      </c>
    </row>
    <row r="390">
      <c r="A390" t="n">
        <v>389</v>
      </c>
      <c r="B390" t="n">
        <v>2014</v>
      </c>
      <c r="C390" t="inlineStr">
        <is>
          <t>Kira Wong</t>
        </is>
      </c>
      <c r="D390">
        <f>HYPERLINK("https://ota.tournamentsoftware.com/player-profile/E305B648-4548-45A0-B043-623E1473C7E5", "Link")</f>
        <v/>
      </c>
      <c r="E390" s="3" t="n">
        <v>144.621</v>
      </c>
      <c r="F390" s="4" t="n">
        <v>23</v>
      </c>
      <c r="G390" t="inlineStr">
        <is>
          <t>Tennis Alberta</t>
        </is>
      </c>
      <c r="H390" t="inlineStr">
        <is>
          <t>Aforza</t>
        </is>
      </c>
      <c r="I390" t="n">
        <v>35.1</v>
      </c>
      <c r="J390" s="4" t="n">
        <v>127</v>
      </c>
      <c r="K390" t="inlineStr">
        <is>
          <t>47 / 80</t>
        </is>
      </c>
      <c r="L390" t="inlineStr">
        <is>
          <t>23 / 26</t>
        </is>
      </c>
      <c r="M390" s="5" t="n">
        <v>0.37</v>
      </c>
      <c r="N390" s="5" t="n">
        <v>0.47</v>
      </c>
    </row>
    <row r="391">
      <c r="A391" t="n">
        <v>390</v>
      </c>
      <c r="B391" t="n">
        <v>2012</v>
      </c>
      <c r="C391" t="inlineStr">
        <is>
          <t>Xinyi Zhang</t>
        </is>
      </c>
      <c r="D391">
        <f>HYPERLINK("https://ota.tournamentsoftware.com/player-profile/BCC8B346-C184-4803-9CC2-592D143B667B", "Link")</f>
        <v/>
      </c>
      <c r="E391" s="3" t="n">
        <v>144.06</v>
      </c>
      <c r="F391" s="4" t="n">
        <v>15</v>
      </c>
      <c r="G391" t="inlineStr">
        <is>
          <t>Ontario Tennis Association</t>
        </is>
      </c>
      <c r="H391" t="inlineStr">
        <is>
          <t>Marilyn Redvers Tennis Club</t>
        </is>
      </c>
      <c r="I391" t="n">
        <v>34.2</v>
      </c>
      <c r="J391" s="4" t="n">
        <v>43</v>
      </c>
      <c r="K391" t="inlineStr">
        <is>
          <t>23 / 20</t>
        </is>
      </c>
      <c r="L391" t="inlineStr">
        <is>
          <t>12 / 12</t>
        </is>
      </c>
      <c r="M391" s="5" t="n">
        <v>0.53</v>
      </c>
      <c r="N391" s="5" t="n">
        <v>0.5</v>
      </c>
    </row>
    <row r="392">
      <c r="A392" t="n">
        <v>391</v>
      </c>
      <c r="B392" t="n">
        <v>2015</v>
      </c>
      <c r="C392" t="inlineStr">
        <is>
          <t>Theia Zhang</t>
        </is>
      </c>
      <c r="D392">
        <f>HYPERLINK("https://ota.tournamentsoftware.com/player-profile/8628DB3F-1A24-45E1-A1F1-727AFFD593DD", "Link")</f>
        <v/>
      </c>
      <c r="E392" s="3" t="n">
        <v>142.594</v>
      </c>
      <c r="F392" s="4" t="n">
        <v>11</v>
      </c>
      <c r="G392" t="inlineStr">
        <is>
          <t>Ontario Tennis Association</t>
        </is>
      </c>
      <c r="H392" t="inlineStr">
        <is>
          <t>Premier Racquet Clubs – Mississauga</t>
        </is>
      </c>
      <c r="I392" t="n">
        <v>35.8</v>
      </c>
      <c r="J392" s="4" t="n">
        <v>102</v>
      </c>
      <c r="K392" t="inlineStr">
        <is>
          <t>48 / 54</t>
        </is>
      </c>
      <c r="L392" t="inlineStr">
        <is>
          <t>1 / 6</t>
        </is>
      </c>
      <c r="M392" s="5" t="n">
        <v>0.47</v>
      </c>
      <c r="N392" s="5" t="n">
        <v>0.14</v>
      </c>
    </row>
    <row r="393">
      <c r="A393" t="n">
        <v>392</v>
      </c>
      <c r="B393" t="n">
        <v>2013</v>
      </c>
      <c r="C393" t="inlineStr">
        <is>
          <t>Diya Vasudeva</t>
        </is>
      </c>
      <c r="D393">
        <f>HYPERLINK("https://ota.tournamentsoftware.com/player-profile/81C22EEF-F10A-4447-AF45-2B9B6D1A7F5B", "Link")</f>
        <v/>
      </c>
      <c r="E393" s="3" t="n">
        <v>142.428</v>
      </c>
      <c r="F393" s="4" t="n">
        <v>5</v>
      </c>
      <c r="G393" t="inlineStr">
        <is>
          <t>Ontario Tennis Association</t>
        </is>
      </c>
      <c r="H393" t="inlineStr">
        <is>
          <t>ACE Tennis - Burlington</t>
        </is>
      </c>
      <c r="I393" t="n">
        <v>37.1</v>
      </c>
      <c r="J393" s="4" t="n">
        <v>94</v>
      </c>
      <c r="K393" t="inlineStr">
        <is>
          <t>32 / 62</t>
        </is>
      </c>
      <c r="L393" t="inlineStr">
        <is>
          <t>3 / 7</t>
        </is>
      </c>
      <c r="M393" s="5" t="n">
        <v>0.34</v>
      </c>
      <c r="N393" s="5" t="n">
        <v>0.3</v>
      </c>
    </row>
    <row r="394">
      <c r="A394" t="n">
        <v>393</v>
      </c>
      <c r="B394" t="n">
        <v>2012</v>
      </c>
      <c r="C394" t="inlineStr">
        <is>
          <t>Naomi Brown</t>
        </is>
      </c>
      <c r="D394">
        <f>HYPERLINK("https://ota.tournamentsoftware.com/player-profile/3302BB60-F05F-49BC-8E90-BE5B9A063576", "Link")</f>
        <v/>
      </c>
      <c r="E394" s="3" t="n">
        <v>141.455</v>
      </c>
      <c r="F394" s="4" t="n">
        <v>6</v>
      </c>
      <c r="G394" t="inlineStr">
        <is>
          <t>Ontario Tennis Association</t>
        </is>
      </c>
      <c r="H394" t="inlineStr">
        <is>
          <t>Milton Tennis Club</t>
        </is>
      </c>
      <c r="I394" t="inlineStr">
        <is>
          <t>unavailable</t>
        </is>
      </c>
      <c r="J394" s="4" t="n">
        <v>75</v>
      </c>
      <c r="K394" t="inlineStr">
        <is>
          <t>33 / 42</t>
        </is>
      </c>
      <c r="L394" t="inlineStr">
        <is>
          <t>5 / 4</t>
        </is>
      </c>
      <c r="M394" s="5" t="n">
        <v>0.44</v>
      </c>
      <c r="N394" s="5" t="n">
        <v>0.5600000000000001</v>
      </c>
    </row>
    <row r="395">
      <c r="A395" t="n">
        <v>394</v>
      </c>
      <c r="B395" t="n">
        <v>2017</v>
      </c>
      <c r="C395" t="inlineStr">
        <is>
          <t>Nalayah Smith</t>
        </is>
      </c>
      <c r="D395">
        <f>HYPERLINK("https://ota.tournamentsoftware.com/player-profile/6F913BA8-58BB-4BEE-9CA1-8E064E1332B8", "Link")</f>
        <v/>
      </c>
      <c r="E395" s="3" t="n">
        <v>141.168</v>
      </c>
      <c r="F395" s="4" t="n">
        <v>16</v>
      </c>
      <c r="G395" t="inlineStr">
        <is>
          <t>Ontario Tennis Association</t>
        </is>
      </c>
      <c r="H395" t="inlineStr">
        <is>
          <t>SmartVMC Racquetsports by ACE</t>
        </is>
      </c>
      <c r="I395" t="n">
        <v>34.1</v>
      </c>
      <c r="J395" s="4" t="n">
        <v>120</v>
      </c>
      <c r="K395" t="inlineStr">
        <is>
          <t>73 / 47</t>
        </is>
      </c>
      <c r="L395" t="inlineStr">
        <is>
          <t>18 / 14</t>
        </is>
      </c>
      <c r="M395" s="5" t="n">
        <v>0.61</v>
      </c>
      <c r="N395" s="5" t="n">
        <v>0.5600000000000001</v>
      </c>
    </row>
    <row r="396">
      <c r="A396" t="n">
        <v>395</v>
      </c>
      <c r="B396" t="n">
        <v>2014</v>
      </c>
      <c r="C396" t="inlineStr">
        <is>
          <t>Hunter Anne Wilkinson</t>
        </is>
      </c>
      <c r="D396">
        <f>HYPERLINK("https://ota.tournamentsoftware.com/player-profile/EB893DF0-DCAD-49C8-BAB9-0D044090A656", "Link")</f>
        <v/>
      </c>
      <c r="E396" s="3" t="n">
        <v>139.824</v>
      </c>
      <c r="F396" s="4" t="n">
        <v>19</v>
      </c>
      <c r="G396" t="inlineStr">
        <is>
          <t>Ontario Tennis Association</t>
        </is>
      </c>
      <c r="H396" t="inlineStr">
        <is>
          <t>GSM Tennis Club</t>
        </is>
      </c>
      <c r="I396" t="n">
        <v>34.5</v>
      </c>
      <c r="J396" s="4" t="n">
        <v>182</v>
      </c>
      <c r="K396" t="inlineStr">
        <is>
          <t>87 / 95</t>
        </is>
      </c>
      <c r="L396" t="inlineStr">
        <is>
          <t>10 / 12</t>
        </is>
      </c>
      <c r="M396" s="5" t="n">
        <v>0.48</v>
      </c>
      <c r="N396" s="5" t="n">
        <v>0.45</v>
      </c>
    </row>
    <row r="397">
      <c r="A397" t="n">
        <v>396</v>
      </c>
      <c r="B397" t="n">
        <v>2012</v>
      </c>
      <c r="C397" t="inlineStr">
        <is>
          <t>Emily Zhang</t>
        </is>
      </c>
      <c r="D397">
        <f>HYPERLINK("https://ota.tournamentsoftware.com/player-profile/927E8E34-8FE2-4B37-81C7-621F5326585C", "Link")</f>
        <v/>
      </c>
      <c r="E397" s="3" t="n">
        <v>139.787</v>
      </c>
      <c r="F397" s="4" t="n">
        <v>10</v>
      </c>
      <c r="G397" t="inlineStr">
        <is>
          <t>Ontario Tennis Association</t>
        </is>
      </c>
      <c r="H397" t="inlineStr">
        <is>
          <t>Blackmore Tennis Club</t>
        </is>
      </c>
      <c r="I397" t="inlineStr">
        <is>
          <t>unavailable</t>
        </is>
      </c>
      <c r="J397" s="4" t="n">
        <v>48</v>
      </c>
      <c r="K397" t="inlineStr">
        <is>
          <t>10 / 38</t>
        </is>
      </c>
      <c r="L397" t="inlineStr">
        <is>
          <t>1 / 3</t>
        </is>
      </c>
      <c r="M397" s="5" t="n">
        <v>0.21</v>
      </c>
      <c r="N397" s="5" t="n">
        <v>0.25</v>
      </c>
    </row>
    <row r="398">
      <c r="A398" t="n">
        <v>397</v>
      </c>
      <c r="B398" t="n">
        <v>2012</v>
      </c>
      <c r="C398" t="inlineStr">
        <is>
          <t>Spencer Xie</t>
        </is>
      </c>
      <c r="D398">
        <f>HYPERLINK("https://ota.tournamentsoftware.com/player-profile/E8C882F3-740E-4E76-A249-7FC036AFD1F8", "Link")</f>
        <v/>
      </c>
      <c r="E398" s="3" t="n">
        <v>138.244</v>
      </c>
      <c r="F398" s="4" t="n">
        <v>12</v>
      </c>
      <c r="G398" t="inlineStr">
        <is>
          <t>Ontario Tennis Association</t>
        </is>
      </c>
      <c r="H398" t="inlineStr">
        <is>
          <t>Granite Club</t>
        </is>
      </c>
      <c r="I398" t="n">
        <v>35.1</v>
      </c>
      <c r="J398" s="4" t="n">
        <v>68</v>
      </c>
      <c r="K398" t="inlineStr">
        <is>
          <t>19 / 49</t>
        </is>
      </c>
      <c r="L398" t="inlineStr">
        <is>
          <t>6 / 10</t>
        </is>
      </c>
      <c r="M398" s="5" t="n">
        <v>0.28</v>
      </c>
      <c r="N398" s="5" t="n">
        <v>0.38</v>
      </c>
    </row>
    <row r="399">
      <c r="A399" t="n">
        <v>398</v>
      </c>
      <c r="B399" t="n">
        <v>2016</v>
      </c>
      <c r="C399" t="inlineStr">
        <is>
          <t>Milana Piazza</t>
        </is>
      </c>
      <c r="D399">
        <f>HYPERLINK("https://ota.tournamentsoftware.com/player-profile/4CDBB0C3-0D8B-4D7B-873C-3CEC65600FA0", "Link")</f>
        <v/>
      </c>
      <c r="E399" s="3" t="n">
        <v>135.567</v>
      </c>
      <c r="F399" s="4" t="n">
        <v>11</v>
      </c>
      <c r="G399" t="inlineStr">
        <is>
          <t>Tennis Québec</t>
        </is>
      </c>
      <c r="H399" t="inlineStr">
        <is>
          <t>Tennis 13</t>
        </is>
      </c>
      <c r="I399" t="n">
        <v>33.4</v>
      </c>
      <c r="J399" s="4" t="n">
        <v>90</v>
      </c>
      <c r="K399" t="inlineStr">
        <is>
          <t>54 / 36</t>
        </is>
      </c>
      <c r="L399" t="inlineStr">
        <is>
          <t>21 / 8</t>
        </is>
      </c>
      <c r="M399" s="5" t="n">
        <v>0.6</v>
      </c>
      <c r="N399" s="5" t="n">
        <v>0.72</v>
      </c>
    </row>
    <row r="400">
      <c r="A400" t="n">
        <v>399</v>
      </c>
      <c r="B400" t="n">
        <v>2013</v>
      </c>
      <c r="C400" t="inlineStr">
        <is>
          <t>Audrey Ziqi Liu</t>
        </is>
      </c>
      <c r="D400">
        <f>HYPERLINK("https://ota.tournamentsoftware.com/player-profile/C2E6156A-D7ED-45A1-B728-0FA7A8D2D6A1", "Link")</f>
        <v/>
      </c>
      <c r="E400" s="3" t="n">
        <v>134.423</v>
      </c>
      <c r="F400" s="4" t="n">
        <v>9</v>
      </c>
      <c r="G400" t="inlineStr">
        <is>
          <t>British Columbia</t>
        </is>
      </c>
      <c r="H400" t="inlineStr">
        <is>
          <t>UBC Tennis Centre</t>
        </is>
      </c>
      <c r="I400" t="n">
        <v>35.4</v>
      </c>
      <c r="J400" s="4" t="n">
        <v>23</v>
      </c>
      <c r="K400" t="inlineStr">
        <is>
          <t>7 / 16</t>
        </is>
      </c>
      <c r="L400" t="inlineStr">
        <is>
          <t>6 / 14</t>
        </is>
      </c>
      <c r="M400" s="5" t="n">
        <v>0.3</v>
      </c>
      <c r="N400" s="5" t="n">
        <v>0.3</v>
      </c>
    </row>
    <row r="401">
      <c r="A401" t="n">
        <v>400</v>
      </c>
      <c r="B401" t="n">
        <v>2014</v>
      </c>
      <c r="C401" t="inlineStr">
        <is>
          <t>Melissa Yi Nuo Yang</t>
        </is>
      </c>
      <c r="D401">
        <f>HYPERLINK("https://ota.tournamentsoftware.com/player-profile/870FB276-B8EA-4586-B0F5-B2318D4B1CD6", "Link")</f>
        <v/>
      </c>
      <c r="E401" s="3" t="n">
        <v>134.37</v>
      </c>
      <c r="F401" s="4" t="n">
        <v>19</v>
      </c>
      <c r="G401" t="inlineStr">
        <is>
          <t>Tennis Québec</t>
        </is>
      </c>
      <c r="H401" t="inlineStr">
        <is>
          <t>Club Sportif Côte-de-Liesse</t>
        </is>
      </c>
      <c r="I401" t="n">
        <v>33.2</v>
      </c>
      <c r="J401" s="4" t="n">
        <v>83</v>
      </c>
      <c r="K401" t="inlineStr">
        <is>
          <t>41 / 42</t>
        </is>
      </c>
      <c r="L401" t="inlineStr">
        <is>
          <t>21 / 11</t>
        </is>
      </c>
      <c r="M401" s="5" t="n">
        <v>0.49</v>
      </c>
      <c r="N401" s="5" t="n">
        <v>0.66</v>
      </c>
    </row>
    <row r="402">
      <c r="A402" t="n">
        <v>401</v>
      </c>
      <c r="B402" t="n">
        <v>2015</v>
      </c>
      <c r="C402" t="inlineStr">
        <is>
          <t>Anya De Lain</t>
        </is>
      </c>
      <c r="D402">
        <f>HYPERLINK("https://ota.tournamentsoftware.com/player-profile/563B79E2-A8FE-4D68-B224-8FB6861F2D7F", "Link")</f>
        <v/>
      </c>
      <c r="E402" s="3" t="n">
        <v>134.241</v>
      </c>
      <c r="F402" s="4" t="n">
        <v>12</v>
      </c>
      <c r="G402" t="inlineStr">
        <is>
          <t>Tennis Québec</t>
        </is>
      </c>
      <c r="H402" t="inlineStr">
        <is>
          <t>EB Tennis inc.</t>
        </is>
      </c>
      <c r="I402" t="n">
        <v>39.7</v>
      </c>
      <c r="J402" s="4" t="n">
        <v>88</v>
      </c>
      <c r="K402" t="inlineStr">
        <is>
          <t>16 / 72</t>
        </is>
      </c>
      <c r="L402" t="inlineStr">
        <is>
          <t>2 / 16</t>
        </is>
      </c>
      <c r="M402" s="5" t="n">
        <v>0.18</v>
      </c>
      <c r="N402" s="5" t="n">
        <v>0.11</v>
      </c>
    </row>
    <row r="403">
      <c r="A403" t="n">
        <v>402</v>
      </c>
      <c r="B403" t="n">
        <v>2015</v>
      </c>
      <c r="C403" t="inlineStr">
        <is>
          <t>Blake Badger</t>
        </is>
      </c>
      <c r="D403">
        <f>HYPERLINK("https://ota.tournamentsoftware.com/player-profile/33B72483-1E5D-4043-8C06-81F76F0504E6", "Link")</f>
        <v/>
      </c>
      <c r="E403" s="3" t="n">
        <v>133.817</v>
      </c>
      <c r="F403" s="4" t="n">
        <v>4</v>
      </c>
      <c r="G403" t="inlineStr">
        <is>
          <t>Tennis Saskatchewan</t>
        </is>
      </c>
      <c r="H403" t="inlineStr">
        <is>
          <t>Lakeshore Tennis Club</t>
        </is>
      </c>
      <c r="I403" t="n">
        <v>38.3</v>
      </c>
      <c r="J403" s="4" t="n">
        <v>63</v>
      </c>
      <c r="K403" t="inlineStr">
        <is>
          <t>20 / 43</t>
        </is>
      </c>
      <c r="L403" t="inlineStr">
        <is>
          <t>2 / 7</t>
        </is>
      </c>
      <c r="M403" s="5" t="n">
        <v>0.32</v>
      </c>
      <c r="N403" s="5" t="n">
        <v>0.22</v>
      </c>
    </row>
    <row r="404">
      <c r="A404" t="n">
        <v>403</v>
      </c>
      <c r="B404" t="n">
        <v>2014</v>
      </c>
      <c r="C404" t="inlineStr">
        <is>
          <t>Jaynaëlle Isaac</t>
        </is>
      </c>
      <c r="D404">
        <f>HYPERLINK("https://ota.tournamentsoftware.com/player-profile/6748F07C-41D2-4D26-87D9-8636B60DC389", "Link")</f>
        <v/>
      </c>
      <c r="E404" s="3" t="n">
        <v>132.874</v>
      </c>
      <c r="F404" s="4" t="n">
        <v>10</v>
      </c>
      <c r="G404" t="inlineStr">
        <is>
          <t>Tennis Québec</t>
        </is>
      </c>
      <c r="H404" t="inlineStr">
        <is>
          <t>No Club</t>
        </is>
      </c>
      <c r="I404" t="n">
        <v>32.5</v>
      </c>
      <c r="J404" s="4" t="n">
        <v>124</v>
      </c>
      <c r="K404" t="inlineStr">
        <is>
          <t>49 / 75</t>
        </is>
      </c>
      <c r="L404" t="inlineStr">
        <is>
          <t>9 / 11</t>
        </is>
      </c>
      <c r="M404" s="5" t="n">
        <v>0.4</v>
      </c>
      <c r="N404" s="5" t="n">
        <v>0.45</v>
      </c>
    </row>
    <row r="405">
      <c r="A405" t="n">
        <v>404</v>
      </c>
      <c r="B405" t="n">
        <v>2013</v>
      </c>
      <c r="C405" t="inlineStr">
        <is>
          <t>Olivia Xing</t>
        </is>
      </c>
      <c r="D405">
        <f>HYPERLINK("https://ota.tournamentsoftware.com/player-profile/03475BC0-CC60-490A-8E94-0D82D43C8EDC", "Link")</f>
        <v/>
      </c>
      <c r="E405" s="3" t="n">
        <v>132.497</v>
      </c>
      <c r="F405" s="4" t="n">
        <v>17</v>
      </c>
      <c r="G405" t="inlineStr">
        <is>
          <t>British Columbia</t>
        </is>
      </c>
      <c r="H405" t="inlineStr">
        <is>
          <t>Vancouver Lawn Tennis and Badminton Club</t>
        </is>
      </c>
      <c r="I405" t="inlineStr">
        <is>
          <t>unavailable</t>
        </is>
      </c>
      <c r="J405" s="4" t="n">
        <v>117</v>
      </c>
      <c r="K405" t="inlineStr">
        <is>
          <t>57 / 60</t>
        </is>
      </c>
      <c r="L405" t="inlineStr">
        <is>
          <t>10 / 13</t>
        </is>
      </c>
      <c r="M405" s="5" t="n">
        <v>0.49</v>
      </c>
      <c r="N405" s="5" t="n">
        <v>0.43</v>
      </c>
    </row>
    <row r="406">
      <c r="A406" t="n">
        <v>405</v>
      </c>
      <c r="B406" t="n">
        <v>2015</v>
      </c>
      <c r="C406" t="inlineStr">
        <is>
          <t>Athisayah Viji</t>
        </is>
      </c>
      <c r="D406">
        <f>HYPERLINK("https://ota.tournamentsoftware.com/player-profile/C8684F68-4EF9-414D-BDA9-FC73111C2DB8", "Link")</f>
        <v/>
      </c>
      <c r="E406" s="3" t="n">
        <v>131.362</v>
      </c>
      <c r="F406" s="4" t="n">
        <v>18</v>
      </c>
      <c r="G406" t="inlineStr">
        <is>
          <t>British Columbia</t>
        </is>
      </c>
      <c r="H406" t="inlineStr">
        <is>
          <t>The Tennis Centre</t>
        </is>
      </c>
      <c r="I406" t="n">
        <v>31.6</v>
      </c>
      <c r="J406" s="4" t="n">
        <v>118</v>
      </c>
      <c r="K406" t="inlineStr">
        <is>
          <t>70 / 48</t>
        </is>
      </c>
      <c r="L406" t="inlineStr">
        <is>
          <t>30 / 13</t>
        </is>
      </c>
      <c r="M406" s="5" t="n">
        <v>0.59</v>
      </c>
      <c r="N406" s="5" t="n">
        <v>0.7</v>
      </c>
    </row>
    <row r="407">
      <c r="A407" t="n">
        <v>406</v>
      </c>
      <c r="B407" t="n">
        <v>2014</v>
      </c>
      <c r="C407" t="inlineStr">
        <is>
          <t>Olivia Weiwei Kong</t>
        </is>
      </c>
      <c r="D407">
        <f>HYPERLINK("https://ota.tournamentsoftware.com/player-profile/D959AEB1-2F72-4DC3-9FC0-C7595A80CDA0", "Link")</f>
        <v/>
      </c>
      <c r="E407" s="3" t="n">
        <v>130.887</v>
      </c>
      <c r="F407" s="4" t="n">
        <v>6</v>
      </c>
      <c r="G407" t="inlineStr">
        <is>
          <t>Tennis Saskatchewan</t>
        </is>
      </c>
      <c r="H407" t="inlineStr">
        <is>
          <t>Lakeshore Tennis Club</t>
        </is>
      </c>
      <c r="I407" t="n">
        <v>37.1</v>
      </c>
      <c r="J407" s="4" t="n">
        <v>89</v>
      </c>
      <c r="K407" t="inlineStr">
        <is>
          <t>22 / 67</t>
        </is>
      </c>
      <c r="L407" t="inlineStr">
        <is>
          <t>3 / 10</t>
        </is>
      </c>
      <c r="M407" s="5" t="n">
        <v>0.25</v>
      </c>
      <c r="N407" s="5" t="n">
        <v>0.23</v>
      </c>
    </row>
    <row r="408">
      <c r="A408" t="n">
        <v>407</v>
      </c>
      <c r="B408" t="n">
        <v>2012</v>
      </c>
      <c r="C408" t="inlineStr">
        <is>
          <t>Eliana Yiannacouras</t>
        </is>
      </c>
      <c r="D408">
        <f>HYPERLINK("https://ota.tournamentsoftware.com/player-profile/B77AA2DD-5FF4-4B16-8ABD-E6ED22D4B5E1", "Link")</f>
        <v/>
      </c>
      <c r="E408" s="3" t="n">
        <v>130.395</v>
      </c>
      <c r="F408" s="4" t="n">
        <v>14</v>
      </c>
      <c r="G408" t="inlineStr">
        <is>
          <t>Ontario Tennis Association</t>
        </is>
      </c>
      <c r="H408" t="inlineStr">
        <is>
          <t>The Supreme Court Tennis Club</t>
        </is>
      </c>
      <c r="I408" t="n">
        <v>35</v>
      </c>
      <c r="J408" s="4" t="n">
        <v>95</v>
      </c>
      <c r="K408" t="inlineStr">
        <is>
          <t>24 / 71</t>
        </is>
      </c>
      <c r="L408" t="inlineStr">
        <is>
          <t>5 / 8</t>
        </is>
      </c>
      <c r="M408" s="5" t="n">
        <v>0.25</v>
      </c>
      <c r="N408" s="5" t="n">
        <v>0.38</v>
      </c>
    </row>
    <row r="409">
      <c r="A409" t="n">
        <v>408</v>
      </c>
      <c r="B409" t="n">
        <v>2014</v>
      </c>
      <c r="C409" t="inlineStr">
        <is>
          <t>Scarlett Hannah Yip</t>
        </is>
      </c>
      <c r="D409">
        <f>HYPERLINK("https://ota.tournamentsoftware.com/player-profile/D01B38C8-E207-4D1F-B33D-970B1F8BDC78", "Link")</f>
        <v/>
      </c>
      <c r="E409" s="3" t="n">
        <v>128.523</v>
      </c>
      <c r="F409" s="4" t="n">
        <v>13</v>
      </c>
      <c r="G409" t="inlineStr">
        <is>
          <t>Tennis Alberta</t>
        </is>
      </c>
      <c r="H409" t="inlineStr">
        <is>
          <t>Osten &amp; Victor Alberta Tennis Centre</t>
        </is>
      </c>
      <c r="I409" t="n">
        <v>33.7</v>
      </c>
      <c r="J409" s="4" t="n">
        <v>146</v>
      </c>
      <c r="K409" t="inlineStr">
        <is>
          <t>65 / 81</t>
        </is>
      </c>
      <c r="L409" t="inlineStr">
        <is>
          <t>6 / 8</t>
        </is>
      </c>
      <c r="M409" s="5" t="n">
        <v>0.45</v>
      </c>
      <c r="N409" s="5" t="n">
        <v>0.43</v>
      </c>
    </row>
    <row r="410">
      <c r="A410" t="n">
        <v>409</v>
      </c>
      <c r="B410" t="n">
        <v>2014</v>
      </c>
      <c r="C410" t="inlineStr">
        <is>
          <t>Afsoune Wassel</t>
        </is>
      </c>
      <c r="D410">
        <f>HYPERLINK("https://ota.tournamentsoftware.com/player-profile/72D5D7A1-94DE-47DF-B01E-F83205C53092", "Link")</f>
        <v/>
      </c>
      <c r="E410" s="3" t="n">
        <v>128.099</v>
      </c>
      <c r="F410" s="4" t="n">
        <v>22</v>
      </c>
      <c r="G410" t="inlineStr">
        <is>
          <t>Tennis Québec</t>
        </is>
      </c>
      <c r="H410" t="inlineStr">
        <is>
          <t>SANI Sport</t>
        </is>
      </c>
      <c r="I410" t="n">
        <v>34.7</v>
      </c>
      <c r="J410" s="4" t="n">
        <v>118</v>
      </c>
      <c r="K410" t="inlineStr">
        <is>
          <t>59 / 59</t>
        </is>
      </c>
      <c r="L410" t="inlineStr">
        <is>
          <t>7 / 13</t>
        </is>
      </c>
      <c r="M410" s="5" t="n">
        <v>0.5</v>
      </c>
      <c r="N410" s="5" t="n">
        <v>0.35</v>
      </c>
    </row>
    <row r="411">
      <c r="A411" t="n">
        <v>410</v>
      </c>
      <c r="B411" t="n">
        <v>2014</v>
      </c>
      <c r="C411" t="inlineStr">
        <is>
          <t>Mikayla Avani Mahanandan</t>
        </is>
      </c>
      <c r="D411">
        <f>HYPERLINK("https://ota.tournamentsoftware.com/player-profile/DAFD5F0F-733D-4242-B572-5905268B6041", "Link")</f>
        <v/>
      </c>
      <c r="E411" s="3" t="n">
        <v>127.05</v>
      </c>
      <c r="F411" s="4" t="n">
        <v>21</v>
      </c>
      <c r="G411" t="inlineStr">
        <is>
          <t>Ontario Tennis Association</t>
        </is>
      </c>
      <c r="H411" t="inlineStr">
        <is>
          <t>Premier Racquet Clubs – Mississauga</t>
        </is>
      </c>
      <c r="I411" t="inlineStr">
        <is>
          <t>unavailable</t>
        </is>
      </c>
      <c r="J411" s="4" t="n">
        <v>103</v>
      </c>
      <c r="K411" t="inlineStr">
        <is>
          <t>35 / 68</t>
        </is>
      </c>
      <c r="L411" t="inlineStr">
        <is>
          <t>11 / 19</t>
        </is>
      </c>
      <c r="M411" s="5" t="n">
        <v>0.34</v>
      </c>
      <c r="N411" s="5" t="n">
        <v>0.37</v>
      </c>
    </row>
    <row r="412">
      <c r="A412" t="n">
        <v>411</v>
      </c>
      <c r="B412" t="n">
        <v>2014</v>
      </c>
      <c r="C412" t="inlineStr">
        <is>
          <t>Rain Yu Chan</t>
        </is>
      </c>
      <c r="D412">
        <f>HYPERLINK("https://ota.tournamentsoftware.com/player-profile/BF26AD2D-BAAC-4E82-A862-14039C1584F2", "Link")</f>
        <v/>
      </c>
      <c r="E412" s="3" t="n">
        <v>125.263</v>
      </c>
      <c r="F412" s="4" t="n">
        <v>31</v>
      </c>
      <c r="G412" t="inlineStr">
        <is>
          <t>British Columbia</t>
        </is>
      </c>
      <c r="H412" t="inlineStr">
        <is>
          <t>Burnaby Tennis Club</t>
        </is>
      </c>
      <c r="I412" t="inlineStr">
        <is>
          <t>unavailable</t>
        </is>
      </c>
      <c r="J412" s="4" t="n">
        <v>197</v>
      </c>
      <c r="K412" t="inlineStr">
        <is>
          <t>93 / 104</t>
        </is>
      </c>
      <c r="L412" t="inlineStr">
        <is>
          <t>27 / 27</t>
        </is>
      </c>
      <c r="M412" s="5" t="n">
        <v>0.47</v>
      </c>
      <c r="N412" s="5" t="n">
        <v>0.5</v>
      </c>
    </row>
    <row r="413">
      <c r="A413" t="n">
        <v>412</v>
      </c>
      <c r="B413" t="n">
        <v>2015</v>
      </c>
      <c r="C413" t="inlineStr">
        <is>
          <t>Xinyue Grace zhu</t>
        </is>
      </c>
      <c r="D413">
        <f>HYPERLINK("https://ota.tournamentsoftware.com/player-profile/9C1D6B37-A27B-4B15-8F8F-72E6D4418B50", "Link")</f>
        <v/>
      </c>
      <c r="E413" s="3" t="n">
        <v>124.998</v>
      </c>
      <c r="F413" s="4" t="n">
        <v>13</v>
      </c>
      <c r="G413" t="inlineStr">
        <is>
          <t>British Columbia</t>
        </is>
      </c>
      <c r="H413" t="inlineStr">
        <is>
          <t>North Vancouver Tennis Centre</t>
        </is>
      </c>
      <c r="I413" t="inlineStr">
        <is>
          <t>unavailable</t>
        </is>
      </c>
      <c r="J413" s="4" t="n">
        <v>184</v>
      </c>
      <c r="K413" t="inlineStr">
        <is>
          <t>111 / 73</t>
        </is>
      </c>
      <c r="L413" t="inlineStr">
        <is>
          <t>12 / 10</t>
        </is>
      </c>
      <c r="M413" s="5" t="n">
        <v>0.6</v>
      </c>
      <c r="N413" s="5" t="n">
        <v>0.55</v>
      </c>
    </row>
    <row r="414">
      <c r="A414" t="n">
        <v>413</v>
      </c>
      <c r="B414" t="n">
        <v>2015</v>
      </c>
      <c r="C414" t="inlineStr">
        <is>
          <t>Vera Toptounov</t>
        </is>
      </c>
      <c r="D414">
        <f>HYPERLINK("https://ota.tournamentsoftware.com/player-profile/6AC05446-ED22-406D-9460-F30F3FC8B16B", "Link")</f>
        <v/>
      </c>
      <c r="E414" s="3" t="n">
        <v>124.813</v>
      </c>
      <c r="F414" s="4" t="n">
        <v>17</v>
      </c>
      <c r="G414" t="inlineStr">
        <is>
          <t>Ontario Tennis Association</t>
        </is>
      </c>
      <c r="H414" t="inlineStr">
        <is>
          <t>SmartVMC Racquetsports by ACE</t>
        </is>
      </c>
      <c r="I414" t="n">
        <v>35.9</v>
      </c>
      <c r="J414" s="4" t="n">
        <v>101</v>
      </c>
      <c r="K414" t="inlineStr">
        <is>
          <t>44 / 57</t>
        </is>
      </c>
      <c r="L414" t="inlineStr">
        <is>
          <t>10 / 13</t>
        </is>
      </c>
      <c r="M414" s="5" t="n">
        <v>0.44</v>
      </c>
      <c r="N414" s="5" t="n">
        <v>0.43</v>
      </c>
    </row>
    <row r="415">
      <c r="A415" t="n">
        <v>414</v>
      </c>
      <c r="B415" t="n">
        <v>2013</v>
      </c>
      <c r="C415" t="inlineStr">
        <is>
          <t>Ella Iva Mavretic</t>
        </is>
      </c>
      <c r="D415">
        <f>HYPERLINK("https://ota.tournamentsoftware.com/player-profile/CF99D041-FAEF-47A9-BBE6-3D6335355408", "Link")</f>
        <v/>
      </c>
      <c r="E415" s="3" t="n">
        <v>123.973</v>
      </c>
      <c r="F415" s="4" t="n">
        <v>11</v>
      </c>
      <c r="G415" t="inlineStr">
        <is>
          <t>Ontario Tennis Association</t>
        </is>
      </c>
      <c r="H415" t="inlineStr">
        <is>
          <t>Pinafore Park</t>
        </is>
      </c>
      <c r="I415" t="n">
        <v>35.2</v>
      </c>
      <c r="J415" s="4" t="n">
        <v>196</v>
      </c>
      <c r="K415" t="inlineStr">
        <is>
          <t>87 / 109</t>
        </is>
      </c>
      <c r="L415" t="inlineStr">
        <is>
          <t>3 / 5</t>
        </is>
      </c>
      <c r="M415" s="5" t="n">
        <v>0.44</v>
      </c>
      <c r="N415" s="5" t="n">
        <v>0.38</v>
      </c>
    </row>
    <row r="416">
      <c r="A416" t="n">
        <v>415</v>
      </c>
      <c r="B416" t="n">
        <v>2015</v>
      </c>
      <c r="C416" t="inlineStr">
        <is>
          <t>Chloe Zhiyan Bai</t>
        </is>
      </c>
      <c r="D416">
        <f>HYPERLINK("https://ota.tournamentsoftware.com/player-profile/D190414C-9B0E-4001-86BC-CD88F7FCF827", "Link")</f>
        <v/>
      </c>
      <c r="E416" s="3" t="n">
        <v>123.895</v>
      </c>
      <c r="F416" s="4" t="n">
        <v>26</v>
      </c>
      <c r="G416" t="inlineStr">
        <is>
          <t>British Columbia</t>
        </is>
      </c>
      <c r="H416" t="inlineStr">
        <is>
          <t>Tennis BC Hub @ Richmond</t>
        </is>
      </c>
      <c r="I416" t="inlineStr">
        <is>
          <t>unavailable</t>
        </is>
      </c>
      <c r="J416" s="4" t="n">
        <v>170</v>
      </c>
      <c r="K416" t="inlineStr">
        <is>
          <t>78 / 92</t>
        </is>
      </c>
      <c r="L416" t="inlineStr">
        <is>
          <t>25 / 19</t>
        </is>
      </c>
      <c r="M416" s="5" t="n">
        <v>0.46</v>
      </c>
      <c r="N416" s="5" t="n">
        <v>0.57</v>
      </c>
    </row>
    <row r="417">
      <c r="A417" t="n">
        <v>416</v>
      </c>
      <c r="B417" t="n">
        <v>2013</v>
      </c>
      <c r="C417" t="inlineStr">
        <is>
          <t>Nimesha Singh</t>
        </is>
      </c>
      <c r="D417">
        <f>HYPERLINK("https://ota.tournamentsoftware.com/player-profile/8C91735C-DF4B-4994-88A2-155C813C74CC", "Link")</f>
        <v/>
      </c>
      <c r="E417" s="3" t="n">
        <v>123.547</v>
      </c>
      <c r="F417" s="4" t="n">
        <v>3</v>
      </c>
      <c r="G417" t="inlineStr">
        <is>
          <t>Tennis Nova Scotia</t>
        </is>
      </c>
      <c r="H417" t="inlineStr">
        <is>
          <t>Atlantic Tennis Centre</t>
        </is>
      </c>
      <c r="I417" t="n">
        <v>28.1</v>
      </c>
      <c r="J417" s="4" t="n">
        <v>196</v>
      </c>
      <c r="K417" t="inlineStr">
        <is>
          <t>96 / 100</t>
        </is>
      </c>
      <c r="L417" t="inlineStr">
        <is>
          <t>0 / 0</t>
        </is>
      </c>
      <c r="M417" s="5" t="n">
        <v>0.49</v>
      </c>
      <c r="N417" s="5" t="n">
        <v>0</v>
      </c>
    </row>
    <row r="418">
      <c r="A418" t="n">
        <v>417</v>
      </c>
      <c r="B418" t="n">
        <v>2014</v>
      </c>
      <c r="C418" t="inlineStr">
        <is>
          <t>Olivia Lee</t>
        </is>
      </c>
      <c r="D418">
        <f>HYPERLINK("https://ota.tournamentsoftware.com/player-profile/DEF89846-A0EF-4373-B8DC-8305F756E612", "Link")</f>
        <v/>
      </c>
      <c r="E418" s="3" t="n">
        <v>122.446</v>
      </c>
      <c r="F418" s="4" t="n">
        <v>26</v>
      </c>
      <c r="G418" t="inlineStr">
        <is>
          <t>Tennis Québec</t>
        </is>
      </c>
      <c r="H418" t="inlineStr">
        <is>
          <t>SANI Sport</t>
        </is>
      </c>
      <c r="I418" t="n">
        <v>36.4</v>
      </c>
      <c r="J418" s="4" t="n">
        <v>110</v>
      </c>
      <c r="K418" t="inlineStr">
        <is>
          <t>41 / 69</t>
        </is>
      </c>
      <c r="L418" t="inlineStr">
        <is>
          <t>11 / 21</t>
        </is>
      </c>
      <c r="M418" s="5" t="n">
        <v>0.37</v>
      </c>
      <c r="N418" s="5" t="n">
        <v>0.34</v>
      </c>
    </row>
    <row r="419">
      <c r="A419" t="n">
        <v>418</v>
      </c>
      <c r="B419" t="n">
        <v>2012</v>
      </c>
      <c r="C419" t="inlineStr">
        <is>
          <t>Isabella Sofia Zrnic</t>
        </is>
      </c>
      <c r="D419">
        <f>HYPERLINK("https://ota.tournamentsoftware.com/player-profile/C8963CF4-1E95-43AF-B92C-08778B2BA616", "Link")</f>
        <v/>
      </c>
      <c r="E419" s="3" t="n">
        <v>122.414</v>
      </c>
      <c r="F419" s="4" t="n">
        <v>15</v>
      </c>
      <c r="G419" t="inlineStr">
        <is>
          <t>Ontario Tennis Association</t>
        </is>
      </c>
      <c r="H419" t="inlineStr">
        <is>
          <t>Lawrence Park Tennis Club</t>
        </is>
      </c>
      <c r="I419" t="n">
        <v>35.4</v>
      </c>
      <c r="J419" s="4" t="n">
        <v>66</v>
      </c>
      <c r="K419" t="inlineStr">
        <is>
          <t>27 / 39</t>
        </is>
      </c>
      <c r="L419" t="inlineStr">
        <is>
          <t>6 / 9</t>
        </is>
      </c>
      <c r="M419" s="5" t="n">
        <v>0.41</v>
      </c>
      <c r="N419" s="5" t="n">
        <v>0.4</v>
      </c>
    </row>
    <row r="420">
      <c r="A420" t="n">
        <v>419</v>
      </c>
      <c r="B420" t="n">
        <v>2013</v>
      </c>
      <c r="C420" t="inlineStr">
        <is>
          <t>Mathilda Adaline Manning</t>
        </is>
      </c>
      <c r="D420">
        <f>HYPERLINK("https://ota.tournamentsoftware.com/player-profile/68249616-27A6-4807-9978-802C0CDC784E", "Link")</f>
        <v/>
      </c>
      <c r="E420" s="3" t="n">
        <v>120.16</v>
      </c>
      <c r="F420" s="4" t="n">
        <v>6</v>
      </c>
      <c r="G420" t="inlineStr">
        <is>
          <t>Ontario Tennis Association</t>
        </is>
      </c>
      <c r="H420" t="inlineStr">
        <is>
          <t>Niagara Academy of Tennis</t>
        </is>
      </c>
      <c r="I420" t="n">
        <v>29.2</v>
      </c>
      <c r="J420" s="4" t="n">
        <v>12</v>
      </c>
      <c r="K420" t="inlineStr">
        <is>
          <t>8 / 4</t>
        </is>
      </c>
      <c r="L420" t="inlineStr">
        <is>
          <t>0 / 0</t>
        </is>
      </c>
      <c r="M420" s="5" t="n">
        <v>0.67</v>
      </c>
      <c r="N420" s="5" t="n">
        <v>0</v>
      </c>
    </row>
    <row r="421">
      <c r="A421" t="n">
        <v>420</v>
      </c>
      <c r="B421" t="n">
        <v>2013</v>
      </c>
      <c r="C421" t="inlineStr">
        <is>
          <t>Ellie Patricia Wilson</t>
        </is>
      </c>
      <c r="D421">
        <f>HYPERLINK("https://ota.tournamentsoftware.com/player-profile/CB4D2A63-DEA3-4EB8-9085-4317BC39804E", "Link")</f>
        <v/>
      </c>
      <c r="E421" s="3" t="n">
        <v>119.767</v>
      </c>
      <c r="F421" s="4" t="n">
        <v>11</v>
      </c>
      <c r="G421" t="inlineStr">
        <is>
          <t>Ontario Tennis Association</t>
        </is>
      </c>
      <c r="H421" t="inlineStr">
        <is>
          <t>Milton Tennis Club</t>
        </is>
      </c>
      <c r="I421" t="n">
        <v>34.4</v>
      </c>
      <c r="J421" s="4" t="n">
        <v>64</v>
      </c>
      <c r="K421" t="inlineStr">
        <is>
          <t>23 / 41</t>
        </is>
      </c>
      <c r="L421" t="inlineStr">
        <is>
          <t>2 / 4</t>
        </is>
      </c>
      <c r="M421" s="5" t="n">
        <v>0.36</v>
      </c>
      <c r="N421" s="5" t="n">
        <v>0.33</v>
      </c>
    </row>
    <row r="422">
      <c r="A422" t="n">
        <v>421</v>
      </c>
      <c r="B422" t="n">
        <v>2015</v>
      </c>
      <c r="C422" t="inlineStr">
        <is>
          <t>Grace Raymond</t>
        </is>
      </c>
      <c r="D422">
        <f>HYPERLINK("https://ota.tournamentsoftware.com/player-profile/879338D5-D59E-4EA6-A8E9-135220F52905", "Link")</f>
        <v/>
      </c>
      <c r="E422" s="3" t="n">
        <v>117.654</v>
      </c>
      <c r="F422" s="4" t="n">
        <v>14</v>
      </c>
      <c r="G422" t="inlineStr">
        <is>
          <t>Tennis Alberta</t>
        </is>
      </c>
      <c r="H422" t="inlineStr">
        <is>
          <t>Osten &amp; Victor Alberta Tennis Centre</t>
        </is>
      </c>
      <c r="I422" t="n">
        <v>35.7</v>
      </c>
      <c r="J422" s="4" t="n">
        <v>69</v>
      </c>
      <c r="K422" t="inlineStr">
        <is>
          <t>30 / 39</t>
        </is>
      </c>
      <c r="L422" t="inlineStr">
        <is>
          <t>5 / 10</t>
        </is>
      </c>
      <c r="M422" s="5" t="n">
        <v>0.43</v>
      </c>
      <c r="N422" s="5" t="n">
        <v>0.33</v>
      </c>
    </row>
    <row r="423">
      <c r="A423" t="n">
        <v>422</v>
      </c>
      <c r="B423" t="n">
        <v>2015</v>
      </c>
      <c r="C423" t="inlineStr">
        <is>
          <t>Emma Plugaru</t>
        </is>
      </c>
      <c r="D423">
        <f>HYPERLINK("https://ota.tournamentsoftware.com/player-profile/A8C9C47A-4B9A-43CD-97A6-5516A6BAA15D", "Link")</f>
        <v/>
      </c>
      <c r="E423" s="3" t="n">
        <v>117.51</v>
      </c>
      <c r="F423" s="4" t="n">
        <v>16</v>
      </c>
      <c r="G423" t="inlineStr">
        <is>
          <t>Tennis Québec</t>
        </is>
      </c>
      <c r="H423" t="inlineStr">
        <is>
          <t>Tennis 13</t>
        </is>
      </c>
      <c r="I423" t="n">
        <v>33.6</v>
      </c>
      <c r="J423" s="4" t="n">
        <v>131</v>
      </c>
      <c r="K423" t="inlineStr">
        <is>
          <t>72 / 59</t>
        </is>
      </c>
      <c r="L423" t="inlineStr">
        <is>
          <t>19 / 10</t>
        </is>
      </c>
      <c r="M423" s="5" t="n">
        <v>0.55</v>
      </c>
      <c r="N423" s="5" t="n">
        <v>0.66</v>
      </c>
    </row>
    <row r="424">
      <c r="A424" t="n">
        <v>423</v>
      </c>
      <c r="B424" t="n">
        <v>2013</v>
      </c>
      <c r="C424" t="inlineStr">
        <is>
          <t>Alyxandra Grace Bellot Wildeman</t>
        </is>
      </c>
      <c r="D424">
        <f>HYPERLINK("https://ota.tournamentsoftware.com/player-profile/E2171261-67FD-4CFA-B4F2-64D9B979CCE5", "Link")</f>
        <v/>
      </c>
      <c r="E424" s="3" t="n">
        <v>116.607</v>
      </c>
      <c r="F424" s="4" t="n">
        <v>11</v>
      </c>
      <c r="G424" t="inlineStr">
        <is>
          <t>British Columbia</t>
        </is>
      </c>
      <c r="H424" t="inlineStr">
        <is>
          <t>Vanguard Tennis Academy</t>
        </is>
      </c>
      <c r="I424" t="n">
        <v>34.7</v>
      </c>
      <c r="J424" s="4" t="n">
        <v>117</v>
      </c>
      <c r="K424" t="inlineStr">
        <is>
          <t>51 / 66</t>
        </is>
      </c>
      <c r="L424" t="inlineStr">
        <is>
          <t>7 / 8</t>
        </is>
      </c>
      <c r="M424" s="5" t="n">
        <v>0.44</v>
      </c>
      <c r="N424" s="5" t="n">
        <v>0.47</v>
      </c>
    </row>
    <row r="425">
      <c r="A425" t="n">
        <v>424</v>
      </c>
      <c r="B425" t="n">
        <v>2015</v>
      </c>
      <c r="C425" t="inlineStr">
        <is>
          <t>Sofia Bulynko</t>
        </is>
      </c>
      <c r="D425">
        <f>HYPERLINK("https://ota.tournamentsoftware.com/player-profile/88C213E0-0960-44DC-B9B0-66B1ADEE699B", "Link")</f>
        <v/>
      </c>
      <c r="E425" s="3" t="n">
        <v>116.274</v>
      </c>
      <c r="F425" s="4" t="n">
        <v>11</v>
      </c>
      <c r="G425" t="inlineStr">
        <is>
          <t>Ontario Tennis Association</t>
        </is>
      </c>
      <c r="H425" t="inlineStr">
        <is>
          <t>National Tennis School</t>
        </is>
      </c>
      <c r="I425" t="n">
        <v>35.5</v>
      </c>
      <c r="J425" s="4" t="n">
        <v>53</v>
      </c>
      <c r="K425" t="inlineStr">
        <is>
          <t>27 / 26</t>
        </is>
      </c>
      <c r="L425" t="inlineStr">
        <is>
          <t>10 / 9</t>
        </is>
      </c>
      <c r="M425" s="5" t="n">
        <v>0.51</v>
      </c>
      <c r="N425" s="5" t="n">
        <v>0.53</v>
      </c>
    </row>
    <row r="426">
      <c r="A426" t="n">
        <v>425</v>
      </c>
      <c r="B426" t="n">
        <v>2015</v>
      </c>
      <c r="C426" t="inlineStr">
        <is>
          <t>Mia Pan</t>
        </is>
      </c>
      <c r="D426">
        <f>HYPERLINK("https://ota.tournamentsoftware.com/player-profile/AC58096C-5119-4221-95E0-C06E89FC8EFF", "Link")</f>
        <v/>
      </c>
      <c r="E426" s="3" t="n">
        <v>116.01</v>
      </c>
      <c r="F426" s="4" t="n">
        <v>15</v>
      </c>
      <c r="G426" t="inlineStr">
        <is>
          <t>British Columbia</t>
        </is>
      </c>
      <c r="H426" t="inlineStr">
        <is>
          <t>Vanguard Tennis Academy</t>
        </is>
      </c>
      <c r="I426" t="inlineStr">
        <is>
          <t>unavailable</t>
        </is>
      </c>
      <c r="J426" s="4" t="n">
        <v>118</v>
      </c>
      <c r="K426" t="inlineStr">
        <is>
          <t>67 / 51</t>
        </is>
      </c>
      <c r="L426" t="inlineStr">
        <is>
          <t>23 / 17</t>
        </is>
      </c>
      <c r="M426" s="5" t="n">
        <v>0.57</v>
      </c>
      <c r="N426" s="5" t="n">
        <v>0.57</v>
      </c>
    </row>
    <row r="427">
      <c r="A427" t="n">
        <v>426</v>
      </c>
      <c r="B427" t="n">
        <v>2012</v>
      </c>
      <c r="C427" t="inlineStr">
        <is>
          <t>Daniella Maria SAUCEDO</t>
        </is>
      </c>
      <c r="D427">
        <f>HYPERLINK("https://ota.tournamentsoftware.com/player-profile/45A852A0-99BB-4449-9FC4-8CAEBA4B404C", "Link")</f>
        <v/>
      </c>
      <c r="E427" s="3" t="n">
        <v>115.56</v>
      </c>
      <c r="F427" s="4" t="n">
        <v>8</v>
      </c>
      <c r="G427" t="inlineStr">
        <is>
          <t>Ontario Tennis Association</t>
        </is>
      </c>
      <c r="H427" t="inlineStr">
        <is>
          <t>City of Oakville</t>
        </is>
      </c>
      <c r="I427" t="inlineStr">
        <is>
          <t>unavailable</t>
        </is>
      </c>
      <c r="J427" s="4" t="n">
        <v>137</v>
      </c>
      <c r="K427" t="inlineStr">
        <is>
          <t>72 / 65</t>
        </is>
      </c>
      <c r="L427" t="inlineStr">
        <is>
          <t>0 / 0</t>
        </is>
      </c>
      <c r="M427" s="5" t="n">
        <v>0.53</v>
      </c>
      <c r="N427" s="5" t="n">
        <v>0</v>
      </c>
    </row>
    <row r="428">
      <c r="A428" t="n">
        <v>427</v>
      </c>
      <c r="B428" t="n">
        <v>2013</v>
      </c>
      <c r="C428" t="inlineStr">
        <is>
          <t>Murphy Mofei Gao</t>
        </is>
      </c>
      <c r="D428">
        <f>HYPERLINK("https://ota.tournamentsoftware.com/player-profile/64A4B4DB-7753-451A-A411-16FC49084860", "Link")</f>
        <v/>
      </c>
      <c r="E428" s="3" t="n">
        <v>115.547</v>
      </c>
      <c r="F428" s="4" t="n">
        <v>17</v>
      </c>
      <c r="G428" t="inlineStr">
        <is>
          <t>British Columbia</t>
        </is>
      </c>
      <c r="H428" t="inlineStr">
        <is>
          <t>No Club</t>
        </is>
      </c>
      <c r="I428" t="n">
        <v>37.4</v>
      </c>
      <c r="J428" s="4" t="n">
        <v>138</v>
      </c>
      <c r="K428" t="inlineStr">
        <is>
          <t>18 / 120</t>
        </is>
      </c>
      <c r="L428" t="inlineStr">
        <is>
          <t>3 / 24</t>
        </is>
      </c>
      <c r="M428" s="5" t="n">
        <v>0.13</v>
      </c>
      <c r="N428" s="5" t="n">
        <v>0.11</v>
      </c>
    </row>
    <row r="429">
      <c r="A429" t="n">
        <v>428</v>
      </c>
      <c r="B429" t="n">
        <v>2015</v>
      </c>
      <c r="C429" t="inlineStr">
        <is>
          <t>Juliet Lauture</t>
        </is>
      </c>
      <c r="D429">
        <f>HYPERLINK("https://ota.tournamentsoftware.com/player-profile/70FC879C-9BB0-4123-BE70-BCB588C22C80", "Link")</f>
        <v/>
      </c>
      <c r="E429" s="3" t="n">
        <v>114.228</v>
      </c>
      <c r="F429" s="4" t="n">
        <v>22</v>
      </c>
      <c r="G429" t="inlineStr">
        <is>
          <t>Tennis Québec</t>
        </is>
      </c>
      <c r="H429" t="inlineStr">
        <is>
          <t>Club Sportif Côte-de-Liesse</t>
        </is>
      </c>
      <c r="I429" t="n">
        <v>35.5</v>
      </c>
      <c r="J429" s="4" t="n">
        <v>103</v>
      </c>
      <c r="K429" t="inlineStr">
        <is>
          <t>57 / 46</t>
        </is>
      </c>
      <c r="L429" t="inlineStr">
        <is>
          <t>18 / 18</t>
        </is>
      </c>
      <c r="M429" s="5" t="n">
        <v>0.55</v>
      </c>
      <c r="N429" s="5" t="n">
        <v>0.5</v>
      </c>
    </row>
    <row r="430">
      <c r="A430" t="n">
        <v>429</v>
      </c>
      <c r="B430" t="n">
        <v>2016</v>
      </c>
      <c r="C430" t="inlineStr">
        <is>
          <t>Amaranna Ugwunze</t>
        </is>
      </c>
      <c r="D430">
        <f>HYPERLINK("https://ota.tournamentsoftware.com/player-profile/2C6CBEBE-C5D2-4EC5-B283-CB703335834E", "Link")</f>
        <v/>
      </c>
      <c r="E430" s="3" t="n">
        <v>114.104</v>
      </c>
      <c r="F430" s="4" t="n">
        <v>15</v>
      </c>
      <c r="G430" t="inlineStr">
        <is>
          <t>Ontario Tennis Association</t>
        </is>
      </c>
      <c r="H430" t="inlineStr">
        <is>
          <t>Ontario Racquet Club</t>
        </is>
      </c>
      <c r="I430" t="n">
        <v>34.9</v>
      </c>
      <c r="J430" s="4" t="n">
        <v>85</v>
      </c>
      <c r="K430" t="inlineStr">
        <is>
          <t>44 / 41</t>
        </is>
      </c>
      <c r="L430" t="inlineStr">
        <is>
          <t>20 / 13</t>
        </is>
      </c>
      <c r="M430" s="5" t="n">
        <v>0.52</v>
      </c>
      <c r="N430" s="5" t="n">
        <v>0.61</v>
      </c>
    </row>
    <row r="431">
      <c r="A431" t="n">
        <v>430</v>
      </c>
      <c r="B431" t="n">
        <v>2012</v>
      </c>
      <c r="C431" t="inlineStr">
        <is>
          <t>Jessica Li</t>
        </is>
      </c>
      <c r="D431">
        <f>HYPERLINK("https://ota.tournamentsoftware.com/player-profile/9F51CCE2-07F1-48BF-B635-CE7622769243", "Link")</f>
        <v/>
      </c>
      <c r="E431" s="3" t="n">
        <v>113.739</v>
      </c>
      <c r="F431" s="4" t="n">
        <v>10</v>
      </c>
      <c r="G431" t="inlineStr">
        <is>
          <t>Ontario Tennis Association</t>
        </is>
      </c>
      <c r="H431" t="inlineStr">
        <is>
          <t>Markham Tennis Club</t>
        </is>
      </c>
      <c r="I431" t="inlineStr">
        <is>
          <t>unavailable</t>
        </is>
      </c>
      <c r="J431" s="4" t="n">
        <v>53</v>
      </c>
      <c r="K431" t="inlineStr">
        <is>
          <t>24 / 29</t>
        </is>
      </c>
      <c r="L431" t="inlineStr">
        <is>
          <t>6 / 7</t>
        </is>
      </c>
      <c r="M431" s="5" t="n">
        <v>0.45</v>
      </c>
      <c r="N431" s="5" t="n">
        <v>0.46</v>
      </c>
    </row>
    <row r="432">
      <c r="A432" t="n">
        <v>431</v>
      </c>
      <c r="B432" t="n">
        <v>2012</v>
      </c>
      <c r="C432" t="inlineStr">
        <is>
          <t>Zeyu (Anne) Xu</t>
        </is>
      </c>
      <c r="D432">
        <f>HYPERLINK("https://ota.tournamentsoftware.com/player-profile/7D4E0E2F-DC2C-4911-BF16-A07E84364BB7", "Link")</f>
        <v/>
      </c>
      <c r="E432" s="3" t="n">
        <v>113.598</v>
      </c>
      <c r="F432" s="4" t="n">
        <v>11</v>
      </c>
      <c r="G432" t="inlineStr">
        <is>
          <t>British Columbia</t>
        </is>
      </c>
      <c r="H432" t="inlineStr">
        <is>
          <t>Tennis BC Hub @ Richmond</t>
        </is>
      </c>
      <c r="I432" t="n">
        <v>34.6</v>
      </c>
      <c r="J432" s="4" t="n">
        <v>109</v>
      </c>
      <c r="K432" t="inlineStr">
        <is>
          <t>26 / 83</t>
        </is>
      </c>
      <c r="L432" t="inlineStr">
        <is>
          <t>4 / 13</t>
        </is>
      </c>
      <c r="M432" s="5" t="n">
        <v>0.24</v>
      </c>
      <c r="N432" s="5" t="n">
        <v>0.24</v>
      </c>
    </row>
    <row r="433">
      <c r="A433" t="n">
        <v>432</v>
      </c>
      <c r="B433" t="n">
        <v>2015</v>
      </c>
      <c r="C433" t="inlineStr">
        <is>
          <t>Allison Penev</t>
        </is>
      </c>
      <c r="D433">
        <f>HYPERLINK("https://ota.tournamentsoftware.com/player-profile/C34C7D86-0233-454A-9C07-62AD41AF32CE", "Link")</f>
        <v/>
      </c>
      <c r="E433" s="3" t="n">
        <v>113.541</v>
      </c>
      <c r="F433" s="4" t="n">
        <v>19</v>
      </c>
      <c r="G433" t="inlineStr">
        <is>
          <t>Tennis Québec</t>
        </is>
      </c>
      <c r="H433" t="inlineStr">
        <is>
          <t>Carrefour Multisports</t>
        </is>
      </c>
      <c r="I433" t="n">
        <v>36.4</v>
      </c>
      <c r="J433" s="4" t="n">
        <v>149</v>
      </c>
      <c r="K433" t="inlineStr">
        <is>
          <t>64 / 85</t>
        </is>
      </c>
      <c r="L433" t="inlineStr">
        <is>
          <t>6 / 15</t>
        </is>
      </c>
      <c r="M433" s="5" t="n">
        <v>0.43</v>
      </c>
      <c r="N433" s="5" t="n">
        <v>0.29</v>
      </c>
    </row>
    <row r="434">
      <c r="A434" t="n">
        <v>433</v>
      </c>
      <c r="B434" t="n">
        <v>2015</v>
      </c>
      <c r="C434" t="inlineStr">
        <is>
          <t>Misia Ania Pietras</t>
        </is>
      </c>
      <c r="D434">
        <f>HYPERLINK("https://ota.tournamentsoftware.com/player-profile/81A2D044-B79D-4C29-B0B3-9E7AF48F2811", "Link")</f>
        <v/>
      </c>
      <c r="E434" s="3" t="n">
        <v>113.264</v>
      </c>
      <c r="F434" s="4" t="n">
        <v>15</v>
      </c>
      <c r="G434" t="inlineStr">
        <is>
          <t>Ontario Tennis Association</t>
        </is>
      </c>
      <c r="H434" t="inlineStr">
        <is>
          <t>The Tennis School</t>
        </is>
      </c>
      <c r="I434" t="n">
        <v>35.2</v>
      </c>
      <c r="J434" s="4" t="n">
        <v>56</v>
      </c>
      <c r="K434" t="inlineStr">
        <is>
          <t>32 / 24</t>
        </is>
      </c>
      <c r="L434" t="inlineStr">
        <is>
          <t>15 / 9</t>
        </is>
      </c>
      <c r="M434" s="5" t="n">
        <v>0.57</v>
      </c>
      <c r="N434" s="5" t="n">
        <v>0.62</v>
      </c>
    </row>
    <row r="435">
      <c r="A435" t="n">
        <v>434</v>
      </c>
      <c r="B435" t="n">
        <v>2013</v>
      </c>
      <c r="C435" t="inlineStr">
        <is>
          <t>Stella Marion Thoms</t>
        </is>
      </c>
      <c r="D435">
        <f>HYPERLINK("https://ota.tournamentsoftware.com/player-profile/26731833-04E0-4736-BC60-733715112E5E", "Link")</f>
        <v/>
      </c>
      <c r="E435" s="3" t="n">
        <v>113.237</v>
      </c>
      <c r="F435" s="4" t="n">
        <v>7</v>
      </c>
      <c r="G435" t="inlineStr">
        <is>
          <t>Tennis Newfoundland &amp; Labrador</t>
        </is>
      </c>
      <c r="H435" t="inlineStr">
        <is>
          <t>Riverdale Tennis Club</t>
        </is>
      </c>
      <c r="I435" t="n">
        <v>34.7</v>
      </c>
      <c r="J435" s="4" t="n">
        <v>44</v>
      </c>
      <c r="K435" t="inlineStr">
        <is>
          <t>25 / 19</t>
        </is>
      </c>
      <c r="L435" t="inlineStr">
        <is>
          <t>5 / 7</t>
        </is>
      </c>
      <c r="M435" s="5" t="n">
        <v>0.57</v>
      </c>
      <c r="N435" s="5" t="n">
        <v>0.42</v>
      </c>
    </row>
    <row r="436">
      <c r="A436" t="n">
        <v>435</v>
      </c>
      <c r="B436" t="n">
        <v>2012</v>
      </c>
      <c r="C436" t="inlineStr">
        <is>
          <t>Myra Chowdhary</t>
        </is>
      </c>
      <c r="D436">
        <f>HYPERLINK("https://ota.tournamentsoftware.com/player-profile/CE7139B1-580D-4EF4-A747-D0E1E897EAFB", "Link")</f>
        <v/>
      </c>
      <c r="E436" s="3" t="n">
        <v>113.024</v>
      </c>
      <c r="F436" s="4" t="n">
        <v>7</v>
      </c>
      <c r="G436" t="inlineStr">
        <is>
          <t>Ontario Tennis Association</t>
        </is>
      </c>
      <c r="H436" t="inlineStr">
        <is>
          <t>Youngs Sportsplex</t>
        </is>
      </c>
      <c r="I436" t="n">
        <v>38.8</v>
      </c>
      <c r="J436" s="4" t="n">
        <v>36</v>
      </c>
      <c r="K436" t="inlineStr">
        <is>
          <t>12 / 24</t>
        </is>
      </c>
      <c r="L436" t="inlineStr">
        <is>
          <t>4 / 8</t>
        </is>
      </c>
      <c r="M436" s="5" t="n">
        <v>0.33</v>
      </c>
      <c r="N436" s="5" t="n">
        <v>0.33</v>
      </c>
    </row>
    <row r="437">
      <c r="A437" t="n">
        <v>436</v>
      </c>
      <c r="B437" t="n">
        <v>2014</v>
      </c>
      <c r="C437" t="inlineStr">
        <is>
          <t>Maxine Andrea Subsuban</t>
        </is>
      </c>
      <c r="D437">
        <f>HYPERLINK("https://ota.tournamentsoftware.com/player-profile/330D8089-39D5-4A22-8596-8BAAF8D4E02E", "Link")</f>
        <v/>
      </c>
      <c r="E437" s="3" t="n">
        <v>112.585</v>
      </c>
      <c r="F437" s="4" t="n">
        <v>9</v>
      </c>
      <c r="G437" t="inlineStr">
        <is>
          <t>Tennis Alberta</t>
        </is>
      </c>
      <c r="H437" t="inlineStr">
        <is>
          <t>Osten &amp; Victor Alberta Tennis Centre</t>
        </is>
      </c>
      <c r="I437" t="inlineStr">
        <is>
          <t>unavailable</t>
        </is>
      </c>
      <c r="J437" s="4" t="n">
        <v>100</v>
      </c>
      <c r="K437" t="inlineStr">
        <is>
          <t>40 / 60</t>
        </is>
      </c>
      <c r="L437" t="inlineStr">
        <is>
          <t>6 / 9</t>
        </is>
      </c>
      <c r="M437" s="5" t="n">
        <v>0.4</v>
      </c>
      <c r="N437" s="5" t="n">
        <v>0.4</v>
      </c>
    </row>
    <row r="438">
      <c r="A438" t="n">
        <v>437</v>
      </c>
      <c r="B438" t="n">
        <v>2014</v>
      </c>
      <c r="C438" t="inlineStr">
        <is>
          <t>Sonia Leung</t>
        </is>
      </c>
      <c r="D438">
        <f>HYPERLINK("https://ota.tournamentsoftware.com/player-profile/CCA302B0-3E0B-42DA-BCF9-B1A9AF0035E5", "Link")</f>
        <v/>
      </c>
      <c r="E438" s="3" t="n">
        <v>112.32</v>
      </c>
      <c r="F438" s="4" t="n">
        <v>17</v>
      </c>
      <c r="G438" t="inlineStr">
        <is>
          <t>Ontario Tennis Association</t>
        </is>
      </c>
      <c r="H438" t="inlineStr">
        <is>
          <t>Toronto Tennis Academy</t>
        </is>
      </c>
      <c r="I438" t="n">
        <v>35</v>
      </c>
      <c r="J438" s="4" t="n">
        <v>58</v>
      </c>
      <c r="K438" t="inlineStr">
        <is>
          <t>27 / 31</t>
        </is>
      </c>
      <c r="L438" t="inlineStr">
        <is>
          <t>18 / 11</t>
        </is>
      </c>
      <c r="M438" s="5" t="n">
        <v>0.47</v>
      </c>
      <c r="N438" s="5" t="n">
        <v>0.62</v>
      </c>
    </row>
    <row r="439">
      <c r="A439" t="n">
        <v>438</v>
      </c>
      <c r="B439" t="n">
        <v>2015</v>
      </c>
      <c r="C439" t="inlineStr">
        <is>
          <t>Arianna Marquez</t>
        </is>
      </c>
      <c r="D439">
        <f>HYPERLINK("https://ota.tournamentsoftware.com/player-profile/ABB23AE3-6EC2-498B-AA4D-BB89BCBF0088", "Link")</f>
        <v/>
      </c>
      <c r="E439" s="3" t="n">
        <v>112.229</v>
      </c>
      <c r="F439" s="4" t="n">
        <v>16</v>
      </c>
      <c r="G439" t="inlineStr">
        <is>
          <t>Tennis Alberta</t>
        </is>
      </c>
      <c r="H439" t="inlineStr">
        <is>
          <t>Saville Community Sports Centre</t>
        </is>
      </c>
      <c r="I439" t="n">
        <v>33.6</v>
      </c>
      <c r="J439" s="4" t="n">
        <v>141</v>
      </c>
      <c r="K439" t="inlineStr">
        <is>
          <t>90 / 51</t>
        </is>
      </c>
      <c r="L439" t="inlineStr">
        <is>
          <t>14 / 17</t>
        </is>
      </c>
      <c r="M439" s="5" t="n">
        <v>0.64</v>
      </c>
      <c r="N439" s="5" t="n">
        <v>0.45</v>
      </c>
    </row>
    <row r="440">
      <c r="A440" t="n">
        <v>439</v>
      </c>
      <c r="B440" t="n">
        <v>2013</v>
      </c>
      <c r="C440" t="inlineStr">
        <is>
          <t>Darcia Rabezandriny</t>
        </is>
      </c>
      <c r="D440">
        <f>HYPERLINK("https://ota.tournamentsoftware.com/player-profile/52069260-9644-4FA6-A8E4-10B4E037765E", "Link")</f>
        <v/>
      </c>
      <c r="E440" s="3" t="n">
        <v>110.988</v>
      </c>
      <c r="F440" s="4" t="n">
        <v>9</v>
      </c>
      <c r="G440" t="inlineStr">
        <is>
          <t>Tennis Québec</t>
        </is>
      </c>
      <c r="H440" t="inlineStr">
        <is>
          <t>AA Autre club</t>
        </is>
      </c>
      <c r="I440" t="n">
        <v>34.6</v>
      </c>
      <c r="J440" s="4" t="n">
        <v>157</v>
      </c>
      <c r="K440" t="inlineStr">
        <is>
          <t>82 / 75</t>
        </is>
      </c>
      <c r="L440" t="inlineStr">
        <is>
          <t>7 / 8</t>
        </is>
      </c>
      <c r="M440" s="5" t="n">
        <v>0.52</v>
      </c>
      <c r="N440" s="5" t="n">
        <v>0.47</v>
      </c>
    </row>
    <row r="441">
      <c r="A441" t="n">
        <v>440</v>
      </c>
      <c r="B441" t="n">
        <v>2014</v>
      </c>
      <c r="C441" t="inlineStr">
        <is>
          <t>Audrey JIA</t>
        </is>
      </c>
      <c r="D441">
        <f>HYPERLINK("https://ota.tournamentsoftware.com/player-profile/3F7A519A-489C-490B-9AA2-F4FCBBCA474F", "Link")</f>
        <v/>
      </c>
      <c r="E441" s="3" t="n">
        <v>110.649</v>
      </c>
      <c r="F441" s="4" t="n">
        <v>14</v>
      </c>
      <c r="G441" t="inlineStr">
        <is>
          <t>Ontario Tennis Association</t>
        </is>
      </c>
      <c r="H441" t="inlineStr">
        <is>
          <t>Newmarket Community Tennis Club</t>
        </is>
      </c>
      <c r="I441" t="inlineStr">
        <is>
          <t>unavailable</t>
        </is>
      </c>
      <c r="J441" s="4" t="n">
        <v>82</v>
      </c>
      <c r="K441" t="inlineStr">
        <is>
          <t>44 / 38</t>
        </is>
      </c>
      <c r="L441" t="inlineStr">
        <is>
          <t>27 / 11</t>
        </is>
      </c>
      <c r="M441" s="5" t="n">
        <v>0.54</v>
      </c>
      <c r="N441" s="5" t="n">
        <v>0.71</v>
      </c>
    </row>
    <row r="442">
      <c r="A442" t="n">
        <v>441</v>
      </c>
      <c r="B442" t="n">
        <v>2014</v>
      </c>
      <c r="C442" t="inlineStr">
        <is>
          <t>Gabriella Geronimo</t>
        </is>
      </c>
      <c r="D442">
        <f>HYPERLINK("https://ota.tournamentsoftware.com/player-profile/E075895A-C22F-4FDB-9A95-CCD353169906", "Link")</f>
        <v/>
      </c>
      <c r="E442" s="3" t="n">
        <v>110.432</v>
      </c>
      <c r="F442" s="4" t="n">
        <v>11</v>
      </c>
      <c r="G442" t="inlineStr">
        <is>
          <t>Ontario Tennis Association</t>
        </is>
      </c>
      <c r="H442" t="inlineStr">
        <is>
          <t>Albion Gardens Tennis Club</t>
        </is>
      </c>
      <c r="I442" t="n">
        <v>33.8</v>
      </c>
      <c r="J442" s="4" t="n">
        <v>200</v>
      </c>
      <c r="K442" t="inlineStr">
        <is>
          <t>113 / 87</t>
        </is>
      </c>
      <c r="L442" t="inlineStr">
        <is>
          <t>5 / 1</t>
        </is>
      </c>
      <c r="M442" s="5" t="n">
        <v>0.5600000000000001</v>
      </c>
      <c r="N442" s="5" t="n">
        <v>0.83</v>
      </c>
    </row>
    <row r="443">
      <c r="A443" t="n">
        <v>442</v>
      </c>
      <c r="B443" t="n">
        <v>2013</v>
      </c>
      <c r="C443" t="inlineStr">
        <is>
          <t>LeeZann Lai</t>
        </is>
      </c>
      <c r="D443">
        <f>HYPERLINK("https://ota.tournamentsoftware.com/player-profile/F653FB3B-D606-4799-98B3-B9B8F7D1D120", "Link")</f>
        <v/>
      </c>
      <c r="E443" s="3" t="n">
        <v>110.16</v>
      </c>
      <c r="F443" s="4" t="n">
        <v>14</v>
      </c>
      <c r="G443" t="inlineStr">
        <is>
          <t>Ontario Tennis Association</t>
        </is>
      </c>
      <c r="H443" t="inlineStr">
        <is>
          <t>Don Mills Tennis Club</t>
        </is>
      </c>
      <c r="I443" t="n">
        <v>34.6</v>
      </c>
      <c r="J443" s="4" t="n">
        <v>53</v>
      </c>
      <c r="K443" t="inlineStr">
        <is>
          <t>22 / 31</t>
        </is>
      </c>
      <c r="L443" t="inlineStr">
        <is>
          <t>6 / 11</t>
        </is>
      </c>
      <c r="M443" s="5" t="n">
        <v>0.42</v>
      </c>
      <c r="N443" s="5" t="n">
        <v>0.35</v>
      </c>
    </row>
    <row r="444">
      <c r="A444" t="n">
        <v>443</v>
      </c>
      <c r="B444" t="n">
        <v>2015</v>
      </c>
      <c r="C444" t="inlineStr">
        <is>
          <t>Namasya Nakul</t>
        </is>
      </c>
      <c r="D444">
        <f>HYPERLINK("https://ota.tournamentsoftware.com/player-profile/30AB6566-4805-4DA5-90A9-E6D59F3D0D64", "Link")</f>
        <v/>
      </c>
      <c r="E444" s="3" t="n">
        <v>109.619</v>
      </c>
      <c r="F444" s="4" t="n">
        <v>18</v>
      </c>
      <c r="G444" t="inlineStr">
        <is>
          <t>British Columbia</t>
        </is>
      </c>
      <c r="H444" t="inlineStr">
        <is>
          <t>Richmond Country Club</t>
        </is>
      </c>
      <c r="I444" t="n">
        <v>33.2</v>
      </c>
      <c r="J444" s="4" t="n">
        <v>115</v>
      </c>
      <c r="K444" t="inlineStr">
        <is>
          <t>62 / 53</t>
        </is>
      </c>
      <c r="L444" t="inlineStr">
        <is>
          <t>22 / 17</t>
        </is>
      </c>
      <c r="M444" s="5" t="n">
        <v>0.54</v>
      </c>
      <c r="N444" s="5" t="n">
        <v>0.5600000000000001</v>
      </c>
    </row>
    <row r="445">
      <c r="A445" t="n">
        <v>444</v>
      </c>
      <c r="B445" t="n">
        <v>2013</v>
      </c>
      <c r="C445" t="inlineStr">
        <is>
          <t>Kate Penalba</t>
        </is>
      </c>
      <c r="D445">
        <f>HYPERLINK("https://ota.tournamentsoftware.com/player-profile/C3F08CFB-765E-4234-8D01-16CB3E717037", "Link")</f>
        <v/>
      </c>
      <c r="E445" s="3" t="n">
        <v>109.526</v>
      </c>
      <c r="F445" s="4" t="n">
        <v>12</v>
      </c>
      <c r="G445" t="inlineStr">
        <is>
          <t>Ontario Tennis Association</t>
        </is>
      </c>
      <c r="H445" t="inlineStr">
        <is>
          <t>Henry Farm Tennis Club</t>
        </is>
      </c>
      <c r="I445" t="n">
        <v>34.9</v>
      </c>
      <c r="J445" s="4" t="n">
        <v>121</v>
      </c>
      <c r="K445" t="inlineStr">
        <is>
          <t>50 / 71</t>
        </is>
      </c>
      <c r="L445" t="inlineStr">
        <is>
          <t>8 / 12</t>
        </is>
      </c>
      <c r="M445" s="5" t="n">
        <v>0.41</v>
      </c>
      <c r="N445" s="5" t="n">
        <v>0.4</v>
      </c>
    </row>
    <row r="446">
      <c r="A446" t="n">
        <v>445</v>
      </c>
      <c r="B446" t="n">
        <v>2014</v>
      </c>
      <c r="C446" t="inlineStr">
        <is>
          <t>Ranica Li</t>
        </is>
      </c>
      <c r="D446">
        <f>HYPERLINK("https://ota.tournamentsoftware.com/player-profile/5C189397-D536-4086-AA1D-1AD29C093438", "Link")</f>
        <v/>
      </c>
      <c r="E446" s="3" t="n">
        <v>109.291</v>
      </c>
      <c r="F446" s="4" t="n">
        <v>18</v>
      </c>
      <c r="G446" t="inlineStr">
        <is>
          <t>British Columbia</t>
        </is>
      </c>
      <c r="H446" t="inlineStr">
        <is>
          <t>The Tennis Centre</t>
        </is>
      </c>
      <c r="I446" t="n">
        <v>32.7</v>
      </c>
      <c r="J446" s="4" t="n">
        <v>83</v>
      </c>
      <c r="K446" t="inlineStr">
        <is>
          <t>47 / 36</t>
        </is>
      </c>
      <c r="L446" t="inlineStr">
        <is>
          <t>23 / 13</t>
        </is>
      </c>
      <c r="M446" s="5" t="n">
        <v>0.57</v>
      </c>
      <c r="N446" s="5" t="n">
        <v>0.64</v>
      </c>
    </row>
    <row r="447">
      <c r="A447" t="n">
        <v>446</v>
      </c>
      <c r="B447" t="n">
        <v>2012</v>
      </c>
      <c r="C447" t="inlineStr">
        <is>
          <t>Rachael Qing Xu</t>
        </is>
      </c>
      <c r="D447">
        <f>HYPERLINK("https://ota.tournamentsoftware.com/player-profile/EF0FB6C4-F27A-45FB-BD75-3C3F4D9EF188", "Link")</f>
        <v/>
      </c>
      <c r="E447" s="3" t="n">
        <v>108.876</v>
      </c>
      <c r="F447" s="4" t="n">
        <v>2</v>
      </c>
      <c r="G447" t="inlineStr">
        <is>
          <t>Ontario Tennis Association</t>
        </is>
      </c>
      <c r="H447" t="inlineStr">
        <is>
          <t>Rosedale Tennis Club (Hamilton)</t>
        </is>
      </c>
      <c r="I447" t="n">
        <v>37.2</v>
      </c>
      <c r="J447" s="4" t="n">
        <v>55</v>
      </c>
      <c r="K447" t="inlineStr">
        <is>
          <t>20 / 35</t>
        </is>
      </c>
      <c r="L447" t="inlineStr">
        <is>
          <t>0 / 0</t>
        </is>
      </c>
      <c r="M447" s="5" t="n">
        <v>0.36</v>
      </c>
      <c r="N447" s="5" t="n">
        <v>0</v>
      </c>
    </row>
    <row r="448">
      <c r="A448" t="n">
        <v>447</v>
      </c>
      <c r="B448" t="n">
        <v>2014</v>
      </c>
      <c r="C448" t="inlineStr">
        <is>
          <t>SHANAYA CHAUDHARY</t>
        </is>
      </c>
      <c r="D448">
        <f>HYPERLINK("https://ota.tournamentsoftware.com/player-profile/72814258-2663-4B9E-9EB1-0A804D79578E", "Link")</f>
        <v/>
      </c>
      <c r="E448" s="3" t="n">
        <v>107.581</v>
      </c>
      <c r="F448" s="4" t="n">
        <v>8</v>
      </c>
      <c r="G448" t="inlineStr">
        <is>
          <t>Ontario Tennis Association</t>
        </is>
      </c>
      <c r="H448" t="inlineStr">
        <is>
          <t>Waterloo Tennis Club</t>
        </is>
      </c>
      <c r="I448" t="inlineStr">
        <is>
          <t>unavailable</t>
        </is>
      </c>
      <c r="J448" s="4" t="n">
        <v>20</v>
      </c>
      <c r="K448" t="inlineStr">
        <is>
          <t>13 / 7</t>
        </is>
      </c>
      <c r="L448" t="inlineStr">
        <is>
          <t>9 / 4</t>
        </is>
      </c>
      <c r="M448" s="5" t="n">
        <v>0.65</v>
      </c>
      <c r="N448" s="5" t="n">
        <v>0.6899999999999999</v>
      </c>
    </row>
    <row r="449">
      <c r="A449" t="n">
        <v>448</v>
      </c>
      <c r="B449" t="n">
        <v>2014</v>
      </c>
      <c r="C449" t="inlineStr">
        <is>
          <t>Emily Ke</t>
        </is>
      </c>
      <c r="D449">
        <f>HYPERLINK("https://ota.tournamentsoftware.com/player-profile/D0843107-5FBA-4EB4-8781-B60B5E7E1319", "Link")</f>
        <v/>
      </c>
      <c r="E449" s="3" t="n">
        <v>107.414</v>
      </c>
      <c r="F449" s="4" t="n">
        <v>16</v>
      </c>
      <c r="G449" t="inlineStr">
        <is>
          <t>Ontario Tennis Association</t>
        </is>
      </c>
      <c r="H449" t="inlineStr">
        <is>
          <t>Mayfair East Racquet Club</t>
        </is>
      </c>
      <c r="I449" t="n">
        <v>36.2</v>
      </c>
      <c r="J449" s="4" t="n">
        <v>106</v>
      </c>
      <c r="K449" t="inlineStr">
        <is>
          <t>36 / 70</t>
        </is>
      </c>
      <c r="L449" t="inlineStr">
        <is>
          <t>2 / 6</t>
        </is>
      </c>
      <c r="M449" s="5" t="n">
        <v>0.34</v>
      </c>
      <c r="N449" s="5" t="n">
        <v>0.25</v>
      </c>
    </row>
    <row r="450">
      <c r="A450" t="n">
        <v>449</v>
      </c>
      <c r="B450" t="n">
        <v>2017</v>
      </c>
      <c r="C450" t="inlineStr">
        <is>
          <t>Yuetwing, Doris Li</t>
        </is>
      </c>
      <c r="D450">
        <f>HYPERLINK("https://ota.tournamentsoftware.com/player-profile/C901A65F-E3DE-47DE-A4BC-21149FEBA20C", "Link")</f>
        <v/>
      </c>
      <c r="E450" s="3" t="n">
        <v>107</v>
      </c>
      <c r="F450" s="4" t="n">
        <v>3</v>
      </c>
      <c r="G450" t="inlineStr">
        <is>
          <t>Ontario Tennis Association</t>
        </is>
      </c>
      <c r="H450" t="inlineStr">
        <is>
          <t>No Club</t>
        </is>
      </c>
      <c r="I450" t="n">
        <v>31.6</v>
      </c>
      <c r="J450" s="4" t="n">
        <v>15</v>
      </c>
      <c r="K450" t="inlineStr">
        <is>
          <t>14 / 1</t>
        </is>
      </c>
      <c r="L450" t="inlineStr">
        <is>
          <t>10 / 1</t>
        </is>
      </c>
      <c r="M450" s="5" t="n">
        <v>0.93</v>
      </c>
      <c r="N450" s="5" t="n">
        <v>0.91</v>
      </c>
    </row>
    <row r="451">
      <c r="A451" t="n">
        <v>450</v>
      </c>
      <c r="B451" t="n">
        <v>2015</v>
      </c>
      <c r="C451" t="inlineStr">
        <is>
          <t>Emma Lucenti</t>
        </is>
      </c>
      <c r="D451">
        <f>HYPERLINK("https://ota.tournamentsoftware.com/player-profile/F174A813-5F1A-4B24-BDFF-B6E6160FE2EB", "Link")</f>
        <v/>
      </c>
      <c r="E451" s="3" t="n">
        <v>106.843</v>
      </c>
      <c r="F451" s="4" t="n">
        <v>9</v>
      </c>
      <c r="G451" t="inlineStr">
        <is>
          <t>Ontario Tennis Association</t>
        </is>
      </c>
      <c r="H451" t="inlineStr">
        <is>
          <t>SmartVMC Racquetsports by ACE</t>
        </is>
      </c>
      <c r="I451" t="n">
        <v>35.8</v>
      </c>
      <c r="J451" s="4" t="n">
        <v>81</v>
      </c>
      <c r="K451" t="inlineStr">
        <is>
          <t>28 / 53</t>
        </is>
      </c>
      <c r="L451" t="inlineStr">
        <is>
          <t>7 / 11</t>
        </is>
      </c>
      <c r="M451" s="5" t="n">
        <v>0.35</v>
      </c>
      <c r="N451" s="5" t="n">
        <v>0.39</v>
      </c>
    </row>
    <row r="452">
      <c r="A452" t="n">
        <v>451</v>
      </c>
      <c r="B452" t="n">
        <v>2014</v>
      </c>
      <c r="C452" t="inlineStr">
        <is>
          <t>Bella Beiqi Zhao</t>
        </is>
      </c>
      <c r="D452">
        <f>HYPERLINK("https://ota.tournamentsoftware.com/player-profile/440C1FD3-B189-4153-99D4-C9B6B43D7D03", "Link")</f>
        <v/>
      </c>
      <c r="E452" s="3" t="n">
        <v>105.824</v>
      </c>
      <c r="F452" s="4" t="n">
        <v>28</v>
      </c>
      <c r="G452" t="inlineStr">
        <is>
          <t>British Columbia</t>
        </is>
      </c>
      <c r="H452" t="inlineStr">
        <is>
          <t>No Club</t>
        </is>
      </c>
      <c r="I452" t="n">
        <v>32.8</v>
      </c>
      <c r="J452" s="4" t="n">
        <v>202</v>
      </c>
      <c r="K452" t="inlineStr">
        <is>
          <t>81 / 121</t>
        </is>
      </c>
      <c r="L452" t="inlineStr">
        <is>
          <t>19 / 21</t>
        </is>
      </c>
      <c r="M452" s="5" t="n">
        <v>0.4</v>
      </c>
      <c r="N452" s="5" t="n">
        <v>0.47</v>
      </c>
    </row>
    <row r="453">
      <c r="A453" t="n">
        <v>452</v>
      </c>
      <c r="B453" t="n">
        <v>2014</v>
      </c>
      <c r="C453" t="inlineStr">
        <is>
          <t>Abigail Curilscaia</t>
        </is>
      </c>
      <c r="D453">
        <f>HYPERLINK("https://ota.tournamentsoftware.com/player-profile/275CB740-D9DB-4B51-8864-93A2F0D91A3B", "Link")</f>
        <v/>
      </c>
      <c r="E453" s="3" t="n">
        <v>105.422</v>
      </c>
      <c r="F453" s="4" t="n">
        <v>13</v>
      </c>
      <c r="G453" t="inlineStr">
        <is>
          <t>Tennis Alberta</t>
        </is>
      </c>
      <c r="H453" t="inlineStr">
        <is>
          <t>Aforza</t>
        </is>
      </c>
      <c r="I453" t="inlineStr">
        <is>
          <t>unavailable</t>
        </is>
      </c>
      <c r="J453" s="4" t="inlineStr"/>
      <c r="K453" t="inlineStr">
        <is>
          <t>unavailable</t>
        </is>
      </c>
      <c r="L453" t="inlineStr">
        <is>
          <t>unavailable</t>
        </is>
      </c>
      <c r="M453" s="5" t="inlineStr"/>
      <c r="N453" s="5" t="inlineStr"/>
    </row>
    <row r="454">
      <c r="A454" t="n">
        <v>453</v>
      </c>
      <c r="B454" t="n">
        <v>2013</v>
      </c>
      <c r="C454" t="inlineStr">
        <is>
          <t>Sofia Anne Brunetto</t>
        </is>
      </c>
      <c r="D454">
        <f>HYPERLINK("https://ota.tournamentsoftware.com/player-profile/C2843F1F-C701-4853-A79C-051450F19D77", "Link")</f>
        <v/>
      </c>
      <c r="E454" s="3" t="n">
        <v>104.939</v>
      </c>
      <c r="F454" s="4" t="n">
        <v>7</v>
      </c>
      <c r="G454" t="inlineStr">
        <is>
          <t>Ontario Tennis Association</t>
        </is>
      </c>
      <c r="H454" t="inlineStr">
        <is>
          <t>Zekelman Tennis Centre</t>
        </is>
      </c>
      <c r="I454" t="n">
        <v>33.3</v>
      </c>
      <c r="J454" s="4" t="n">
        <v>19</v>
      </c>
      <c r="K454" t="inlineStr">
        <is>
          <t>8 / 11</t>
        </is>
      </c>
      <c r="L454" t="inlineStr">
        <is>
          <t>3 / 6</t>
        </is>
      </c>
      <c r="M454" s="5" t="n">
        <v>0.42</v>
      </c>
      <c r="N454" s="5" t="n">
        <v>0.33</v>
      </c>
    </row>
    <row r="455">
      <c r="A455" t="n">
        <v>454</v>
      </c>
      <c r="B455" t="n">
        <v>2013</v>
      </c>
      <c r="C455" t="inlineStr">
        <is>
          <t>LEAH SHOJAIE</t>
        </is>
      </c>
      <c r="D455">
        <f>HYPERLINK("https://ota.tournamentsoftware.com/player-profile/A1DEEE7E-F9FE-4AA1-9DCF-5A3FDD2E189E", "Link")</f>
        <v/>
      </c>
      <c r="E455" s="3" t="n">
        <v>103.896</v>
      </c>
      <c r="F455" s="4" t="n">
        <v>8</v>
      </c>
      <c r="G455" t="inlineStr">
        <is>
          <t>Ontario Tennis Association</t>
        </is>
      </c>
      <c r="H455" t="inlineStr">
        <is>
          <t>Valan Tennis Academy</t>
        </is>
      </c>
      <c r="I455" t="n">
        <v>37.6</v>
      </c>
      <c r="J455" s="4" t="n">
        <v>12</v>
      </c>
      <c r="K455" t="inlineStr">
        <is>
          <t>3 / 9</t>
        </is>
      </c>
      <c r="L455" t="inlineStr">
        <is>
          <t>3 / 9</t>
        </is>
      </c>
      <c r="M455" s="5" t="n">
        <v>0.25</v>
      </c>
      <c r="N455" s="5" t="n">
        <v>0.25</v>
      </c>
    </row>
    <row r="456">
      <c r="A456" t="n">
        <v>455</v>
      </c>
      <c r="B456" t="n">
        <v>2013</v>
      </c>
      <c r="C456" t="inlineStr">
        <is>
          <t>Khaliya Karim</t>
        </is>
      </c>
      <c r="D456">
        <f>HYPERLINK("https://ota.tournamentsoftware.com/player-profile/3982667F-BB84-4AC0-B470-E67D90581DB9", "Link")</f>
        <v/>
      </c>
      <c r="E456" s="3" t="n">
        <v>102.585</v>
      </c>
      <c r="F456" s="4" t="n">
        <v>17</v>
      </c>
      <c r="G456" t="inlineStr">
        <is>
          <t>British Columbia</t>
        </is>
      </c>
      <c r="H456" t="inlineStr">
        <is>
          <t>Arbutus Club</t>
        </is>
      </c>
      <c r="I456" t="n">
        <v>35.9</v>
      </c>
      <c r="J456" s="4" t="n">
        <v>82</v>
      </c>
      <c r="K456" t="inlineStr">
        <is>
          <t>15 / 67</t>
        </is>
      </c>
      <c r="L456" t="inlineStr">
        <is>
          <t>11 / 20</t>
        </is>
      </c>
      <c r="M456" s="5" t="n">
        <v>0.18</v>
      </c>
      <c r="N456" s="5" t="n">
        <v>0.35</v>
      </c>
    </row>
    <row r="457">
      <c r="A457" t="n">
        <v>456</v>
      </c>
      <c r="B457" t="n">
        <v>2014</v>
      </c>
      <c r="C457" t="inlineStr">
        <is>
          <t>Ananya Rao</t>
        </is>
      </c>
      <c r="D457">
        <f>HYPERLINK("https://ota.tournamentsoftware.com/player-profile/D12578BD-BDAF-471D-B53C-09B281C916CB", "Link")</f>
        <v/>
      </c>
      <c r="E457" s="3" t="n">
        <v>102.512</v>
      </c>
      <c r="F457" s="4" t="n">
        <v>17</v>
      </c>
      <c r="G457" t="inlineStr">
        <is>
          <t>Ontario Tennis Association</t>
        </is>
      </c>
      <c r="H457" t="inlineStr">
        <is>
          <t>Carleton Tennis Centre</t>
        </is>
      </c>
      <c r="I457" t="n">
        <v>36.8</v>
      </c>
      <c r="J457" s="4" t="n">
        <v>93</v>
      </c>
      <c r="K457" t="inlineStr">
        <is>
          <t>29 / 64</t>
        </is>
      </c>
      <c r="L457" t="inlineStr">
        <is>
          <t>6 / 9</t>
        </is>
      </c>
      <c r="M457" s="5" t="n">
        <v>0.31</v>
      </c>
      <c r="N457" s="5" t="n">
        <v>0.4</v>
      </c>
    </row>
    <row r="458">
      <c r="A458" t="n">
        <v>457</v>
      </c>
      <c r="B458" t="n">
        <v>2014</v>
      </c>
      <c r="C458" t="inlineStr">
        <is>
          <t>Scarlett Habeebkutty</t>
        </is>
      </c>
      <c r="D458">
        <f>HYPERLINK("https://ota.tournamentsoftware.com/player-profile/B3E7011D-10BF-4CEB-9D49-F24BAE1BE1A2", "Link")</f>
        <v/>
      </c>
      <c r="E458" s="3" t="n">
        <v>102.277</v>
      </c>
      <c r="F458" s="4" t="n">
        <v>5</v>
      </c>
      <c r="G458" t="inlineStr">
        <is>
          <t>Tennis Saskatchewan</t>
        </is>
      </c>
      <c r="H458" t="inlineStr">
        <is>
          <t>Lakeshore Tennis Club</t>
        </is>
      </c>
      <c r="I458" t="n">
        <v>40</v>
      </c>
      <c r="J458" s="4" t="n">
        <v>14</v>
      </c>
      <c r="K458" t="inlineStr">
        <is>
          <t>0 / 14</t>
        </is>
      </c>
      <c r="L458" t="inlineStr">
        <is>
          <t>0 / 14</t>
        </is>
      </c>
      <c r="M458" s="5" t="n">
        <v>0</v>
      </c>
      <c r="N458" s="5" t="n">
        <v>0</v>
      </c>
    </row>
    <row r="459">
      <c r="A459" t="n">
        <v>458</v>
      </c>
      <c r="B459" t="n">
        <v>2015</v>
      </c>
      <c r="C459" t="inlineStr">
        <is>
          <t>Sofia Nasrallah</t>
        </is>
      </c>
      <c r="D459">
        <f>HYPERLINK("https://ota.tournamentsoftware.com/player-profile/FAA88C80-170D-40C3-8A88-6B81077D1F02", "Link")</f>
        <v/>
      </c>
      <c r="E459" s="3" t="n">
        <v>102.129</v>
      </c>
      <c r="F459" s="4" t="n">
        <v>22</v>
      </c>
      <c r="G459" t="inlineStr">
        <is>
          <t>Tennis Québec</t>
        </is>
      </c>
      <c r="H459" t="inlineStr">
        <is>
          <t>Carrefour Multisports</t>
        </is>
      </c>
      <c r="I459" t="n">
        <v>36.9</v>
      </c>
      <c r="J459" s="4" t="n">
        <v>153</v>
      </c>
      <c r="K459" t="inlineStr">
        <is>
          <t>52 / 101</t>
        </is>
      </c>
      <c r="L459" t="inlineStr">
        <is>
          <t>9 / 18</t>
        </is>
      </c>
      <c r="M459" s="5" t="n">
        <v>0.34</v>
      </c>
      <c r="N459" s="5" t="n">
        <v>0.33</v>
      </c>
    </row>
    <row r="460">
      <c r="A460" t="n">
        <v>459</v>
      </c>
      <c r="B460" t="n">
        <v>2013</v>
      </c>
      <c r="C460" t="inlineStr">
        <is>
          <t>Aditi Varma</t>
        </is>
      </c>
      <c r="D460">
        <f>HYPERLINK("https://ota.tournamentsoftware.com/player-profile/EE1E4950-6BCE-4CAA-921A-C5201D737DFF", "Link")</f>
        <v/>
      </c>
      <c r="E460" s="3" t="n">
        <v>101.941</v>
      </c>
      <c r="F460" s="4" t="n">
        <v>10</v>
      </c>
      <c r="G460" t="inlineStr">
        <is>
          <t>Ontario Tennis Association</t>
        </is>
      </c>
      <c r="H460" t="inlineStr">
        <is>
          <t>Ontario Racquet Club</t>
        </is>
      </c>
      <c r="I460" t="n">
        <v>34.9</v>
      </c>
      <c r="J460" s="4" t="n">
        <v>87</v>
      </c>
      <c r="K460" t="inlineStr">
        <is>
          <t>26 / 61</t>
        </is>
      </c>
      <c r="L460" t="inlineStr">
        <is>
          <t>2 / 5</t>
        </is>
      </c>
      <c r="M460" s="5" t="n">
        <v>0.3</v>
      </c>
      <c r="N460" s="5" t="n">
        <v>0.29</v>
      </c>
    </row>
    <row r="461">
      <c r="A461" t="n">
        <v>460</v>
      </c>
      <c r="B461" t="n">
        <v>2013</v>
      </c>
      <c r="C461" t="inlineStr">
        <is>
          <t>Zaria Antonella Tambini</t>
        </is>
      </c>
      <c r="D461">
        <f>HYPERLINK("https://ota.tournamentsoftware.com/player-profile/92DDE685-2967-4CDD-8CA6-2827E6AC3AEB", "Link")</f>
        <v/>
      </c>
      <c r="E461" s="3" t="n">
        <v>101.267</v>
      </c>
      <c r="F461" s="4" t="n">
        <v>4</v>
      </c>
      <c r="G461" t="inlineStr">
        <is>
          <t>Ontario Tennis Association</t>
        </is>
      </c>
      <c r="H461" t="inlineStr">
        <is>
          <t>Headwaters Racquet Club</t>
        </is>
      </c>
      <c r="I461" t="n">
        <v>38.3</v>
      </c>
      <c r="J461" s="4" t="n">
        <v>19</v>
      </c>
      <c r="K461" t="inlineStr">
        <is>
          <t>9 / 10</t>
        </is>
      </c>
      <c r="L461" t="inlineStr">
        <is>
          <t>4 / 8</t>
        </is>
      </c>
      <c r="M461" s="5" t="n">
        <v>0.47</v>
      </c>
      <c r="N461" s="5" t="n">
        <v>0.33</v>
      </c>
    </row>
    <row r="462">
      <c r="A462" t="n">
        <v>460</v>
      </c>
      <c r="B462" t="n">
        <v>2013</v>
      </c>
      <c r="C462" t="inlineStr">
        <is>
          <t>Adriana Juliana Tambini</t>
        </is>
      </c>
      <c r="D462">
        <f>HYPERLINK("https://ota.tournamentsoftware.com/player-profile/7D7985A7-C189-4AE6-9641-F7EA5AE89364", "Link")</f>
        <v/>
      </c>
      <c r="E462" s="3" t="n">
        <v>101.267</v>
      </c>
      <c r="F462" s="4" t="n">
        <v>4</v>
      </c>
      <c r="G462" t="inlineStr">
        <is>
          <t>Ontario Tennis Association</t>
        </is>
      </c>
      <c r="H462" t="inlineStr">
        <is>
          <t>Headwaters Racquet Club</t>
        </is>
      </c>
      <c r="I462" t="n">
        <v>38.4</v>
      </c>
      <c r="J462" s="4" t="n">
        <v>17</v>
      </c>
      <c r="K462" t="inlineStr">
        <is>
          <t>10 / 7</t>
        </is>
      </c>
      <c r="L462" t="inlineStr">
        <is>
          <t>5 / 6</t>
        </is>
      </c>
      <c r="M462" s="5" t="n">
        <v>0.59</v>
      </c>
      <c r="N462" s="5" t="n">
        <v>0.45</v>
      </c>
    </row>
    <row r="463">
      <c r="A463" t="n">
        <v>462</v>
      </c>
      <c r="B463" t="n">
        <v>2012</v>
      </c>
      <c r="C463" t="inlineStr">
        <is>
          <t>aashka vishal devaiya</t>
        </is>
      </c>
      <c r="D463">
        <f>HYPERLINK("https://ota.tournamentsoftware.com/player-profile/99C1CB63-E70E-4FB5-A115-3A252251FA67", "Link")</f>
        <v/>
      </c>
      <c r="E463" s="3" t="n">
        <v>100.829</v>
      </c>
      <c r="F463" s="4" t="n">
        <v>1</v>
      </c>
      <c r="G463" t="inlineStr">
        <is>
          <t>British Columbia</t>
        </is>
      </c>
      <c r="H463" t="inlineStr">
        <is>
          <t>No Club</t>
        </is>
      </c>
      <c r="I463" t="inlineStr">
        <is>
          <t>unavailable</t>
        </is>
      </c>
      <c r="J463" s="4" t="n">
        <v>3</v>
      </c>
      <c r="K463" t="inlineStr">
        <is>
          <t>2 / 1</t>
        </is>
      </c>
      <c r="L463" t="inlineStr">
        <is>
          <t>2 / 1</t>
        </is>
      </c>
      <c r="M463" s="5" t="n">
        <v>0.67</v>
      </c>
      <c r="N463" s="5" t="n">
        <v>0.67</v>
      </c>
    </row>
    <row r="464">
      <c r="A464" t="n">
        <v>463</v>
      </c>
      <c r="B464" t="n">
        <v>2013</v>
      </c>
      <c r="C464" t="inlineStr">
        <is>
          <t>Allison Zhang</t>
        </is>
      </c>
      <c r="D464">
        <f>HYPERLINK("https://ota.tournamentsoftware.com/player-profile/367FC06F-6D16-4ECA-A1C6-5443CC1A687C", "Link")</f>
        <v/>
      </c>
      <c r="E464" s="3" t="n">
        <v>99.813</v>
      </c>
      <c r="F464" s="4" t="n">
        <v>1</v>
      </c>
      <c r="G464" t="inlineStr">
        <is>
          <t>Tennis Alberta</t>
        </is>
      </c>
      <c r="H464" t="inlineStr">
        <is>
          <t>Osten &amp; Victor Alberta Tennis Centre</t>
        </is>
      </c>
      <c r="I464" t="n">
        <v>33.6</v>
      </c>
      <c r="J464" s="4" t="n">
        <v>260</v>
      </c>
      <c r="K464" t="inlineStr">
        <is>
          <t>131 / 129</t>
        </is>
      </c>
      <c r="L464" t="inlineStr">
        <is>
          <t>0 / 0</t>
        </is>
      </c>
      <c r="M464" s="5" t="n">
        <v>0.5</v>
      </c>
      <c r="N464" s="5" t="n">
        <v>0</v>
      </c>
    </row>
    <row r="465">
      <c r="A465" t="n">
        <v>464</v>
      </c>
      <c r="B465" t="n">
        <v>2012</v>
      </c>
      <c r="C465" t="inlineStr">
        <is>
          <t>Emma Fedeyko</t>
        </is>
      </c>
      <c r="D465">
        <f>HYPERLINK("https://ota.tournamentsoftware.com/player-profile/62E06657-0480-40D7-B491-B99DA20E11DF", "Link")</f>
        <v/>
      </c>
      <c r="E465" s="3" t="n">
        <v>99.619</v>
      </c>
      <c r="F465" s="4" t="n">
        <v>8</v>
      </c>
      <c r="G465" t="inlineStr">
        <is>
          <t>Ontario Tennis Association</t>
        </is>
      </c>
      <c r="H465" t="inlineStr">
        <is>
          <t>Ontario Racquet Club</t>
        </is>
      </c>
      <c r="I465" t="n">
        <v>35.5</v>
      </c>
      <c r="J465" s="4" t="n">
        <v>52</v>
      </c>
      <c r="K465" t="inlineStr">
        <is>
          <t>19 / 33</t>
        </is>
      </c>
      <c r="L465" t="inlineStr">
        <is>
          <t>3 / 5</t>
        </is>
      </c>
      <c r="M465" s="5" t="n">
        <v>0.37</v>
      </c>
      <c r="N465" s="5" t="n">
        <v>0.38</v>
      </c>
    </row>
    <row r="466">
      <c r="A466" t="n">
        <v>465</v>
      </c>
      <c r="B466" t="n">
        <v>2015</v>
      </c>
      <c r="C466" t="inlineStr">
        <is>
          <t>Serena Wepadam CHONGATERA</t>
        </is>
      </c>
      <c r="D466">
        <f>HYPERLINK("https://ota.tournamentsoftware.com/player-profile/32A446CD-0BF6-43CA-BCC5-9AE4AEDFD5BE", "Link")</f>
        <v/>
      </c>
      <c r="E466" s="3" t="n">
        <v>99.379</v>
      </c>
      <c r="F466" s="4" t="n">
        <v>5</v>
      </c>
      <c r="G466" t="inlineStr">
        <is>
          <t>Tennis Nova Scotia</t>
        </is>
      </c>
      <c r="H466" t="inlineStr">
        <is>
          <t>HEADSTART</t>
        </is>
      </c>
      <c r="I466" t="n">
        <v>36.8</v>
      </c>
      <c r="J466" s="4" t="n">
        <v>20</v>
      </c>
      <c r="K466" t="inlineStr">
        <is>
          <t>8 / 12</t>
        </is>
      </c>
      <c r="L466" t="inlineStr">
        <is>
          <t>3 / 8</t>
        </is>
      </c>
      <c r="M466" s="5" t="n">
        <v>0.4</v>
      </c>
      <c r="N466" s="5" t="n">
        <v>0.27</v>
      </c>
    </row>
    <row r="467">
      <c r="A467" t="n">
        <v>466</v>
      </c>
      <c r="B467" t="n">
        <v>2014</v>
      </c>
      <c r="C467" t="inlineStr">
        <is>
          <t>Chloe Esther Yeung</t>
        </is>
      </c>
      <c r="D467">
        <f>HYPERLINK("https://ota.tournamentsoftware.com/player-profile/A0100B59-21FE-4244-87C6-16B2DE0DBB96", "Link")</f>
        <v/>
      </c>
      <c r="E467" s="3" t="n">
        <v>99.27800000000001</v>
      </c>
      <c r="F467" s="4" t="n">
        <v>16</v>
      </c>
      <c r="G467" t="inlineStr">
        <is>
          <t>Ontario Tennis Association</t>
        </is>
      </c>
      <c r="H467" t="inlineStr">
        <is>
          <t>Mayfair East Racquet Club</t>
        </is>
      </c>
      <c r="I467" t="n">
        <v>36.6</v>
      </c>
      <c r="J467" s="4" t="n">
        <v>106</v>
      </c>
      <c r="K467" t="inlineStr">
        <is>
          <t>45 / 61</t>
        </is>
      </c>
      <c r="L467" t="inlineStr">
        <is>
          <t>3 / 9</t>
        </is>
      </c>
      <c r="M467" s="5" t="n">
        <v>0.42</v>
      </c>
      <c r="N467" s="5" t="n">
        <v>0.25</v>
      </c>
    </row>
    <row r="468">
      <c r="A468" t="n">
        <v>467</v>
      </c>
      <c r="B468" t="n">
        <v>2012</v>
      </c>
      <c r="C468" t="inlineStr">
        <is>
          <t>Emily Lyn</t>
        </is>
      </c>
      <c r="D468">
        <f>HYPERLINK("https://ota.tournamentsoftware.com/player-profile/952E408B-05E4-4A69-8AAE-E4D164512A9E", "Link")</f>
        <v/>
      </c>
      <c r="E468" s="3" t="n">
        <v>98.52</v>
      </c>
      <c r="F468" s="4" t="n">
        <v>9</v>
      </c>
      <c r="G468" t="inlineStr">
        <is>
          <t>Ontario Tennis Association</t>
        </is>
      </c>
      <c r="H468" t="inlineStr">
        <is>
          <t>Markham Tennis Club</t>
        </is>
      </c>
      <c r="I468" t="n">
        <v>36</v>
      </c>
      <c r="J468" s="4" t="n">
        <v>103</v>
      </c>
      <c r="K468" t="inlineStr">
        <is>
          <t>61 / 42</t>
        </is>
      </c>
      <c r="L468" t="inlineStr">
        <is>
          <t>5 / 6</t>
        </is>
      </c>
      <c r="M468" s="5" t="n">
        <v>0.59</v>
      </c>
      <c r="N468" s="5" t="n">
        <v>0.45</v>
      </c>
    </row>
    <row r="469">
      <c r="A469" t="n">
        <v>468</v>
      </c>
      <c r="B469" t="n">
        <v>2014</v>
      </c>
      <c r="C469" t="inlineStr">
        <is>
          <t>Avril Kymber Lin</t>
        </is>
      </c>
      <c r="D469">
        <f>HYPERLINK("https://ota.tournamentsoftware.com/player-profile/6CFCC91C-A66C-46B5-8430-D2D78CE3EE4B", "Link")</f>
        <v/>
      </c>
      <c r="E469" s="3" t="n">
        <v>98.492</v>
      </c>
      <c r="F469" s="4" t="n">
        <v>13</v>
      </c>
      <c r="G469" t="inlineStr">
        <is>
          <t>Tennis Alberta</t>
        </is>
      </c>
      <c r="H469" t="inlineStr">
        <is>
          <t>Brookside Court &amp; Wellness</t>
        </is>
      </c>
      <c r="I469" t="inlineStr">
        <is>
          <t>unavailable</t>
        </is>
      </c>
      <c r="J469" s="4" t="n">
        <v>99</v>
      </c>
      <c r="K469" t="inlineStr">
        <is>
          <t>39 / 60</t>
        </is>
      </c>
      <c r="L469" t="inlineStr">
        <is>
          <t>9 / 15</t>
        </is>
      </c>
      <c r="M469" s="5" t="n">
        <v>0.39</v>
      </c>
      <c r="N469" s="5" t="n">
        <v>0.38</v>
      </c>
    </row>
    <row r="470">
      <c r="A470" t="n">
        <v>469</v>
      </c>
      <c r="B470" t="n">
        <v>2015</v>
      </c>
      <c r="C470" t="inlineStr">
        <is>
          <t>Mila Venturelli</t>
        </is>
      </c>
      <c r="D470">
        <f>HYPERLINK("https://ota.tournamentsoftware.com/player-profile/BCA3B83C-81C0-4469-B3DA-4E3234E6CA0A", "Link")</f>
        <v/>
      </c>
      <c r="E470" s="3" t="n">
        <v>98.126</v>
      </c>
      <c r="F470" s="4" t="n">
        <v>19</v>
      </c>
      <c r="G470" t="inlineStr">
        <is>
          <t>Tennis Québec</t>
        </is>
      </c>
      <c r="H470" t="inlineStr">
        <is>
          <t>Tennis 13</t>
        </is>
      </c>
      <c r="I470" t="n">
        <v>36.9</v>
      </c>
      <c r="J470" s="4" t="n">
        <v>86</v>
      </c>
      <c r="K470" t="inlineStr">
        <is>
          <t>35 / 51</t>
        </is>
      </c>
      <c r="L470" t="inlineStr">
        <is>
          <t>7 / 14</t>
        </is>
      </c>
      <c r="M470" s="5" t="n">
        <v>0.41</v>
      </c>
      <c r="N470" s="5" t="n">
        <v>0.33</v>
      </c>
    </row>
    <row r="471">
      <c r="A471" t="n">
        <v>470</v>
      </c>
      <c r="B471" t="n">
        <v>2012</v>
      </c>
      <c r="C471" t="inlineStr">
        <is>
          <t>Alice Le</t>
        </is>
      </c>
      <c r="D471">
        <f>HYPERLINK("https://ota.tournamentsoftware.com/player-profile/762C717D-CB5B-4A61-877E-C235D5E4911F", "Link")</f>
        <v/>
      </c>
      <c r="E471" s="3" t="n">
        <v>98.04000000000001</v>
      </c>
      <c r="F471" s="4" t="n">
        <v>4</v>
      </c>
      <c r="G471" t="inlineStr">
        <is>
          <t>British Columbia</t>
        </is>
      </c>
      <c r="H471" t="inlineStr">
        <is>
          <t>City of Vancouver</t>
        </is>
      </c>
      <c r="I471" t="inlineStr">
        <is>
          <t>unavailable</t>
        </is>
      </c>
      <c r="J471" s="4" t="n">
        <v>10</v>
      </c>
      <c r="K471" t="inlineStr">
        <is>
          <t>7 / 3</t>
        </is>
      </c>
      <c r="L471" t="inlineStr">
        <is>
          <t>1 / 1</t>
        </is>
      </c>
      <c r="M471" s="5" t="n">
        <v>0.7</v>
      </c>
      <c r="N471" s="5" t="n">
        <v>0.5</v>
      </c>
    </row>
    <row r="472">
      <c r="A472" t="n">
        <v>471</v>
      </c>
      <c r="B472" t="n">
        <v>2015</v>
      </c>
      <c r="C472" t="inlineStr">
        <is>
          <t>Violet Ton-That</t>
        </is>
      </c>
      <c r="D472">
        <f>HYPERLINK("https://ota.tournamentsoftware.com/player-profile/2832D590-1D78-4B7F-B573-E2D932040ADB", "Link")</f>
        <v/>
      </c>
      <c r="E472" s="3" t="n">
        <v>96.917</v>
      </c>
      <c r="F472" s="4" t="n">
        <v>11</v>
      </c>
      <c r="G472" t="inlineStr">
        <is>
          <t>Tennis Québec</t>
        </is>
      </c>
      <c r="H472" t="inlineStr">
        <is>
          <t>Tennis Montréal Excellence</t>
        </is>
      </c>
      <c r="I472" t="n">
        <v>35.7</v>
      </c>
      <c r="J472" s="4" t="n">
        <v>62</v>
      </c>
      <c r="K472" t="inlineStr">
        <is>
          <t>29 / 33</t>
        </is>
      </c>
      <c r="L472" t="inlineStr">
        <is>
          <t>8 / 9</t>
        </is>
      </c>
      <c r="M472" s="5" t="n">
        <v>0.47</v>
      </c>
      <c r="N472" s="5" t="n">
        <v>0.47</v>
      </c>
    </row>
    <row r="473">
      <c r="A473" t="n">
        <v>472</v>
      </c>
      <c r="B473" t="n">
        <v>2013</v>
      </c>
      <c r="C473" t="inlineStr">
        <is>
          <t>Presley Pellegrino</t>
        </is>
      </c>
      <c r="D473">
        <f>HYPERLINK("https://ota.tournamentsoftware.com/player-profile/A7978533-179E-4FC4-8D48-C160FA6FF2E3", "Link")</f>
        <v/>
      </c>
      <c r="E473" s="3" t="n">
        <v>96.878</v>
      </c>
      <c r="F473" s="4" t="n">
        <v>6</v>
      </c>
      <c r="G473" t="inlineStr">
        <is>
          <t>Ontario Tennis Association</t>
        </is>
      </c>
      <c r="H473" t="inlineStr">
        <is>
          <t>No Club</t>
        </is>
      </c>
      <c r="I473" t="n">
        <v>35.1</v>
      </c>
      <c r="J473" s="4" t="n">
        <v>97</v>
      </c>
      <c r="K473" t="inlineStr">
        <is>
          <t>40 / 57</t>
        </is>
      </c>
      <c r="L473" t="inlineStr">
        <is>
          <t>2 / 2</t>
        </is>
      </c>
      <c r="M473" s="5" t="n">
        <v>0.41</v>
      </c>
      <c r="N473" s="5" t="n">
        <v>0.5</v>
      </c>
    </row>
    <row r="474">
      <c r="A474" t="n">
        <v>473</v>
      </c>
      <c r="B474" t="n">
        <v>2015</v>
      </c>
      <c r="C474" t="inlineStr">
        <is>
          <t>Anna Guzina-McLeod</t>
        </is>
      </c>
      <c r="D474">
        <f>HYPERLINK("https://ota.tournamentsoftware.com/player-profile/55F5BC4F-092C-4C72-BFDC-3F60E618D778", "Link")</f>
        <v/>
      </c>
      <c r="E474" s="3" t="n">
        <v>96.01600000000001</v>
      </c>
      <c r="F474" s="4" t="n">
        <v>15</v>
      </c>
      <c r="G474" t="inlineStr">
        <is>
          <t>Ontario Tennis Association</t>
        </is>
      </c>
      <c r="H474" t="inlineStr">
        <is>
          <t>Rideau Sports Centre</t>
        </is>
      </c>
      <c r="I474" t="inlineStr">
        <is>
          <t>unavailable</t>
        </is>
      </c>
      <c r="J474" s="4" t="n">
        <v>111</v>
      </c>
      <c r="K474" t="inlineStr">
        <is>
          <t>65 / 46</t>
        </is>
      </c>
      <c r="L474" t="inlineStr">
        <is>
          <t>9 / 13</t>
        </is>
      </c>
      <c r="M474" s="5" t="n">
        <v>0.59</v>
      </c>
      <c r="N474" s="5" t="n">
        <v>0.41</v>
      </c>
    </row>
    <row r="475">
      <c r="A475" t="n">
        <v>474</v>
      </c>
      <c r="B475" t="n">
        <v>2015</v>
      </c>
      <c r="C475" t="inlineStr">
        <is>
          <t>Kaliya Summer Miserre-Garrecht</t>
        </is>
      </c>
      <c r="D475">
        <f>HYPERLINK("https://ota.tournamentsoftware.com/player-profile/C178309B-9B10-4C79-99B5-DD8E37FCC1EF", "Link")</f>
        <v/>
      </c>
      <c r="E475" s="3" t="n">
        <v>94.80200000000001</v>
      </c>
      <c r="F475" s="4" t="n">
        <v>23</v>
      </c>
      <c r="G475" t="inlineStr">
        <is>
          <t>British Columbia</t>
        </is>
      </c>
      <c r="H475" t="inlineStr">
        <is>
          <t>Vanguard Tennis Academy</t>
        </is>
      </c>
      <c r="I475" t="n">
        <v>36.4</v>
      </c>
      <c r="J475" s="4" t="n">
        <v>138</v>
      </c>
      <c r="K475" t="inlineStr">
        <is>
          <t>60 / 78</t>
        </is>
      </c>
      <c r="L475" t="inlineStr">
        <is>
          <t>15 / 25</t>
        </is>
      </c>
      <c r="M475" s="5" t="n">
        <v>0.43</v>
      </c>
      <c r="N475" s="5" t="n">
        <v>0.38</v>
      </c>
    </row>
    <row r="476">
      <c r="A476" t="n">
        <v>475</v>
      </c>
      <c r="B476" t="n">
        <v>2012</v>
      </c>
      <c r="C476" t="inlineStr">
        <is>
          <t>Karolina Klepinin</t>
        </is>
      </c>
      <c r="D476">
        <f>HYPERLINK("https://ota.tournamentsoftware.com/player-profile/A0474BDB-A63B-423A-90FB-FAAA726E2052", "Link")</f>
        <v/>
      </c>
      <c r="E476" s="3" t="n">
        <v>94.729</v>
      </c>
      <c r="F476" s="4" t="n">
        <v>6</v>
      </c>
      <c r="G476" t="inlineStr">
        <is>
          <t>Ontario Tennis Association</t>
        </is>
      </c>
      <c r="H476" t="inlineStr">
        <is>
          <t>ON North Central No Club</t>
        </is>
      </c>
      <c r="I476" t="n">
        <v>36.4</v>
      </c>
      <c r="J476" s="4" t="n">
        <v>52</v>
      </c>
      <c r="K476" t="inlineStr">
        <is>
          <t>14 / 38</t>
        </is>
      </c>
      <c r="L476" t="inlineStr">
        <is>
          <t>3 / 7</t>
        </is>
      </c>
      <c r="M476" s="5" t="n">
        <v>0.27</v>
      </c>
      <c r="N476" s="5" t="n">
        <v>0.3</v>
      </c>
    </row>
    <row r="477">
      <c r="A477" t="n">
        <v>476</v>
      </c>
      <c r="B477" t="n">
        <v>2013</v>
      </c>
      <c r="C477" t="inlineStr">
        <is>
          <t>Zoé Pilon</t>
        </is>
      </c>
      <c r="D477">
        <f>HYPERLINK("https://ota.tournamentsoftware.com/player-profile/5CF92DF6-CB3B-4E9E-9D03-B9CC6481DEBA", "Link")</f>
        <v/>
      </c>
      <c r="E477" s="3" t="n">
        <v>94.68000000000001</v>
      </c>
      <c r="F477" s="4" t="n">
        <v>9</v>
      </c>
      <c r="G477" t="inlineStr">
        <is>
          <t>Tennis Québec</t>
        </is>
      </c>
      <c r="H477" t="inlineStr">
        <is>
          <t>Tennis Interclub Piedmont</t>
        </is>
      </c>
      <c r="I477" t="n">
        <v>37.8</v>
      </c>
      <c r="J477" s="4" t="n">
        <v>18</v>
      </c>
      <c r="K477" t="inlineStr">
        <is>
          <t>6 / 12</t>
        </is>
      </c>
      <c r="L477" t="inlineStr">
        <is>
          <t>2 / 9</t>
        </is>
      </c>
      <c r="M477" s="5" t="n">
        <v>0.33</v>
      </c>
      <c r="N477" s="5" t="n">
        <v>0.18</v>
      </c>
    </row>
    <row r="478">
      <c r="A478" t="n">
        <v>477</v>
      </c>
      <c r="B478" t="n">
        <v>2013</v>
      </c>
      <c r="C478" t="inlineStr">
        <is>
          <t>Chelsea Yuxin Lan</t>
        </is>
      </c>
      <c r="D478">
        <f>HYPERLINK("https://ota.tournamentsoftware.com/player-profile/D861FE8B-CCB2-4222-BA9C-EBD5C1FECE32", "Link")</f>
        <v/>
      </c>
      <c r="E478" s="3" t="n">
        <v>94.627</v>
      </c>
      <c r="F478" s="4" t="n">
        <v>15</v>
      </c>
      <c r="G478" t="inlineStr">
        <is>
          <t>British Columbia</t>
        </is>
      </c>
      <c r="H478" t="inlineStr">
        <is>
          <t>Hollyburn Country Club</t>
        </is>
      </c>
      <c r="I478" t="inlineStr">
        <is>
          <t>unavailable</t>
        </is>
      </c>
      <c r="J478" s="4" t="inlineStr"/>
      <c r="K478" t="inlineStr">
        <is>
          <t>unavailable</t>
        </is>
      </c>
      <c r="L478" t="inlineStr">
        <is>
          <t>unavailable</t>
        </is>
      </c>
      <c r="M478" s="5" t="inlineStr"/>
      <c r="N478" s="5" t="inlineStr"/>
    </row>
    <row r="479">
      <c r="A479" t="n">
        <v>478</v>
      </c>
      <c r="B479" t="n">
        <v>2012</v>
      </c>
      <c r="C479" t="inlineStr">
        <is>
          <t>Alyssa Grace Clouden</t>
        </is>
      </c>
      <c r="D479">
        <f>HYPERLINK("https://ota.tournamentsoftware.com/player-profile/85FC5E76-6ACD-4520-94D0-C05BABDC2184", "Link")</f>
        <v/>
      </c>
      <c r="E479" s="3" t="n">
        <v>94.176</v>
      </c>
      <c r="F479" s="4" t="n">
        <v>14</v>
      </c>
      <c r="G479" t="inlineStr">
        <is>
          <t>Ontario Tennis Association</t>
        </is>
      </c>
      <c r="H479" t="inlineStr">
        <is>
          <t>Headwaters Racquet Club</t>
        </is>
      </c>
      <c r="I479" t="n">
        <v>36.7</v>
      </c>
      <c r="J479" s="4" t="n">
        <v>49</v>
      </c>
      <c r="K479" t="inlineStr">
        <is>
          <t>21 / 28</t>
        </is>
      </c>
      <c r="L479" t="inlineStr">
        <is>
          <t>6 / 12</t>
        </is>
      </c>
      <c r="M479" s="5" t="n">
        <v>0.43</v>
      </c>
      <c r="N479" s="5" t="n">
        <v>0.33</v>
      </c>
    </row>
    <row r="480">
      <c r="A480" t="n">
        <v>479</v>
      </c>
      <c r="B480" t="n">
        <v>2012</v>
      </c>
      <c r="C480" t="inlineStr">
        <is>
          <t>Tiana Amede-Bramwell</t>
        </is>
      </c>
      <c r="D480">
        <f>HYPERLINK("https://ota.tournamentsoftware.com/player-profile/BC31A25D-C48C-47FD-A0A3-D600EA315675", "Link")</f>
        <v/>
      </c>
      <c r="E480" s="3" t="n">
        <v>93.628</v>
      </c>
      <c r="F480" s="4" t="n">
        <v>10</v>
      </c>
      <c r="G480" t="inlineStr">
        <is>
          <t>Ontario Tennis Association</t>
        </is>
      </c>
      <c r="H480" t="inlineStr">
        <is>
          <t>Credit Valley Tennis Club</t>
        </is>
      </c>
      <c r="I480" t="n">
        <v>39.4</v>
      </c>
      <c r="J480" s="4" t="n">
        <v>39</v>
      </c>
      <c r="K480" t="inlineStr">
        <is>
          <t>8 / 31</t>
        </is>
      </c>
      <c r="L480" t="inlineStr">
        <is>
          <t>8 / 28</t>
        </is>
      </c>
      <c r="M480" s="5" t="n">
        <v>0.21</v>
      </c>
      <c r="N480" s="5" t="n">
        <v>0.22</v>
      </c>
    </row>
    <row r="481">
      <c r="A481" t="n">
        <v>480</v>
      </c>
      <c r="B481" t="n">
        <v>2016</v>
      </c>
      <c r="C481" t="inlineStr">
        <is>
          <t>Chenlin Wang</t>
        </is>
      </c>
      <c r="D481">
        <f>HYPERLINK("https://ota.tournamentsoftware.com/player-profile/9F8A5A74-B5B7-41F1-A513-DA87D68CAFFE", "Link")</f>
        <v/>
      </c>
      <c r="E481" s="3" t="n">
        <v>93.203</v>
      </c>
      <c r="F481" s="4" t="n">
        <v>29</v>
      </c>
      <c r="G481" t="inlineStr">
        <is>
          <t>British Columbia</t>
        </is>
      </c>
      <c r="H481" t="inlineStr">
        <is>
          <t>UBC Tennis Centre</t>
        </is>
      </c>
      <c r="I481" t="inlineStr">
        <is>
          <t>unavailable</t>
        </is>
      </c>
      <c r="J481" s="4" t="n">
        <v>153</v>
      </c>
      <c r="K481" t="inlineStr">
        <is>
          <t>84 / 69</t>
        </is>
      </c>
      <c r="L481" t="inlineStr">
        <is>
          <t>32 / 20</t>
        </is>
      </c>
      <c r="M481" s="5" t="n">
        <v>0.55</v>
      </c>
      <c r="N481" s="5" t="n">
        <v>0.62</v>
      </c>
    </row>
    <row r="482">
      <c r="A482" t="n">
        <v>481</v>
      </c>
      <c r="B482" t="n">
        <v>2014</v>
      </c>
      <c r="C482" t="inlineStr">
        <is>
          <t>cataleya florina zadarojnea</t>
        </is>
      </c>
      <c r="D482">
        <f>HYPERLINK("https://ota.tournamentsoftware.com/player-profile/EAEB7B00-5E1C-47F6-8FF3-1537E07A8B59", "Link")</f>
        <v/>
      </c>
      <c r="E482" s="3" t="n">
        <v>92.57599999999999</v>
      </c>
      <c r="F482" s="4" t="n">
        <v>24</v>
      </c>
      <c r="G482" t="inlineStr">
        <is>
          <t>Ontario Tennis Association</t>
        </is>
      </c>
      <c r="H482" t="inlineStr">
        <is>
          <t>Premier Racquet Clubs – Mississauga</t>
        </is>
      </c>
      <c r="I482" t="n">
        <v>36.9</v>
      </c>
      <c r="J482" s="4" t="n">
        <v>35</v>
      </c>
      <c r="K482" t="inlineStr">
        <is>
          <t>11 / 24</t>
        </is>
      </c>
      <c r="L482" t="inlineStr">
        <is>
          <t>7 / 17</t>
        </is>
      </c>
      <c r="M482" s="5" t="n">
        <v>0.31</v>
      </c>
      <c r="N482" s="5" t="n">
        <v>0.29</v>
      </c>
    </row>
    <row r="483">
      <c r="A483" t="n">
        <v>482</v>
      </c>
      <c r="B483" t="n">
        <v>2016</v>
      </c>
      <c r="C483" t="inlineStr">
        <is>
          <t>Eva Yanakieva</t>
        </is>
      </c>
      <c r="D483">
        <f>HYPERLINK("https://ota.tournamentsoftware.com/player-profile/7FBBEC05-D20C-448B-93F1-1F8C6BA80758", "Link")</f>
        <v/>
      </c>
      <c r="E483" s="3" t="n">
        <v>91.93300000000001</v>
      </c>
      <c r="F483" s="4" t="n">
        <v>18</v>
      </c>
      <c r="G483" t="inlineStr">
        <is>
          <t>Tennis Québec</t>
        </is>
      </c>
      <c r="H483" t="inlineStr">
        <is>
          <t>Tennis Montréal Excellence</t>
        </is>
      </c>
      <c r="I483" t="n">
        <v>35.9</v>
      </c>
      <c r="J483" s="4" t="n">
        <v>171</v>
      </c>
      <c r="K483" t="inlineStr">
        <is>
          <t>82 / 89</t>
        </is>
      </c>
      <c r="L483" t="inlineStr">
        <is>
          <t>21 / 21</t>
        </is>
      </c>
      <c r="M483" s="5" t="n">
        <v>0.48</v>
      </c>
      <c r="N483" s="5" t="n">
        <v>0.5</v>
      </c>
    </row>
    <row r="484">
      <c r="A484" t="n">
        <v>483</v>
      </c>
      <c r="B484" t="n">
        <v>2013</v>
      </c>
      <c r="C484" t="inlineStr">
        <is>
          <t>Zean Whyte Omayan Gerongco</t>
        </is>
      </c>
      <c r="D484">
        <f>HYPERLINK("https://ota.tournamentsoftware.com/player-profile/95E8FC8D-AC41-4C9F-8192-23788254309B", "Link")</f>
        <v/>
      </c>
      <c r="E484" s="3" t="n">
        <v>91.377</v>
      </c>
      <c r="F484" s="4" t="n">
        <v>6</v>
      </c>
      <c r="G484" t="inlineStr">
        <is>
          <t>Ontario Tennis Association</t>
        </is>
      </c>
      <c r="H484" t="inlineStr">
        <is>
          <t>Fountainhead Tennis Club</t>
        </is>
      </c>
      <c r="I484" t="n">
        <v>32.8</v>
      </c>
      <c r="J484" s="4" t="n">
        <v>167</v>
      </c>
      <c r="K484" t="inlineStr">
        <is>
          <t>95 / 72</t>
        </is>
      </c>
      <c r="L484" t="inlineStr">
        <is>
          <t>0 / 0</t>
        </is>
      </c>
      <c r="M484" s="5" t="n">
        <v>0.57</v>
      </c>
      <c r="N484" s="5" t="n">
        <v>0</v>
      </c>
    </row>
    <row r="485">
      <c r="A485" t="n">
        <v>484</v>
      </c>
      <c r="B485" t="n">
        <v>2013</v>
      </c>
      <c r="C485" t="inlineStr">
        <is>
          <t>Avery Hao</t>
        </is>
      </c>
      <c r="D485">
        <f>HYPERLINK("https://ota.tournamentsoftware.com/player-profile/4D297E0A-97AD-4487-A64F-403E8B3ACA30", "Link")</f>
        <v/>
      </c>
      <c r="E485" s="3" t="n">
        <v>90.55200000000001</v>
      </c>
      <c r="F485" s="4" t="n">
        <v>5</v>
      </c>
      <c r="G485" t="inlineStr">
        <is>
          <t>Ontario Tennis Association</t>
        </is>
      </c>
      <c r="H485" t="inlineStr">
        <is>
          <t>Elmridge Tennis Club</t>
        </is>
      </c>
      <c r="I485" t="n">
        <v>39.3</v>
      </c>
      <c r="J485" s="4" t="n">
        <v>14</v>
      </c>
      <c r="K485" t="inlineStr">
        <is>
          <t>4 / 10</t>
        </is>
      </c>
      <c r="L485" t="inlineStr">
        <is>
          <t>0 / 4</t>
        </is>
      </c>
      <c r="M485" s="5" t="n">
        <v>0.29</v>
      </c>
      <c r="N485" s="5" t="n">
        <v>0</v>
      </c>
    </row>
    <row r="486">
      <c r="A486" t="n">
        <v>485</v>
      </c>
      <c r="B486" t="n">
        <v>2014</v>
      </c>
      <c r="C486" t="inlineStr">
        <is>
          <t>Maylis Ilmane</t>
        </is>
      </c>
      <c r="D486">
        <f>HYPERLINK("https://ota.tournamentsoftware.com/player-profile/8AD3E1E2-82F0-490F-B772-6E9AA24959CC", "Link")</f>
        <v/>
      </c>
      <c r="E486" s="3" t="n">
        <v>90.08799999999999</v>
      </c>
      <c r="F486" s="4" t="n">
        <v>10</v>
      </c>
      <c r="G486" t="inlineStr">
        <is>
          <t>Tennis Québec</t>
        </is>
      </c>
      <c r="H486" t="inlineStr">
        <is>
          <t>Centre récréatif de Repentigny / Académie Tennis Momentum</t>
        </is>
      </c>
      <c r="I486" t="n">
        <v>35.4</v>
      </c>
      <c r="J486" s="4" t="n">
        <v>60</v>
      </c>
      <c r="K486" t="inlineStr">
        <is>
          <t>25 / 35</t>
        </is>
      </c>
      <c r="L486" t="inlineStr">
        <is>
          <t>7 / 6</t>
        </is>
      </c>
      <c r="M486" s="5" t="n">
        <v>0.42</v>
      </c>
      <c r="N486" s="5" t="n">
        <v>0.54</v>
      </c>
    </row>
    <row r="487">
      <c r="A487" t="n">
        <v>486</v>
      </c>
      <c r="B487" t="n">
        <v>2015</v>
      </c>
      <c r="C487" t="inlineStr">
        <is>
          <t>Larissa Bulynko</t>
        </is>
      </c>
      <c r="D487">
        <f>HYPERLINK("https://ota.tournamentsoftware.com/player-profile/387B3C19-006B-446B-A1CE-226F349C0C24", "Link")</f>
        <v/>
      </c>
      <c r="E487" s="3" t="n">
        <v>89.874</v>
      </c>
      <c r="F487" s="4" t="n">
        <v>11</v>
      </c>
      <c r="G487" t="inlineStr">
        <is>
          <t>Ontario Tennis Association</t>
        </is>
      </c>
      <c r="H487" t="inlineStr">
        <is>
          <t>National Tennis School</t>
        </is>
      </c>
      <c r="I487" t="n">
        <v>37.8</v>
      </c>
      <c r="J487" s="4" t="n">
        <v>52</v>
      </c>
      <c r="K487" t="inlineStr">
        <is>
          <t>20 / 32</t>
        </is>
      </c>
      <c r="L487" t="inlineStr">
        <is>
          <t>5 / 9</t>
        </is>
      </c>
      <c r="M487" s="5" t="n">
        <v>0.38</v>
      </c>
      <c r="N487" s="5" t="n">
        <v>0.36</v>
      </c>
    </row>
    <row r="488">
      <c r="A488" t="n">
        <v>487</v>
      </c>
      <c r="B488" t="n">
        <v>2015</v>
      </c>
      <c r="C488" t="inlineStr">
        <is>
          <t>Joey Wu</t>
        </is>
      </c>
      <c r="D488">
        <f>HYPERLINK("https://ota.tournamentsoftware.com/player-profile/5271198B-7814-4938-9A9E-61E10CC7CCA6", "Link")</f>
        <v/>
      </c>
      <c r="E488" s="3" t="n">
        <v>89.84</v>
      </c>
      <c r="F488" s="4" t="n">
        <v>25</v>
      </c>
      <c r="G488" t="inlineStr">
        <is>
          <t>British Columbia</t>
        </is>
      </c>
      <c r="H488" t="inlineStr">
        <is>
          <t>City of Richmond</t>
        </is>
      </c>
      <c r="I488" t="inlineStr">
        <is>
          <t>unavailable</t>
        </is>
      </c>
      <c r="J488" s="4" t="n">
        <v>114</v>
      </c>
      <c r="K488" t="inlineStr">
        <is>
          <t>68 / 46</t>
        </is>
      </c>
      <c r="L488" t="inlineStr">
        <is>
          <t>13 / 22</t>
        </is>
      </c>
      <c r="M488" s="5" t="n">
        <v>0.6</v>
      </c>
      <c r="N488" s="5" t="n">
        <v>0.37</v>
      </c>
    </row>
    <row r="489">
      <c r="A489" t="n">
        <v>488</v>
      </c>
      <c r="B489" t="n">
        <v>2014</v>
      </c>
      <c r="C489" t="inlineStr">
        <is>
          <t>myra Malik</t>
        </is>
      </c>
      <c r="D489">
        <f>HYPERLINK("https://ota.tournamentsoftware.com/player-profile/B5B677E5-44EA-48DD-95B7-05BF38E3758B", "Link")</f>
        <v/>
      </c>
      <c r="E489" s="3" t="n">
        <v>89.604</v>
      </c>
      <c r="F489" s="4" t="n">
        <v>25</v>
      </c>
      <c r="G489" t="inlineStr">
        <is>
          <t>British Columbia</t>
        </is>
      </c>
      <c r="H489" t="inlineStr">
        <is>
          <t>The Tennis Centre</t>
        </is>
      </c>
      <c r="I489" t="n">
        <v>34.3</v>
      </c>
      <c r="J489" s="4" t="n">
        <v>60</v>
      </c>
      <c r="K489" t="inlineStr">
        <is>
          <t>26 / 34</t>
        </is>
      </c>
      <c r="L489" t="inlineStr">
        <is>
          <t>19 / 20</t>
        </is>
      </c>
      <c r="M489" s="5" t="n">
        <v>0.43</v>
      </c>
      <c r="N489" s="5" t="n">
        <v>0.49</v>
      </c>
    </row>
    <row r="490">
      <c r="A490" t="n">
        <v>489</v>
      </c>
      <c r="B490" t="n">
        <v>2015</v>
      </c>
      <c r="C490" t="inlineStr">
        <is>
          <t>Maranata Okubazgi</t>
        </is>
      </c>
      <c r="D490">
        <f>HYPERLINK("https://ota.tournamentsoftware.com/player-profile/D41680BB-0D07-401E-A1E3-7ECB40E4830A", "Link")</f>
        <v/>
      </c>
      <c r="E490" s="3" t="n">
        <v>87.59999999999999</v>
      </c>
      <c r="F490" s="4" t="n">
        <v>12</v>
      </c>
      <c r="G490" t="inlineStr">
        <is>
          <t>Ontario Tennis Association</t>
        </is>
      </c>
      <c r="H490" t="inlineStr">
        <is>
          <t>The Tennis School</t>
        </is>
      </c>
      <c r="I490" t="n">
        <v>34.9</v>
      </c>
      <c r="J490" s="4" t="n">
        <v>90</v>
      </c>
      <c r="K490" t="inlineStr">
        <is>
          <t>53 / 37</t>
        </is>
      </c>
      <c r="L490" t="inlineStr">
        <is>
          <t>14 / 9</t>
        </is>
      </c>
      <c r="M490" s="5" t="n">
        <v>0.59</v>
      </c>
      <c r="N490" s="5" t="n">
        <v>0.61</v>
      </c>
    </row>
    <row r="491">
      <c r="A491" t="n">
        <v>490</v>
      </c>
      <c r="B491" t="n">
        <v>2013</v>
      </c>
      <c r="C491" t="inlineStr">
        <is>
          <t>Kaylie Kam</t>
        </is>
      </c>
      <c r="D491">
        <f>HYPERLINK("https://ota.tournamentsoftware.com/player-profile/29B7928E-12B2-4691-8B4A-1DE557B4F068", "Link")</f>
        <v/>
      </c>
      <c r="E491" s="3" t="n">
        <v>87.569</v>
      </c>
      <c r="F491" s="4" t="n">
        <v>13</v>
      </c>
      <c r="G491" t="inlineStr">
        <is>
          <t>Ontario Tennis Association</t>
        </is>
      </c>
      <c r="H491" t="inlineStr">
        <is>
          <t>Blackmore Tennis Club</t>
        </is>
      </c>
      <c r="I491" t="n">
        <v>34.2</v>
      </c>
      <c r="J491" s="4" t="n">
        <v>53</v>
      </c>
      <c r="K491" t="inlineStr">
        <is>
          <t>35 / 18</t>
        </is>
      </c>
      <c r="L491" t="inlineStr">
        <is>
          <t>9 / 10</t>
        </is>
      </c>
      <c r="M491" s="5" t="n">
        <v>0.66</v>
      </c>
      <c r="N491" s="5" t="n">
        <v>0.47</v>
      </c>
    </row>
    <row r="492">
      <c r="A492" t="n">
        <v>491</v>
      </c>
      <c r="B492" t="n">
        <v>2013</v>
      </c>
      <c r="C492" t="inlineStr">
        <is>
          <t>SOPHIA MARIA TRULESCU</t>
        </is>
      </c>
      <c r="D492">
        <f>HYPERLINK("https://ota.tournamentsoftware.com/player-profile/A41CCD9F-8BEB-4085-842F-8E5A7DA612FF", "Link")</f>
        <v/>
      </c>
      <c r="E492" s="3" t="n">
        <v>87.34999999999999</v>
      </c>
      <c r="F492" s="4" t="n">
        <v>3</v>
      </c>
      <c r="G492" t="inlineStr">
        <is>
          <t>Ontario Tennis Association</t>
        </is>
      </c>
      <c r="H492" t="inlineStr">
        <is>
          <t>Rosedale Tennis Club (Hamilton)</t>
        </is>
      </c>
      <c r="I492" t="n">
        <v>34.4</v>
      </c>
      <c r="J492" s="4" t="n">
        <v>55</v>
      </c>
      <c r="K492" t="inlineStr">
        <is>
          <t>41 / 14</t>
        </is>
      </c>
      <c r="L492" t="inlineStr">
        <is>
          <t>4 / 2</t>
        </is>
      </c>
      <c r="M492" s="5" t="n">
        <v>0.75</v>
      </c>
      <c r="N492" s="5" t="n">
        <v>0.67</v>
      </c>
    </row>
    <row r="493">
      <c r="A493" t="n">
        <v>492</v>
      </c>
      <c r="B493" t="n">
        <v>2017</v>
      </c>
      <c r="C493" t="inlineStr">
        <is>
          <t>Amelia Alhakim</t>
        </is>
      </c>
      <c r="D493">
        <f>HYPERLINK("https://ota.tournamentsoftware.com/player-profile/0B954ECB-D503-4C36-BD94-6D389AF0D202", "Link")</f>
        <v/>
      </c>
      <c r="E493" s="3" t="n">
        <v>86.48</v>
      </c>
      <c r="F493" s="4" t="n">
        <v>11</v>
      </c>
      <c r="G493" t="inlineStr">
        <is>
          <t>Ontario Tennis Association</t>
        </is>
      </c>
      <c r="H493" t="inlineStr">
        <is>
          <t>Zekelman Tennis Centre</t>
        </is>
      </c>
      <c r="I493" t="n">
        <v>34.8</v>
      </c>
      <c r="J493" s="4" t="n">
        <v>36</v>
      </c>
      <c r="K493" t="inlineStr">
        <is>
          <t>20 / 16</t>
        </is>
      </c>
      <c r="L493" t="inlineStr">
        <is>
          <t>16 / 11</t>
        </is>
      </c>
      <c r="M493" s="5" t="n">
        <v>0.5600000000000001</v>
      </c>
      <c r="N493" s="5" t="n">
        <v>0.59</v>
      </c>
    </row>
    <row r="494">
      <c r="A494" t="n">
        <v>493</v>
      </c>
      <c r="B494" t="n">
        <v>2015</v>
      </c>
      <c r="C494" t="inlineStr">
        <is>
          <t>Olivia An Yi Ta</t>
        </is>
      </c>
      <c r="D494">
        <f>HYPERLINK("https://ota.tournamentsoftware.com/player-profile/F718058C-465B-4AEB-BACA-80FE5B3917B6", "Link")</f>
        <v/>
      </c>
      <c r="E494" s="3" t="n">
        <v>85.59099999999999</v>
      </c>
      <c r="F494" s="4" t="n">
        <v>14</v>
      </c>
      <c r="G494" t="inlineStr">
        <is>
          <t>Ontario Tennis Association</t>
        </is>
      </c>
      <c r="H494" t="inlineStr">
        <is>
          <t>Lambton Golf &amp; Country Club</t>
        </is>
      </c>
      <c r="I494" t="inlineStr">
        <is>
          <t>unavailable</t>
        </is>
      </c>
      <c r="J494" s="4" t="n">
        <v>62</v>
      </c>
      <c r="K494" t="inlineStr">
        <is>
          <t>15 / 47</t>
        </is>
      </c>
      <c r="L494" t="inlineStr">
        <is>
          <t>6 / 9</t>
        </is>
      </c>
      <c r="M494" s="5" t="n">
        <v>0.24</v>
      </c>
      <c r="N494" s="5" t="n">
        <v>0.4</v>
      </c>
    </row>
    <row r="495">
      <c r="A495" t="n">
        <v>494</v>
      </c>
      <c r="B495" t="n">
        <v>2012</v>
      </c>
      <c r="C495" t="inlineStr">
        <is>
          <t>Aaisha Rathod</t>
        </is>
      </c>
      <c r="D495">
        <f>HYPERLINK("https://ota.tournamentsoftware.com/player-profile/3CFF2AC0-C5A1-461F-91D3-0CD8EAFC5609", "Link")</f>
        <v/>
      </c>
      <c r="E495" s="3" t="n">
        <v>85.062</v>
      </c>
      <c r="F495" s="4" t="n">
        <v>14</v>
      </c>
      <c r="G495" t="inlineStr">
        <is>
          <t>Ontario Tennis Association</t>
        </is>
      </c>
      <c r="H495" t="inlineStr">
        <is>
          <t>Premier Racquet Clubs – Mississauga</t>
        </is>
      </c>
      <c r="I495" t="n">
        <v>39.4</v>
      </c>
      <c r="J495" s="4" t="n">
        <v>74</v>
      </c>
      <c r="K495" t="inlineStr">
        <is>
          <t>3 / 71</t>
        </is>
      </c>
      <c r="L495" t="inlineStr">
        <is>
          <t>1 / 8</t>
        </is>
      </c>
      <c r="M495" s="5" t="n">
        <v>0.04</v>
      </c>
      <c r="N495" s="5" t="n">
        <v>0.11</v>
      </c>
    </row>
    <row r="496">
      <c r="A496" t="n">
        <v>495</v>
      </c>
      <c r="B496" t="n">
        <v>2016</v>
      </c>
      <c r="C496" t="inlineStr">
        <is>
          <t>Kassidy, Chin Yau Lau</t>
        </is>
      </c>
      <c r="D496">
        <f>HYPERLINK("https://ota.tournamentsoftware.com/player-profile/725BC980-EB67-418A-9A78-144DF7D7CE7E", "Link")</f>
        <v/>
      </c>
      <c r="E496" s="3" t="n">
        <v>84.072</v>
      </c>
      <c r="F496" s="4" t="n">
        <v>15</v>
      </c>
      <c r="G496" t="inlineStr">
        <is>
          <t>Ontario Tennis Association</t>
        </is>
      </c>
      <c r="H496" t="inlineStr">
        <is>
          <t>No Club</t>
        </is>
      </c>
      <c r="I496" t="n">
        <v>35.7</v>
      </c>
      <c r="J496" s="4" t="n">
        <v>41</v>
      </c>
      <c r="K496" t="inlineStr">
        <is>
          <t>24 / 17</t>
        </is>
      </c>
      <c r="L496" t="inlineStr">
        <is>
          <t>24 / 17</t>
        </is>
      </c>
      <c r="M496" s="5" t="n">
        <v>0.59</v>
      </c>
      <c r="N496" s="5" t="n">
        <v>0.59</v>
      </c>
    </row>
    <row r="497">
      <c r="A497" t="n">
        <v>496</v>
      </c>
      <c r="B497" t="n">
        <v>2013</v>
      </c>
      <c r="C497" t="inlineStr">
        <is>
          <t>Avonlyn Long</t>
        </is>
      </c>
      <c r="D497">
        <f>HYPERLINK("https://ota.tournamentsoftware.com/player-profile/750061EB-6049-44F3-9B6E-4DE9428D7158", "Link")</f>
        <v/>
      </c>
      <c r="E497" s="3" t="n">
        <v>83.592</v>
      </c>
      <c r="F497" s="4" t="n">
        <v>3</v>
      </c>
      <c r="G497" t="inlineStr">
        <is>
          <t>Ontario Tennis Association</t>
        </is>
      </c>
      <c r="H497" t="inlineStr">
        <is>
          <t>Carleton Tennis Centre</t>
        </is>
      </c>
      <c r="I497" t="n">
        <v>39</v>
      </c>
      <c r="J497" s="4" t="n">
        <v>12</v>
      </c>
      <c r="K497" t="inlineStr">
        <is>
          <t>1 / 11</t>
        </is>
      </c>
      <c r="L497" t="inlineStr">
        <is>
          <t>1 / 3</t>
        </is>
      </c>
      <c r="M497" s="5" t="n">
        <v>0.08</v>
      </c>
      <c r="N497" s="5" t="n">
        <v>0.25</v>
      </c>
    </row>
    <row r="498">
      <c r="A498" t="n">
        <v>497</v>
      </c>
      <c r="B498" t="n">
        <v>2013</v>
      </c>
      <c r="C498" t="inlineStr">
        <is>
          <t>Helena Nastic</t>
        </is>
      </c>
      <c r="D498">
        <f>HYPERLINK("https://ota.tournamentsoftware.com/player-profile/384CD39C-50E9-4DF1-B1AD-85571147C1F9", "Link")</f>
        <v/>
      </c>
      <c r="E498" s="3" t="n">
        <v>83.06399999999999</v>
      </c>
      <c r="F498" s="4" t="n">
        <v>8</v>
      </c>
      <c r="G498" t="inlineStr">
        <is>
          <t>Ontario Tennis Association</t>
        </is>
      </c>
      <c r="H498" t="inlineStr">
        <is>
          <t>Royal City Tennis Club</t>
        </is>
      </c>
      <c r="I498" t="inlineStr">
        <is>
          <t>unavailable</t>
        </is>
      </c>
      <c r="J498" s="4" t="n">
        <v>38</v>
      </c>
      <c r="K498" t="inlineStr">
        <is>
          <t>19 / 19</t>
        </is>
      </c>
      <c r="L498" t="inlineStr">
        <is>
          <t>0 / 5</t>
        </is>
      </c>
      <c r="M498" s="5" t="n">
        <v>0.5</v>
      </c>
      <c r="N498" s="5" t="n">
        <v>0</v>
      </c>
    </row>
    <row r="499">
      <c r="A499" t="n">
        <v>498</v>
      </c>
      <c r="B499" t="n">
        <v>2013</v>
      </c>
      <c r="C499" t="inlineStr">
        <is>
          <t>Emilia Sofia Urkedal</t>
        </is>
      </c>
      <c r="D499">
        <f>HYPERLINK("https://ota.tournamentsoftware.com/player-profile/381713CB-202F-43FD-B96F-4B364BE2EE52", "Link")</f>
        <v/>
      </c>
      <c r="E499" s="3" t="n">
        <v>81.57299999999999</v>
      </c>
      <c r="F499" s="4" t="n">
        <v>9</v>
      </c>
      <c r="G499" t="inlineStr">
        <is>
          <t>Ontario Tennis Association</t>
        </is>
      </c>
      <c r="H499" t="inlineStr">
        <is>
          <t>Greenhills Golf Club</t>
        </is>
      </c>
      <c r="I499" t="n">
        <v>37</v>
      </c>
      <c r="J499" s="4" t="n">
        <v>69</v>
      </c>
      <c r="K499" t="inlineStr">
        <is>
          <t>17 / 52</t>
        </is>
      </c>
      <c r="L499" t="inlineStr">
        <is>
          <t>4 / 7</t>
        </is>
      </c>
      <c r="M499" s="5" t="n">
        <v>0.25</v>
      </c>
      <c r="N499" s="5" t="n">
        <v>0.36</v>
      </c>
    </row>
    <row r="500">
      <c r="A500" t="n">
        <v>499</v>
      </c>
      <c r="B500" t="n">
        <v>2015</v>
      </c>
      <c r="C500" t="inlineStr">
        <is>
          <t>Ellieann Jean Baker</t>
        </is>
      </c>
      <c r="D500">
        <f>HYPERLINK("https://ota.tournamentsoftware.com/player-profile/059CF7FD-B4FA-4522-AF55-9B2138153D9C", "Link")</f>
        <v/>
      </c>
      <c r="E500" s="3" t="n">
        <v>81.10299999999999</v>
      </c>
      <c r="F500" s="4" t="n">
        <v>9</v>
      </c>
      <c r="G500" t="inlineStr">
        <is>
          <t>Tennis Alberta</t>
        </is>
      </c>
      <c r="H500" t="inlineStr">
        <is>
          <t>Aforza</t>
        </is>
      </c>
      <c r="I500" t="n">
        <v>36.8</v>
      </c>
      <c r="J500" s="4" t="n">
        <v>109</v>
      </c>
      <c r="K500" t="inlineStr">
        <is>
          <t>45 / 64</t>
        </is>
      </c>
      <c r="L500" t="inlineStr">
        <is>
          <t>4 / 11</t>
        </is>
      </c>
      <c r="M500" s="5" t="n">
        <v>0.41</v>
      </c>
      <c r="N500" s="5" t="n">
        <v>0.27</v>
      </c>
    </row>
    <row r="501">
      <c r="A501" t="n">
        <v>500</v>
      </c>
      <c r="B501" t="n">
        <v>2015</v>
      </c>
      <c r="C501" t="inlineStr">
        <is>
          <t>Doreen Bowen Mao</t>
        </is>
      </c>
      <c r="D501">
        <f>HYPERLINK("https://ota.tournamentsoftware.com/player-profile/24478EB2-203F-4DE3-92C9-B16D9A60F77F", "Link")</f>
        <v/>
      </c>
      <c r="E501" s="3" t="n">
        <v>80.43600000000001</v>
      </c>
      <c r="F501" s="4" t="n">
        <v>14</v>
      </c>
      <c r="G501" t="inlineStr">
        <is>
          <t>Ontario Tennis Association</t>
        </is>
      </c>
      <c r="H501" t="inlineStr">
        <is>
          <t>Joshua Creek Golf &amp; Tennis</t>
        </is>
      </c>
      <c r="I501" t="n">
        <v>37</v>
      </c>
      <c r="J501" s="4" t="n">
        <v>77</v>
      </c>
      <c r="K501" t="inlineStr">
        <is>
          <t>32 / 45</t>
        </is>
      </c>
      <c r="L501" t="inlineStr">
        <is>
          <t>17 / 20</t>
        </is>
      </c>
      <c r="M501" s="5" t="n">
        <v>0.42</v>
      </c>
      <c r="N501" s="5" t="n">
        <v>0.46</v>
      </c>
    </row>
    <row r="502">
      <c r="A502" t="n">
        <v>501</v>
      </c>
      <c r="B502" t="n">
        <v>2015</v>
      </c>
      <c r="C502" t="inlineStr">
        <is>
          <t>Isla Suokas</t>
        </is>
      </c>
      <c r="D502">
        <f>HYPERLINK("https://ota.tournamentsoftware.com/player-profile/4CF0CDA6-2600-4F1B-8775-31212B766E74", "Link")</f>
        <v/>
      </c>
      <c r="E502" s="3" t="n">
        <v>80.40000000000001</v>
      </c>
      <c r="F502" s="4" t="n">
        <v>17</v>
      </c>
      <c r="G502" t="inlineStr">
        <is>
          <t>Ontario Tennis Association</t>
        </is>
      </c>
      <c r="H502" t="inlineStr">
        <is>
          <t>Boulevard Club</t>
        </is>
      </c>
      <c r="I502" t="n">
        <v>35.9</v>
      </c>
      <c r="J502" s="4" t="n">
        <v>89</v>
      </c>
      <c r="K502" t="inlineStr">
        <is>
          <t>52 / 37</t>
        </is>
      </c>
      <c r="L502" t="inlineStr">
        <is>
          <t>17 / 14</t>
        </is>
      </c>
      <c r="M502" s="5" t="n">
        <v>0.58</v>
      </c>
      <c r="N502" s="5" t="n">
        <v>0.55</v>
      </c>
    </row>
    <row r="503">
      <c r="A503" t="n">
        <v>502</v>
      </c>
      <c r="B503" t="n">
        <v>2015</v>
      </c>
      <c r="C503" t="inlineStr">
        <is>
          <t>Savannah Billings</t>
        </is>
      </c>
      <c r="D503">
        <f>HYPERLINK("https://ota.tournamentsoftware.com/player-profile/3C86C2A1-7881-4E07-A889-C842F4C67652", "Link")</f>
        <v/>
      </c>
      <c r="E503" s="3" t="n">
        <v>79.464</v>
      </c>
      <c r="F503" s="4" t="n">
        <v>5</v>
      </c>
      <c r="G503" t="inlineStr">
        <is>
          <t>Tennis Québec</t>
        </is>
      </c>
      <c r="H503" t="inlineStr">
        <is>
          <t>Club Avantage Multi-sports / Académie de tennis Hérisset Bordeleau</t>
        </is>
      </c>
      <c r="I503" t="n">
        <v>30.4</v>
      </c>
      <c r="J503" s="4" t="n">
        <v>13</v>
      </c>
      <c r="K503" t="inlineStr">
        <is>
          <t>8 / 5</t>
        </is>
      </c>
      <c r="L503" t="inlineStr">
        <is>
          <t>8 / 3</t>
        </is>
      </c>
      <c r="M503" s="5" t="n">
        <v>0.62</v>
      </c>
      <c r="N503" s="5" t="n">
        <v>0.73</v>
      </c>
    </row>
    <row r="504">
      <c r="A504" t="n">
        <v>503</v>
      </c>
      <c r="B504" t="n">
        <v>2015</v>
      </c>
      <c r="C504" t="inlineStr">
        <is>
          <t>Mia Gidaro</t>
        </is>
      </c>
      <c r="D504">
        <f>HYPERLINK("https://ota.tournamentsoftware.com/player-profile/17357D82-FEBE-483D-8054-F1F6B85AD8A5", "Link")</f>
        <v/>
      </c>
      <c r="E504" s="3" t="n">
        <v>79.46299999999999</v>
      </c>
      <c r="F504" s="4" t="n">
        <v>12</v>
      </c>
      <c r="G504" t="inlineStr">
        <is>
          <t>Ontario Tennis Association</t>
        </is>
      </c>
      <c r="H504" t="inlineStr">
        <is>
          <t>Baby Point Tennis Club</t>
        </is>
      </c>
      <c r="I504" t="n">
        <v>37.1</v>
      </c>
      <c r="J504" s="4" t="n">
        <v>61</v>
      </c>
      <c r="K504" t="inlineStr">
        <is>
          <t>24 / 37</t>
        </is>
      </c>
      <c r="L504" t="inlineStr">
        <is>
          <t>3 / 7</t>
        </is>
      </c>
      <c r="M504" s="5" t="n">
        <v>0.39</v>
      </c>
      <c r="N504" s="5" t="n">
        <v>0.3</v>
      </c>
    </row>
    <row r="505">
      <c r="A505" t="n">
        <v>504</v>
      </c>
      <c r="B505" t="n">
        <v>2014</v>
      </c>
      <c r="C505" t="inlineStr">
        <is>
          <t>Aditri Mundhra</t>
        </is>
      </c>
      <c r="D505">
        <f>HYPERLINK("https://ota.tournamentsoftware.com/player-profile/C7A9A9F1-2DF6-42CD-AA71-F15C9BFFA6EB", "Link")</f>
        <v/>
      </c>
      <c r="E505" s="3" t="n">
        <v>78.45099999999999</v>
      </c>
      <c r="F505" s="4" t="n">
        <v>16</v>
      </c>
      <c r="G505" t="inlineStr">
        <is>
          <t>British Columbia</t>
        </is>
      </c>
      <c r="H505" t="inlineStr">
        <is>
          <t>The Tennis Centre</t>
        </is>
      </c>
      <c r="I505" t="n">
        <v>34.9</v>
      </c>
      <c r="J505" s="4" t="n">
        <v>47</v>
      </c>
      <c r="K505" t="inlineStr">
        <is>
          <t>18 / 29</t>
        </is>
      </c>
      <c r="L505" t="inlineStr">
        <is>
          <t>14 / 16</t>
        </is>
      </c>
      <c r="M505" s="5" t="n">
        <v>0.38</v>
      </c>
      <c r="N505" s="5" t="n">
        <v>0.47</v>
      </c>
    </row>
    <row r="506">
      <c r="A506" t="n">
        <v>505</v>
      </c>
      <c r="B506" t="n">
        <v>2013</v>
      </c>
      <c r="C506" t="inlineStr">
        <is>
          <t>Lolia Abdrabou</t>
        </is>
      </c>
      <c r="D506">
        <f>HYPERLINK("https://ota.tournamentsoftware.com/player-profile/02101E1E-CCDA-437A-A3E7-8CBDBA76F674", "Link")</f>
        <v/>
      </c>
      <c r="E506" s="3" t="n">
        <v>77.999</v>
      </c>
      <c r="F506" s="4" t="n">
        <v>5</v>
      </c>
      <c r="G506" t="inlineStr">
        <is>
          <t>Tennis Nova Scotia</t>
        </is>
      </c>
      <c r="H506" t="inlineStr">
        <is>
          <t>HEADSTART</t>
        </is>
      </c>
      <c r="I506" t="n">
        <v>35.6</v>
      </c>
      <c r="J506" s="4" t="n">
        <v>22</v>
      </c>
      <c r="K506" t="inlineStr">
        <is>
          <t>13 / 9</t>
        </is>
      </c>
      <c r="L506" t="inlineStr">
        <is>
          <t>2 / 4</t>
        </is>
      </c>
      <c r="M506" s="5" t="n">
        <v>0.59</v>
      </c>
      <c r="N506" s="5" t="n">
        <v>0.33</v>
      </c>
    </row>
    <row r="507">
      <c r="A507" t="n">
        <v>506</v>
      </c>
      <c r="B507" t="n">
        <v>2012</v>
      </c>
      <c r="C507" t="inlineStr">
        <is>
          <t>Clémence Martin</t>
        </is>
      </c>
      <c r="D507">
        <f>HYPERLINK("https://ota.tournamentsoftware.com/player-profile/CF2B02DD-EFB8-49FD-8774-B98F78A30C1A", "Link")</f>
        <v/>
      </c>
      <c r="E507" s="3" t="n">
        <v>77.863</v>
      </c>
      <c r="F507" s="4" t="n">
        <v>3</v>
      </c>
      <c r="G507" t="inlineStr">
        <is>
          <t>Tennis Québec</t>
        </is>
      </c>
      <c r="H507" t="inlineStr">
        <is>
          <t>Centre sportif Sport Scène / Élite Tennis Académie</t>
        </is>
      </c>
      <c r="I507" t="n">
        <v>35.2</v>
      </c>
      <c r="J507" s="4" t="n">
        <v>28</v>
      </c>
      <c r="K507" t="inlineStr">
        <is>
          <t>15 / 13</t>
        </is>
      </c>
      <c r="L507" t="inlineStr">
        <is>
          <t>1 / 3</t>
        </is>
      </c>
      <c r="M507" s="5" t="n">
        <v>0.54</v>
      </c>
      <c r="N507" s="5" t="n">
        <v>0.25</v>
      </c>
    </row>
    <row r="508">
      <c r="A508" t="n">
        <v>507</v>
      </c>
      <c r="B508" t="n">
        <v>2014</v>
      </c>
      <c r="C508" t="inlineStr">
        <is>
          <t>Olivia Hesse</t>
        </is>
      </c>
      <c r="D508">
        <f>HYPERLINK("https://ota.tournamentsoftware.com/player-profile/18AF6D11-FB26-470D-81A9-00DC98F16884", "Link")</f>
        <v/>
      </c>
      <c r="E508" s="3" t="n">
        <v>77.577</v>
      </c>
      <c r="F508" s="4" t="n">
        <v>8</v>
      </c>
      <c r="G508" t="inlineStr">
        <is>
          <t>Ontario Tennis Association</t>
        </is>
      </c>
      <c r="H508" t="inlineStr">
        <is>
          <t>Boulevard Club</t>
        </is>
      </c>
      <c r="I508" t="n">
        <v>36.7</v>
      </c>
      <c r="J508" s="4" t="n">
        <v>61</v>
      </c>
      <c r="K508" t="inlineStr">
        <is>
          <t>24 / 37</t>
        </is>
      </c>
      <c r="L508" t="inlineStr">
        <is>
          <t>6 / 8</t>
        </is>
      </c>
      <c r="M508" s="5" t="n">
        <v>0.39</v>
      </c>
      <c r="N508" s="5" t="n">
        <v>0.43</v>
      </c>
    </row>
    <row r="509">
      <c r="A509" t="n">
        <v>508</v>
      </c>
      <c r="B509" t="n">
        <v>2014</v>
      </c>
      <c r="C509" t="inlineStr">
        <is>
          <t>Yue Zhang</t>
        </is>
      </c>
      <c r="D509">
        <f>HYPERLINK("https://ota.tournamentsoftware.com/player-profile/85239D79-7080-4052-A527-EE7F087184E4", "Link")</f>
        <v/>
      </c>
      <c r="E509" s="3" t="n">
        <v>76.623</v>
      </c>
      <c r="F509" s="4" t="n">
        <v>6</v>
      </c>
      <c r="G509" t="inlineStr">
        <is>
          <t>Tennis Nova Scotia</t>
        </is>
      </c>
      <c r="H509" t="inlineStr">
        <is>
          <t>Atlantic Tennis Centre</t>
        </is>
      </c>
      <c r="I509" t="n">
        <v>38.1</v>
      </c>
      <c r="J509" s="4" t="n">
        <v>36</v>
      </c>
      <c r="K509" t="inlineStr">
        <is>
          <t>14 / 22</t>
        </is>
      </c>
      <c r="L509" t="inlineStr">
        <is>
          <t>5 / 11</t>
        </is>
      </c>
      <c r="M509" s="5" t="n">
        <v>0.39</v>
      </c>
      <c r="N509" s="5" t="n">
        <v>0.31</v>
      </c>
    </row>
    <row r="510">
      <c r="A510" t="n">
        <v>509</v>
      </c>
      <c r="B510" t="n">
        <v>2013</v>
      </c>
      <c r="C510" t="inlineStr">
        <is>
          <t>Eva Eile</t>
        </is>
      </c>
      <c r="D510">
        <f>HYPERLINK("https://ota.tournamentsoftware.com/player-profile/EE5E7036-3979-48DF-A095-8C40584653EF", "Link")</f>
        <v/>
      </c>
      <c r="E510" s="3" t="n">
        <v>75.67100000000001</v>
      </c>
      <c r="F510" s="4" t="n">
        <v>10</v>
      </c>
      <c r="G510" t="inlineStr">
        <is>
          <t>Tennis Québec</t>
        </is>
      </c>
      <c r="H510" t="inlineStr">
        <is>
          <t>Midtown Le Sporting Club Sanctuaire</t>
        </is>
      </c>
      <c r="I510" t="n">
        <v>38.9</v>
      </c>
      <c r="J510" s="4" t="n">
        <v>18</v>
      </c>
      <c r="K510" t="inlineStr">
        <is>
          <t>3 / 15</t>
        </is>
      </c>
      <c r="L510" t="inlineStr">
        <is>
          <t>0 / 4</t>
        </is>
      </c>
      <c r="M510" s="5" t="n">
        <v>0.17</v>
      </c>
      <c r="N510" s="5" t="n">
        <v>0</v>
      </c>
    </row>
    <row r="511">
      <c r="A511" t="n">
        <v>510</v>
      </c>
      <c r="B511" t="n">
        <v>2015</v>
      </c>
      <c r="C511" t="inlineStr">
        <is>
          <t>zhiyi li</t>
        </is>
      </c>
      <c r="D511">
        <f>HYPERLINK("https://ota.tournamentsoftware.com/player-profile/262E56E9-3220-45C2-961D-ACE763C5C345", "Link")</f>
        <v/>
      </c>
      <c r="E511" s="3" t="n">
        <v>74.52</v>
      </c>
      <c r="F511" s="4" t="n">
        <v>10</v>
      </c>
      <c r="G511" t="inlineStr">
        <is>
          <t>Ontario Tennis Association</t>
        </is>
      </c>
      <c r="H511" t="inlineStr">
        <is>
          <t>Rideau Sports Centre</t>
        </is>
      </c>
      <c r="I511" t="n">
        <v>35.8</v>
      </c>
      <c r="J511" s="4" t="n">
        <v>83</v>
      </c>
      <c r="K511" t="inlineStr">
        <is>
          <t>44 / 39</t>
        </is>
      </c>
      <c r="L511" t="inlineStr">
        <is>
          <t>8 / 9</t>
        </is>
      </c>
      <c r="M511" s="5" t="n">
        <v>0.53</v>
      </c>
      <c r="N511" s="5" t="n">
        <v>0.47</v>
      </c>
    </row>
    <row r="512">
      <c r="A512" t="n">
        <v>511</v>
      </c>
      <c r="B512" t="n">
        <v>2013</v>
      </c>
      <c r="C512" t="inlineStr">
        <is>
          <t>Emma Victoria Chan</t>
        </is>
      </c>
      <c r="D512">
        <f>HYPERLINK("https://ota.tournamentsoftware.com/player-profile/29822B25-6004-4E31-822F-CF8FF1CD9AB7", "Link")</f>
        <v/>
      </c>
      <c r="E512" s="3" t="n">
        <v>74.184</v>
      </c>
      <c r="F512" s="4" t="n">
        <v>8</v>
      </c>
      <c r="G512" t="inlineStr">
        <is>
          <t>Ontario Tennis Association</t>
        </is>
      </c>
      <c r="H512" t="inlineStr">
        <is>
          <t>Joshua Creek Golf &amp; Tennis</t>
        </is>
      </c>
      <c r="I512" t="n">
        <v>36.4</v>
      </c>
      <c r="J512" s="4" t="n">
        <v>64</v>
      </c>
      <c r="K512" t="inlineStr">
        <is>
          <t>40 / 24</t>
        </is>
      </c>
      <c r="L512" t="inlineStr">
        <is>
          <t>12 / 4</t>
        </is>
      </c>
      <c r="M512" s="5" t="n">
        <v>0.62</v>
      </c>
      <c r="N512" s="5" t="n">
        <v>0.75</v>
      </c>
    </row>
    <row r="513">
      <c r="A513" t="n">
        <v>512</v>
      </c>
      <c r="B513" t="n">
        <v>2013</v>
      </c>
      <c r="C513" t="inlineStr">
        <is>
          <t>Isabelle Duvinage</t>
        </is>
      </c>
      <c r="D513">
        <f>HYPERLINK("https://ota.tournamentsoftware.com/player-profile/7B9DB032-AD8C-41C5-A138-CF844016B7C1", "Link")</f>
        <v/>
      </c>
      <c r="E513" s="3" t="n">
        <v>72.459</v>
      </c>
      <c r="F513" s="4" t="n">
        <v>4</v>
      </c>
      <c r="G513" t="inlineStr">
        <is>
          <t>Ontario Tennis Association</t>
        </is>
      </c>
      <c r="H513" t="inlineStr">
        <is>
          <t>Kew Gardens Tennis Club</t>
        </is>
      </c>
      <c r="I513" t="n">
        <v>37.7</v>
      </c>
      <c r="J513" s="4" t="n">
        <v>37</v>
      </c>
      <c r="K513" t="inlineStr">
        <is>
          <t>12 / 25</t>
        </is>
      </c>
      <c r="L513" t="inlineStr">
        <is>
          <t>1 / 5</t>
        </is>
      </c>
      <c r="M513" s="5" t="n">
        <v>0.32</v>
      </c>
      <c r="N513" s="5" t="n">
        <v>0.17</v>
      </c>
    </row>
    <row r="514">
      <c r="A514" t="n">
        <v>513</v>
      </c>
      <c r="B514" t="n">
        <v>2016</v>
      </c>
      <c r="C514" t="inlineStr">
        <is>
          <t>Grace SHI</t>
        </is>
      </c>
      <c r="D514">
        <f>HYPERLINK("https://ota.tournamentsoftware.com/player-profile/71A1D6E1-33D1-46A0-AF21-F397AE1BA314", "Link")</f>
        <v/>
      </c>
      <c r="E514" s="3" t="n">
        <v>70.416</v>
      </c>
      <c r="F514" s="4" t="n">
        <v>10</v>
      </c>
      <c r="G514" t="inlineStr">
        <is>
          <t>British Columbia</t>
        </is>
      </c>
      <c r="H514" t="inlineStr">
        <is>
          <t>No Club</t>
        </is>
      </c>
      <c r="I514" t="n">
        <v>38.4</v>
      </c>
      <c r="J514" s="4" t="n">
        <v>48</v>
      </c>
      <c r="K514" t="inlineStr">
        <is>
          <t>16 / 32</t>
        </is>
      </c>
      <c r="L514" t="inlineStr">
        <is>
          <t>9 / 13</t>
        </is>
      </c>
      <c r="M514" s="5" t="n">
        <v>0.33</v>
      </c>
      <c r="N514" s="5" t="n">
        <v>0.41</v>
      </c>
    </row>
    <row r="515">
      <c r="A515" t="n">
        <v>514</v>
      </c>
      <c r="B515" t="n">
        <v>2013</v>
      </c>
      <c r="C515" t="inlineStr">
        <is>
          <t>Lydia Squires-Sturge</t>
        </is>
      </c>
      <c r="D515">
        <f>HYPERLINK("https://ota.tournamentsoftware.com/player-profile/AD6D5BEF-6293-4DE8-BF13-52E1A33EF28B", "Link")</f>
        <v/>
      </c>
      <c r="E515" s="3" t="n">
        <v>69.855</v>
      </c>
      <c r="F515" s="4" t="n">
        <v>5</v>
      </c>
      <c r="G515" t="inlineStr">
        <is>
          <t>Tennis Newfoundland &amp; Labrador</t>
        </is>
      </c>
      <c r="H515" t="inlineStr">
        <is>
          <t>Mount Pearl Tennis Club</t>
        </is>
      </c>
      <c r="I515" t="inlineStr">
        <is>
          <t>unavailable</t>
        </is>
      </c>
      <c r="J515" s="4" t="n">
        <v>23</v>
      </c>
      <c r="K515" t="inlineStr">
        <is>
          <t>7 / 16</t>
        </is>
      </c>
      <c r="L515" t="inlineStr">
        <is>
          <t>0 / 4</t>
        </is>
      </c>
      <c r="M515" s="5" t="n">
        <v>0.3</v>
      </c>
      <c r="N515" s="5" t="n">
        <v>0</v>
      </c>
    </row>
    <row r="516">
      <c r="A516" t="n">
        <v>515</v>
      </c>
      <c r="B516" t="n">
        <v>2013</v>
      </c>
      <c r="C516" t="inlineStr">
        <is>
          <t>Lilya Youssef</t>
        </is>
      </c>
      <c r="D516">
        <f>HYPERLINK("https://ota.tournamentsoftware.com/player-profile/E4A52F0A-7400-4236-ACEF-6680D7FB1262", "Link")</f>
        <v/>
      </c>
      <c r="E516" s="3" t="n">
        <v>69.61</v>
      </c>
      <c r="F516" s="4" t="n">
        <v>3</v>
      </c>
      <c r="G516" t="inlineStr">
        <is>
          <t>Tennis Québec</t>
        </is>
      </c>
      <c r="H516" t="inlineStr">
        <is>
          <t>Tennis 13</t>
        </is>
      </c>
      <c r="I516" t="inlineStr">
        <is>
          <t>unavailable</t>
        </is>
      </c>
      <c r="J516" s="4" t="n">
        <v>10</v>
      </c>
      <c r="K516" t="inlineStr">
        <is>
          <t>5 / 5</t>
        </is>
      </c>
      <c r="L516" t="inlineStr">
        <is>
          <t>5 / 5</t>
        </is>
      </c>
      <c r="M516" s="5" t="n">
        <v>0.5</v>
      </c>
      <c r="N516" s="5" t="n">
        <v>0.5</v>
      </c>
    </row>
    <row r="517">
      <c r="A517" t="n">
        <v>516</v>
      </c>
      <c r="B517" t="n">
        <v>2015</v>
      </c>
      <c r="C517" t="inlineStr">
        <is>
          <t>Emilia Ho</t>
        </is>
      </c>
      <c r="D517">
        <f>HYPERLINK("https://ota.tournamentsoftware.com/player-profile/91D4EC27-5C11-4119-B45C-F3809BFF1CF1", "Link")</f>
        <v/>
      </c>
      <c r="E517" s="3" t="n">
        <v>69.21299999999999</v>
      </c>
      <c r="F517" s="4" t="n">
        <v>16</v>
      </c>
      <c r="G517" t="inlineStr">
        <is>
          <t>Tennis Alberta</t>
        </is>
      </c>
      <c r="H517" t="inlineStr">
        <is>
          <t>Osten &amp; Victor Alberta Tennis Centre</t>
        </is>
      </c>
      <c r="I517" t="n">
        <v>34.6</v>
      </c>
      <c r="J517" s="4" t="n">
        <v>133</v>
      </c>
      <c r="K517" t="inlineStr">
        <is>
          <t>69 / 64</t>
        </is>
      </c>
      <c r="L517" t="inlineStr">
        <is>
          <t>15 / 16</t>
        </is>
      </c>
      <c r="M517" s="5" t="n">
        <v>0.52</v>
      </c>
      <c r="N517" s="5" t="n">
        <v>0.48</v>
      </c>
    </row>
    <row r="518">
      <c r="A518" t="n">
        <v>517</v>
      </c>
      <c r="B518" t="n">
        <v>2016</v>
      </c>
      <c r="C518" t="inlineStr">
        <is>
          <t>Evelyn May</t>
        </is>
      </c>
      <c r="D518">
        <f>HYPERLINK("https://ota.tournamentsoftware.com/player-profile/ABFB9C06-ABE9-4B21-BF57-67179CC1CD5D", "Link")</f>
        <v/>
      </c>
      <c r="E518" s="3" t="n">
        <v>68.914</v>
      </c>
      <c r="F518" s="4" t="n">
        <v>13</v>
      </c>
      <c r="G518" t="inlineStr">
        <is>
          <t>Tennis Québec</t>
        </is>
      </c>
      <c r="H518" t="inlineStr">
        <is>
          <t>Tennis 13 / Académie Ménard et associé</t>
        </is>
      </c>
      <c r="I518" t="n">
        <v>34</v>
      </c>
      <c r="J518" s="4" t="n">
        <v>178</v>
      </c>
      <c r="K518" t="inlineStr">
        <is>
          <t>110 / 68</t>
        </is>
      </c>
      <c r="L518" t="inlineStr">
        <is>
          <t>13 / 12</t>
        </is>
      </c>
      <c r="M518" s="5" t="n">
        <v>0.62</v>
      </c>
      <c r="N518" s="5" t="n">
        <v>0.52</v>
      </c>
    </row>
    <row r="519">
      <c r="A519" t="n">
        <v>518</v>
      </c>
      <c r="B519" t="n">
        <v>2014</v>
      </c>
      <c r="C519" t="inlineStr">
        <is>
          <t>Alexis Sokol</t>
        </is>
      </c>
      <c r="D519">
        <f>HYPERLINK("https://ota.tournamentsoftware.com/player-profile/8337D953-FBB9-45F2-B72A-FF18B572FA6A", "Link")</f>
        <v/>
      </c>
      <c r="E519" s="3" t="n">
        <v>68.806</v>
      </c>
      <c r="F519" s="4" t="n">
        <v>9</v>
      </c>
      <c r="G519" t="inlineStr">
        <is>
          <t>Tennis Alberta</t>
        </is>
      </c>
      <c r="H519" t="inlineStr">
        <is>
          <t>Saville Community Sports Centre</t>
        </is>
      </c>
      <c r="I519" t="n">
        <v>36.5</v>
      </c>
      <c r="J519" s="4" t="n">
        <v>21</v>
      </c>
      <c r="K519" t="inlineStr">
        <is>
          <t>8 / 13</t>
        </is>
      </c>
      <c r="L519" t="inlineStr">
        <is>
          <t>6 / 9</t>
        </is>
      </c>
      <c r="M519" s="5" t="n">
        <v>0.38</v>
      </c>
      <c r="N519" s="5" t="n">
        <v>0.4</v>
      </c>
    </row>
    <row r="520">
      <c r="A520" t="n">
        <v>519</v>
      </c>
      <c r="B520" t="n">
        <v>2014</v>
      </c>
      <c r="C520" t="inlineStr">
        <is>
          <t>Kaitlynn Xie</t>
        </is>
      </c>
      <c r="D520">
        <f>HYPERLINK("https://ota.tournamentsoftware.com/player-profile/25655CF4-99DC-4E1E-BE40-C11FF6785117", "Link")</f>
        <v/>
      </c>
      <c r="E520" s="3" t="n">
        <v>68.715</v>
      </c>
      <c r="F520" s="4" t="n">
        <v>8</v>
      </c>
      <c r="G520" t="inlineStr">
        <is>
          <t>Tennis Alberta</t>
        </is>
      </c>
      <c r="H520" t="inlineStr">
        <is>
          <t>Saville Community Sports Centre</t>
        </is>
      </c>
      <c r="I520" t="n">
        <v>34.2</v>
      </c>
      <c r="J520" s="4" t="n">
        <v>57</v>
      </c>
      <c r="K520" t="inlineStr">
        <is>
          <t>19 / 38</t>
        </is>
      </c>
      <c r="L520" t="inlineStr">
        <is>
          <t>7 / 12</t>
        </is>
      </c>
      <c r="M520" s="5" t="n">
        <v>0.33</v>
      </c>
      <c r="N520" s="5" t="n">
        <v>0.37</v>
      </c>
    </row>
    <row r="521">
      <c r="A521" t="n">
        <v>520</v>
      </c>
      <c r="B521" t="n">
        <v>2014</v>
      </c>
      <c r="C521" t="inlineStr">
        <is>
          <t>Sareen Kaur Hehar</t>
        </is>
      </c>
      <c r="D521">
        <f>HYPERLINK("https://ota.tournamentsoftware.com/player-profile/07D185FB-AE5B-444B-BAE8-058B536108E2", "Link")</f>
        <v/>
      </c>
      <c r="E521" s="3" t="n">
        <v>67.908</v>
      </c>
      <c r="F521" s="4" t="n">
        <v>13</v>
      </c>
      <c r="G521" t="inlineStr">
        <is>
          <t>British Columbia</t>
        </is>
      </c>
      <c r="H521" t="inlineStr">
        <is>
          <t>No Club</t>
        </is>
      </c>
      <c r="I521" t="n">
        <v>35.7</v>
      </c>
      <c r="J521" s="4" t="n">
        <v>197</v>
      </c>
      <c r="K521" t="inlineStr">
        <is>
          <t>75 / 122</t>
        </is>
      </c>
      <c r="L521" t="inlineStr">
        <is>
          <t>5 / 10</t>
        </is>
      </c>
      <c r="M521" s="5" t="n">
        <v>0.38</v>
      </c>
      <c r="N521" s="5" t="n">
        <v>0.33</v>
      </c>
    </row>
    <row r="522">
      <c r="A522" t="n">
        <v>521</v>
      </c>
      <c r="B522" t="n">
        <v>2014</v>
      </c>
      <c r="C522" t="inlineStr">
        <is>
          <t>Mioara Oulima Bouyela</t>
        </is>
      </c>
      <c r="D522">
        <f>HYPERLINK("https://ota.tournamentsoftware.com/player-profile/44DDF62F-2675-4E36-B215-8515347ABD9E", "Link")</f>
        <v/>
      </c>
      <c r="E522" s="3" t="n">
        <v>67.357</v>
      </c>
      <c r="F522" s="4" t="n">
        <v>14</v>
      </c>
      <c r="G522" t="inlineStr">
        <is>
          <t>Tennis Québec</t>
        </is>
      </c>
      <c r="H522" t="inlineStr">
        <is>
          <t>Tennis 13</t>
        </is>
      </c>
      <c r="I522" t="n">
        <v>37.9</v>
      </c>
      <c r="J522" s="4" t="n">
        <v>81</v>
      </c>
      <c r="K522" t="inlineStr">
        <is>
          <t>33 / 48</t>
        </is>
      </c>
      <c r="L522" t="inlineStr">
        <is>
          <t>9 / 12</t>
        </is>
      </c>
      <c r="M522" s="5" t="n">
        <v>0.41</v>
      </c>
      <c r="N522" s="5" t="n">
        <v>0.43</v>
      </c>
    </row>
    <row r="523">
      <c r="A523" t="n">
        <v>522</v>
      </c>
      <c r="B523" t="n">
        <v>2013</v>
      </c>
      <c r="C523" t="inlineStr">
        <is>
          <t>Camélia Duong</t>
        </is>
      </c>
      <c r="D523">
        <f>HYPERLINK("https://ota.tournamentsoftware.com/player-profile/86B52BC3-1BF6-4334-8E35-8F6D2AF1C95B", "Link")</f>
        <v/>
      </c>
      <c r="E523" s="3" t="n">
        <v>67.227</v>
      </c>
      <c r="F523" s="4" t="n">
        <v>11</v>
      </c>
      <c r="G523" t="inlineStr">
        <is>
          <t>Tennis Québec</t>
        </is>
      </c>
      <c r="H523" t="inlineStr">
        <is>
          <t>Tennis Ile- des- Soeurs</t>
        </is>
      </c>
      <c r="I523" t="n">
        <v>38.3</v>
      </c>
      <c r="J523" s="4" t="n">
        <v>58</v>
      </c>
      <c r="K523" t="inlineStr">
        <is>
          <t>9 / 49</t>
        </is>
      </c>
      <c r="L523" t="inlineStr">
        <is>
          <t>1 / 6</t>
        </is>
      </c>
      <c r="M523" s="5" t="n">
        <v>0.16</v>
      </c>
      <c r="N523" s="5" t="n">
        <v>0.14</v>
      </c>
    </row>
    <row r="524">
      <c r="A524" t="n">
        <v>523</v>
      </c>
      <c r="B524" t="n">
        <v>2014</v>
      </c>
      <c r="C524" t="inlineStr">
        <is>
          <t>Melissa Elena Rusu</t>
        </is>
      </c>
      <c r="D524">
        <f>HYPERLINK("https://ota.tournamentsoftware.com/player-profile/9F55033D-1DF5-465D-A3A2-401E58DF9FEB", "Link")</f>
        <v/>
      </c>
      <c r="E524" s="3" t="n">
        <v>67.018</v>
      </c>
      <c r="F524" s="4" t="n">
        <v>15</v>
      </c>
      <c r="G524" t="inlineStr">
        <is>
          <t>Tennis Québec</t>
        </is>
      </c>
      <c r="H524" t="inlineStr">
        <is>
          <t>Carrefour Multisports - Haute Performance</t>
        </is>
      </c>
      <c r="I524" t="n">
        <v>37.7</v>
      </c>
      <c r="J524" s="4" t="n">
        <v>55</v>
      </c>
      <c r="K524" t="inlineStr">
        <is>
          <t>18 / 37</t>
        </is>
      </c>
      <c r="L524" t="inlineStr">
        <is>
          <t>3 / 14</t>
        </is>
      </c>
      <c r="M524" s="5" t="n">
        <v>0.33</v>
      </c>
      <c r="N524" s="5" t="n">
        <v>0.18</v>
      </c>
    </row>
    <row r="525">
      <c r="A525" t="n">
        <v>524</v>
      </c>
      <c r="B525" t="n">
        <v>2017</v>
      </c>
      <c r="C525" t="inlineStr">
        <is>
          <t>Siena Yang-frome</t>
        </is>
      </c>
      <c r="D525">
        <f>HYPERLINK("https://ota.tournamentsoftware.com/player-profile/07E78FFD-E9BB-462A-8A5B-4456E8FEB96D", "Link")</f>
        <v/>
      </c>
      <c r="E525" s="3" t="n">
        <v>66.974</v>
      </c>
      <c r="F525" s="4" t="n">
        <v>10</v>
      </c>
      <c r="G525" t="inlineStr">
        <is>
          <t>Ontario Tennis Association</t>
        </is>
      </c>
      <c r="H525" t="inlineStr">
        <is>
          <t>ACE Tennis - Burlington</t>
        </is>
      </c>
      <c r="I525" t="n">
        <v>36.4</v>
      </c>
      <c r="J525" s="4" t="n">
        <v>81</v>
      </c>
      <c r="K525" t="inlineStr">
        <is>
          <t>47 / 34</t>
        </is>
      </c>
      <c r="L525" t="inlineStr">
        <is>
          <t>9 / 11</t>
        </is>
      </c>
      <c r="M525" s="5" t="n">
        <v>0.58</v>
      </c>
      <c r="N525" s="5" t="n">
        <v>0.45</v>
      </c>
    </row>
    <row r="526">
      <c r="A526" t="n">
        <v>525</v>
      </c>
      <c r="B526" t="n">
        <v>2013</v>
      </c>
      <c r="C526" t="inlineStr">
        <is>
          <t>Victoria maya Carinci</t>
        </is>
      </c>
      <c r="D526">
        <f>HYPERLINK("https://ota.tournamentsoftware.com/player-profile/767AAF86-8D36-4699-8113-86AA6DA60CE4", "Link")</f>
        <v/>
      </c>
      <c r="E526" s="3" t="n">
        <v>66.372</v>
      </c>
      <c r="F526" s="4" t="n">
        <v>11</v>
      </c>
      <c r="G526" t="inlineStr">
        <is>
          <t>Ontario Tennis Association</t>
        </is>
      </c>
      <c r="H526" t="inlineStr">
        <is>
          <t>Concord Tennis Academy</t>
        </is>
      </c>
      <c r="I526" t="n">
        <v>39.8</v>
      </c>
      <c r="J526" s="4" t="n">
        <v>37</v>
      </c>
      <c r="K526" t="inlineStr">
        <is>
          <t>8 / 29</t>
        </is>
      </c>
      <c r="L526" t="inlineStr">
        <is>
          <t>0 / 8</t>
        </is>
      </c>
      <c r="M526" s="5" t="n">
        <v>0.22</v>
      </c>
      <c r="N526" s="5" t="n">
        <v>0</v>
      </c>
    </row>
    <row r="527">
      <c r="A527" t="n">
        <v>526</v>
      </c>
      <c r="B527" t="n">
        <v>2012</v>
      </c>
      <c r="C527" t="inlineStr">
        <is>
          <t>Daisy Brown</t>
        </is>
      </c>
      <c r="D527">
        <f>HYPERLINK("https://ota.tournamentsoftware.com/player-profile/9CF1A8A4-6BA5-46C8-92F4-3E802A738811", "Link")</f>
        <v/>
      </c>
      <c r="E527" s="3" t="n">
        <v>66.343</v>
      </c>
      <c r="F527" s="4" t="n">
        <v>6</v>
      </c>
      <c r="G527" t="inlineStr">
        <is>
          <t>British Columbia</t>
        </is>
      </c>
      <c r="H527" t="inlineStr">
        <is>
          <t>Oak Bay Recreation Centre</t>
        </is>
      </c>
      <c r="I527" t="n">
        <v>35.4</v>
      </c>
      <c r="J527" s="4" t="n">
        <v>59</v>
      </c>
      <c r="K527" t="inlineStr">
        <is>
          <t>33 / 26</t>
        </is>
      </c>
      <c r="L527" t="inlineStr">
        <is>
          <t>3 / 4</t>
        </is>
      </c>
      <c r="M527" s="5" t="n">
        <v>0.5600000000000001</v>
      </c>
      <c r="N527" s="5" t="n">
        <v>0.43</v>
      </c>
    </row>
    <row r="528">
      <c r="A528" t="n">
        <v>527</v>
      </c>
      <c r="B528" t="n">
        <v>2015</v>
      </c>
      <c r="C528" t="inlineStr">
        <is>
          <t>Brielle Ramirez Balos</t>
        </is>
      </c>
      <c r="D528">
        <f>HYPERLINK("https://ota.tournamentsoftware.com/player-profile/2F36BC35-A108-44F9-B705-6F2246749033", "Link")</f>
        <v/>
      </c>
      <c r="E528" s="3" t="n">
        <v>66.29000000000001</v>
      </c>
      <c r="F528" s="4" t="n">
        <v>9</v>
      </c>
      <c r="G528" t="inlineStr">
        <is>
          <t>Tennis Alberta</t>
        </is>
      </c>
      <c r="H528" t="inlineStr">
        <is>
          <t>Saville Community Sports Centre</t>
        </is>
      </c>
      <c r="I528" t="inlineStr">
        <is>
          <t>unavailable</t>
        </is>
      </c>
      <c r="J528" s="4" t="n">
        <v>65</v>
      </c>
      <c r="K528" t="inlineStr">
        <is>
          <t>37 / 28</t>
        </is>
      </c>
      <c r="L528" t="inlineStr">
        <is>
          <t>15 / 9</t>
        </is>
      </c>
      <c r="M528" s="5" t="n">
        <v>0.57</v>
      </c>
      <c r="N528" s="5" t="n">
        <v>0.62</v>
      </c>
    </row>
    <row r="529">
      <c r="A529" t="n">
        <v>528</v>
      </c>
      <c r="B529" t="n">
        <v>2014</v>
      </c>
      <c r="C529" t="inlineStr">
        <is>
          <t>Clarice de Azevedo Guedes</t>
        </is>
      </c>
      <c r="D529">
        <f>HYPERLINK("https://ota.tournamentsoftware.com/player-profile/027DF0F1-69E8-4220-8263-B26C4D1AFC70", "Link")</f>
        <v/>
      </c>
      <c r="E529" s="3" t="n">
        <v>66.087</v>
      </c>
      <c r="F529" s="4" t="n">
        <v>14</v>
      </c>
      <c r="G529" t="inlineStr">
        <is>
          <t>Tennis Québec</t>
        </is>
      </c>
      <c r="H529" t="inlineStr">
        <is>
          <t>Tennis 13</t>
        </is>
      </c>
      <c r="I529" t="inlineStr">
        <is>
          <t>unavailable</t>
        </is>
      </c>
      <c r="J529" s="4" t="n">
        <v>61</v>
      </c>
      <c r="K529" t="inlineStr">
        <is>
          <t>24 / 37</t>
        </is>
      </c>
      <c r="L529" t="inlineStr">
        <is>
          <t>10 / 11</t>
        </is>
      </c>
      <c r="M529" s="5" t="n">
        <v>0.39</v>
      </c>
      <c r="N529" s="5" t="n">
        <v>0.48</v>
      </c>
    </row>
    <row r="530">
      <c r="A530" t="n">
        <v>529</v>
      </c>
      <c r="B530" t="n">
        <v>2017</v>
      </c>
      <c r="C530" t="inlineStr">
        <is>
          <t>Chen Xi Zhou Kong</t>
        </is>
      </c>
      <c r="D530">
        <f>HYPERLINK("https://ota.tournamentsoftware.com/player-profile/E5CD94C9-63F9-419B-A6E9-CCB6DEF8B502", "Link")</f>
        <v/>
      </c>
      <c r="E530" s="3" t="n">
        <v>66</v>
      </c>
      <c r="F530" s="4" t="n">
        <v>20</v>
      </c>
      <c r="G530" t="inlineStr">
        <is>
          <t>Tennis Québec</t>
        </is>
      </c>
      <c r="H530" t="inlineStr">
        <is>
          <t>Académie Tennis Momentum (club extérieur)</t>
        </is>
      </c>
      <c r="I530" t="inlineStr">
        <is>
          <t>unavailable</t>
        </is>
      </c>
      <c r="J530" s="4" t="n">
        <v>113</v>
      </c>
      <c r="K530" t="inlineStr">
        <is>
          <t>52 / 61</t>
        </is>
      </c>
      <c r="L530" t="inlineStr">
        <is>
          <t>35 / 34</t>
        </is>
      </c>
      <c r="M530" s="5" t="n">
        <v>0.46</v>
      </c>
      <c r="N530" s="5" t="n">
        <v>0.51</v>
      </c>
    </row>
    <row r="531">
      <c r="A531" t="n">
        <v>530</v>
      </c>
      <c r="B531" t="n">
        <v>2015</v>
      </c>
      <c r="C531" t="inlineStr">
        <is>
          <t>Myra Shukla</t>
        </is>
      </c>
      <c r="D531">
        <f>HYPERLINK("https://ota.tournamentsoftware.com/player-profile/2F4B1A1D-35AC-45A0-9F5D-6D5533376D9A", "Link")</f>
        <v/>
      </c>
      <c r="E531" s="3" t="n">
        <v>65.806</v>
      </c>
      <c r="F531" s="4" t="n">
        <v>5</v>
      </c>
      <c r="G531" t="inlineStr">
        <is>
          <t>Ontario Tennis Association</t>
        </is>
      </c>
      <c r="H531" t="inlineStr">
        <is>
          <t>Veneto Tennis Club</t>
        </is>
      </c>
      <c r="I531" t="n">
        <v>36.4</v>
      </c>
      <c r="J531" s="4" t="n">
        <v>81</v>
      </c>
      <c r="K531" t="inlineStr">
        <is>
          <t>34 / 47</t>
        </is>
      </c>
      <c r="L531" t="inlineStr">
        <is>
          <t>1 / 4</t>
        </is>
      </c>
      <c r="M531" s="5" t="n">
        <v>0.42</v>
      </c>
      <c r="N531" s="5" t="n">
        <v>0.2</v>
      </c>
    </row>
    <row r="532">
      <c r="A532" t="n">
        <v>531</v>
      </c>
      <c r="B532" t="n">
        <v>2012</v>
      </c>
      <c r="C532" t="inlineStr">
        <is>
          <t>Diya Anand</t>
        </is>
      </c>
      <c r="D532">
        <f>HYPERLINK("https://ota.tournamentsoftware.com/player-profile/3939C1EF-E95B-4DD4-9208-81F6E4D5387F", "Link")</f>
        <v/>
      </c>
      <c r="E532" s="3" t="n">
        <v>65.70999999999999</v>
      </c>
      <c r="F532" s="4" t="n">
        <v>5</v>
      </c>
      <c r="G532" t="inlineStr">
        <is>
          <t>Ontario Tennis Association</t>
        </is>
      </c>
      <c r="H532" t="inlineStr">
        <is>
          <t>Rosedale Tennis Club (Hamilton)</t>
        </is>
      </c>
      <c r="I532" t="inlineStr">
        <is>
          <t>unavailable</t>
        </is>
      </c>
      <c r="J532" s="4" t="n">
        <v>20</v>
      </c>
      <c r="K532" t="inlineStr">
        <is>
          <t>4 / 16</t>
        </is>
      </c>
      <c r="L532" t="inlineStr">
        <is>
          <t>1 / 6</t>
        </is>
      </c>
      <c r="M532" s="5" t="n">
        <v>0.2</v>
      </c>
      <c r="N532" s="5" t="n">
        <v>0.14</v>
      </c>
    </row>
    <row r="533">
      <c r="A533" t="n">
        <v>532</v>
      </c>
      <c r="B533" t="n">
        <v>2014</v>
      </c>
      <c r="C533" t="inlineStr">
        <is>
          <t>Zoey Folashakin</t>
        </is>
      </c>
      <c r="D533">
        <f>HYPERLINK("https://ota.tournamentsoftware.com/player-profile/3301B942-3C8E-4FE4-9470-6F68EC47669D", "Link")</f>
        <v/>
      </c>
      <c r="E533" s="3" t="n">
        <v>65.664</v>
      </c>
      <c r="F533" s="4" t="n">
        <v>23</v>
      </c>
      <c r="G533" t="inlineStr">
        <is>
          <t>Ontario Tennis Association</t>
        </is>
      </c>
      <c r="H533" t="inlineStr">
        <is>
          <t>Joshua Creek Golf &amp; Tennis</t>
        </is>
      </c>
      <c r="I533" t="n">
        <v>36.7</v>
      </c>
      <c r="J533" s="4" t="n">
        <v>68</v>
      </c>
      <c r="K533" t="inlineStr">
        <is>
          <t>15 / 53</t>
        </is>
      </c>
      <c r="L533" t="inlineStr">
        <is>
          <t>11 / 14</t>
        </is>
      </c>
      <c r="M533" s="5" t="n">
        <v>0.22</v>
      </c>
      <c r="N533" s="5" t="n">
        <v>0.44</v>
      </c>
    </row>
    <row r="534">
      <c r="A534" t="n">
        <v>533</v>
      </c>
      <c r="B534" t="n">
        <v>2013</v>
      </c>
      <c r="C534" t="inlineStr">
        <is>
          <t>Robyn Abigail Allen</t>
        </is>
      </c>
      <c r="D534">
        <f>HYPERLINK("https://ota.tournamentsoftware.com/player-profile/248A3F67-26CE-43CB-A1BB-A426F8AC9211", "Link")</f>
        <v/>
      </c>
      <c r="E534" s="3" t="n">
        <v>65.42700000000001</v>
      </c>
      <c r="F534" s="4" t="n">
        <v>4</v>
      </c>
      <c r="G534" t="inlineStr">
        <is>
          <t>Ontario Tennis Association</t>
        </is>
      </c>
      <c r="H534" t="inlineStr">
        <is>
          <t>Waterloo Tennis Club</t>
        </is>
      </c>
      <c r="I534" t="inlineStr">
        <is>
          <t>unavailable</t>
        </is>
      </c>
      <c r="J534" s="4" t="n">
        <v>21</v>
      </c>
      <c r="K534" t="inlineStr">
        <is>
          <t>4 / 17</t>
        </is>
      </c>
      <c r="L534" t="inlineStr">
        <is>
          <t>1 / 10</t>
        </is>
      </c>
      <c r="M534" s="5" t="n">
        <v>0.19</v>
      </c>
      <c r="N534" s="5" t="n">
        <v>0.09</v>
      </c>
    </row>
    <row r="535">
      <c r="A535" t="n">
        <v>534</v>
      </c>
      <c r="B535" t="n">
        <v>2016</v>
      </c>
      <c r="C535" t="inlineStr">
        <is>
          <t>Lydia Yinuo Xu</t>
        </is>
      </c>
      <c r="D535">
        <f>HYPERLINK("https://ota.tournamentsoftware.com/player-profile/515F94D6-B979-4BBE-98E6-48CFEF4CE395", "Link")</f>
        <v/>
      </c>
      <c r="E535" s="3" t="n">
        <v>65.28</v>
      </c>
      <c r="F535" s="4" t="n">
        <v>9</v>
      </c>
      <c r="G535" t="inlineStr">
        <is>
          <t>Ontario Tennis Association</t>
        </is>
      </c>
      <c r="H535" t="inlineStr">
        <is>
          <t>Joshua Creek Golf &amp; Tennis</t>
        </is>
      </c>
      <c r="I535" t="n">
        <v>34.9</v>
      </c>
      <c r="J535" s="4" t="n">
        <v>148</v>
      </c>
      <c r="K535" t="inlineStr">
        <is>
          <t>68 / 80</t>
        </is>
      </c>
      <c r="L535" t="inlineStr">
        <is>
          <t>22 / 10</t>
        </is>
      </c>
      <c r="M535" s="5" t="n">
        <v>0.46</v>
      </c>
      <c r="N535" s="5" t="n">
        <v>0.6899999999999999</v>
      </c>
    </row>
    <row r="536">
      <c r="A536" t="n">
        <v>535</v>
      </c>
      <c r="B536" t="n">
        <v>2015</v>
      </c>
      <c r="C536" t="inlineStr">
        <is>
          <t>Clara Surprenant</t>
        </is>
      </c>
      <c r="D536">
        <f>HYPERLINK("https://ota.tournamentsoftware.com/player-profile/82684D26-C7AE-41C6-893D-5E94585A41D7", "Link")</f>
        <v/>
      </c>
      <c r="E536" s="3" t="n">
        <v>65.02500000000001</v>
      </c>
      <c r="F536" s="4" t="n">
        <v>7</v>
      </c>
      <c r="G536" t="inlineStr">
        <is>
          <t>Tennis Québec</t>
        </is>
      </c>
      <c r="H536" t="inlineStr">
        <is>
          <t>SANI Sport</t>
        </is>
      </c>
      <c r="I536" t="n">
        <v>36.6</v>
      </c>
      <c r="J536" s="4" t="n">
        <v>85</v>
      </c>
      <c r="K536" t="inlineStr">
        <is>
          <t>40 / 45</t>
        </is>
      </c>
      <c r="L536" t="inlineStr">
        <is>
          <t>2 / 4</t>
        </is>
      </c>
      <c r="M536" s="5" t="n">
        <v>0.47</v>
      </c>
      <c r="N536" s="5" t="n">
        <v>0.33</v>
      </c>
    </row>
    <row r="537">
      <c r="A537" t="n">
        <v>536</v>
      </c>
      <c r="B537" t="n">
        <v>2015</v>
      </c>
      <c r="C537" t="inlineStr">
        <is>
          <t>Alexandria Gianvito</t>
        </is>
      </c>
      <c r="D537">
        <f>HYPERLINK("https://ota.tournamentsoftware.com/player-profile/4A4D327B-3019-4349-8F36-0769D584A4FA", "Link")</f>
        <v/>
      </c>
      <c r="E537" s="3" t="n">
        <v>64.84999999999999</v>
      </c>
      <c r="F537" s="4" t="n">
        <v>6</v>
      </c>
      <c r="G537" t="inlineStr">
        <is>
          <t>Tennis Québec</t>
        </is>
      </c>
      <c r="H537" t="inlineStr">
        <is>
          <t>No Club</t>
        </is>
      </c>
      <c r="I537" t="inlineStr">
        <is>
          <t>unavailable</t>
        </is>
      </c>
      <c r="J537" s="4" t="n">
        <v>50</v>
      </c>
      <c r="K537" t="inlineStr">
        <is>
          <t>13 / 37</t>
        </is>
      </c>
      <c r="L537" t="inlineStr">
        <is>
          <t>1 / 5</t>
        </is>
      </c>
      <c r="M537" s="5" t="n">
        <v>0.26</v>
      </c>
      <c r="N537" s="5" t="n">
        <v>0.17</v>
      </c>
    </row>
    <row r="538">
      <c r="A538" t="n">
        <v>537</v>
      </c>
      <c r="B538" t="n">
        <v>2015</v>
      </c>
      <c r="C538" t="inlineStr">
        <is>
          <t>Cara Tereza Nyakahuma</t>
        </is>
      </c>
      <c r="D538">
        <f>HYPERLINK("https://ota.tournamentsoftware.com/player-profile/AFC2100D-E6CB-4B13-AD01-0EBC56083397", "Link")</f>
        <v/>
      </c>
      <c r="E538" s="3" t="n">
        <v>64.486</v>
      </c>
      <c r="F538" s="4" t="n">
        <v>7</v>
      </c>
      <c r="G538" t="inlineStr">
        <is>
          <t>Ontario Tennis Association</t>
        </is>
      </c>
      <c r="H538" t="inlineStr">
        <is>
          <t>Intercounty Tennis Association</t>
        </is>
      </c>
      <c r="I538" t="inlineStr">
        <is>
          <t>unavailable</t>
        </is>
      </c>
      <c r="J538" s="4" t="n">
        <v>140</v>
      </c>
      <c r="K538" t="inlineStr">
        <is>
          <t>89 / 51</t>
        </is>
      </c>
      <c r="L538" t="inlineStr">
        <is>
          <t>6 / 2</t>
        </is>
      </c>
      <c r="M538" s="5" t="n">
        <v>0.64</v>
      </c>
      <c r="N538" s="5" t="n">
        <v>0.75</v>
      </c>
    </row>
    <row r="539">
      <c r="A539" t="n">
        <v>538</v>
      </c>
      <c r="B539" t="n">
        <v>2012</v>
      </c>
      <c r="C539" t="inlineStr">
        <is>
          <t>Jemima Edwards</t>
        </is>
      </c>
      <c r="D539">
        <f>HYPERLINK("https://ota.tournamentsoftware.com/player-profile/89C8AA4C-1698-4049-8B88-9B77FC5C4B9B", "Link")</f>
        <v/>
      </c>
      <c r="E539" s="3" t="n">
        <v>64</v>
      </c>
      <c r="F539" s="4" t="n">
        <v>1</v>
      </c>
      <c r="G539" t="inlineStr">
        <is>
          <t>Ontario Tennis Association</t>
        </is>
      </c>
      <c r="H539" t="inlineStr">
        <is>
          <t>Rideau Sports Centre</t>
        </is>
      </c>
      <c r="I539" t="n">
        <v>32.5</v>
      </c>
      <c r="J539" s="4" t="n">
        <v>77</v>
      </c>
      <c r="K539" t="inlineStr">
        <is>
          <t>39 / 38</t>
        </is>
      </c>
      <c r="L539" t="inlineStr">
        <is>
          <t>3 / 1</t>
        </is>
      </c>
      <c r="M539" s="5" t="n">
        <v>0.51</v>
      </c>
      <c r="N539" s="5" t="n">
        <v>0.75</v>
      </c>
    </row>
    <row r="540">
      <c r="A540" t="n">
        <v>539</v>
      </c>
      <c r="B540" t="n">
        <v>2013</v>
      </c>
      <c r="C540" t="inlineStr">
        <is>
          <t>Audrey Humeniuk</t>
        </is>
      </c>
      <c r="D540">
        <f>HYPERLINK("https://ota.tournamentsoftware.com/player-profile/468D56FB-0ABD-4840-82FB-F2B1EB075075", "Link")</f>
        <v/>
      </c>
      <c r="E540" s="3" t="n">
        <v>63.86</v>
      </c>
      <c r="F540" s="4" t="n">
        <v>4</v>
      </c>
      <c r="G540" t="inlineStr">
        <is>
          <t>Ontario Tennis Association</t>
        </is>
      </c>
      <c r="H540" t="inlineStr">
        <is>
          <t>Tennis Centre West Ottawa</t>
        </is>
      </c>
      <c r="I540" t="n">
        <v>39.9</v>
      </c>
      <c r="J540" s="4" t="n">
        <v>8</v>
      </c>
      <c r="K540" t="inlineStr">
        <is>
          <t>1 / 7</t>
        </is>
      </c>
      <c r="L540" t="inlineStr">
        <is>
          <t>0 / 3</t>
        </is>
      </c>
      <c r="M540" s="5" t="n">
        <v>0.12</v>
      </c>
      <c r="N540" s="5" t="n">
        <v>0</v>
      </c>
    </row>
    <row r="541">
      <c r="A541" t="n">
        <v>540</v>
      </c>
      <c r="B541" t="n">
        <v>2016</v>
      </c>
      <c r="C541" t="inlineStr">
        <is>
          <t>Paulina Mangal</t>
        </is>
      </c>
      <c r="D541">
        <f>HYPERLINK("https://ota.tournamentsoftware.com/player-profile/ADDD5986-263D-4338-B6C0-6F72A2AC55F7", "Link")</f>
        <v/>
      </c>
      <c r="E541" s="3" t="n">
        <v>63.48</v>
      </c>
      <c r="F541" s="4" t="n">
        <v>20</v>
      </c>
      <c r="G541" t="inlineStr">
        <is>
          <t>Ontario Tennis Association</t>
        </is>
      </c>
      <c r="H541" t="inlineStr">
        <is>
          <t>Premier Racquet Clubs – Mississauga</t>
        </is>
      </c>
      <c r="I541" t="n">
        <v>36.1</v>
      </c>
      <c r="J541" s="4" t="n">
        <v>173</v>
      </c>
      <c r="K541" t="inlineStr">
        <is>
          <t>73 / 100</t>
        </is>
      </c>
      <c r="L541" t="inlineStr">
        <is>
          <t>14 / 15</t>
        </is>
      </c>
      <c r="M541" s="5" t="n">
        <v>0.42</v>
      </c>
      <c r="N541" s="5" t="n">
        <v>0.48</v>
      </c>
    </row>
    <row r="542">
      <c r="A542" t="n">
        <v>541</v>
      </c>
      <c r="B542" t="n">
        <v>2013</v>
      </c>
      <c r="C542" t="inlineStr">
        <is>
          <t>Deborah Zhao</t>
        </is>
      </c>
      <c r="D542">
        <f>HYPERLINK("https://ota.tournamentsoftware.com/player-profile/F6904719-B024-412B-8805-0CEB145651FD", "Link")</f>
        <v/>
      </c>
      <c r="E542" s="3" t="n">
        <v>63.288</v>
      </c>
      <c r="F542" s="4" t="n">
        <v>3</v>
      </c>
      <c r="G542" t="inlineStr">
        <is>
          <t>Tennis Prince Edward Island</t>
        </is>
      </c>
      <c r="H542" t="inlineStr">
        <is>
          <t>Charlottetown Recreation Tennis Group</t>
        </is>
      </c>
      <c r="I542" t="n">
        <v>36.6</v>
      </c>
      <c r="J542" s="4" t="n">
        <v>136</v>
      </c>
      <c r="K542" t="inlineStr">
        <is>
          <t>65 / 71</t>
        </is>
      </c>
      <c r="L542" t="inlineStr">
        <is>
          <t>3 / 7</t>
        </is>
      </c>
      <c r="M542" s="5" t="n">
        <v>0.48</v>
      </c>
      <c r="N542" s="5" t="n">
        <v>0.3</v>
      </c>
    </row>
    <row r="543">
      <c r="A543" t="n">
        <v>542</v>
      </c>
      <c r="B543" t="n">
        <v>2015</v>
      </c>
      <c r="C543" t="inlineStr">
        <is>
          <t>Aayushi Gautam</t>
        </is>
      </c>
      <c r="D543">
        <f>HYPERLINK("https://ota.tournamentsoftware.com/player-profile/A24CEE26-7629-46B9-89B0-12B054D2DFB9", "Link")</f>
        <v/>
      </c>
      <c r="E543" s="3" t="n">
        <v>63.275</v>
      </c>
      <c r="F543" s="4" t="n">
        <v>13</v>
      </c>
      <c r="G543" t="inlineStr">
        <is>
          <t>Tennis Alberta</t>
        </is>
      </c>
      <c r="H543" t="inlineStr">
        <is>
          <t>Saville Community Sports Centre</t>
        </is>
      </c>
      <c r="I543" t="n">
        <v>33.6</v>
      </c>
      <c r="J543" s="4" t="n">
        <v>152</v>
      </c>
      <c r="K543" t="inlineStr">
        <is>
          <t>90 / 62</t>
        </is>
      </c>
      <c r="L543" t="inlineStr">
        <is>
          <t>16 / 8</t>
        </is>
      </c>
      <c r="M543" s="5" t="n">
        <v>0.59</v>
      </c>
      <c r="N543" s="5" t="n">
        <v>0.67</v>
      </c>
    </row>
    <row r="544">
      <c r="A544" t="n">
        <v>543</v>
      </c>
      <c r="B544" t="n">
        <v>2012</v>
      </c>
      <c r="C544" t="inlineStr">
        <is>
          <t>kate zixi ye</t>
        </is>
      </c>
      <c r="D544">
        <f>HYPERLINK("https://ota.tournamentsoftware.com/player-profile/0A8F7797-88F4-49C6-8F3D-6079B8242406", "Link")</f>
        <v/>
      </c>
      <c r="E544" s="3" t="n">
        <v>62.909</v>
      </c>
      <c r="F544" s="4" t="n">
        <v>5</v>
      </c>
      <c r="G544" t="inlineStr">
        <is>
          <t>Ontario Tennis Association</t>
        </is>
      </c>
      <c r="H544" t="inlineStr">
        <is>
          <t>No Club</t>
        </is>
      </c>
      <c r="I544" t="n">
        <v>37.9</v>
      </c>
      <c r="J544" s="4" t="n">
        <v>11</v>
      </c>
      <c r="K544" t="inlineStr">
        <is>
          <t>2 / 9</t>
        </is>
      </c>
      <c r="L544" t="inlineStr">
        <is>
          <t>1 / 4</t>
        </is>
      </c>
      <c r="M544" s="5" t="n">
        <v>0.18</v>
      </c>
      <c r="N544" s="5" t="n">
        <v>0.2</v>
      </c>
    </row>
    <row r="545">
      <c r="A545" t="n">
        <v>544</v>
      </c>
      <c r="B545" t="n">
        <v>2013</v>
      </c>
      <c r="C545" t="inlineStr">
        <is>
          <t>Vina BLANCHARD</t>
        </is>
      </c>
      <c r="D545">
        <f>HYPERLINK("https://ota.tournamentsoftware.com/player-profile/B5AD0E2A-4843-4177-AD96-5A3203B5C718", "Link")</f>
        <v/>
      </c>
      <c r="E545" s="3" t="n">
        <v>62.695</v>
      </c>
      <c r="F545" s="4" t="n">
        <v>6</v>
      </c>
      <c r="G545" t="inlineStr">
        <is>
          <t>Ontario Tennis Association</t>
        </is>
      </c>
      <c r="H545" t="inlineStr">
        <is>
          <t>Ontario Racquet Club</t>
        </is>
      </c>
      <c r="I545" t="inlineStr">
        <is>
          <t>unavailable</t>
        </is>
      </c>
      <c r="J545" s="4" t="n">
        <v>25</v>
      </c>
      <c r="K545" t="inlineStr">
        <is>
          <t>11 / 14</t>
        </is>
      </c>
      <c r="L545" t="inlineStr">
        <is>
          <t>2 / 8</t>
        </is>
      </c>
      <c r="M545" s="5" t="n">
        <v>0.44</v>
      </c>
      <c r="N545" s="5" t="n">
        <v>0.2</v>
      </c>
    </row>
    <row r="546">
      <c r="A546" t="n">
        <v>545</v>
      </c>
      <c r="B546" t="n">
        <v>2014</v>
      </c>
      <c r="C546" t="inlineStr">
        <is>
          <t>Sarah Huang</t>
        </is>
      </c>
      <c r="D546">
        <f>HYPERLINK("https://ota.tournamentsoftware.com/player-profile/535A9ABE-481C-45C4-9357-B8FD9305232E", "Link")</f>
        <v/>
      </c>
      <c r="E546" s="3" t="n">
        <v>62.562</v>
      </c>
      <c r="F546" s="4" t="n">
        <v>14</v>
      </c>
      <c r="G546" t="inlineStr">
        <is>
          <t>Ontario Tennis Association</t>
        </is>
      </c>
      <c r="H546" t="inlineStr">
        <is>
          <t>Premier Racquet Club</t>
        </is>
      </c>
      <c r="I546" t="n">
        <v>36.7</v>
      </c>
      <c r="J546" s="4" t="n">
        <v>107</v>
      </c>
      <c r="K546" t="inlineStr">
        <is>
          <t>35 / 72</t>
        </is>
      </c>
      <c r="L546" t="inlineStr">
        <is>
          <t>1 / 5</t>
        </is>
      </c>
      <c r="M546" s="5" t="n">
        <v>0.33</v>
      </c>
      <c r="N546" s="5" t="n">
        <v>0.17</v>
      </c>
    </row>
    <row r="547">
      <c r="A547" t="n">
        <v>546</v>
      </c>
      <c r="B547" t="n">
        <v>2012</v>
      </c>
      <c r="C547" t="inlineStr">
        <is>
          <t>Hannah Ines Fischer-Kandelas</t>
        </is>
      </c>
      <c r="D547">
        <f>HYPERLINK("https://ota.tournamentsoftware.com/player-profile/672C977E-EE19-4DD0-AE73-F6FCDD2EE1E1", "Link")</f>
        <v/>
      </c>
      <c r="E547" s="3" t="n">
        <v>62.453</v>
      </c>
      <c r="F547" s="4" t="n">
        <v>4</v>
      </c>
      <c r="G547" t="inlineStr">
        <is>
          <t>Ontario Tennis Association</t>
        </is>
      </c>
      <c r="H547" t="inlineStr">
        <is>
          <t>Wychwood Tennis Club</t>
        </is>
      </c>
      <c r="I547" t="n">
        <v>39.1</v>
      </c>
      <c r="J547" s="4" t="n">
        <v>22</v>
      </c>
      <c r="K547" t="inlineStr">
        <is>
          <t>9 / 13</t>
        </is>
      </c>
      <c r="L547" t="inlineStr">
        <is>
          <t>2 / 7</t>
        </is>
      </c>
      <c r="M547" s="5" t="n">
        <v>0.41</v>
      </c>
      <c r="N547" s="5" t="n">
        <v>0.22</v>
      </c>
    </row>
    <row r="548">
      <c r="A548" t="n">
        <v>547</v>
      </c>
      <c r="B548" t="n">
        <v>2014</v>
      </c>
      <c r="C548" t="inlineStr">
        <is>
          <t>Chloe Huang</t>
        </is>
      </c>
      <c r="D548">
        <f>HYPERLINK("https://ota.tournamentsoftware.com/player-profile/F00195EB-06BF-48AD-9E24-7FA037871F13", "Link")</f>
        <v/>
      </c>
      <c r="E548" s="3" t="n">
        <v>62.111</v>
      </c>
      <c r="F548" s="4" t="n">
        <v>3</v>
      </c>
      <c r="G548" t="inlineStr">
        <is>
          <t>Ontario Tennis Association</t>
        </is>
      </c>
      <c r="H548" t="inlineStr">
        <is>
          <t>Richmond Hill Country Club</t>
        </is>
      </c>
      <c r="I548" t="n">
        <v>38.8</v>
      </c>
      <c r="J548" s="4" t="n">
        <v>54</v>
      </c>
      <c r="K548" t="inlineStr">
        <is>
          <t>20 / 34</t>
        </is>
      </c>
      <c r="L548" t="inlineStr">
        <is>
          <t>0 / 3</t>
        </is>
      </c>
      <c r="M548" s="5" t="n">
        <v>0.37</v>
      </c>
      <c r="N548" s="5" t="n">
        <v>0</v>
      </c>
    </row>
    <row r="549">
      <c r="A549" t="n">
        <v>548</v>
      </c>
      <c r="B549" t="n">
        <v>2012</v>
      </c>
      <c r="C549" t="inlineStr">
        <is>
          <t>Alice Zhang</t>
        </is>
      </c>
      <c r="D549">
        <f>HYPERLINK("https://ota.tournamentsoftware.com/player-profile/D65C72B6-843B-48BF-A073-AE5080F1EA2D", "Link")</f>
        <v/>
      </c>
      <c r="E549" s="3" t="n">
        <v>61.807</v>
      </c>
      <c r="F549" s="4" t="n">
        <v>4</v>
      </c>
      <c r="G549" t="inlineStr">
        <is>
          <t>Ontario Tennis Association</t>
        </is>
      </c>
      <c r="H549" t="inlineStr">
        <is>
          <t>ACE Tennis - Burlington</t>
        </is>
      </c>
      <c r="I549" t="n">
        <v>37.2</v>
      </c>
      <c r="J549" s="4" t="n">
        <v>10</v>
      </c>
      <c r="K549" t="inlineStr">
        <is>
          <t>2 / 8</t>
        </is>
      </c>
      <c r="L549" t="inlineStr">
        <is>
          <t>2 / 6</t>
        </is>
      </c>
      <c r="M549" s="5" t="n">
        <v>0.2</v>
      </c>
      <c r="N549" s="5" t="n">
        <v>0.25</v>
      </c>
    </row>
    <row r="550">
      <c r="A550" t="n">
        <v>549</v>
      </c>
      <c r="B550" t="n">
        <v>2015</v>
      </c>
      <c r="C550" t="inlineStr">
        <is>
          <t>Mataya Victoria Jan</t>
        </is>
      </c>
      <c r="D550">
        <f>HYPERLINK("https://ota.tournamentsoftware.com/player-profile/52A288CA-2524-4398-A498-9546CE531A78", "Link")</f>
        <v/>
      </c>
      <c r="E550" s="3" t="n">
        <v>61.111</v>
      </c>
      <c r="F550" s="4" t="n">
        <v>6</v>
      </c>
      <c r="G550" t="inlineStr">
        <is>
          <t>Ontario Tennis Association</t>
        </is>
      </c>
      <c r="H550" t="inlineStr">
        <is>
          <t>Tennis Centre West Ottawa</t>
        </is>
      </c>
      <c r="I550" t="n">
        <v>39.8</v>
      </c>
      <c r="J550" s="4" t="n">
        <v>11</v>
      </c>
      <c r="K550" t="inlineStr">
        <is>
          <t>0 / 11</t>
        </is>
      </c>
      <c r="L550" t="inlineStr">
        <is>
          <t>0 / 6</t>
        </is>
      </c>
      <c r="M550" s="5" t="n">
        <v>0</v>
      </c>
      <c r="N550" s="5" t="n">
        <v>0</v>
      </c>
    </row>
    <row r="551">
      <c r="A551" t="n">
        <v>550</v>
      </c>
      <c r="B551" t="n">
        <v>2016</v>
      </c>
      <c r="C551" t="inlineStr">
        <is>
          <t>LUXI YANG</t>
        </is>
      </c>
      <c r="D551">
        <f>HYPERLINK("https://ota.tournamentsoftware.com/player-profile/00CB777C-F17D-4A37-8393-1F4E5A4F3C39", "Link")</f>
        <v/>
      </c>
      <c r="E551" s="3" t="n">
        <v>60.216</v>
      </c>
      <c r="F551" s="4" t="n">
        <v>8</v>
      </c>
      <c r="G551" t="inlineStr">
        <is>
          <t>British Columbia</t>
        </is>
      </c>
      <c r="H551" t="inlineStr">
        <is>
          <t>The Tennis Centre</t>
        </is>
      </c>
      <c r="I551" t="n">
        <v>33.2</v>
      </c>
      <c r="J551" s="4" t="n">
        <v>74</v>
      </c>
      <c r="K551" t="inlineStr">
        <is>
          <t>58 / 16</t>
        </is>
      </c>
      <c r="L551" t="inlineStr">
        <is>
          <t>21 / 6</t>
        </is>
      </c>
      <c r="M551" s="5" t="n">
        <v>0.78</v>
      </c>
      <c r="N551" s="5" t="n">
        <v>0.78</v>
      </c>
    </row>
    <row r="552">
      <c r="A552" t="n">
        <v>551</v>
      </c>
      <c r="B552" t="n">
        <v>2014</v>
      </c>
      <c r="C552" t="inlineStr">
        <is>
          <t>Bo Brisson</t>
        </is>
      </c>
      <c r="D552">
        <f>HYPERLINK("https://ota.tournamentsoftware.com/player-profile/836F9923-C4A5-42E1-8BF0-0788DAB02146", "Link")</f>
        <v/>
      </c>
      <c r="E552" s="3" t="n">
        <v>59.608</v>
      </c>
      <c r="F552" s="4" t="n">
        <v>6</v>
      </c>
      <c r="G552" t="inlineStr">
        <is>
          <t>Ontario Tennis Association</t>
        </is>
      </c>
      <c r="H552" t="inlineStr">
        <is>
          <t>GSM Tennis Club</t>
        </is>
      </c>
      <c r="I552" t="inlineStr">
        <is>
          <t>unavailable</t>
        </is>
      </c>
      <c r="J552" s="4" t="n">
        <v>117</v>
      </c>
      <c r="K552" t="inlineStr">
        <is>
          <t>38 / 79</t>
        </is>
      </c>
      <c r="L552" t="inlineStr">
        <is>
          <t>4 / 3</t>
        </is>
      </c>
      <c r="M552" s="5" t="n">
        <v>0.32</v>
      </c>
      <c r="N552" s="5" t="n">
        <v>0.57</v>
      </c>
    </row>
    <row r="553">
      <c r="A553" t="n">
        <v>552</v>
      </c>
      <c r="B553" t="n">
        <v>2014</v>
      </c>
      <c r="C553" t="inlineStr">
        <is>
          <t>Tara Nastic</t>
        </is>
      </c>
      <c r="D553">
        <f>HYPERLINK("https://ota.tournamentsoftware.com/player-profile/43FF8AFD-A54E-4011-88C7-132B60B568E8", "Link")</f>
        <v/>
      </c>
      <c r="E553" s="3" t="n">
        <v>59.373</v>
      </c>
      <c r="F553" s="4" t="n">
        <v>5</v>
      </c>
      <c r="G553" t="inlineStr">
        <is>
          <t>Ontario Tennis Association</t>
        </is>
      </c>
      <c r="H553" t="inlineStr">
        <is>
          <t>Royal City Tennis Club</t>
        </is>
      </c>
      <c r="I553" t="inlineStr">
        <is>
          <t>unavailable</t>
        </is>
      </c>
      <c r="J553" s="4" t="n">
        <v>19</v>
      </c>
      <c r="K553" t="inlineStr">
        <is>
          <t>4 / 15</t>
        </is>
      </c>
      <c r="L553" t="inlineStr">
        <is>
          <t>1 / 3</t>
        </is>
      </c>
      <c r="M553" s="5" t="n">
        <v>0.21</v>
      </c>
      <c r="N553" s="5" t="n">
        <v>0.25</v>
      </c>
    </row>
    <row r="554">
      <c r="A554" t="n">
        <v>553</v>
      </c>
      <c r="B554" t="n">
        <v>2013</v>
      </c>
      <c r="C554" t="inlineStr">
        <is>
          <t>Noa Anne Broere</t>
        </is>
      </c>
      <c r="D554">
        <f>HYPERLINK("https://ota.tournamentsoftware.com/player-profile/A5724AD9-99FF-4D46-A565-ED1BBCAE83F4", "Link")</f>
        <v/>
      </c>
      <c r="E554" s="3" t="n">
        <v>59.291</v>
      </c>
      <c r="F554" s="4" t="n">
        <v>17</v>
      </c>
      <c r="G554" t="inlineStr">
        <is>
          <t>British Columbia</t>
        </is>
      </c>
      <c r="H554" t="inlineStr">
        <is>
          <t>Vancouver Lawn Tennis and Badminton Club</t>
        </is>
      </c>
      <c r="I554" t="n">
        <v>35</v>
      </c>
      <c r="J554" s="4" t="n">
        <v>75</v>
      </c>
      <c r="K554" t="inlineStr">
        <is>
          <t>30 / 45</t>
        </is>
      </c>
      <c r="L554" t="inlineStr">
        <is>
          <t>9 / 14</t>
        </is>
      </c>
      <c r="M554" s="5" t="n">
        <v>0.4</v>
      </c>
      <c r="N554" s="5" t="n">
        <v>0.39</v>
      </c>
    </row>
    <row r="555">
      <c r="A555" t="n">
        <v>554</v>
      </c>
      <c r="B555" t="n">
        <v>2014</v>
      </c>
      <c r="C555" t="inlineStr">
        <is>
          <t>Victoria Guiral</t>
        </is>
      </c>
      <c r="D555">
        <f>HYPERLINK("https://ota.tournamentsoftware.com/player-profile/1DC3BD6C-A3EA-46CB-A6B3-CB5D3D2F1E7D", "Link")</f>
        <v/>
      </c>
      <c r="E555" s="3" t="n">
        <v>59.121</v>
      </c>
      <c r="F555" s="4" t="n">
        <v>4</v>
      </c>
      <c r="G555" t="inlineStr">
        <is>
          <t>Tennis Québec</t>
        </is>
      </c>
      <c r="H555" t="inlineStr">
        <is>
          <t>Tennis Interclub Piedmont</t>
        </is>
      </c>
      <c r="I555" t="n">
        <v>38.8</v>
      </c>
      <c r="J555" s="4" t="n">
        <v>18</v>
      </c>
      <c r="K555" t="inlineStr">
        <is>
          <t>6 / 12</t>
        </is>
      </c>
      <c r="L555" t="inlineStr">
        <is>
          <t>1 / 5</t>
        </is>
      </c>
      <c r="M555" s="5" t="n">
        <v>0.33</v>
      </c>
      <c r="N555" s="5" t="n">
        <v>0.17</v>
      </c>
    </row>
    <row r="556">
      <c r="A556" t="n">
        <v>555</v>
      </c>
      <c r="B556" t="n">
        <v>2015</v>
      </c>
      <c r="C556" t="inlineStr">
        <is>
          <t>Aria MARTIN</t>
        </is>
      </c>
      <c r="D556">
        <f>HYPERLINK("https://ota.tournamentsoftware.com/player-profile/220708AF-B049-4C3B-83FA-C1AAC60269C5", "Link")</f>
        <v/>
      </c>
      <c r="E556" s="3" t="n">
        <v>58.434</v>
      </c>
      <c r="F556" s="4" t="n">
        <v>16</v>
      </c>
      <c r="G556" t="inlineStr">
        <is>
          <t>British Columbia</t>
        </is>
      </c>
      <c r="H556" t="inlineStr">
        <is>
          <t>Vancouver Lawn Tennis and Badminton Club</t>
        </is>
      </c>
      <c r="I556" t="n">
        <v>35.2</v>
      </c>
      <c r="J556" s="4" t="n">
        <v>133</v>
      </c>
      <c r="K556" t="inlineStr">
        <is>
          <t>53 / 80</t>
        </is>
      </c>
      <c r="L556" t="inlineStr">
        <is>
          <t>24 / 17</t>
        </is>
      </c>
      <c r="M556" s="5" t="n">
        <v>0.4</v>
      </c>
      <c r="N556" s="5" t="n">
        <v>0.59</v>
      </c>
    </row>
    <row r="557">
      <c r="A557" t="n">
        <v>556</v>
      </c>
      <c r="B557" t="n">
        <v>2015</v>
      </c>
      <c r="C557" t="inlineStr">
        <is>
          <t>Maeva Kaur Dhillon</t>
        </is>
      </c>
      <c r="D557">
        <f>HYPERLINK("https://ota.tournamentsoftware.com/player-profile/1E3A662C-1993-423F-99BB-0CD2F93CC62A", "Link")</f>
        <v/>
      </c>
      <c r="E557" s="3" t="n">
        <v>58.125</v>
      </c>
      <c r="F557" s="4" t="n">
        <v>10</v>
      </c>
      <c r="G557" t="inlineStr">
        <is>
          <t>Tennis Alberta</t>
        </is>
      </c>
      <c r="H557" t="inlineStr">
        <is>
          <t>Saville Community Sports Centre</t>
        </is>
      </c>
      <c r="I557" t="n">
        <v>37.4</v>
      </c>
      <c r="J557" s="4" t="n">
        <v>74</v>
      </c>
      <c r="K557" t="inlineStr">
        <is>
          <t>22 / 52</t>
        </is>
      </c>
      <c r="L557" t="inlineStr">
        <is>
          <t>5 / 9</t>
        </is>
      </c>
      <c r="M557" s="5" t="n">
        <v>0.3</v>
      </c>
      <c r="N557" s="5" t="n">
        <v>0.36</v>
      </c>
    </row>
    <row r="558">
      <c r="A558" t="n">
        <v>557</v>
      </c>
      <c r="B558" t="n">
        <v>2013</v>
      </c>
      <c r="C558" t="inlineStr">
        <is>
          <t>Gabrielle Galgay</t>
        </is>
      </c>
      <c r="D558">
        <f>HYPERLINK("https://ota.tournamentsoftware.com/player-profile/1A26365B-FAA0-4130-8F92-B67D497E82D9", "Link")</f>
        <v/>
      </c>
      <c r="E558" s="3" t="n">
        <v>57.069</v>
      </c>
      <c r="F558" s="4" t="n">
        <v>4</v>
      </c>
      <c r="G558" t="inlineStr">
        <is>
          <t>Ontario Tennis Association</t>
        </is>
      </c>
      <c r="H558" t="inlineStr">
        <is>
          <t>No Club</t>
        </is>
      </c>
      <c r="I558" t="n">
        <v>34.3</v>
      </c>
      <c r="J558" s="4" t="n">
        <v>10</v>
      </c>
      <c r="K558" t="inlineStr">
        <is>
          <t>4 / 6</t>
        </is>
      </c>
      <c r="L558" t="inlineStr">
        <is>
          <t>1 / 3</t>
        </is>
      </c>
      <c r="M558" s="5" t="n">
        <v>0.4</v>
      </c>
      <c r="N558" s="5" t="n">
        <v>0.25</v>
      </c>
    </row>
    <row r="559">
      <c r="A559" t="n">
        <v>558</v>
      </c>
      <c r="B559" t="n">
        <v>2013</v>
      </c>
      <c r="C559" t="inlineStr">
        <is>
          <t>Grace Christina Lawrence</t>
        </is>
      </c>
      <c r="D559">
        <f>HYPERLINK("https://ota.tournamentsoftware.com/player-profile/9FEF2F9B-F202-41CF-8B36-42B1520055E0", "Link")</f>
        <v/>
      </c>
      <c r="E559" s="3" t="n">
        <v>57.027</v>
      </c>
      <c r="F559" s="4" t="n">
        <v>11</v>
      </c>
      <c r="G559" t="inlineStr">
        <is>
          <t>Ontario Tennis Association</t>
        </is>
      </c>
      <c r="H559" t="inlineStr">
        <is>
          <t>Toronto Lawn Tennis Club</t>
        </is>
      </c>
      <c r="I559" t="n">
        <v>35.9</v>
      </c>
      <c r="J559" s="4" t="n">
        <v>107</v>
      </c>
      <c r="K559" t="inlineStr">
        <is>
          <t>48 / 59</t>
        </is>
      </c>
      <c r="L559" t="inlineStr">
        <is>
          <t>4 / 4</t>
        </is>
      </c>
      <c r="M559" s="5" t="n">
        <v>0.45</v>
      </c>
      <c r="N559" s="5" t="n">
        <v>0.5</v>
      </c>
    </row>
    <row r="560">
      <c r="A560" t="n">
        <v>559</v>
      </c>
      <c r="B560" t="n">
        <v>2014</v>
      </c>
      <c r="C560" t="inlineStr">
        <is>
          <t>Minnie Jinwen Xu</t>
        </is>
      </c>
      <c r="D560">
        <f>HYPERLINK("https://ota.tournamentsoftware.com/player-profile/617AABE9-B600-4656-9194-77743DDDC351", "Link")</f>
        <v/>
      </c>
      <c r="E560" s="3" t="n">
        <v>56.951</v>
      </c>
      <c r="F560" s="4" t="n">
        <v>11</v>
      </c>
      <c r="G560" t="inlineStr">
        <is>
          <t>British Columbia</t>
        </is>
      </c>
      <c r="H560" t="inlineStr">
        <is>
          <t>The Tennis Centre</t>
        </is>
      </c>
      <c r="I560" t="n">
        <v>35.6</v>
      </c>
      <c r="J560" s="4" t="n">
        <v>122</v>
      </c>
      <c r="K560" t="inlineStr">
        <is>
          <t>63 / 59</t>
        </is>
      </c>
      <c r="L560" t="inlineStr">
        <is>
          <t>9 / 10</t>
        </is>
      </c>
      <c r="M560" s="5" t="n">
        <v>0.52</v>
      </c>
      <c r="N560" s="5" t="n">
        <v>0.47</v>
      </c>
    </row>
    <row r="561">
      <c r="A561" t="n">
        <v>560</v>
      </c>
      <c r="B561" t="n">
        <v>2012</v>
      </c>
      <c r="C561" t="inlineStr">
        <is>
          <t>Chloe Teng</t>
        </is>
      </c>
      <c r="D561">
        <f>HYPERLINK("https://ota.tournamentsoftware.com/player-profile/F5AC5875-4E89-4D3E-BF17-24986F702240", "Link")</f>
        <v/>
      </c>
      <c r="E561" s="3" t="n">
        <v>56.222</v>
      </c>
      <c r="F561" s="4" t="n">
        <v>11</v>
      </c>
      <c r="G561" t="inlineStr">
        <is>
          <t>Ontario Tennis Association</t>
        </is>
      </c>
      <c r="H561" t="inlineStr">
        <is>
          <t>Tennis Clubs of Canada</t>
        </is>
      </c>
      <c r="I561" t="n">
        <v>37.8</v>
      </c>
      <c r="J561" s="4" t="n">
        <v>36</v>
      </c>
      <c r="K561" t="inlineStr">
        <is>
          <t>10 / 26</t>
        </is>
      </c>
      <c r="L561" t="inlineStr">
        <is>
          <t>7 / 15</t>
        </is>
      </c>
      <c r="M561" s="5" t="n">
        <v>0.28</v>
      </c>
      <c r="N561" s="5" t="n">
        <v>0.32</v>
      </c>
    </row>
    <row r="562">
      <c r="A562" t="n">
        <v>561</v>
      </c>
      <c r="B562" t="n">
        <v>2013</v>
      </c>
      <c r="C562" t="inlineStr">
        <is>
          <t>Quinn Pfaff</t>
        </is>
      </c>
      <c r="D562">
        <f>HYPERLINK("https://ota.tournamentsoftware.com/player-profile/4EE4E18D-7D9C-41F4-B172-783EBB13EF00", "Link")</f>
        <v/>
      </c>
      <c r="E562" s="3" t="n">
        <v>56.091</v>
      </c>
      <c r="F562" s="4" t="n">
        <v>3</v>
      </c>
      <c r="G562" t="inlineStr">
        <is>
          <t>Ontario Tennis Association</t>
        </is>
      </c>
      <c r="H562" t="inlineStr">
        <is>
          <t>Maitland Country Club</t>
        </is>
      </c>
      <c r="I562" t="n">
        <v>37.3</v>
      </c>
      <c r="J562" s="4" t="n">
        <v>3</v>
      </c>
      <c r="K562" t="inlineStr">
        <is>
          <t>0 / 3</t>
        </is>
      </c>
      <c r="L562" t="inlineStr">
        <is>
          <t>0 / 2</t>
        </is>
      </c>
      <c r="M562" s="5" t="n">
        <v>0</v>
      </c>
      <c r="N562" s="5" t="n">
        <v>0</v>
      </c>
    </row>
    <row r="563">
      <c r="A563" t="n">
        <v>562</v>
      </c>
      <c r="B563" t="n">
        <v>2015</v>
      </c>
      <c r="C563" t="inlineStr">
        <is>
          <t>Madeleine Penelope Haun</t>
        </is>
      </c>
      <c r="D563">
        <f>HYPERLINK("https://ota.tournamentsoftware.com/player-profile/6F8A0525-0D8F-4263-8F76-0B8CF4B34D42", "Link")</f>
        <v/>
      </c>
      <c r="E563" s="3" t="n">
        <v>55.31</v>
      </c>
      <c r="F563" s="4" t="n">
        <v>9</v>
      </c>
      <c r="G563" t="inlineStr">
        <is>
          <t>Tennis Alberta</t>
        </is>
      </c>
      <c r="H563" t="inlineStr">
        <is>
          <t>Osten &amp; Victor Alberta Tennis Centre</t>
        </is>
      </c>
      <c r="I563" t="n">
        <v>36.9</v>
      </c>
      <c r="J563" s="4" t="n">
        <v>150</v>
      </c>
      <c r="K563" t="inlineStr">
        <is>
          <t>81 / 69</t>
        </is>
      </c>
      <c r="L563" t="inlineStr">
        <is>
          <t>4 / 7</t>
        </is>
      </c>
      <c r="M563" s="5" t="n">
        <v>0.54</v>
      </c>
      <c r="N563" s="5" t="n">
        <v>0.36</v>
      </c>
    </row>
    <row r="564">
      <c r="A564" t="n">
        <v>563</v>
      </c>
      <c r="B564" t="n">
        <v>2015</v>
      </c>
      <c r="C564" t="inlineStr">
        <is>
          <t>Ava Gracia Hurley</t>
        </is>
      </c>
      <c r="D564">
        <f>HYPERLINK("https://ota.tournamentsoftware.com/player-profile/DC3D1043-9FBA-467F-8103-AE9D0DEEF066", "Link")</f>
        <v/>
      </c>
      <c r="E564" s="3" t="n">
        <v>55.162</v>
      </c>
      <c r="F564" s="4" t="n">
        <v>9</v>
      </c>
      <c r="G564" t="inlineStr">
        <is>
          <t>Ontario Tennis Association</t>
        </is>
      </c>
      <c r="H564" t="inlineStr">
        <is>
          <t>Manotick Tennis Club</t>
        </is>
      </c>
      <c r="I564" t="inlineStr">
        <is>
          <t>unavailable</t>
        </is>
      </c>
      <c r="J564" s="4" t="n">
        <v>30</v>
      </c>
      <c r="K564" t="inlineStr">
        <is>
          <t>12 / 18</t>
        </is>
      </c>
      <c r="L564" t="inlineStr">
        <is>
          <t>4 / 7</t>
        </is>
      </c>
      <c r="M564" s="5" t="n">
        <v>0.4</v>
      </c>
      <c r="N564" s="5" t="n">
        <v>0.36</v>
      </c>
    </row>
    <row r="565">
      <c r="A565" t="n">
        <v>564</v>
      </c>
      <c r="B565" t="n">
        <v>2012</v>
      </c>
      <c r="C565" t="inlineStr">
        <is>
          <t>Karmi Singh</t>
        </is>
      </c>
      <c r="D565">
        <f>HYPERLINK("https://ota.tournamentsoftware.com/player-profile/B68DC1C1-BC37-443E-AB03-601E1E7E72A2", "Link")</f>
        <v/>
      </c>
      <c r="E565" s="3" t="n">
        <v>54.499</v>
      </c>
      <c r="F565" s="4" t="n">
        <v>4</v>
      </c>
      <c r="G565" t="inlineStr">
        <is>
          <t>Ontario Tennis Association</t>
        </is>
      </c>
      <c r="H565" t="inlineStr">
        <is>
          <t>Ontario Racquet Club</t>
        </is>
      </c>
      <c r="I565" t="inlineStr">
        <is>
          <t>unavailable</t>
        </is>
      </c>
      <c r="J565" s="4" t="n">
        <v>59</v>
      </c>
      <c r="K565" t="inlineStr">
        <is>
          <t>26 / 33</t>
        </is>
      </c>
      <c r="L565" t="inlineStr">
        <is>
          <t>1 / 5</t>
        </is>
      </c>
      <c r="M565" s="5" t="n">
        <v>0.44</v>
      </c>
      <c r="N565" s="5" t="n">
        <v>0.17</v>
      </c>
    </row>
    <row r="566">
      <c r="A566" t="n">
        <v>565</v>
      </c>
      <c r="B566" t="n">
        <v>2012</v>
      </c>
      <c r="C566" t="inlineStr">
        <is>
          <t>ONYEKACHUKWU MAGDALENE OGBATUE</t>
        </is>
      </c>
      <c r="D566">
        <f>HYPERLINK("https://ota.tournamentsoftware.com/player-profile/34FAC6AA-945B-40B3-BDE9-3F8B4198659B", "Link")</f>
        <v/>
      </c>
      <c r="E566" s="3" t="n">
        <v>54.418</v>
      </c>
      <c r="F566" s="4" t="n">
        <v>4</v>
      </c>
      <c r="G566" t="inlineStr">
        <is>
          <t>Ontario Tennis Association</t>
        </is>
      </c>
      <c r="H566" t="inlineStr">
        <is>
          <t>Matchpoint Tennis</t>
        </is>
      </c>
      <c r="I566" t="n">
        <v>35.5</v>
      </c>
      <c r="J566" s="4" t="n">
        <v>13</v>
      </c>
      <c r="K566" t="inlineStr">
        <is>
          <t>8 / 5</t>
        </is>
      </c>
      <c r="L566" t="inlineStr">
        <is>
          <t>8 / 5</t>
        </is>
      </c>
      <c r="M566" s="5" t="n">
        <v>0.62</v>
      </c>
      <c r="N566" s="5" t="n">
        <v>0.62</v>
      </c>
    </row>
    <row r="567">
      <c r="A567" t="n">
        <v>566</v>
      </c>
      <c r="B567" t="n">
        <v>2016</v>
      </c>
      <c r="C567" t="inlineStr">
        <is>
          <t>Vianna Mostashari</t>
        </is>
      </c>
      <c r="D567">
        <f>HYPERLINK("https://ota.tournamentsoftware.com/player-profile/670B74EC-3F81-45DD-8F9B-AEE768B61639", "Link")</f>
        <v/>
      </c>
      <c r="E567" s="3" t="n">
        <v>53.984</v>
      </c>
      <c r="F567" s="4" t="n">
        <v>10</v>
      </c>
      <c r="G567" t="inlineStr">
        <is>
          <t>British Columbia</t>
        </is>
      </c>
      <c r="H567" t="inlineStr">
        <is>
          <t>North Vancouver Tennis Centre</t>
        </is>
      </c>
      <c r="I567" t="n">
        <v>35.9</v>
      </c>
      <c r="J567" s="4" t="n">
        <v>154</v>
      </c>
      <c r="K567" t="inlineStr">
        <is>
          <t>86 / 68</t>
        </is>
      </c>
      <c r="L567" t="inlineStr">
        <is>
          <t>6 / 15</t>
        </is>
      </c>
      <c r="M567" s="5" t="n">
        <v>0.5600000000000001</v>
      </c>
      <c r="N567" s="5" t="n">
        <v>0.29</v>
      </c>
    </row>
    <row r="568">
      <c r="A568" t="n">
        <v>567</v>
      </c>
      <c r="B568" t="n">
        <v>2012</v>
      </c>
      <c r="C568" t="inlineStr">
        <is>
          <t>Juanita Valeria Ruiz</t>
        </is>
      </c>
      <c r="D568">
        <f>HYPERLINK("https://ota.tournamentsoftware.com/player-profile/60CB93B1-F620-4737-8F49-B06F794F4103", "Link")</f>
        <v/>
      </c>
      <c r="E568" s="3" t="n">
        <v>53.513</v>
      </c>
      <c r="F568" s="4" t="n">
        <v>4</v>
      </c>
      <c r="G568" t="inlineStr">
        <is>
          <t>Ontario Tennis Association</t>
        </is>
      </c>
      <c r="H568" t="inlineStr">
        <is>
          <t>No Club</t>
        </is>
      </c>
      <c r="I568" t="inlineStr">
        <is>
          <t>unavailable</t>
        </is>
      </c>
      <c r="J568" s="4" t="inlineStr"/>
      <c r="K568" t="inlineStr">
        <is>
          <t>unavailable</t>
        </is>
      </c>
      <c r="L568" t="inlineStr">
        <is>
          <t>unavailable</t>
        </is>
      </c>
      <c r="M568" s="5" t="inlineStr"/>
      <c r="N568" s="5" t="inlineStr"/>
    </row>
    <row r="569">
      <c r="A569" t="n">
        <v>568</v>
      </c>
      <c r="B569" t="n">
        <v>2016</v>
      </c>
      <c r="C569" t="inlineStr">
        <is>
          <t>Saanvi Sharma</t>
        </is>
      </c>
      <c r="D569">
        <f>HYPERLINK("https://ota.tournamentsoftware.com/player-profile/CE1D7CD8-1C3C-4F68-B568-48AC24E75437", "Link")</f>
        <v/>
      </c>
      <c r="E569" s="3" t="n">
        <v>53.28</v>
      </c>
      <c r="F569" s="4" t="n">
        <v>4</v>
      </c>
      <c r="G569" t="inlineStr">
        <is>
          <t>Tennis Québec</t>
        </is>
      </c>
      <c r="H569" t="inlineStr">
        <is>
          <t>Tennis Ile- des- Soeurs</t>
        </is>
      </c>
      <c r="I569" t="n">
        <v>37</v>
      </c>
      <c r="J569" s="4" t="n">
        <v>88</v>
      </c>
      <c r="K569" t="inlineStr">
        <is>
          <t>43 / 45</t>
        </is>
      </c>
      <c r="L569" t="inlineStr">
        <is>
          <t>12 / 8</t>
        </is>
      </c>
      <c r="M569" s="5" t="n">
        <v>0.49</v>
      </c>
      <c r="N569" s="5" t="n">
        <v>0.6</v>
      </c>
    </row>
    <row r="570">
      <c r="A570" t="n">
        <v>569</v>
      </c>
      <c r="B570" t="n">
        <v>2014</v>
      </c>
      <c r="C570" t="inlineStr">
        <is>
          <t>Julia Jzmati</t>
        </is>
      </c>
      <c r="D570">
        <f>HYPERLINK("https://ota.tournamentsoftware.com/player-profile/2AADF196-C892-43B1-9128-5338F8D87E95", "Link")</f>
        <v/>
      </c>
      <c r="E570" s="3" t="n">
        <v>52.454</v>
      </c>
      <c r="F570" s="4" t="n">
        <v>12</v>
      </c>
      <c r="G570" t="inlineStr">
        <is>
          <t>Ontario Tennis Association</t>
        </is>
      </c>
      <c r="H570" t="inlineStr">
        <is>
          <t>Rideau Sports Centre</t>
        </is>
      </c>
      <c r="I570" t="n">
        <v>39.5</v>
      </c>
      <c r="J570" s="4" t="n">
        <v>29</v>
      </c>
      <c r="K570" t="inlineStr">
        <is>
          <t>5 / 24</t>
        </is>
      </c>
      <c r="L570" t="inlineStr">
        <is>
          <t>1 / 9</t>
        </is>
      </c>
      <c r="M570" s="5" t="n">
        <v>0.17</v>
      </c>
      <c r="N570" s="5" t="n">
        <v>0.1</v>
      </c>
    </row>
    <row r="571">
      <c r="A571" t="n">
        <v>570</v>
      </c>
      <c r="B571" t="n">
        <v>2015</v>
      </c>
      <c r="C571" t="inlineStr">
        <is>
          <t>Karina Lee Griffin</t>
        </is>
      </c>
      <c r="D571">
        <f>HYPERLINK("https://ota.tournamentsoftware.com/player-profile/51794C7A-992F-4A4D-9983-0483174644A1", "Link")</f>
        <v/>
      </c>
      <c r="E571" s="3" t="n">
        <v>51.11</v>
      </c>
      <c r="F571" s="4" t="n">
        <v>17</v>
      </c>
      <c r="G571" t="inlineStr">
        <is>
          <t>British Columbia</t>
        </is>
      </c>
      <c r="H571" t="inlineStr">
        <is>
          <t>North Vancouver Tennis Centre</t>
        </is>
      </c>
      <c r="I571" t="n">
        <v>35.8</v>
      </c>
      <c r="J571" s="4" t="n">
        <v>148</v>
      </c>
      <c r="K571" t="inlineStr">
        <is>
          <t>69 / 79</t>
        </is>
      </c>
      <c r="L571" t="inlineStr">
        <is>
          <t>8 / 17</t>
        </is>
      </c>
      <c r="M571" s="5" t="n">
        <v>0.47</v>
      </c>
      <c r="N571" s="5" t="n">
        <v>0.32</v>
      </c>
    </row>
    <row r="572">
      <c r="A572" t="n">
        <v>571</v>
      </c>
      <c r="B572" t="n">
        <v>2014</v>
      </c>
      <c r="C572" t="inlineStr">
        <is>
          <t>Ann Ha</t>
        </is>
      </c>
      <c r="D572">
        <f>HYPERLINK("https://ota.tournamentsoftware.com/player-profile/139E73DD-882F-4509-9B0C-BB790DA8399D", "Link")</f>
        <v/>
      </c>
      <c r="E572" s="3" t="n">
        <v>50.846</v>
      </c>
      <c r="F572" s="4" t="n">
        <v>3</v>
      </c>
      <c r="G572" t="inlineStr">
        <is>
          <t>Tennis Saskatchewan</t>
        </is>
      </c>
      <c r="H572" t="inlineStr">
        <is>
          <t>Lakewood Indoor Tennis Centre</t>
        </is>
      </c>
      <c r="I572" t="inlineStr">
        <is>
          <t>unavailable</t>
        </is>
      </c>
      <c r="J572" s="4" t="n">
        <v>9</v>
      </c>
      <c r="K572" t="inlineStr">
        <is>
          <t>1 / 8</t>
        </is>
      </c>
      <c r="L572" t="inlineStr">
        <is>
          <t>1 / 8</t>
        </is>
      </c>
      <c r="M572" s="5" t="n">
        <v>0.11</v>
      </c>
      <c r="N572" s="5" t="n">
        <v>0.11</v>
      </c>
    </row>
    <row r="573">
      <c r="A573" t="n">
        <v>572</v>
      </c>
      <c r="B573" t="n">
        <v>2012</v>
      </c>
      <c r="C573" t="inlineStr">
        <is>
          <t>Elise Chan</t>
        </is>
      </c>
      <c r="D573">
        <f>HYPERLINK("https://ota.tournamentsoftware.com/player-profile/74C14A51-A560-4368-85E6-96F13264726F", "Link")</f>
        <v/>
      </c>
      <c r="E573" s="3" t="n">
        <v>50.266</v>
      </c>
      <c r="F573" s="4" t="n">
        <v>4</v>
      </c>
      <c r="G573" t="inlineStr">
        <is>
          <t>Ontario Tennis Association</t>
        </is>
      </c>
      <c r="H573" t="inlineStr">
        <is>
          <t>Rideau Sports Centre</t>
        </is>
      </c>
      <c r="I573" t="n">
        <v>38.4</v>
      </c>
      <c r="J573" s="4" t="n">
        <v>3</v>
      </c>
      <c r="K573" t="inlineStr">
        <is>
          <t>0 / 3</t>
        </is>
      </c>
      <c r="L573" t="inlineStr">
        <is>
          <t>0 / 3</t>
        </is>
      </c>
      <c r="M573" s="5" t="n">
        <v>0</v>
      </c>
      <c r="N573" s="5" t="n">
        <v>0</v>
      </c>
    </row>
    <row r="574">
      <c r="A574" t="n">
        <v>573</v>
      </c>
      <c r="B574" t="n">
        <v>2014</v>
      </c>
      <c r="C574" t="inlineStr">
        <is>
          <t>Sofia Morisette</t>
        </is>
      </c>
      <c r="D574">
        <f>HYPERLINK("https://ota.tournamentsoftware.com/player-profile/F99611AC-3485-4574-897D-68151916B40D", "Link")</f>
        <v/>
      </c>
      <c r="E574" s="3" t="n">
        <v>50.011</v>
      </c>
      <c r="F574" s="4" t="n">
        <v>4</v>
      </c>
      <c r="G574" t="inlineStr">
        <is>
          <t>British Columbia</t>
        </is>
      </c>
      <c r="H574" t="inlineStr">
        <is>
          <t>Tennis BC Hub @ Richmond</t>
        </is>
      </c>
      <c r="I574" t="n">
        <v>35.8</v>
      </c>
      <c r="J574" s="4" t="n">
        <v>128</v>
      </c>
      <c r="K574" t="inlineStr">
        <is>
          <t>51 / 77</t>
        </is>
      </c>
      <c r="L574" t="inlineStr">
        <is>
          <t>2 / 6</t>
        </is>
      </c>
      <c r="M574" s="5" t="n">
        <v>0.4</v>
      </c>
      <c r="N574" s="5" t="n">
        <v>0.25</v>
      </c>
    </row>
    <row r="575">
      <c r="A575" t="n">
        <v>574</v>
      </c>
      <c r="B575" t="n">
        <v>2015</v>
      </c>
      <c r="C575" t="inlineStr">
        <is>
          <t>Dania Ahmed</t>
        </is>
      </c>
      <c r="D575">
        <f>HYPERLINK("https://ota.tournamentsoftware.com/player-profile/3A4EF5D7-2C40-4E2A-A979-D3231C03A93C", "Link")</f>
        <v/>
      </c>
      <c r="E575" s="3" t="n">
        <v>49.909</v>
      </c>
      <c r="F575" s="4" t="n">
        <v>10</v>
      </c>
      <c r="G575" t="inlineStr">
        <is>
          <t>Ontario Tennis Association</t>
        </is>
      </c>
      <c r="H575" t="inlineStr">
        <is>
          <t>Waterloo Tennis Club</t>
        </is>
      </c>
      <c r="I575" t="n">
        <v>37</v>
      </c>
      <c r="J575" s="4" t="n">
        <v>82</v>
      </c>
      <c r="K575" t="inlineStr">
        <is>
          <t>50 / 32</t>
        </is>
      </c>
      <c r="L575" t="inlineStr">
        <is>
          <t>3 / 7</t>
        </is>
      </c>
      <c r="M575" s="5" t="n">
        <v>0.61</v>
      </c>
      <c r="N575" s="5" t="n">
        <v>0.3</v>
      </c>
    </row>
    <row r="576">
      <c r="A576" t="n">
        <v>575</v>
      </c>
      <c r="B576" t="n">
        <v>2014</v>
      </c>
      <c r="C576" t="inlineStr">
        <is>
          <t>Emma Ghantous</t>
        </is>
      </c>
      <c r="D576">
        <f>HYPERLINK("https://ota.tournamentsoftware.com/player-profile/0EA6BF71-F3BF-4EA7-95F6-B80CD551F4FB", "Link")</f>
        <v/>
      </c>
      <c r="E576" s="3" t="n">
        <v>49.68</v>
      </c>
      <c r="F576" s="4" t="n">
        <v>2</v>
      </c>
      <c r="G576" t="inlineStr">
        <is>
          <t>Tennis Québec</t>
        </is>
      </c>
      <c r="H576" t="inlineStr">
        <is>
          <t>Tennis 13</t>
        </is>
      </c>
      <c r="I576" t="n">
        <v>33.4</v>
      </c>
      <c r="J576" s="4" t="n">
        <v>126</v>
      </c>
      <c r="K576" t="inlineStr">
        <is>
          <t>77 / 49</t>
        </is>
      </c>
      <c r="L576" t="inlineStr">
        <is>
          <t>0 / 0</t>
        </is>
      </c>
      <c r="M576" s="5" t="n">
        <v>0.61</v>
      </c>
      <c r="N576" s="5" t="n">
        <v>0</v>
      </c>
    </row>
    <row r="577">
      <c r="A577" t="n">
        <v>576</v>
      </c>
      <c r="B577" t="n">
        <v>2015</v>
      </c>
      <c r="C577" t="inlineStr">
        <is>
          <t>Sofia Kiselenko</t>
        </is>
      </c>
      <c r="D577">
        <f>HYPERLINK("https://ota.tournamentsoftware.com/player-profile/8164E8EB-17A8-4270-A12B-31EFF18C9343", "Link")</f>
        <v/>
      </c>
      <c r="E577" s="3" t="n">
        <v>49.342</v>
      </c>
      <c r="F577" s="4" t="n">
        <v>14</v>
      </c>
      <c r="G577" t="inlineStr">
        <is>
          <t>Tennis Alberta</t>
        </is>
      </c>
      <c r="H577" t="inlineStr">
        <is>
          <t>Osten &amp; Victor Alberta Tennis Centre</t>
        </is>
      </c>
      <c r="I577" t="n">
        <v>37.2</v>
      </c>
      <c r="J577" s="4" t="n">
        <v>128</v>
      </c>
      <c r="K577" t="inlineStr">
        <is>
          <t>42 / 86</t>
        </is>
      </c>
      <c r="L577" t="inlineStr">
        <is>
          <t>10 / 12</t>
        </is>
      </c>
      <c r="M577" s="5" t="n">
        <v>0.33</v>
      </c>
      <c r="N577" s="5" t="n">
        <v>0.45</v>
      </c>
    </row>
    <row r="578">
      <c r="A578" t="n">
        <v>577</v>
      </c>
      <c r="B578" t="n">
        <v>2017</v>
      </c>
      <c r="C578" t="inlineStr">
        <is>
          <t>Vivian Spurrell</t>
        </is>
      </c>
      <c r="D578">
        <f>HYPERLINK("https://ota.tournamentsoftware.com/player-profile/9CFE670B-9D8C-4BC2-8DDB-1C78F17AE1FF", "Link")</f>
        <v/>
      </c>
      <c r="E578" s="3" t="n">
        <v>49.126</v>
      </c>
      <c r="F578" s="4" t="n">
        <v>3</v>
      </c>
      <c r="G578" t="inlineStr">
        <is>
          <t>Tennis Newfoundland &amp; Labrador</t>
        </is>
      </c>
      <c r="H578" t="inlineStr">
        <is>
          <t>Greenbelt Tennis Club</t>
        </is>
      </c>
      <c r="I578" t="inlineStr">
        <is>
          <t>unavailable</t>
        </is>
      </c>
      <c r="J578" s="4" t="n">
        <v>20</v>
      </c>
      <c r="K578" t="inlineStr">
        <is>
          <t>15 / 5</t>
        </is>
      </c>
      <c r="L578" t="inlineStr">
        <is>
          <t>11 / 3</t>
        </is>
      </c>
      <c r="M578" s="5" t="n">
        <v>0.75</v>
      </c>
      <c r="N578" s="5" t="n">
        <v>0.79</v>
      </c>
    </row>
    <row r="579">
      <c r="A579" t="n">
        <v>578</v>
      </c>
      <c r="B579" t="n">
        <v>2014</v>
      </c>
      <c r="C579" t="inlineStr">
        <is>
          <t>Hui-Xin Chen</t>
        </is>
      </c>
      <c r="D579">
        <f>HYPERLINK("https://ota.tournamentsoftware.com/player-profile/755E1358-E624-498A-A129-DA058D259A1E", "Link")</f>
        <v/>
      </c>
      <c r="E579" s="3" t="n">
        <v>48.852</v>
      </c>
      <c r="F579" s="4" t="n">
        <v>8</v>
      </c>
      <c r="G579" t="inlineStr">
        <is>
          <t>British Columbia</t>
        </is>
      </c>
      <c r="H579" t="inlineStr">
        <is>
          <t>No Club</t>
        </is>
      </c>
      <c r="I579" t="inlineStr">
        <is>
          <t>unavailable</t>
        </is>
      </c>
      <c r="J579" s="4" t="n">
        <v>98</v>
      </c>
      <c r="K579" t="inlineStr">
        <is>
          <t>31 / 67</t>
        </is>
      </c>
      <c r="L579" t="inlineStr">
        <is>
          <t>8 / 10</t>
        </is>
      </c>
      <c r="M579" s="5" t="n">
        <v>0.32</v>
      </c>
      <c r="N579" s="5" t="n">
        <v>0.44</v>
      </c>
    </row>
    <row r="580">
      <c r="A580" t="n">
        <v>579</v>
      </c>
      <c r="B580" t="n">
        <v>2014</v>
      </c>
      <c r="C580" t="inlineStr">
        <is>
          <t>Mathilde Langis</t>
        </is>
      </c>
      <c r="D580">
        <f>HYPERLINK("https://ota.tournamentsoftware.com/player-profile/39929D79-FF7E-4461-9561-38C5D88AE666", "Link")</f>
        <v/>
      </c>
      <c r="E580" s="3" t="n">
        <v>48.716</v>
      </c>
      <c r="F580" s="4" t="n">
        <v>5</v>
      </c>
      <c r="G580" t="inlineStr">
        <is>
          <t>Tennis Québec</t>
        </is>
      </c>
      <c r="H580" t="inlineStr">
        <is>
          <t>Académie de tennis UNI(T)</t>
        </is>
      </c>
      <c r="I580" t="n">
        <v>36.2</v>
      </c>
      <c r="J580" s="4" t="n">
        <v>72</v>
      </c>
      <c r="K580" t="inlineStr">
        <is>
          <t>31 / 41</t>
        </is>
      </c>
      <c r="L580" t="inlineStr">
        <is>
          <t>1 / 2</t>
        </is>
      </c>
      <c r="M580" s="5" t="n">
        <v>0.43</v>
      </c>
      <c r="N580" s="5" t="n">
        <v>0.33</v>
      </c>
    </row>
    <row r="581">
      <c r="A581" t="n">
        <v>580</v>
      </c>
      <c r="B581" t="n">
        <v>2015</v>
      </c>
      <c r="C581" t="inlineStr">
        <is>
          <t>Miadel Flores</t>
        </is>
      </c>
      <c r="D581">
        <f>HYPERLINK("https://ota.tournamentsoftware.com/player-profile/19F5DCB9-D4C1-477E-9443-DA276E9A30BC", "Link")</f>
        <v/>
      </c>
      <c r="E581" s="3" t="n">
        <v>48.438</v>
      </c>
      <c r="F581" s="4" t="n">
        <v>4</v>
      </c>
      <c r="G581" t="inlineStr">
        <is>
          <t>Tennis Québec</t>
        </is>
      </c>
      <c r="H581" t="inlineStr">
        <is>
          <t>No Club</t>
        </is>
      </c>
      <c r="I581" t="n">
        <v>40</v>
      </c>
      <c r="J581" s="4" t="n">
        <v>5</v>
      </c>
      <c r="K581" t="inlineStr">
        <is>
          <t>1 / 4</t>
        </is>
      </c>
      <c r="L581" t="inlineStr">
        <is>
          <t>1 / 4</t>
        </is>
      </c>
      <c r="M581" s="5" t="n">
        <v>0.2</v>
      </c>
      <c r="N581" s="5" t="n">
        <v>0.2</v>
      </c>
    </row>
    <row r="582">
      <c r="A582" t="n">
        <v>581</v>
      </c>
      <c r="B582" t="n">
        <v>2014</v>
      </c>
      <c r="C582" t="inlineStr">
        <is>
          <t>Tess Marie Trenholm</t>
        </is>
      </c>
      <c r="D582">
        <f>HYPERLINK("https://ota.tournamentsoftware.com/player-profile/37DD9223-BE00-45F7-9DE9-3EA92F74CD7B", "Link")</f>
        <v/>
      </c>
      <c r="E582" s="3" t="n">
        <v>48.421</v>
      </c>
      <c r="F582" s="4" t="n">
        <v>17</v>
      </c>
      <c r="G582" t="inlineStr">
        <is>
          <t>Ontario Tennis Association</t>
        </is>
      </c>
      <c r="H582" t="inlineStr">
        <is>
          <t>Ontario Racquet Club</t>
        </is>
      </c>
      <c r="I582" t="n">
        <v>38.7</v>
      </c>
      <c r="J582" s="4" t="n">
        <v>92</v>
      </c>
      <c r="K582" t="inlineStr">
        <is>
          <t>25 / 67</t>
        </is>
      </c>
      <c r="L582" t="inlineStr">
        <is>
          <t>6 / 12</t>
        </is>
      </c>
      <c r="M582" s="5" t="n">
        <v>0.27</v>
      </c>
      <c r="N582" s="5" t="n">
        <v>0.33</v>
      </c>
    </row>
    <row r="583">
      <c r="A583" t="n">
        <v>582</v>
      </c>
      <c r="B583" t="n">
        <v>2012</v>
      </c>
      <c r="C583" t="inlineStr">
        <is>
          <t>Allison Wu</t>
        </is>
      </c>
      <c r="D583">
        <f>HYPERLINK("https://ota.tournamentsoftware.com/player-profile/5B6A5CCB-4E85-427C-99E0-E2078ED2493C", "Link")</f>
        <v/>
      </c>
      <c r="E583" s="3" t="n">
        <v>48.368</v>
      </c>
      <c r="F583" s="4" t="n">
        <v>6</v>
      </c>
      <c r="G583" t="inlineStr">
        <is>
          <t>British Columbia</t>
        </is>
      </c>
      <c r="H583" t="inlineStr">
        <is>
          <t>Coquitlam Tennis Club</t>
        </is>
      </c>
      <c r="I583" t="n">
        <v>39.4</v>
      </c>
      <c r="J583" s="4" t="n">
        <v>54</v>
      </c>
      <c r="K583" t="inlineStr">
        <is>
          <t>9 / 45</t>
        </is>
      </c>
      <c r="L583" t="inlineStr">
        <is>
          <t>0 / 4</t>
        </is>
      </c>
      <c r="M583" s="5" t="n">
        <v>0.17</v>
      </c>
      <c r="N583" s="5" t="n">
        <v>0</v>
      </c>
    </row>
    <row r="584">
      <c r="A584" t="n">
        <v>583</v>
      </c>
      <c r="B584" t="n">
        <v>2013</v>
      </c>
      <c r="C584" t="inlineStr">
        <is>
          <t>Gloria Yang</t>
        </is>
      </c>
      <c r="D584">
        <f>HYPERLINK("https://ota.tournamentsoftware.com/player-profile/93D03535-4A4B-4898-A531-8F0DB9BA8BD8", "Link")</f>
        <v/>
      </c>
      <c r="E584" s="3" t="n">
        <v>48.153</v>
      </c>
      <c r="F584" s="4" t="n">
        <v>2</v>
      </c>
      <c r="G584" t="inlineStr">
        <is>
          <t>Tennis Prince Edward Island</t>
        </is>
      </c>
      <c r="H584" t="inlineStr">
        <is>
          <t>Royalty Racquet Centre</t>
        </is>
      </c>
      <c r="I584" t="inlineStr">
        <is>
          <t>unavailable</t>
        </is>
      </c>
      <c r="J584" s="4" t="n">
        <v>15</v>
      </c>
      <c r="K584" t="inlineStr">
        <is>
          <t>5 / 10</t>
        </is>
      </c>
      <c r="L584" t="inlineStr">
        <is>
          <t>1 / 6</t>
        </is>
      </c>
      <c r="M584" s="5" t="n">
        <v>0.33</v>
      </c>
      <c r="N584" s="5" t="n">
        <v>0.14</v>
      </c>
    </row>
    <row r="585">
      <c r="A585" t="n">
        <v>584</v>
      </c>
      <c r="B585" t="n">
        <v>2015</v>
      </c>
      <c r="C585" t="inlineStr">
        <is>
          <t>Scarlett Chan</t>
        </is>
      </c>
      <c r="D585">
        <f>HYPERLINK("https://ota.tournamentsoftware.com/player-profile/FC173056-E1A0-4194-9722-D15B8524262F", "Link")</f>
        <v/>
      </c>
      <c r="E585" s="3" t="n">
        <v>48.124</v>
      </c>
      <c r="F585" s="4" t="n">
        <v>5</v>
      </c>
      <c r="G585" t="inlineStr">
        <is>
          <t>Ontario Tennis Association</t>
        </is>
      </c>
      <c r="H585" t="inlineStr">
        <is>
          <t>Mayfair East Racquet Club</t>
        </is>
      </c>
      <c r="I585" t="n">
        <v>37.1</v>
      </c>
      <c r="J585" s="4" t="n">
        <v>79</v>
      </c>
      <c r="K585" t="inlineStr">
        <is>
          <t>47 / 32</t>
        </is>
      </c>
      <c r="L585" t="inlineStr">
        <is>
          <t>3 / 6</t>
        </is>
      </c>
      <c r="M585" s="5" t="n">
        <v>0.59</v>
      </c>
      <c r="N585" s="5" t="n">
        <v>0.33</v>
      </c>
    </row>
    <row r="586">
      <c r="A586" t="n">
        <v>585</v>
      </c>
      <c r="B586" t="n">
        <v>2012</v>
      </c>
      <c r="C586" t="inlineStr">
        <is>
          <t>Nora Skogen</t>
        </is>
      </c>
      <c r="D586">
        <f>HYPERLINK("https://ota.tournamentsoftware.com/player-profile/84E488EE-ABCE-4936-AC77-DCF33DA7BE52", "Link")</f>
        <v/>
      </c>
      <c r="E586" s="3" t="n">
        <v>47.579</v>
      </c>
      <c r="F586" s="4" t="n">
        <v>2</v>
      </c>
      <c r="G586" t="inlineStr">
        <is>
          <t>British Columbia</t>
        </is>
      </c>
      <c r="H586" t="inlineStr">
        <is>
          <t>Hollyburn Country Club</t>
        </is>
      </c>
      <c r="I586" t="n">
        <v>32.3</v>
      </c>
      <c r="J586" s="4" t="n">
        <v>164</v>
      </c>
      <c r="K586" t="inlineStr">
        <is>
          <t>79 / 85</t>
        </is>
      </c>
      <c r="L586" t="inlineStr">
        <is>
          <t>1 / 1</t>
        </is>
      </c>
      <c r="M586" s="5" t="n">
        <v>0.48</v>
      </c>
      <c r="N586" s="5" t="n">
        <v>0.5</v>
      </c>
    </row>
    <row r="587">
      <c r="A587" t="n">
        <v>586</v>
      </c>
      <c r="B587" t="n">
        <v>2013</v>
      </c>
      <c r="C587" t="inlineStr">
        <is>
          <t>Julia Anne Kennedy</t>
        </is>
      </c>
      <c r="D587">
        <f>HYPERLINK("https://ota.tournamentsoftware.com/player-profile/82DF6D3D-A382-4764-B57C-0EA44A762022", "Link")</f>
        <v/>
      </c>
      <c r="E587" s="3" t="n">
        <v>47</v>
      </c>
      <c r="F587" s="4" t="n">
        <v>4</v>
      </c>
      <c r="G587" t="inlineStr">
        <is>
          <t>Ontario Tennis Association</t>
        </is>
      </c>
      <c r="H587" t="inlineStr">
        <is>
          <t>SmartVMC Racquetsports by ACE</t>
        </is>
      </c>
      <c r="I587" t="n">
        <v>33</v>
      </c>
      <c r="J587" s="4" t="n">
        <v>141</v>
      </c>
      <c r="K587" t="inlineStr">
        <is>
          <t>66 / 75</t>
        </is>
      </c>
      <c r="L587" t="inlineStr">
        <is>
          <t>0 / 0</t>
        </is>
      </c>
      <c r="M587" s="5" t="n">
        <v>0.47</v>
      </c>
      <c r="N587" s="5" t="n">
        <v>0</v>
      </c>
    </row>
    <row r="588">
      <c r="A588" t="n">
        <v>587</v>
      </c>
      <c r="B588" t="n">
        <v>2015</v>
      </c>
      <c r="C588" t="inlineStr">
        <is>
          <t>Kinsley Jade Lin</t>
        </is>
      </c>
      <c r="D588">
        <f>HYPERLINK("https://ota.tournamentsoftware.com/player-profile/1FF4FA2D-412B-4E4A-AE72-948C7BC68D73", "Link")</f>
        <v/>
      </c>
      <c r="E588" s="3" t="n">
        <v>44.956</v>
      </c>
      <c r="F588" s="4" t="n">
        <v>9</v>
      </c>
      <c r="G588" t="inlineStr">
        <is>
          <t>Ontario Tennis Association</t>
        </is>
      </c>
      <c r="H588" t="inlineStr">
        <is>
          <t>The Tennis School</t>
        </is>
      </c>
      <c r="I588" t="n">
        <v>37</v>
      </c>
      <c r="J588" s="4" t="n">
        <v>90</v>
      </c>
      <c r="K588" t="inlineStr">
        <is>
          <t>40 / 50</t>
        </is>
      </c>
      <c r="L588" t="inlineStr">
        <is>
          <t>5 / 7</t>
        </is>
      </c>
      <c r="M588" s="5" t="n">
        <v>0.44</v>
      </c>
      <c r="N588" s="5" t="n">
        <v>0.42</v>
      </c>
    </row>
    <row r="589">
      <c r="A589" t="n">
        <v>588</v>
      </c>
      <c r="B589" t="n">
        <v>2015</v>
      </c>
      <c r="C589" t="inlineStr">
        <is>
          <t>LILLIAN LI</t>
        </is>
      </c>
      <c r="D589">
        <f>HYPERLINK("https://ota.tournamentsoftware.com/player-profile/6381808D-332A-4694-9A60-DD4214A2A2F0", "Link")</f>
        <v/>
      </c>
      <c r="E589" s="3" t="n">
        <v>44.713</v>
      </c>
      <c r="F589" s="4" t="n">
        <v>8</v>
      </c>
      <c r="G589" t="inlineStr">
        <is>
          <t>Ontario Tennis Association</t>
        </is>
      </c>
      <c r="H589" t="inlineStr">
        <is>
          <t>Rideau Sports Centre</t>
        </is>
      </c>
      <c r="I589" t="n">
        <v>39.7</v>
      </c>
      <c r="J589" s="4" t="n">
        <v>19</v>
      </c>
      <c r="K589" t="inlineStr">
        <is>
          <t>4 / 15</t>
        </is>
      </c>
      <c r="L589" t="inlineStr">
        <is>
          <t>0 / 8</t>
        </is>
      </c>
      <c r="M589" s="5" t="n">
        <v>0.21</v>
      </c>
      <c r="N589" s="5" t="n">
        <v>0</v>
      </c>
    </row>
    <row r="590">
      <c r="A590" t="n">
        <v>589</v>
      </c>
      <c r="B590" t="n">
        <v>2015</v>
      </c>
      <c r="C590" t="inlineStr">
        <is>
          <t>Alexia Lionis</t>
        </is>
      </c>
      <c r="D590">
        <f>HYPERLINK("https://ota.tournamentsoftware.com/player-profile/C2079715-4A8A-4F16-A5F2-10633FCB08AA", "Link")</f>
        <v/>
      </c>
      <c r="E590" s="3" t="n">
        <v>44.665</v>
      </c>
      <c r="F590" s="4" t="n">
        <v>5</v>
      </c>
      <c r="G590" t="inlineStr">
        <is>
          <t>Ontario Tennis Association</t>
        </is>
      </c>
      <c r="H590" t="inlineStr">
        <is>
          <t>Ontario Racquet Club</t>
        </is>
      </c>
      <c r="I590" t="inlineStr">
        <is>
          <t>unavailable</t>
        </is>
      </c>
      <c r="J590" s="4" t="n">
        <v>76</v>
      </c>
      <c r="K590" t="inlineStr">
        <is>
          <t>34 / 42</t>
        </is>
      </c>
      <c r="L590" t="inlineStr">
        <is>
          <t>5 / 8</t>
        </is>
      </c>
      <c r="M590" s="5" t="n">
        <v>0.45</v>
      </c>
      <c r="N590" s="5" t="n">
        <v>0.38</v>
      </c>
    </row>
    <row r="591">
      <c r="A591" t="n">
        <v>590</v>
      </c>
      <c r="B591" t="n">
        <v>2015</v>
      </c>
      <c r="C591" t="inlineStr">
        <is>
          <t>Aubrey Baldinelli</t>
        </is>
      </c>
      <c r="D591">
        <f>HYPERLINK("https://ota.tournamentsoftware.com/player-profile/4C52D449-95CA-49A9-B524-B01117EAD86C", "Link")</f>
        <v/>
      </c>
      <c r="E591" s="3" t="n">
        <v>44.546</v>
      </c>
      <c r="F591" s="4" t="n">
        <v>9</v>
      </c>
      <c r="G591" t="inlineStr">
        <is>
          <t>Ontario Tennis Association</t>
        </is>
      </c>
      <c r="H591" t="inlineStr">
        <is>
          <t>Youngs Sportsplex</t>
        </is>
      </c>
      <c r="I591" t="n">
        <v>38.6</v>
      </c>
      <c r="J591" s="4" t="n">
        <v>40</v>
      </c>
      <c r="K591" t="inlineStr">
        <is>
          <t>20 / 20</t>
        </is>
      </c>
      <c r="L591" t="inlineStr">
        <is>
          <t>3 / 12</t>
        </is>
      </c>
      <c r="M591" s="5" t="n">
        <v>0.5</v>
      </c>
      <c r="N591" s="5" t="n">
        <v>0.2</v>
      </c>
    </row>
    <row r="592">
      <c r="A592" t="n">
        <v>591</v>
      </c>
      <c r="B592" t="n">
        <v>2016</v>
      </c>
      <c r="C592" t="inlineStr">
        <is>
          <t>Ziqi Yu</t>
        </is>
      </c>
      <c r="D592">
        <f>HYPERLINK("https://ota.tournamentsoftware.com/player-profile/89FEB2A7-669B-4D40-A67D-54016F42DA82", "Link")</f>
        <v/>
      </c>
      <c r="E592" s="3" t="n">
        <v>44.539</v>
      </c>
      <c r="F592" s="4" t="n">
        <v>11</v>
      </c>
      <c r="G592" t="inlineStr">
        <is>
          <t>Ontario Tennis Association</t>
        </is>
      </c>
      <c r="H592" t="inlineStr">
        <is>
          <t>Blackmore Tennis Club</t>
        </is>
      </c>
      <c r="I592" t="n">
        <v>34.7</v>
      </c>
      <c r="J592" s="4" t="n">
        <v>90</v>
      </c>
      <c r="K592" t="inlineStr">
        <is>
          <t>58 / 32</t>
        </is>
      </c>
      <c r="L592" t="inlineStr">
        <is>
          <t>22 / 13</t>
        </is>
      </c>
      <c r="M592" s="5" t="n">
        <v>0.64</v>
      </c>
      <c r="N592" s="5" t="n">
        <v>0.63</v>
      </c>
    </row>
    <row r="593">
      <c r="A593" t="n">
        <v>592</v>
      </c>
      <c r="B593" t="n">
        <v>2013</v>
      </c>
      <c r="C593" t="inlineStr">
        <is>
          <t>Noa Margaux Dery</t>
        </is>
      </c>
      <c r="D593">
        <f>HYPERLINK("https://ota.tournamentsoftware.com/player-profile/2BE09915-8A78-4187-839F-E3A10E233213", "Link")</f>
        <v/>
      </c>
      <c r="E593" s="3" t="n">
        <v>44.445</v>
      </c>
      <c r="F593" s="4" t="n">
        <v>7</v>
      </c>
      <c r="G593" t="inlineStr">
        <is>
          <t>Tennis Québec</t>
        </is>
      </c>
      <c r="H593" t="inlineStr">
        <is>
          <t>Club Sportif Côte-de-Liesse</t>
        </is>
      </c>
      <c r="I593" t="n">
        <v>37.7</v>
      </c>
      <c r="J593" s="4" t="n">
        <v>28</v>
      </c>
      <c r="K593" t="inlineStr">
        <is>
          <t>8 / 20</t>
        </is>
      </c>
      <c r="L593" t="inlineStr">
        <is>
          <t>1 / 1</t>
        </is>
      </c>
      <c r="M593" s="5" t="n">
        <v>0.29</v>
      </c>
      <c r="N593" s="5" t="n">
        <v>0.5</v>
      </c>
    </row>
    <row r="594">
      <c r="A594" t="n">
        <v>593</v>
      </c>
      <c r="B594" t="n">
        <v>2014</v>
      </c>
      <c r="C594" t="inlineStr">
        <is>
          <t>Charlotte Adeline Ratchford</t>
        </is>
      </c>
      <c r="D594">
        <f>HYPERLINK("https://ota.tournamentsoftware.com/player-profile/552DF1FC-65F6-48FE-8B31-884C1DC273DB", "Link")</f>
        <v/>
      </c>
      <c r="E594" s="3" t="n">
        <v>44.065</v>
      </c>
      <c r="F594" s="4" t="n">
        <v>14</v>
      </c>
      <c r="G594" t="inlineStr">
        <is>
          <t>British Columbia</t>
        </is>
      </c>
      <c r="H594" t="inlineStr">
        <is>
          <t>Jericho Tennis Club</t>
        </is>
      </c>
      <c r="I594" t="n">
        <v>37.4</v>
      </c>
      <c r="J594" s="4" t="n">
        <v>36</v>
      </c>
      <c r="K594" t="inlineStr">
        <is>
          <t>10 / 26</t>
        </is>
      </c>
      <c r="L594" t="inlineStr">
        <is>
          <t>8 / 21</t>
        </is>
      </c>
      <c r="M594" s="5" t="n">
        <v>0.28</v>
      </c>
      <c r="N594" s="5" t="n">
        <v>0.28</v>
      </c>
    </row>
    <row r="595">
      <c r="A595" t="n">
        <v>594</v>
      </c>
      <c r="B595" t="n">
        <v>2015</v>
      </c>
      <c r="C595" t="inlineStr">
        <is>
          <t>Ella Bloom Chulak</t>
        </is>
      </c>
      <c r="D595">
        <f>HYPERLINK("https://ota.tournamentsoftware.com/player-profile/3DBBE08D-DBAA-43E3-BCD3-2820667C7A24", "Link")</f>
        <v/>
      </c>
      <c r="E595" s="3" t="n">
        <v>44.008</v>
      </c>
      <c r="F595" s="4" t="n">
        <v>9</v>
      </c>
      <c r="G595" t="inlineStr">
        <is>
          <t>Ontario Tennis Association</t>
        </is>
      </c>
      <c r="H595" t="inlineStr">
        <is>
          <t>Richmondhill Golf &amp; Country Club</t>
        </is>
      </c>
      <c r="I595" t="n">
        <v>36</v>
      </c>
      <c r="J595" s="4" t="n">
        <v>81</v>
      </c>
      <c r="K595" t="inlineStr">
        <is>
          <t>32 / 49</t>
        </is>
      </c>
      <c r="L595" t="inlineStr">
        <is>
          <t>8 / 7</t>
        </is>
      </c>
      <c r="M595" s="5" t="n">
        <v>0.4</v>
      </c>
      <c r="N595" s="5" t="n">
        <v>0.53</v>
      </c>
    </row>
    <row r="596">
      <c r="A596" t="n">
        <v>595</v>
      </c>
      <c r="B596" t="n">
        <v>2012</v>
      </c>
      <c r="C596" t="inlineStr">
        <is>
          <t>Hannah Cai</t>
        </is>
      </c>
      <c r="D596">
        <f>HYPERLINK("https://ota.tournamentsoftware.com/player-profile/1BCCF189-E78D-4ACB-8654-DA280CB1EBBA", "Link")</f>
        <v/>
      </c>
      <c r="E596" s="3" t="n">
        <v>43.56</v>
      </c>
      <c r="F596" s="4" t="n">
        <v>1</v>
      </c>
      <c r="G596" t="inlineStr">
        <is>
          <t>Ontario Tennis Association</t>
        </is>
      </c>
      <c r="H596" t="inlineStr">
        <is>
          <t>Advantage Tennis International at Veneto</t>
        </is>
      </c>
      <c r="I596" t="inlineStr">
        <is>
          <t>unavailable</t>
        </is>
      </c>
      <c r="J596" s="4" t="n">
        <v>79</v>
      </c>
      <c r="K596" t="inlineStr">
        <is>
          <t>25 / 54</t>
        </is>
      </c>
      <c r="L596" t="inlineStr">
        <is>
          <t>0 / 0</t>
        </is>
      </c>
      <c r="M596" s="5" t="n">
        <v>0.32</v>
      </c>
      <c r="N596" s="5" t="n">
        <v>0</v>
      </c>
    </row>
    <row r="597">
      <c r="A597" t="n">
        <v>596</v>
      </c>
      <c r="B597" t="n">
        <v>2013</v>
      </c>
      <c r="C597" t="inlineStr">
        <is>
          <t>Emma Isabella Lamacchia</t>
        </is>
      </c>
      <c r="D597">
        <f>HYPERLINK("https://ota.tournamentsoftware.com/player-profile/13408327-82EC-4D4E-B3D1-9FA084C53782", "Link")</f>
        <v/>
      </c>
      <c r="E597" s="3" t="n">
        <v>43.33</v>
      </c>
      <c r="F597" s="4" t="n">
        <v>3</v>
      </c>
      <c r="G597" t="inlineStr">
        <is>
          <t>Ontario Tennis Association</t>
        </is>
      </c>
      <c r="H597" t="inlineStr">
        <is>
          <t>Advantage Tennis International at Veneto</t>
        </is>
      </c>
      <c r="I597" t="n">
        <v>39.7</v>
      </c>
      <c r="J597" s="4" t="n">
        <v>19</v>
      </c>
      <c r="K597" t="inlineStr">
        <is>
          <t>2 / 17</t>
        </is>
      </c>
      <c r="L597" t="inlineStr">
        <is>
          <t>2 / 17</t>
        </is>
      </c>
      <c r="M597" s="5" t="n">
        <v>0.11</v>
      </c>
      <c r="N597" s="5" t="n">
        <v>0.11</v>
      </c>
    </row>
    <row r="598">
      <c r="A598" t="n">
        <v>597</v>
      </c>
      <c r="B598" t="n">
        <v>2013</v>
      </c>
      <c r="C598" t="inlineStr">
        <is>
          <t>Julia Soldatov</t>
        </is>
      </c>
      <c r="D598">
        <f>HYPERLINK("https://ota.tournamentsoftware.com/player-profile/9CDD8F0E-2B06-4818-8B32-A0ED95A9E6DF", "Link")</f>
        <v/>
      </c>
      <c r="E598" s="3" t="n">
        <v>43.295</v>
      </c>
      <c r="F598" s="4" t="n">
        <v>4</v>
      </c>
      <c r="G598" t="inlineStr">
        <is>
          <t>Ontario Tennis Association</t>
        </is>
      </c>
      <c r="H598" t="inlineStr">
        <is>
          <t>Newmarket Community Tennis Club</t>
        </is>
      </c>
      <c r="I598" t="n">
        <v>39</v>
      </c>
      <c r="J598" s="4" t="n">
        <v>17</v>
      </c>
      <c r="K598" t="inlineStr">
        <is>
          <t>5 / 12</t>
        </is>
      </c>
      <c r="L598" t="inlineStr">
        <is>
          <t>5 / 12</t>
        </is>
      </c>
      <c r="M598" s="5" t="n">
        <v>0.29</v>
      </c>
      <c r="N598" s="5" t="n">
        <v>0.29</v>
      </c>
    </row>
    <row r="599">
      <c r="A599" t="n">
        <v>598</v>
      </c>
      <c r="B599" t="n">
        <v>2012</v>
      </c>
      <c r="C599" t="inlineStr">
        <is>
          <t>Valeria Taborda - Valverde</t>
        </is>
      </c>
      <c r="D599">
        <f>HYPERLINK("https://ota.tournamentsoftware.com/player-profile/E0201B38-AEE1-4BAC-B0FB-FA389A1FFEA8", "Link")</f>
        <v/>
      </c>
      <c r="E599" s="3" t="n">
        <v>43.272</v>
      </c>
      <c r="F599" s="4" t="n">
        <v>2</v>
      </c>
      <c r="G599" t="inlineStr">
        <is>
          <t>Ontario Tennis Association</t>
        </is>
      </c>
      <c r="H599" t="inlineStr">
        <is>
          <t>Port Hope Racquet Club</t>
        </is>
      </c>
      <c r="I599" t="inlineStr">
        <is>
          <t>unavailable</t>
        </is>
      </c>
      <c r="J599" s="4" t="n">
        <v>35</v>
      </c>
      <c r="K599" t="inlineStr">
        <is>
          <t>13 / 22</t>
        </is>
      </c>
      <c r="L599" t="inlineStr">
        <is>
          <t>1 / 1</t>
        </is>
      </c>
      <c r="M599" s="5" t="n">
        <v>0.37</v>
      </c>
      <c r="N599" s="5" t="n">
        <v>0.5</v>
      </c>
    </row>
    <row r="600">
      <c r="A600" t="n">
        <v>599</v>
      </c>
      <c r="B600" t="n">
        <v>2012</v>
      </c>
      <c r="C600" t="inlineStr">
        <is>
          <t>Aurélie Houde</t>
        </is>
      </c>
      <c r="D600">
        <f>HYPERLINK("https://ota.tournamentsoftware.com/player-profile/F697AB49-11E9-42EF-B0E6-5DF0E77AF99C", "Link")</f>
        <v/>
      </c>
      <c r="E600" s="3" t="n">
        <v>43.226</v>
      </c>
      <c r="F600" s="4" t="n">
        <v>5</v>
      </c>
      <c r="G600" t="inlineStr">
        <is>
          <t>Tennis Québec</t>
        </is>
      </c>
      <c r="H600" t="inlineStr">
        <is>
          <t>Association de tennis de Drummondville</t>
        </is>
      </c>
      <c r="I600" t="n">
        <v>39.7</v>
      </c>
      <c r="J600" s="4" t="n">
        <v>22</v>
      </c>
      <c r="K600" t="inlineStr">
        <is>
          <t>1 / 21</t>
        </is>
      </c>
      <c r="L600" t="inlineStr">
        <is>
          <t>0 / 3</t>
        </is>
      </c>
      <c r="M600" s="5" t="n">
        <v>0.05</v>
      </c>
      <c r="N600" s="5" t="n">
        <v>0</v>
      </c>
    </row>
    <row r="601">
      <c r="A601" t="n">
        <v>600</v>
      </c>
      <c r="B601" t="n">
        <v>2014</v>
      </c>
      <c r="C601" t="inlineStr">
        <is>
          <t>Victoria Kycia Block</t>
        </is>
      </c>
      <c r="D601">
        <f>HYPERLINK("https://ota.tournamentsoftware.com/player-profile/1F978CA6-97AC-4A84-BBEB-B431DDD9A28B", "Link")</f>
        <v/>
      </c>
      <c r="E601" s="3" t="n">
        <v>43.159</v>
      </c>
      <c r="F601" s="4" t="n">
        <v>10</v>
      </c>
      <c r="G601" t="inlineStr">
        <is>
          <t>Tennis Alberta</t>
        </is>
      </c>
      <c r="H601" t="inlineStr">
        <is>
          <t>Saville Community Sports Centre</t>
        </is>
      </c>
      <c r="I601" t="n">
        <v>38.2</v>
      </c>
      <c r="J601" s="4" t="n">
        <v>39</v>
      </c>
      <c r="K601" t="inlineStr">
        <is>
          <t>9 / 30</t>
        </is>
      </c>
      <c r="L601" t="inlineStr">
        <is>
          <t>2 / 7</t>
        </is>
      </c>
      <c r="M601" s="5" t="n">
        <v>0.23</v>
      </c>
      <c r="N601" s="5" t="n">
        <v>0.22</v>
      </c>
    </row>
    <row r="602">
      <c r="A602" t="n">
        <v>601</v>
      </c>
      <c r="B602" t="n">
        <v>2015</v>
      </c>
      <c r="C602" t="inlineStr">
        <is>
          <t>Abigail Csima</t>
        </is>
      </c>
      <c r="D602">
        <f>HYPERLINK("https://ota.tournamentsoftware.com/player-profile/6F3C1A53-8070-482F-B046-BE875C66F4B8", "Link")</f>
        <v/>
      </c>
      <c r="E602" s="3" t="n">
        <v>42.746</v>
      </c>
      <c r="F602" s="4" t="n">
        <v>11</v>
      </c>
      <c r="G602" t="inlineStr">
        <is>
          <t>Ontario Tennis Association</t>
        </is>
      </c>
      <c r="H602" t="inlineStr">
        <is>
          <t>Waterloo Tennis Club</t>
        </is>
      </c>
      <c r="I602" t="n">
        <v>38.9</v>
      </c>
      <c r="J602" s="4" t="n">
        <v>55</v>
      </c>
      <c r="K602" t="inlineStr">
        <is>
          <t>11 / 44</t>
        </is>
      </c>
      <c r="L602" t="inlineStr">
        <is>
          <t>2 / 10</t>
        </is>
      </c>
      <c r="M602" s="5" t="n">
        <v>0.2</v>
      </c>
      <c r="N602" s="5" t="n">
        <v>0.17</v>
      </c>
    </row>
    <row r="603">
      <c r="A603" t="n">
        <v>602</v>
      </c>
      <c r="B603" t="n">
        <v>2014</v>
      </c>
      <c r="C603" t="inlineStr">
        <is>
          <t>Ann-Mayelle Veillard</t>
        </is>
      </c>
      <c r="D603">
        <f>HYPERLINK("https://ota.tournamentsoftware.com/player-profile/C734CB2A-2E7E-46C5-B1F0-69D754EF8527", "Link")</f>
        <v/>
      </c>
      <c r="E603" s="3" t="n">
        <v>42.328</v>
      </c>
      <c r="F603" s="4" t="n">
        <v>11</v>
      </c>
      <c r="G603" t="inlineStr">
        <is>
          <t>Tennis Québec</t>
        </is>
      </c>
      <c r="H603" t="inlineStr">
        <is>
          <t>No Club</t>
        </is>
      </c>
      <c r="I603" t="inlineStr">
        <is>
          <t>unavailable</t>
        </is>
      </c>
      <c r="J603" s="4" t="n">
        <v>22</v>
      </c>
      <c r="K603" t="inlineStr">
        <is>
          <t>10 / 12</t>
        </is>
      </c>
      <c r="L603" t="inlineStr">
        <is>
          <t>10 / 12</t>
        </is>
      </c>
      <c r="M603" s="5" t="n">
        <v>0.45</v>
      </c>
      <c r="N603" s="5" t="n">
        <v>0.45</v>
      </c>
    </row>
    <row r="604">
      <c r="A604" t="n">
        <v>603</v>
      </c>
      <c r="B604" t="n">
        <v>2012</v>
      </c>
      <c r="C604" t="inlineStr">
        <is>
          <t>Mackenzie Quek</t>
        </is>
      </c>
      <c r="D604">
        <f>HYPERLINK("https://ota.tournamentsoftware.com/player-profile/51407A91-7051-4BC3-B583-F0DC1E06E113", "Link")</f>
        <v/>
      </c>
      <c r="E604" s="3" t="n">
        <v>42.274</v>
      </c>
      <c r="F604" s="4" t="n">
        <v>4</v>
      </c>
      <c r="G604" t="inlineStr">
        <is>
          <t>Ontario Tennis Association</t>
        </is>
      </c>
      <c r="H604" t="inlineStr">
        <is>
          <t>Concord Tennis Academy</t>
        </is>
      </c>
      <c r="I604" t="inlineStr">
        <is>
          <t>unavailable</t>
        </is>
      </c>
      <c r="J604" s="4" t="n">
        <v>13</v>
      </c>
      <c r="K604" t="inlineStr">
        <is>
          <t>3 / 10</t>
        </is>
      </c>
      <c r="L604" t="inlineStr">
        <is>
          <t>3 / 10</t>
        </is>
      </c>
      <c r="M604" s="5" t="n">
        <v>0.23</v>
      </c>
      <c r="N604" s="5" t="n">
        <v>0.23</v>
      </c>
    </row>
    <row r="605">
      <c r="A605" t="n">
        <v>604</v>
      </c>
      <c r="B605" t="n">
        <v>2014</v>
      </c>
      <c r="C605" t="inlineStr">
        <is>
          <t>Chloe Leblond</t>
        </is>
      </c>
      <c r="D605">
        <f>HYPERLINK("https://ota.tournamentsoftware.com/player-profile/B25C8E1B-DD5B-45CB-A94E-27B9E436CCF5", "Link")</f>
        <v/>
      </c>
      <c r="E605" s="3" t="n">
        <v>41.903</v>
      </c>
      <c r="F605" s="4" t="n">
        <v>5</v>
      </c>
      <c r="G605" t="inlineStr">
        <is>
          <t>Ontario Tennis Association</t>
        </is>
      </c>
      <c r="H605" t="inlineStr">
        <is>
          <t>Tam Heather Tennis Club</t>
        </is>
      </c>
      <c r="I605" t="inlineStr">
        <is>
          <t>unavailable</t>
        </is>
      </c>
      <c r="J605" s="4" t="n">
        <v>59</v>
      </c>
      <c r="K605" t="inlineStr">
        <is>
          <t>31 / 28</t>
        </is>
      </c>
      <c r="L605" t="inlineStr">
        <is>
          <t>6 / 4</t>
        </is>
      </c>
      <c r="M605" s="5" t="n">
        <v>0.53</v>
      </c>
      <c r="N605" s="5" t="n">
        <v>0.6</v>
      </c>
    </row>
    <row r="606">
      <c r="A606" t="n">
        <v>605</v>
      </c>
      <c r="B606" t="n">
        <v>2014</v>
      </c>
      <c r="C606" t="inlineStr">
        <is>
          <t>Melina Ioannidis</t>
        </is>
      </c>
      <c r="D606">
        <f>HYPERLINK("https://ota.tournamentsoftware.com/player-profile/7105A5E6-611D-4531-9016-F7FBEE3F6368", "Link")</f>
        <v/>
      </c>
      <c r="E606" s="3" t="n">
        <v>41.56</v>
      </c>
      <c r="F606" s="4" t="n">
        <v>6</v>
      </c>
      <c r="G606" t="inlineStr">
        <is>
          <t>Ontario Tennis Association</t>
        </is>
      </c>
      <c r="H606" t="inlineStr">
        <is>
          <t>Aurora Community Tennis Club</t>
        </is>
      </c>
      <c r="I606" t="n">
        <v>37</v>
      </c>
      <c r="J606" s="4" t="n">
        <v>61</v>
      </c>
      <c r="K606" t="inlineStr">
        <is>
          <t>34 / 27</t>
        </is>
      </c>
      <c r="L606" t="inlineStr">
        <is>
          <t>4 / 5</t>
        </is>
      </c>
      <c r="M606" s="5" t="n">
        <v>0.5600000000000001</v>
      </c>
      <c r="N606" s="5" t="n">
        <v>0.44</v>
      </c>
    </row>
    <row r="607">
      <c r="A607" t="n">
        <v>606</v>
      </c>
      <c r="B607" t="n">
        <v>2015</v>
      </c>
      <c r="C607" t="inlineStr">
        <is>
          <t>Juliette Tremblay</t>
        </is>
      </c>
      <c r="D607">
        <f>HYPERLINK("https://ota.tournamentsoftware.com/player-profile/94E82DA2-01EF-471F-BB0F-8CEAA1C42076", "Link")</f>
        <v/>
      </c>
      <c r="E607" s="3" t="n">
        <v>41.328</v>
      </c>
      <c r="F607" s="4" t="n">
        <v>9</v>
      </c>
      <c r="G607" t="inlineStr">
        <is>
          <t>Tennis Québec</t>
        </is>
      </c>
      <c r="H607" t="inlineStr">
        <is>
          <t>Tennis Outaouais Performance (TOP)</t>
        </is>
      </c>
      <c r="I607" t="n">
        <v>37.6</v>
      </c>
      <c r="J607" s="4" t="n">
        <v>52</v>
      </c>
      <c r="K607" t="inlineStr">
        <is>
          <t>16 / 36</t>
        </is>
      </c>
      <c r="L607" t="inlineStr">
        <is>
          <t>5 / 11</t>
        </is>
      </c>
      <c r="M607" s="5" t="n">
        <v>0.31</v>
      </c>
      <c r="N607" s="5" t="n">
        <v>0.31</v>
      </c>
    </row>
    <row r="608">
      <c r="A608" t="n">
        <v>607</v>
      </c>
      <c r="B608" t="n">
        <v>2014</v>
      </c>
      <c r="C608" t="inlineStr">
        <is>
          <t>Alena Sui</t>
        </is>
      </c>
      <c r="D608">
        <f>HYPERLINK("https://ota.tournamentsoftware.com/player-profile/92B690E9-D6C6-410C-A457-5AC3927E933A", "Link")</f>
        <v/>
      </c>
      <c r="E608" s="3" t="n">
        <v>41.268</v>
      </c>
      <c r="F608" s="4" t="n">
        <v>11</v>
      </c>
      <c r="G608" t="inlineStr">
        <is>
          <t>British Columbia</t>
        </is>
      </c>
      <c r="H608" t="inlineStr">
        <is>
          <t>No Club</t>
        </is>
      </c>
      <c r="I608" t="n">
        <v>38.4</v>
      </c>
      <c r="J608" s="4" t="n">
        <v>77</v>
      </c>
      <c r="K608" t="inlineStr">
        <is>
          <t>35 / 42</t>
        </is>
      </c>
      <c r="L608" t="inlineStr">
        <is>
          <t>15 / 20</t>
        </is>
      </c>
      <c r="M608" s="5" t="n">
        <v>0.45</v>
      </c>
      <c r="N608" s="5" t="n">
        <v>0.43</v>
      </c>
    </row>
    <row r="609">
      <c r="A609" t="n">
        <v>608</v>
      </c>
      <c r="B609" t="n">
        <v>2015</v>
      </c>
      <c r="C609" t="inlineStr">
        <is>
          <t>Lillian Tooryani</t>
        </is>
      </c>
      <c r="D609">
        <f>HYPERLINK("https://ota.tournamentsoftware.com/player-profile/B149ED5D-E26B-4577-8AAB-620DB4A7A85F", "Link")</f>
        <v/>
      </c>
      <c r="E609" s="3" t="n">
        <v>41.04</v>
      </c>
      <c r="F609" s="4" t="n">
        <v>9</v>
      </c>
      <c r="G609" t="inlineStr">
        <is>
          <t>Ontario Tennis Association</t>
        </is>
      </c>
      <c r="H609" t="inlineStr">
        <is>
          <t>Mayfair West Fitness &amp; Racquet Club</t>
        </is>
      </c>
      <c r="I609" t="n">
        <v>37.2</v>
      </c>
      <c r="J609" s="4" t="n">
        <v>38</v>
      </c>
      <c r="K609" t="inlineStr">
        <is>
          <t>15 / 23</t>
        </is>
      </c>
      <c r="L609" t="inlineStr">
        <is>
          <t>12 / 10</t>
        </is>
      </c>
      <c r="M609" s="5" t="n">
        <v>0.39</v>
      </c>
      <c r="N609" s="5" t="n">
        <v>0.55</v>
      </c>
    </row>
    <row r="610">
      <c r="A610" t="n">
        <v>609</v>
      </c>
      <c r="B610" t="n">
        <v>2014</v>
      </c>
      <c r="C610" t="inlineStr">
        <is>
          <t>Shaghun Dhillon</t>
        </is>
      </c>
      <c r="D610">
        <f>HYPERLINK("https://ota.tournamentsoftware.com/player-profile/97B5DEDE-AA93-468B-902A-462AB9B42432", "Link")</f>
        <v/>
      </c>
      <c r="E610" s="3" t="n">
        <v>40.727</v>
      </c>
      <c r="F610" s="4" t="n">
        <v>8</v>
      </c>
      <c r="G610" t="inlineStr">
        <is>
          <t>Ontario Tennis Association</t>
        </is>
      </c>
      <c r="H610" t="inlineStr">
        <is>
          <t>Premier Racquet Club</t>
        </is>
      </c>
      <c r="I610" t="n">
        <v>36.8</v>
      </c>
      <c r="J610" s="4" t="n">
        <v>49</v>
      </c>
      <c r="K610" t="inlineStr">
        <is>
          <t>28 / 21</t>
        </is>
      </c>
      <c r="L610" t="inlineStr">
        <is>
          <t>22 / 15</t>
        </is>
      </c>
      <c r="M610" s="5" t="n">
        <v>0.57</v>
      </c>
      <c r="N610" s="5" t="n">
        <v>0.59</v>
      </c>
    </row>
    <row r="611">
      <c r="A611" t="n">
        <v>610</v>
      </c>
      <c r="B611" t="n">
        <v>2015</v>
      </c>
      <c r="C611" t="inlineStr">
        <is>
          <t>ALICE Wan yee Wong</t>
        </is>
      </c>
      <c r="D611">
        <f>HYPERLINK("https://ota.tournamentsoftware.com/player-profile/1B8AB01B-692B-4E5E-B513-A24155329374", "Link")</f>
        <v/>
      </c>
      <c r="E611" s="3" t="n">
        <v>40.564</v>
      </c>
      <c r="F611" s="4" t="n">
        <v>12</v>
      </c>
      <c r="G611" t="inlineStr">
        <is>
          <t>British Columbia</t>
        </is>
      </c>
      <c r="H611" t="inlineStr">
        <is>
          <t>The Tennis Centre</t>
        </is>
      </c>
      <c r="I611" t="n">
        <v>35</v>
      </c>
      <c r="J611" s="4" t="n">
        <v>118</v>
      </c>
      <c r="K611" t="inlineStr">
        <is>
          <t>56 / 62</t>
        </is>
      </c>
      <c r="L611" t="inlineStr">
        <is>
          <t>16 / 13</t>
        </is>
      </c>
      <c r="M611" s="5" t="n">
        <v>0.47</v>
      </c>
      <c r="N611" s="5" t="n">
        <v>0.55</v>
      </c>
    </row>
    <row r="612">
      <c r="A612" t="n">
        <v>611</v>
      </c>
      <c r="B612" t="n">
        <v>2016</v>
      </c>
      <c r="C612" t="inlineStr">
        <is>
          <t>Anne Cherednychenko</t>
        </is>
      </c>
      <c r="D612">
        <f>HYPERLINK("https://ota.tournamentsoftware.com/player-profile/8FB2FF81-D0FE-4491-B99E-18BAAFE1E3CD", "Link")</f>
        <v/>
      </c>
      <c r="E612" s="3" t="n">
        <v>40.335</v>
      </c>
      <c r="F612" s="4" t="n">
        <v>8</v>
      </c>
      <c r="G612" t="inlineStr">
        <is>
          <t>Tennis Québec</t>
        </is>
      </c>
      <c r="H612" t="inlineStr">
        <is>
          <t>No Club</t>
        </is>
      </c>
      <c r="I612" t="n">
        <v>35.8</v>
      </c>
      <c r="J612" s="4" t="n">
        <v>62</v>
      </c>
      <c r="K612" t="inlineStr">
        <is>
          <t>37 / 25</t>
        </is>
      </c>
      <c r="L612" t="inlineStr">
        <is>
          <t>13 / 11</t>
        </is>
      </c>
      <c r="M612" s="5" t="n">
        <v>0.6</v>
      </c>
      <c r="N612" s="5" t="n">
        <v>0.54</v>
      </c>
    </row>
    <row r="613">
      <c r="A613" t="n">
        <v>612</v>
      </c>
      <c r="B613" t="n">
        <v>2017</v>
      </c>
      <c r="C613" t="inlineStr">
        <is>
          <t>Arianna Fernanda Chacon</t>
        </is>
      </c>
      <c r="D613">
        <f>HYPERLINK("https://ota.tournamentsoftware.com/player-profile/3B36D99D-C9E7-48A2-BC06-6AD3725AC12E", "Link")</f>
        <v/>
      </c>
      <c r="E613" s="3" t="n">
        <v>38.712</v>
      </c>
      <c r="F613" s="4" t="n">
        <v>12</v>
      </c>
      <c r="G613" t="inlineStr">
        <is>
          <t>Tennis Alberta</t>
        </is>
      </c>
      <c r="H613" t="inlineStr">
        <is>
          <t>Aforza</t>
        </is>
      </c>
      <c r="I613" t="n">
        <v>35.3</v>
      </c>
      <c r="J613" s="4" t="n">
        <v>191</v>
      </c>
      <c r="K613" t="inlineStr">
        <is>
          <t>98 / 93</t>
        </is>
      </c>
      <c r="L613" t="inlineStr">
        <is>
          <t>25 / 17</t>
        </is>
      </c>
      <c r="M613" s="5" t="n">
        <v>0.51</v>
      </c>
      <c r="N613" s="5" t="n">
        <v>0.6</v>
      </c>
    </row>
    <row r="614">
      <c r="A614" t="n">
        <v>613</v>
      </c>
      <c r="B614" t="n">
        <v>2016</v>
      </c>
      <c r="C614" t="inlineStr">
        <is>
          <t>Olivia Yueer Hao</t>
        </is>
      </c>
      <c r="D614">
        <f>HYPERLINK("https://ota.tournamentsoftware.com/player-profile/61C0E090-4E32-499F-86FE-FFD674DD6128", "Link")</f>
        <v/>
      </c>
      <c r="E614" s="3" t="n">
        <v>38.377</v>
      </c>
      <c r="F614" s="4" t="n">
        <v>5</v>
      </c>
      <c r="G614" t="inlineStr">
        <is>
          <t>Ontario Tennis Association</t>
        </is>
      </c>
      <c r="H614" t="inlineStr">
        <is>
          <t>Valan Tennis Academy</t>
        </is>
      </c>
      <c r="I614" t="n">
        <v>37.7</v>
      </c>
      <c r="J614" s="4" t="n">
        <v>66</v>
      </c>
      <c r="K614" t="inlineStr">
        <is>
          <t>31 / 35</t>
        </is>
      </c>
      <c r="L614" t="inlineStr">
        <is>
          <t>27 / 20</t>
        </is>
      </c>
      <c r="M614" s="5" t="n">
        <v>0.47</v>
      </c>
      <c r="N614" s="5" t="n">
        <v>0.57</v>
      </c>
    </row>
    <row r="615">
      <c r="A615" t="n">
        <v>614</v>
      </c>
      <c r="B615" t="n">
        <v>2012</v>
      </c>
      <c r="C615" t="inlineStr">
        <is>
          <t>LUCY HA</t>
        </is>
      </c>
      <c r="D615">
        <f>HYPERLINK("https://ota.tournamentsoftware.com/player-profile/5289FB1D-8B94-446A-83C5-187068CE2F5D", "Link")</f>
        <v/>
      </c>
      <c r="E615" s="3" t="n">
        <v>38.367</v>
      </c>
      <c r="F615" s="4" t="n">
        <v>4</v>
      </c>
      <c r="G615" t="inlineStr">
        <is>
          <t>British Columbia</t>
        </is>
      </c>
      <c r="H615" t="inlineStr">
        <is>
          <t>Tennis BC Hub @ Richmond</t>
        </is>
      </c>
      <c r="I615" t="n">
        <v>37.7</v>
      </c>
      <c r="J615" s="4" t="n">
        <v>28</v>
      </c>
      <c r="K615" t="inlineStr">
        <is>
          <t>4 / 24</t>
        </is>
      </c>
      <c r="L615" t="inlineStr">
        <is>
          <t>0 / 2</t>
        </is>
      </c>
      <c r="M615" s="5" t="n">
        <v>0.14</v>
      </c>
      <c r="N615" s="5" t="n">
        <v>0</v>
      </c>
    </row>
    <row r="616">
      <c r="A616" t="n">
        <v>615</v>
      </c>
      <c r="B616" t="n">
        <v>2013</v>
      </c>
      <c r="C616" t="inlineStr">
        <is>
          <t>Yu Nohara</t>
        </is>
      </c>
      <c r="D616">
        <f>HYPERLINK("https://ota.tournamentsoftware.com/player-profile/4AB57DE3-C832-4B9F-8F8F-AECBF5EE5A81", "Link")</f>
        <v/>
      </c>
      <c r="E616" s="3" t="n">
        <v>38.216</v>
      </c>
      <c r="F616" s="4" t="n">
        <v>4</v>
      </c>
      <c r="G616" t="inlineStr">
        <is>
          <t>British Columbia</t>
        </is>
      </c>
      <c r="H616" t="inlineStr">
        <is>
          <t>Tennis for Life</t>
        </is>
      </c>
      <c r="I616" t="n">
        <v>37.5</v>
      </c>
      <c r="J616" s="4" t="n">
        <v>20</v>
      </c>
      <c r="K616" t="inlineStr">
        <is>
          <t>9 / 11</t>
        </is>
      </c>
      <c r="L616" t="inlineStr">
        <is>
          <t>1 / 3</t>
        </is>
      </c>
      <c r="M616" s="5" t="n">
        <v>0.45</v>
      </c>
      <c r="N616" s="5" t="n">
        <v>0.25</v>
      </c>
    </row>
    <row r="617">
      <c r="A617" t="n">
        <v>616</v>
      </c>
      <c r="B617" t="n">
        <v>2013</v>
      </c>
      <c r="C617" t="inlineStr">
        <is>
          <t>Daniella Adekoya</t>
        </is>
      </c>
      <c r="D617">
        <f>HYPERLINK("https://ota.tournamentsoftware.com/player-profile/1AE7E627-3ED1-4E93-9C7E-52183DBA7410", "Link")</f>
        <v/>
      </c>
      <c r="E617" s="3" t="n">
        <v>38.016</v>
      </c>
      <c r="F617" s="4" t="n">
        <v>3</v>
      </c>
      <c r="G617" t="inlineStr">
        <is>
          <t>Ontario Tennis Association</t>
        </is>
      </c>
      <c r="H617" t="inlineStr">
        <is>
          <t>Rideau Sports Centre</t>
        </is>
      </c>
      <c r="I617" t="n">
        <v>37.1</v>
      </c>
      <c r="J617" s="4" t="n">
        <v>25</v>
      </c>
      <c r="K617" t="inlineStr">
        <is>
          <t>7 / 18</t>
        </is>
      </c>
      <c r="L617" t="inlineStr">
        <is>
          <t>0 / 1</t>
        </is>
      </c>
      <c r="M617" s="5" t="n">
        <v>0.28</v>
      </c>
      <c r="N617" s="5" t="n">
        <v>0</v>
      </c>
    </row>
    <row r="618">
      <c r="A618" t="n">
        <v>617</v>
      </c>
      <c r="B618" t="n">
        <v>2017</v>
      </c>
      <c r="C618" t="inlineStr">
        <is>
          <t>Aria Bloom</t>
        </is>
      </c>
      <c r="D618">
        <f>HYPERLINK("https://ota.tournamentsoftware.com/player-profile/7C30BE00-7F15-42B9-BA96-B3B2895898A0", "Link")</f>
        <v/>
      </c>
      <c r="E618" s="3" t="n">
        <v>38.002</v>
      </c>
      <c r="F618" s="4" t="n">
        <v>5</v>
      </c>
      <c r="G618" t="inlineStr">
        <is>
          <t>Tennis Alberta</t>
        </is>
      </c>
      <c r="H618" t="inlineStr">
        <is>
          <t>Osten &amp; Victor Alberta Tennis Centre</t>
        </is>
      </c>
      <c r="I618" t="n">
        <v>33.9</v>
      </c>
      <c r="J618" s="4" t="n">
        <v>112</v>
      </c>
      <c r="K618" t="inlineStr">
        <is>
          <t>84 / 28</t>
        </is>
      </c>
      <c r="L618" t="inlineStr">
        <is>
          <t>30 / 5</t>
        </is>
      </c>
      <c r="M618" s="5" t="n">
        <v>0.75</v>
      </c>
      <c r="N618" s="5" t="n">
        <v>0.86</v>
      </c>
    </row>
    <row r="619">
      <c r="A619" t="n">
        <v>618</v>
      </c>
      <c r="B619" t="n">
        <v>2012</v>
      </c>
      <c r="C619" t="inlineStr">
        <is>
          <t>Capri Metelitsa</t>
        </is>
      </c>
      <c r="D619">
        <f>HYPERLINK("https://ota.tournamentsoftware.com/player-profile/AD54A68E-D415-4925-B832-8287172FB727", "Link")</f>
        <v/>
      </c>
      <c r="E619" s="3" t="n">
        <v>37.598</v>
      </c>
      <c r="F619" s="4" t="n">
        <v>10</v>
      </c>
      <c r="G619" t="inlineStr">
        <is>
          <t>Tennis Alberta</t>
        </is>
      </c>
      <c r="H619" t="inlineStr">
        <is>
          <t>Aforza</t>
        </is>
      </c>
      <c r="I619" t="n">
        <v>36.1</v>
      </c>
      <c r="J619" s="4" t="n">
        <v>49</v>
      </c>
      <c r="K619" t="inlineStr">
        <is>
          <t>23 / 26</t>
        </is>
      </c>
      <c r="L619" t="inlineStr">
        <is>
          <t>2 / 7</t>
        </is>
      </c>
      <c r="M619" s="5" t="n">
        <v>0.47</v>
      </c>
      <c r="N619" s="5" t="n">
        <v>0.22</v>
      </c>
    </row>
    <row r="620">
      <c r="A620" t="n">
        <v>619</v>
      </c>
      <c r="B620" t="n">
        <v>2013</v>
      </c>
      <c r="C620" t="inlineStr">
        <is>
          <t>Kashvi Chaudhary</t>
        </is>
      </c>
      <c r="D620">
        <f>HYPERLINK("https://ota.tournamentsoftware.com/player-profile/0597AAB7-43E9-42CF-B00B-4928F8A2A1CD", "Link")</f>
        <v/>
      </c>
      <c r="E620" s="3" t="n">
        <v>37.557</v>
      </c>
      <c r="F620" s="4" t="n">
        <v>6</v>
      </c>
      <c r="G620" t="inlineStr">
        <is>
          <t>Ontario Tennis Association</t>
        </is>
      </c>
      <c r="H620" t="inlineStr">
        <is>
          <t>Brampton Tennis Club</t>
        </is>
      </c>
      <c r="I620" t="n">
        <v>39.9</v>
      </c>
      <c r="J620" s="4" t="n">
        <v>14</v>
      </c>
      <c r="K620" t="inlineStr">
        <is>
          <t>2 / 12</t>
        </is>
      </c>
      <c r="L620" t="inlineStr">
        <is>
          <t>0 / 0</t>
        </is>
      </c>
      <c r="M620" s="5" t="n">
        <v>0.14</v>
      </c>
      <c r="N620" s="5" t="n">
        <v>0</v>
      </c>
    </row>
    <row r="621">
      <c r="A621" t="n">
        <v>620</v>
      </c>
      <c r="B621" t="n">
        <v>2015</v>
      </c>
      <c r="C621" t="inlineStr">
        <is>
          <t>Anna Bella Grozdanovski</t>
        </is>
      </c>
      <c r="D621">
        <f>HYPERLINK("https://ota.tournamentsoftware.com/player-profile/C1BD78E7-5BB0-4BD0-9D53-DA02A232F8A0", "Link")</f>
        <v/>
      </c>
      <c r="E621" s="3" t="n">
        <v>37.548</v>
      </c>
      <c r="F621" s="4" t="n">
        <v>4</v>
      </c>
      <c r="G621" t="inlineStr">
        <is>
          <t>Ontario Tennis Association</t>
        </is>
      </c>
      <c r="H621" t="inlineStr">
        <is>
          <t>No Club</t>
        </is>
      </c>
      <c r="I621" t="n">
        <v>37.6</v>
      </c>
      <c r="J621" s="4" t="n">
        <v>36</v>
      </c>
      <c r="K621" t="inlineStr">
        <is>
          <t>17 / 19</t>
        </is>
      </c>
      <c r="L621" t="inlineStr">
        <is>
          <t>8 / 4</t>
        </is>
      </c>
      <c r="M621" s="5" t="n">
        <v>0.47</v>
      </c>
      <c r="N621" s="5" t="n">
        <v>0.67</v>
      </c>
    </row>
    <row r="622">
      <c r="A622" t="n">
        <v>621</v>
      </c>
      <c r="B622" t="n">
        <v>2013</v>
      </c>
      <c r="C622" t="inlineStr">
        <is>
          <t>Alexa Ardeleanu</t>
        </is>
      </c>
      <c r="D622">
        <f>HYPERLINK("https://ota.tournamentsoftware.com/player-profile/109D0444-3430-4CBD-A2CA-522592228926", "Link")</f>
        <v/>
      </c>
      <c r="E622" s="3" t="n">
        <v>37.397</v>
      </c>
      <c r="F622" s="4" t="n">
        <v>2</v>
      </c>
      <c r="G622" t="inlineStr">
        <is>
          <t>Ontario Tennis Association</t>
        </is>
      </c>
      <c r="H622" t="inlineStr">
        <is>
          <t>No Club</t>
        </is>
      </c>
      <c r="I622" t="n">
        <v>37.8</v>
      </c>
      <c r="J622" s="4" t="n">
        <v>3</v>
      </c>
      <c r="K622" t="inlineStr">
        <is>
          <t>0 / 3</t>
        </is>
      </c>
      <c r="L622" t="inlineStr">
        <is>
          <t>0 / 3</t>
        </is>
      </c>
      <c r="M622" s="5" t="n">
        <v>0</v>
      </c>
      <c r="N622" s="5" t="n">
        <v>0</v>
      </c>
    </row>
    <row r="623">
      <c r="A623" t="n">
        <v>622</v>
      </c>
      <c r="B623" t="n">
        <v>2016</v>
      </c>
      <c r="C623" t="inlineStr">
        <is>
          <t>Abigail Jianing Zhou</t>
        </is>
      </c>
      <c r="D623">
        <f>HYPERLINK("https://ota.tournamentsoftware.com/player-profile/E53B2389-2E47-459E-9543-5DBB506C324A", "Link")</f>
        <v/>
      </c>
      <c r="E623" s="3" t="n">
        <v>36.381</v>
      </c>
      <c r="F623" s="4" t="n">
        <v>12</v>
      </c>
      <c r="G623" t="inlineStr">
        <is>
          <t>Ontario Tennis Association</t>
        </is>
      </c>
      <c r="H623" t="inlineStr">
        <is>
          <t>Joshua Creek Golf &amp; Tennis</t>
        </is>
      </c>
      <c r="I623" t="n">
        <v>38</v>
      </c>
      <c r="J623" s="4" t="n">
        <v>145</v>
      </c>
      <c r="K623" t="inlineStr">
        <is>
          <t>58 / 87</t>
        </is>
      </c>
      <c r="L623" t="inlineStr">
        <is>
          <t>20 / 22</t>
        </is>
      </c>
      <c r="M623" s="5" t="n">
        <v>0.4</v>
      </c>
      <c r="N623" s="5" t="n">
        <v>0.48</v>
      </c>
    </row>
    <row r="624">
      <c r="A624" t="n">
        <v>623</v>
      </c>
      <c r="B624" t="n">
        <v>2014</v>
      </c>
      <c r="C624" t="inlineStr">
        <is>
          <t>Violette Hébert</t>
        </is>
      </c>
      <c r="D624">
        <f>HYPERLINK("https://ota.tournamentsoftware.com/player-profile/53615BF8-C3DB-4C99-8745-F5A7E4DC7C2E", "Link")</f>
        <v/>
      </c>
      <c r="E624" s="3" t="n">
        <v>36.239</v>
      </c>
      <c r="F624" s="4" t="n">
        <v>10</v>
      </c>
      <c r="G624" t="inlineStr">
        <is>
          <t>Tennis Québec</t>
        </is>
      </c>
      <c r="H624" t="inlineStr">
        <is>
          <t>EB Tennis inc.</t>
        </is>
      </c>
      <c r="I624" t="n">
        <v>38.5</v>
      </c>
      <c r="J624" s="4" t="n">
        <v>46</v>
      </c>
      <c r="K624" t="inlineStr">
        <is>
          <t>14 / 32</t>
        </is>
      </c>
      <c r="L624" t="inlineStr">
        <is>
          <t>4 / 10</t>
        </is>
      </c>
      <c r="M624" s="5" t="n">
        <v>0.3</v>
      </c>
      <c r="N624" s="5" t="n">
        <v>0.29</v>
      </c>
    </row>
    <row r="625">
      <c r="A625" t="n">
        <v>624</v>
      </c>
      <c r="B625" t="n">
        <v>2015</v>
      </c>
      <c r="C625" t="inlineStr">
        <is>
          <t>Sloane Burdick</t>
        </is>
      </c>
      <c r="D625">
        <f>HYPERLINK("https://ota.tournamentsoftware.com/player-profile/B4ED1890-6E53-4FCC-9711-828BDD90CD1F", "Link")</f>
        <v/>
      </c>
      <c r="E625" s="3" t="n">
        <v>36.168</v>
      </c>
      <c r="F625" s="4" t="n">
        <v>8</v>
      </c>
      <c r="G625" t="inlineStr">
        <is>
          <t>British Columbia</t>
        </is>
      </c>
      <c r="H625" t="inlineStr">
        <is>
          <t>Vanguard Tennis Academy</t>
        </is>
      </c>
      <c r="I625" t="n">
        <v>36.8</v>
      </c>
      <c r="J625" s="4" t="n">
        <v>71</v>
      </c>
      <c r="K625" t="inlineStr">
        <is>
          <t>35 / 36</t>
        </is>
      </c>
      <c r="L625" t="inlineStr">
        <is>
          <t>8 / 9</t>
        </is>
      </c>
      <c r="M625" s="5" t="n">
        <v>0.49</v>
      </c>
      <c r="N625" s="5" t="n">
        <v>0.47</v>
      </c>
    </row>
    <row r="626">
      <c r="A626" t="n">
        <v>625</v>
      </c>
      <c r="B626" t="n">
        <v>2015</v>
      </c>
      <c r="C626" t="inlineStr">
        <is>
          <t>Kenza Rachel Moulayess</t>
        </is>
      </c>
      <c r="D626">
        <f>HYPERLINK("https://ota.tournamentsoftware.com/player-profile/4C943CCE-9912-41DA-95F0-D98F8E86E816", "Link")</f>
        <v/>
      </c>
      <c r="E626" s="3" t="n">
        <v>35.856</v>
      </c>
      <c r="F626" s="4" t="n">
        <v>2</v>
      </c>
      <c r="G626" t="inlineStr">
        <is>
          <t>Tennis Québec</t>
        </is>
      </c>
      <c r="H626" t="inlineStr">
        <is>
          <t>Club Avantage Multi-sports / Académie de tennis Hérisset Bordeleau</t>
        </is>
      </c>
      <c r="I626" t="n">
        <v>33.2</v>
      </c>
      <c r="J626" s="4" t="n">
        <v>26</v>
      </c>
      <c r="K626" t="inlineStr">
        <is>
          <t>19 / 7</t>
        </is>
      </c>
      <c r="L626" t="inlineStr">
        <is>
          <t>0 / 0</t>
        </is>
      </c>
      <c r="M626" s="5" t="n">
        <v>0.73</v>
      </c>
      <c r="N626" s="5" t="n">
        <v>0</v>
      </c>
    </row>
    <row r="627">
      <c r="A627" t="n">
        <v>626</v>
      </c>
      <c r="B627" t="n">
        <v>2016</v>
      </c>
      <c r="C627" t="inlineStr">
        <is>
          <t>Kiara Krishnan</t>
        </is>
      </c>
      <c r="D627">
        <f>HYPERLINK("https://ota.tournamentsoftware.com/player-profile/50D3305E-63D5-4EFB-B53F-B64E463DE26E", "Link")</f>
        <v/>
      </c>
      <c r="E627" s="3" t="n">
        <v>35.737</v>
      </c>
      <c r="F627" s="4" t="n">
        <v>24</v>
      </c>
      <c r="G627" t="inlineStr">
        <is>
          <t>Ontario Tennis Association</t>
        </is>
      </c>
      <c r="H627" t="inlineStr">
        <is>
          <t>Toronto Tennis Academy</t>
        </is>
      </c>
      <c r="I627" t="n">
        <v>38.1</v>
      </c>
      <c r="J627" s="4" t="n">
        <v>239</v>
      </c>
      <c r="K627" t="inlineStr">
        <is>
          <t>95 / 144</t>
        </is>
      </c>
      <c r="L627" t="inlineStr">
        <is>
          <t>8 / 27</t>
        </is>
      </c>
      <c r="M627" s="5" t="n">
        <v>0.4</v>
      </c>
      <c r="N627" s="5" t="n">
        <v>0.23</v>
      </c>
    </row>
    <row r="628">
      <c r="A628" t="n">
        <v>627</v>
      </c>
      <c r="B628" t="n">
        <v>2015</v>
      </c>
      <c r="C628" t="inlineStr">
        <is>
          <t>Mia Kojic</t>
        </is>
      </c>
      <c r="D628">
        <f>HYPERLINK("https://ota.tournamentsoftware.com/player-profile/1573DFB3-8189-4CE9-AAAC-9ADF1738AD9C", "Link")</f>
        <v/>
      </c>
      <c r="E628" s="3" t="n">
        <v>35.648</v>
      </c>
      <c r="F628" s="4" t="n">
        <v>6</v>
      </c>
      <c r="G628" t="inlineStr">
        <is>
          <t>Ontario Tennis Association</t>
        </is>
      </c>
      <c r="H628" t="inlineStr">
        <is>
          <t>Ontario Racquet Club</t>
        </is>
      </c>
      <c r="I628" t="n">
        <v>37.7</v>
      </c>
      <c r="J628" s="4" t="n">
        <v>92</v>
      </c>
      <c r="K628" t="inlineStr">
        <is>
          <t>39 / 53</t>
        </is>
      </c>
      <c r="L628" t="inlineStr">
        <is>
          <t>3 / 8</t>
        </is>
      </c>
      <c r="M628" s="5" t="n">
        <v>0.42</v>
      </c>
      <c r="N628" s="5" t="n">
        <v>0.27</v>
      </c>
    </row>
    <row r="629">
      <c r="A629" t="n">
        <v>628</v>
      </c>
      <c r="B629" t="n">
        <v>2015</v>
      </c>
      <c r="C629" t="inlineStr">
        <is>
          <t>Victoria Guo</t>
        </is>
      </c>
      <c r="D629">
        <f>HYPERLINK("https://ota.tournamentsoftware.com/player-profile/54FA7561-0327-4A42-A5FE-A5519116069C", "Link")</f>
        <v/>
      </c>
      <c r="E629" s="3" t="n">
        <v>35.632</v>
      </c>
      <c r="F629" s="4" t="n">
        <v>4</v>
      </c>
      <c r="G629" t="inlineStr">
        <is>
          <t>Ontario Tennis Association</t>
        </is>
      </c>
      <c r="H629" t="inlineStr">
        <is>
          <t>Craig Henry</t>
        </is>
      </c>
      <c r="I629" t="n">
        <v>39.3</v>
      </c>
      <c r="J629" s="4" t="n">
        <v>27</v>
      </c>
      <c r="K629" t="inlineStr">
        <is>
          <t>10 / 17</t>
        </is>
      </c>
      <c r="L629" t="inlineStr">
        <is>
          <t>1 / 4</t>
        </is>
      </c>
      <c r="M629" s="5" t="n">
        <v>0.37</v>
      </c>
      <c r="N629" s="5" t="n">
        <v>0.2</v>
      </c>
    </row>
    <row r="630">
      <c r="A630" t="n">
        <v>629</v>
      </c>
      <c r="B630" t="n">
        <v>2013</v>
      </c>
      <c r="C630" t="inlineStr">
        <is>
          <t>Mehak Garg</t>
        </is>
      </c>
      <c r="D630">
        <f>HYPERLINK("https://ota.tournamentsoftware.com/player-profile/2FA47597-FC2B-4F26-80C4-912C2FC70064", "Link")</f>
        <v/>
      </c>
      <c r="E630" s="3" t="n">
        <v>35.51</v>
      </c>
      <c r="F630" s="4" t="n">
        <v>1</v>
      </c>
      <c r="G630" t="inlineStr">
        <is>
          <t>Tennis Saskatchewan</t>
        </is>
      </c>
      <c r="H630" t="inlineStr">
        <is>
          <t>Lakewood Indoor Tennis Centre</t>
        </is>
      </c>
      <c r="I630" t="n">
        <v>36.7</v>
      </c>
      <c r="J630" s="4" t="n">
        <v>9</v>
      </c>
      <c r="K630" t="inlineStr">
        <is>
          <t>3 / 6</t>
        </is>
      </c>
      <c r="L630" t="inlineStr">
        <is>
          <t>3 / 6</t>
        </is>
      </c>
      <c r="M630" s="5" t="n">
        <v>0.33</v>
      </c>
      <c r="N630" s="5" t="n">
        <v>0.33</v>
      </c>
    </row>
    <row r="631">
      <c r="A631" t="n">
        <v>630</v>
      </c>
      <c r="B631" t="n">
        <v>2013</v>
      </c>
      <c r="C631" t="inlineStr">
        <is>
          <t>Anika Surtani</t>
        </is>
      </c>
      <c r="D631">
        <f>HYPERLINK("https://ota.tournamentsoftware.com/player-profile/8434E356-BD3E-4FDA-9513-46F335FD471C", "Link")</f>
        <v/>
      </c>
      <c r="E631" s="3" t="n">
        <v>35.236</v>
      </c>
      <c r="F631" s="4" t="n">
        <v>5</v>
      </c>
      <c r="G631" t="inlineStr">
        <is>
          <t>Ontario Tennis Association</t>
        </is>
      </c>
      <c r="H631" t="inlineStr">
        <is>
          <t>Boulevard Club</t>
        </is>
      </c>
      <c r="I631" t="inlineStr">
        <is>
          <t>unavailable</t>
        </is>
      </c>
      <c r="J631" s="4" t="n">
        <v>16</v>
      </c>
      <c r="K631" t="inlineStr">
        <is>
          <t>4 / 12</t>
        </is>
      </c>
      <c r="L631" t="inlineStr">
        <is>
          <t>2 / 4</t>
        </is>
      </c>
      <c r="M631" s="5" t="n">
        <v>0.25</v>
      </c>
      <c r="N631" s="5" t="n">
        <v>0.33</v>
      </c>
    </row>
    <row r="632">
      <c r="A632" t="n">
        <v>631</v>
      </c>
      <c r="B632" t="n">
        <v>2015</v>
      </c>
      <c r="C632" t="inlineStr">
        <is>
          <t>Nya BLANCHARD</t>
        </is>
      </c>
      <c r="D632">
        <f>HYPERLINK("https://ota.tournamentsoftware.com/player-profile/E8E00722-2274-4657-BCF4-B20EEBB0EB21", "Link")</f>
        <v/>
      </c>
      <c r="E632" s="3" t="n">
        <v>34.903</v>
      </c>
      <c r="F632" s="4" t="n">
        <v>6</v>
      </c>
      <c r="G632" t="inlineStr">
        <is>
          <t>Ontario Tennis Association</t>
        </is>
      </c>
      <c r="H632" t="inlineStr">
        <is>
          <t>Ontario Racquet Club</t>
        </is>
      </c>
      <c r="I632" t="n">
        <v>35.7</v>
      </c>
      <c r="J632" s="4" t="n">
        <v>41</v>
      </c>
      <c r="K632" t="inlineStr">
        <is>
          <t>23 / 18</t>
        </is>
      </c>
      <c r="L632" t="inlineStr">
        <is>
          <t>8 / 7</t>
        </is>
      </c>
      <c r="M632" s="5" t="n">
        <v>0.5600000000000001</v>
      </c>
      <c r="N632" s="5" t="n">
        <v>0.53</v>
      </c>
    </row>
    <row r="633">
      <c r="A633" t="n">
        <v>632</v>
      </c>
      <c r="B633" t="n">
        <v>2015</v>
      </c>
      <c r="C633" t="inlineStr">
        <is>
          <t>Asena Kiamil</t>
        </is>
      </c>
      <c r="D633">
        <f>HYPERLINK("https://ota.tournamentsoftware.com/player-profile/E9A72281-6B76-4B36-9040-E802436447FA", "Link")</f>
        <v/>
      </c>
      <c r="E633" s="3" t="n">
        <v>34.373</v>
      </c>
      <c r="F633" s="4" t="n">
        <v>6</v>
      </c>
      <c r="G633" t="inlineStr">
        <is>
          <t>Ontario Tennis Association</t>
        </is>
      </c>
      <c r="H633" t="inlineStr">
        <is>
          <t>Royal City Tennis Club</t>
        </is>
      </c>
      <c r="I633" t="n">
        <v>37.7</v>
      </c>
      <c r="J633" s="4" t="n">
        <v>84</v>
      </c>
      <c r="K633" t="inlineStr">
        <is>
          <t>45 / 39</t>
        </is>
      </c>
      <c r="L633" t="inlineStr">
        <is>
          <t>3 / 5</t>
        </is>
      </c>
      <c r="M633" s="5" t="n">
        <v>0.54</v>
      </c>
      <c r="N633" s="5" t="n">
        <v>0.38</v>
      </c>
    </row>
    <row r="634">
      <c r="A634" t="n">
        <v>633</v>
      </c>
      <c r="B634" t="n">
        <v>2013</v>
      </c>
      <c r="C634" t="inlineStr">
        <is>
          <t>Lingxi Sun</t>
        </is>
      </c>
      <c r="D634">
        <f>HYPERLINK("https://ota.tournamentsoftware.com/player-profile/09E8E557-02B1-46EF-87E8-A28C42A56E9D", "Link")</f>
        <v/>
      </c>
      <c r="E634" s="3" t="n">
        <v>34.041</v>
      </c>
      <c r="F634" s="4" t="n">
        <v>4</v>
      </c>
      <c r="G634" t="inlineStr">
        <is>
          <t>British Columbia</t>
        </is>
      </c>
      <c r="H634" t="inlineStr">
        <is>
          <t>UBC Tennis Centre</t>
        </is>
      </c>
      <c r="I634" t="n">
        <v>32.4</v>
      </c>
      <c r="J634" s="4" t="n">
        <v>39</v>
      </c>
      <c r="K634" t="inlineStr">
        <is>
          <t>23 / 16</t>
        </is>
      </c>
      <c r="L634" t="inlineStr">
        <is>
          <t>0 / 0</t>
        </is>
      </c>
      <c r="M634" s="5" t="n">
        <v>0.59</v>
      </c>
      <c r="N634" s="5" t="n">
        <v>0</v>
      </c>
    </row>
    <row r="635">
      <c r="A635" t="n">
        <v>634</v>
      </c>
      <c r="B635" t="n">
        <v>2015</v>
      </c>
      <c r="C635" t="inlineStr">
        <is>
          <t>Olivia Mary Hipwell</t>
        </is>
      </c>
      <c r="D635">
        <f>HYPERLINK("https://ota.tournamentsoftware.com/player-profile/1595D3E6-D4CF-4ADE-B136-FD5AC473C7F7", "Link")</f>
        <v/>
      </c>
      <c r="E635" s="3" t="n">
        <v>33.917</v>
      </c>
      <c r="F635" s="4" t="n">
        <v>7</v>
      </c>
      <c r="G635" t="inlineStr">
        <is>
          <t>Ontario Tennis Association</t>
        </is>
      </c>
      <c r="H635" t="inlineStr">
        <is>
          <t>Ontario Racquet Club</t>
        </is>
      </c>
      <c r="I635" t="inlineStr">
        <is>
          <t>unavailable</t>
        </is>
      </c>
      <c r="J635" s="4" t="n">
        <v>79</v>
      </c>
      <c r="K635" t="inlineStr">
        <is>
          <t>28 / 51</t>
        </is>
      </c>
      <c r="L635" t="inlineStr">
        <is>
          <t>4 / 9</t>
        </is>
      </c>
      <c r="M635" s="5" t="n">
        <v>0.35</v>
      </c>
      <c r="N635" s="5" t="n">
        <v>0.31</v>
      </c>
    </row>
    <row r="636">
      <c r="A636" t="n">
        <v>635</v>
      </c>
      <c r="B636" t="n">
        <v>2014</v>
      </c>
      <c r="C636" t="inlineStr">
        <is>
          <t>Georgena Banquicio</t>
        </is>
      </c>
      <c r="D636">
        <f>HYPERLINK("https://ota.tournamentsoftware.com/player-profile/AB3893CF-B68D-4258-893E-E7C3FB601465", "Link")</f>
        <v/>
      </c>
      <c r="E636" s="3" t="n">
        <v>33.663</v>
      </c>
      <c r="F636" s="4" t="n">
        <v>5</v>
      </c>
      <c r="G636" t="inlineStr">
        <is>
          <t>Tennis New Brunswick</t>
        </is>
      </c>
      <c r="H636" t="inlineStr">
        <is>
          <t>Abony Family Tennis Center</t>
        </is>
      </c>
      <c r="I636" t="n">
        <v>37.4</v>
      </c>
      <c r="J636" s="4" t="n">
        <v>72</v>
      </c>
      <c r="K636" t="inlineStr">
        <is>
          <t>34 / 38</t>
        </is>
      </c>
      <c r="L636" t="inlineStr">
        <is>
          <t>2 / 6</t>
        </is>
      </c>
      <c r="M636" s="5" t="n">
        <v>0.47</v>
      </c>
      <c r="N636" s="5" t="n">
        <v>0.25</v>
      </c>
    </row>
    <row r="637">
      <c r="A637" t="n">
        <v>636</v>
      </c>
      <c r="B637" t="n">
        <v>2014</v>
      </c>
      <c r="C637" t="inlineStr">
        <is>
          <t>Victoria Dorvius</t>
        </is>
      </c>
      <c r="D637">
        <f>HYPERLINK("https://ota.tournamentsoftware.com/player-profile/0742AD15-E29E-4761-9ABC-EF929E7499C5", "Link")</f>
        <v/>
      </c>
      <c r="E637" s="3" t="n">
        <v>33.305</v>
      </c>
      <c r="F637" s="4" t="n">
        <v>4</v>
      </c>
      <c r="G637" t="inlineStr">
        <is>
          <t>Tennis Québec</t>
        </is>
      </c>
      <c r="H637" t="inlineStr">
        <is>
          <t>No Club</t>
        </is>
      </c>
      <c r="I637" t="n">
        <v>40</v>
      </c>
      <c r="J637" s="4" t="n">
        <v>8</v>
      </c>
      <c r="K637" t="inlineStr">
        <is>
          <t>0 / 8</t>
        </is>
      </c>
      <c r="L637" t="inlineStr">
        <is>
          <t>0 / 3</t>
        </is>
      </c>
      <c r="M637" s="5" t="n">
        <v>0</v>
      </c>
      <c r="N637" s="5" t="n">
        <v>0</v>
      </c>
    </row>
    <row r="638">
      <c r="A638" t="n">
        <v>637</v>
      </c>
      <c r="B638" t="n">
        <v>2015</v>
      </c>
      <c r="C638" t="inlineStr">
        <is>
          <t>Enlin Fan</t>
        </is>
      </c>
      <c r="D638">
        <f>HYPERLINK("https://ota.tournamentsoftware.com/player-profile/0F38D490-CA76-4A12-BE87-0BAC308EDC74", "Link")</f>
        <v/>
      </c>
      <c r="E638" s="3" t="n">
        <v>32.538</v>
      </c>
      <c r="F638" s="4" t="n">
        <v>6</v>
      </c>
      <c r="G638" t="inlineStr">
        <is>
          <t>British Columbia</t>
        </is>
      </c>
      <c r="H638" t="inlineStr">
        <is>
          <t>The Tennis Centre</t>
        </is>
      </c>
      <c r="I638" t="inlineStr">
        <is>
          <t>unavailable</t>
        </is>
      </c>
      <c r="J638" s="4" t="n">
        <v>93</v>
      </c>
      <c r="K638" t="inlineStr">
        <is>
          <t>42 / 51</t>
        </is>
      </c>
      <c r="L638" t="inlineStr">
        <is>
          <t>7 / 6</t>
        </is>
      </c>
      <c r="M638" s="5" t="n">
        <v>0.45</v>
      </c>
      <c r="N638" s="5" t="n">
        <v>0.54</v>
      </c>
    </row>
    <row r="639">
      <c r="A639" t="n">
        <v>638</v>
      </c>
      <c r="B639" t="n">
        <v>2015</v>
      </c>
      <c r="C639" t="inlineStr">
        <is>
          <t>GAURI BHARDWAJ</t>
        </is>
      </c>
      <c r="D639">
        <f>HYPERLINK("https://ota.tournamentsoftware.com/player-profile/7D0915D9-E26B-4DD0-AA8A-90DD2833C0F8", "Link")</f>
        <v/>
      </c>
      <c r="E639" s="3" t="n">
        <v>32.49</v>
      </c>
      <c r="F639" s="4" t="n">
        <v>6</v>
      </c>
      <c r="G639" t="inlineStr">
        <is>
          <t>Ontario Tennis Association</t>
        </is>
      </c>
      <c r="H639" t="inlineStr">
        <is>
          <t>Premier Racquet Clubs – Mississauga</t>
        </is>
      </c>
      <c r="I639" t="n">
        <v>37.6</v>
      </c>
      <c r="J639" s="4" t="n">
        <v>105</v>
      </c>
      <c r="K639" t="inlineStr">
        <is>
          <t>38 / 67</t>
        </is>
      </c>
      <c r="L639" t="inlineStr">
        <is>
          <t>3 / 3</t>
        </is>
      </c>
      <c r="M639" s="5" t="n">
        <v>0.36</v>
      </c>
      <c r="N639" s="5" t="n">
        <v>0.5</v>
      </c>
    </row>
    <row r="640">
      <c r="A640" t="n">
        <v>639</v>
      </c>
      <c r="B640" t="n">
        <v>2013</v>
      </c>
      <c r="C640" t="inlineStr">
        <is>
          <t>Mengge(Maya) Xu</t>
        </is>
      </c>
      <c r="D640">
        <f>HYPERLINK("https://ota.tournamentsoftware.com/player-profile/9CD6D408-1A72-4E0B-A9C9-DD675B785873", "Link")</f>
        <v/>
      </c>
      <c r="E640" s="3" t="n">
        <v>32.309</v>
      </c>
      <c r="F640" s="4" t="n">
        <v>6</v>
      </c>
      <c r="G640" t="inlineStr">
        <is>
          <t>Ontario Tennis Association</t>
        </is>
      </c>
      <c r="H640" t="inlineStr">
        <is>
          <t>Markham Tennis Club</t>
        </is>
      </c>
      <c r="I640" t="n">
        <v>40</v>
      </c>
      <c r="J640" s="4" t="n">
        <v>21</v>
      </c>
      <c r="K640" t="inlineStr">
        <is>
          <t>7 / 14</t>
        </is>
      </c>
      <c r="L640" t="inlineStr">
        <is>
          <t>2 / 2</t>
        </is>
      </c>
      <c r="M640" s="5" t="n">
        <v>0.33</v>
      </c>
      <c r="N640" s="5" t="n">
        <v>0.5</v>
      </c>
    </row>
    <row r="641">
      <c r="A641" t="n">
        <v>640</v>
      </c>
      <c r="B641" t="n">
        <v>2015</v>
      </c>
      <c r="C641" t="inlineStr">
        <is>
          <t>Piper Harrison</t>
        </is>
      </c>
      <c r="D641">
        <f>HYPERLINK("https://ota.tournamentsoftware.com/player-profile/8FD01254-4DB3-4BFF-A784-65DB87717C42", "Link")</f>
        <v/>
      </c>
      <c r="E641" s="3" t="n">
        <v>31.992</v>
      </c>
      <c r="F641" s="4" t="n">
        <v>7</v>
      </c>
      <c r="G641" t="inlineStr">
        <is>
          <t>Ontario Tennis Association</t>
        </is>
      </c>
      <c r="H641" t="inlineStr">
        <is>
          <t>Boulevard Club</t>
        </is>
      </c>
      <c r="I641" t="n">
        <v>38.6</v>
      </c>
      <c r="J641" s="4" t="n">
        <v>56</v>
      </c>
      <c r="K641" t="inlineStr">
        <is>
          <t>18 / 38</t>
        </is>
      </c>
      <c r="L641" t="inlineStr">
        <is>
          <t>6 / 10</t>
        </is>
      </c>
      <c r="M641" s="5" t="n">
        <v>0.32</v>
      </c>
      <c r="N641" s="5" t="n">
        <v>0.38</v>
      </c>
    </row>
    <row r="642">
      <c r="A642" t="n">
        <v>641</v>
      </c>
      <c r="B642" t="n">
        <v>2012</v>
      </c>
      <c r="C642" t="inlineStr">
        <is>
          <t>Rosalie Lanthier</t>
        </is>
      </c>
      <c r="D642">
        <f>HYPERLINK("https://ota.tournamentsoftware.com/player-profile/7853B67E-AF4D-4FFF-9839-6455ACC0C941", "Link")</f>
        <v/>
      </c>
      <c r="E642" s="3" t="n">
        <v>31.759</v>
      </c>
      <c r="F642" s="4" t="n">
        <v>5</v>
      </c>
      <c r="G642" t="inlineStr">
        <is>
          <t>Tennis Québec</t>
        </is>
      </c>
      <c r="H642" t="inlineStr">
        <is>
          <t>EB Tennis inc.</t>
        </is>
      </c>
      <c r="I642" t="n">
        <v>40</v>
      </c>
      <c r="J642" s="4" t="n">
        <v>15</v>
      </c>
      <c r="K642" t="inlineStr">
        <is>
          <t>1 / 14</t>
        </is>
      </c>
      <c r="L642" t="inlineStr">
        <is>
          <t>0 / 4</t>
        </is>
      </c>
      <c r="M642" s="5" t="n">
        <v>0.07000000000000001</v>
      </c>
      <c r="N642" s="5" t="n">
        <v>0</v>
      </c>
    </row>
    <row r="643">
      <c r="A643" t="n">
        <v>642</v>
      </c>
      <c r="B643" t="n">
        <v>2016</v>
      </c>
      <c r="C643" t="inlineStr">
        <is>
          <t>Talia Petrovski</t>
        </is>
      </c>
      <c r="D643">
        <f>HYPERLINK("https://ota.tournamentsoftware.com/player-profile/85787F1F-708B-4576-AEFA-F82C6105B16E", "Link")</f>
        <v/>
      </c>
      <c r="E643" s="3" t="n">
        <v>31.234</v>
      </c>
      <c r="F643" s="4" t="n">
        <v>16</v>
      </c>
      <c r="G643" t="inlineStr">
        <is>
          <t>British Columbia</t>
        </is>
      </c>
      <c r="H643" t="inlineStr">
        <is>
          <t>Tennis for Life</t>
        </is>
      </c>
      <c r="I643" t="n">
        <v>36</v>
      </c>
      <c r="J643" s="4" t="n">
        <v>137</v>
      </c>
      <c r="K643" t="inlineStr">
        <is>
          <t>77 / 60</t>
        </is>
      </c>
      <c r="L643" t="inlineStr">
        <is>
          <t>47 / 22</t>
        </is>
      </c>
      <c r="M643" s="5" t="n">
        <v>0.5600000000000001</v>
      </c>
      <c r="N643" s="5" t="n">
        <v>0.68</v>
      </c>
    </row>
    <row r="644">
      <c r="A644" t="n">
        <v>643</v>
      </c>
      <c r="B644" t="n">
        <v>2016</v>
      </c>
      <c r="C644" t="inlineStr">
        <is>
          <t>Lily Chen</t>
        </is>
      </c>
      <c r="D644">
        <f>HYPERLINK("https://ota.tournamentsoftware.com/player-profile/A6A0EB19-7DDD-4B25-B81C-FCA911081AB5", "Link")</f>
        <v/>
      </c>
      <c r="E644" s="3" t="n">
        <v>31.117</v>
      </c>
      <c r="F644" s="4" t="n">
        <v>15</v>
      </c>
      <c r="G644" t="inlineStr">
        <is>
          <t>British Columbia</t>
        </is>
      </c>
      <c r="H644" t="inlineStr">
        <is>
          <t>No Club</t>
        </is>
      </c>
      <c r="I644" t="n">
        <v>36.2</v>
      </c>
      <c r="J644" s="4" t="n">
        <v>100</v>
      </c>
      <c r="K644" t="inlineStr">
        <is>
          <t>39 / 61</t>
        </is>
      </c>
      <c r="L644" t="inlineStr">
        <is>
          <t>12 / 18</t>
        </is>
      </c>
      <c r="M644" s="5" t="n">
        <v>0.39</v>
      </c>
      <c r="N644" s="5" t="n">
        <v>0.4</v>
      </c>
    </row>
    <row r="645">
      <c r="A645" t="n">
        <v>644</v>
      </c>
      <c r="B645" t="n">
        <v>2015</v>
      </c>
      <c r="C645" t="inlineStr">
        <is>
          <t>Ziba Forooghian</t>
        </is>
      </c>
      <c r="D645">
        <f>HYPERLINK("https://ota.tournamentsoftware.com/player-profile/F7878057-CB20-46E1-B220-553040C8AC48", "Link")</f>
        <v/>
      </c>
      <c r="E645" s="3" t="n">
        <v>30.012</v>
      </c>
      <c r="F645" s="4" t="n">
        <v>15</v>
      </c>
      <c r="G645" t="inlineStr">
        <is>
          <t>British Columbia</t>
        </is>
      </c>
      <c r="H645" t="inlineStr">
        <is>
          <t>Arbutus Club</t>
        </is>
      </c>
      <c r="I645" t="n">
        <v>37.9</v>
      </c>
      <c r="J645" s="4" t="n">
        <v>71</v>
      </c>
      <c r="K645" t="inlineStr">
        <is>
          <t>21 / 50</t>
        </is>
      </c>
      <c r="L645" t="inlineStr">
        <is>
          <t>8 / 27</t>
        </is>
      </c>
      <c r="M645" s="5" t="n">
        <v>0.3</v>
      </c>
      <c r="N645" s="5" t="n">
        <v>0.23</v>
      </c>
    </row>
    <row r="646">
      <c r="A646" t="n">
        <v>645</v>
      </c>
      <c r="B646" t="n">
        <v>2013</v>
      </c>
      <c r="C646" t="inlineStr">
        <is>
          <t>Naia Luke</t>
        </is>
      </c>
      <c r="D646">
        <f>HYPERLINK("https://ota.tournamentsoftware.com/player-profile/E8620DEC-5B72-4D85-9171-1F914B105E62", "Link")</f>
        <v/>
      </c>
      <c r="E646" s="3" t="n">
        <v>29.894</v>
      </c>
      <c r="F646" s="4" t="n">
        <v>4</v>
      </c>
      <c r="G646" t="inlineStr">
        <is>
          <t>British Columbia</t>
        </is>
      </c>
      <c r="H646" t="inlineStr">
        <is>
          <t>Jericho Tennis Club</t>
        </is>
      </c>
      <c r="I646" t="n">
        <v>39.5</v>
      </c>
      <c r="J646" s="4" t="n">
        <v>39</v>
      </c>
      <c r="K646" t="inlineStr">
        <is>
          <t>9 / 30</t>
        </is>
      </c>
      <c r="L646" t="inlineStr">
        <is>
          <t>0 / 5</t>
        </is>
      </c>
      <c r="M646" s="5" t="n">
        <v>0.23</v>
      </c>
      <c r="N646" s="5" t="n">
        <v>0</v>
      </c>
    </row>
    <row r="647">
      <c r="A647" t="n">
        <v>646</v>
      </c>
      <c r="B647" t="n">
        <v>2016</v>
      </c>
      <c r="C647" t="inlineStr">
        <is>
          <t>Eliana Gamboa Puentevella</t>
        </is>
      </c>
      <c r="D647">
        <f>HYPERLINK("https://ota.tournamentsoftware.com/player-profile/F092EBD2-5997-4E03-AED5-C7E2E614192B", "Link")</f>
        <v/>
      </c>
      <c r="E647" s="3" t="n">
        <v>29.689</v>
      </c>
      <c r="F647" s="4" t="n">
        <v>9</v>
      </c>
      <c r="G647" t="inlineStr">
        <is>
          <t>British Columbia</t>
        </is>
      </c>
      <c r="H647" t="inlineStr">
        <is>
          <t>Suncoast Racquet Club</t>
        </is>
      </c>
      <c r="I647" t="n">
        <v>37.2</v>
      </c>
      <c r="J647" s="4" t="n">
        <v>120</v>
      </c>
      <c r="K647" t="inlineStr">
        <is>
          <t>57 / 63</t>
        </is>
      </c>
      <c r="L647" t="inlineStr">
        <is>
          <t>27 / 19</t>
        </is>
      </c>
      <c r="M647" s="5" t="n">
        <v>0.47</v>
      </c>
      <c r="N647" s="5" t="n">
        <v>0.59</v>
      </c>
    </row>
    <row r="648">
      <c r="A648" t="n">
        <v>647</v>
      </c>
      <c r="B648" t="n">
        <v>2013</v>
      </c>
      <c r="C648" t="inlineStr">
        <is>
          <t>caitlin wong</t>
        </is>
      </c>
      <c r="D648">
        <f>HYPERLINK("https://ota.tournamentsoftware.com/player-profile/A6697051-116D-4981-AA23-11E1BF963FD3", "Link")</f>
        <v/>
      </c>
      <c r="E648" s="3" t="n">
        <v>29.582</v>
      </c>
      <c r="F648" s="4" t="n">
        <v>4</v>
      </c>
      <c r="G648" t="inlineStr">
        <is>
          <t>Ontario Tennis Association</t>
        </is>
      </c>
      <c r="H648" t="inlineStr">
        <is>
          <t>Blackmore Tennis Club</t>
        </is>
      </c>
      <c r="I648" t="n">
        <v>37.2</v>
      </c>
      <c r="J648" s="4" t="n">
        <v>56</v>
      </c>
      <c r="K648" t="inlineStr">
        <is>
          <t>29 / 27</t>
        </is>
      </c>
      <c r="L648" t="inlineStr">
        <is>
          <t>0 / 0</t>
        </is>
      </c>
      <c r="M648" s="5" t="n">
        <v>0.52</v>
      </c>
      <c r="N648" s="5" t="n">
        <v>0</v>
      </c>
    </row>
    <row r="649">
      <c r="A649" t="n">
        <v>648</v>
      </c>
      <c r="B649" t="n">
        <v>2014</v>
      </c>
      <c r="C649" t="inlineStr">
        <is>
          <t>Sophie Vivienne Ma</t>
        </is>
      </c>
      <c r="D649">
        <f>HYPERLINK("https://ota.tournamentsoftware.com/player-profile/5BFCC3E7-799D-4957-B35C-26164F771CAB", "Link")</f>
        <v/>
      </c>
      <c r="E649" s="3" t="n">
        <v>29.435</v>
      </c>
      <c r="F649" s="4" t="n">
        <v>7</v>
      </c>
      <c r="G649" t="inlineStr">
        <is>
          <t>Ontario Tennis Association</t>
        </is>
      </c>
      <c r="H649" t="inlineStr">
        <is>
          <t>NYTA Winter Tennis Club</t>
        </is>
      </c>
      <c r="I649" t="n">
        <v>39.3</v>
      </c>
      <c r="J649" s="4" t="n">
        <v>48</v>
      </c>
      <c r="K649" t="inlineStr">
        <is>
          <t>15 / 33</t>
        </is>
      </c>
      <c r="L649" t="inlineStr">
        <is>
          <t>0 / 6</t>
        </is>
      </c>
      <c r="M649" s="5" t="n">
        <v>0.31</v>
      </c>
      <c r="N649" s="5" t="n">
        <v>0</v>
      </c>
    </row>
    <row r="650">
      <c r="A650" t="n">
        <v>649</v>
      </c>
      <c r="B650" t="n">
        <v>2012</v>
      </c>
      <c r="C650" t="inlineStr">
        <is>
          <t>Remy Quinn Durocher</t>
        </is>
      </c>
      <c r="D650">
        <f>HYPERLINK("https://ota.tournamentsoftware.com/player-profile/64BF8C80-3EDB-464A-896D-5D47CC387451", "Link")</f>
        <v/>
      </c>
      <c r="E650" s="3" t="n">
        <v>29.376</v>
      </c>
      <c r="F650" s="4" t="n">
        <v>1</v>
      </c>
      <c r="G650" t="inlineStr">
        <is>
          <t>Tennis Prince Edward Island</t>
        </is>
      </c>
      <c r="H650" t="inlineStr">
        <is>
          <t>Stratford Tennis Club</t>
        </is>
      </c>
      <c r="I650" t="n">
        <v>40</v>
      </c>
      <c r="J650" s="4" t="n">
        <v>8</v>
      </c>
      <c r="K650" t="inlineStr">
        <is>
          <t>1 / 7</t>
        </is>
      </c>
      <c r="L650" t="inlineStr">
        <is>
          <t>0 / 2</t>
        </is>
      </c>
      <c r="M650" s="5" t="n">
        <v>0.12</v>
      </c>
      <c r="N650" s="5" t="n">
        <v>0</v>
      </c>
    </row>
    <row r="651">
      <c r="A651" t="n">
        <v>650</v>
      </c>
      <c r="B651" t="n">
        <v>2013</v>
      </c>
      <c r="C651" t="inlineStr">
        <is>
          <t>Brooklyn Desjardins</t>
        </is>
      </c>
      <c r="D651">
        <f>HYPERLINK("https://ota.tournamentsoftware.com/player-profile/EDCAF363-81B5-4378-83DC-E36CD3ACC539", "Link")</f>
        <v/>
      </c>
      <c r="E651" s="3" t="n">
        <v>29.163</v>
      </c>
      <c r="F651" s="4" t="n">
        <v>4</v>
      </c>
      <c r="G651" t="inlineStr">
        <is>
          <t>Tennis Québec</t>
        </is>
      </c>
      <c r="H651" t="inlineStr">
        <is>
          <t>Club Sportif Côte-de-Liesse</t>
        </is>
      </c>
      <c r="I651" t="n">
        <v>37.7</v>
      </c>
      <c r="J651" s="4" t="n">
        <v>49</v>
      </c>
      <c r="K651" t="inlineStr">
        <is>
          <t>19 / 30</t>
        </is>
      </c>
      <c r="L651" t="inlineStr">
        <is>
          <t>0 / 0</t>
        </is>
      </c>
      <c r="M651" s="5" t="n">
        <v>0.39</v>
      </c>
      <c r="N651" s="5" t="n">
        <v>0</v>
      </c>
    </row>
    <row r="652">
      <c r="A652" t="n">
        <v>651</v>
      </c>
      <c r="B652" t="n">
        <v>2016</v>
      </c>
      <c r="C652" t="inlineStr">
        <is>
          <t>Madison Dionne</t>
        </is>
      </c>
      <c r="D652">
        <f>HYPERLINK("https://ota.tournamentsoftware.com/player-profile/E7A43ABD-96E4-46C3-84A5-BAF14D846E4C", "Link")</f>
        <v/>
      </c>
      <c r="E652" s="3" t="n">
        <v>29.157</v>
      </c>
      <c r="F652" s="4" t="n">
        <v>6</v>
      </c>
      <c r="G652" t="inlineStr">
        <is>
          <t>Ontario Tennis Association</t>
        </is>
      </c>
      <c r="H652" t="inlineStr">
        <is>
          <t>Ontario Racquet Club</t>
        </is>
      </c>
      <c r="I652" t="n">
        <v>37.3</v>
      </c>
      <c r="J652" s="4" t="n">
        <v>92</v>
      </c>
      <c r="K652" t="inlineStr">
        <is>
          <t>28 / 64</t>
        </is>
      </c>
      <c r="L652" t="inlineStr">
        <is>
          <t>12 / 10</t>
        </is>
      </c>
      <c r="M652" s="5" t="n">
        <v>0.3</v>
      </c>
      <c r="N652" s="5" t="n">
        <v>0.55</v>
      </c>
    </row>
    <row r="653">
      <c r="A653" t="n">
        <v>652</v>
      </c>
      <c r="B653" t="n">
        <v>2014</v>
      </c>
      <c r="C653" t="inlineStr">
        <is>
          <t>Laura Gyori</t>
        </is>
      </c>
      <c r="D653">
        <f>HYPERLINK("https://ota.tournamentsoftware.com/player-profile/5A55107A-8C3C-4255-8453-79017D4120E3", "Link")</f>
        <v/>
      </c>
      <c r="E653" s="3" t="n">
        <v>29.152</v>
      </c>
      <c r="F653" s="4" t="n">
        <v>3</v>
      </c>
      <c r="G653" t="inlineStr">
        <is>
          <t>Ontario Tennis Association</t>
        </is>
      </c>
      <c r="H653" t="inlineStr">
        <is>
          <t>Rideau Sports Centre</t>
        </is>
      </c>
      <c r="I653" t="inlineStr">
        <is>
          <t>unavailable</t>
        </is>
      </c>
      <c r="J653" s="4" t="n">
        <v>14</v>
      </c>
      <c r="K653" t="inlineStr">
        <is>
          <t>4 / 10</t>
        </is>
      </c>
      <c r="L653" t="inlineStr">
        <is>
          <t>2 / 3</t>
        </is>
      </c>
      <c r="M653" s="5" t="n">
        <v>0.29</v>
      </c>
      <c r="N653" s="5" t="n">
        <v>0.4</v>
      </c>
    </row>
    <row r="654">
      <c r="A654" t="n">
        <v>653</v>
      </c>
      <c r="B654" t="n">
        <v>2015</v>
      </c>
      <c r="C654" t="inlineStr">
        <is>
          <t>Iris RuiYing Cen</t>
        </is>
      </c>
      <c r="D654">
        <f>HYPERLINK("https://ota.tournamentsoftware.com/player-profile/D53FD847-C5AE-41A6-BFB8-EE8B251EDFBF", "Link")</f>
        <v/>
      </c>
      <c r="E654" s="3" t="n">
        <v>29.111</v>
      </c>
      <c r="F654" s="4" t="n">
        <v>7</v>
      </c>
      <c r="G654" t="inlineStr">
        <is>
          <t>Ontario Tennis Association</t>
        </is>
      </c>
      <c r="H654" t="inlineStr">
        <is>
          <t>Meadowvale West Tennis Club</t>
        </is>
      </c>
      <c r="I654" t="n">
        <v>38.1</v>
      </c>
      <c r="J654" s="4" t="n">
        <v>77</v>
      </c>
      <c r="K654" t="inlineStr">
        <is>
          <t>20 / 57</t>
        </is>
      </c>
      <c r="L654" t="inlineStr">
        <is>
          <t>2 / 4</t>
        </is>
      </c>
      <c r="M654" s="5" t="n">
        <v>0.26</v>
      </c>
      <c r="N654" s="5" t="n">
        <v>0.33</v>
      </c>
    </row>
    <row r="655">
      <c r="A655" t="n">
        <v>654</v>
      </c>
      <c r="B655" t="n">
        <v>2014</v>
      </c>
      <c r="C655" t="inlineStr">
        <is>
          <t>Ignatia Walsh</t>
        </is>
      </c>
      <c r="D655">
        <f>HYPERLINK("https://ota.tournamentsoftware.com/player-profile/AEC8F080-693E-4608-867A-22E590A9E567", "Link")</f>
        <v/>
      </c>
      <c r="E655" s="3" t="n">
        <v>28.852</v>
      </c>
      <c r="F655" s="4" t="n">
        <v>13</v>
      </c>
      <c r="G655" t="inlineStr">
        <is>
          <t>Ontario Tennis Association</t>
        </is>
      </c>
      <c r="H655" t="inlineStr">
        <is>
          <t>Premier Racquet Clubs – Mississauga</t>
        </is>
      </c>
      <c r="I655" t="inlineStr">
        <is>
          <t>unavailable</t>
        </is>
      </c>
      <c r="J655" s="4" t="n">
        <v>52</v>
      </c>
      <c r="K655" t="inlineStr">
        <is>
          <t>13 / 39</t>
        </is>
      </c>
      <c r="L655" t="inlineStr">
        <is>
          <t>6 / 15</t>
        </is>
      </c>
      <c r="M655" s="5" t="n">
        <v>0.25</v>
      </c>
      <c r="N655" s="5" t="n">
        <v>0.29</v>
      </c>
    </row>
    <row r="656">
      <c r="A656" t="n">
        <v>655</v>
      </c>
      <c r="B656" t="n">
        <v>2013</v>
      </c>
      <c r="C656" t="inlineStr">
        <is>
          <t>TIFFANY ZHENG</t>
        </is>
      </c>
      <c r="D656">
        <f>HYPERLINK("https://ota.tournamentsoftware.com/player-profile/59B34621-D499-450A-BDB3-B38C363BEAD1", "Link")</f>
        <v/>
      </c>
      <c r="E656" s="3" t="n">
        <v>28.481</v>
      </c>
      <c r="F656" s="4" t="n">
        <v>1</v>
      </c>
      <c r="G656" t="inlineStr">
        <is>
          <t>Ontario Tennis Association</t>
        </is>
      </c>
      <c r="H656" t="inlineStr">
        <is>
          <t>Carleton Tennis Centre</t>
        </is>
      </c>
      <c r="I656" t="n">
        <v>34</v>
      </c>
      <c r="J656" s="4" t="n">
        <v>1</v>
      </c>
      <c r="K656" t="inlineStr">
        <is>
          <t>1 / 0</t>
        </is>
      </c>
      <c r="L656" t="inlineStr">
        <is>
          <t>1 / 0</t>
        </is>
      </c>
      <c r="M656" s="5" t="n">
        <v>1</v>
      </c>
      <c r="N656" s="5" t="n">
        <v>1</v>
      </c>
    </row>
    <row r="657">
      <c r="A657" t="n">
        <v>656</v>
      </c>
      <c r="B657" t="n">
        <v>2016</v>
      </c>
      <c r="C657" t="inlineStr">
        <is>
          <t>Flora Ziyue Wang</t>
        </is>
      </c>
      <c r="D657">
        <f>HYPERLINK("https://ota.tournamentsoftware.com/player-profile/65435931-BBD0-46BD-839E-4188787640BE", "Link")</f>
        <v/>
      </c>
      <c r="E657" s="3" t="n">
        <v>28.368</v>
      </c>
      <c r="F657" s="4" t="n">
        <v>6</v>
      </c>
      <c r="G657" t="inlineStr">
        <is>
          <t>Ontario Tennis Association</t>
        </is>
      </c>
      <c r="H657" t="inlineStr">
        <is>
          <t>Unionville Tennis Club</t>
        </is>
      </c>
      <c r="I657" t="n">
        <v>35.1</v>
      </c>
      <c r="J657" s="4" t="n">
        <v>81</v>
      </c>
      <c r="K657" t="inlineStr">
        <is>
          <t>42 / 39</t>
        </is>
      </c>
      <c r="L657" t="inlineStr">
        <is>
          <t>15 / 8</t>
        </is>
      </c>
      <c r="M657" s="5" t="n">
        <v>0.52</v>
      </c>
      <c r="N657" s="5" t="n">
        <v>0.65</v>
      </c>
    </row>
    <row r="658">
      <c r="A658" t="n">
        <v>657</v>
      </c>
      <c r="B658" t="n">
        <v>2013</v>
      </c>
      <c r="C658" t="inlineStr">
        <is>
          <t>Kate Lalli</t>
        </is>
      </c>
      <c r="D658">
        <f>HYPERLINK("https://ota.tournamentsoftware.com/player-profile/37A0CF8B-C4DF-49F1-946F-E349A3E42015", "Link")</f>
        <v/>
      </c>
      <c r="E658" s="3" t="n">
        <v>28.123</v>
      </c>
      <c r="F658" s="4" t="n">
        <v>3</v>
      </c>
      <c r="G658" t="inlineStr">
        <is>
          <t>Tennis Québec</t>
        </is>
      </c>
      <c r="H658" t="inlineStr">
        <is>
          <t>No Club</t>
        </is>
      </c>
      <c r="I658" t="n">
        <v>37.6</v>
      </c>
      <c r="J658" s="4" t="n">
        <v>13</v>
      </c>
      <c r="K658" t="inlineStr">
        <is>
          <t>4 / 9</t>
        </is>
      </c>
      <c r="L658" t="inlineStr">
        <is>
          <t>1 / 4</t>
        </is>
      </c>
      <c r="M658" s="5" t="n">
        <v>0.31</v>
      </c>
      <c r="N658" s="5" t="n">
        <v>0.2</v>
      </c>
    </row>
    <row r="659">
      <c r="A659" t="n">
        <v>658</v>
      </c>
      <c r="B659" t="n">
        <v>2016</v>
      </c>
      <c r="C659" t="inlineStr">
        <is>
          <t>Ama Marie Elvira Kouadio</t>
        </is>
      </c>
      <c r="D659">
        <f>HYPERLINK("https://ota.tournamentsoftware.com/player-profile/25362040-6649-44FF-A97B-DDFA8FFF0B73", "Link")</f>
        <v/>
      </c>
      <c r="E659" s="3" t="n">
        <v>27.991</v>
      </c>
      <c r="F659" s="4" t="n">
        <v>3</v>
      </c>
      <c r="G659" t="inlineStr">
        <is>
          <t>Tennis Québec</t>
        </is>
      </c>
      <c r="H659" t="inlineStr">
        <is>
          <t>Carrefour Multisports</t>
        </is>
      </c>
      <c r="I659" t="n">
        <v>34.4</v>
      </c>
      <c r="J659" s="4" t="n">
        <v>65</v>
      </c>
      <c r="K659" t="inlineStr">
        <is>
          <t>41 / 24</t>
        </is>
      </c>
      <c r="L659" t="inlineStr">
        <is>
          <t>5 / 4</t>
        </is>
      </c>
      <c r="M659" s="5" t="n">
        <v>0.63</v>
      </c>
      <c r="N659" s="5" t="n">
        <v>0.5600000000000001</v>
      </c>
    </row>
    <row r="660">
      <c r="A660" t="n">
        <v>659</v>
      </c>
      <c r="B660" t="n">
        <v>2013</v>
      </c>
      <c r="C660" t="inlineStr">
        <is>
          <t>Phoebe Xu</t>
        </is>
      </c>
      <c r="D660">
        <f>HYPERLINK("https://ota.tournamentsoftware.com/player-profile/278C7B40-F6F9-4402-A8BF-F8069FAF9612", "Link")</f>
        <v/>
      </c>
      <c r="E660" s="3" t="n">
        <v>27.864</v>
      </c>
      <c r="F660" s="4" t="n">
        <v>2</v>
      </c>
      <c r="G660" t="inlineStr">
        <is>
          <t>Ontario Tennis Association</t>
        </is>
      </c>
      <c r="H660" t="inlineStr">
        <is>
          <t>Sandy Beach Tennis Club</t>
        </is>
      </c>
      <c r="I660" t="n">
        <v>32</v>
      </c>
      <c r="J660" s="4" t="n">
        <v>89</v>
      </c>
      <c r="K660" t="inlineStr">
        <is>
          <t>50 / 39</t>
        </is>
      </c>
      <c r="L660" t="inlineStr">
        <is>
          <t>1 / 1</t>
        </is>
      </c>
      <c r="M660" s="5" t="n">
        <v>0.5600000000000001</v>
      </c>
      <c r="N660" s="5" t="n">
        <v>0.5</v>
      </c>
    </row>
    <row r="661">
      <c r="A661" t="n">
        <v>660</v>
      </c>
      <c r="B661" t="n">
        <v>2013</v>
      </c>
      <c r="C661" t="inlineStr">
        <is>
          <t>Hengxi Celine Du</t>
        </is>
      </c>
      <c r="D661">
        <f>HYPERLINK("https://ota.tournamentsoftware.com/player-profile/7011B5E4-06D4-4830-95A3-18CF46BE4ED0", "Link")</f>
        <v/>
      </c>
      <c r="E661" s="3" t="n">
        <v>27.72</v>
      </c>
      <c r="F661" s="4" t="n">
        <v>1</v>
      </c>
      <c r="G661" t="inlineStr">
        <is>
          <t>Ontario Tennis Association</t>
        </is>
      </c>
      <c r="H661" t="inlineStr">
        <is>
          <t>Premier Racquet Clubs – Mississauga</t>
        </is>
      </c>
      <c r="I661" t="inlineStr">
        <is>
          <t>unavailable</t>
        </is>
      </c>
      <c r="J661" s="4" t="n">
        <v>19</v>
      </c>
      <c r="K661" t="inlineStr">
        <is>
          <t>6 / 13</t>
        </is>
      </c>
      <c r="L661" t="inlineStr">
        <is>
          <t>5 / 6</t>
        </is>
      </c>
      <c r="M661" s="5" t="n">
        <v>0.32</v>
      </c>
      <c r="N661" s="5" t="n">
        <v>0.45</v>
      </c>
    </row>
    <row r="662">
      <c r="A662" t="n">
        <v>661</v>
      </c>
      <c r="B662" t="n">
        <v>2015</v>
      </c>
      <c r="C662" t="inlineStr">
        <is>
          <t>Parine Jani</t>
        </is>
      </c>
      <c r="D662">
        <f>HYPERLINK("https://ota.tournamentsoftware.com/player-profile/DEF6C92A-14C0-4DEB-A4E3-22B40C75E14A", "Link")</f>
        <v/>
      </c>
      <c r="E662" s="3" t="n">
        <v>27.46</v>
      </c>
      <c r="F662" s="4" t="n">
        <v>4</v>
      </c>
      <c r="G662" t="inlineStr">
        <is>
          <t>Ontario Tennis Association</t>
        </is>
      </c>
      <c r="H662" t="inlineStr">
        <is>
          <t>Unionville Tennis Club</t>
        </is>
      </c>
      <c r="I662" t="n">
        <v>40</v>
      </c>
      <c r="J662" s="4" t="n">
        <v>42</v>
      </c>
      <c r="K662" t="inlineStr">
        <is>
          <t>7 / 35</t>
        </is>
      </c>
      <c r="L662" t="inlineStr">
        <is>
          <t>1 / 10</t>
        </is>
      </c>
      <c r="M662" s="5" t="n">
        <v>0.17</v>
      </c>
      <c r="N662" s="5" t="n">
        <v>0.09</v>
      </c>
    </row>
    <row r="663">
      <c r="A663" t="n">
        <v>662</v>
      </c>
      <c r="B663" t="n">
        <v>2012</v>
      </c>
      <c r="C663" t="inlineStr">
        <is>
          <t>Emma Gao</t>
        </is>
      </c>
      <c r="D663">
        <f>HYPERLINK("https://ota.tournamentsoftware.com/player-profile/C88BC343-3DFB-493C-85F2-14F8A90F6D68", "Link")</f>
        <v/>
      </c>
      <c r="E663" s="3" t="n">
        <v>27.439</v>
      </c>
      <c r="F663" s="4" t="n">
        <v>3</v>
      </c>
      <c r="G663" t="inlineStr">
        <is>
          <t>British Columbia</t>
        </is>
      </c>
      <c r="H663" t="inlineStr">
        <is>
          <t>Tennis for Life</t>
        </is>
      </c>
      <c r="I663" t="inlineStr">
        <is>
          <t>unavailable</t>
        </is>
      </c>
      <c r="J663" s="4" t="n">
        <v>33</v>
      </c>
      <c r="K663" t="inlineStr">
        <is>
          <t>9 / 24</t>
        </is>
      </c>
      <c r="L663" t="inlineStr">
        <is>
          <t>0 / 5</t>
        </is>
      </c>
      <c r="M663" s="5" t="n">
        <v>0.27</v>
      </c>
      <c r="N663" s="5" t="n">
        <v>0</v>
      </c>
    </row>
    <row r="664">
      <c r="A664" t="n">
        <v>663</v>
      </c>
      <c r="B664" t="n">
        <v>2012</v>
      </c>
      <c r="C664" t="inlineStr">
        <is>
          <t>Adelaide Morgan</t>
        </is>
      </c>
      <c r="D664">
        <f>HYPERLINK("https://ota.tournamentsoftware.com/player-profile/349677AB-87B2-407B-BDFF-04EE8550EE87", "Link")</f>
        <v/>
      </c>
      <c r="E664" s="3" t="n">
        <v>27.259</v>
      </c>
      <c r="F664" s="4" t="n">
        <v>2</v>
      </c>
      <c r="G664" t="inlineStr">
        <is>
          <t>Ontario Tennis Association</t>
        </is>
      </c>
      <c r="H664" t="inlineStr">
        <is>
          <t>Eglinton Flats Winter Tennis Club</t>
        </is>
      </c>
      <c r="I664" t="inlineStr">
        <is>
          <t>unavailable</t>
        </is>
      </c>
      <c r="J664" s="4" t="n">
        <v>15</v>
      </c>
      <c r="K664" t="inlineStr">
        <is>
          <t>5 / 10</t>
        </is>
      </c>
      <c r="L664" t="inlineStr">
        <is>
          <t>0 / 4</t>
        </is>
      </c>
      <c r="M664" s="5" t="n">
        <v>0.33</v>
      </c>
      <c r="N664" s="5" t="n">
        <v>0</v>
      </c>
    </row>
    <row r="665">
      <c r="A665" t="n">
        <v>664</v>
      </c>
      <c r="B665" t="n">
        <v>2012</v>
      </c>
      <c r="C665" t="inlineStr">
        <is>
          <t>Tallulah Oakes</t>
        </is>
      </c>
      <c r="D665">
        <f>HYPERLINK("https://ota.tournamentsoftware.com/player-profile/B5372F0A-C15A-4DDD-A97C-9E3BACE4A05E", "Link")</f>
        <v/>
      </c>
      <c r="E665" s="3" t="n">
        <v>26.613</v>
      </c>
      <c r="F665" s="4" t="n">
        <v>2</v>
      </c>
      <c r="G665" t="inlineStr">
        <is>
          <t>British Columbia</t>
        </is>
      </c>
      <c r="H665" t="inlineStr">
        <is>
          <t>Hollyburn Country Club</t>
        </is>
      </c>
      <c r="I665" t="n">
        <v>35.3</v>
      </c>
      <c r="J665" s="4" t="n">
        <v>72</v>
      </c>
      <c r="K665" t="inlineStr">
        <is>
          <t>27 / 45</t>
        </is>
      </c>
      <c r="L665" t="inlineStr">
        <is>
          <t>1 / 2</t>
        </is>
      </c>
      <c r="M665" s="5" t="n">
        <v>0.38</v>
      </c>
      <c r="N665" s="5" t="n">
        <v>0.33</v>
      </c>
    </row>
    <row r="666">
      <c r="A666" t="n">
        <v>665</v>
      </c>
      <c r="B666" t="n">
        <v>2012</v>
      </c>
      <c r="C666" t="inlineStr">
        <is>
          <t>Kira Karstoff</t>
        </is>
      </c>
      <c r="D666">
        <f>HYPERLINK("https://ota.tournamentsoftware.com/player-profile/1755679B-A50B-4F8F-B603-0578043F7638", "Link")</f>
        <v/>
      </c>
      <c r="E666" s="3" t="n">
        <v>26.611</v>
      </c>
      <c r="F666" s="4" t="n">
        <v>2</v>
      </c>
      <c r="G666" t="inlineStr">
        <is>
          <t>Ontario Tennis Association</t>
        </is>
      </c>
      <c r="H666" t="inlineStr">
        <is>
          <t>Toronto Cricket Skating &amp; Curling</t>
        </is>
      </c>
      <c r="I666" t="inlineStr">
        <is>
          <t>unavailable</t>
        </is>
      </c>
      <c r="J666" s="4" t="n">
        <v>48</v>
      </c>
      <c r="K666" t="inlineStr">
        <is>
          <t>21 / 27</t>
        </is>
      </c>
      <c r="L666" t="inlineStr">
        <is>
          <t>2 / 4</t>
        </is>
      </c>
      <c r="M666" s="5" t="n">
        <v>0.44</v>
      </c>
      <c r="N666" s="5" t="n">
        <v>0.33</v>
      </c>
    </row>
    <row r="667">
      <c r="A667" t="n">
        <v>666</v>
      </c>
      <c r="B667" t="n">
        <v>2013</v>
      </c>
      <c r="C667" t="inlineStr">
        <is>
          <t>Mayssa Maddouri</t>
        </is>
      </c>
      <c r="D667">
        <f>HYPERLINK("https://ota.tournamentsoftware.com/player-profile/911D4DB6-C985-4A43-8264-359A0386F2C5", "Link")</f>
        <v/>
      </c>
      <c r="E667" s="3" t="n">
        <v>26.568</v>
      </c>
      <c r="F667" s="4" t="n">
        <v>2</v>
      </c>
      <c r="G667" t="inlineStr">
        <is>
          <t>Tennis Québec</t>
        </is>
      </c>
      <c r="H667" t="inlineStr">
        <is>
          <t>EB Tennis inc.</t>
        </is>
      </c>
      <c r="I667" t="inlineStr">
        <is>
          <t>unavailable</t>
        </is>
      </c>
      <c r="J667" s="4" t="n">
        <v>3</v>
      </c>
      <c r="K667" t="inlineStr">
        <is>
          <t>0 / 3</t>
        </is>
      </c>
      <c r="L667" t="inlineStr">
        <is>
          <t>0 / 3</t>
        </is>
      </c>
      <c r="M667" s="5" t="n">
        <v>0</v>
      </c>
      <c r="N667" s="5" t="n">
        <v>0</v>
      </c>
    </row>
    <row r="668">
      <c r="A668" t="n">
        <v>667</v>
      </c>
      <c r="B668" t="n">
        <v>2014</v>
      </c>
      <c r="C668" t="inlineStr">
        <is>
          <t>Audrey Lu</t>
        </is>
      </c>
      <c r="D668">
        <f>HYPERLINK("https://ota.tournamentsoftware.com/player-profile/01588371-7322-467B-AA75-DDD8230D1899", "Link")</f>
        <v/>
      </c>
      <c r="E668" s="3" t="n">
        <v>26.154</v>
      </c>
      <c r="F668" s="4" t="n">
        <v>6</v>
      </c>
      <c r="G668" t="inlineStr">
        <is>
          <t>Ontario Tennis Association</t>
        </is>
      </c>
      <c r="H668" t="inlineStr">
        <is>
          <t>Toronto Cricket Skating &amp; Curling</t>
        </is>
      </c>
      <c r="I668" t="inlineStr">
        <is>
          <t>unavailable</t>
        </is>
      </c>
      <c r="J668" s="4" t="n">
        <v>24</v>
      </c>
      <c r="K668" t="inlineStr">
        <is>
          <t>10 / 14</t>
        </is>
      </c>
      <c r="L668" t="inlineStr">
        <is>
          <t>10 / 11</t>
        </is>
      </c>
      <c r="M668" s="5" t="n">
        <v>0.42</v>
      </c>
      <c r="N668" s="5" t="n">
        <v>0.48</v>
      </c>
    </row>
    <row r="669">
      <c r="A669" t="n">
        <v>668</v>
      </c>
      <c r="B669" t="n">
        <v>2017</v>
      </c>
      <c r="C669" t="inlineStr">
        <is>
          <t>Anastasia Savtchenko</t>
        </is>
      </c>
      <c r="D669">
        <f>HYPERLINK("https://ota.tournamentsoftware.com/player-profile/FF881545-63C4-4D7F-B9E4-0A8D65FB9607", "Link")</f>
        <v/>
      </c>
      <c r="E669" s="3" t="n">
        <v>25.92</v>
      </c>
      <c r="F669" s="4" t="n">
        <v>5</v>
      </c>
      <c r="G669" t="inlineStr">
        <is>
          <t>Ontario Tennis Association</t>
        </is>
      </c>
      <c r="H669" t="inlineStr">
        <is>
          <t>Valan Tennis Academy</t>
        </is>
      </c>
      <c r="I669" t="inlineStr">
        <is>
          <t>unavailable</t>
        </is>
      </c>
      <c r="J669" s="4" t="n">
        <v>91</v>
      </c>
      <c r="K669" t="inlineStr">
        <is>
          <t>51 / 40</t>
        </is>
      </c>
      <c r="L669" t="inlineStr">
        <is>
          <t>15 / 11</t>
        </is>
      </c>
      <c r="M669" s="5" t="n">
        <v>0.5600000000000001</v>
      </c>
      <c r="N669" s="5" t="n">
        <v>0.58</v>
      </c>
    </row>
    <row r="670">
      <c r="A670" t="n">
        <v>669</v>
      </c>
      <c r="B670" t="n">
        <v>2015</v>
      </c>
      <c r="C670" t="inlineStr">
        <is>
          <t>Charlotte Harvey</t>
        </is>
      </c>
      <c r="D670">
        <f>HYPERLINK("https://ota.tournamentsoftware.com/player-profile/222A5F1C-DAD0-4E2A-B035-6A15561C1E0A", "Link")</f>
        <v/>
      </c>
      <c r="E670" s="3" t="n">
        <v>25.848</v>
      </c>
      <c r="F670" s="4" t="n">
        <v>3</v>
      </c>
      <c r="G670" t="inlineStr">
        <is>
          <t>Tennis Québec</t>
        </is>
      </c>
      <c r="H670" t="inlineStr">
        <is>
          <t>Les Tennis de Rimouski (intérieur)</t>
        </is>
      </c>
      <c r="I670" t="n">
        <v>36.8</v>
      </c>
      <c r="J670" s="4" t="n">
        <v>11</v>
      </c>
      <c r="K670" t="inlineStr">
        <is>
          <t>6 / 5</t>
        </is>
      </c>
      <c r="L670" t="inlineStr">
        <is>
          <t>4 / 4</t>
        </is>
      </c>
      <c r="M670" s="5" t="n">
        <v>0.55</v>
      </c>
      <c r="N670" s="5" t="n">
        <v>0.5</v>
      </c>
    </row>
    <row r="671">
      <c r="A671" t="n">
        <v>670</v>
      </c>
      <c r="B671" t="n">
        <v>2012</v>
      </c>
      <c r="C671" t="inlineStr">
        <is>
          <t>Harper Van Beveren</t>
        </is>
      </c>
      <c r="D671">
        <f>HYPERLINK("https://ota.tournamentsoftware.com/player-profile/5981FBA6-1FF9-4CF8-8DE2-DDB8BFEA4094", "Link")</f>
        <v/>
      </c>
      <c r="E671" s="3" t="n">
        <v>25.531</v>
      </c>
      <c r="F671" s="4" t="n">
        <v>2</v>
      </c>
      <c r="G671" t="inlineStr">
        <is>
          <t>Ontario Tennis Association</t>
        </is>
      </c>
      <c r="H671" t="inlineStr">
        <is>
          <t>Rosedale Tennis Club (Hamilton)</t>
        </is>
      </c>
      <c r="I671" t="inlineStr">
        <is>
          <t>unavailable</t>
        </is>
      </c>
      <c r="J671" s="4" t="n">
        <v>16</v>
      </c>
      <c r="K671" t="inlineStr">
        <is>
          <t>5 / 11</t>
        </is>
      </c>
      <c r="L671" t="inlineStr">
        <is>
          <t>1 / 1</t>
        </is>
      </c>
      <c r="M671" s="5" t="n">
        <v>0.31</v>
      </c>
      <c r="N671" s="5" t="n">
        <v>0.5</v>
      </c>
    </row>
    <row r="672">
      <c r="A672" t="n">
        <v>671</v>
      </c>
      <c r="B672" t="n">
        <v>2013</v>
      </c>
      <c r="C672" t="inlineStr">
        <is>
          <t>Robin Lee</t>
        </is>
      </c>
      <c r="D672">
        <f>HYPERLINK("https://ota.tournamentsoftware.com/player-profile/0DB12770-F2FF-469C-87ED-5B5A242C6A08", "Link")</f>
        <v/>
      </c>
      <c r="E672" s="3" t="n">
        <v>25.431</v>
      </c>
      <c r="F672" s="4" t="n">
        <v>5</v>
      </c>
      <c r="G672" t="inlineStr">
        <is>
          <t>Ontario Tennis Association</t>
        </is>
      </c>
      <c r="H672" t="inlineStr">
        <is>
          <t>No Club</t>
        </is>
      </c>
      <c r="I672" t="n">
        <v>39.2</v>
      </c>
      <c r="J672" s="4" t="n">
        <v>58</v>
      </c>
      <c r="K672" t="inlineStr">
        <is>
          <t>11 / 47</t>
        </is>
      </c>
      <c r="L672" t="inlineStr">
        <is>
          <t>0 / 0</t>
        </is>
      </c>
      <c r="M672" s="5" t="n">
        <v>0.19</v>
      </c>
      <c r="N672" s="5" t="n">
        <v>0</v>
      </c>
    </row>
    <row r="673">
      <c r="A673" t="n">
        <v>672</v>
      </c>
      <c r="B673" t="n">
        <v>2014</v>
      </c>
      <c r="C673" t="inlineStr">
        <is>
          <t>Mia Krusarovski</t>
        </is>
      </c>
      <c r="D673">
        <f>HYPERLINK("https://ota.tournamentsoftware.com/player-profile/BE8F67EB-3C85-4EE8-8915-58C34DCD86C7", "Link")</f>
        <v/>
      </c>
      <c r="E673" s="3" t="n">
        <v>25.17</v>
      </c>
      <c r="F673" s="4" t="n">
        <v>3</v>
      </c>
      <c r="G673" t="inlineStr">
        <is>
          <t>Ontario Tennis Association</t>
        </is>
      </c>
      <c r="H673" t="inlineStr">
        <is>
          <t>Zekelman Tennis Centre</t>
        </is>
      </c>
      <c r="I673" t="n">
        <v>34.8</v>
      </c>
      <c r="J673" s="4" t="n">
        <v>16</v>
      </c>
      <c r="K673" t="inlineStr">
        <is>
          <t>5 / 11</t>
        </is>
      </c>
      <c r="L673" t="inlineStr">
        <is>
          <t>4 / 2</t>
        </is>
      </c>
      <c r="M673" s="5" t="n">
        <v>0.31</v>
      </c>
      <c r="N673" s="5" t="n">
        <v>0.67</v>
      </c>
    </row>
    <row r="674">
      <c r="A674" t="n">
        <v>673</v>
      </c>
      <c r="B674" t="n">
        <v>2015</v>
      </c>
      <c r="C674" t="inlineStr">
        <is>
          <t>Isadora Xu</t>
        </is>
      </c>
      <c r="D674">
        <f>HYPERLINK("https://ota.tournamentsoftware.com/player-profile/78173253-32AB-4E0D-8618-AEF874C973EC", "Link")</f>
        <v/>
      </c>
      <c r="E674" s="3" t="n">
        <v>25.059</v>
      </c>
      <c r="F674" s="4" t="n">
        <v>9</v>
      </c>
      <c r="G674" t="inlineStr">
        <is>
          <t>British Columbia</t>
        </is>
      </c>
      <c r="H674" t="inlineStr">
        <is>
          <t>Arbutus Club</t>
        </is>
      </c>
      <c r="I674" t="n">
        <v>39.1</v>
      </c>
      <c r="J674" s="4" t="n">
        <v>42</v>
      </c>
      <c r="K674" t="inlineStr">
        <is>
          <t>19 / 23</t>
        </is>
      </c>
      <c r="L674" t="inlineStr">
        <is>
          <t>15 / 17</t>
        </is>
      </c>
      <c r="M674" s="5" t="n">
        <v>0.45</v>
      </c>
      <c r="N674" s="5" t="n">
        <v>0.47</v>
      </c>
    </row>
    <row r="675">
      <c r="A675" t="n">
        <v>674</v>
      </c>
      <c r="B675" t="n">
        <v>2014</v>
      </c>
      <c r="C675" t="inlineStr">
        <is>
          <t>Adrianna Rajchel</t>
        </is>
      </c>
      <c r="D675">
        <f>HYPERLINK("https://ota.tournamentsoftware.com/player-profile/CF345FA9-9F2F-4BDB-8B66-131A15D8B231", "Link")</f>
        <v/>
      </c>
      <c r="E675" s="3" t="n">
        <v>24.832</v>
      </c>
      <c r="F675" s="4" t="n">
        <v>3</v>
      </c>
      <c r="G675" t="inlineStr">
        <is>
          <t>Ontario Tennis Association</t>
        </is>
      </c>
      <c r="H675" t="inlineStr">
        <is>
          <t>Carleton Tennis Centre</t>
        </is>
      </c>
      <c r="I675" t="n">
        <v>38.5</v>
      </c>
      <c r="J675" s="4" t="n">
        <v>15</v>
      </c>
      <c r="K675" t="inlineStr">
        <is>
          <t>4 / 11</t>
        </is>
      </c>
      <c r="L675" t="inlineStr">
        <is>
          <t>1 / 3</t>
        </is>
      </c>
      <c r="M675" s="5" t="n">
        <v>0.27</v>
      </c>
      <c r="N675" s="5" t="n">
        <v>0.25</v>
      </c>
    </row>
    <row r="676">
      <c r="A676" t="n">
        <v>675</v>
      </c>
      <c r="B676" t="n">
        <v>2014</v>
      </c>
      <c r="C676" t="inlineStr">
        <is>
          <t>Ava Amiripour</t>
        </is>
      </c>
      <c r="D676">
        <f>HYPERLINK("https://ota.tournamentsoftware.com/player-profile/C08AB363-A302-4023-8D6D-B732D837DADF", "Link")</f>
        <v/>
      </c>
      <c r="E676" s="3" t="n">
        <v>24.262</v>
      </c>
      <c r="F676" s="4" t="n">
        <v>3</v>
      </c>
      <c r="G676" t="inlineStr">
        <is>
          <t>Ontario Tennis Association</t>
        </is>
      </c>
      <c r="H676" t="inlineStr">
        <is>
          <t>No Club</t>
        </is>
      </c>
      <c r="I676" t="n">
        <v>39.4</v>
      </c>
      <c r="J676" s="4" t="n">
        <v>7</v>
      </c>
      <c r="K676" t="inlineStr">
        <is>
          <t>1 / 6</t>
        </is>
      </c>
      <c r="L676" t="inlineStr">
        <is>
          <t>1 / 5</t>
        </is>
      </c>
      <c r="M676" s="5" t="n">
        <v>0.14</v>
      </c>
      <c r="N676" s="5" t="n">
        <v>0.17</v>
      </c>
    </row>
    <row r="677">
      <c r="A677" t="n">
        <v>676</v>
      </c>
      <c r="B677" t="n">
        <v>2012</v>
      </c>
      <c r="C677" t="inlineStr">
        <is>
          <t>Naomi Lau</t>
        </is>
      </c>
      <c r="D677">
        <f>HYPERLINK("https://ota.tournamentsoftware.com/player-profile/0A97F4BF-4260-46FD-AB50-BFA06A31A239", "Link")</f>
        <v/>
      </c>
      <c r="E677" s="3" t="n">
        <v>24.089</v>
      </c>
      <c r="F677" s="4" t="n">
        <v>2</v>
      </c>
      <c r="G677" t="inlineStr">
        <is>
          <t>Ontario Tennis Association</t>
        </is>
      </c>
      <c r="H677" t="inlineStr">
        <is>
          <t>Central Tennis Club</t>
        </is>
      </c>
      <c r="I677" t="n">
        <v>37.2</v>
      </c>
      <c r="J677" s="4" t="n">
        <v>32</v>
      </c>
      <c r="K677" t="inlineStr">
        <is>
          <t>12 / 20</t>
        </is>
      </c>
      <c r="L677" t="inlineStr">
        <is>
          <t>6 / 6</t>
        </is>
      </c>
      <c r="M677" s="5" t="n">
        <v>0.38</v>
      </c>
      <c r="N677" s="5" t="n">
        <v>0.5</v>
      </c>
    </row>
    <row r="678">
      <c r="A678" t="n">
        <v>677</v>
      </c>
      <c r="B678" t="n">
        <v>2016</v>
      </c>
      <c r="C678" t="inlineStr">
        <is>
          <t>Hayley Bryce</t>
        </is>
      </c>
      <c r="D678">
        <f>HYPERLINK("https://ota.tournamentsoftware.com/player-profile/B433F420-A779-4270-B32A-8DE5FF43BD05", "Link")</f>
        <v/>
      </c>
      <c r="E678" s="3" t="n">
        <v>23.731</v>
      </c>
      <c r="F678" s="4" t="n">
        <v>8</v>
      </c>
      <c r="G678" t="inlineStr">
        <is>
          <t>Ontario Tennis Association</t>
        </is>
      </c>
      <c r="H678" t="inlineStr">
        <is>
          <t>SmartVMC Racquetsports by ACE</t>
        </is>
      </c>
      <c r="I678" t="inlineStr">
        <is>
          <t>unavailable</t>
        </is>
      </c>
      <c r="J678" s="4" t="n">
        <v>69</v>
      </c>
      <c r="K678" t="inlineStr">
        <is>
          <t>29 / 40</t>
        </is>
      </c>
      <c r="L678" t="inlineStr">
        <is>
          <t>12 / 18</t>
        </is>
      </c>
      <c r="M678" s="5" t="n">
        <v>0.42</v>
      </c>
      <c r="N678" s="5" t="n">
        <v>0.4</v>
      </c>
    </row>
    <row r="679">
      <c r="A679" t="n">
        <v>678</v>
      </c>
      <c r="B679" t="n">
        <v>2015</v>
      </c>
      <c r="C679" t="inlineStr">
        <is>
          <t>Diana Troitska</t>
        </is>
      </c>
      <c r="D679">
        <f>HYPERLINK("https://ota.tournamentsoftware.com/player-profile/6F22C01B-A1B6-4624-8606-C4D0FEB24026", "Link")</f>
        <v/>
      </c>
      <c r="E679" s="3" t="n">
        <v>23.546</v>
      </c>
      <c r="F679" s="4" t="n">
        <v>2</v>
      </c>
      <c r="G679" t="inlineStr">
        <is>
          <t>Tennis Québec</t>
        </is>
      </c>
      <c r="H679" t="inlineStr">
        <is>
          <t>No Club</t>
        </is>
      </c>
      <c r="I679" t="inlineStr">
        <is>
          <t>unavailable</t>
        </is>
      </c>
      <c r="J679" s="4" t="n">
        <v>13</v>
      </c>
      <c r="K679" t="inlineStr">
        <is>
          <t>2 / 11</t>
        </is>
      </c>
      <c r="L679" t="inlineStr">
        <is>
          <t>0 / 1</t>
        </is>
      </c>
      <c r="M679" s="5" t="n">
        <v>0.15</v>
      </c>
      <c r="N679" s="5" t="n">
        <v>0</v>
      </c>
    </row>
    <row r="680">
      <c r="A680" t="n">
        <v>679</v>
      </c>
      <c r="B680" t="n">
        <v>2012</v>
      </c>
      <c r="C680" t="inlineStr">
        <is>
          <t>Nika Yaghoubi</t>
        </is>
      </c>
      <c r="D680">
        <f>HYPERLINK("https://ota.tournamentsoftware.com/player-profile/D6970753-702D-4123-8798-708EAC6B7E32", "Link")</f>
        <v/>
      </c>
      <c r="E680" s="3" t="n">
        <v>23.448</v>
      </c>
      <c r="F680" s="4" t="n">
        <v>2</v>
      </c>
      <c r="G680" t="inlineStr">
        <is>
          <t>Tennis Alberta</t>
        </is>
      </c>
      <c r="H680" t="inlineStr">
        <is>
          <t>Saville Community Sports Centre</t>
        </is>
      </c>
      <c r="I680" t="n">
        <v>35.1</v>
      </c>
      <c r="J680" s="4" t="n">
        <v>12</v>
      </c>
      <c r="K680" t="inlineStr">
        <is>
          <t>6 / 6</t>
        </is>
      </c>
      <c r="L680" t="inlineStr">
        <is>
          <t>6 / 6</t>
        </is>
      </c>
      <c r="M680" s="5" t="n">
        <v>0.5</v>
      </c>
      <c r="N680" s="5" t="n">
        <v>0.5</v>
      </c>
    </row>
    <row r="681">
      <c r="A681" t="n">
        <v>679</v>
      </c>
      <c r="B681" t="n">
        <v>2012</v>
      </c>
      <c r="C681" t="inlineStr">
        <is>
          <t>Erica Amy Els</t>
        </is>
      </c>
      <c r="D681">
        <f>HYPERLINK("https://ota.tournamentsoftware.com/player-profile/2D6CC49A-BAE5-4768-9244-8FB4F1D2CABC", "Link")</f>
        <v/>
      </c>
      <c r="E681" s="3" t="n">
        <v>23.448</v>
      </c>
      <c r="F681" s="4" t="n">
        <v>4</v>
      </c>
      <c r="G681" t="inlineStr">
        <is>
          <t>Tennis Alberta</t>
        </is>
      </c>
      <c r="H681" t="inlineStr">
        <is>
          <t>No Club</t>
        </is>
      </c>
      <c r="I681" t="n">
        <v>38.7</v>
      </c>
      <c r="J681" s="4" t="n">
        <v>7</v>
      </c>
      <c r="K681" t="inlineStr">
        <is>
          <t>1 / 6</t>
        </is>
      </c>
      <c r="L681" t="inlineStr">
        <is>
          <t>1 / 6</t>
        </is>
      </c>
      <c r="M681" s="5" t="n">
        <v>0.14</v>
      </c>
      <c r="N681" s="5" t="n">
        <v>0.14</v>
      </c>
    </row>
    <row r="682">
      <c r="A682" t="n">
        <v>681</v>
      </c>
      <c r="B682" t="n">
        <v>2015</v>
      </c>
      <c r="C682" t="inlineStr">
        <is>
          <t>Allegra Gill</t>
        </is>
      </c>
      <c r="D682">
        <f>HYPERLINK("https://ota.tournamentsoftware.com/player-profile/74E5B02E-036C-4D6F-B122-5C8FEF79A927", "Link")</f>
        <v/>
      </c>
      <c r="E682" s="3" t="n">
        <v>23.443</v>
      </c>
      <c r="F682" s="4" t="n">
        <v>3</v>
      </c>
      <c r="G682" t="inlineStr">
        <is>
          <t>Ontario Tennis Association</t>
        </is>
      </c>
      <c r="H682" t="inlineStr">
        <is>
          <t>Zekelman Tennis Centre</t>
        </is>
      </c>
      <c r="I682" t="n">
        <v>38</v>
      </c>
      <c r="J682" s="4" t="n">
        <v>88</v>
      </c>
      <c r="K682" t="inlineStr">
        <is>
          <t>14 / 74</t>
        </is>
      </c>
      <c r="L682" t="inlineStr">
        <is>
          <t>7 / 12</t>
        </is>
      </c>
      <c r="M682" s="5" t="n">
        <v>0.16</v>
      </c>
      <c r="N682" s="5" t="n">
        <v>0.37</v>
      </c>
    </row>
    <row r="683">
      <c r="A683" t="n">
        <v>682</v>
      </c>
      <c r="B683" t="n">
        <v>2015</v>
      </c>
      <c r="C683" t="inlineStr">
        <is>
          <t>Cassia Contreras</t>
        </is>
      </c>
      <c r="D683">
        <f>HYPERLINK("https://ota.tournamentsoftware.com/player-profile/84692E6B-274F-4FC9-9179-D4BC6F34FCEE", "Link")</f>
        <v/>
      </c>
      <c r="E683" s="3" t="n">
        <v>23.208</v>
      </c>
      <c r="F683" s="4" t="n">
        <v>4</v>
      </c>
      <c r="G683" t="inlineStr">
        <is>
          <t>Ontario Tennis Association</t>
        </is>
      </c>
      <c r="H683" t="inlineStr">
        <is>
          <t>Toronto Tennis Academy</t>
        </is>
      </c>
      <c r="I683" t="inlineStr">
        <is>
          <t>unavailable</t>
        </is>
      </c>
      <c r="J683" s="4" t="n">
        <v>50</v>
      </c>
      <c r="K683" t="inlineStr">
        <is>
          <t>18 / 32</t>
        </is>
      </c>
      <c r="L683" t="inlineStr">
        <is>
          <t>5 / 7</t>
        </is>
      </c>
      <c r="M683" s="5" t="n">
        <v>0.36</v>
      </c>
      <c r="N683" s="5" t="n">
        <v>0.42</v>
      </c>
    </row>
    <row r="684">
      <c r="A684" t="n">
        <v>683</v>
      </c>
      <c r="B684" t="n">
        <v>2015</v>
      </c>
      <c r="C684" t="inlineStr">
        <is>
          <t>Margot Couture</t>
        </is>
      </c>
      <c r="D684">
        <f>HYPERLINK("https://ota.tournamentsoftware.com/player-profile/7DE265DB-E3E6-4C4E-90BD-199DB99DCAEB", "Link")</f>
        <v/>
      </c>
      <c r="E684" s="3" t="n">
        <v>23.186</v>
      </c>
      <c r="F684" s="4" t="n">
        <v>5</v>
      </c>
      <c r="G684" t="inlineStr">
        <is>
          <t>Tennis Québec</t>
        </is>
      </c>
      <c r="H684" t="inlineStr">
        <is>
          <t>SANI Sport</t>
        </is>
      </c>
      <c r="I684" t="n">
        <v>38.1</v>
      </c>
      <c r="J684" s="4" t="n">
        <v>27</v>
      </c>
      <c r="K684" t="inlineStr">
        <is>
          <t>7 / 20</t>
        </is>
      </c>
      <c r="L684" t="inlineStr">
        <is>
          <t>2 / 5</t>
        </is>
      </c>
      <c r="M684" s="5" t="n">
        <v>0.26</v>
      </c>
      <c r="N684" s="5" t="n">
        <v>0.29</v>
      </c>
    </row>
    <row r="685">
      <c r="A685" t="n">
        <v>684</v>
      </c>
      <c r="B685" t="n">
        <v>2015</v>
      </c>
      <c r="C685" t="inlineStr">
        <is>
          <t>Eliana Green</t>
        </is>
      </c>
      <c r="D685">
        <f>HYPERLINK("https://ota.tournamentsoftware.com/player-profile/6AF8FC12-BD58-4E7C-B446-1CAAB9ADE85D", "Link")</f>
        <v/>
      </c>
      <c r="E685" s="3" t="n">
        <v>23.112</v>
      </c>
      <c r="F685" s="4" t="n">
        <v>1</v>
      </c>
      <c r="G685" t="inlineStr">
        <is>
          <t>Tennis Saskatchewan</t>
        </is>
      </c>
      <c r="H685" t="inlineStr">
        <is>
          <t>Lakeshore Tennis Club</t>
        </is>
      </c>
      <c r="I685" t="n">
        <v>36.7</v>
      </c>
      <c r="J685" s="4" t="n">
        <v>30</v>
      </c>
      <c r="K685" t="inlineStr">
        <is>
          <t>5 / 25</t>
        </is>
      </c>
      <c r="L685" t="inlineStr">
        <is>
          <t>2 / 2</t>
        </is>
      </c>
      <c r="M685" s="5" t="n">
        <v>0.17</v>
      </c>
      <c r="N685" s="5" t="n">
        <v>0.5</v>
      </c>
    </row>
    <row r="686">
      <c r="A686" t="n">
        <v>685</v>
      </c>
      <c r="B686" t="n">
        <v>2014</v>
      </c>
      <c r="C686" t="inlineStr">
        <is>
          <t>Dina Chakri</t>
        </is>
      </c>
      <c r="D686">
        <f>HYPERLINK("https://ota.tournamentsoftware.com/player-profile/8824FD85-93E3-4F7D-8968-FC836D77769D", "Link")</f>
        <v/>
      </c>
      <c r="E686" s="3" t="n">
        <v>22.953</v>
      </c>
      <c r="F686" s="4" t="n">
        <v>7</v>
      </c>
      <c r="G686" t="inlineStr">
        <is>
          <t>Tennis Québec</t>
        </is>
      </c>
      <c r="H686" t="inlineStr">
        <is>
          <t>Tennis 13</t>
        </is>
      </c>
      <c r="I686" t="n">
        <v>38.9</v>
      </c>
      <c r="J686" s="4" t="n">
        <v>10</v>
      </c>
      <c r="K686" t="inlineStr">
        <is>
          <t>2 / 8</t>
        </is>
      </c>
      <c r="L686" t="inlineStr">
        <is>
          <t>2 / 8</t>
        </is>
      </c>
      <c r="M686" s="5" t="n">
        <v>0.2</v>
      </c>
      <c r="N686" s="5" t="n">
        <v>0.2</v>
      </c>
    </row>
    <row r="687">
      <c r="A687" t="n">
        <v>686</v>
      </c>
      <c r="B687" t="n">
        <v>2014</v>
      </c>
      <c r="C687" t="inlineStr">
        <is>
          <t>Jasmine El Ouadi</t>
        </is>
      </c>
      <c r="D687">
        <f>HYPERLINK("https://ota.tournamentsoftware.com/player-profile/FBECFAB6-3ABF-4F1B-AD1C-230CB79A1119", "Link")</f>
        <v/>
      </c>
      <c r="E687" s="3" t="n">
        <v>22.903</v>
      </c>
      <c r="F687" s="4" t="n">
        <v>6</v>
      </c>
      <c r="G687" t="inlineStr">
        <is>
          <t>Tennis Alberta</t>
        </is>
      </c>
      <c r="H687" t="inlineStr">
        <is>
          <t>Calgary - Public</t>
        </is>
      </c>
      <c r="I687" t="n">
        <v>40</v>
      </c>
      <c r="J687" s="4" t="n">
        <v>11</v>
      </c>
      <c r="K687" t="inlineStr">
        <is>
          <t>0 / 11</t>
        </is>
      </c>
      <c r="L687" t="inlineStr">
        <is>
          <t>0 / 3</t>
        </is>
      </c>
      <c r="M687" s="5" t="n">
        <v>0</v>
      </c>
      <c r="N687" s="5" t="n">
        <v>0</v>
      </c>
    </row>
    <row r="688">
      <c r="A688" t="n">
        <v>687</v>
      </c>
      <c r="B688" t="n">
        <v>2016</v>
      </c>
      <c r="C688" t="inlineStr">
        <is>
          <t>Emma Yu</t>
        </is>
      </c>
      <c r="D688">
        <f>HYPERLINK("https://ota.tournamentsoftware.com/player-profile/08E91FF6-D5E8-42FC-9B0D-2002B0263706", "Link")</f>
        <v/>
      </c>
      <c r="E688" s="3" t="n">
        <v>22.896</v>
      </c>
      <c r="F688" s="4" t="n">
        <v>4</v>
      </c>
      <c r="G688" t="inlineStr">
        <is>
          <t>Tennis Nova Scotia</t>
        </is>
      </c>
      <c r="H688" t="inlineStr">
        <is>
          <t>Atlantic Tennis Centre</t>
        </is>
      </c>
      <c r="I688" t="n">
        <v>36.2</v>
      </c>
      <c r="J688" s="4" t="n">
        <v>35</v>
      </c>
      <c r="K688" t="inlineStr">
        <is>
          <t>19 / 16</t>
        </is>
      </c>
      <c r="L688" t="inlineStr">
        <is>
          <t>11 / 5</t>
        </is>
      </c>
      <c r="M688" s="5" t="n">
        <v>0.54</v>
      </c>
      <c r="N688" s="5" t="n">
        <v>0.6899999999999999</v>
      </c>
    </row>
    <row r="689">
      <c r="A689" t="n">
        <v>688</v>
      </c>
      <c r="B689" t="n">
        <v>2013</v>
      </c>
      <c r="C689" t="inlineStr">
        <is>
          <t>Mariya Fedchyshyna</t>
        </is>
      </c>
      <c r="D689">
        <f>HYPERLINK("https://ota.tournamentsoftware.com/player-profile/5A64317A-A412-4DEB-A68D-94CE45EAE2DD", "Link")</f>
        <v/>
      </c>
      <c r="E689" s="3" t="n">
        <v>22.696</v>
      </c>
      <c r="F689" s="4" t="n">
        <v>2</v>
      </c>
      <c r="G689" t="inlineStr">
        <is>
          <t>British Columbia</t>
        </is>
      </c>
      <c r="H689" t="inlineStr">
        <is>
          <t>Oak Bay Recreation Centre</t>
        </is>
      </c>
      <c r="I689" t="inlineStr">
        <is>
          <t>unavailable</t>
        </is>
      </c>
      <c r="J689" s="4" t="n">
        <v>7</v>
      </c>
      <c r="K689" t="inlineStr">
        <is>
          <t>1 / 6</t>
        </is>
      </c>
      <c r="L689" t="inlineStr">
        <is>
          <t>1 / 4</t>
        </is>
      </c>
      <c r="M689" s="5" t="n">
        <v>0.14</v>
      </c>
      <c r="N689" s="5" t="n">
        <v>0.2</v>
      </c>
    </row>
    <row r="690">
      <c r="A690" t="n">
        <v>689</v>
      </c>
      <c r="B690" t="n">
        <v>2015</v>
      </c>
      <c r="C690" t="inlineStr">
        <is>
          <t>Laila Hilmi</t>
        </is>
      </c>
      <c r="D690">
        <f>HYPERLINK("https://ota.tournamentsoftware.com/player-profile/73A707F1-78B1-45FE-A608-D2E6AA82EA8F", "Link")</f>
        <v/>
      </c>
      <c r="E690" s="3" t="n">
        <v>22.595</v>
      </c>
      <c r="F690" s="4" t="n">
        <v>3</v>
      </c>
      <c r="G690" t="inlineStr">
        <is>
          <t>Tennis Québec</t>
        </is>
      </c>
      <c r="H690" t="inlineStr">
        <is>
          <t>Tennis Montréal Excellence</t>
        </is>
      </c>
      <c r="I690" t="inlineStr">
        <is>
          <t>unavailable</t>
        </is>
      </c>
      <c r="J690" s="4" t="n">
        <v>46</v>
      </c>
      <c r="K690" t="inlineStr">
        <is>
          <t>13 / 33</t>
        </is>
      </c>
      <c r="L690" t="inlineStr">
        <is>
          <t>4 / 3</t>
        </is>
      </c>
      <c r="M690" s="5" t="n">
        <v>0.28</v>
      </c>
      <c r="N690" s="5" t="n">
        <v>0.57</v>
      </c>
    </row>
    <row r="691">
      <c r="A691" t="n">
        <v>690</v>
      </c>
      <c r="B691" t="n">
        <v>2012</v>
      </c>
      <c r="C691" t="inlineStr">
        <is>
          <t>Ruike Ni</t>
        </is>
      </c>
      <c r="D691">
        <f>HYPERLINK("https://ota.tournamentsoftware.com/player-profile/862000EB-CE8E-4CA2-BA1E-5441407CA2E5", "Link")</f>
        <v/>
      </c>
      <c r="E691" s="3" t="n">
        <v>22.464</v>
      </c>
      <c r="F691" s="4" t="n">
        <v>2</v>
      </c>
      <c r="G691" t="inlineStr">
        <is>
          <t>British Columbia</t>
        </is>
      </c>
      <c r="H691" t="inlineStr">
        <is>
          <t>Tennis for Life</t>
        </is>
      </c>
      <c r="I691" t="n">
        <v>38.4</v>
      </c>
      <c r="J691" s="4" t="n">
        <v>7</v>
      </c>
      <c r="K691" t="inlineStr">
        <is>
          <t>2 / 5</t>
        </is>
      </c>
      <c r="L691" t="inlineStr">
        <is>
          <t>0 / 2</t>
        </is>
      </c>
      <c r="M691" s="5" t="n">
        <v>0.29</v>
      </c>
      <c r="N691" s="5" t="n">
        <v>0</v>
      </c>
    </row>
    <row r="692">
      <c r="A692" t="n">
        <v>691</v>
      </c>
      <c r="B692" t="n">
        <v>2014</v>
      </c>
      <c r="C692" t="inlineStr">
        <is>
          <t>Baani Kaur Saini</t>
        </is>
      </c>
      <c r="D692">
        <f>HYPERLINK("https://ota.tournamentsoftware.com/player-profile/F8A85050-87CB-4D78-BB4D-4D11F0D18229", "Link")</f>
        <v/>
      </c>
      <c r="E692" s="3" t="n">
        <v>22.434</v>
      </c>
      <c r="F692" s="4" t="n">
        <v>3</v>
      </c>
      <c r="G692" t="inlineStr">
        <is>
          <t>Ontario Tennis Association</t>
        </is>
      </c>
      <c r="H692" t="inlineStr">
        <is>
          <t>Bramalea Tennis Club</t>
        </is>
      </c>
      <c r="I692" t="n">
        <v>39.2</v>
      </c>
      <c r="J692" s="4" t="n">
        <v>5</v>
      </c>
      <c r="K692" t="inlineStr">
        <is>
          <t>0 / 5</t>
        </is>
      </c>
      <c r="L692" t="inlineStr">
        <is>
          <t>0 / 0</t>
        </is>
      </c>
      <c r="M692" s="5" t="n">
        <v>0</v>
      </c>
      <c r="N692" s="5" t="n">
        <v>0</v>
      </c>
    </row>
    <row r="693">
      <c r="A693" t="n">
        <v>692</v>
      </c>
      <c r="B693" t="n">
        <v>2014</v>
      </c>
      <c r="C693" t="inlineStr">
        <is>
          <t>Ariella Naomi Shegelman</t>
        </is>
      </c>
      <c r="D693">
        <f>HYPERLINK("https://ota.tournamentsoftware.com/player-profile/F4A076BF-B4C6-4301-B22A-3E13FD483AD5", "Link")</f>
        <v/>
      </c>
      <c r="E693" s="3" t="n">
        <v>22.405</v>
      </c>
      <c r="F693" s="4" t="n">
        <v>3</v>
      </c>
      <c r="G693" t="inlineStr">
        <is>
          <t>Ontario Tennis Association</t>
        </is>
      </c>
      <c r="H693" t="inlineStr">
        <is>
          <t>Concord Tennis Academy</t>
        </is>
      </c>
      <c r="I693" t="n">
        <v>35.9</v>
      </c>
      <c r="J693" s="4" t="n">
        <v>28</v>
      </c>
      <c r="K693" t="inlineStr">
        <is>
          <t>14 / 14</t>
        </is>
      </c>
      <c r="L693" t="inlineStr">
        <is>
          <t>4 / 4</t>
        </is>
      </c>
      <c r="M693" s="5" t="n">
        <v>0.5</v>
      </c>
      <c r="N693" s="5" t="n">
        <v>0.5</v>
      </c>
    </row>
    <row r="694">
      <c r="A694" t="n">
        <v>693</v>
      </c>
      <c r="B694" t="n">
        <v>2013</v>
      </c>
      <c r="C694" t="inlineStr">
        <is>
          <t>Meryem Besri Besri</t>
        </is>
      </c>
      <c r="D694">
        <f>HYPERLINK("https://ota.tournamentsoftware.com/player-profile/24E638E5-93ED-46F3-95E6-F944EA4EAAE7", "Link")</f>
        <v/>
      </c>
      <c r="E694" s="3" t="n">
        <v>22.377</v>
      </c>
      <c r="F694" s="4" t="n">
        <v>2</v>
      </c>
      <c r="G694" t="inlineStr">
        <is>
          <t>Tennis Alberta</t>
        </is>
      </c>
      <c r="H694" t="inlineStr">
        <is>
          <t>Calgary - Public</t>
        </is>
      </c>
      <c r="I694" t="n">
        <v>33.8</v>
      </c>
      <c r="J694" s="4" t="n">
        <v>3</v>
      </c>
      <c r="K694" t="inlineStr">
        <is>
          <t>1 / 2</t>
        </is>
      </c>
      <c r="L694" t="inlineStr">
        <is>
          <t>1 / 2</t>
        </is>
      </c>
      <c r="M694" s="5" t="n">
        <v>0.33</v>
      </c>
      <c r="N694" s="5" t="n">
        <v>0.33</v>
      </c>
    </row>
    <row r="695">
      <c r="A695" t="n">
        <v>694</v>
      </c>
      <c r="B695" t="n">
        <v>2014</v>
      </c>
      <c r="C695" t="inlineStr">
        <is>
          <t>Mila Khayretdinova</t>
        </is>
      </c>
      <c r="D695">
        <f>HYPERLINK("https://ota.tournamentsoftware.com/player-profile/04DE0A72-CDB6-4637-88E8-378348327654", "Link")</f>
        <v/>
      </c>
      <c r="E695" s="3" t="n">
        <v>22.302</v>
      </c>
      <c r="F695" s="4" t="n">
        <v>6</v>
      </c>
      <c r="G695" t="inlineStr">
        <is>
          <t>Tennis Québec</t>
        </is>
      </c>
      <c r="H695" t="inlineStr">
        <is>
          <t>No Club</t>
        </is>
      </c>
      <c r="I695" t="n">
        <v>39.2</v>
      </c>
      <c r="J695" s="4" t="n">
        <v>40</v>
      </c>
      <c r="K695" t="inlineStr">
        <is>
          <t>3 / 37</t>
        </is>
      </c>
      <c r="L695" t="inlineStr">
        <is>
          <t>3 / 5</t>
        </is>
      </c>
      <c r="M695" s="5" t="n">
        <v>0.07000000000000001</v>
      </c>
      <c r="N695" s="5" t="n">
        <v>0.38</v>
      </c>
    </row>
    <row r="696">
      <c r="A696" t="n">
        <v>695</v>
      </c>
      <c r="B696" t="n">
        <v>2014</v>
      </c>
      <c r="C696" t="inlineStr">
        <is>
          <t>Camila Danielle Arias</t>
        </is>
      </c>
      <c r="D696">
        <f>HYPERLINK("https://ota.tournamentsoftware.com/player-profile/7E2B5B8F-95C7-4374-8F7F-D60E81CAB657", "Link")</f>
        <v/>
      </c>
      <c r="E696" s="3" t="n">
        <v>21.537</v>
      </c>
      <c r="F696" s="4" t="n">
        <v>6</v>
      </c>
      <c r="G696" t="inlineStr">
        <is>
          <t>Tennis Québec</t>
        </is>
      </c>
      <c r="H696" t="inlineStr">
        <is>
          <t>SANI Sport</t>
        </is>
      </c>
      <c r="I696" t="inlineStr">
        <is>
          <t>unavailable</t>
        </is>
      </c>
      <c r="J696" s="4" t="n">
        <v>40</v>
      </c>
      <c r="K696" t="inlineStr">
        <is>
          <t>13 / 27</t>
        </is>
      </c>
      <c r="L696" t="inlineStr">
        <is>
          <t>4 / 4</t>
        </is>
      </c>
      <c r="M696" s="5" t="n">
        <v>0.33</v>
      </c>
      <c r="N696" s="5" t="n">
        <v>0.5</v>
      </c>
    </row>
    <row r="697">
      <c r="A697" t="n">
        <v>696</v>
      </c>
      <c r="B697" t="n">
        <v>2015</v>
      </c>
      <c r="C697" t="inlineStr">
        <is>
          <t>Élisa Deschatelets</t>
        </is>
      </c>
      <c r="D697">
        <f>HYPERLINK("https://ota.tournamentsoftware.com/player-profile/C5ECD0AF-5510-44E4-897A-6A3A4D73CDEF", "Link")</f>
        <v/>
      </c>
      <c r="E697" s="3" t="n">
        <v>21.501</v>
      </c>
      <c r="F697" s="4" t="n">
        <v>4</v>
      </c>
      <c r="G697" t="inlineStr">
        <is>
          <t>Tennis Québec</t>
        </is>
      </c>
      <c r="H697" t="inlineStr">
        <is>
          <t>Centre Récréatif Rock Forest / École Tennestrie</t>
        </is>
      </c>
      <c r="I697" t="n">
        <v>40</v>
      </c>
      <c r="J697" s="4" t="n">
        <v>25</v>
      </c>
      <c r="K697" t="inlineStr">
        <is>
          <t>4 / 21</t>
        </is>
      </c>
      <c r="L697" t="inlineStr">
        <is>
          <t>0 / 7</t>
        </is>
      </c>
      <c r="M697" s="5" t="n">
        <v>0.16</v>
      </c>
      <c r="N697" s="5" t="n">
        <v>0</v>
      </c>
    </row>
    <row r="698">
      <c r="A698" t="n">
        <v>697</v>
      </c>
      <c r="B698" t="n">
        <v>2015</v>
      </c>
      <c r="C698" t="inlineStr">
        <is>
          <t>Tara Sepahsalari</t>
        </is>
      </c>
      <c r="D698">
        <f>HYPERLINK("https://ota.tournamentsoftware.com/player-profile/EB26731B-07C8-4C3E-8214-7DD265D4A843", "Link")</f>
        <v/>
      </c>
      <c r="E698" s="3" t="n">
        <v>21.226</v>
      </c>
      <c r="F698" s="4" t="n">
        <v>5</v>
      </c>
      <c r="G698" t="inlineStr">
        <is>
          <t>Tennis Québec</t>
        </is>
      </c>
      <c r="H698" t="inlineStr">
        <is>
          <t>EB Tennis inc.</t>
        </is>
      </c>
      <c r="I698" t="n">
        <v>40</v>
      </c>
      <c r="J698" s="4" t="n">
        <v>33</v>
      </c>
      <c r="K698" t="inlineStr">
        <is>
          <t>5 / 28</t>
        </is>
      </c>
      <c r="L698" t="inlineStr">
        <is>
          <t>1 / 8</t>
        </is>
      </c>
      <c r="M698" s="5" t="n">
        <v>0.15</v>
      </c>
      <c r="N698" s="5" t="n">
        <v>0.11</v>
      </c>
    </row>
    <row r="699">
      <c r="A699" t="n">
        <v>698</v>
      </c>
      <c r="B699" t="n">
        <v>2013</v>
      </c>
      <c r="C699" t="inlineStr">
        <is>
          <t>Aura Hayer</t>
        </is>
      </c>
      <c r="D699">
        <f>HYPERLINK("https://ota.tournamentsoftware.com/player-profile/969F22DA-6980-4E13-BAE2-6BD2D0C08F88", "Link")</f>
        <v/>
      </c>
      <c r="E699" s="3" t="n">
        <v>20.931</v>
      </c>
      <c r="F699" s="4" t="n">
        <v>4</v>
      </c>
      <c r="G699" t="inlineStr">
        <is>
          <t>British Columbia</t>
        </is>
      </c>
      <c r="H699" t="inlineStr">
        <is>
          <t>Sunshine Hills Tennis Club</t>
        </is>
      </c>
      <c r="I699" t="n">
        <v>38.5</v>
      </c>
      <c r="J699" s="4" t="n">
        <v>103</v>
      </c>
      <c r="K699" t="inlineStr">
        <is>
          <t>32 / 71</t>
        </is>
      </c>
      <c r="L699" t="inlineStr">
        <is>
          <t>2 / 5</t>
        </is>
      </c>
      <c r="M699" s="5" t="n">
        <v>0.31</v>
      </c>
      <c r="N699" s="5" t="n">
        <v>0.29</v>
      </c>
    </row>
    <row r="700">
      <c r="A700" t="n">
        <v>699</v>
      </c>
      <c r="B700" t="n">
        <v>2014</v>
      </c>
      <c r="C700" t="inlineStr">
        <is>
          <t>Mila Levac</t>
        </is>
      </c>
      <c r="D700">
        <f>HYPERLINK("https://ota.tournamentsoftware.com/player-profile/7F793D8E-41D7-4B70-87B7-9D30B32ED35F", "Link")</f>
        <v/>
      </c>
      <c r="E700" s="3" t="n">
        <v>20.827</v>
      </c>
      <c r="F700" s="4" t="n">
        <v>3</v>
      </c>
      <c r="G700" t="inlineStr">
        <is>
          <t>Ontario Tennis Association</t>
        </is>
      </c>
      <c r="H700" t="inlineStr">
        <is>
          <t>Rideau Sports Centre</t>
        </is>
      </c>
      <c r="I700" t="n">
        <v>39.2</v>
      </c>
      <c r="J700" s="4" t="n">
        <v>74</v>
      </c>
      <c r="K700" t="inlineStr">
        <is>
          <t>13 / 61</t>
        </is>
      </c>
      <c r="L700" t="inlineStr">
        <is>
          <t>0 / 3</t>
        </is>
      </c>
      <c r="M700" s="5" t="n">
        <v>0.18</v>
      </c>
      <c r="N700" s="5" t="n">
        <v>0</v>
      </c>
    </row>
    <row r="701">
      <c r="A701" t="n">
        <v>700</v>
      </c>
      <c r="B701" t="n">
        <v>2014</v>
      </c>
      <c r="C701" t="inlineStr">
        <is>
          <t>Adele Cui</t>
        </is>
      </c>
      <c r="D701">
        <f>HYPERLINK("https://ota.tournamentsoftware.com/player-profile/E096F094-0386-4439-807E-E147F97C754F", "Link")</f>
        <v/>
      </c>
      <c r="E701" s="3" t="n">
        <v>20.768</v>
      </c>
      <c r="F701" s="4" t="n">
        <v>6</v>
      </c>
      <c r="G701" t="inlineStr">
        <is>
          <t>British Columbia</t>
        </is>
      </c>
      <c r="H701" t="inlineStr">
        <is>
          <t>UBC Tennis Centre</t>
        </is>
      </c>
      <c r="I701" t="n">
        <v>35.8</v>
      </c>
      <c r="J701" s="4" t="n">
        <v>80</v>
      </c>
      <c r="K701" t="inlineStr">
        <is>
          <t>46 / 34</t>
        </is>
      </c>
      <c r="L701" t="inlineStr">
        <is>
          <t>1 / 4</t>
        </is>
      </c>
      <c r="M701" s="5" t="n">
        <v>0.57</v>
      </c>
      <c r="N701" s="5" t="n">
        <v>0.2</v>
      </c>
    </row>
    <row r="702">
      <c r="A702" t="n">
        <v>701</v>
      </c>
      <c r="B702" t="n">
        <v>2013</v>
      </c>
      <c r="C702" t="inlineStr">
        <is>
          <t>Vedika P Sant</t>
        </is>
      </c>
      <c r="D702">
        <f>HYPERLINK("https://ota.tournamentsoftware.com/player-profile/37441797-5F95-4518-997F-3F1602AC6E85", "Link")</f>
        <v/>
      </c>
      <c r="E702" s="3" t="n">
        <v>20.667</v>
      </c>
      <c r="F702" s="4" t="n">
        <v>1</v>
      </c>
      <c r="G702" t="inlineStr">
        <is>
          <t>Ontario Tennis Association</t>
        </is>
      </c>
      <c r="H702" t="inlineStr">
        <is>
          <t>Martingrove Tennis Club</t>
        </is>
      </c>
      <c r="I702" t="inlineStr">
        <is>
          <t>unavailable</t>
        </is>
      </c>
      <c r="J702" s="4" t="n">
        <v>8</v>
      </c>
      <c r="K702" t="inlineStr">
        <is>
          <t>2 / 6</t>
        </is>
      </c>
      <c r="L702" t="inlineStr">
        <is>
          <t>0 / 1</t>
        </is>
      </c>
      <c r="M702" s="5" t="n">
        <v>0.25</v>
      </c>
      <c r="N702" s="5" t="n">
        <v>0</v>
      </c>
    </row>
    <row r="703">
      <c r="A703" t="n">
        <v>702</v>
      </c>
      <c r="B703" t="n">
        <v>2013</v>
      </c>
      <c r="C703" t="inlineStr">
        <is>
          <t>Yujin Cao</t>
        </is>
      </c>
      <c r="D703">
        <f>HYPERLINK("https://ota.tournamentsoftware.com/player-profile/8260D181-2742-4015-AD52-73D66B6FD70A", "Link")</f>
        <v/>
      </c>
      <c r="E703" s="3" t="n">
        <v>20.347</v>
      </c>
      <c r="F703" s="4" t="n">
        <v>3</v>
      </c>
      <c r="G703" t="inlineStr">
        <is>
          <t>Tennis Québec</t>
        </is>
      </c>
      <c r="H703" t="inlineStr">
        <is>
          <t>Tennis 13</t>
        </is>
      </c>
      <c r="I703" t="inlineStr">
        <is>
          <t>unavailable</t>
        </is>
      </c>
      <c r="J703" s="4" t="n">
        <v>5</v>
      </c>
      <c r="K703" t="inlineStr">
        <is>
          <t>2 / 3</t>
        </is>
      </c>
      <c r="L703" t="inlineStr">
        <is>
          <t>0 / 1</t>
        </is>
      </c>
      <c r="M703" s="5" t="n">
        <v>0.4</v>
      </c>
      <c r="N703" s="5" t="n">
        <v>0</v>
      </c>
    </row>
    <row r="704">
      <c r="A704" t="n">
        <v>703</v>
      </c>
      <c r="B704" t="n">
        <v>2013</v>
      </c>
      <c r="C704" t="inlineStr">
        <is>
          <t>Rebecca Maria Marcu</t>
        </is>
      </c>
      <c r="D704">
        <f>HYPERLINK("https://ota.tournamentsoftware.com/player-profile/1A9DB997-6193-4975-8534-F68D4F83BF32", "Link")</f>
        <v/>
      </c>
      <c r="E704" s="3" t="n">
        <v>20.131</v>
      </c>
      <c r="F704" s="4" t="n">
        <v>2</v>
      </c>
      <c r="G704" t="inlineStr">
        <is>
          <t>Ontario Tennis Association</t>
        </is>
      </c>
      <c r="H704" t="inlineStr">
        <is>
          <t>National Capital Tennis Association</t>
        </is>
      </c>
      <c r="I704" t="inlineStr">
        <is>
          <t>unavailable</t>
        </is>
      </c>
      <c r="J704" s="4" t="n">
        <v>4</v>
      </c>
      <c r="K704" t="inlineStr">
        <is>
          <t>1 / 3</t>
        </is>
      </c>
      <c r="L704" t="inlineStr">
        <is>
          <t>0 / 2</t>
        </is>
      </c>
      <c r="M704" s="5" t="n">
        <v>0.25</v>
      </c>
      <c r="N704" s="5" t="n">
        <v>0</v>
      </c>
    </row>
    <row r="705">
      <c r="A705" t="n">
        <v>704</v>
      </c>
      <c r="B705" t="n">
        <v>2012</v>
      </c>
      <c r="C705" t="inlineStr">
        <is>
          <t>Emily Chai</t>
        </is>
      </c>
      <c r="D705">
        <f>HYPERLINK("https://ota.tournamentsoftware.com/player-profile/0DE38792-F237-4087-A5C1-369B6A3E0088", "Link")</f>
        <v/>
      </c>
      <c r="E705" s="3" t="n">
        <v>19.958</v>
      </c>
      <c r="F705" s="4" t="n">
        <v>2</v>
      </c>
      <c r="G705" t="inlineStr">
        <is>
          <t>Ontario Tennis Association</t>
        </is>
      </c>
      <c r="H705" t="inlineStr">
        <is>
          <t>ON Tennis Toronto No Club</t>
        </is>
      </c>
      <c r="I705" t="n">
        <v>38.4</v>
      </c>
      <c r="J705" s="4" t="n">
        <v>7</v>
      </c>
      <c r="K705" t="inlineStr">
        <is>
          <t>1 / 6</t>
        </is>
      </c>
      <c r="L705" t="inlineStr">
        <is>
          <t>1 / 6</t>
        </is>
      </c>
      <c r="M705" s="5" t="n">
        <v>0.14</v>
      </c>
      <c r="N705" s="5" t="n">
        <v>0.14</v>
      </c>
    </row>
    <row r="706">
      <c r="A706" t="n">
        <v>705</v>
      </c>
      <c r="B706" t="n">
        <v>2014</v>
      </c>
      <c r="C706" t="inlineStr">
        <is>
          <t>Mia Baker</t>
        </is>
      </c>
      <c r="D706">
        <f>HYPERLINK("https://ota.tournamentsoftware.com/player-profile/ABFF2DBE-5CD7-451A-B77E-526F2DB67DA2", "Link")</f>
        <v/>
      </c>
      <c r="E706" s="3" t="n">
        <v>19.715</v>
      </c>
      <c r="F706" s="4" t="n">
        <v>10</v>
      </c>
      <c r="G706" t="inlineStr">
        <is>
          <t>Tennis Québec</t>
        </is>
      </c>
      <c r="H706" t="inlineStr">
        <is>
          <t>SANI Sport</t>
        </is>
      </c>
      <c r="I706" t="n">
        <v>40</v>
      </c>
      <c r="J706" s="4" t="n">
        <v>57</v>
      </c>
      <c r="K706" t="inlineStr">
        <is>
          <t>2 / 55</t>
        </is>
      </c>
      <c r="L706" t="inlineStr">
        <is>
          <t>0 / 10</t>
        </is>
      </c>
      <c r="M706" s="5" t="n">
        <v>0.04</v>
      </c>
      <c r="N706" s="5" t="n">
        <v>0</v>
      </c>
    </row>
    <row r="707">
      <c r="A707" t="n">
        <v>706</v>
      </c>
      <c r="B707" t="n">
        <v>2014</v>
      </c>
      <c r="C707" t="inlineStr">
        <is>
          <t>Mia Mengchen Sun</t>
        </is>
      </c>
      <c r="D707">
        <f>HYPERLINK("https://ota.tournamentsoftware.com/player-profile/BFD3D157-D2B6-45BF-BE92-CACB69CCC59C", "Link")</f>
        <v/>
      </c>
      <c r="E707" s="3" t="n">
        <v>19.626</v>
      </c>
      <c r="F707" s="4" t="n">
        <v>5</v>
      </c>
      <c r="G707" t="inlineStr">
        <is>
          <t>Ontario Tennis Association</t>
        </is>
      </c>
      <c r="H707" t="inlineStr">
        <is>
          <t>Markham Tennis Club</t>
        </is>
      </c>
      <c r="I707" t="n">
        <v>37.9</v>
      </c>
      <c r="J707" s="4" t="n">
        <v>51</v>
      </c>
      <c r="K707" t="inlineStr">
        <is>
          <t>32 / 19</t>
        </is>
      </c>
      <c r="L707" t="inlineStr">
        <is>
          <t>0 / 0</t>
        </is>
      </c>
      <c r="M707" s="5" t="n">
        <v>0.63</v>
      </c>
      <c r="N707" s="5" t="n">
        <v>0</v>
      </c>
    </row>
    <row r="708">
      <c r="A708" t="n">
        <v>707</v>
      </c>
      <c r="B708" t="n">
        <v>2012</v>
      </c>
      <c r="C708" t="inlineStr">
        <is>
          <t>Leah Lalonde</t>
        </is>
      </c>
      <c r="D708">
        <f>HYPERLINK("https://ota.tournamentsoftware.com/player-profile/00453502-5F0D-45E9-960B-731844BB2EE7", "Link")</f>
        <v/>
      </c>
      <c r="E708" s="3" t="n">
        <v>19.385</v>
      </c>
      <c r="F708" s="4" t="n">
        <v>1</v>
      </c>
      <c r="G708" t="inlineStr">
        <is>
          <t>Ontario Tennis Association</t>
        </is>
      </c>
      <c r="H708" t="inlineStr">
        <is>
          <t>North Bay Tennis Club</t>
        </is>
      </c>
      <c r="I708" t="inlineStr">
        <is>
          <t>unavailable</t>
        </is>
      </c>
      <c r="J708" s="4" t="n">
        <v>79</v>
      </c>
      <c r="K708" t="inlineStr">
        <is>
          <t>47 / 32</t>
        </is>
      </c>
      <c r="L708" t="inlineStr">
        <is>
          <t>0 / 0</t>
        </is>
      </c>
      <c r="M708" s="5" t="n">
        <v>0.59</v>
      </c>
      <c r="N708" s="5" t="n">
        <v>0</v>
      </c>
    </row>
    <row r="709">
      <c r="A709" t="n">
        <v>708</v>
      </c>
      <c r="B709" t="n">
        <v>2014</v>
      </c>
      <c r="C709" t="inlineStr">
        <is>
          <t>Camilia Aroub</t>
        </is>
      </c>
      <c r="D709">
        <f>HYPERLINK("https://ota.tournamentsoftware.com/player-profile/7CE0472D-53F2-438D-B060-8BB037C14F01", "Link")</f>
        <v/>
      </c>
      <c r="E709" s="3" t="n">
        <v>18.866</v>
      </c>
      <c r="F709" s="4" t="n">
        <v>8</v>
      </c>
      <c r="G709" t="inlineStr">
        <is>
          <t>Tennis Québec</t>
        </is>
      </c>
      <c r="H709" t="inlineStr">
        <is>
          <t>Club Sportif Côte-de-Liesse</t>
        </is>
      </c>
      <c r="I709" t="n">
        <v>40</v>
      </c>
      <c r="J709" s="4" t="n">
        <v>16</v>
      </c>
      <c r="K709" t="inlineStr">
        <is>
          <t>2 / 14</t>
        </is>
      </c>
      <c r="L709" t="inlineStr">
        <is>
          <t>2 / 11</t>
        </is>
      </c>
      <c r="M709" s="5" t="n">
        <v>0.12</v>
      </c>
      <c r="N709" s="5" t="n">
        <v>0.15</v>
      </c>
    </row>
    <row r="710">
      <c r="A710" t="n">
        <v>709</v>
      </c>
      <c r="B710" t="n">
        <v>2014</v>
      </c>
      <c r="C710" t="inlineStr">
        <is>
          <t>Olivia V. Jin</t>
        </is>
      </c>
      <c r="D710">
        <f>HYPERLINK("https://ota.tournamentsoftware.com/player-profile/88713252-C9AF-4DC4-B40D-11479A26EE47", "Link")</f>
        <v/>
      </c>
      <c r="E710" s="3" t="n">
        <v>18.821</v>
      </c>
      <c r="F710" s="4" t="n">
        <v>7</v>
      </c>
      <c r="G710" t="inlineStr">
        <is>
          <t>British Columbia</t>
        </is>
      </c>
      <c r="H710" t="inlineStr">
        <is>
          <t>Hollyburn Country Club</t>
        </is>
      </c>
      <c r="I710" t="n">
        <v>36.6</v>
      </c>
      <c r="J710" s="4" t="n">
        <v>81</v>
      </c>
      <c r="K710" t="inlineStr">
        <is>
          <t>23 / 58</t>
        </is>
      </c>
      <c r="L710" t="inlineStr">
        <is>
          <t>3 / 1</t>
        </is>
      </c>
      <c r="M710" s="5" t="n">
        <v>0.28</v>
      </c>
      <c r="N710" s="5" t="n">
        <v>0.75</v>
      </c>
    </row>
    <row r="711">
      <c r="A711" t="n">
        <v>710</v>
      </c>
      <c r="B711" t="n">
        <v>2012</v>
      </c>
      <c r="C711" t="inlineStr">
        <is>
          <t>Maddy Frances Hughes</t>
        </is>
      </c>
      <c r="D711">
        <f>HYPERLINK("https://ota.tournamentsoftware.com/player-profile/78566C46-653E-4667-ADCE-638FA56C318F", "Link")</f>
        <v/>
      </c>
      <c r="E711" s="3" t="n">
        <v>18.771</v>
      </c>
      <c r="F711" s="4" t="n">
        <v>2</v>
      </c>
      <c r="G711" t="inlineStr">
        <is>
          <t>Ontario Tennis Association</t>
        </is>
      </c>
      <c r="H711" t="inlineStr">
        <is>
          <t>Boulevard Club</t>
        </is>
      </c>
      <c r="I711" t="inlineStr">
        <is>
          <t>unavailable</t>
        </is>
      </c>
      <c r="J711" s="4" t="inlineStr"/>
      <c r="K711" t="inlineStr">
        <is>
          <t>unavailable</t>
        </is>
      </c>
      <c r="L711" t="inlineStr">
        <is>
          <t>unavailable</t>
        </is>
      </c>
      <c r="M711" s="5" t="inlineStr"/>
      <c r="N711" s="5" t="inlineStr"/>
    </row>
    <row r="712">
      <c r="A712" t="n">
        <v>711</v>
      </c>
      <c r="B712" t="n">
        <v>2016</v>
      </c>
      <c r="C712" t="inlineStr">
        <is>
          <t>Chloe Garikimukkula</t>
        </is>
      </c>
      <c r="D712">
        <f>HYPERLINK("https://ota.tournamentsoftware.com/player-profile/8B630DA5-F61E-4159-9316-7EA463790908", "Link")</f>
        <v/>
      </c>
      <c r="E712" s="3" t="n">
        <v>18.648</v>
      </c>
      <c r="F712" s="4" t="n">
        <v>7</v>
      </c>
      <c r="G712" t="inlineStr">
        <is>
          <t>Ontario Tennis Association</t>
        </is>
      </c>
      <c r="H712" t="inlineStr">
        <is>
          <t>Burlington Tennis Club</t>
        </is>
      </c>
      <c r="I712" t="n">
        <v>37.2</v>
      </c>
      <c r="J712" s="4" t="n">
        <v>96</v>
      </c>
      <c r="K712" t="inlineStr">
        <is>
          <t>57 / 39</t>
        </is>
      </c>
      <c r="L712" t="inlineStr">
        <is>
          <t>38 / 24</t>
        </is>
      </c>
      <c r="M712" s="5" t="n">
        <v>0.59</v>
      </c>
      <c r="N712" s="5" t="n">
        <v>0.61</v>
      </c>
    </row>
    <row r="713">
      <c r="A713" t="n">
        <v>712</v>
      </c>
      <c r="B713" t="n">
        <v>2012</v>
      </c>
      <c r="C713" t="inlineStr">
        <is>
          <t>Diya Parkash</t>
        </is>
      </c>
      <c r="D713">
        <f>HYPERLINK("https://ota.tournamentsoftware.com/player-profile/73A3C93B-23D0-4FC2-9B92-CA5DFE4335FD", "Link")</f>
        <v/>
      </c>
      <c r="E713" s="3" t="n">
        <v>18.484</v>
      </c>
      <c r="F713" s="4" t="n">
        <v>1</v>
      </c>
      <c r="G713" t="inlineStr">
        <is>
          <t>Tennis Nova Scotia</t>
        </is>
      </c>
      <c r="H713" t="inlineStr">
        <is>
          <t>HEADSTART</t>
        </is>
      </c>
      <c r="I713" t="n">
        <v>36.8</v>
      </c>
      <c r="J713" s="4" t="n">
        <v>6</v>
      </c>
      <c r="K713" t="inlineStr">
        <is>
          <t>3 / 3</t>
        </is>
      </c>
      <c r="L713" t="inlineStr">
        <is>
          <t>3 / 3</t>
        </is>
      </c>
      <c r="M713" s="5" t="n">
        <v>0.5</v>
      </c>
      <c r="N713" s="5" t="n">
        <v>0.5</v>
      </c>
    </row>
    <row r="714">
      <c r="A714" t="n">
        <v>713</v>
      </c>
      <c r="B714" t="n">
        <v>2013</v>
      </c>
      <c r="C714" t="inlineStr">
        <is>
          <t>Eve Fuemana</t>
        </is>
      </c>
      <c r="D714">
        <f>HYPERLINK("https://ota.tournamentsoftware.com/player-profile/C6B89948-0347-4A82-9588-926B794A08CE", "Link")</f>
        <v/>
      </c>
      <c r="E714" s="3" t="n">
        <v>18.447</v>
      </c>
      <c r="F714" s="4" t="n">
        <v>1</v>
      </c>
      <c r="G714" t="inlineStr">
        <is>
          <t>Ontario Tennis Association</t>
        </is>
      </c>
      <c r="H714" t="inlineStr">
        <is>
          <t>Toronto Tennis City</t>
        </is>
      </c>
      <c r="I714" t="inlineStr">
        <is>
          <t>unavailable</t>
        </is>
      </c>
      <c r="J714" s="4" t="inlineStr"/>
      <c r="K714" t="inlineStr">
        <is>
          <t>unavailable</t>
        </is>
      </c>
      <c r="L714" t="inlineStr">
        <is>
          <t>unavailable</t>
        </is>
      </c>
      <c r="M714" s="5" t="inlineStr"/>
      <c r="N714" s="5" t="inlineStr"/>
    </row>
    <row r="715">
      <c r="A715" t="n">
        <v>714</v>
      </c>
      <c r="B715" t="n">
        <v>2014</v>
      </c>
      <c r="C715" t="inlineStr">
        <is>
          <t>Éloïse Renaud</t>
        </is>
      </c>
      <c r="D715">
        <f>HYPERLINK("https://ota.tournamentsoftware.com/player-profile/B18DE2B4-0E8A-4263-8136-FCC7F7A61D01", "Link")</f>
        <v/>
      </c>
      <c r="E715" s="3" t="n">
        <v>18.36</v>
      </c>
      <c r="F715" s="4" t="n">
        <v>4</v>
      </c>
      <c r="G715" t="inlineStr">
        <is>
          <t>Tennis Québec</t>
        </is>
      </c>
      <c r="H715" t="inlineStr">
        <is>
          <t>Tennis 13</t>
        </is>
      </c>
      <c r="I715" t="inlineStr">
        <is>
          <t>unavailable</t>
        </is>
      </c>
      <c r="J715" s="4" t="n">
        <v>8</v>
      </c>
      <c r="K715" t="inlineStr">
        <is>
          <t>4 / 4</t>
        </is>
      </c>
      <c r="L715" t="inlineStr">
        <is>
          <t>1 / 2</t>
        </is>
      </c>
      <c r="M715" s="5" t="n">
        <v>0.5</v>
      </c>
      <c r="N715" s="5" t="n">
        <v>0.33</v>
      </c>
    </row>
    <row r="716">
      <c r="A716" t="n">
        <v>715</v>
      </c>
      <c r="B716" t="n">
        <v>2015</v>
      </c>
      <c r="C716" t="inlineStr">
        <is>
          <t>Simone Tremblay-Roy</t>
        </is>
      </c>
      <c r="D716">
        <f>HYPERLINK("https://ota.tournamentsoftware.com/player-profile/E7E1A20D-ED12-47F1-913D-3022C4BE6070", "Link")</f>
        <v/>
      </c>
      <c r="E716" s="3" t="n">
        <v>18.332</v>
      </c>
      <c r="F716" s="4" t="n">
        <v>2</v>
      </c>
      <c r="G716" t="inlineStr">
        <is>
          <t>Tennis Québec</t>
        </is>
      </c>
      <c r="H716" t="inlineStr">
        <is>
          <t>Club de tennis intérieur Saguenay</t>
        </is>
      </c>
      <c r="I716" t="n">
        <v>37.4</v>
      </c>
      <c r="J716" s="4" t="n">
        <v>7</v>
      </c>
      <c r="K716" t="inlineStr">
        <is>
          <t>4 / 3</t>
        </is>
      </c>
      <c r="L716" t="inlineStr">
        <is>
          <t>1 / 3</t>
        </is>
      </c>
      <c r="M716" s="5" t="n">
        <v>0.57</v>
      </c>
      <c r="N716" s="5" t="n">
        <v>0.25</v>
      </c>
    </row>
    <row r="717">
      <c r="A717" t="n">
        <v>716</v>
      </c>
      <c r="B717" t="n">
        <v>2016</v>
      </c>
      <c r="C717" t="inlineStr">
        <is>
          <t>Xirui Ding</t>
        </is>
      </c>
      <c r="D717">
        <f>HYPERLINK("https://ota.tournamentsoftware.com/player-profile/6DC46DF7-2964-4ED2-9C01-D39C773C942F", "Link")</f>
        <v/>
      </c>
      <c r="E717" s="3" t="n">
        <v>18</v>
      </c>
      <c r="F717" s="4" t="n">
        <v>2</v>
      </c>
      <c r="G717" t="inlineStr">
        <is>
          <t>Ontario Tennis Association</t>
        </is>
      </c>
      <c r="H717" t="inlineStr">
        <is>
          <t>Valan Tennis Academy</t>
        </is>
      </c>
      <c r="I717" t="n">
        <v>38.1</v>
      </c>
      <c r="J717" s="4" t="n">
        <v>86</v>
      </c>
      <c r="K717" t="inlineStr">
        <is>
          <t>54 / 32</t>
        </is>
      </c>
      <c r="L717" t="inlineStr">
        <is>
          <t>49 / 23</t>
        </is>
      </c>
      <c r="M717" s="5" t="n">
        <v>0.63</v>
      </c>
      <c r="N717" s="5" t="n">
        <v>0.68</v>
      </c>
    </row>
    <row r="718">
      <c r="A718" t="n">
        <v>717</v>
      </c>
      <c r="B718" t="n">
        <v>2013</v>
      </c>
      <c r="C718" t="inlineStr">
        <is>
          <t>Blake Beck Sadler</t>
        </is>
      </c>
      <c r="D718">
        <f>HYPERLINK("https://ota.tournamentsoftware.com/player-profile/B44D5381-342B-4AF0-8200-EA0CEE1E54B7", "Link")</f>
        <v/>
      </c>
      <c r="E718" s="3" t="n">
        <v>17.916</v>
      </c>
      <c r="F718" s="4" t="n">
        <v>2</v>
      </c>
      <c r="G718" t="inlineStr">
        <is>
          <t>Ontario Tennis Association</t>
        </is>
      </c>
      <c r="H718" t="inlineStr">
        <is>
          <t>Ontario Racquet Club</t>
        </is>
      </c>
      <c r="I718" t="n">
        <v>35.9</v>
      </c>
      <c r="J718" s="4" t="n">
        <v>22</v>
      </c>
      <c r="K718" t="inlineStr">
        <is>
          <t>12 / 10</t>
        </is>
      </c>
      <c r="L718" t="inlineStr">
        <is>
          <t>1 / 1</t>
        </is>
      </c>
      <c r="M718" s="5" t="n">
        <v>0.55</v>
      </c>
      <c r="N718" s="5" t="n">
        <v>0.5</v>
      </c>
    </row>
    <row r="719">
      <c r="A719" t="n">
        <v>718</v>
      </c>
      <c r="B719" t="n">
        <v>2014</v>
      </c>
      <c r="C719" t="inlineStr">
        <is>
          <t>Sophia Marietta Dee</t>
        </is>
      </c>
      <c r="D719">
        <f>HYPERLINK("https://ota.tournamentsoftware.com/player-profile/C69F5ADB-3749-4D97-A809-250A73BB30C1", "Link")</f>
        <v/>
      </c>
      <c r="E719" s="3" t="n">
        <v>17.903</v>
      </c>
      <c r="F719" s="4" t="n">
        <v>6</v>
      </c>
      <c r="G719" t="inlineStr">
        <is>
          <t>British Columbia</t>
        </is>
      </c>
      <c r="H719" t="inlineStr">
        <is>
          <t>Arbutus Club</t>
        </is>
      </c>
      <c r="I719" t="n">
        <v>36.8</v>
      </c>
      <c r="J719" s="4" t="n">
        <v>40</v>
      </c>
      <c r="K719" t="inlineStr">
        <is>
          <t>14 / 26</t>
        </is>
      </c>
      <c r="L719" t="inlineStr">
        <is>
          <t>5 / 7</t>
        </is>
      </c>
      <c r="M719" s="5" t="n">
        <v>0.35</v>
      </c>
      <c r="N719" s="5" t="n">
        <v>0.42</v>
      </c>
    </row>
    <row r="720">
      <c r="A720" t="n">
        <v>719</v>
      </c>
      <c r="B720" t="n">
        <v>2015</v>
      </c>
      <c r="C720" t="inlineStr">
        <is>
          <t>Milana Maor</t>
        </is>
      </c>
      <c r="D720">
        <f>HYPERLINK("https://ota.tournamentsoftware.com/player-profile/EFC2E194-22E1-4017-A2E8-0B41E7DB9101", "Link")</f>
        <v/>
      </c>
      <c r="E720" s="3" t="n">
        <v>17.804</v>
      </c>
      <c r="F720" s="4" t="n">
        <v>4</v>
      </c>
      <c r="G720" t="inlineStr">
        <is>
          <t>Ontario Tennis Association</t>
        </is>
      </c>
      <c r="H720" t="inlineStr">
        <is>
          <t>No Club</t>
        </is>
      </c>
      <c r="I720" t="n">
        <v>37.5</v>
      </c>
      <c r="J720" s="4" t="n">
        <v>48</v>
      </c>
      <c r="K720" t="inlineStr">
        <is>
          <t>20 / 28</t>
        </is>
      </c>
      <c r="L720" t="inlineStr">
        <is>
          <t>3 / 9</t>
        </is>
      </c>
      <c r="M720" s="5" t="n">
        <v>0.42</v>
      </c>
      <c r="N720" s="5" t="n">
        <v>0.25</v>
      </c>
    </row>
    <row r="721">
      <c r="A721" t="n">
        <v>720</v>
      </c>
      <c r="B721" t="n">
        <v>2013</v>
      </c>
      <c r="C721" t="inlineStr">
        <is>
          <t>Lily Pilipowicz</t>
        </is>
      </c>
      <c r="D721">
        <f>HYPERLINK("https://ota.tournamentsoftware.com/player-profile/B42CFB1E-4A07-4108-A904-8512C36C48D8", "Link")</f>
        <v/>
      </c>
      <c r="E721" s="3" t="n">
        <v>17.313</v>
      </c>
      <c r="F721" s="4" t="n">
        <v>4</v>
      </c>
      <c r="G721" t="inlineStr">
        <is>
          <t>Tennis Alberta</t>
        </is>
      </c>
      <c r="H721" t="inlineStr">
        <is>
          <t>Aforza</t>
        </is>
      </c>
      <c r="I721" t="n">
        <v>34</v>
      </c>
      <c r="J721" s="4" t="n">
        <v>40</v>
      </c>
      <c r="K721" t="inlineStr">
        <is>
          <t>19 / 21</t>
        </is>
      </c>
      <c r="L721" t="inlineStr">
        <is>
          <t>0 / 1</t>
        </is>
      </c>
      <c r="M721" s="5" t="n">
        <v>0.47</v>
      </c>
      <c r="N721" s="5" t="n">
        <v>0</v>
      </c>
    </row>
    <row r="722">
      <c r="A722" t="n">
        <v>721</v>
      </c>
      <c r="B722" t="n">
        <v>2016</v>
      </c>
      <c r="C722" t="inlineStr">
        <is>
          <t>Nourine Chebitou</t>
        </is>
      </c>
      <c r="D722">
        <f>HYPERLINK("https://ota.tournamentsoftware.com/player-profile/7B847012-F77E-40EE-A816-39ABE1031DA9", "Link")</f>
        <v/>
      </c>
      <c r="E722" s="3" t="n">
        <v>17.28</v>
      </c>
      <c r="F722" s="4" t="n">
        <v>1</v>
      </c>
      <c r="G722" t="inlineStr">
        <is>
          <t>Tennis Québec</t>
        </is>
      </c>
      <c r="H722" t="inlineStr">
        <is>
          <t>SANI Sport</t>
        </is>
      </c>
      <c r="I722" t="n">
        <v>37.3</v>
      </c>
      <c r="J722" s="4" t="n">
        <v>5</v>
      </c>
      <c r="K722" t="inlineStr">
        <is>
          <t>1 / 4</t>
        </is>
      </c>
      <c r="L722" t="inlineStr">
        <is>
          <t>1 / 1</t>
        </is>
      </c>
      <c r="M722" s="5" t="n">
        <v>0.2</v>
      </c>
      <c r="N722" s="5" t="n">
        <v>0.5</v>
      </c>
    </row>
    <row r="723">
      <c r="A723" t="n">
        <v>721</v>
      </c>
      <c r="B723" t="n">
        <v>2014</v>
      </c>
      <c r="C723" t="inlineStr">
        <is>
          <t>Rehmat Kaur Sandhar</t>
        </is>
      </c>
      <c r="D723">
        <f>HYPERLINK("https://ota.tournamentsoftware.com/player-profile/F8357E3D-210F-40E0-BA8A-8FFDBD0DC17E", "Link")</f>
        <v/>
      </c>
      <c r="E723" s="3" t="n">
        <v>17.28</v>
      </c>
      <c r="F723" s="4" t="n">
        <v>2</v>
      </c>
      <c r="G723" t="inlineStr">
        <is>
          <t>Ontario Tennis Association</t>
        </is>
      </c>
      <c r="H723" t="inlineStr">
        <is>
          <t>ON Tennis Toronto No Club</t>
        </is>
      </c>
      <c r="I723" t="n">
        <v>36.7</v>
      </c>
      <c r="J723" s="4" t="n">
        <v>25</v>
      </c>
      <c r="K723" t="inlineStr">
        <is>
          <t>8 / 17</t>
        </is>
      </c>
      <c r="L723" t="inlineStr">
        <is>
          <t>8 / 14</t>
        </is>
      </c>
      <c r="M723" s="5" t="n">
        <v>0.32</v>
      </c>
      <c r="N723" s="5" t="n">
        <v>0.36</v>
      </c>
    </row>
    <row r="724">
      <c r="A724" t="n">
        <v>723</v>
      </c>
      <c r="B724" t="n">
        <v>2012</v>
      </c>
      <c r="C724" t="inlineStr">
        <is>
          <t>Emily Solc</t>
        </is>
      </c>
      <c r="D724">
        <f>HYPERLINK("https://ota.tournamentsoftware.com/player-profile/0117F9E7-8DFA-459F-859A-F7CFC440388D", "Link")</f>
        <v/>
      </c>
      <c r="E724" s="3" t="n">
        <v>17.16</v>
      </c>
      <c r="F724" s="4" t="n">
        <v>1</v>
      </c>
      <c r="G724" t="inlineStr">
        <is>
          <t>Ontario Tennis Association</t>
        </is>
      </c>
      <c r="H724" t="inlineStr">
        <is>
          <t>Ajax Tennis Club</t>
        </is>
      </c>
      <c r="I724" t="n">
        <v>35.7</v>
      </c>
      <c r="J724" s="4" t="n">
        <v>15</v>
      </c>
      <c r="K724" t="inlineStr">
        <is>
          <t>6 / 9</t>
        </is>
      </c>
      <c r="L724" t="inlineStr">
        <is>
          <t>0 / 0</t>
        </is>
      </c>
      <c r="M724" s="5" t="n">
        <v>0.4</v>
      </c>
      <c r="N724" s="5" t="n">
        <v>0</v>
      </c>
    </row>
    <row r="725">
      <c r="A725" t="n">
        <v>724</v>
      </c>
      <c r="B725" t="n">
        <v>2014</v>
      </c>
      <c r="C725" t="inlineStr">
        <is>
          <t>Cheryl Elizabeth Ong</t>
        </is>
      </c>
      <c r="D725">
        <f>HYPERLINK("https://ota.tournamentsoftware.com/player-profile/11AC4E6A-0B03-4BB4-ACB7-333E7FD9064F", "Link")</f>
        <v/>
      </c>
      <c r="E725" s="3" t="n">
        <v>16.812</v>
      </c>
      <c r="F725" s="4" t="n">
        <v>8</v>
      </c>
      <c r="G725" t="inlineStr">
        <is>
          <t>British Columbia</t>
        </is>
      </c>
      <c r="H725" t="inlineStr">
        <is>
          <t>Tennis for Life</t>
        </is>
      </c>
      <c r="I725" t="inlineStr">
        <is>
          <t>unavailable</t>
        </is>
      </c>
      <c r="J725" s="4" t="n">
        <v>36</v>
      </c>
      <c r="K725" t="inlineStr">
        <is>
          <t>10 / 26</t>
        </is>
      </c>
      <c r="L725" t="inlineStr">
        <is>
          <t>6 / 10</t>
        </is>
      </c>
      <c r="M725" s="5" t="n">
        <v>0.28</v>
      </c>
      <c r="N725" s="5" t="n">
        <v>0.38</v>
      </c>
    </row>
    <row r="726">
      <c r="A726" t="n">
        <v>725</v>
      </c>
      <c r="B726" t="n">
        <v>2012</v>
      </c>
      <c r="C726" t="inlineStr">
        <is>
          <t>Elise Weaser</t>
        </is>
      </c>
      <c r="D726">
        <f>HYPERLINK("https://ota.tournamentsoftware.com/player-profile/DA22DB71-D6D8-4605-B329-E9AEA5B14695", "Link")</f>
        <v/>
      </c>
      <c r="E726" s="3" t="n">
        <v>16.632</v>
      </c>
      <c r="F726" s="4" t="n">
        <v>1</v>
      </c>
      <c r="G726" t="inlineStr">
        <is>
          <t>Ontario Tennis Association</t>
        </is>
      </c>
      <c r="H726" t="inlineStr">
        <is>
          <t>Ontario Racquet Club</t>
        </is>
      </c>
      <c r="I726" t="n">
        <v>38</v>
      </c>
      <c r="J726" s="4" t="n">
        <v>28</v>
      </c>
      <c r="K726" t="inlineStr">
        <is>
          <t>6 / 22</t>
        </is>
      </c>
      <c r="L726" t="inlineStr">
        <is>
          <t>1 / 1</t>
        </is>
      </c>
      <c r="M726" s="5" t="n">
        <v>0.21</v>
      </c>
      <c r="N726" s="5" t="n">
        <v>0.5</v>
      </c>
    </row>
    <row r="727">
      <c r="A727" t="n">
        <v>726</v>
      </c>
      <c r="B727" t="n">
        <v>2013</v>
      </c>
      <c r="C727" t="inlineStr">
        <is>
          <t>Vasta Keshavarz</t>
        </is>
      </c>
      <c r="D727">
        <f>HYPERLINK("https://ota.tournamentsoftware.com/player-profile/601A80FC-EABC-4AF6-9B13-BEBCF22814BA", "Link")</f>
        <v/>
      </c>
      <c r="E727" s="3" t="n">
        <v>16.603</v>
      </c>
      <c r="F727" s="4" t="n">
        <v>4</v>
      </c>
      <c r="G727" t="inlineStr">
        <is>
          <t>British Columbia</t>
        </is>
      </c>
      <c r="H727" t="inlineStr">
        <is>
          <t>North Vancouver Tennis Centre</t>
        </is>
      </c>
      <c r="I727" t="inlineStr">
        <is>
          <t>unavailable</t>
        </is>
      </c>
      <c r="J727" s="4" t="n">
        <v>33</v>
      </c>
      <c r="K727" t="inlineStr">
        <is>
          <t>9 / 24</t>
        </is>
      </c>
      <c r="L727" t="inlineStr">
        <is>
          <t>1 / 17</t>
        </is>
      </c>
      <c r="M727" s="5" t="n">
        <v>0.27</v>
      </c>
      <c r="N727" s="5" t="n">
        <v>0.06</v>
      </c>
    </row>
    <row r="728">
      <c r="A728" t="n">
        <v>727</v>
      </c>
      <c r="B728" t="n">
        <v>2015</v>
      </c>
      <c r="C728" t="inlineStr">
        <is>
          <t>Léa Anténor</t>
        </is>
      </c>
      <c r="D728">
        <f>HYPERLINK("https://ota.tournamentsoftware.com/player-profile/C5888674-E1AF-487D-88CD-4864B4B9365E", "Link")</f>
        <v/>
      </c>
      <c r="E728" s="3" t="n">
        <v>16.489</v>
      </c>
      <c r="F728" s="4" t="n">
        <v>3</v>
      </c>
      <c r="G728" t="inlineStr">
        <is>
          <t>Tennis Québec</t>
        </is>
      </c>
      <c r="H728" t="inlineStr">
        <is>
          <t>No Club</t>
        </is>
      </c>
      <c r="I728" t="inlineStr">
        <is>
          <t>unavailable</t>
        </is>
      </c>
      <c r="J728" s="4" t="n">
        <v>2</v>
      </c>
      <c r="K728" t="inlineStr">
        <is>
          <t>0 / 2</t>
        </is>
      </c>
      <c r="L728" t="inlineStr">
        <is>
          <t>0 / 2</t>
        </is>
      </c>
      <c r="M728" s="5" t="n">
        <v>0</v>
      </c>
      <c r="N728" s="5" t="n">
        <v>0</v>
      </c>
    </row>
    <row r="729">
      <c r="A729" t="n">
        <v>728</v>
      </c>
      <c r="B729" t="n">
        <v>2014</v>
      </c>
      <c r="C729" t="inlineStr">
        <is>
          <t>Livia Hu</t>
        </is>
      </c>
      <c r="D729">
        <f>HYPERLINK("https://ota.tournamentsoftware.com/player-profile/F0626954-59DE-45D2-AE30-FCA903A00699", "Link")</f>
        <v/>
      </c>
      <c r="E729" s="3" t="n">
        <v>16.459</v>
      </c>
      <c r="F729" s="4" t="n">
        <v>2</v>
      </c>
      <c r="G729" t="inlineStr">
        <is>
          <t>Tennis Saskatchewan</t>
        </is>
      </c>
      <c r="H729" t="inlineStr">
        <is>
          <t>No Club</t>
        </is>
      </c>
      <c r="I729" t="n">
        <v>31.2</v>
      </c>
      <c r="J729" s="4" t="n">
        <v>36</v>
      </c>
      <c r="K729" t="inlineStr">
        <is>
          <t>21 / 15</t>
        </is>
      </c>
      <c r="L729" t="inlineStr">
        <is>
          <t>3 / 3</t>
        </is>
      </c>
      <c r="M729" s="5" t="n">
        <v>0.58</v>
      </c>
      <c r="N729" s="5" t="n">
        <v>0.5</v>
      </c>
    </row>
    <row r="730">
      <c r="A730" t="n">
        <v>729</v>
      </c>
      <c r="B730" t="n">
        <v>2015</v>
      </c>
      <c r="C730" t="inlineStr">
        <is>
          <t>Margaux Eile</t>
        </is>
      </c>
      <c r="D730">
        <f>HYPERLINK("https://ota.tournamentsoftware.com/player-profile/9023DCCB-FDAB-4759-A4C9-E99C2FD3C6AD", "Link")</f>
        <v/>
      </c>
      <c r="E730" s="3" t="n">
        <v>16.313</v>
      </c>
      <c r="F730" s="4" t="n">
        <v>6</v>
      </c>
      <c r="G730" t="inlineStr">
        <is>
          <t>Tennis Québec</t>
        </is>
      </c>
      <c r="H730" t="inlineStr">
        <is>
          <t>Midtown Le Sporting Club Sanctuaire</t>
        </is>
      </c>
      <c r="I730" t="inlineStr">
        <is>
          <t>unavailable</t>
        </is>
      </c>
      <c r="J730" s="4" t="n">
        <v>25</v>
      </c>
      <c r="K730" t="inlineStr">
        <is>
          <t>2 / 23</t>
        </is>
      </c>
      <c r="L730" t="inlineStr">
        <is>
          <t>0 / 6</t>
        </is>
      </c>
      <c r="M730" s="5" t="n">
        <v>0.08</v>
      </c>
      <c r="N730" s="5" t="n">
        <v>0</v>
      </c>
    </row>
    <row r="731">
      <c r="A731" t="n">
        <v>730</v>
      </c>
      <c r="B731" t="n">
        <v>2012</v>
      </c>
      <c r="C731" t="inlineStr">
        <is>
          <t>Yulli Anne Tsang</t>
        </is>
      </c>
      <c r="D731">
        <f>HYPERLINK("https://ota.tournamentsoftware.com/player-profile/E8CCFA74-9017-45A2-B403-724A9977CD1E", "Link")</f>
        <v/>
      </c>
      <c r="E731" s="3" t="n">
        <v>16.14</v>
      </c>
      <c r="F731" s="4" t="n">
        <v>4</v>
      </c>
      <c r="G731" t="inlineStr">
        <is>
          <t>Tennis Alberta</t>
        </is>
      </c>
      <c r="H731" t="inlineStr">
        <is>
          <t>Derrick Golf &amp; Winter Club</t>
        </is>
      </c>
      <c r="I731" t="inlineStr">
        <is>
          <t>unavailable</t>
        </is>
      </c>
      <c r="J731" s="4" t="n">
        <v>26</v>
      </c>
      <c r="K731" t="inlineStr">
        <is>
          <t>9 / 17</t>
        </is>
      </c>
      <c r="L731" t="inlineStr">
        <is>
          <t>4 / 6</t>
        </is>
      </c>
      <c r="M731" s="5" t="n">
        <v>0.35</v>
      </c>
      <c r="N731" s="5" t="n">
        <v>0.4</v>
      </c>
    </row>
    <row r="732">
      <c r="A732" t="n">
        <v>731</v>
      </c>
      <c r="B732" t="n">
        <v>2013</v>
      </c>
      <c r="C732" t="inlineStr">
        <is>
          <t>Kate Sumner</t>
        </is>
      </c>
      <c r="D732">
        <f>HYPERLINK("https://ota.tournamentsoftware.com/player-profile/42BF9410-8926-4C81-9B50-F1262CEF0360", "Link")</f>
        <v/>
      </c>
      <c r="E732" s="3" t="n">
        <v>16.027</v>
      </c>
      <c r="F732" s="4" t="n">
        <v>3</v>
      </c>
      <c r="G732" t="inlineStr">
        <is>
          <t>Ontario Tennis Association</t>
        </is>
      </c>
      <c r="H732" t="inlineStr">
        <is>
          <t>Toronto Cricket Skating &amp; Curling</t>
        </is>
      </c>
      <c r="I732" t="inlineStr">
        <is>
          <t>unavailable</t>
        </is>
      </c>
      <c r="J732" s="4" t="n">
        <v>33</v>
      </c>
      <c r="K732" t="inlineStr">
        <is>
          <t>11 / 22</t>
        </is>
      </c>
      <c r="L732" t="inlineStr">
        <is>
          <t>1 / 1</t>
        </is>
      </c>
      <c r="M732" s="5" t="n">
        <v>0.33</v>
      </c>
      <c r="N732" s="5" t="n">
        <v>0.5</v>
      </c>
    </row>
    <row r="733">
      <c r="A733" t="n">
        <v>732</v>
      </c>
      <c r="B733" t="n">
        <v>2014</v>
      </c>
      <c r="C733" t="inlineStr">
        <is>
          <t>Precious J. Mutiku</t>
        </is>
      </c>
      <c r="D733">
        <f>HYPERLINK("https://ota.tournamentsoftware.com/player-profile/60A61325-C72A-4622-B3AF-5291E7A5657A", "Link")</f>
        <v/>
      </c>
      <c r="E733" s="3" t="n">
        <v>15.059</v>
      </c>
      <c r="F733" s="4" t="n">
        <v>1</v>
      </c>
      <c r="G733" t="inlineStr">
        <is>
          <t>Tennis Manitoba</t>
        </is>
      </c>
      <c r="H733" t="inlineStr">
        <is>
          <t>Taylor Tennis</t>
        </is>
      </c>
      <c r="I733" t="n">
        <v>37</v>
      </c>
      <c r="J733" s="4" t="n">
        <v>3</v>
      </c>
      <c r="K733" t="inlineStr">
        <is>
          <t>1 / 2</t>
        </is>
      </c>
      <c r="L733" t="inlineStr">
        <is>
          <t>0 / 1</t>
        </is>
      </c>
      <c r="M733" s="5" t="n">
        <v>0.33</v>
      </c>
      <c r="N733" s="5" t="n">
        <v>0</v>
      </c>
    </row>
    <row r="734">
      <c r="A734" t="n">
        <v>733</v>
      </c>
      <c r="B734" t="n">
        <v>2013</v>
      </c>
      <c r="C734" t="inlineStr">
        <is>
          <t>Kensington Gavin</t>
        </is>
      </c>
      <c r="D734">
        <f>HYPERLINK("https://ota.tournamentsoftware.com/player-profile/A4C08F5F-BDB2-4714-9F20-18E924F0B20C", "Link")</f>
        <v/>
      </c>
      <c r="E734" s="3" t="n">
        <v>15</v>
      </c>
      <c r="F734" s="4" t="n">
        <v>2</v>
      </c>
      <c r="G734" t="inlineStr">
        <is>
          <t>British Columbia</t>
        </is>
      </c>
      <c r="H734" t="inlineStr">
        <is>
          <t>No Club</t>
        </is>
      </c>
      <c r="I734" t="n">
        <v>33.1</v>
      </c>
      <c r="J734" s="4" t="n">
        <v>121</v>
      </c>
      <c r="K734" t="inlineStr">
        <is>
          <t>70 / 51</t>
        </is>
      </c>
      <c r="L734" t="inlineStr">
        <is>
          <t>0 / 0</t>
        </is>
      </c>
      <c r="M734" s="5" t="n">
        <v>0.58</v>
      </c>
      <c r="N734" s="5" t="n">
        <v>0</v>
      </c>
    </row>
    <row r="735">
      <c r="A735" t="n">
        <v>734</v>
      </c>
      <c r="B735" t="n">
        <v>2012</v>
      </c>
      <c r="C735" t="inlineStr">
        <is>
          <t>Navia Kaylynn Barlow</t>
        </is>
      </c>
      <c r="D735">
        <f>HYPERLINK("https://ota.tournamentsoftware.com/player-profile/44A25362-E73B-4E09-954B-7A375954482B", "Link")</f>
        <v/>
      </c>
      <c r="E735" s="3" t="n">
        <v>14.647</v>
      </c>
      <c r="F735" s="4" t="n">
        <v>3</v>
      </c>
      <c r="G735" t="inlineStr">
        <is>
          <t>Tennis Alberta</t>
        </is>
      </c>
      <c r="H735" t="inlineStr">
        <is>
          <t>Derrick Golf &amp; Winter Club</t>
        </is>
      </c>
      <c r="I735" t="inlineStr">
        <is>
          <t>unavailable</t>
        </is>
      </c>
      <c r="J735" s="4" t="n">
        <v>6</v>
      </c>
      <c r="K735" t="inlineStr">
        <is>
          <t>2 / 4</t>
        </is>
      </c>
      <c r="L735" t="inlineStr">
        <is>
          <t>2 / 4</t>
        </is>
      </c>
      <c r="M735" s="5" t="n">
        <v>0.33</v>
      </c>
      <c r="N735" s="5" t="n">
        <v>0.33</v>
      </c>
    </row>
    <row r="736">
      <c r="A736" t="n">
        <v>735</v>
      </c>
      <c r="B736" t="n">
        <v>2015</v>
      </c>
      <c r="C736" t="inlineStr">
        <is>
          <t>Mira Akhoundova</t>
        </is>
      </c>
      <c r="D736">
        <f>HYPERLINK("https://ota.tournamentsoftware.com/player-profile/DFAA2C12-ED04-42F9-9711-F91A6745B43A", "Link")</f>
        <v/>
      </c>
      <c r="E736" s="3" t="n">
        <v>14.585</v>
      </c>
      <c r="F736" s="4" t="n">
        <v>3</v>
      </c>
      <c r="G736" t="inlineStr">
        <is>
          <t>Ontario Tennis Association</t>
        </is>
      </c>
      <c r="H736" t="inlineStr">
        <is>
          <t>Marilyn Redvers Tennis Club</t>
        </is>
      </c>
      <c r="I736" t="n">
        <v>40</v>
      </c>
      <c r="J736" s="4" t="n">
        <v>28</v>
      </c>
      <c r="K736" t="inlineStr">
        <is>
          <t>14 / 14</t>
        </is>
      </c>
      <c r="L736" t="inlineStr">
        <is>
          <t>5 / 9</t>
        </is>
      </c>
      <c r="M736" s="5" t="n">
        <v>0.5</v>
      </c>
      <c r="N736" s="5" t="n">
        <v>0.36</v>
      </c>
    </row>
    <row r="737">
      <c r="A737" t="n">
        <v>736</v>
      </c>
      <c r="B737" t="n">
        <v>2015</v>
      </c>
      <c r="C737" t="inlineStr">
        <is>
          <t>Nadia Mnyusiwalla</t>
        </is>
      </c>
      <c r="D737">
        <f>HYPERLINK("https://ota.tournamentsoftware.com/player-profile/0DB52458-FB00-472A-BE89-03A77FEBF08E", "Link")</f>
        <v/>
      </c>
      <c r="E737" s="3" t="n">
        <v>14.381</v>
      </c>
      <c r="F737" s="4" t="n">
        <v>3</v>
      </c>
      <c r="G737" t="inlineStr">
        <is>
          <t>Ontario Tennis Association</t>
        </is>
      </c>
      <c r="H737" t="inlineStr">
        <is>
          <t>Waterloo Tennis Club</t>
        </is>
      </c>
      <c r="I737" t="inlineStr">
        <is>
          <t>unavailable</t>
        </is>
      </c>
      <c r="J737" s="4" t="n">
        <v>54</v>
      </c>
      <c r="K737" t="inlineStr">
        <is>
          <t>15 / 39</t>
        </is>
      </c>
      <c r="L737" t="inlineStr">
        <is>
          <t>2 / 14</t>
        </is>
      </c>
      <c r="M737" s="5" t="n">
        <v>0.28</v>
      </c>
      <c r="N737" s="5" t="n">
        <v>0.12</v>
      </c>
    </row>
    <row r="738">
      <c r="A738" t="n">
        <v>737</v>
      </c>
      <c r="B738" t="n">
        <v>2014</v>
      </c>
      <c r="C738" t="inlineStr">
        <is>
          <t>Juliette Viel</t>
        </is>
      </c>
      <c r="D738">
        <f>HYPERLINK("https://ota.tournamentsoftware.com/player-profile/3C42B108-2BA4-41D7-8AE2-19A52170601F", "Link")</f>
        <v/>
      </c>
      <c r="E738" s="3" t="n">
        <v>14.361</v>
      </c>
      <c r="F738" s="4" t="n">
        <v>3</v>
      </c>
      <c r="G738" t="inlineStr">
        <is>
          <t>Tennis Québec</t>
        </is>
      </c>
      <c r="H738" t="inlineStr">
        <is>
          <t>Club de tennis de Rivière-du-Loup</t>
        </is>
      </c>
      <c r="I738" t="n">
        <v>35.1</v>
      </c>
      <c r="J738" s="4" t="n">
        <v>20</v>
      </c>
      <c r="K738" t="inlineStr">
        <is>
          <t>8 / 12</t>
        </is>
      </c>
      <c r="L738" t="inlineStr">
        <is>
          <t>1 / 2</t>
        </is>
      </c>
      <c r="M738" s="5" t="n">
        <v>0.4</v>
      </c>
      <c r="N738" s="5" t="n">
        <v>0.33</v>
      </c>
    </row>
    <row r="739">
      <c r="A739" t="n">
        <v>738</v>
      </c>
      <c r="B739" t="n">
        <v>2013</v>
      </c>
      <c r="C739" t="inlineStr">
        <is>
          <t>Caroline Chuyi Wang</t>
        </is>
      </c>
      <c r="D739">
        <f>HYPERLINK("https://ota.tournamentsoftware.com/player-profile/3F052198-DCE4-4852-8FA0-B0793E67B6FC", "Link")</f>
        <v/>
      </c>
      <c r="E739" s="3" t="n">
        <v>14.314</v>
      </c>
      <c r="F739" s="4" t="n">
        <v>2</v>
      </c>
      <c r="G739" t="inlineStr">
        <is>
          <t>British Columbia</t>
        </is>
      </c>
      <c r="H739" t="inlineStr">
        <is>
          <t>Richmond Country Club</t>
        </is>
      </c>
      <c r="I739" t="n">
        <v>39.4</v>
      </c>
      <c r="J739" s="4" t="n">
        <v>16</v>
      </c>
      <c r="K739" t="inlineStr">
        <is>
          <t>5 / 11</t>
        </is>
      </c>
      <c r="L739" t="inlineStr">
        <is>
          <t>5 / 11</t>
        </is>
      </c>
      <c r="M739" s="5" t="n">
        <v>0.31</v>
      </c>
      <c r="N739" s="5" t="n">
        <v>0.31</v>
      </c>
    </row>
    <row r="740">
      <c r="A740" t="n">
        <v>739</v>
      </c>
      <c r="B740" t="n">
        <v>2014</v>
      </c>
      <c r="C740" t="inlineStr">
        <is>
          <t>Elise Hiu-Wing Lin</t>
        </is>
      </c>
      <c r="D740">
        <f>HYPERLINK("https://ota.tournamentsoftware.com/player-profile/6079C290-F004-492F-BD70-120B06A08264", "Link")</f>
        <v/>
      </c>
      <c r="E740" s="3" t="n">
        <v>14.283</v>
      </c>
      <c r="F740" s="4" t="n">
        <v>4</v>
      </c>
      <c r="G740" t="inlineStr">
        <is>
          <t>British Columbia</t>
        </is>
      </c>
      <c r="H740" t="inlineStr">
        <is>
          <t>No Club</t>
        </is>
      </c>
      <c r="I740" t="n">
        <v>36.3</v>
      </c>
      <c r="J740" s="4" t="n">
        <v>47</v>
      </c>
      <c r="K740" t="inlineStr">
        <is>
          <t>17 / 30</t>
        </is>
      </c>
      <c r="L740" t="inlineStr">
        <is>
          <t>4 / 5</t>
        </is>
      </c>
      <c r="M740" s="5" t="n">
        <v>0.36</v>
      </c>
      <c r="N740" s="5" t="n">
        <v>0.44</v>
      </c>
    </row>
    <row r="741">
      <c r="A741" t="n">
        <v>740</v>
      </c>
      <c r="B741" t="n">
        <v>2012</v>
      </c>
      <c r="C741" t="inlineStr">
        <is>
          <t>Renee Burton</t>
        </is>
      </c>
      <c r="D741">
        <f>HYPERLINK("https://ota.tournamentsoftware.com/player-profile/88D51E75-4EAF-4390-8A85-9E01D5A7B97C", "Link")</f>
        <v/>
      </c>
      <c r="E741" s="3" t="n">
        <v>14.11</v>
      </c>
      <c r="F741" s="4" t="n">
        <v>1</v>
      </c>
      <c r="G741" t="inlineStr">
        <is>
          <t>Ontario Tennis Association</t>
        </is>
      </c>
      <c r="H741" t="inlineStr">
        <is>
          <t>ACE Tennis - Burlington</t>
        </is>
      </c>
      <c r="I741" t="n">
        <v>35.9</v>
      </c>
      <c r="J741" s="4" t="n">
        <v>13</v>
      </c>
      <c r="K741" t="inlineStr">
        <is>
          <t>9 / 4</t>
        </is>
      </c>
      <c r="L741" t="inlineStr">
        <is>
          <t>9 / 4</t>
        </is>
      </c>
      <c r="M741" s="5" t="n">
        <v>0.6899999999999999</v>
      </c>
      <c r="N741" s="5" t="n">
        <v>0.6899999999999999</v>
      </c>
    </row>
    <row r="742">
      <c r="A742" t="n">
        <v>741</v>
      </c>
      <c r="B742" t="n">
        <v>2015</v>
      </c>
      <c r="C742" t="inlineStr">
        <is>
          <t>Nalla Isabella Lteif</t>
        </is>
      </c>
      <c r="D742">
        <f>HYPERLINK("https://ota.tournamentsoftware.com/player-profile/B0DC1A2D-B87B-4E66-A5EE-9C9F6EC668D4", "Link")</f>
        <v/>
      </c>
      <c r="E742" s="3" t="n">
        <v>13.839</v>
      </c>
      <c r="F742" s="4" t="n">
        <v>3</v>
      </c>
      <c r="G742" t="inlineStr">
        <is>
          <t>Tennis Québec</t>
        </is>
      </c>
      <c r="H742" t="inlineStr">
        <is>
          <t>Carrefour Multisports</t>
        </is>
      </c>
      <c r="I742" t="n">
        <v>39</v>
      </c>
      <c r="J742" s="4" t="n">
        <v>9</v>
      </c>
      <c r="K742" t="inlineStr">
        <is>
          <t>3 / 6</t>
        </is>
      </c>
      <c r="L742" t="inlineStr">
        <is>
          <t>1 / 3</t>
        </is>
      </c>
      <c r="M742" s="5" t="n">
        <v>0.33</v>
      </c>
      <c r="N742" s="5" t="n">
        <v>0.25</v>
      </c>
    </row>
    <row r="743">
      <c r="A743" t="n">
        <v>742</v>
      </c>
      <c r="B743" t="n">
        <v>2016</v>
      </c>
      <c r="C743" t="inlineStr">
        <is>
          <t>Jessie DONG</t>
        </is>
      </c>
      <c r="D743">
        <f>HYPERLINK("https://ota.tournamentsoftware.com/player-profile/DD46DDC2-A0FA-4A57-9C2B-207D02D3DFB6", "Link")</f>
        <v/>
      </c>
      <c r="E743" s="3" t="n">
        <v>13.8</v>
      </c>
      <c r="F743" s="4" t="n">
        <v>3</v>
      </c>
      <c r="G743" t="inlineStr">
        <is>
          <t>Ontario Tennis Association</t>
        </is>
      </c>
      <c r="H743" t="inlineStr">
        <is>
          <t>Burlington Hall Sporting Club</t>
        </is>
      </c>
      <c r="I743" t="n">
        <v>38.9</v>
      </c>
      <c r="J743" s="4" t="n">
        <v>48</v>
      </c>
      <c r="K743" t="inlineStr">
        <is>
          <t>21 / 27</t>
        </is>
      </c>
      <c r="L743" t="inlineStr">
        <is>
          <t>21 / 27</t>
        </is>
      </c>
      <c r="M743" s="5" t="n">
        <v>0.44</v>
      </c>
      <c r="N743" s="5" t="n">
        <v>0.44</v>
      </c>
    </row>
    <row r="744">
      <c r="A744" t="n">
        <v>743</v>
      </c>
      <c r="B744" t="n">
        <v>2013</v>
      </c>
      <c r="C744" t="inlineStr">
        <is>
          <t>Nitya Myneni</t>
        </is>
      </c>
      <c r="D744">
        <f>HYPERLINK("https://ota.tournamentsoftware.com/player-profile/482EDD14-11AD-4221-B031-4CDB8348AC62", "Link")</f>
        <v/>
      </c>
      <c r="E744" s="3" t="n">
        <v>13.478</v>
      </c>
      <c r="F744" s="4" t="n">
        <v>2</v>
      </c>
      <c r="G744" t="inlineStr">
        <is>
          <t>British Columbia</t>
        </is>
      </c>
      <c r="H744" t="inlineStr">
        <is>
          <t>The Tennis Centre</t>
        </is>
      </c>
      <c r="I744" t="n">
        <v>40</v>
      </c>
      <c r="J744" s="4" t="n">
        <v>26</v>
      </c>
      <c r="K744" t="inlineStr">
        <is>
          <t>8 / 18</t>
        </is>
      </c>
      <c r="L744" t="inlineStr">
        <is>
          <t>0 / 4</t>
        </is>
      </c>
      <c r="M744" s="5" t="n">
        <v>0.31</v>
      </c>
      <c r="N744" s="5" t="n">
        <v>0</v>
      </c>
    </row>
    <row r="745">
      <c r="A745" t="n">
        <v>744</v>
      </c>
      <c r="B745" t="n">
        <v>2017</v>
      </c>
      <c r="C745" t="inlineStr">
        <is>
          <t>Safiatou Ntentie Nchange</t>
        </is>
      </c>
      <c r="D745">
        <f>HYPERLINK("https://ota.tournamentsoftware.com/player-profile/5B1E15AE-3503-449A-B482-B98077F40A43", "Link")</f>
        <v/>
      </c>
      <c r="E745" s="3" t="n">
        <v>13.378</v>
      </c>
      <c r="F745" s="4" t="n">
        <v>5</v>
      </c>
      <c r="G745" t="inlineStr">
        <is>
          <t>Tennis Alberta</t>
        </is>
      </c>
      <c r="H745" t="inlineStr">
        <is>
          <t>No Club</t>
        </is>
      </c>
      <c r="I745" t="n">
        <v>36.6</v>
      </c>
      <c r="J745" s="4" t="n">
        <v>34</v>
      </c>
      <c r="K745" t="inlineStr">
        <is>
          <t>24 / 10</t>
        </is>
      </c>
      <c r="L745" t="inlineStr">
        <is>
          <t>20 / 9</t>
        </is>
      </c>
      <c r="M745" s="5" t="n">
        <v>0.71</v>
      </c>
      <c r="N745" s="5" t="n">
        <v>0.6899999999999999</v>
      </c>
    </row>
    <row r="746">
      <c r="A746" t="n">
        <v>745</v>
      </c>
      <c r="B746" t="n">
        <v>2013</v>
      </c>
      <c r="C746" t="inlineStr">
        <is>
          <t>Hailey Johnson</t>
        </is>
      </c>
      <c r="D746">
        <f>HYPERLINK("https://ota.tournamentsoftware.com/player-profile/D4247C6C-DBD8-41D1-867E-D35290341BA8", "Link")</f>
        <v/>
      </c>
      <c r="E746" s="3" t="n">
        <v>13.23</v>
      </c>
      <c r="F746" s="4" t="n">
        <v>2</v>
      </c>
      <c r="G746" t="inlineStr">
        <is>
          <t>British Columbia</t>
        </is>
      </c>
      <c r="H746" t="inlineStr">
        <is>
          <t>Tennis for Life</t>
        </is>
      </c>
      <c r="I746" t="inlineStr">
        <is>
          <t>unavailable</t>
        </is>
      </c>
      <c r="J746" s="4" t="n">
        <v>49</v>
      </c>
      <c r="K746" t="inlineStr">
        <is>
          <t>28 / 21</t>
        </is>
      </c>
      <c r="L746" t="inlineStr">
        <is>
          <t>1 / 1</t>
        </is>
      </c>
      <c r="M746" s="5" t="n">
        <v>0.57</v>
      </c>
      <c r="N746" s="5" t="n">
        <v>0.5</v>
      </c>
    </row>
    <row r="747">
      <c r="A747" t="n">
        <v>746</v>
      </c>
      <c r="B747" t="n">
        <v>2015</v>
      </c>
      <c r="C747" t="inlineStr">
        <is>
          <t>Mila Anglade</t>
        </is>
      </c>
      <c r="D747">
        <f>HYPERLINK("https://ota.tournamentsoftware.com/player-profile/05635752-0D80-4827-BA70-1CECB2BE0528", "Link")</f>
        <v/>
      </c>
      <c r="E747" s="3" t="n">
        <v>13.12</v>
      </c>
      <c r="F747" s="4" t="n">
        <v>3</v>
      </c>
      <c r="G747" t="inlineStr">
        <is>
          <t>Tennis Québec</t>
        </is>
      </c>
      <c r="H747" t="inlineStr">
        <is>
          <t>Carrefour Multisports</t>
        </is>
      </c>
      <c r="I747" t="inlineStr">
        <is>
          <t>unavailable</t>
        </is>
      </c>
      <c r="J747" s="4" t="n">
        <v>59</v>
      </c>
      <c r="K747" t="inlineStr">
        <is>
          <t>35 / 24</t>
        </is>
      </c>
      <c r="L747" t="inlineStr">
        <is>
          <t>4 / 1</t>
        </is>
      </c>
      <c r="M747" s="5" t="n">
        <v>0.59</v>
      </c>
      <c r="N747" s="5" t="n">
        <v>0.8</v>
      </c>
    </row>
    <row r="748">
      <c r="A748" t="n">
        <v>747</v>
      </c>
      <c r="B748" t="n">
        <v>2014</v>
      </c>
      <c r="C748" t="inlineStr">
        <is>
          <t>Olivia Duthoit</t>
        </is>
      </c>
      <c r="D748">
        <f>HYPERLINK("https://ota.tournamentsoftware.com/player-profile/7ADA0A6D-C257-4896-AEB0-8E053AAA4B48", "Link")</f>
        <v/>
      </c>
      <c r="E748" s="3" t="n">
        <v>13.092</v>
      </c>
      <c r="F748" s="4" t="n">
        <v>2</v>
      </c>
      <c r="G748" t="inlineStr">
        <is>
          <t>Tennis Québec</t>
        </is>
      </c>
      <c r="H748" t="inlineStr">
        <is>
          <t>Club Avantage Multi-sports / Académie de tennis Hérisset Bordeleau</t>
        </is>
      </c>
      <c r="I748" t="n">
        <v>36.6</v>
      </c>
      <c r="J748" s="4" t="n">
        <v>18</v>
      </c>
      <c r="K748" t="inlineStr">
        <is>
          <t>3 / 15</t>
        </is>
      </c>
      <c r="L748" t="inlineStr">
        <is>
          <t>2 / 3</t>
        </is>
      </c>
      <c r="M748" s="5" t="n">
        <v>0.17</v>
      </c>
      <c r="N748" s="5" t="n">
        <v>0.4</v>
      </c>
    </row>
    <row r="749">
      <c r="A749" t="n">
        <v>748</v>
      </c>
      <c r="B749" t="n">
        <v>2013</v>
      </c>
      <c r="C749" t="inlineStr">
        <is>
          <t>Addison Gilbertson</t>
        </is>
      </c>
      <c r="D749">
        <f>HYPERLINK("https://ota.tournamentsoftware.com/player-profile/C50AF072-EF16-4516-9D5D-42DF1D345F44", "Link")</f>
        <v/>
      </c>
      <c r="E749" s="3" t="n">
        <v>12.687</v>
      </c>
      <c r="F749" s="4" t="n">
        <v>5</v>
      </c>
      <c r="G749" t="inlineStr">
        <is>
          <t>Tennis Alberta</t>
        </is>
      </c>
      <c r="H749" t="inlineStr">
        <is>
          <t>Royal Glenora Club</t>
        </is>
      </c>
      <c r="I749" t="n">
        <v>38.1</v>
      </c>
      <c r="J749" s="4" t="n">
        <v>48</v>
      </c>
      <c r="K749" t="inlineStr">
        <is>
          <t>18 / 30</t>
        </is>
      </c>
      <c r="L749" t="inlineStr">
        <is>
          <t>1 / 4</t>
        </is>
      </c>
      <c r="M749" s="5" t="n">
        <v>0.38</v>
      </c>
      <c r="N749" s="5" t="n">
        <v>0.2</v>
      </c>
    </row>
    <row r="750">
      <c r="A750" t="n">
        <v>749</v>
      </c>
      <c r="B750" t="n">
        <v>2015</v>
      </c>
      <c r="C750" t="inlineStr">
        <is>
          <t>Mirra Tverskaia</t>
        </is>
      </c>
      <c r="D750">
        <f>HYPERLINK("https://ota.tournamentsoftware.com/player-profile/A09D283B-5C23-4F54-A304-0C0125F7637B", "Link")</f>
        <v/>
      </c>
      <c r="E750" s="3" t="n">
        <v>12.632</v>
      </c>
      <c r="F750" s="4" t="n">
        <v>3</v>
      </c>
      <c r="G750" t="inlineStr">
        <is>
          <t>Tennis Prince Edward Island</t>
        </is>
      </c>
      <c r="H750" t="inlineStr">
        <is>
          <t>Royalty Racquet Centre</t>
        </is>
      </c>
      <c r="I750" t="inlineStr">
        <is>
          <t>unavailable</t>
        </is>
      </c>
      <c r="J750" s="4" t="n">
        <v>39</v>
      </c>
      <c r="K750" t="inlineStr">
        <is>
          <t>14 / 25</t>
        </is>
      </c>
      <c r="L750" t="inlineStr">
        <is>
          <t>0 / 1</t>
        </is>
      </c>
      <c r="M750" s="5" t="n">
        <v>0.36</v>
      </c>
      <c r="N750" s="5" t="n">
        <v>0</v>
      </c>
    </row>
    <row r="751">
      <c r="A751" t="n">
        <v>750</v>
      </c>
      <c r="B751" t="n">
        <v>2015</v>
      </c>
      <c r="C751" t="inlineStr">
        <is>
          <t>Amelia Alexei</t>
        </is>
      </c>
      <c r="D751">
        <f>HYPERLINK("https://ota.tournamentsoftware.com/player-profile/7C4A6760-7216-46E2-B5F7-A7F51935EA6B", "Link")</f>
        <v/>
      </c>
      <c r="E751" s="3" t="n">
        <v>12.6</v>
      </c>
      <c r="F751" s="4" t="n">
        <v>2</v>
      </c>
      <c r="G751" t="inlineStr">
        <is>
          <t>Ontario Tennis Association</t>
        </is>
      </c>
      <c r="H751" t="inlineStr">
        <is>
          <t>Toronto Tennis Academy</t>
        </is>
      </c>
      <c r="I751" t="n">
        <v>37.3</v>
      </c>
      <c r="J751" s="4" t="n">
        <v>95</v>
      </c>
      <c r="K751" t="inlineStr">
        <is>
          <t>63 / 32</t>
        </is>
      </c>
      <c r="L751" t="inlineStr">
        <is>
          <t>0 / 0</t>
        </is>
      </c>
      <c r="M751" s="5" t="n">
        <v>0.66</v>
      </c>
      <c r="N751" s="5" t="n">
        <v>0</v>
      </c>
    </row>
    <row r="752">
      <c r="A752" t="n">
        <v>751</v>
      </c>
      <c r="B752" t="n">
        <v>2015</v>
      </c>
      <c r="C752" t="inlineStr">
        <is>
          <t>Charlotte Huiyan Li</t>
        </is>
      </c>
      <c r="D752">
        <f>HYPERLINK("https://ota.tournamentsoftware.com/player-profile/150EC5E4-980E-4649-9619-E10B11D9BA5E", "Link")</f>
        <v/>
      </c>
      <c r="E752" s="3" t="n">
        <v>12.528</v>
      </c>
      <c r="F752" s="4" t="n">
        <v>3</v>
      </c>
      <c r="G752" t="inlineStr">
        <is>
          <t>British Columbia</t>
        </is>
      </c>
      <c r="H752" t="inlineStr">
        <is>
          <t>Tennis for Life</t>
        </is>
      </c>
      <c r="I752" t="n">
        <v>36.2</v>
      </c>
      <c r="J752" s="4" t="n">
        <v>39</v>
      </c>
      <c r="K752" t="inlineStr">
        <is>
          <t>15 / 24</t>
        </is>
      </c>
      <c r="L752" t="inlineStr">
        <is>
          <t>2 / 2</t>
        </is>
      </c>
      <c r="M752" s="5" t="n">
        <v>0.38</v>
      </c>
      <c r="N752" s="5" t="n">
        <v>0.5</v>
      </c>
    </row>
    <row r="753">
      <c r="A753" t="n">
        <v>752</v>
      </c>
      <c r="B753" t="n">
        <v>2013</v>
      </c>
      <c r="C753" t="inlineStr">
        <is>
          <t>Felicia Mingfei Li</t>
        </is>
      </c>
      <c r="D753">
        <f>HYPERLINK("https://ota.tournamentsoftware.com/player-profile/32F60D7D-3E57-4800-9C5C-282147021863", "Link")</f>
        <v/>
      </c>
      <c r="E753" s="3" t="n">
        <v>12.378</v>
      </c>
      <c r="F753" s="4" t="n">
        <v>3</v>
      </c>
      <c r="G753" t="inlineStr">
        <is>
          <t>Ontario Tennis Association</t>
        </is>
      </c>
      <c r="H753" t="inlineStr">
        <is>
          <t>Marilyn Redvers Tennis Club</t>
        </is>
      </c>
      <c r="I753" t="n">
        <v>39.7</v>
      </c>
      <c r="J753" s="4" t="n">
        <v>31</v>
      </c>
      <c r="K753" t="inlineStr">
        <is>
          <t>9 / 22</t>
        </is>
      </c>
      <c r="L753" t="inlineStr">
        <is>
          <t>0 / 2</t>
        </is>
      </c>
      <c r="M753" s="5" t="n">
        <v>0.29</v>
      </c>
      <c r="N753" s="5" t="n">
        <v>0</v>
      </c>
    </row>
    <row r="754">
      <c r="A754" t="n">
        <v>753</v>
      </c>
      <c r="B754" t="n">
        <v>2012</v>
      </c>
      <c r="C754" t="inlineStr">
        <is>
          <t>Anzhuo Yi</t>
        </is>
      </c>
      <c r="D754">
        <f>HYPERLINK("https://ota.tournamentsoftware.com/player-profile/60444867-D5FF-4226-8841-4058D520099B", "Link")</f>
        <v/>
      </c>
      <c r="E754" s="3" t="n">
        <v>12.336</v>
      </c>
      <c r="F754" s="4" t="n">
        <v>1</v>
      </c>
      <c r="G754" t="inlineStr">
        <is>
          <t>Ontario Tennis Association</t>
        </is>
      </c>
      <c r="H754" t="inlineStr">
        <is>
          <t>Premier Racquet Clubs – Mississauga</t>
        </is>
      </c>
      <c r="I754" t="n">
        <v>37.7</v>
      </c>
      <c r="J754" s="4" t="n">
        <v>8</v>
      </c>
      <c r="K754" t="inlineStr">
        <is>
          <t>2 / 6</t>
        </is>
      </c>
      <c r="L754" t="inlineStr">
        <is>
          <t>2 / 6</t>
        </is>
      </c>
      <c r="M754" s="5" t="n">
        <v>0.25</v>
      </c>
      <c r="N754" s="5" t="n">
        <v>0.25</v>
      </c>
    </row>
    <row r="755">
      <c r="A755" t="n">
        <v>754</v>
      </c>
      <c r="B755" t="n">
        <v>2014</v>
      </c>
      <c r="C755" t="inlineStr">
        <is>
          <t>kunyou Guan</t>
        </is>
      </c>
      <c r="D755">
        <f>HYPERLINK("https://ota.tournamentsoftware.com/player-profile/1F3E9C6C-8AD9-4B0B-B88C-410B372DBAF5", "Link")</f>
        <v/>
      </c>
      <c r="E755" s="3" t="n">
        <v>12.307</v>
      </c>
      <c r="F755" s="4" t="n">
        <v>4</v>
      </c>
      <c r="G755" t="inlineStr">
        <is>
          <t>Ontario Tennis Association</t>
        </is>
      </c>
      <c r="H755" t="inlineStr">
        <is>
          <t>Mayfair West Fitness &amp; Racquet Club</t>
        </is>
      </c>
      <c r="I755" t="n">
        <v>38.4</v>
      </c>
      <c r="J755" s="4" t="n">
        <v>32</v>
      </c>
      <c r="K755" t="inlineStr">
        <is>
          <t>16 / 16</t>
        </is>
      </c>
      <c r="L755" t="inlineStr">
        <is>
          <t>3 / 5</t>
        </is>
      </c>
      <c r="M755" s="5" t="n">
        <v>0.5</v>
      </c>
      <c r="N755" s="5" t="n">
        <v>0.38</v>
      </c>
    </row>
    <row r="756">
      <c r="A756" t="n">
        <v>755</v>
      </c>
      <c r="B756" t="n">
        <v>2016</v>
      </c>
      <c r="C756" t="inlineStr">
        <is>
          <t>Eiman Javaid Khan</t>
        </is>
      </c>
      <c r="D756">
        <f>HYPERLINK("https://ota.tournamentsoftware.com/player-profile/417EBA88-24AB-42AB-9421-1764C4FCA777", "Link")</f>
        <v/>
      </c>
      <c r="E756" s="3" t="n">
        <v>12</v>
      </c>
      <c r="F756" s="4" t="n">
        <v>2</v>
      </c>
      <c r="G756" t="inlineStr">
        <is>
          <t>Tennis Newfoundland &amp; Labrador</t>
        </is>
      </c>
      <c r="H756" t="inlineStr">
        <is>
          <t>Greenbelt Tennis Club</t>
        </is>
      </c>
      <c r="I756" t="inlineStr">
        <is>
          <t>unavailable</t>
        </is>
      </c>
      <c r="J756" s="4" t="n">
        <v>14</v>
      </c>
      <c r="K756" t="inlineStr">
        <is>
          <t>4 / 10</t>
        </is>
      </c>
      <c r="L756" t="inlineStr">
        <is>
          <t>3 / 6</t>
        </is>
      </c>
      <c r="M756" s="5" t="n">
        <v>0.29</v>
      </c>
      <c r="N756" s="5" t="n">
        <v>0.33</v>
      </c>
    </row>
    <row r="757">
      <c r="A757" t="n">
        <v>756</v>
      </c>
      <c r="B757" t="n">
        <v>2012</v>
      </c>
      <c r="C757" t="inlineStr">
        <is>
          <t>Belen Aldana</t>
        </is>
      </c>
      <c r="D757">
        <f>HYPERLINK("https://ota.tournamentsoftware.com/player-profile/403664F3-E594-4FFF-BEC0-1AF63F2F73E4", "Link")</f>
        <v/>
      </c>
      <c r="E757" s="3" t="n">
        <v>11.855</v>
      </c>
      <c r="F757" s="4" t="n">
        <v>4</v>
      </c>
      <c r="G757" t="inlineStr">
        <is>
          <t>Tennis Québec</t>
        </is>
      </c>
      <c r="H757" t="inlineStr">
        <is>
          <t>SANI Sport</t>
        </is>
      </c>
      <c r="I757" t="n">
        <v>38.1</v>
      </c>
      <c r="J757" s="4" t="n">
        <v>5</v>
      </c>
      <c r="K757" t="inlineStr">
        <is>
          <t>0 / 5</t>
        </is>
      </c>
      <c r="L757" t="inlineStr">
        <is>
          <t>0 / 5</t>
        </is>
      </c>
      <c r="M757" s="5" t="n">
        <v>0</v>
      </c>
      <c r="N757" s="5" t="n">
        <v>0</v>
      </c>
    </row>
    <row r="758">
      <c r="A758" t="n">
        <v>757</v>
      </c>
      <c r="B758" t="n">
        <v>2014</v>
      </c>
      <c r="C758" t="inlineStr">
        <is>
          <t>Kayla Caden</t>
        </is>
      </c>
      <c r="D758">
        <f>HYPERLINK("https://ota.tournamentsoftware.com/player-profile/EB31E71A-90E6-4B10-9538-33BC7B66EA6E", "Link")</f>
        <v/>
      </c>
      <c r="E758" s="3" t="n">
        <v>11.809</v>
      </c>
      <c r="F758" s="4" t="n">
        <v>3</v>
      </c>
      <c r="G758" t="inlineStr">
        <is>
          <t>Tennis Québec</t>
        </is>
      </c>
      <c r="H758" t="inlineStr">
        <is>
          <t>Club de tennis St-Lambert</t>
        </is>
      </c>
      <c r="I758" t="n">
        <v>38.1</v>
      </c>
      <c r="J758" s="4" t="n">
        <v>11</v>
      </c>
      <c r="K758" t="inlineStr">
        <is>
          <t>4 / 7</t>
        </is>
      </c>
      <c r="L758" t="inlineStr">
        <is>
          <t>2 / 3</t>
        </is>
      </c>
      <c r="M758" s="5" t="n">
        <v>0.36</v>
      </c>
      <c r="N758" s="5" t="n">
        <v>0.4</v>
      </c>
    </row>
    <row r="759">
      <c r="A759" t="n">
        <v>758</v>
      </c>
      <c r="B759" t="n">
        <v>2016</v>
      </c>
      <c r="C759" t="inlineStr">
        <is>
          <t>Yuetian Caroline Guo</t>
        </is>
      </c>
      <c r="D759">
        <f>HYPERLINK("https://ota.tournamentsoftware.com/player-profile/D9EEB088-31A0-4FD1-A91B-A82319998935", "Link")</f>
        <v/>
      </c>
      <c r="E759" s="3" t="n">
        <v>11.794</v>
      </c>
      <c r="F759" s="4" t="n">
        <v>6</v>
      </c>
      <c r="G759" t="inlineStr">
        <is>
          <t>British Columbia</t>
        </is>
      </c>
      <c r="H759" t="inlineStr">
        <is>
          <t>The Tennis Centre</t>
        </is>
      </c>
      <c r="I759" t="n">
        <v>37.4</v>
      </c>
      <c r="J759" s="4" t="n">
        <v>94</v>
      </c>
      <c r="K759" t="inlineStr">
        <is>
          <t>55 / 39</t>
        </is>
      </c>
      <c r="L759" t="inlineStr">
        <is>
          <t>25 / 13</t>
        </is>
      </c>
      <c r="M759" s="5" t="n">
        <v>0.59</v>
      </c>
      <c r="N759" s="5" t="n">
        <v>0.66</v>
      </c>
    </row>
    <row r="760">
      <c r="A760" t="n">
        <v>759</v>
      </c>
      <c r="B760" t="n">
        <v>2015</v>
      </c>
      <c r="C760" t="inlineStr">
        <is>
          <t>Isla Cowper</t>
        </is>
      </c>
      <c r="D760">
        <f>HYPERLINK("https://ota.tournamentsoftware.com/player-profile/B4F82BC2-5552-446F-89FC-C5F7C7A674B7", "Link")</f>
        <v/>
      </c>
      <c r="E760" s="3" t="n">
        <v>11.664</v>
      </c>
      <c r="F760" s="4" t="n">
        <v>3</v>
      </c>
      <c r="G760" t="inlineStr">
        <is>
          <t>Ontario Tennis Association</t>
        </is>
      </c>
      <c r="H760" t="inlineStr">
        <is>
          <t>Tam Heather Tennis Club</t>
        </is>
      </c>
      <c r="I760" t="n">
        <v>38.7</v>
      </c>
      <c r="J760" s="4" t="n">
        <v>60</v>
      </c>
      <c r="K760" t="inlineStr">
        <is>
          <t>27 / 33</t>
        </is>
      </c>
      <c r="L760" t="inlineStr">
        <is>
          <t>7 / 9</t>
        </is>
      </c>
      <c r="M760" s="5" t="n">
        <v>0.45</v>
      </c>
      <c r="N760" s="5" t="n">
        <v>0.44</v>
      </c>
    </row>
    <row r="761">
      <c r="A761" t="n">
        <v>759</v>
      </c>
      <c r="B761" t="n">
        <v>2012</v>
      </c>
      <c r="C761" t="inlineStr">
        <is>
          <t>Angel Wen</t>
        </is>
      </c>
      <c r="D761">
        <f>HYPERLINK("https://ota.tournamentsoftware.com/player-profile/2BF37F0F-B2BA-4533-859D-5AFB82154AAC", "Link")</f>
        <v/>
      </c>
      <c r="E761" s="3" t="n">
        <v>11.664</v>
      </c>
      <c r="F761" s="4" t="n">
        <v>1</v>
      </c>
      <c r="G761" t="inlineStr">
        <is>
          <t>Tennis Nova Scotia</t>
        </is>
      </c>
      <c r="H761" t="inlineStr">
        <is>
          <t>Atlantic Tennis Centre</t>
        </is>
      </c>
      <c r="I761" t="n">
        <v>36.8</v>
      </c>
      <c r="J761" s="4" t="n">
        <v>2</v>
      </c>
      <c r="K761" t="inlineStr">
        <is>
          <t>0 / 2</t>
        </is>
      </c>
      <c r="L761" t="inlineStr">
        <is>
          <t>0 / 0</t>
        </is>
      </c>
      <c r="M761" s="5" t="n">
        <v>0</v>
      </c>
      <c r="N761" s="5" t="n">
        <v>0</v>
      </c>
    </row>
    <row r="762">
      <c r="A762" t="n">
        <v>761</v>
      </c>
      <c r="B762" t="n">
        <v>2013</v>
      </c>
      <c r="C762" t="inlineStr">
        <is>
          <t>Giselle Christine Lambert</t>
        </is>
      </c>
      <c r="D762">
        <f>HYPERLINK("https://ota.tournamentsoftware.com/player-profile/2E2CA1C3-86CC-418F-BF1B-9B9E4D99F292", "Link")</f>
        <v/>
      </c>
      <c r="E762" s="3" t="n">
        <v>11.48</v>
      </c>
      <c r="F762" s="4" t="n">
        <v>2</v>
      </c>
      <c r="G762" t="inlineStr">
        <is>
          <t>British Columbia</t>
        </is>
      </c>
      <c r="H762" t="inlineStr">
        <is>
          <t>Hollyburn Country Club</t>
        </is>
      </c>
      <c r="I762" t="n">
        <v>36.9</v>
      </c>
      <c r="J762" s="4" t="n">
        <v>44</v>
      </c>
      <c r="K762" t="inlineStr">
        <is>
          <t>10 / 34</t>
        </is>
      </c>
      <c r="L762" t="inlineStr">
        <is>
          <t>0 / 0</t>
        </is>
      </c>
      <c r="M762" s="5" t="n">
        <v>0.23</v>
      </c>
      <c r="N762" s="5" t="n">
        <v>0</v>
      </c>
    </row>
    <row r="763">
      <c r="A763" t="n">
        <v>762</v>
      </c>
      <c r="B763" t="n">
        <v>2015</v>
      </c>
      <c r="C763" t="inlineStr">
        <is>
          <t>Daisy Dai</t>
        </is>
      </c>
      <c r="D763">
        <f>HYPERLINK("https://ota.tournamentsoftware.com/player-profile/C64DEFB9-4BBC-4AA1-8CC8-9020440935AB", "Link")</f>
        <v/>
      </c>
      <c r="E763" s="3" t="n">
        <v>11.448</v>
      </c>
      <c r="F763" s="4" t="n">
        <v>1</v>
      </c>
      <c r="G763" t="inlineStr">
        <is>
          <t>Tennis Nova Scotia</t>
        </is>
      </c>
      <c r="H763" t="inlineStr">
        <is>
          <t>Atlantic Tennis Centre</t>
        </is>
      </c>
      <c r="I763" t="n">
        <v>35.3</v>
      </c>
      <c r="J763" s="4" t="n">
        <v>19</v>
      </c>
      <c r="K763" t="inlineStr">
        <is>
          <t>13 / 6</t>
        </is>
      </c>
      <c r="L763" t="inlineStr">
        <is>
          <t>1 / 1</t>
        </is>
      </c>
      <c r="M763" s="5" t="n">
        <v>0.68</v>
      </c>
      <c r="N763" s="5" t="n">
        <v>0.5</v>
      </c>
    </row>
    <row r="764">
      <c r="A764" t="n">
        <v>762</v>
      </c>
      <c r="B764" t="n">
        <v>2016</v>
      </c>
      <c r="C764" t="inlineStr">
        <is>
          <t>Harper Whitehead</t>
        </is>
      </c>
      <c r="D764">
        <f>HYPERLINK("https://ota.tournamentsoftware.com/player-profile/11F4D113-D7D4-48BC-9EC5-3040B116C96D", "Link")</f>
        <v/>
      </c>
      <c r="E764" s="3" t="n">
        <v>11.448</v>
      </c>
      <c r="F764" s="4" t="n">
        <v>9</v>
      </c>
      <c r="G764" t="inlineStr">
        <is>
          <t>Tennis Nova Scotia</t>
        </is>
      </c>
      <c r="H764" t="inlineStr">
        <is>
          <t>Atlantic Tennis Centre</t>
        </is>
      </c>
      <c r="I764" t="n">
        <v>38</v>
      </c>
      <c r="J764" s="4" t="n">
        <v>76</v>
      </c>
      <c r="K764" t="inlineStr">
        <is>
          <t>34 / 42</t>
        </is>
      </c>
      <c r="L764" t="inlineStr">
        <is>
          <t>9 / 12</t>
        </is>
      </c>
      <c r="M764" s="5" t="n">
        <v>0.45</v>
      </c>
      <c r="N764" s="5" t="n">
        <v>0.43</v>
      </c>
    </row>
    <row r="765">
      <c r="A765" t="n">
        <v>764</v>
      </c>
      <c r="B765" t="n">
        <v>2015</v>
      </c>
      <c r="C765" t="inlineStr">
        <is>
          <t>Cléony Le</t>
        </is>
      </c>
      <c r="D765">
        <f>HYPERLINK("https://ota.tournamentsoftware.com/player-profile/D1C4971B-CB54-436E-9303-C69424DC84AC", "Link")</f>
        <v/>
      </c>
      <c r="E765" s="3" t="n">
        <v>11.429</v>
      </c>
      <c r="F765" s="4" t="n">
        <v>1</v>
      </c>
      <c r="G765" t="inlineStr">
        <is>
          <t>Tennis Québec</t>
        </is>
      </c>
      <c r="H765" t="inlineStr">
        <is>
          <t>Centre récréatif de Repentigny / Académie Tennis Momentum</t>
        </is>
      </c>
      <c r="I765" t="n">
        <v>37</v>
      </c>
      <c r="J765" s="4" t="n">
        <v>32</v>
      </c>
      <c r="K765" t="inlineStr">
        <is>
          <t>15 / 17</t>
        </is>
      </c>
      <c r="L765" t="inlineStr">
        <is>
          <t>0 / 1</t>
        </is>
      </c>
      <c r="M765" s="5" t="n">
        <v>0.47</v>
      </c>
      <c r="N765" s="5" t="n">
        <v>0</v>
      </c>
    </row>
    <row r="766">
      <c r="A766" t="n">
        <v>765</v>
      </c>
      <c r="B766" t="n">
        <v>2012</v>
      </c>
      <c r="C766" t="inlineStr">
        <is>
          <t>Charley Burgess</t>
        </is>
      </c>
      <c r="D766">
        <f>HYPERLINK("https://ota.tournamentsoftware.com/player-profile/F7818ED5-A370-4D5D-9CAE-03309F03D5FD", "Link")</f>
        <v/>
      </c>
      <c r="E766" s="3" t="n">
        <v>11.301</v>
      </c>
      <c r="F766" s="4" t="n">
        <v>3</v>
      </c>
      <c r="G766" t="inlineStr">
        <is>
          <t>Tennis Alberta</t>
        </is>
      </c>
      <c r="H766" t="inlineStr">
        <is>
          <t>The Glencoe Club</t>
        </is>
      </c>
      <c r="I766" t="inlineStr">
        <is>
          <t>unavailable</t>
        </is>
      </c>
      <c r="J766" s="4" t="n">
        <v>52</v>
      </c>
      <c r="K766" t="inlineStr">
        <is>
          <t>23 / 29</t>
        </is>
      </c>
      <c r="L766" t="inlineStr">
        <is>
          <t>0 / 0</t>
        </is>
      </c>
      <c r="M766" s="5" t="n">
        <v>0.44</v>
      </c>
      <c r="N766" s="5" t="n">
        <v>0</v>
      </c>
    </row>
    <row r="767">
      <c r="A767" t="n">
        <v>766</v>
      </c>
      <c r="B767" t="n">
        <v>2014</v>
      </c>
      <c r="C767" t="inlineStr">
        <is>
          <t>Neiva George</t>
        </is>
      </c>
      <c r="D767">
        <f>HYPERLINK("https://ota.tournamentsoftware.com/player-profile/1A9BA311-0F1E-40A7-9341-ECED97AEEBBD", "Link")</f>
        <v/>
      </c>
      <c r="E767" s="3" t="n">
        <v>11.286</v>
      </c>
      <c r="F767" s="4" t="n">
        <v>2</v>
      </c>
      <c r="G767" t="inlineStr">
        <is>
          <t>Ontario Tennis Association</t>
        </is>
      </c>
      <c r="H767" t="inlineStr">
        <is>
          <t>Headwaters Racquet Club</t>
        </is>
      </c>
      <c r="I767" t="n">
        <v>36.9</v>
      </c>
      <c r="J767" s="4" t="n">
        <v>45</v>
      </c>
      <c r="K767" t="inlineStr">
        <is>
          <t>23 / 22</t>
        </is>
      </c>
      <c r="L767" t="inlineStr">
        <is>
          <t>7 / 4</t>
        </is>
      </c>
      <c r="M767" s="5" t="n">
        <v>0.51</v>
      </c>
      <c r="N767" s="5" t="n">
        <v>0.64</v>
      </c>
    </row>
    <row r="768">
      <c r="A768" t="n">
        <v>767</v>
      </c>
      <c r="B768" t="n">
        <v>2017</v>
      </c>
      <c r="C768" t="inlineStr">
        <is>
          <t>Erika ko</t>
        </is>
      </c>
      <c r="D768">
        <f>HYPERLINK("https://ota.tournamentsoftware.com/player-profile/63E3DB95-CFC7-47F5-8461-E32C50FD6342", "Link")</f>
        <v/>
      </c>
      <c r="E768" s="3" t="n">
        <v>11.16</v>
      </c>
      <c r="F768" s="4" t="n">
        <v>5</v>
      </c>
      <c r="G768" t="inlineStr">
        <is>
          <t>British Columbia</t>
        </is>
      </c>
      <c r="H768" t="inlineStr">
        <is>
          <t>Richmond Country Club</t>
        </is>
      </c>
      <c r="I768" t="n">
        <v>38.9</v>
      </c>
      <c r="J768" s="4" t="n">
        <v>133</v>
      </c>
      <c r="K768" t="inlineStr">
        <is>
          <t>60 / 73</t>
        </is>
      </c>
      <c r="L768" t="inlineStr">
        <is>
          <t>3 / 7</t>
        </is>
      </c>
      <c r="M768" s="5" t="n">
        <v>0.45</v>
      </c>
      <c r="N768" s="5" t="n">
        <v>0.3</v>
      </c>
    </row>
    <row r="769">
      <c r="A769" t="n">
        <v>768</v>
      </c>
      <c r="B769" t="n">
        <v>2016</v>
      </c>
      <c r="C769" t="inlineStr">
        <is>
          <t>Emma Hao</t>
        </is>
      </c>
      <c r="D769">
        <f>HYPERLINK("https://ota.tournamentsoftware.com/player-profile/144D222A-CD06-4355-817D-B27D5DB62B85", "Link")</f>
        <v/>
      </c>
      <c r="E769" s="3" t="n">
        <v>11.141</v>
      </c>
      <c r="F769" s="4" t="n">
        <v>3</v>
      </c>
      <c r="G769" t="inlineStr">
        <is>
          <t>Ontario Tennis Association</t>
        </is>
      </c>
      <c r="H769" t="inlineStr">
        <is>
          <t>Toronto Tennis City</t>
        </is>
      </c>
      <c r="I769" t="n">
        <v>37.6</v>
      </c>
      <c r="J769" s="4" t="n">
        <v>67</v>
      </c>
      <c r="K769" t="inlineStr">
        <is>
          <t>36 / 31</t>
        </is>
      </c>
      <c r="L769" t="inlineStr">
        <is>
          <t>16 / 7</t>
        </is>
      </c>
      <c r="M769" s="5" t="n">
        <v>0.54</v>
      </c>
      <c r="N769" s="5" t="n">
        <v>0.7</v>
      </c>
    </row>
    <row r="770">
      <c r="A770" t="n">
        <v>769</v>
      </c>
      <c r="B770" t="n">
        <v>2012</v>
      </c>
      <c r="C770" t="inlineStr">
        <is>
          <t>Jeanne Ricard</t>
        </is>
      </c>
      <c r="D770">
        <f>HYPERLINK("https://ota.tournamentsoftware.com/player-profile/0C0EC550-1536-4AE2-9886-E59F56C6C34D", "Link")</f>
        <v/>
      </c>
      <c r="E770" s="3" t="n">
        <v>10.964</v>
      </c>
      <c r="F770" s="4" t="n">
        <v>2</v>
      </c>
      <c r="G770" t="inlineStr">
        <is>
          <t>Tennis Québec</t>
        </is>
      </c>
      <c r="H770" t="inlineStr">
        <is>
          <t>Académie Tennis Momentum (club extérieur)</t>
        </is>
      </c>
      <c r="I770" t="n">
        <v>39</v>
      </c>
      <c r="J770" s="4" t="n">
        <v>44</v>
      </c>
      <c r="K770" t="inlineStr">
        <is>
          <t>19 / 25</t>
        </is>
      </c>
      <c r="L770" t="inlineStr">
        <is>
          <t>0 / 0</t>
        </is>
      </c>
      <c r="M770" s="5" t="n">
        <v>0.43</v>
      </c>
      <c r="N770" s="5" t="n">
        <v>0</v>
      </c>
    </row>
    <row r="771">
      <c r="A771" t="n">
        <v>770</v>
      </c>
      <c r="B771" t="n">
        <v>2015</v>
      </c>
      <c r="C771" t="inlineStr">
        <is>
          <t>Fabiola Antonella Sanchez Ferreyra</t>
        </is>
      </c>
      <c r="D771">
        <f>HYPERLINK("https://ota.tournamentsoftware.com/player-profile/B37A6388-D965-4303-A37E-1111875A98DF", "Link")</f>
        <v/>
      </c>
      <c r="E771" s="3" t="n">
        <v>10.873</v>
      </c>
      <c r="F771" s="4" t="n">
        <v>1</v>
      </c>
      <c r="G771" t="inlineStr">
        <is>
          <t>Tennis Québec</t>
        </is>
      </c>
      <c r="H771" t="inlineStr">
        <is>
          <t>SANI Sport</t>
        </is>
      </c>
      <c r="I771" t="n">
        <v>39.4</v>
      </c>
      <c r="J771" s="4" t="n">
        <v>12</v>
      </c>
      <c r="K771" t="inlineStr">
        <is>
          <t>7 / 5</t>
        </is>
      </c>
      <c r="L771" t="inlineStr">
        <is>
          <t>0 / 1</t>
        </is>
      </c>
      <c r="M771" s="5" t="n">
        <v>0.58</v>
      </c>
      <c r="N771" s="5" t="n">
        <v>0</v>
      </c>
    </row>
    <row r="772">
      <c r="A772" t="n">
        <v>771</v>
      </c>
      <c r="B772" t="n">
        <v>2016</v>
      </c>
      <c r="C772" t="inlineStr">
        <is>
          <t>Archini Bera</t>
        </is>
      </c>
      <c r="D772">
        <f>HYPERLINK("https://ota.tournamentsoftware.com/player-profile/6FA68B83-6E0E-4A78-81A0-6004576A8E6E", "Link")</f>
        <v/>
      </c>
      <c r="E772" s="3" t="n">
        <v>10.8</v>
      </c>
      <c r="F772" s="4" t="n">
        <v>1</v>
      </c>
      <c r="G772" t="inlineStr">
        <is>
          <t>Ontario Tennis Association</t>
        </is>
      </c>
      <c r="H772" t="inlineStr">
        <is>
          <t>Rideau Sports Centre</t>
        </is>
      </c>
      <c r="I772" t="inlineStr">
        <is>
          <t>unavailable</t>
        </is>
      </c>
      <c r="J772" s="4" t="n">
        <v>45</v>
      </c>
      <c r="K772" t="inlineStr">
        <is>
          <t>27 / 18</t>
        </is>
      </c>
      <c r="L772" t="inlineStr">
        <is>
          <t>24 / 9</t>
        </is>
      </c>
      <c r="M772" s="5" t="n">
        <v>0.6</v>
      </c>
      <c r="N772" s="5" t="n">
        <v>0.73</v>
      </c>
    </row>
    <row r="773">
      <c r="A773" t="n">
        <v>771</v>
      </c>
      <c r="B773" t="n">
        <v>2015</v>
      </c>
      <c r="C773" t="inlineStr">
        <is>
          <t>Tamara Amad</t>
        </is>
      </c>
      <c r="D773">
        <f>HYPERLINK("https://ota.tournamentsoftware.com/player-profile/4DB13A7D-F9F2-45DD-AAD4-FA9987D24AC9", "Link")</f>
        <v/>
      </c>
      <c r="E773" s="3" t="n">
        <v>10.8</v>
      </c>
      <c r="F773" s="4" t="n">
        <v>1</v>
      </c>
      <c r="G773" t="inlineStr">
        <is>
          <t>Ontario Tennis Association</t>
        </is>
      </c>
      <c r="H773" t="inlineStr">
        <is>
          <t>Ontario Racquet Club</t>
        </is>
      </c>
      <c r="I773" t="inlineStr">
        <is>
          <t>unavailable</t>
        </is>
      </c>
      <c r="J773" s="4" t="n">
        <v>20</v>
      </c>
      <c r="K773" t="inlineStr">
        <is>
          <t>12 / 8</t>
        </is>
      </c>
      <c r="L773" t="inlineStr">
        <is>
          <t>3 / 3</t>
        </is>
      </c>
      <c r="M773" s="5" t="n">
        <v>0.6</v>
      </c>
      <c r="N773" s="5" t="n">
        <v>0.5</v>
      </c>
    </row>
    <row r="774">
      <c r="A774" t="n">
        <v>771</v>
      </c>
      <c r="B774" t="n">
        <v>2016</v>
      </c>
      <c r="C774" t="inlineStr">
        <is>
          <t>Stella Somerville</t>
        </is>
      </c>
      <c r="D774">
        <f>HYPERLINK("https://ota.tournamentsoftware.com/player-profile/87C92774-21A4-4A46-97F9-D656FA91A212", "Link")</f>
        <v/>
      </c>
      <c r="E774" s="3" t="n">
        <v>10.8</v>
      </c>
      <c r="F774" s="4" t="n">
        <v>3</v>
      </c>
      <c r="G774" t="inlineStr">
        <is>
          <t>Ontario Tennis Association</t>
        </is>
      </c>
      <c r="H774" t="inlineStr">
        <is>
          <t>Advantage Tennis International at Veneto</t>
        </is>
      </c>
      <c r="I774" t="n">
        <v>37.5</v>
      </c>
      <c r="J774" s="4" t="n">
        <v>79</v>
      </c>
      <c r="K774" t="inlineStr">
        <is>
          <t>36 / 43</t>
        </is>
      </c>
      <c r="L774" t="inlineStr">
        <is>
          <t>5 / 5</t>
        </is>
      </c>
      <c r="M774" s="5" t="n">
        <v>0.46</v>
      </c>
      <c r="N774" s="5" t="n">
        <v>0.5</v>
      </c>
    </row>
    <row r="775">
      <c r="A775" t="n">
        <v>771</v>
      </c>
      <c r="B775" t="n">
        <v>2012</v>
      </c>
      <c r="C775" t="inlineStr">
        <is>
          <t>Jiayi Emma Wang</t>
        </is>
      </c>
      <c r="D775">
        <f>HYPERLINK("https://ota.tournamentsoftware.com/player-profile/C6ED9D5C-83AD-4AC9-9DCE-1D21A2304573", "Link")</f>
        <v/>
      </c>
      <c r="E775" s="3" t="n">
        <v>10.8</v>
      </c>
      <c r="F775" s="4" t="n">
        <v>1</v>
      </c>
      <c r="G775" t="inlineStr">
        <is>
          <t>British Columbia</t>
        </is>
      </c>
      <c r="H775" t="inlineStr">
        <is>
          <t>No Club</t>
        </is>
      </c>
      <c r="I775" t="inlineStr">
        <is>
          <t>unavailable</t>
        </is>
      </c>
      <c r="J775" s="4" t="n">
        <v>12</v>
      </c>
      <c r="K775" t="inlineStr">
        <is>
          <t>2 / 10</t>
        </is>
      </c>
      <c r="L775" t="inlineStr">
        <is>
          <t>1 / 1</t>
        </is>
      </c>
      <c r="M775" s="5" t="n">
        <v>0.17</v>
      </c>
      <c r="N775" s="5" t="n">
        <v>0.5</v>
      </c>
    </row>
    <row r="776">
      <c r="A776" t="n">
        <v>771</v>
      </c>
      <c r="B776" t="n">
        <v>2015</v>
      </c>
      <c r="C776" t="inlineStr">
        <is>
          <t>Meera Ramanathan</t>
        </is>
      </c>
      <c r="D776">
        <f>HYPERLINK("https://ota.tournamentsoftware.com/player-profile/4BFD1C94-F572-47D9-8892-3117B37D58A1", "Link")</f>
        <v/>
      </c>
      <c r="E776" s="3" t="n">
        <v>10.8</v>
      </c>
      <c r="F776" s="4" t="n">
        <v>1</v>
      </c>
      <c r="G776" t="inlineStr">
        <is>
          <t>Ontario Tennis Association</t>
        </is>
      </c>
      <c r="H776" t="inlineStr">
        <is>
          <t>March Tennis Club</t>
        </is>
      </c>
      <c r="I776" t="n">
        <v>38.1</v>
      </c>
      <c r="J776" s="4" t="n">
        <v>2</v>
      </c>
      <c r="K776" t="inlineStr">
        <is>
          <t>1 / 1</t>
        </is>
      </c>
      <c r="L776" t="inlineStr">
        <is>
          <t>1 / 1</t>
        </is>
      </c>
      <c r="M776" s="5" t="n">
        <v>0.5</v>
      </c>
      <c r="N776" s="5" t="n">
        <v>0.5</v>
      </c>
    </row>
    <row r="777">
      <c r="A777" t="n">
        <v>776</v>
      </c>
      <c r="B777" t="n">
        <v>2015</v>
      </c>
      <c r="C777" t="inlineStr">
        <is>
          <t>Hannah Lewis</t>
        </is>
      </c>
      <c r="D777">
        <f>HYPERLINK("https://ota.tournamentsoftware.com/player-profile/B25290C5-DB82-4ED0-843D-33516AFF301F", "Link")</f>
        <v/>
      </c>
      <c r="E777" s="3" t="n">
        <v>10.728</v>
      </c>
      <c r="F777" s="4" t="n">
        <v>2</v>
      </c>
      <c r="G777" t="inlineStr">
        <is>
          <t>Ontario Tennis Association</t>
        </is>
      </c>
      <c r="H777" t="inlineStr">
        <is>
          <t>Tam Heather Tennis Club</t>
        </is>
      </c>
      <c r="I777" t="n">
        <v>37.5</v>
      </c>
      <c r="J777" s="4" t="n">
        <v>31</v>
      </c>
      <c r="K777" t="inlineStr">
        <is>
          <t>6 / 25</t>
        </is>
      </c>
      <c r="L777" t="inlineStr">
        <is>
          <t>5 / 8</t>
        </is>
      </c>
      <c r="M777" s="5" t="n">
        <v>0.19</v>
      </c>
      <c r="N777" s="5" t="n">
        <v>0.38</v>
      </c>
    </row>
    <row r="778">
      <c r="A778" t="n">
        <v>777</v>
      </c>
      <c r="B778" t="n">
        <v>2012</v>
      </c>
      <c r="C778" t="inlineStr">
        <is>
          <t>Sofia Kalchenko</t>
        </is>
      </c>
      <c r="D778">
        <f>HYPERLINK("https://ota.tournamentsoftware.com/player-profile/95371403-EC89-475C-B20A-60F935026FFA", "Link")</f>
        <v/>
      </c>
      <c r="E778" s="3" t="n">
        <v>10.627</v>
      </c>
      <c r="F778" s="4" t="n">
        <v>4</v>
      </c>
      <c r="G778" t="inlineStr">
        <is>
          <t>Tennis Alberta</t>
        </is>
      </c>
      <c r="H778" t="inlineStr">
        <is>
          <t>Aforza</t>
        </is>
      </c>
      <c r="I778" t="inlineStr">
        <is>
          <t>unavailable</t>
        </is>
      </c>
      <c r="J778" s="4" t="n">
        <v>41</v>
      </c>
      <c r="K778" t="inlineStr">
        <is>
          <t>20 / 21</t>
        </is>
      </c>
      <c r="L778" t="inlineStr">
        <is>
          <t>3 / 1</t>
        </is>
      </c>
      <c r="M778" s="5" t="n">
        <v>0.49</v>
      </c>
      <c r="N778" s="5" t="n">
        <v>0.75</v>
      </c>
    </row>
    <row r="779">
      <c r="A779" t="n">
        <v>778</v>
      </c>
      <c r="B779" t="n">
        <v>2015</v>
      </c>
      <c r="C779" t="inlineStr">
        <is>
          <t>Maggie Yang</t>
        </is>
      </c>
      <c r="D779">
        <f>HYPERLINK("https://ota.tournamentsoftware.com/player-profile/1188855E-2EBD-473C-B3CD-74B3CDDF9042", "Link")</f>
        <v/>
      </c>
      <c r="E779" s="3" t="n">
        <v>10.557</v>
      </c>
      <c r="F779" s="4" t="n">
        <v>2</v>
      </c>
      <c r="G779" t="inlineStr">
        <is>
          <t>Ontario Tennis Association</t>
        </is>
      </c>
      <c r="H779" t="inlineStr">
        <is>
          <t>Royal City Tennis Club</t>
        </is>
      </c>
      <c r="I779" t="n">
        <v>36.1</v>
      </c>
      <c r="J779" s="4" t="n">
        <v>27</v>
      </c>
      <c r="K779" t="inlineStr">
        <is>
          <t>10 / 17</t>
        </is>
      </c>
      <c r="L779" t="inlineStr">
        <is>
          <t>1 / 2</t>
        </is>
      </c>
      <c r="M779" s="5" t="n">
        <v>0.37</v>
      </c>
      <c r="N779" s="5" t="n">
        <v>0.33</v>
      </c>
    </row>
    <row r="780">
      <c r="A780" t="n">
        <v>779</v>
      </c>
      <c r="B780" t="n">
        <v>2016</v>
      </c>
      <c r="C780" t="inlineStr">
        <is>
          <t>Brielle Han</t>
        </is>
      </c>
      <c r="D780">
        <f>HYPERLINK("https://ota.tournamentsoftware.com/player-profile/76F58D78-6F14-462B-9C79-943F718FD16A", "Link")</f>
        <v/>
      </c>
      <c r="E780" s="3" t="n">
        <v>10.485</v>
      </c>
      <c r="F780" s="4" t="n">
        <v>6</v>
      </c>
      <c r="G780" t="inlineStr">
        <is>
          <t>British Columbia</t>
        </is>
      </c>
      <c r="H780" t="inlineStr">
        <is>
          <t>North Vancouver Tennis Centre</t>
        </is>
      </c>
      <c r="I780" t="inlineStr">
        <is>
          <t>unavailable</t>
        </is>
      </c>
      <c r="J780" s="4" t="n">
        <v>193</v>
      </c>
      <c r="K780" t="inlineStr">
        <is>
          <t>65 / 128</t>
        </is>
      </c>
      <c r="L780" t="inlineStr">
        <is>
          <t>17 / 16</t>
        </is>
      </c>
      <c r="M780" s="5" t="n">
        <v>0.34</v>
      </c>
      <c r="N780" s="5" t="n">
        <v>0.52</v>
      </c>
    </row>
    <row r="781">
      <c r="A781" t="n">
        <v>780</v>
      </c>
      <c r="B781" t="n">
        <v>2015</v>
      </c>
      <c r="C781" t="inlineStr">
        <is>
          <t>Emmanuelle Farah Kwin Onana</t>
        </is>
      </c>
      <c r="D781">
        <f>HYPERLINK("https://ota.tournamentsoftware.com/player-profile/7931DDBA-D7CA-40E8-97CF-DF1CA8113B24", "Link")</f>
        <v/>
      </c>
      <c r="E781" s="3" t="n">
        <v>10.368</v>
      </c>
      <c r="F781" s="4" t="n">
        <v>1</v>
      </c>
      <c r="G781" t="inlineStr">
        <is>
          <t>Tennis Québec</t>
        </is>
      </c>
      <c r="H781" t="inlineStr">
        <is>
          <t>Club de tennis de Gatineau</t>
        </is>
      </c>
      <c r="I781" t="inlineStr">
        <is>
          <t>unavailable</t>
        </is>
      </c>
      <c r="J781" s="4" t="n">
        <v>13</v>
      </c>
      <c r="K781" t="inlineStr">
        <is>
          <t>6 / 7</t>
        </is>
      </c>
      <c r="L781" t="inlineStr">
        <is>
          <t>0 / 1</t>
        </is>
      </c>
      <c r="M781" s="5" t="n">
        <v>0.46</v>
      </c>
      <c r="N781" s="5" t="n">
        <v>0</v>
      </c>
    </row>
    <row r="782">
      <c r="A782" t="n">
        <v>780</v>
      </c>
      <c r="B782" t="n">
        <v>2016</v>
      </c>
      <c r="C782" t="inlineStr">
        <is>
          <t>Alice Trépanier</t>
        </is>
      </c>
      <c r="D782">
        <f>HYPERLINK("https://ota.tournamentsoftware.com/player-profile/005FD3B5-057F-4BFE-B6D1-1D3CC87FBA27", "Link")</f>
        <v/>
      </c>
      <c r="E782" s="3" t="n">
        <v>10.368</v>
      </c>
      <c r="F782" s="4" t="n">
        <v>1</v>
      </c>
      <c r="G782" t="inlineStr">
        <is>
          <t>Tennis Québec</t>
        </is>
      </c>
      <c r="H782" t="inlineStr">
        <is>
          <t>Centre Récréatif Rock Forest</t>
        </is>
      </c>
      <c r="I782" t="inlineStr">
        <is>
          <t>unavailable</t>
        </is>
      </c>
      <c r="J782" s="4" t="n">
        <v>28</v>
      </c>
      <c r="K782" t="inlineStr">
        <is>
          <t>13 / 15</t>
        </is>
      </c>
      <c r="L782" t="inlineStr">
        <is>
          <t>9 / 7</t>
        </is>
      </c>
      <c r="M782" s="5" t="n">
        <v>0.46</v>
      </c>
      <c r="N782" s="5" t="n">
        <v>0.5600000000000001</v>
      </c>
    </row>
    <row r="783">
      <c r="A783" t="n">
        <v>780</v>
      </c>
      <c r="B783" t="n">
        <v>2016</v>
      </c>
      <c r="C783" t="inlineStr">
        <is>
          <t>Madison Prsa</t>
        </is>
      </c>
      <c r="D783">
        <f>HYPERLINK("https://ota.tournamentsoftware.com/player-profile/E90BB9E9-F58B-415B-8202-1B024EFB9E36", "Link")</f>
        <v/>
      </c>
      <c r="E783" s="3" t="n">
        <v>10.368</v>
      </c>
      <c r="F783" s="4" t="n">
        <v>4</v>
      </c>
      <c r="G783" t="inlineStr">
        <is>
          <t>Ontario Tennis Association</t>
        </is>
      </c>
      <c r="H783" t="inlineStr">
        <is>
          <t>Advantage Tennis International at Veneto</t>
        </is>
      </c>
      <c r="I783" t="n">
        <v>37.5</v>
      </c>
      <c r="J783" s="4" t="n">
        <v>140</v>
      </c>
      <c r="K783" t="inlineStr">
        <is>
          <t>53 / 87</t>
        </is>
      </c>
      <c r="L783" t="inlineStr">
        <is>
          <t>12 / 19</t>
        </is>
      </c>
      <c r="M783" s="5" t="n">
        <v>0.38</v>
      </c>
      <c r="N783" s="5" t="n">
        <v>0.39</v>
      </c>
    </row>
    <row r="784">
      <c r="A784" t="n">
        <v>780</v>
      </c>
      <c r="B784" t="n">
        <v>2015</v>
      </c>
      <c r="C784" t="inlineStr">
        <is>
          <t>ALYSSA MA</t>
        </is>
      </c>
      <c r="D784">
        <f>HYPERLINK("https://ota.tournamentsoftware.com/player-profile/7C80CDC4-31A2-4667-A2A3-AE7AD2699300", "Link")</f>
        <v/>
      </c>
      <c r="E784" s="3" t="n">
        <v>10.368</v>
      </c>
      <c r="F784" s="4" t="n">
        <v>2</v>
      </c>
      <c r="G784" t="inlineStr">
        <is>
          <t>Ontario Tennis Association</t>
        </is>
      </c>
      <c r="H784" t="inlineStr">
        <is>
          <t>Blackmore Tennis Club</t>
        </is>
      </c>
      <c r="I784" t="n">
        <v>36.4</v>
      </c>
      <c r="J784" s="4" t="n">
        <v>13</v>
      </c>
      <c r="K784" t="inlineStr">
        <is>
          <t>7 / 6</t>
        </is>
      </c>
      <c r="L784" t="inlineStr">
        <is>
          <t>1 / 3</t>
        </is>
      </c>
      <c r="M784" s="5" t="n">
        <v>0.54</v>
      </c>
      <c r="N784" s="5" t="n">
        <v>0.25</v>
      </c>
    </row>
    <row r="785">
      <c r="A785" t="n">
        <v>784</v>
      </c>
      <c r="B785" t="n">
        <v>2014</v>
      </c>
      <c r="C785" t="inlineStr">
        <is>
          <t>Chenxi Zhang</t>
        </is>
      </c>
      <c r="D785">
        <f>HYPERLINK("https://ota.tournamentsoftware.com/player-profile/59864E6D-09A6-4FE6-AFB0-7DB473F5A72D", "Link")</f>
        <v/>
      </c>
      <c r="E785" s="3" t="n">
        <v>10.152</v>
      </c>
      <c r="F785" s="4" t="n">
        <v>1</v>
      </c>
      <c r="G785" t="inlineStr">
        <is>
          <t>Ontario Tennis Association</t>
        </is>
      </c>
      <c r="H785" t="inlineStr">
        <is>
          <t>Kingston Racquet Centre</t>
        </is>
      </c>
      <c r="I785" t="n">
        <v>38.1</v>
      </c>
      <c r="J785" s="4" t="n">
        <v>3</v>
      </c>
      <c r="K785" t="inlineStr">
        <is>
          <t>1 / 2</t>
        </is>
      </c>
      <c r="L785" t="inlineStr">
        <is>
          <t>0 / 0</t>
        </is>
      </c>
      <c r="M785" s="5" t="n">
        <v>0.33</v>
      </c>
      <c r="N785" s="5" t="n">
        <v>0</v>
      </c>
    </row>
    <row r="786">
      <c r="A786" t="n">
        <v>785</v>
      </c>
      <c r="B786" t="n">
        <v>2014</v>
      </c>
      <c r="C786" t="inlineStr">
        <is>
          <t>Flore Laferrière</t>
        </is>
      </c>
      <c r="D786">
        <f>HYPERLINK("https://ota.tournamentsoftware.com/player-profile/14AB607F-E600-4113-85A8-3FA78DC9A248", "Link")</f>
        <v/>
      </c>
      <c r="E786" s="3" t="n">
        <v>10.149</v>
      </c>
      <c r="F786" s="4" t="n">
        <v>3</v>
      </c>
      <c r="G786" t="inlineStr">
        <is>
          <t>Tennis Québec</t>
        </is>
      </c>
      <c r="H786" t="inlineStr">
        <is>
          <t>Tennis 3R- l’Academie l’échange</t>
        </is>
      </c>
      <c r="I786" t="n">
        <v>39.6</v>
      </c>
      <c r="J786" s="4" t="n">
        <v>8</v>
      </c>
      <c r="K786" t="inlineStr">
        <is>
          <t>1 / 7</t>
        </is>
      </c>
      <c r="L786" t="inlineStr">
        <is>
          <t>0 / 3</t>
        </is>
      </c>
      <c r="M786" s="5" t="n">
        <v>0.12</v>
      </c>
      <c r="N786" s="5" t="n">
        <v>0</v>
      </c>
    </row>
    <row r="787">
      <c r="A787" t="n">
        <v>786</v>
      </c>
      <c r="B787" t="n">
        <v>2015</v>
      </c>
      <c r="C787" t="inlineStr">
        <is>
          <t>Autumn VandeCoevering</t>
        </is>
      </c>
      <c r="D787">
        <f>HYPERLINK("https://ota.tournamentsoftware.com/player-profile/1CD9DDAD-A036-4365-A97E-F88D56D4B94B", "Link")</f>
        <v/>
      </c>
      <c r="E787" s="3" t="n">
        <v>10.146</v>
      </c>
      <c r="F787" s="4" t="n">
        <v>2</v>
      </c>
      <c r="G787" t="inlineStr">
        <is>
          <t>Ontario Tennis Association</t>
        </is>
      </c>
      <c r="H787" t="inlineStr">
        <is>
          <t>Greenhills Golf Club</t>
        </is>
      </c>
      <c r="I787" t="inlineStr">
        <is>
          <t>unavailable</t>
        </is>
      </c>
      <c r="J787" s="4" t="n">
        <v>6</v>
      </c>
      <c r="K787" t="inlineStr">
        <is>
          <t>2 / 4</t>
        </is>
      </c>
      <c r="L787" t="inlineStr">
        <is>
          <t>2 / 4</t>
        </is>
      </c>
      <c r="M787" s="5" t="n">
        <v>0.33</v>
      </c>
      <c r="N787" s="5" t="n">
        <v>0.33</v>
      </c>
    </row>
    <row r="788">
      <c r="A788" t="n">
        <v>787</v>
      </c>
      <c r="B788" t="n">
        <v>2015</v>
      </c>
      <c r="C788" t="inlineStr">
        <is>
          <t>Jaelynn Lumandas</t>
        </is>
      </c>
      <c r="D788">
        <f>HYPERLINK("https://ota.tournamentsoftware.com/player-profile/586CE1E5-E974-4A42-B919-DE1FC94F6144", "Link")</f>
        <v/>
      </c>
      <c r="E788" s="3" t="n">
        <v>10.137</v>
      </c>
      <c r="F788" s="4" t="n">
        <v>3</v>
      </c>
      <c r="G788" t="inlineStr">
        <is>
          <t>Tennis Alberta</t>
        </is>
      </c>
      <c r="H788" t="inlineStr">
        <is>
          <t>Saville Community Sports Centre</t>
        </is>
      </c>
      <c r="I788" t="n">
        <v>40</v>
      </c>
      <c r="J788" s="4" t="n">
        <v>25</v>
      </c>
      <c r="K788" t="inlineStr">
        <is>
          <t>1 / 24</t>
        </is>
      </c>
      <c r="L788" t="inlineStr">
        <is>
          <t>0 / 4</t>
        </is>
      </c>
      <c r="M788" s="5" t="n">
        <v>0.04</v>
      </c>
      <c r="N788" s="5" t="n">
        <v>0</v>
      </c>
    </row>
    <row r="789">
      <c r="A789" t="n">
        <v>788</v>
      </c>
      <c r="B789" t="n">
        <v>2012</v>
      </c>
      <c r="C789" t="inlineStr">
        <is>
          <t>Elise Landry</t>
        </is>
      </c>
      <c r="D789">
        <f>HYPERLINK("https://ota.tournamentsoftware.com/player-profile/E61A7837-F4EB-4DDA-B26F-2D7CE7910B80", "Link")</f>
        <v/>
      </c>
      <c r="E789" s="3" t="n">
        <v>9.978999999999999</v>
      </c>
      <c r="F789" s="4" t="n">
        <v>1</v>
      </c>
      <c r="G789" t="inlineStr">
        <is>
          <t>Ontario Tennis Association</t>
        </is>
      </c>
      <c r="H789" t="inlineStr">
        <is>
          <t>Toronto Tennis City</t>
        </is>
      </c>
      <c r="I789" t="inlineStr">
        <is>
          <t>unavailable</t>
        </is>
      </c>
      <c r="J789" s="4" t="n">
        <v>5</v>
      </c>
      <c r="K789" t="inlineStr">
        <is>
          <t>4 / 1</t>
        </is>
      </c>
      <c r="L789" t="inlineStr">
        <is>
          <t>4 / 1</t>
        </is>
      </c>
      <c r="M789" s="5" t="n">
        <v>0.8</v>
      </c>
      <c r="N789" s="5" t="n">
        <v>0.8</v>
      </c>
    </row>
    <row r="790">
      <c r="A790" t="n">
        <v>789</v>
      </c>
      <c r="B790" t="n">
        <v>2012</v>
      </c>
      <c r="C790" t="inlineStr">
        <is>
          <t>Xiaoyue (Vivian) Zhang</t>
        </is>
      </c>
      <c r="D790">
        <f>HYPERLINK("https://ota.tournamentsoftware.com/player-profile/78AF63B4-51BB-4826-AFEB-269DB17B18ED", "Link")</f>
        <v/>
      </c>
      <c r="E790" s="3" t="n">
        <v>9.720000000000001</v>
      </c>
      <c r="F790" s="4" t="n">
        <v>1</v>
      </c>
      <c r="G790" t="inlineStr">
        <is>
          <t>British Columbia</t>
        </is>
      </c>
      <c r="H790" t="inlineStr">
        <is>
          <t>Coquitlam Tennis Club</t>
        </is>
      </c>
      <c r="I790" t="n">
        <v>37.6</v>
      </c>
      <c r="J790" s="4" t="n">
        <v>4</v>
      </c>
      <c r="K790" t="inlineStr">
        <is>
          <t>1 / 3</t>
        </is>
      </c>
      <c r="L790" t="inlineStr">
        <is>
          <t>0 / 0</t>
        </is>
      </c>
      <c r="M790" s="5" t="n">
        <v>0.25</v>
      </c>
      <c r="N790" s="5" t="n">
        <v>0</v>
      </c>
    </row>
    <row r="791">
      <c r="A791" t="n">
        <v>790</v>
      </c>
      <c r="B791" t="n">
        <v>2013</v>
      </c>
      <c r="C791" t="inlineStr">
        <is>
          <t>Anastasia Gorceac</t>
        </is>
      </c>
      <c r="D791">
        <f>HYPERLINK("https://ota.tournamentsoftware.com/player-profile/34DB6E68-DC2D-46A3-9FCF-82A58A1EDBE3", "Link")</f>
        <v/>
      </c>
      <c r="E791" s="3" t="n">
        <v>9.612</v>
      </c>
      <c r="F791" s="4" t="n">
        <v>2</v>
      </c>
      <c r="G791" t="inlineStr">
        <is>
          <t>Tennis Québec</t>
        </is>
      </c>
      <c r="H791" t="inlineStr">
        <is>
          <t>No Club</t>
        </is>
      </c>
      <c r="I791" t="n">
        <v>37.9</v>
      </c>
      <c r="J791" s="4" t="n">
        <v>8</v>
      </c>
      <c r="K791" t="inlineStr">
        <is>
          <t>4 / 4</t>
        </is>
      </c>
      <c r="L791" t="inlineStr">
        <is>
          <t>0 / 0</t>
        </is>
      </c>
      <c r="M791" s="5" t="n">
        <v>0.5</v>
      </c>
      <c r="N791" s="5" t="n">
        <v>0</v>
      </c>
    </row>
    <row r="792">
      <c r="A792" t="n">
        <v>791</v>
      </c>
      <c r="B792" t="n">
        <v>2015</v>
      </c>
      <c r="C792" t="inlineStr">
        <is>
          <t>Violet Rose Divell</t>
        </is>
      </c>
      <c r="D792">
        <f>HYPERLINK("https://ota.tournamentsoftware.com/player-profile/264EFCE5-2D5B-4014-A1E4-CF0F958237B9", "Link")</f>
        <v/>
      </c>
      <c r="E792" s="3" t="n">
        <v>9.598000000000001</v>
      </c>
      <c r="F792" s="4" t="n">
        <v>3</v>
      </c>
      <c r="G792" t="inlineStr">
        <is>
          <t>Tennis Québec</t>
        </is>
      </c>
      <c r="H792" t="inlineStr">
        <is>
          <t>Académie de tennis UNI(T)</t>
        </is>
      </c>
      <c r="I792" t="n">
        <v>39.4</v>
      </c>
      <c r="J792" s="4" t="n">
        <v>6</v>
      </c>
      <c r="K792" t="inlineStr">
        <is>
          <t>1 / 5</t>
        </is>
      </c>
      <c r="L792" t="inlineStr">
        <is>
          <t>1 / 5</t>
        </is>
      </c>
      <c r="M792" s="5" t="n">
        <v>0.17</v>
      </c>
      <c r="N792" s="5" t="n">
        <v>0.17</v>
      </c>
    </row>
    <row r="793">
      <c r="A793" t="n">
        <v>792</v>
      </c>
      <c r="B793" t="n">
        <v>2012</v>
      </c>
      <c r="C793" t="inlineStr">
        <is>
          <t>Eya Louati</t>
        </is>
      </c>
      <c r="D793">
        <f>HYPERLINK("https://ota.tournamentsoftware.com/player-profile/679317D4-2CCC-4345-A8E0-4E4AB637C148", "Link")</f>
        <v/>
      </c>
      <c r="E793" s="3" t="n">
        <v>9.504</v>
      </c>
      <c r="F793" s="4" t="n">
        <v>1</v>
      </c>
      <c r="G793" t="inlineStr">
        <is>
          <t>Tennis Québec</t>
        </is>
      </c>
      <c r="H793" t="inlineStr">
        <is>
          <t>SANI Sport</t>
        </is>
      </c>
      <c r="I793" t="inlineStr">
        <is>
          <t>unavailable</t>
        </is>
      </c>
      <c r="J793" s="4" t="n">
        <v>90</v>
      </c>
      <c r="K793" t="inlineStr">
        <is>
          <t>28 / 62</t>
        </is>
      </c>
      <c r="L793" t="inlineStr">
        <is>
          <t>1 / 2</t>
        </is>
      </c>
      <c r="M793" s="5" t="n">
        <v>0.31</v>
      </c>
      <c r="N793" s="5" t="n">
        <v>0.33</v>
      </c>
    </row>
    <row r="794">
      <c r="A794" t="n">
        <v>793</v>
      </c>
      <c r="B794" t="n">
        <v>2014</v>
      </c>
      <c r="C794" t="inlineStr">
        <is>
          <t>Yuxin Bella Cao</t>
        </is>
      </c>
      <c r="D794">
        <f>HYPERLINK("https://ota.tournamentsoftware.com/player-profile/ECABBEB5-67C3-48F1-8CC6-A7628D8721E8", "Link")</f>
        <v/>
      </c>
      <c r="E794" s="3" t="n">
        <v>9.486000000000001</v>
      </c>
      <c r="F794" s="4" t="n">
        <v>2</v>
      </c>
      <c r="G794" t="inlineStr">
        <is>
          <t>Ontario Tennis Association</t>
        </is>
      </c>
      <c r="H794" t="inlineStr">
        <is>
          <t>ACE Tennis - Burlington</t>
        </is>
      </c>
      <c r="I794" t="n">
        <v>40</v>
      </c>
      <c r="J794" s="4" t="n">
        <v>36</v>
      </c>
      <c r="K794" t="inlineStr">
        <is>
          <t>10 / 26</t>
        </is>
      </c>
      <c r="L794" t="inlineStr">
        <is>
          <t>0 / 0</t>
        </is>
      </c>
      <c r="M794" s="5" t="n">
        <v>0.28</v>
      </c>
      <c r="N794" s="5" t="n">
        <v>0</v>
      </c>
    </row>
    <row r="795">
      <c r="A795" t="n">
        <v>794</v>
      </c>
      <c r="B795" t="n">
        <v>2014</v>
      </c>
      <c r="C795" t="inlineStr">
        <is>
          <t>Yingshan Zoey Chen</t>
        </is>
      </c>
      <c r="D795">
        <f>HYPERLINK("https://ota.tournamentsoftware.com/player-profile/A4F9AF2C-7FB4-474F-BA3A-0E1AB32672E3", "Link")</f>
        <v/>
      </c>
      <c r="E795" s="3" t="n">
        <v>9.414999999999999</v>
      </c>
      <c r="F795" s="4" t="n">
        <v>3</v>
      </c>
      <c r="G795" t="inlineStr">
        <is>
          <t>Ontario Tennis Association</t>
        </is>
      </c>
      <c r="H795" t="inlineStr">
        <is>
          <t>Thornhill Country Club</t>
        </is>
      </c>
      <c r="I795" t="n">
        <v>38.5</v>
      </c>
      <c r="J795" s="4" t="n">
        <v>24</v>
      </c>
      <c r="K795" t="inlineStr">
        <is>
          <t>5 / 19</t>
        </is>
      </c>
      <c r="L795" t="inlineStr">
        <is>
          <t>2 / 4</t>
        </is>
      </c>
      <c r="M795" s="5" t="n">
        <v>0.21</v>
      </c>
      <c r="N795" s="5" t="n">
        <v>0.33</v>
      </c>
    </row>
    <row r="796">
      <c r="A796" t="n">
        <v>795</v>
      </c>
      <c r="B796" t="n">
        <v>2013</v>
      </c>
      <c r="C796" t="inlineStr">
        <is>
          <t>Harper Thompson</t>
        </is>
      </c>
      <c r="D796">
        <f>HYPERLINK("https://ota.tournamentsoftware.com/player-profile/D930EA05-6917-4BB8-9AD8-DE7F29C99324", "Link")</f>
        <v/>
      </c>
      <c r="E796" s="3" t="n">
        <v>8.938000000000001</v>
      </c>
      <c r="F796" s="4" t="n">
        <v>3</v>
      </c>
      <c r="G796" t="inlineStr">
        <is>
          <t>Tennis Alberta</t>
        </is>
      </c>
      <c r="H796" t="inlineStr">
        <is>
          <t>The Glencoe Club</t>
        </is>
      </c>
      <c r="I796" t="inlineStr">
        <is>
          <t>unavailable</t>
        </is>
      </c>
      <c r="J796" s="4" t="n">
        <v>44</v>
      </c>
      <c r="K796" t="inlineStr">
        <is>
          <t>2 / 42</t>
        </is>
      </c>
      <c r="L796" t="inlineStr">
        <is>
          <t>0 / 2</t>
        </is>
      </c>
      <c r="M796" s="5" t="n">
        <v>0.05</v>
      </c>
      <c r="N796" s="5" t="n">
        <v>0</v>
      </c>
    </row>
    <row r="797">
      <c r="A797" t="n">
        <v>796</v>
      </c>
      <c r="B797" t="n">
        <v>2014</v>
      </c>
      <c r="C797" t="inlineStr">
        <is>
          <t>Avery Rose Kon</t>
        </is>
      </c>
      <c r="D797">
        <f>HYPERLINK("https://ota.tournamentsoftware.com/player-profile/3F621439-578C-4BDD-A8A2-880ECC795615", "Link")</f>
        <v/>
      </c>
      <c r="E797" s="3" t="n">
        <v>8.888</v>
      </c>
      <c r="F797" s="4" t="n">
        <v>2</v>
      </c>
      <c r="G797" t="inlineStr">
        <is>
          <t>Ontario Tennis Association</t>
        </is>
      </c>
      <c r="H797" t="inlineStr">
        <is>
          <t>Toronto Lawn Tennis Club</t>
        </is>
      </c>
      <c r="I797" t="n">
        <v>36.6</v>
      </c>
      <c r="J797" s="4" t="n">
        <v>8</v>
      </c>
      <c r="K797" t="inlineStr">
        <is>
          <t>1 / 7</t>
        </is>
      </c>
      <c r="L797" t="inlineStr">
        <is>
          <t>0 / 2</t>
        </is>
      </c>
      <c r="M797" s="5" t="n">
        <v>0.12</v>
      </c>
      <c r="N797" s="5" t="n">
        <v>0</v>
      </c>
    </row>
    <row r="798">
      <c r="A798" t="n">
        <v>797</v>
      </c>
      <c r="B798" t="n">
        <v>2014</v>
      </c>
      <c r="C798" t="inlineStr">
        <is>
          <t>Annabelle Zhao</t>
        </is>
      </c>
      <c r="D798">
        <f>HYPERLINK("https://ota.tournamentsoftware.com/player-profile/F9367D16-E3B7-41BB-810F-85E4C6371542", "Link")</f>
        <v/>
      </c>
      <c r="E798" s="3" t="n">
        <v>8.882999999999999</v>
      </c>
      <c r="F798" s="4" t="n">
        <v>3</v>
      </c>
      <c r="G798" t="inlineStr">
        <is>
          <t>British Columbia</t>
        </is>
      </c>
      <c r="H798" t="inlineStr">
        <is>
          <t>The Tennis Centre</t>
        </is>
      </c>
      <c r="I798" t="n">
        <v>39</v>
      </c>
      <c r="J798" s="4" t="n">
        <v>61</v>
      </c>
      <c r="K798" t="inlineStr">
        <is>
          <t>30 / 31</t>
        </is>
      </c>
      <c r="L798" t="inlineStr">
        <is>
          <t>10 / 8</t>
        </is>
      </c>
      <c r="M798" s="5" t="n">
        <v>0.49</v>
      </c>
      <c r="N798" s="5" t="n">
        <v>0.5600000000000001</v>
      </c>
    </row>
    <row r="799">
      <c r="A799" t="n">
        <v>798</v>
      </c>
      <c r="B799" t="n">
        <v>2013</v>
      </c>
      <c r="C799" t="inlineStr">
        <is>
          <t>Juliana Pena</t>
        </is>
      </c>
      <c r="D799">
        <f>HYPERLINK("https://ota.tournamentsoftware.com/player-profile/8F1CA811-953C-4FAC-980B-55D7FE7A6E50", "Link")</f>
        <v/>
      </c>
      <c r="E799" s="3" t="n">
        <v>8.813000000000001</v>
      </c>
      <c r="F799" s="4" t="n">
        <v>2</v>
      </c>
      <c r="G799" t="inlineStr">
        <is>
          <t>Tennis Québec</t>
        </is>
      </c>
      <c r="H799" t="inlineStr">
        <is>
          <t>Tennis Québec (région Montréal Ouest)</t>
        </is>
      </c>
      <c r="I799" t="inlineStr">
        <is>
          <t>unavailable</t>
        </is>
      </c>
      <c r="J799" s="4" t="n">
        <v>10</v>
      </c>
      <c r="K799" t="inlineStr">
        <is>
          <t>3 / 7</t>
        </is>
      </c>
      <c r="L799" t="inlineStr">
        <is>
          <t>0 / 0</t>
        </is>
      </c>
      <c r="M799" s="5" t="n">
        <v>0.3</v>
      </c>
      <c r="N799" s="5" t="n">
        <v>0</v>
      </c>
    </row>
    <row r="800">
      <c r="A800" t="n">
        <v>799</v>
      </c>
      <c r="B800" t="n">
        <v>2014</v>
      </c>
      <c r="C800" t="inlineStr">
        <is>
          <t>Candice Cui</t>
        </is>
      </c>
      <c r="D800">
        <f>HYPERLINK("https://ota.tournamentsoftware.com/player-profile/389A79F0-4AEE-4BAD-A33E-98A21CD35738", "Link")</f>
        <v/>
      </c>
      <c r="E800" s="3" t="n">
        <v>8.640000000000001</v>
      </c>
      <c r="F800" s="4" t="n">
        <v>2</v>
      </c>
      <c r="G800" t="inlineStr">
        <is>
          <t>British Columbia</t>
        </is>
      </c>
      <c r="H800" t="inlineStr">
        <is>
          <t>Okanagan Mission Tennis Club Kelowna</t>
        </is>
      </c>
      <c r="I800" t="inlineStr">
        <is>
          <t>unavailable</t>
        </is>
      </c>
      <c r="J800" s="4" t="n">
        <v>30</v>
      </c>
      <c r="K800" t="inlineStr">
        <is>
          <t>11 / 19</t>
        </is>
      </c>
      <c r="L800" t="inlineStr">
        <is>
          <t>2 / 2</t>
        </is>
      </c>
      <c r="M800" s="5" t="n">
        <v>0.37</v>
      </c>
      <c r="N800" s="5" t="n">
        <v>0.5</v>
      </c>
    </row>
    <row r="801">
      <c r="A801" t="n">
        <v>799</v>
      </c>
      <c r="B801" t="n">
        <v>2015</v>
      </c>
      <c r="C801" t="inlineStr">
        <is>
          <t>Chloe Brown</t>
        </is>
      </c>
      <c r="D801">
        <f>HYPERLINK("https://ota.tournamentsoftware.com/player-profile/E3B2C995-F41E-4C95-81DE-7B219EF03CBD", "Link")</f>
        <v/>
      </c>
      <c r="E801" s="3" t="n">
        <v>8.640000000000001</v>
      </c>
      <c r="F801" s="4" t="n">
        <v>4</v>
      </c>
      <c r="G801" t="inlineStr">
        <is>
          <t>British Columbia</t>
        </is>
      </c>
      <c r="H801" t="inlineStr">
        <is>
          <t>Commons Racquet Club at Predator Ridge</t>
        </is>
      </c>
      <c r="I801" t="n">
        <v>38.5</v>
      </c>
      <c r="J801" s="4" t="n">
        <v>25</v>
      </c>
      <c r="K801" t="inlineStr">
        <is>
          <t>10 / 15</t>
        </is>
      </c>
      <c r="L801" t="inlineStr">
        <is>
          <t>7 / 5</t>
        </is>
      </c>
      <c r="M801" s="5" t="n">
        <v>0.4</v>
      </c>
      <c r="N801" s="5" t="n">
        <v>0.58</v>
      </c>
    </row>
    <row r="802">
      <c r="A802" t="n">
        <v>799</v>
      </c>
      <c r="B802" t="n">
        <v>2015</v>
      </c>
      <c r="C802" t="inlineStr">
        <is>
          <t>Marissa Grisedale</t>
        </is>
      </c>
      <c r="D802">
        <f>HYPERLINK("https://ota.tournamentsoftware.com/player-profile/FACB5C24-4DB7-463B-A373-69C70E1AC8E4", "Link")</f>
        <v/>
      </c>
      <c r="E802" s="3" t="n">
        <v>8.640000000000001</v>
      </c>
      <c r="F802" s="4" t="n">
        <v>2</v>
      </c>
      <c r="G802" t="inlineStr">
        <is>
          <t>British Columbia</t>
        </is>
      </c>
      <c r="H802" t="inlineStr">
        <is>
          <t>Commons Racquet Club at Predator Ridge</t>
        </is>
      </c>
      <c r="I802" t="n">
        <v>37.3</v>
      </c>
      <c r="J802" s="4" t="n">
        <v>37</v>
      </c>
      <c r="K802" t="inlineStr">
        <is>
          <t>19 / 18</t>
        </is>
      </c>
      <c r="L802" t="inlineStr">
        <is>
          <t>2 / 3</t>
        </is>
      </c>
      <c r="M802" s="5" t="n">
        <v>0.51</v>
      </c>
      <c r="N802" s="5" t="n">
        <v>0.4</v>
      </c>
    </row>
    <row r="803">
      <c r="A803" t="n">
        <v>802</v>
      </c>
      <c r="B803" t="n">
        <v>2012</v>
      </c>
      <c r="C803" t="inlineStr">
        <is>
          <t>Ai-Ni Amelia Cheng</t>
        </is>
      </c>
      <c r="D803">
        <f>HYPERLINK("https://ota.tournamentsoftware.com/player-profile/040F8D36-CAF3-4E90-85FB-8F17F2F92E8F", "Link")</f>
        <v/>
      </c>
      <c r="E803" s="3" t="n">
        <v>8.555</v>
      </c>
      <c r="F803" s="4" t="n">
        <v>1</v>
      </c>
      <c r="G803" t="inlineStr">
        <is>
          <t>Ontario Tennis Association</t>
        </is>
      </c>
      <c r="H803" t="inlineStr">
        <is>
          <t>ON West Central No Club</t>
        </is>
      </c>
      <c r="I803" t="n">
        <v>37.1</v>
      </c>
      <c r="J803" s="4" t="n">
        <v>5</v>
      </c>
      <c r="K803" t="inlineStr">
        <is>
          <t>4 / 1</t>
        </is>
      </c>
      <c r="L803" t="inlineStr">
        <is>
          <t>0 / 0</t>
        </is>
      </c>
      <c r="M803" s="5" t="n">
        <v>0.8</v>
      </c>
      <c r="N803" s="5" t="n">
        <v>0</v>
      </c>
    </row>
    <row r="804">
      <c r="A804" t="n">
        <v>803</v>
      </c>
      <c r="B804" t="n">
        <v>2013</v>
      </c>
      <c r="C804" t="inlineStr">
        <is>
          <t>Nya Robinson</t>
        </is>
      </c>
      <c r="D804">
        <f>HYPERLINK("https://ota.tournamentsoftware.com/player-profile/FCE45E04-6DF1-4A68-89D1-ACB65286BF31", "Link")</f>
        <v/>
      </c>
      <c r="E804" s="3" t="n">
        <v>8.449999999999999</v>
      </c>
      <c r="F804" s="4" t="n">
        <v>5</v>
      </c>
      <c r="G804" t="inlineStr">
        <is>
          <t>Tennis Alberta</t>
        </is>
      </c>
      <c r="H804" t="inlineStr">
        <is>
          <t>Osten &amp; Victor Alberta Tennis Centre</t>
        </is>
      </c>
      <c r="I804" t="n">
        <v>38.1</v>
      </c>
      <c r="J804" s="4" t="n">
        <v>17</v>
      </c>
      <c r="K804" t="inlineStr">
        <is>
          <t>7 / 10</t>
        </is>
      </c>
      <c r="L804" t="inlineStr">
        <is>
          <t>2 / 1</t>
        </is>
      </c>
      <c r="M804" s="5" t="n">
        <v>0.41</v>
      </c>
      <c r="N804" s="5" t="n">
        <v>0.67</v>
      </c>
    </row>
    <row r="805">
      <c r="A805" t="n">
        <v>804</v>
      </c>
      <c r="B805" t="n">
        <v>2013</v>
      </c>
      <c r="C805" t="inlineStr">
        <is>
          <t>KIanna Jia Christianson</t>
        </is>
      </c>
      <c r="D805">
        <f>HYPERLINK("https://ota.tournamentsoftware.com/player-profile/A76E75A0-5CAF-4017-8B3C-2D69366CF0FB", "Link")</f>
        <v/>
      </c>
      <c r="E805" s="3" t="n">
        <v>8.423999999999999</v>
      </c>
      <c r="F805" s="4" t="n">
        <v>1</v>
      </c>
      <c r="G805" t="inlineStr">
        <is>
          <t>British Columbia</t>
        </is>
      </c>
      <c r="H805" t="inlineStr">
        <is>
          <t>City of Burnaby</t>
        </is>
      </c>
      <c r="I805" t="n">
        <v>40</v>
      </c>
      <c r="J805" s="4" t="n">
        <v>10</v>
      </c>
      <c r="K805" t="inlineStr">
        <is>
          <t>5 / 5</t>
        </is>
      </c>
      <c r="L805" t="inlineStr">
        <is>
          <t>2 / 3</t>
        </is>
      </c>
      <c r="M805" s="5" t="n">
        <v>0.5</v>
      </c>
      <c r="N805" s="5" t="n">
        <v>0.4</v>
      </c>
    </row>
    <row r="806">
      <c r="A806" t="n">
        <v>805</v>
      </c>
      <c r="B806" t="n">
        <v>2015</v>
      </c>
      <c r="C806" t="inlineStr">
        <is>
          <t>Mila Sofia Galvez Bourgeois-Charbonneau</t>
        </is>
      </c>
      <c r="D806">
        <f>HYPERLINK("https://ota.tournamentsoftware.com/player-profile/4F9CCD8C-A7BD-4FA0-B17A-3689BD230A0C", "Link")</f>
        <v/>
      </c>
      <c r="E806" s="3" t="n">
        <v>8.298</v>
      </c>
      <c r="F806" s="4" t="n">
        <v>2</v>
      </c>
      <c r="G806" t="inlineStr">
        <is>
          <t>Tennis Québec</t>
        </is>
      </c>
      <c r="H806" t="inlineStr">
        <is>
          <t>AA Autre club</t>
        </is>
      </c>
      <c r="I806" t="n">
        <v>37.3</v>
      </c>
      <c r="J806" s="4" t="n">
        <v>7</v>
      </c>
      <c r="K806" t="inlineStr">
        <is>
          <t>2 / 5</t>
        </is>
      </c>
      <c r="L806" t="inlineStr">
        <is>
          <t>2 / 2</t>
        </is>
      </c>
      <c r="M806" s="5" t="n">
        <v>0.29</v>
      </c>
      <c r="N806" s="5" t="n">
        <v>0.5</v>
      </c>
    </row>
    <row r="807">
      <c r="A807" t="n">
        <v>806</v>
      </c>
      <c r="B807" t="n">
        <v>2016</v>
      </c>
      <c r="C807" t="inlineStr">
        <is>
          <t>Scarlett Prsa</t>
        </is>
      </c>
      <c r="D807">
        <f>HYPERLINK("https://ota.tournamentsoftware.com/player-profile/CDBDFDF5-0DDE-4F1C-B33B-F163CF134B52", "Link")</f>
        <v/>
      </c>
      <c r="E807" s="3" t="n">
        <v>8.105</v>
      </c>
      <c r="F807" s="4" t="n">
        <v>4</v>
      </c>
      <c r="G807" t="inlineStr">
        <is>
          <t>Ontario Tennis Association</t>
        </is>
      </c>
      <c r="H807" t="inlineStr">
        <is>
          <t>Advantage Tennis International at Veneto</t>
        </is>
      </c>
      <c r="I807" t="n">
        <v>38.1</v>
      </c>
      <c r="J807" s="4" t="n">
        <v>136</v>
      </c>
      <c r="K807" t="inlineStr">
        <is>
          <t>52 / 84</t>
        </is>
      </c>
      <c r="L807" t="inlineStr">
        <is>
          <t>16 / 18</t>
        </is>
      </c>
      <c r="M807" s="5" t="n">
        <v>0.38</v>
      </c>
      <c r="N807" s="5" t="n">
        <v>0.47</v>
      </c>
    </row>
    <row r="808">
      <c r="A808" t="n">
        <v>807</v>
      </c>
      <c r="B808" t="n">
        <v>2015</v>
      </c>
      <c r="C808" t="inlineStr">
        <is>
          <t>Sofia Belyavskaya</t>
        </is>
      </c>
      <c r="D808">
        <f>HYPERLINK("https://ota.tournamentsoftware.com/player-profile/103C1284-54D3-4E14-8B3B-D860AD353A8C", "Link")</f>
        <v/>
      </c>
      <c r="E808" s="3" t="n">
        <v>8.045999999999999</v>
      </c>
      <c r="F808" s="4" t="n">
        <v>3</v>
      </c>
      <c r="G808" t="inlineStr">
        <is>
          <t>British Columbia</t>
        </is>
      </c>
      <c r="H808" t="inlineStr">
        <is>
          <t>The Tennis Centre</t>
        </is>
      </c>
      <c r="I808" t="n">
        <v>37.2</v>
      </c>
      <c r="J808" s="4" t="n">
        <v>88</v>
      </c>
      <c r="K808" t="inlineStr">
        <is>
          <t>35 / 53</t>
        </is>
      </c>
      <c r="L808" t="inlineStr">
        <is>
          <t>2 / 5</t>
        </is>
      </c>
      <c r="M808" s="5" t="n">
        <v>0.4</v>
      </c>
      <c r="N808" s="5" t="n">
        <v>0.29</v>
      </c>
    </row>
    <row r="809">
      <c r="A809" t="n">
        <v>808</v>
      </c>
      <c r="B809" t="n">
        <v>2014</v>
      </c>
      <c r="C809" t="inlineStr">
        <is>
          <t>Marie Renaud</t>
        </is>
      </c>
      <c r="D809">
        <f>HYPERLINK("https://ota.tournamentsoftware.com/player-profile/9538BC58-3E12-400B-B7A6-AA4E495D60F5", "Link")</f>
        <v/>
      </c>
      <c r="E809" s="3" t="n">
        <v>8.01</v>
      </c>
      <c r="F809" s="4" t="n">
        <v>1</v>
      </c>
      <c r="G809" t="inlineStr">
        <is>
          <t>Tennis Québec</t>
        </is>
      </c>
      <c r="H809" t="inlineStr">
        <is>
          <t>Les Tennis de Rimouski (intérieur)</t>
        </is>
      </c>
      <c r="I809" t="inlineStr">
        <is>
          <t>unavailable</t>
        </is>
      </c>
      <c r="J809" s="4" t="n">
        <v>3</v>
      </c>
      <c r="K809" t="inlineStr">
        <is>
          <t>1 / 2</t>
        </is>
      </c>
      <c r="L809" t="inlineStr">
        <is>
          <t>1 / 2</t>
        </is>
      </c>
      <c r="M809" s="5" t="n">
        <v>0.33</v>
      </c>
      <c r="N809" s="5" t="n">
        <v>0.33</v>
      </c>
    </row>
    <row r="810">
      <c r="A810" t="n">
        <v>808</v>
      </c>
      <c r="B810" t="n">
        <v>2013</v>
      </c>
      <c r="C810" t="inlineStr">
        <is>
          <t>Anaya Mohammed Shurrab</t>
        </is>
      </c>
      <c r="D810">
        <f>HYPERLINK("https://ota.tournamentsoftware.com/player-profile/A4BA7F79-3B20-4355-B83D-7B81774D6C97", "Link")</f>
        <v/>
      </c>
      <c r="E810" s="3" t="n">
        <v>8.01</v>
      </c>
      <c r="F810" s="4" t="n">
        <v>1</v>
      </c>
      <c r="G810" t="inlineStr">
        <is>
          <t>Ontario Tennis Association</t>
        </is>
      </c>
      <c r="H810" t="inlineStr">
        <is>
          <t>Sudbury Indoor Tennis Centre</t>
        </is>
      </c>
      <c r="I810" t="n">
        <v>38.8</v>
      </c>
      <c r="J810" s="4" t="n">
        <v>2</v>
      </c>
      <c r="K810" t="inlineStr">
        <is>
          <t>0 / 2</t>
        </is>
      </c>
      <c r="L810" t="inlineStr">
        <is>
          <t>0 / 0</t>
        </is>
      </c>
      <c r="M810" s="5" t="n">
        <v>0</v>
      </c>
      <c r="N810" s="5" t="n">
        <v>0</v>
      </c>
    </row>
    <row r="811">
      <c r="A811" t="n">
        <v>810</v>
      </c>
      <c r="B811" t="n">
        <v>2015</v>
      </c>
      <c r="C811" t="inlineStr">
        <is>
          <t>Lyskha Ann Louis</t>
        </is>
      </c>
      <c r="D811">
        <f>HYPERLINK("https://ota.tournamentsoftware.com/player-profile/E63460EF-56D0-4F3C-845C-D047E7B9C366", "Link")</f>
        <v/>
      </c>
      <c r="E811" s="3" t="n">
        <v>7.906</v>
      </c>
      <c r="F811" s="4" t="n">
        <v>2</v>
      </c>
      <c r="G811" t="inlineStr">
        <is>
          <t>Tennis Québec</t>
        </is>
      </c>
      <c r="H811" t="inlineStr">
        <is>
          <t>Tennis 13</t>
        </is>
      </c>
      <c r="I811" t="n">
        <v>36.4</v>
      </c>
      <c r="J811" s="4" t="n">
        <v>9</v>
      </c>
      <c r="K811" t="inlineStr">
        <is>
          <t>4 / 5</t>
        </is>
      </c>
      <c r="L811" t="inlineStr">
        <is>
          <t>4 / 2</t>
        </is>
      </c>
      <c r="M811" s="5" t="n">
        <v>0.44</v>
      </c>
      <c r="N811" s="5" t="n">
        <v>0.67</v>
      </c>
    </row>
    <row r="812">
      <c r="A812" t="n">
        <v>811</v>
      </c>
      <c r="B812" t="n">
        <v>2013</v>
      </c>
      <c r="C812" t="inlineStr">
        <is>
          <t>Seher Sharma</t>
        </is>
      </c>
      <c r="D812">
        <f>HYPERLINK("https://ota.tournamentsoftware.com/player-profile/383B0843-9E5F-4A01-8304-C01EA147B7A2", "Link")</f>
        <v/>
      </c>
      <c r="E812" s="3" t="n">
        <v>7.892</v>
      </c>
      <c r="F812" s="4" t="n">
        <v>1</v>
      </c>
      <c r="G812" t="inlineStr">
        <is>
          <t>Ontario Tennis Association</t>
        </is>
      </c>
      <c r="H812" t="inlineStr">
        <is>
          <t>Glendale Tennis Club</t>
        </is>
      </c>
      <c r="I812" t="inlineStr">
        <is>
          <t>unavailable</t>
        </is>
      </c>
      <c r="J812" s="4" t="n">
        <v>15</v>
      </c>
      <c r="K812" t="inlineStr">
        <is>
          <t>4 / 11</t>
        </is>
      </c>
      <c r="L812" t="inlineStr">
        <is>
          <t>0 / 2</t>
        </is>
      </c>
      <c r="M812" s="5" t="n">
        <v>0.27</v>
      </c>
      <c r="N812" s="5" t="n">
        <v>0</v>
      </c>
    </row>
    <row r="813">
      <c r="A813" t="n">
        <v>812</v>
      </c>
      <c r="B813" t="n">
        <v>2016</v>
      </c>
      <c r="C813" t="inlineStr">
        <is>
          <t>Heidi Liu</t>
        </is>
      </c>
      <c r="D813">
        <f>HYPERLINK("https://ota.tournamentsoftware.com/player-profile/E3F0466B-50E4-4105-A35A-1BB6B1C1C09C", "Link")</f>
        <v/>
      </c>
      <c r="E813" s="3" t="n">
        <v>7.803</v>
      </c>
      <c r="F813" s="4" t="n">
        <v>4</v>
      </c>
      <c r="G813" t="inlineStr">
        <is>
          <t>British Columbia</t>
        </is>
      </c>
      <c r="H813" t="inlineStr">
        <is>
          <t>UBC Tennis Centre</t>
        </is>
      </c>
      <c r="I813" t="n">
        <v>38.3</v>
      </c>
      <c r="J813" s="4" t="n">
        <v>72</v>
      </c>
      <c r="K813" t="inlineStr">
        <is>
          <t>42 / 30</t>
        </is>
      </c>
      <c r="L813" t="inlineStr">
        <is>
          <t>19 / 17</t>
        </is>
      </c>
      <c r="M813" s="5" t="n">
        <v>0.58</v>
      </c>
      <c r="N813" s="5" t="n">
        <v>0.53</v>
      </c>
    </row>
    <row r="814">
      <c r="A814" t="n">
        <v>813</v>
      </c>
      <c r="B814" t="n">
        <v>2014</v>
      </c>
      <c r="C814" t="inlineStr">
        <is>
          <t>Gloriana Shiqi Zhang</t>
        </is>
      </c>
      <c r="D814">
        <f>HYPERLINK("https://ota.tournamentsoftware.com/player-profile/2717E828-0882-43B7-ADDB-D078FFA580CF", "Link")</f>
        <v/>
      </c>
      <c r="E814" s="3" t="n">
        <v>7.776</v>
      </c>
      <c r="F814" s="4" t="n">
        <v>2</v>
      </c>
      <c r="G814" t="inlineStr">
        <is>
          <t>British Columbia</t>
        </is>
      </c>
      <c r="H814" t="inlineStr">
        <is>
          <t>Hollyburn Country Club</t>
        </is>
      </c>
      <c r="I814" t="inlineStr">
        <is>
          <t>unavailable</t>
        </is>
      </c>
      <c r="J814" s="4" t="n">
        <v>32</v>
      </c>
      <c r="K814" t="inlineStr">
        <is>
          <t>5 / 27</t>
        </is>
      </c>
      <c r="L814" t="inlineStr">
        <is>
          <t>0 / 0</t>
        </is>
      </c>
      <c r="M814" s="5" t="n">
        <v>0.16</v>
      </c>
      <c r="N814" s="5" t="n">
        <v>0</v>
      </c>
    </row>
    <row r="815">
      <c r="A815" t="n">
        <v>814</v>
      </c>
      <c r="B815" t="n">
        <v>2015</v>
      </c>
      <c r="C815" t="inlineStr">
        <is>
          <t>Dani Banquicio</t>
        </is>
      </c>
      <c r="D815">
        <f>HYPERLINK("https://ota.tournamentsoftware.com/player-profile/46430071-90F3-4471-A44B-9BE4F31E2D72", "Link")</f>
        <v/>
      </c>
      <c r="E815" s="3" t="n">
        <v>7.652</v>
      </c>
      <c r="F815" s="4" t="n">
        <v>2</v>
      </c>
      <c r="G815" t="inlineStr">
        <is>
          <t>Tennis New Brunswick</t>
        </is>
      </c>
      <c r="H815" t="inlineStr">
        <is>
          <t>Abony Family Tennis Center</t>
        </is>
      </c>
      <c r="I815" t="n">
        <v>40</v>
      </c>
      <c r="J815" s="4" t="n">
        <v>54</v>
      </c>
      <c r="K815" t="inlineStr">
        <is>
          <t>17 / 37</t>
        </is>
      </c>
      <c r="L815" t="inlineStr">
        <is>
          <t>3 / 7</t>
        </is>
      </c>
      <c r="M815" s="5" t="n">
        <v>0.31</v>
      </c>
      <c r="N815" s="5" t="n">
        <v>0.3</v>
      </c>
    </row>
    <row r="816">
      <c r="A816" t="n">
        <v>815</v>
      </c>
      <c r="B816" t="n">
        <v>2014</v>
      </c>
      <c r="C816" t="inlineStr">
        <is>
          <t>Audrey Dionne-Chen</t>
        </is>
      </c>
      <c r="D816">
        <f>HYPERLINK("https://ota.tournamentsoftware.com/player-profile/7AE565BD-506E-4133-AA69-F89B361E38C0", "Link")</f>
        <v/>
      </c>
      <c r="E816" s="3" t="n">
        <v>7.552</v>
      </c>
      <c r="F816" s="4" t="n">
        <v>1</v>
      </c>
      <c r="G816" t="inlineStr">
        <is>
          <t>Ontario Tennis Association</t>
        </is>
      </c>
      <c r="H816" t="inlineStr">
        <is>
          <t>Rideau Sports Centre</t>
        </is>
      </c>
      <c r="I816" t="n">
        <v>39.4</v>
      </c>
      <c r="J816" s="4" t="n">
        <v>14</v>
      </c>
      <c r="K816" t="inlineStr">
        <is>
          <t>4 / 10</t>
        </is>
      </c>
      <c r="L816" t="inlineStr">
        <is>
          <t>0 / 1</t>
        </is>
      </c>
      <c r="M816" s="5" t="n">
        <v>0.29</v>
      </c>
      <c r="N816" s="5" t="n">
        <v>0</v>
      </c>
    </row>
    <row r="817">
      <c r="A817" t="n">
        <v>816</v>
      </c>
      <c r="B817" t="n">
        <v>2013</v>
      </c>
      <c r="C817" t="inlineStr">
        <is>
          <t>rafaela pena</t>
        </is>
      </c>
      <c r="D817">
        <f>HYPERLINK("https://ota.tournamentsoftware.com/player-profile/A4EAF82E-5402-4B2B-B03B-0E790D9A9F99", "Link")</f>
        <v/>
      </c>
      <c r="E817" s="3" t="n">
        <v>7.174</v>
      </c>
      <c r="F817" s="4" t="n">
        <v>2</v>
      </c>
      <c r="G817" t="inlineStr">
        <is>
          <t>Tennis Québec</t>
        </is>
      </c>
      <c r="H817" t="inlineStr">
        <is>
          <t>Tennis Québec (région Montréal Ouest)</t>
        </is>
      </c>
      <c r="I817" t="inlineStr">
        <is>
          <t>unavailable</t>
        </is>
      </c>
      <c r="J817" s="4" t="n">
        <v>10</v>
      </c>
      <c r="K817" t="inlineStr">
        <is>
          <t>4 / 6</t>
        </is>
      </c>
      <c r="L817" t="inlineStr">
        <is>
          <t>0 / 0</t>
        </is>
      </c>
      <c r="M817" s="5" t="n">
        <v>0.4</v>
      </c>
      <c r="N817" s="5" t="n">
        <v>0</v>
      </c>
    </row>
    <row r="818">
      <c r="A818" t="n">
        <v>817</v>
      </c>
      <c r="B818" t="n">
        <v>2017</v>
      </c>
      <c r="C818" t="inlineStr">
        <is>
          <t>Kaja Gacanin</t>
        </is>
      </c>
      <c r="D818">
        <f>HYPERLINK("https://ota.tournamentsoftware.com/player-profile/51158AF8-F463-4974-AE1F-B1924D114B2F", "Link")</f>
        <v/>
      </c>
      <c r="E818" s="3" t="n">
        <v>6.84</v>
      </c>
      <c r="F818" s="4" t="n">
        <v>2</v>
      </c>
      <c r="G818" t="inlineStr">
        <is>
          <t>Ontario Tennis Association</t>
        </is>
      </c>
      <c r="H818" t="inlineStr">
        <is>
          <t>Zekelman Tennis Centre</t>
        </is>
      </c>
      <c r="I818" t="n">
        <v>38.6</v>
      </c>
      <c r="J818" s="4" t="n">
        <v>7</v>
      </c>
      <c r="K818" t="inlineStr">
        <is>
          <t>2 / 5</t>
        </is>
      </c>
      <c r="L818" t="inlineStr">
        <is>
          <t>2 / 5</t>
        </is>
      </c>
      <c r="M818" s="5" t="n">
        <v>0.29</v>
      </c>
      <c r="N818" s="5" t="n">
        <v>0.29</v>
      </c>
    </row>
    <row r="819">
      <c r="A819" t="n">
        <v>817</v>
      </c>
      <c r="B819" t="n">
        <v>2016</v>
      </c>
      <c r="C819" t="inlineStr">
        <is>
          <t>Joud Marmash</t>
        </is>
      </c>
      <c r="D819">
        <f>HYPERLINK("https://ota.tournamentsoftware.com/player-profile/7F8FB01C-3EB1-48B9-B051-119BB01F4118", "Link")</f>
        <v/>
      </c>
      <c r="E819" s="3" t="n">
        <v>6.84</v>
      </c>
      <c r="F819" s="4" t="n">
        <v>4</v>
      </c>
      <c r="G819" t="inlineStr">
        <is>
          <t>Ontario Tennis Association</t>
        </is>
      </c>
      <c r="H819" t="inlineStr">
        <is>
          <t>Zekelman Tennis Centre</t>
        </is>
      </c>
      <c r="I819" t="n">
        <v>38</v>
      </c>
      <c r="J819" s="4" t="n">
        <v>14</v>
      </c>
      <c r="K819" t="inlineStr">
        <is>
          <t>4 / 10</t>
        </is>
      </c>
      <c r="L819" t="inlineStr">
        <is>
          <t>4 / 10</t>
        </is>
      </c>
      <c r="M819" s="5" t="n">
        <v>0.29</v>
      </c>
      <c r="N819" s="5" t="n">
        <v>0.29</v>
      </c>
    </row>
    <row r="820">
      <c r="A820" t="n">
        <v>819</v>
      </c>
      <c r="B820" t="n">
        <v>2015</v>
      </c>
      <c r="C820" t="inlineStr">
        <is>
          <t>Ruby Mika Szakacs</t>
        </is>
      </c>
      <c r="D820">
        <f>HYPERLINK("https://ota.tournamentsoftware.com/player-profile/200B8C95-20A4-4F60-90C6-7E30A84EAEA7", "Link")</f>
        <v/>
      </c>
      <c r="E820" s="3" t="n">
        <v>6.607</v>
      </c>
      <c r="F820" s="4" t="n">
        <v>2</v>
      </c>
      <c r="G820" t="inlineStr">
        <is>
          <t>Ontario Tennis Association</t>
        </is>
      </c>
      <c r="H820" t="inlineStr">
        <is>
          <t>No Club</t>
        </is>
      </c>
      <c r="I820" t="n">
        <v>39.4</v>
      </c>
      <c r="J820" s="4" t="n">
        <v>55</v>
      </c>
      <c r="K820" t="inlineStr">
        <is>
          <t>28 / 27</t>
        </is>
      </c>
      <c r="L820" t="inlineStr">
        <is>
          <t>0 / 4</t>
        </is>
      </c>
      <c r="M820" s="5" t="n">
        <v>0.51</v>
      </c>
      <c r="N820" s="5" t="n">
        <v>0</v>
      </c>
    </row>
    <row r="821">
      <c r="A821" t="n">
        <v>819</v>
      </c>
      <c r="B821" t="n">
        <v>2014</v>
      </c>
      <c r="C821" t="inlineStr">
        <is>
          <t>Mantian Ellie Ni</t>
        </is>
      </c>
      <c r="D821">
        <f>HYPERLINK("https://ota.tournamentsoftware.com/player-profile/7FD8D72E-3679-4613-A482-A282508BEA32", "Link")</f>
        <v/>
      </c>
      <c r="E821" s="3" t="n">
        <v>6.607</v>
      </c>
      <c r="F821" s="4" t="n">
        <v>2</v>
      </c>
      <c r="G821" t="inlineStr">
        <is>
          <t>Ontario Tennis Association</t>
        </is>
      </c>
      <c r="H821" t="inlineStr">
        <is>
          <t>Premier Racquet Club</t>
        </is>
      </c>
      <c r="I821" t="n">
        <v>39.5</v>
      </c>
      <c r="J821" s="4" t="n">
        <v>23</v>
      </c>
      <c r="K821" t="inlineStr">
        <is>
          <t>7 / 16</t>
        </is>
      </c>
      <c r="L821" t="inlineStr">
        <is>
          <t>3 / 4</t>
        </is>
      </c>
      <c r="M821" s="5" t="n">
        <v>0.3</v>
      </c>
      <c r="N821" s="5" t="n">
        <v>0.43</v>
      </c>
    </row>
    <row r="822">
      <c r="A822" t="n">
        <v>821</v>
      </c>
      <c r="B822" t="n">
        <v>2015</v>
      </c>
      <c r="C822" t="inlineStr">
        <is>
          <t>Ivana Novatus Nguma</t>
        </is>
      </c>
      <c r="D822">
        <f>HYPERLINK("https://ota.tournamentsoftware.com/player-profile/152EACD1-B447-4FFD-B45D-419526079F6E", "Link")</f>
        <v/>
      </c>
      <c r="E822" s="3" t="n">
        <v>6.6</v>
      </c>
      <c r="F822" s="4" t="n">
        <v>1</v>
      </c>
      <c r="G822" t="inlineStr">
        <is>
          <t>Tennis Alberta</t>
        </is>
      </c>
      <c r="H822" t="inlineStr">
        <is>
          <t>Mega Courts Pickleball and Tennis</t>
        </is>
      </c>
      <c r="I822" t="n">
        <v>37.7</v>
      </c>
      <c r="J822" s="4" t="n">
        <v>22</v>
      </c>
      <c r="K822" t="inlineStr">
        <is>
          <t>11 / 11</t>
        </is>
      </c>
      <c r="L822" t="inlineStr">
        <is>
          <t>7 / 3</t>
        </is>
      </c>
      <c r="M822" s="5" t="n">
        <v>0.5</v>
      </c>
      <c r="N822" s="5" t="n">
        <v>0.7</v>
      </c>
    </row>
    <row r="823">
      <c r="A823" t="n">
        <v>822</v>
      </c>
      <c r="B823" t="n">
        <v>2014</v>
      </c>
      <c r="C823" t="inlineStr">
        <is>
          <t>Vira Beskupska</t>
        </is>
      </c>
      <c r="D823">
        <f>HYPERLINK("https://ota.tournamentsoftware.com/player-profile/116FA89C-68A6-4FE9-ADC6-34260809351C", "Link")</f>
        <v/>
      </c>
      <c r="E823" s="3" t="n">
        <v>6.48</v>
      </c>
      <c r="F823" s="4" t="n">
        <v>1</v>
      </c>
      <c r="G823" t="inlineStr">
        <is>
          <t>Ontario Tennis Association</t>
        </is>
      </c>
      <c r="H823" t="inlineStr">
        <is>
          <t>National Tennis School</t>
        </is>
      </c>
      <c r="I823" t="inlineStr">
        <is>
          <t>unavailable</t>
        </is>
      </c>
      <c r="J823" s="4" t="n">
        <v>1</v>
      </c>
      <c r="K823" t="inlineStr">
        <is>
          <t>0 / 1</t>
        </is>
      </c>
      <c r="L823" t="inlineStr">
        <is>
          <t>0 / 1</t>
        </is>
      </c>
      <c r="M823" s="5" t="n">
        <v>0</v>
      </c>
      <c r="N823" s="5" t="n">
        <v>0</v>
      </c>
    </row>
    <row r="824">
      <c r="A824" t="n">
        <v>822</v>
      </c>
      <c r="B824" t="n">
        <v>2015</v>
      </c>
      <c r="C824" t="inlineStr">
        <is>
          <t>Catherine Qu</t>
        </is>
      </c>
      <c r="D824">
        <f>HYPERLINK("https://ota.tournamentsoftware.com/player-profile/6BFBAA24-1779-441C-B7FC-7EF81219D270", "Link")</f>
        <v/>
      </c>
      <c r="E824" s="3" t="n">
        <v>6.48</v>
      </c>
      <c r="F824" s="4" t="n">
        <v>1</v>
      </c>
      <c r="G824" t="inlineStr">
        <is>
          <t>Ontario Tennis Association</t>
        </is>
      </c>
      <c r="H824" t="inlineStr">
        <is>
          <t>Royal City Tennis Club</t>
        </is>
      </c>
      <c r="I824" t="n">
        <v>36.4</v>
      </c>
      <c r="J824" s="4" t="n">
        <v>19</v>
      </c>
      <c r="K824" t="inlineStr">
        <is>
          <t>3 / 16</t>
        </is>
      </c>
      <c r="L824" t="inlineStr">
        <is>
          <t>1 / 1</t>
        </is>
      </c>
      <c r="M824" s="5" t="n">
        <v>0.16</v>
      </c>
      <c r="N824" s="5" t="n">
        <v>0.5</v>
      </c>
    </row>
    <row r="825">
      <c r="A825" t="n">
        <v>822</v>
      </c>
      <c r="B825" t="n">
        <v>2014</v>
      </c>
      <c r="C825" t="inlineStr">
        <is>
          <t>Elina Chai</t>
        </is>
      </c>
      <c r="D825">
        <f>HYPERLINK("https://ota.tournamentsoftware.com/player-profile/93EB3F3A-118C-460C-AB18-42D8F042E5A9", "Link")</f>
        <v/>
      </c>
      <c r="E825" s="3" t="n">
        <v>6.48</v>
      </c>
      <c r="F825" s="4" t="n">
        <v>1</v>
      </c>
      <c r="G825" t="inlineStr">
        <is>
          <t>Ontario Tennis Association</t>
        </is>
      </c>
      <c r="H825" t="inlineStr">
        <is>
          <t>ACE Tennis - Toronto Tennis City</t>
        </is>
      </c>
      <c r="I825" t="n">
        <v>38.5</v>
      </c>
      <c r="J825" s="4" t="n">
        <v>6</v>
      </c>
      <c r="K825" t="inlineStr">
        <is>
          <t>4 / 2</t>
        </is>
      </c>
      <c r="L825" t="inlineStr">
        <is>
          <t>4 / 2</t>
        </is>
      </c>
      <c r="M825" s="5" t="n">
        <v>0.67</v>
      </c>
      <c r="N825" s="5" t="n">
        <v>0.67</v>
      </c>
    </row>
    <row r="826">
      <c r="A826" t="n">
        <v>822</v>
      </c>
      <c r="B826" t="n">
        <v>2015</v>
      </c>
      <c r="C826" t="inlineStr">
        <is>
          <t>Olive Allen</t>
        </is>
      </c>
      <c r="D826">
        <f>HYPERLINK("https://ota.tournamentsoftware.com/player-profile/B0709DF4-F657-4BE5-870B-1467DB919D18", "Link")</f>
        <v/>
      </c>
      <c r="E826" s="3" t="n">
        <v>6.48</v>
      </c>
      <c r="F826" s="4" t="n">
        <v>2</v>
      </c>
      <c r="G826" t="inlineStr">
        <is>
          <t>British Columbia</t>
        </is>
      </c>
      <c r="H826" t="inlineStr">
        <is>
          <t>Hollyburn Country Club</t>
        </is>
      </c>
      <c r="I826" t="n">
        <v>40</v>
      </c>
      <c r="J826" s="4" t="n">
        <v>35</v>
      </c>
      <c r="K826" t="inlineStr">
        <is>
          <t>12 / 23</t>
        </is>
      </c>
      <c r="L826" t="inlineStr">
        <is>
          <t>3 / 7</t>
        </is>
      </c>
      <c r="M826" s="5" t="n">
        <v>0.34</v>
      </c>
      <c r="N826" s="5" t="n">
        <v>0.3</v>
      </c>
    </row>
    <row r="827">
      <c r="A827" t="n">
        <v>826</v>
      </c>
      <c r="B827" t="n">
        <v>2012</v>
      </c>
      <c r="C827" t="inlineStr">
        <is>
          <t>Feiran Zhang</t>
        </is>
      </c>
      <c r="D827">
        <f>HYPERLINK("https://ota.tournamentsoftware.com/player-profile/8FFC114F-FEF3-40BF-AF97-E338D1EA4209", "Link")</f>
        <v/>
      </c>
      <c r="E827" s="3" t="n">
        <v>6.248</v>
      </c>
      <c r="F827" s="4" t="n">
        <v>1</v>
      </c>
      <c r="G827" t="inlineStr">
        <is>
          <t>British Columbia</t>
        </is>
      </c>
      <c r="H827" t="inlineStr">
        <is>
          <t>No Club</t>
        </is>
      </c>
      <c r="I827" t="n">
        <v>38.1</v>
      </c>
      <c r="J827" s="4" t="n">
        <v>14</v>
      </c>
      <c r="K827" t="inlineStr">
        <is>
          <t>5 / 9</t>
        </is>
      </c>
      <c r="L827" t="inlineStr">
        <is>
          <t>2 / 3</t>
        </is>
      </c>
      <c r="M827" s="5" t="n">
        <v>0.36</v>
      </c>
      <c r="N827" s="5" t="n">
        <v>0.4</v>
      </c>
    </row>
    <row r="828">
      <c r="A828" t="n">
        <v>826</v>
      </c>
      <c r="B828" t="n">
        <v>2012</v>
      </c>
      <c r="C828" t="inlineStr">
        <is>
          <t>Huiran Zhang</t>
        </is>
      </c>
      <c r="D828">
        <f>HYPERLINK("https://ota.tournamentsoftware.com/player-profile/1E917C5C-2B33-48E2-908B-A812DD532CD4", "Link")</f>
        <v/>
      </c>
      <c r="E828" s="3" t="n">
        <v>6.248</v>
      </c>
      <c r="F828" s="4" t="n">
        <v>1</v>
      </c>
      <c r="G828" t="inlineStr">
        <is>
          <t>British Columbia</t>
        </is>
      </c>
      <c r="H828" t="inlineStr">
        <is>
          <t>No Club</t>
        </is>
      </c>
      <c r="I828" t="n">
        <v>37.6</v>
      </c>
      <c r="J828" s="4" t="n">
        <v>13</v>
      </c>
      <c r="K828" t="inlineStr">
        <is>
          <t>2 / 11</t>
        </is>
      </c>
      <c r="L828" t="inlineStr">
        <is>
          <t>1 / 4</t>
        </is>
      </c>
      <c r="M828" s="5" t="n">
        <v>0.15</v>
      </c>
      <c r="N828" s="5" t="n">
        <v>0.2</v>
      </c>
    </row>
    <row r="829">
      <c r="A829" t="n">
        <v>828</v>
      </c>
      <c r="B829" t="n">
        <v>2015</v>
      </c>
      <c r="C829" t="inlineStr">
        <is>
          <t>Lydia Hilborn</t>
        </is>
      </c>
      <c r="D829">
        <f>HYPERLINK("https://ota.tournamentsoftware.com/player-profile/30626EFD-AB33-4307-B2FA-1CF205F3C271", "Link")</f>
        <v/>
      </c>
      <c r="E829" s="3" t="n">
        <v>6.23</v>
      </c>
      <c r="F829" s="4" t="n">
        <v>1</v>
      </c>
      <c r="G829" t="inlineStr">
        <is>
          <t>Ontario Tennis Association</t>
        </is>
      </c>
      <c r="H829" t="inlineStr">
        <is>
          <t>Cutten Fields</t>
        </is>
      </c>
      <c r="I829" t="n">
        <v>37.5</v>
      </c>
      <c r="J829" s="4" t="n">
        <v>50</v>
      </c>
      <c r="K829" t="inlineStr">
        <is>
          <t>23 / 27</t>
        </is>
      </c>
      <c r="L829" t="inlineStr">
        <is>
          <t>0 / 0</t>
        </is>
      </c>
      <c r="M829" s="5" t="n">
        <v>0.46</v>
      </c>
      <c r="N829" s="5" t="n">
        <v>0</v>
      </c>
    </row>
    <row r="830">
      <c r="A830" t="n">
        <v>829</v>
      </c>
      <c r="B830" t="n">
        <v>2014</v>
      </c>
      <c r="C830" t="inlineStr">
        <is>
          <t>Madelyn Palsat</t>
        </is>
      </c>
      <c r="D830">
        <f>HYPERLINK("https://ota.tournamentsoftware.com/player-profile/B7A28D92-CC5D-460E-A752-75C63DAB2E9F", "Link")</f>
        <v/>
      </c>
      <c r="E830" s="3" t="n">
        <v>6.221</v>
      </c>
      <c r="F830" s="4" t="n">
        <v>4</v>
      </c>
      <c r="G830" t="inlineStr">
        <is>
          <t>Tennis Alberta</t>
        </is>
      </c>
      <c r="H830" t="inlineStr">
        <is>
          <t>Royal Glenora Club</t>
        </is>
      </c>
      <c r="I830" t="n">
        <v>38</v>
      </c>
      <c r="J830" s="4" t="n">
        <v>12</v>
      </c>
      <c r="K830" t="inlineStr">
        <is>
          <t>5 / 7</t>
        </is>
      </c>
      <c r="L830" t="inlineStr">
        <is>
          <t>5 / 7</t>
        </is>
      </c>
      <c r="M830" s="5" t="n">
        <v>0.42</v>
      </c>
      <c r="N830" s="5" t="n">
        <v>0.42</v>
      </c>
    </row>
    <row r="831">
      <c r="A831" t="n">
        <v>830</v>
      </c>
      <c r="B831" t="n">
        <v>2016</v>
      </c>
      <c r="C831" t="inlineStr">
        <is>
          <t>Samantha Bronwyn Daniell</t>
        </is>
      </c>
      <c r="D831">
        <f>HYPERLINK("https://ota.tournamentsoftware.com/player-profile/7D796AB4-F8DD-43AD-8451-41C0A3E3949A", "Link")</f>
        <v/>
      </c>
      <c r="E831" s="3" t="n">
        <v>6.106</v>
      </c>
      <c r="F831" s="4" t="n">
        <v>5</v>
      </c>
      <c r="G831" t="inlineStr">
        <is>
          <t>British Columbia</t>
        </is>
      </c>
      <c r="H831" t="inlineStr">
        <is>
          <t>The Tennis Centre</t>
        </is>
      </c>
      <c r="I831" t="n">
        <v>37.5</v>
      </c>
      <c r="J831" s="4" t="n">
        <v>119</v>
      </c>
      <c r="K831" t="inlineStr">
        <is>
          <t>61 / 58</t>
        </is>
      </c>
      <c r="L831" t="inlineStr">
        <is>
          <t>29 / 20</t>
        </is>
      </c>
      <c r="M831" s="5" t="n">
        <v>0.51</v>
      </c>
      <c r="N831" s="5" t="n">
        <v>0.59</v>
      </c>
    </row>
    <row r="832">
      <c r="A832" t="n">
        <v>831</v>
      </c>
      <c r="B832" t="n">
        <v>2014</v>
      </c>
      <c r="C832" t="inlineStr">
        <is>
          <t>Dina Karahotzitis</t>
        </is>
      </c>
      <c r="D832">
        <f>HYPERLINK("https://ota.tournamentsoftware.com/player-profile/741C9055-B842-4064-A339-E591B8FD72C4", "Link")</f>
        <v/>
      </c>
      <c r="E832" s="3" t="n">
        <v>6</v>
      </c>
      <c r="F832" s="4" t="n">
        <v>1</v>
      </c>
      <c r="G832" t="inlineStr">
        <is>
          <t>Ontario Tennis Association</t>
        </is>
      </c>
      <c r="H832" t="inlineStr">
        <is>
          <t>Mayfair West Fitness &amp; Racquet Club</t>
        </is>
      </c>
      <c r="I832" t="n">
        <v>34.9</v>
      </c>
      <c r="J832" s="4" t="n">
        <v>19</v>
      </c>
      <c r="K832" t="inlineStr">
        <is>
          <t>0 / 19</t>
        </is>
      </c>
      <c r="L832" t="inlineStr">
        <is>
          <t>0 / 0</t>
        </is>
      </c>
      <c r="M832" s="5" t="n">
        <v>0</v>
      </c>
      <c r="N832" s="5" t="n">
        <v>0</v>
      </c>
    </row>
    <row r="833">
      <c r="A833" t="n">
        <v>831</v>
      </c>
      <c r="B833" t="n">
        <v>2015</v>
      </c>
      <c r="C833" t="inlineStr">
        <is>
          <t>Allison Zhang</t>
        </is>
      </c>
      <c r="D833">
        <f>HYPERLINK("https://ota.tournamentsoftware.com/player-profile/7EED065B-4139-4D18-B6C0-4800BB20D171", "Link")</f>
        <v/>
      </c>
      <c r="E833" s="3" t="n">
        <v>6</v>
      </c>
      <c r="F833" s="4" t="n">
        <v>1</v>
      </c>
      <c r="G833" t="inlineStr">
        <is>
          <t>Ontario Tennis Association</t>
        </is>
      </c>
      <c r="H833" t="inlineStr">
        <is>
          <t>No Club</t>
        </is>
      </c>
      <c r="I833" t="inlineStr">
        <is>
          <t>unavailable</t>
        </is>
      </c>
      <c r="J833" s="4" t="n">
        <v>23</v>
      </c>
      <c r="K833" t="inlineStr">
        <is>
          <t>4 / 19</t>
        </is>
      </c>
      <c r="L833" t="inlineStr">
        <is>
          <t>0 / 0</t>
        </is>
      </c>
      <c r="M833" s="5" t="n">
        <v>0.17</v>
      </c>
      <c r="N833" s="5" t="n">
        <v>0</v>
      </c>
    </row>
    <row r="834">
      <c r="A834" t="n">
        <v>833</v>
      </c>
      <c r="B834" t="n">
        <v>2015</v>
      </c>
      <c r="C834" t="inlineStr">
        <is>
          <t>Vera Nino</t>
        </is>
      </c>
      <c r="D834">
        <f>HYPERLINK("https://ota.tournamentsoftware.com/player-profile/081EF9A9-B991-431D-B2FC-AC8426BD2711", "Link")</f>
        <v/>
      </c>
      <c r="E834" s="3" t="n">
        <v>5.803</v>
      </c>
      <c r="F834" s="4" t="n">
        <v>1</v>
      </c>
      <c r="G834" t="inlineStr">
        <is>
          <t>Ontario Tennis Association</t>
        </is>
      </c>
      <c r="H834" t="inlineStr">
        <is>
          <t>Zekelman Tennis Centre</t>
        </is>
      </c>
      <c r="I834" t="inlineStr">
        <is>
          <t>unavailable</t>
        </is>
      </c>
      <c r="J834" s="4" t="n">
        <v>6</v>
      </c>
      <c r="K834" t="inlineStr">
        <is>
          <t>0 / 6</t>
        </is>
      </c>
      <c r="L834" t="inlineStr">
        <is>
          <t>0 / 6</t>
        </is>
      </c>
      <c r="M834" s="5" t="n">
        <v>0</v>
      </c>
      <c r="N834" s="5" t="n">
        <v>0</v>
      </c>
    </row>
    <row r="835">
      <c r="A835" t="n">
        <v>834</v>
      </c>
      <c r="B835" t="n">
        <v>2014</v>
      </c>
      <c r="C835" t="inlineStr">
        <is>
          <t>Anabelle Duchesne</t>
        </is>
      </c>
      <c r="D835">
        <f>HYPERLINK("https://ota.tournamentsoftware.com/player-profile/3D9B7A28-72A0-4133-925D-142C95DC7FA9", "Link")</f>
        <v/>
      </c>
      <c r="E835" s="3" t="n">
        <v>5.497</v>
      </c>
      <c r="F835" s="4" t="n">
        <v>1</v>
      </c>
      <c r="G835" t="inlineStr">
        <is>
          <t>Tennis Québec</t>
        </is>
      </c>
      <c r="H835" t="inlineStr">
        <is>
          <t>Les Tennis de Rimouski (intérieur)</t>
        </is>
      </c>
      <c r="I835" t="n">
        <v>39.8</v>
      </c>
      <c r="J835" s="4" t="n">
        <v>3</v>
      </c>
      <c r="K835" t="inlineStr">
        <is>
          <t>0 / 3</t>
        </is>
      </c>
      <c r="L835" t="inlineStr">
        <is>
          <t>0 / 3</t>
        </is>
      </c>
      <c r="M835" s="5" t="n">
        <v>0</v>
      </c>
      <c r="N835" s="5" t="n">
        <v>0</v>
      </c>
    </row>
    <row r="836">
      <c r="A836" t="n">
        <v>834</v>
      </c>
      <c r="B836" t="n">
        <v>2013</v>
      </c>
      <c r="C836" t="inlineStr">
        <is>
          <t>Isabella Salum</t>
        </is>
      </c>
      <c r="D836">
        <f>HYPERLINK("https://ota.tournamentsoftware.com/player-profile/AD20BB62-5360-484E-820D-DA1E16118088", "Link")</f>
        <v/>
      </c>
      <c r="E836" s="3" t="n">
        <v>5.497</v>
      </c>
      <c r="F836" s="4" t="n">
        <v>1</v>
      </c>
      <c r="G836" t="inlineStr">
        <is>
          <t>British Columbia</t>
        </is>
      </c>
      <c r="H836" t="inlineStr">
        <is>
          <t>Bear Mountain Tennis Centre</t>
        </is>
      </c>
      <c r="I836" t="inlineStr">
        <is>
          <t>unavailable</t>
        </is>
      </c>
      <c r="J836" s="4" t="n">
        <v>23</v>
      </c>
      <c r="K836" t="inlineStr">
        <is>
          <t>6 / 17</t>
        </is>
      </c>
      <c r="L836" t="inlineStr">
        <is>
          <t>1 / 2</t>
        </is>
      </c>
      <c r="M836" s="5" t="n">
        <v>0.26</v>
      </c>
      <c r="N836" s="5" t="n">
        <v>0.33</v>
      </c>
    </row>
    <row r="837">
      <c r="A837" t="n">
        <v>836</v>
      </c>
      <c r="B837" t="n">
        <v>2013</v>
      </c>
      <c r="C837" t="inlineStr">
        <is>
          <t>Eve Bussière</t>
        </is>
      </c>
      <c r="D837">
        <f>HYPERLINK("https://ota.tournamentsoftware.com/player-profile/01D291A9-D1EC-4A34-907D-E221D9B25023", "Link")</f>
        <v/>
      </c>
      <c r="E837" s="3" t="n">
        <v>5.408</v>
      </c>
      <c r="F837" s="4" t="n">
        <v>2</v>
      </c>
      <c r="G837" t="inlineStr">
        <is>
          <t>Tennis Québec</t>
        </is>
      </c>
      <c r="H837" t="inlineStr">
        <is>
          <t>No Club</t>
        </is>
      </c>
      <c r="I837" t="inlineStr">
        <is>
          <t>unavailable</t>
        </is>
      </c>
      <c r="J837" s="4" t="n">
        <v>10</v>
      </c>
      <c r="K837" t="inlineStr">
        <is>
          <t>2 / 8</t>
        </is>
      </c>
      <c r="L837" t="inlineStr">
        <is>
          <t>0 / 0</t>
        </is>
      </c>
      <c r="M837" s="5" t="n">
        <v>0.2</v>
      </c>
      <c r="N837" s="5" t="n">
        <v>0</v>
      </c>
    </row>
    <row r="838">
      <c r="A838" t="n">
        <v>837</v>
      </c>
      <c r="B838" t="n">
        <v>2012</v>
      </c>
      <c r="C838" t="inlineStr">
        <is>
          <t>Emma Thomson</t>
        </is>
      </c>
      <c r="D838">
        <f>HYPERLINK("https://ota.tournamentsoftware.com/player-profile/EE28DE8E-EE8A-4FBB-885B-733BCB8A08C4", "Link")</f>
        <v/>
      </c>
      <c r="E838" s="3" t="n">
        <v>5.404</v>
      </c>
      <c r="F838" s="4" t="n">
        <v>3</v>
      </c>
      <c r="G838" t="inlineStr">
        <is>
          <t>Tennis Alberta</t>
        </is>
      </c>
      <c r="H838" t="inlineStr">
        <is>
          <t>Osten &amp; Victor Alberta Tennis Centre</t>
        </is>
      </c>
      <c r="I838" t="inlineStr">
        <is>
          <t>unavailable</t>
        </is>
      </c>
      <c r="J838" s="4" t="n">
        <v>6</v>
      </c>
      <c r="K838" t="inlineStr">
        <is>
          <t>1 / 5</t>
        </is>
      </c>
      <c r="L838" t="inlineStr">
        <is>
          <t>1 / 1</t>
        </is>
      </c>
      <c r="M838" s="5" t="n">
        <v>0.17</v>
      </c>
      <c r="N838" s="5" t="n">
        <v>0.5</v>
      </c>
    </row>
    <row r="839">
      <c r="A839" t="n">
        <v>838</v>
      </c>
      <c r="B839" t="n">
        <v>2014</v>
      </c>
      <c r="C839" t="inlineStr">
        <is>
          <t>Abigale Julia Dioszeghy Beatty</t>
        </is>
      </c>
      <c r="D839">
        <f>HYPERLINK("https://ota.tournamentsoftware.com/player-profile/3376BA08-B4B7-40B5-A81E-8F995772526B", "Link")</f>
        <v/>
      </c>
      <c r="E839" s="3" t="n">
        <v>5.314</v>
      </c>
      <c r="F839" s="4" t="n">
        <v>3</v>
      </c>
      <c r="G839" t="inlineStr">
        <is>
          <t>Tennis Alberta</t>
        </is>
      </c>
      <c r="H839" t="inlineStr">
        <is>
          <t>Royal Glenora Club</t>
        </is>
      </c>
      <c r="I839" t="n">
        <v>38.4</v>
      </c>
      <c r="J839" s="4" t="n">
        <v>8</v>
      </c>
      <c r="K839" t="inlineStr">
        <is>
          <t>3 / 5</t>
        </is>
      </c>
      <c r="L839" t="inlineStr">
        <is>
          <t>3 / 5</t>
        </is>
      </c>
      <c r="M839" s="5" t="n">
        <v>0.38</v>
      </c>
      <c r="N839" s="5" t="n">
        <v>0.38</v>
      </c>
    </row>
    <row r="840">
      <c r="A840" t="n">
        <v>839</v>
      </c>
      <c r="B840" t="n">
        <v>2012</v>
      </c>
      <c r="C840" t="inlineStr">
        <is>
          <t>Julia Michelle Cipriano</t>
        </is>
      </c>
      <c r="D840">
        <f>HYPERLINK("https://ota.tournamentsoftware.com/player-profile/EC29FADF-ECEA-4CC3-AE9B-2987D1E47266", "Link")</f>
        <v/>
      </c>
      <c r="E840" s="3" t="n">
        <v>5.301</v>
      </c>
      <c r="F840" s="4" t="n">
        <v>1</v>
      </c>
      <c r="G840" t="inlineStr">
        <is>
          <t>British Columbia</t>
        </is>
      </c>
      <c r="H840" t="inlineStr">
        <is>
          <t>West Vancouver Tennis Club</t>
        </is>
      </c>
      <c r="I840" t="n">
        <v>34.8</v>
      </c>
      <c r="J840" s="4" t="n">
        <v>16</v>
      </c>
      <c r="K840" t="inlineStr">
        <is>
          <t>8 / 8</t>
        </is>
      </c>
      <c r="L840" t="inlineStr">
        <is>
          <t>6 / 4</t>
        </is>
      </c>
      <c r="M840" s="5" t="n">
        <v>0.5</v>
      </c>
      <c r="N840" s="5" t="n">
        <v>0.6</v>
      </c>
    </row>
    <row r="841">
      <c r="A841" t="n">
        <v>840</v>
      </c>
      <c r="B841" t="n">
        <v>2014</v>
      </c>
      <c r="C841" t="inlineStr">
        <is>
          <t>Alexandra Ciacoi-Pop</t>
        </is>
      </c>
      <c r="D841">
        <f>HYPERLINK("https://ota.tournamentsoftware.com/player-profile/4F87B1A1-F52A-4C8C-8C6B-776A59CC6D03", "Link")</f>
        <v/>
      </c>
      <c r="E841" s="3" t="n">
        <v>5.125</v>
      </c>
      <c r="F841" s="4" t="n">
        <v>1</v>
      </c>
      <c r="G841" t="inlineStr">
        <is>
          <t>Ontario Tennis Association</t>
        </is>
      </c>
      <c r="H841" t="inlineStr">
        <is>
          <t>Parkway Valley Tennis Club</t>
        </is>
      </c>
      <c r="I841" t="n">
        <v>38.8</v>
      </c>
      <c r="J841" s="4" t="n">
        <v>28</v>
      </c>
      <c r="K841" t="inlineStr">
        <is>
          <t>11 / 17</t>
        </is>
      </c>
      <c r="L841" t="inlineStr">
        <is>
          <t>7 / 12</t>
        </is>
      </c>
      <c r="M841" s="5" t="n">
        <v>0.39</v>
      </c>
      <c r="N841" s="5" t="n">
        <v>0.37</v>
      </c>
    </row>
    <row r="842">
      <c r="A842" t="n">
        <v>840</v>
      </c>
      <c r="B842" t="n">
        <v>2016</v>
      </c>
      <c r="C842" t="inlineStr">
        <is>
          <t>Marusya Bakaeva</t>
        </is>
      </c>
      <c r="D842">
        <f>HYPERLINK("https://ota.tournamentsoftware.com/player-profile/B7C51186-F387-4E99-B849-E8275BB7C0E9", "Link")</f>
        <v/>
      </c>
      <c r="E842" s="3" t="n">
        <v>5.125</v>
      </c>
      <c r="F842" s="4" t="n">
        <v>1</v>
      </c>
      <c r="G842" t="inlineStr">
        <is>
          <t>Ontario Tennis Association</t>
        </is>
      </c>
      <c r="H842" t="inlineStr">
        <is>
          <t>Toronto Tennis City</t>
        </is>
      </c>
      <c r="I842" t="n">
        <v>35.9</v>
      </c>
      <c r="J842" s="4" t="n">
        <v>14</v>
      </c>
      <c r="K842" t="inlineStr">
        <is>
          <t>6 / 8</t>
        </is>
      </c>
      <c r="L842" t="inlineStr">
        <is>
          <t>3 / 4</t>
        </is>
      </c>
      <c r="M842" s="5" t="n">
        <v>0.43</v>
      </c>
      <c r="N842" s="5" t="n">
        <v>0.43</v>
      </c>
    </row>
    <row r="843">
      <c r="A843" t="n">
        <v>842</v>
      </c>
      <c r="B843" t="n">
        <v>2012</v>
      </c>
      <c r="C843" t="inlineStr">
        <is>
          <t>Frankie Hunsberger</t>
        </is>
      </c>
      <c r="D843">
        <f>HYPERLINK("https://ota.tournamentsoftware.com/player-profile/288F03A3-20CB-46BE-B35D-7428B5B7FA35", "Link")</f>
        <v/>
      </c>
      <c r="E843" s="3" t="n">
        <v>5.054</v>
      </c>
      <c r="F843" s="4" t="n">
        <v>2</v>
      </c>
      <c r="G843" t="inlineStr">
        <is>
          <t>British Columbia</t>
        </is>
      </c>
      <c r="H843" t="inlineStr">
        <is>
          <t>North Shore Winter Club</t>
        </is>
      </c>
      <c r="I843" t="n">
        <v>38.6</v>
      </c>
      <c r="J843" s="4" t="n">
        <v>18</v>
      </c>
      <c r="K843" t="inlineStr">
        <is>
          <t>10 / 8</t>
        </is>
      </c>
      <c r="L843" t="inlineStr">
        <is>
          <t>3 / 2</t>
        </is>
      </c>
      <c r="M843" s="5" t="n">
        <v>0.5600000000000001</v>
      </c>
      <c r="N843" s="5" t="n">
        <v>0.6</v>
      </c>
    </row>
    <row r="844">
      <c r="A844" t="n">
        <v>843</v>
      </c>
      <c r="B844" t="n">
        <v>2013</v>
      </c>
      <c r="C844" t="inlineStr">
        <is>
          <t>Barbara Li</t>
        </is>
      </c>
      <c r="D844">
        <f>HYPERLINK("https://ota.tournamentsoftware.com/player-profile/FFEAFA99-A203-4A57-A5C8-1E0592A53A81", "Link")</f>
        <v/>
      </c>
      <c r="E844" s="3" t="n">
        <v>5</v>
      </c>
      <c r="F844" s="4" t="n">
        <v>1</v>
      </c>
      <c r="G844" t="inlineStr">
        <is>
          <t>British Columbia</t>
        </is>
      </c>
      <c r="H844" t="inlineStr">
        <is>
          <t>Hollyburn Country Club</t>
        </is>
      </c>
      <c r="I844" t="n">
        <v>39.7</v>
      </c>
      <c r="J844" s="4" t="n">
        <v>13</v>
      </c>
      <c r="K844" t="inlineStr">
        <is>
          <t>3 / 10</t>
        </is>
      </c>
      <c r="L844" t="inlineStr">
        <is>
          <t>0 / 0</t>
        </is>
      </c>
      <c r="M844" s="5" t="n">
        <v>0.23</v>
      </c>
      <c r="N844" s="5" t="n">
        <v>0</v>
      </c>
    </row>
    <row r="845">
      <c r="A845" t="n">
        <v>843</v>
      </c>
      <c r="B845" t="n">
        <v>2014</v>
      </c>
      <c r="C845" t="inlineStr">
        <is>
          <t>Freya Run Rutledge</t>
        </is>
      </c>
      <c r="D845">
        <f>HYPERLINK("https://ota.tournamentsoftware.com/player-profile/76B60137-7272-4F42-A455-109E20840062", "Link")</f>
        <v/>
      </c>
      <c r="E845" s="3" t="n">
        <v>5</v>
      </c>
      <c r="F845" s="4" t="n">
        <v>1</v>
      </c>
      <c r="G845" t="inlineStr">
        <is>
          <t>Ontario Tennis Association</t>
        </is>
      </c>
      <c r="H845" t="inlineStr">
        <is>
          <t>Boulevard Club</t>
        </is>
      </c>
      <c r="I845" t="n">
        <v>34.9</v>
      </c>
      <c r="J845" s="4" t="n">
        <v>14</v>
      </c>
      <c r="K845" t="inlineStr">
        <is>
          <t>0 / 14</t>
        </is>
      </c>
      <c r="L845" t="inlineStr">
        <is>
          <t>0 / 1</t>
        </is>
      </c>
      <c r="M845" s="5" t="n">
        <v>0</v>
      </c>
      <c r="N845" s="5" t="n">
        <v>0</v>
      </c>
    </row>
    <row r="846">
      <c r="A846" t="n">
        <v>843</v>
      </c>
      <c r="B846" t="n">
        <v>2014</v>
      </c>
      <c r="C846" t="inlineStr">
        <is>
          <t>Mackenzie Lee</t>
        </is>
      </c>
      <c r="D846">
        <f>HYPERLINK("https://ota.tournamentsoftware.com/player-profile/7734E749-B5B7-4067-9AE1-B5CB58EFDC1A", "Link")</f>
        <v/>
      </c>
      <c r="E846" s="3" t="n">
        <v>5</v>
      </c>
      <c r="F846" s="4" t="n">
        <v>1</v>
      </c>
      <c r="G846" t="inlineStr">
        <is>
          <t>Ontario Tennis Association</t>
        </is>
      </c>
      <c r="H846" t="inlineStr">
        <is>
          <t>Toronto Lawn Tennis Club</t>
        </is>
      </c>
      <c r="I846" t="inlineStr">
        <is>
          <t>unavailable</t>
        </is>
      </c>
      <c r="J846" s="4" t="n">
        <v>13</v>
      </c>
      <c r="K846" t="inlineStr">
        <is>
          <t>5 / 8</t>
        </is>
      </c>
      <c r="L846" t="inlineStr">
        <is>
          <t>4 / 3</t>
        </is>
      </c>
      <c r="M846" s="5" t="n">
        <v>0.38</v>
      </c>
      <c r="N846" s="5" t="n">
        <v>0.57</v>
      </c>
    </row>
    <row r="847">
      <c r="A847" t="n">
        <v>843</v>
      </c>
      <c r="B847" t="n">
        <v>2015</v>
      </c>
      <c r="C847" t="inlineStr">
        <is>
          <t>Cynthia Wang</t>
        </is>
      </c>
      <c r="D847">
        <f>HYPERLINK("https://ota.tournamentsoftware.com/player-profile/C8736B80-1071-4F4F-86B0-CA7FB630F618", "Link")</f>
        <v/>
      </c>
      <c r="E847" s="3" t="n">
        <v>5</v>
      </c>
      <c r="F847" s="4" t="n">
        <v>1</v>
      </c>
      <c r="G847" t="inlineStr">
        <is>
          <t>Ontario Tennis Association</t>
        </is>
      </c>
      <c r="H847" t="inlineStr">
        <is>
          <t>SmartVMC Racquetsports by ACE</t>
        </is>
      </c>
      <c r="I847" t="n">
        <v>37.3</v>
      </c>
      <c r="J847" s="4" t="n">
        <v>3</v>
      </c>
      <c r="K847" t="inlineStr">
        <is>
          <t>0 / 3</t>
        </is>
      </c>
      <c r="L847" t="inlineStr">
        <is>
          <t>0 / 0</t>
        </is>
      </c>
      <c r="M847" s="5" t="n">
        <v>0</v>
      </c>
      <c r="N847" s="5" t="n">
        <v>0</v>
      </c>
    </row>
    <row r="848">
      <c r="A848" t="n">
        <v>847</v>
      </c>
      <c r="B848" t="n">
        <v>2015</v>
      </c>
      <c r="C848" t="inlineStr">
        <is>
          <t>Rowan Ferris</t>
        </is>
      </c>
      <c r="D848">
        <f>HYPERLINK("https://ota.tournamentsoftware.com/player-profile/48292DD6-1A8C-41C7-997E-9A5C5BD68EFF", "Link")</f>
        <v/>
      </c>
      <c r="E848" s="3" t="n">
        <v>4.966</v>
      </c>
      <c r="F848" s="4" t="n">
        <v>1</v>
      </c>
      <c r="G848" t="inlineStr">
        <is>
          <t>Tennis Alberta</t>
        </is>
      </c>
      <c r="H848" t="inlineStr">
        <is>
          <t>Medicine Hat Tennis Club</t>
        </is>
      </c>
      <c r="I848" t="n">
        <v>39.4</v>
      </c>
      <c r="J848" s="4" t="n">
        <v>8</v>
      </c>
      <c r="K848" t="inlineStr">
        <is>
          <t>2 / 6</t>
        </is>
      </c>
      <c r="L848" t="inlineStr">
        <is>
          <t>0 / 2</t>
        </is>
      </c>
      <c r="M848" s="5" t="n">
        <v>0.25</v>
      </c>
      <c r="N848" s="5" t="n">
        <v>0</v>
      </c>
    </row>
    <row r="849">
      <c r="A849" t="n">
        <v>848</v>
      </c>
      <c r="B849" t="n">
        <v>2014</v>
      </c>
      <c r="C849" t="inlineStr">
        <is>
          <t>Jylian May II Mauricio Luces</t>
        </is>
      </c>
      <c r="D849">
        <f>HYPERLINK("https://ota.tournamentsoftware.com/player-profile/EE4C1547-2DEF-4E96-BA65-F8069863F09D", "Link")</f>
        <v/>
      </c>
      <c r="E849" s="3" t="n">
        <v>4.939</v>
      </c>
      <c r="F849" s="4" t="n">
        <v>5</v>
      </c>
      <c r="G849" t="inlineStr">
        <is>
          <t>Tennis Alberta</t>
        </is>
      </c>
      <c r="H849" t="inlineStr">
        <is>
          <t>Osten &amp; Victor Alberta Tennis Centre</t>
        </is>
      </c>
      <c r="I849" t="inlineStr">
        <is>
          <t>unavailable</t>
        </is>
      </c>
      <c r="J849" s="4" t="n">
        <v>27</v>
      </c>
      <c r="K849" t="inlineStr">
        <is>
          <t>4 / 23</t>
        </is>
      </c>
      <c r="L849" t="inlineStr">
        <is>
          <t>0 / 4</t>
        </is>
      </c>
      <c r="M849" s="5" t="n">
        <v>0.15</v>
      </c>
      <c r="N849" s="5" t="n">
        <v>0</v>
      </c>
    </row>
    <row r="850">
      <c r="A850" t="n">
        <v>849</v>
      </c>
      <c r="B850" t="n">
        <v>2014</v>
      </c>
      <c r="C850" t="inlineStr">
        <is>
          <t>Alicia Januario</t>
        </is>
      </c>
      <c r="D850">
        <f>HYPERLINK("https://ota.tournamentsoftware.com/player-profile/C042725A-21A9-463F-848F-04CEA3B56FE5", "Link")</f>
        <v/>
      </c>
      <c r="E850" s="3" t="n">
        <v>4.927</v>
      </c>
      <c r="F850" s="4" t="n">
        <v>2</v>
      </c>
      <c r="G850" t="inlineStr">
        <is>
          <t>Tennis Québec</t>
        </is>
      </c>
      <c r="H850" t="inlineStr">
        <is>
          <t>No Club</t>
        </is>
      </c>
      <c r="I850" t="n">
        <v>37.7</v>
      </c>
      <c r="J850" s="4" t="n">
        <v>6</v>
      </c>
      <c r="K850" t="inlineStr">
        <is>
          <t>1 / 5</t>
        </is>
      </c>
      <c r="L850" t="inlineStr">
        <is>
          <t>1 / 5</t>
        </is>
      </c>
      <c r="M850" s="5" t="n">
        <v>0.17</v>
      </c>
      <c r="N850" s="5" t="n">
        <v>0.17</v>
      </c>
    </row>
    <row r="851">
      <c r="A851" t="n">
        <v>850</v>
      </c>
      <c r="B851" t="n">
        <v>2014</v>
      </c>
      <c r="C851" t="inlineStr">
        <is>
          <t>Emma Sun</t>
        </is>
      </c>
      <c r="D851">
        <f>HYPERLINK("https://ota.tournamentsoftware.com/player-profile/872E410F-742F-4F80-9387-6C15C73FE92E", "Link")</f>
        <v/>
      </c>
      <c r="E851" s="3" t="n">
        <v>4.806</v>
      </c>
      <c r="F851" s="4" t="n">
        <v>1</v>
      </c>
      <c r="G851" t="inlineStr">
        <is>
          <t>Ontario Tennis Association</t>
        </is>
      </c>
      <c r="H851" t="inlineStr">
        <is>
          <t>Valan Tennis Academy</t>
        </is>
      </c>
      <c r="I851" t="n">
        <v>38.6</v>
      </c>
      <c r="J851" s="4" t="n">
        <v>18</v>
      </c>
      <c r="K851" t="inlineStr">
        <is>
          <t>10 / 8</t>
        </is>
      </c>
      <c r="L851" t="inlineStr">
        <is>
          <t>1 / 1</t>
        </is>
      </c>
      <c r="M851" s="5" t="n">
        <v>0.5600000000000001</v>
      </c>
      <c r="N851" s="5" t="n">
        <v>0.5</v>
      </c>
    </row>
    <row r="852">
      <c r="A852" t="n">
        <v>850</v>
      </c>
      <c r="B852" t="n">
        <v>2013</v>
      </c>
      <c r="C852" t="inlineStr">
        <is>
          <t>Grâce-David Adzo TRAORÉ</t>
        </is>
      </c>
      <c r="D852">
        <f>HYPERLINK("https://ota.tournamentsoftware.com/player-profile/2A96F5BB-709B-450E-A0CA-0442985A8D03", "Link")</f>
        <v/>
      </c>
      <c r="E852" s="3" t="n">
        <v>4.806</v>
      </c>
      <c r="F852" s="4" t="n">
        <v>1</v>
      </c>
      <c r="G852" t="inlineStr">
        <is>
          <t>Tennis Québec</t>
        </is>
      </c>
      <c r="H852" t="inlineStr">
        <is>
          <t>QC AutreClub</t>
        </is>
      </c>
      <c r="I852" t="inlineStr">
        <is>
          <t>unavailable</t>
        </is>
      </c>
      <c r="J852" s="4" t="n">
        <v>1</v>
      </c>
      <c r="K852" t="inlineStr">
        <is>
          <t>0 / 1</t>
        </is>
      </c>
      <c r="L852" t="inlineStr">
        <is>
          <t>0 / 0</t>
        </is>
      </c>
      <c r="M852" s="5" t="n">
        <v>0</v>
      </c>
      <c r="N852" s="5" t="n">
        <v>0</v>
      </c>
    </row>
    <row r="853">
      <c r="A853" t="n">
        <v>852</v>
      </c>
      <c r="B853" t="n">
        <v>2012</v>
      </c>
      <c r="C853" t="inlineStr">
        <is>
          <t>Katie Elizabeth Furlan</t>
        </is>
      </c>
      <c r="D853">
        <f>HYPERLINK("https://ota.tournamentsoftware.com/player-profile/CB36C2DA-0DAF-44E4-AE44-0A925ED0DFC0", "Link")</f>
        <v/>
      </c>
      <c r="E853" s="3" t="n">
        <v>4.538</v>
      </c>
      <c r="F853" s="4" t="n">
        <v>4</v>
      </c>
      <c r="G853" t="inlineStr">
        <is>
          <t>Tennis Alberta</t>
        </is>
      </c>
      <c r="H853" t="inlineStr">
        <is>
          <t>The Glencoe Club</t>
        </is>
      </c>
      <c r="I853" t="n">
        <v>38.4</v>
      </c>
      <c r="J853" s="4" t="n">
        <v>25</v>
      </c>
      <c r="K853" t="inlineStr">
        <is>
          <t>6 / 19</t>
        </is>
      </c>
      <c r="L853" t="inlineStr">
        <is>
          <t>0 / 2</t>
        </is>
      </c>
      <c r="M853" s="5" t="n">
        <v>0.24</v>
      </c>
      <c r="N853" s="5" t="n">
        <v>0</v>
      </c>
    </row>
    <row r="854">
      <c r="A854" t="n">
        <v>853</v>
      </c>
      <c r="B854" t="n">
        <v>2014</v>
      </c>
      <c r="C854" t="inlineStr">
        <is>
          <t>Irryssa Kaur Bains</t>
        </is>
      </c>
      <c r="D854">
        <f>HYPERLINK("https://ota.tournamentsoftware.com/player-profile/F89C56EB-E5EA-437F-81C3-207DA0AA59A7", "Link")</f>
        <v/>
      </c>
      <c r="E854" s="3" t="n">
        <v>4.536</v>
      </c>
      <c r="F854" s="4" t="n">
        <v>1</v>
      </c>
      <c r="G854" t="inlineStr">
        <is>
          <t>Tennis Nova Scotia</t>
        </is>
      </c>
      <c r="H854" t="inlineStr">
        <is>
          <t>HEADSTART</t>
        </is>
      </c>
      <c r="I854" t="n">
        <v>39.1</v>
      </c>
      <c r="J854" s="4" t="n">
        <v>8</v>
      </c>
      <c r="K854" t="inlineStr">
        <is>
          <t>5 / 3</t>
        </is>
      </c>
      <c r="L854" t="inlineStr">
        <is>
          <t>3 / 0</t>
        </is>
      </c>
      <c r="M854" s="5" t="n">
        <v>0.62</v>
      </c>
      <c r="N854" s="5" t="n">
        <v>1</v>
      </c>
    </row>
    <row r="855">
      <c r="A855" t="n">
        <v>854</v>
      </c>
      <c r="B855" t="n">
        <v>2012</v>
      </c>
      <c r="C855" t="inlineStr">
        <is>
          <t>Lucia Racquel Deagle</t>
        </is>
      </c>
      <c r="D855">
        <f>HYPERLINK("https://ota.tournamentsoftware.com/player-profile/9262B9F2-035F-451E-8B86-6E98C95AB597", "Link")</f>
        <v/>
      </c>
      <c r="E855" s="3" t="n">
        <v>4.173</v>
      </c>
      <c r="F855" s="4" t="n">
        <v>2</v>
      </c>
      <c r="G855" t="inlineStr">
        <is>
          <t>Tennis Alberta</t>
        </is>
      </c>
      <c r="H855" t="inlineStr">
        <is>
          <t>Aforza</t>
        </is>
      </c>
      <c r="I855" t="n">
        <v>39.2</v>
      </c>
      <c r="J855" s="4" t="n">
        <v>17</v>
      </c>
      <c r="K855" t="inlineStr">
        <is>
          <t>1 / 16</t>
        </is>
      </c>
      <c r="L855" t="inlineStr">
        <is>
          <t>0 / 0</t>
        </is>
      </c>
      <c r="M855" s="5" t="n">
        <v>0.06</v>
      </c>
      <c r="N855" s="5" t="n">
        <v>0</v>
      </c>
    </row>
    <row r="856">
      <c r="A856" t="n">
        <v>855</v>
      </c>
      <c r="B856" t="n">
        <v>2016</v>
      </c>
      <c r="C856" t="inlineStr">
        <is>
          <t>Peiyu(Cici) Li</t>
        </is>
      </c>
      <c r="D856">
        <f>HYPERLINK("https://ota.tournamentsoftware.com/player-profile/C4571297-B444-4579-A011-D24753628021", "Link")</f>
        <v/>
      </c>
      <c r="E856" s="3" t="n">
        <v>4.052</v>
      </c>
      <c r="F856" s="4" t="n">
        <v>6</v>
      </c>
      <c r="G856" t="inlineStr">
        <is>
          <t>Tennis Nova Scotia</t>
        </is>
      </c>
      <c r="H856" t="inlineStr">
        <is>
          <t>Atlantic Tennis Centre</t>
        </is>
      </c>
      <c r="I856" t="inlineStr">
        <is>
          <t>unavailable</t>
        </is>
      </c>
      <c r="J856" s="4" t="inlineStr"/>
      <c r="K856" t="inlineStr">
        <is>
          <t>unavailable</t>
        </is>
      </c>
      <c r="L856" t="inlineStr">
        <is>
          <t>unavailable</t>
        </is>
      </c>
      <c r="M856" s="5" t="inlineStr"/>
      <c r="N856" s="5" t="inlineStr"/>
    </row>
    <row r="857">
      <c r="A857" t="n">
        <v>856</v>
      </c>
      <c r="B857" t="n">
        <v>2014</v>
      </c>
      <c r="C857" t="inlineStr">
        <is>
          <t>Sophia Zhao</t>
        </is>
      </c>
      <c r="D857">
        <f>HYPERLINK("https://ota.tournamentsoftware.com/player-profile/388D9D37-AB69-4888-AB07-C709FC6BB450", "Link")</f>
        <v/>
      </c>
      <c r="E857" s="3" t="n">
        <v>4</v>
      </c>
      <c r="F857" s="4" t="n">
        <v>1</v>
      </c>
      <c r="G857" t="inlineStr">
        <is>
          <t>British Columbia</t>
        </is>
      </c>
      <c r="H857" t="inlineStr">
        <is>
          <t>Hollyburn Country Club</t>
        </is>
      </c>
      <c r="I857" t="inlineStr">
        <is>
          <t>unavailable</t>
        </is>
      </c>
      <c r="J857" s="4" t="n">
        <v>3</v>
      </c>
      <c r="K857" t="inlineStr">
        <is>
          <t>0 / 3</t>
        </is>
      </c>
      <c r="L857" t="inlineStr">
        <is>
          <t>0 / 0</t>
        </is>
      </c>
      <c r="M857" s="5" t="n">
        <v>0</v>
      </c>
      <c r="N857" s="5" t="n">
        <v>0</v>
      </c>
    </row>
    <row r="858">
      <c r="A858" t="n">
        <v>856</v>
      </c>
      <c r="B858" t="n">
        <v>2013</v>
      </c>
      <c r="C858" t="inlineStr">
        <is>
          <t>Xi Niu</t>
        </is>
      </c>
      <c r="D858">
        <f>HYPERLINK("https://ota.tournamentsoftware.com/player-profile/B2759B21-5521-4528-9454-D7FF201653DE", "Link")</f>
        <v/>
      </c>
      <c r="E858" s="3" t="n">
        <v>4</v>
      </c>
      <c r="F858" s="4" t="n">
        <v>1</v>
      </c>
      <c r="G858" t="inlineStr">
        <is>
          <t>British Columbia</t>
        </is>
      </c>
      <c r="H858" t="inlineStr">
        <is>
          <t>No Club</t>
        </is>
      </c>
      <c r="I858" t="inlineStr">
        <is>
          <t>unavailable</t>
        </is>
      </c>
      <c r="J858" s="4" t="n">
        <v>3</v>
      </c>
      <c r="K858" t="inlineStr">
        <is>
          <t>0 / 3</t>
        </is>
      </c>
      <c r="L858" t="inlineStr">
        <is>
          <t>0 / 0</t>
        </is>
      </c>
      <c r="M858" s="5" t="n">
        <v>0</v>
      </c>
      <c r="N858" s="5" t="n">
        <v>0</v>
      </c>
    </row>
    <row r="859">
      <c r="A859" t="n">
        <v>856</v>
      </c>
      <c r="B859" t="n">
        <v>2014</v>
      </c>
      <c r="C859" t="inlineStr">
        <is>
          <t>Sophia Jaffer</t>
        </is>
      </c>
      <c r="D859">
        <f>HYPERLINK("https://ota.tournamentsoftware.com/player-profile/264F2E7F-0F8D-4B4E-875F-FAAFDB4E9D43", "Link")</f>
        <v/>
      </c>
      <c r="E859" s="3" t="n">
        <v>4</v>
      </c>
      <c r="F859" s="4" t="n">
        <v>1</v>
      </c>
      <c r="G859" t="inlineStr">
        <is>
          <t>British Columbia</t>
        </is>
      </c>
      <c r="H859" t="inlineStr">
        <is>
          <t>Hollyburn Country Club</t>
        </is>
      </c>
      <c r="I859" t="n">
        <v>38.6</v>
      </c>
      <c r="J859" s="4" t="n">
        <v>14</v>
      </c>
      <c r="K859" t="inlineStr">
        <is>
          <t>3 / 11</t>
        </is>
      </c>
      <c r="L859" t="inlineStr">
        <is>
          <t>3 / 6</t>
        </is>
      </c>
      <c r="M859" s="5" t="n">
        <v>0.21</v>
      </c>
      <c r="N859" s="5" t="n">
        <v>0.33</v>
      </c>
    </row>
    <row r="860">
      <c r="A860" t="n">
        <v>859</v>
      </c>
      <c r="B860" t="n">
        <v>2016</v>
      </c>
      <c r="C860" t="inlineStr">
        <is>
          <t>Delia Stoian</t>
        </is>
      </c>
      <c r="D860">
        <f>HYPERLINK("https://ota.tournamentsoftware.com/player-profile/97BF71BC-EF3B-40A8-B2A8-4211E6570024", "Link")</f>
        <v/>
      </c>
      <c r="E860" s="3" t="n">
        <v>3.97</v>
      </c>
      <c r="F860" s="4" t="n">
        <v>1</v>
      </c>
      <c r="G860" t="inlineStr">
        <is>
          <t>Tennis Québec</t>
        </is>
      </c>
      <c r="H860" t="inlineStr">
        <is>
          <t>SANI Sport</t>
        </is>
      </c>
      <c r="I860" t="n">
        <v>37</v>
      </c>
      <c r="J860" s="4" t="n">
        <v>81</v>
      </c>
      <c r="K860" t="inlineStr">
        <is>
          <t>46 / 35</t>
        </is>
      </c>
      <c r="L860" t="inlineStr">
        <is>
          <t>18 / 14</t>
        </is>
      </c>
      <c r="M860" s="5" t="n">
        <v>0.57</v>
      </c>
      <c r="N860" s="5" t="n">
        <v>0.5600000000000001</v>
      </c>
    </row>
    <row r="861">
      <c r="A861" t="n">
        <v>860</v>
      </c>
      <c r="B861" t="n">
        <v>2013</v>
      </c>
      <c r="C861" t="inlineStr">
        <is>
          <t>Vittoria Veronica Noce</t>
        </is>
      </c>
      <c r="D861">
        <f>HYPERLINK("https://ota.tournamentsoftware.com/player-profile/00D388D4-0B24-4339-9B51-BDB96207A30D", "Link")</f>
        <v/>
      </c>
      <c r="E861" s="3" t="n">
        <v>3.889</v>
      </c>
      <c r="F861" s="4" t="n">
        <v>3</v>
      </c>
      <c r="G861" t="inlineStr">
        <is>
          <t>Tennis Alberta</t>
        </is>
      </c>
      <c r="H861" t="inlineStr">
        <is>
          <t>Derrick Golf &amp; Winter Club</t>
        </is>
      </c>
      <c r="I861" t="n">
        <v>37.1</v>
      </c>
      <c r="J861" s="4" t="n">
        <v>51</v>
      </c>
      <c r="K861" t="inlineStr">
        <is>
          <t>13 / 38</t>
        </is>
      </c>
      <c r="L861" t="inlineStr">
        <is>
          <t>3 / 5</t>
        </is>
      </c>
      <c r="M861" s="5" t="n">
        <v>0.25</v>
      </c>
      <c r="N861" s="5" t="n">
        <v>0.38</v>
      </c>
    </row>
    <row r="862">
      <c r="A862" t="n">
        <v>861</v>
      </c>
      <c r="B862" t="n">
        <v>2015</v>
      </c>
      <c r="C862" t="inlineStr">
        <is>
          <t>Olivia Franchi</t>
        </is>
      </c>
      <c r="D862">
        <f>HYPERLINK("https://ota.tournamentsoftware.com/player-profile/71DEE53D-92D1-4C5D-A9AE-0F02860DD189", "Link")</f>
        <v/>
      </c>
      <c r="E862" s="3" t="n">
        <v>3.888</v>
      </c>
      <c r="F862" s="4" t="n">
        <v>1</v>
      </c>
      <c r="G862" t="inlineStr">
        <is>
          <t>Ontario Tennis Association</t>
        </is>
      </c>
      <c r="H862" t="inlineStr">
        <is>
          <t>Barrie North Winter Tennis</t>
        </is>
      </c>
      <c r="I862" t="n">
        <v>37.6</v>
      </c>
      <c r="J862" s="4" t="n">
        <v>14</v>
      </c>
      <c r="K862" t="inlineStr">
        <is>
          <t>0 / 14</t>
        </is>
      </c>
      <c r="L862" t="inlineStr">
        <is>
          <t>0 / 2</t>
        </is>
      </c>
      <c r="M862" s="5" t="n">
        <v>0</v>
      </c>
      <c r="N862" s="5" t="n">
        <v>0</v>
      </c>
    </row>
    <row r="863">
      <c r="A863" t="n">
        <v>861</v>
      </c>
      <c r="B863" t="n">
        <v>2014</v>
      </c>
      <c r="C863" t="inlineStr">
        <is>
          <t>Mila Phoebe Madrid</t>
        </is>
      </c>
      <c r="D863">
        <f>HYPERLINK("https://ota.tournamentsoftware.com/player-profile/3994748B-2ED2-4F57-8907-B1AE9B874F9B", "Link")</f>
        <v/>
      </c>
      <c r="E863" s="3" t="n">
        <v>3.888</v>
      </c>
      <c r="F863" s="4" t="n">
        <v>1</v>
      </c>
      <c r="G863" t="inlineStr">
        <is>
          <t>Ontario Tennis Association</t>
        </is>
      </c>
      <c r="H863" t="inlineStr">
        <is>
          <t>Newmarket Winter Tennis Club</t>
        </is>
      </c>
      <c r="I863" t="inlineStr">
        <is>
          <t>unavailable</t>
        </is>
      </c>
      <c r="J863" s="4" t="n">
        <v>40</v>
      </c>
      <c r="K863" t="inlineStr">
        <is>
          <t>12 / 28</t>
        </is>
      </c>
      <c r="L863" t="inlineStr">
        <is>
          <t>5 / 2</t>
        </is>
      </c>
      <c r="M863" s="5" t="n">
        <v>0.3</v>
      </c>
      <c r="N863" s="5" t="n">
        <v>0.71</v>
      </c>
    </row>
    <row r="864">
      <c r="A864" t="n">
        <v>861</v>
      </c>
      <c r="B864" t="n">
        <v>2013</v>
      </c>
      <c r="C864" t="inlineStr">
        <is>
          <t>Amy Duo</t>
        </is>
      </c>
      <c r="D864">
        <f>HYPERLINK("https://ota.tournamentsoftware.com/player-profile/71495656-F9AD-402C-B368-62609F5D70B9", "Link")</f>
        <v/>
      </c>
      <c r="E864" s="3" t="n">
        <v>3.888</v>
      </c>
      <c r="F864" s="4" t="n">
        <v>1</v>
      </c>
      <c r="G864" t="inlineStr">
        <is>
          <t>British Columbia</t>
        </is>
      </c>
      <c r="H864" t="inlineStr">
        <is>
          <t>North Shore Winter Club</t>
        </is>
      </c>
      <c r="I864" t="inlineStr">
        <is>
          <t>unavailable</t>
        </is>
      </c>
      <c r="J864" s="4" t="n">
        <v>25</v>
      </c>
      <c r="K864" t="inlineStr">
        <is>
          <t>8 / 17</t>
        </is>
      </c>
      <c r="L864" t="inlineStr">
        <is>
          <t>0 / 0</t>
        </is>
      </c>
      <c r="M864" s="5" t="n">
        <v>0.32</v>
      </c>
      <c r="N864" s="5" t="n">
        <v>0</v>
      </c>
    </row>
    <row r="865">
      <c r="A865" t="n">
        <v>861</v>
      </c>
      <c r="B865" t="n">
        <v>2017</v>
      </c>
      <c r="C865" t="inlineStr">
        <is>
          <t>Nysa Iyer</t>
        </is>
      </c>
      <c r="D865">
        <f>HYPERLINK("https://ota.tournamentsoftware.com/player-profile/7133F3A1-6724-4B35-BBF9-2DFB20E0D933", "Link")</f>
        <v/>
      </c>
      <c r="E865" s="3" t="n">
        <v>3.888</v>
      </c>
      <c r="F865" s="4" t="n">
        <v>2</v>
      </c>
      <c r="G865" t="inlineStr">
        <is>
          <t>Tennis Alberta</t>
        </is>
      </c>
      <c r="H865" t="inlineStr">
        <is>
          <t>No Club</t>
        </is>
      </c>
      <c r="I865" t="n">
        <v>37.5</v>
      </c>
      <c r="J865" s="4" t="n">
        <v>63</v>
      </c>
      <c r="K865" t="inlineStr">
        <is>
          <t>32 / 31</t>
        </is>
      </c>
      <c r="L865" t="inlineStr">
        <is>
          <t>15 / 10</t>
        </is>
      </c>
      <c r="M865" s="5" t="n">
        <v>0.51</v>
      </c>
      <c r="N865" s="5" t="n">
        <v>0.6</v>
      </c>
    </row>
    <row r="866">
      <c r="A866" t="n">
        <v>861</v>
      </c>
      <c r="B866" t="n">
        <v>2015</v>
      </c>
      <c r="C866" t="inlineStr">
        <is>
          <t>JIAYI LIN</t>
        </is>
      </c>
      <c r="D866">
        <f>HYPERLINK("https://ota.tournamentsoftware.com/player-profile/9025A036-DFDA-4A69-B03F-EEE43D14A3C3", "Link")</f>
        <v/>
      </c>
      <c r="E866" s="3" t="n">
        <v>3.888</v>
      </c>
      <c r="F866" s="4" t="n">
        <v>1</v>
      </c>
      <c r="G866" t="inlineStr">
        <is>
          <t>Ontario Tennis Association</t>
        </is>
      </c>
      <c r="H866" t="inlineStr">
        <is>
          <t>Mayfair Parkway Racquet Club</t>
        </is>
      </c>
      <c r="I866" t="n">
        <v>39.5</v>
      </c>
      <c r="J866" s="4" t="n">
        <v>2</v>
      </c>
      <c r="K866" t="inlineStr">
        <is>
          <t>0 / 2</t>
        </is>
      </c>
      <c r="L866" t="inlineStr">
        <is>
          <t>0 / 2</t>
        </is>
      </c>
      <c r="M866" s="5" t="n">
        <v>0</v>
      </c>
      <c r="N866" s="5" t="n">
        <v>0</v>
      </c>
    </row>
    <row r="867">
      <c r="A867" t="n">
        <v>861</v>
      </c>
      <c r="B867" t="n">
        <v>2014</v>
      </c>
      <c r="C867" t="inlineStr">
        <is>
          <t>Yanxi Chen</t>
        </is>
      </c>
      <c r="D867">
        <f>HYPERLINK("https://ota.tournamentsoftware.com/player-profile/E6571B14-6651-4CD3-A420-8263947DBA1E", "Link")</f>
        <v/>
      </c>
      <c r="E867" s="3" t="n">
        <v>3.888</v>
      </c>
      <c r="F867" s="4" t="n">
        <v>1</v>
      </c>
      <c r="G867" t="inlineStr">
        <is>
          <t>British Columbia</t>
        </is>
      </c>
      <c r="H867" t="inlineStr">
        <is>
          <t>West Vancouver Tennis Club</t>
        </is>
      </c>
      <c r="I867" t="n">
        <v>38.6</v>
      </c>
      <c r="J867" s="4" t="n">
        <v>10</v>
      </c>
      <c r="K867" t="inlineStr">
        <is>
          <t>5 / 5</t>
        </is>
      </c>
      <c r="L867" t="inlineStr">
        <is>
          <t>3 / 3</t>
        </is>
      </c>
      <c r="M867" s="5" t="n">
        <v>0.5</v>
      </c>
      <c r="N867" s="5" t="n">
        <v>0.5</v>
      </c>
    </row>
    <row r="868">
      <c r="A868" t="n">
        <v>861</v>
      </c>
      <c r="B868" t="n">
        <v>2015</v>
      </c>
      <c r="C868" t="inlineStr">
        <is>
          <t>Maya Clara Shakra</t>
        </is>
      </c>
      <c r="D868">
        <f>HYPERLINK("https://ota.tournamentsoftware.com/player-profile/50FA5A17-1808-42C0-B8C3-34766E9151A2", "Link")</f>
        <v/>
      </c>
      <c r="E868" s="3" t="n">
        <v>3.888</v>
      </c>
      <c r="F868" s="4" t="n">
        <v>1</v>
      </c>
      <c r="G868" t="inlineStr">
        <is>
          <t>Ontario Tennis Association</t>
        </is>
      </c>
      <c r="H868" t="inlineStr">
        <is>
          <t>Toronto Tennis Academy</t>
        </is>
      </c>
      <c r="I868" t="inlineStr">
        <is>
          <t>unavailable</t>
        </is>
      </c>
      <c r="J868" s="4" t="n">
        <v>41</v>
      </c>
      <c r="K868" t="inlineStr">
        <is>
          <t>12 / 29</t>
        </is>
      </c>
      <c r="L868" t="inlineStr">
        <is>
          <t>1 / 5</t>
        </is>
      </c>
      <c r="M868" s="5" t="n">
        <v>0.29</v>
      </c>
      <c r="N868" s="5" t="n">
        <v>0.17</v>
      </c>
    </row>
    <row r="869">
      <c r="A869" t="n">
        <v>868</v>
      </c>
      <c r="B869" t="n">
        <v>2014</v>
      </c>
      <c r="C869" t="inlineStr">
        <is>
          <t>Charlotte Lanthier</t>
        </is>
      </c>
      <c r="D869">
        <f>HYPERLINK("https://ota.tournamentsoftware.com/player-profile/930A92EC-BBE2-40FD-8684-CB6F18EAD19A", "Link")</f>
        <v/>
      </c>
      <c r="E869" s="3" t="n">
        <v>3.758</v>
      </c>
      <c r="F869" s="4" t="n">
        <v>5</v>
      </c>
      <c r="G869" t="inlineStr">
        <is>
          <t>Tennis Québec</t>
        </is>
      </c>
      <c r="H869" t="inlineStr">
        <is>
          <t>EB Tennis inc.</t>
        </is>
      </c>
      <c r="I869" t="n">
        <v>39.6</v>
      </c>
      <c r="J869" s="4" t="n">
        <v>6</v>
      </c>
      <c r="K869" t="inlineStr">
        <is>
          <t>0 / 6</t>
        </is>
      </c>
      <c r="L869" t="inlineStr">
        <is>
          <t>0 / 4</t>
        </is>
      </c>
      <c r="M869" s="5" t="n">
        <v>0</v>
      </c>
      <c r="N869" s="5" t="n">
        <v>0</v>
      </c>
    </row>
    <row r="870">
      <c r="A870" t="n">
        <v>868</v>
      </c>
      <c r="B870" t="n">
        <v>2015</v>
      </c>
      <c r="C870" t="inlineStr">
        <is>
          <t>Tamara Skayem</t>
        </is>
      </c>
      <c r="D870">
        <f>HYPERLINK("https://ota.tournamentsoftware.com/player-profile/C90206C3-DC6E-4BE3-938F-C8608F20CDD6", "Link")</f>
        <v/>
      </c>
      <c r="E870" s="3" t="n">
        <v>3.758</v>
      </c>
      <c r="F870" s="4" t="n">
        <v>1</v>
      </c>
      <c r="G870" t="inlineStr">
        <is>
          <t>Tennis Québec</t>
        </is>
      </c>
      <c r="H870" t="inlineStr">
        <is>
          <t>No Club</t>
        </is>
      </c>
      <c r="I870" t="inlineStr">
        <is>
          <t>unavailable</t>
        </is>
      </c>
      <c r="J870" s="4" t="n">
        <v>0</v>
      </c>
      <c r="K870" t="inlineStr">
        <is>
          <t>0 / 0</t>
        </is>
      </c>
      <c r="L870" t="inlineStr">
        <is>
          <t>0 / 0</t>
        </is>
      </c>
      <c r="M870" s="5" t="n">
        <v>0</v>
      </c>
      <c r="N870" s="5" t="n">
        <v>0</v>
      </c>
    </row>
    <row r="871">
      <c r="A871" t="n">
        <v>870</v>
      </c>
      <c r="B871" t="n">
        <v>2014</v>
      </c>
      <c r="C871" t="inlineStr">
        <is>
          <t>Kaira Ankit Arora</t>
        </is>
      </c>
      <c r="D871">
        <f>HYPERLINK("https://ota.tournamentsoftware.com/player-profile/48CDC473-6B50-4781-BB3F-2B72F12C6320", "Link")</f>
        <v/>
      </c>
      <c r="E871" s="3" t="n">
        <v>3.629</v>
      </c>
      <c r="F871" s="4" t="n">
        <v>1</v>
      </c>
      <c r="G871" t="inlineStr">
        <is>
          <t>Ontario Tennis Association</t>
        </is>
      </c>
      <c r="H871" t="inlineStr">
        <is>
          <t>Mohawk Tennis Club</t>
        </is>
      </c>
      <c r="I871" t="n">
        <v>39.1</v>
      </c>
      <c r="J871" s="4" t="n">
        <v>23</v>
      </c>
      <c r="K871" t="inlineStr">
        <is>
          <t>2 / 21</t>
        </is>
      </c>
      <c r="L871" t="inlineStr">
        <is>
          <t>0 / 0</t>
        </is>
      </c>
      <c r="M871" s="5" t="n">
        <v>0.09</v>
      </c>
      <c r="N871" s="5" t="n">
        <v>0</v>
      </c>
    </row>
    <row r="872">
      <c r="A872" t="n">
        <v>870</v>
      </c>
      <c r="B872" t="n">
        <v>2013</v>
      </c>
      <c r="C872" t="inlineStr">
        <is>
          <t>Apphia Anderson</t>
        </is>
      </c>
      <c r="D872">
        <f>HYPERLINK("https://ota.tournamentsoftware.com/player-profile/557E4D67-D9E9-47B3-800F-DB2194C8FCA3", "Link")</f>
        <v/>
      </c>
      <c r="E872" s="3" t="n">
        <v>3.629</v>
      </c>
      <c r="F872" s="4" t="n">
        <v>2</v>
      </c>
      <c r="G872" t="inlineStr">
        <is>
          <t>Tennis Alberta</t>
        </is>
      </c>
      <c r="H872" t="inlineStr">
        <is>
          <t>No Club</t>
        </is>
      </c>
      <c r="I872" t="inlineStr">
        <is>
          <t>unavailable</t>
        </is>
      </c>
      <c r="J872" s="4" t="n">
        <v>3</v>
      </c>
      <c r="K872" t="inlineStr">
        <is>
          <t>0 / 3</t>
        </is>
      </c>
      <c r="L872" t="inlineStr">
        <is>
          <t>0 / 3</t>
        </is>
      </c>
      <c r="M872" s="5" t="n">
        <v>0</v>
      </c>
      <c r="N872" s="5" t="n">
        <v>0</v>
      </c>
    </row>
    <row r="873">
      <c r="A873" t="n">
        <v>870</v>
      </c>
      <c r="B873" t="n">
        <v>2014</v>
      </c>
      <c r="C873" t="inlineStr">
        <is>
          <t>Cindy Chai</t>
        </is>
      </c>
      <c r="D873">
        <f>HYPERLINK("https://ota.tournamentsoftware.com/player-profile/1777FA49-1C9D-4D7D-AF29-8B5B024F1F30", "Link")</f>
        <v/>
      </c>
      <c r="E873" s="3" t="n">
        <v>3.629</v>
      </c>
      <c r="F873" s="4" t="n">
        <v>1</v>
      </c>
      <c r="G873" t="inlineStr">
        <is>
          <t>Ontario Tennis Association</t>
        </is>
      </c>
      <c r="H873" t="inlineStr">
        <is>
          <t>Ontario Racquet Club</t>
        </is>
      </c>
      <c r="I873" t="inlineStr">
        <is>
          <t>unavailable</t>
        </is>
      </c>
      <c r="J873" s="4" t="n">
        <v>8</v>
      </c>
      <c r="K873" t="inlineStr">
        <is>
          <t>3 / 5</t>
        </is>
      </c>
      <c r="L873" t="inlineStr">
        <is>
          <t>3 / 3</t>
        </is>
      </c>
      <c r="M873" s="5" t="n">
        <v>0.38</v>
      </c>
      <c r="N873" s="5" t="n">
        <v>0.5</v>
      </c>
    </row>
    <row r="874">
      <c r="A874" t="n">
        <v>873</v>
      </c>
      <c r="B874" t="n">
        <v>2014</v>
      </c>
      <c r="C874" t="inlineStr">
        <is>
          <t>Zixi Kang</t>
        </is>
      </c>
      <c r="D874">
        <f>HYPERLINK("https://ota.tournamentsoftware.com/player-profile/A5E15599-8C2B-4217-B0C0-BAEF0009ED39", "Link")</f>
        <v/>
      </c>
      <c r="E874" s="3" t="n">
        <v>3.587</v>
      </c>
      <c r="F874" s="4" t="n">
        <v>1</v>
      </c>
      <c r="G874" t="inlineStr">
        <is>
          <t>Tennis Nova Scotia</t>
        </is>
      </c>
      <c r="H874" t="inlineStr">
        <is>
          <t>Bedford</t>
        </is>
      </c>
      <c r="I874" t="n">
        <v>39.1</v>
      </c>
      <c r="J874" s="4" t="n">
        <v>9</v>
      </c>
      <c r="K874" t="inlineStr">
        <is>
          <t>2 / 7</t>
        </is>
      </c>
      <c r="L874" t="inlineStr">
        <is>
          <t>0 / 0</t>
        </is>
      </c>
      <c r="M874" s="5" t="n">
        <v>0.22</v>
      </c>
      <c r="N874" s="5" t="n">
        <v>0</v>
      </c>
    </row>
    <row r="875">
      <c r="A875" t="n">
        <v>874</v>
      </c>
      <c r="B875" t="n">
        <v>2012</v>
      </c>
      <c r="C875" t="inlineStr">
        <is>
          <t>Harlow Beddis</t>
        </is>
      </c>
      <c r="D875">
        <f>HYPERLINK("https://ota.tournamentsoftware.com/player-profile/2230B20A-F3FA-4C43-BB0F-CD3AB46F4ACE", "Link")</f>
        <v/>
      </c>
      <c r="E875" s="3" t="n">
        <v>3.499</v>
      </c>
      <c r="F875" s="4" t="n">
        <v>1</v>
      </c>
      <c r="G875" t="inlineStr">
        <is>
          <t>Tennis Alberta</t>
        </is>
      </c>
      <c r="H875" t="inlineStr">
        <is>
          <t>The Glencoe Club</t>
        </is>
      </c>
      <c r="I875" t="n">
        <v>36.5</v>
      </c>
      <c r="J875" s="4" t="n">
        <v>75</v>
      </c>
      <c r="K875" t="inlineStr">
        <is>
          <t>27 / 48</t>
        </is>
      </c>
      <c r="L875" t="inlineStr">
        <is>
          <t>0 / 0</t>
        </is>
      </c>
      <c r="M875" s="5" t="n">
        <v>0.36</v>
      </c>
      <c r="N875" s="5" t="n">
        <v>0</v>
      </c>
    </row>
    <row r="876">
      <c r="A876" t="n">
        <v>875</v>
      </c>
      <c r="B876" t="n">
        <v>2015</v>
      </c>
      <c r="C876" t="inlineStr">
        <is>
          <t>Lea Youssef</t>
        </is>
      </c>
      <c r="D876">
        <f>HYPERLINK("https://ota.tournamentsoftware.com/player-profile/DC3DBF03-8EF5-4959-B08E-EE226DB25DE6", "Link")</f>
        <v/>
      </c>
      <c r="E876" s="3" t="n">
        <v>3.471</v>
      </c>
      <c r="F876" s="4" t="n">
        <v>1</v>
      </c>
      <c r="G876" t="inlineStr">
        <is>
          <t>Tennis Québec</t>
        </is>
      </c>
      <c r="H876" t="inlineStr">
        <is>
          <t>Tennis 13</t>
        </is>
      </c>
      <c r="I876" t="inlineStr">
        <is>
          <t>unavailable</t>
        </is>
      </c>
      <c r="J876" s="4" t="n">
        <v>2</v>
      </c>
      <c r="K876" t="inlineStr">
        <is>
          <t>0 / 2</t>
        </is>
      </c>
      <c r="L876" t="inlineStr">
        <is>
          <t>0 / 2</t>
        </is>
      </c>
      <c r="M876" s="5" t="n">
        <v>0</v>
      </c>
      <c r="N876" s="5" t="n">
        <v>0</v>
      </c>
    </row>
    <row r="877">
      <c r="A877" t="n">
        <v>876</v>
      </c>
      <c r="B877" t="n">
        <v>2012</v>
      </c>
      <c r="C877" t="inlineStr">
        <is>
          <t>Hannah Grace Burrows</t>
        </is>
      </c>
      <c r="D877">
        <f>HYPERLINK("https://ota.tournamentsoftware.com/player-profile/A4FFA0A4-EAE7-43E6-AF92-E22114BE5D8B", "Link")</f>
        <v/>
      </c>
      <c r="E877" s="3" t="n">
        <v>3.421</v>
      </c>
      <c r="F877" s="4" t="n">
        <v>2</v>
      </c>
      <c r="G877" t="inlineStr">
        <is>
          <t>Tennis Alberta</t>
        </is>
      </c>
      <c r="H877" t="inlineStr">
        <is>
          <t>The Glencoe Club</t>
        </is>
      </c>
      <c r="I877" t="n">
        <v>38.8</v>
      </c>
      <c r="J877" s="4" t="n">
        <v>28</v>
      </c>
      <c r="K877" t="inlineStr">
        <is>
          <t>6 / 22</t>
        </is>
      </c>
      <c r="L877" t="inlineStr">
        <is>
          <t>0 / 2</t>
        </is>
      </c>
      <c r="M877" s="5" t="n">
        <v>0.21</v>
      </c>
      <c r="N877" s="5" t="n">
        <v>0</v>
      </c>
    </row>
    <row r="878">
      <c r="A878" t="n">
        <v>877</v>
      </c>
      <c r="B878" t="n">
        <v>2016</v>
      </c>
      <c r="C878" t="inlineStr">
        <is>
          <t>Jaclyn Zhang</t>
        </is>
      </c>
      <c r="D878">
        <f>HYPERLINK("https://ota.tournamentsoftware.com/player-profile/E6E9780C-ACDE-4CFD-B134-4984C266BCEB", "Link")</f>
        <v/>
      </c>
      <c r="E878" s="3" t="n">
        <v>3.24</v>
      </c>
      <c r="F878" s="4" t="n">
        <v>3</v>
      </c>
      <c r="G878" t="inlineStr">
        <is>
          <t>British Columbia</t>
        </is>
      </c>
      <c r="H878" t="inlineStr">
        <is>
          <t>UBC Tennis Centre</t>
        </is>
      </c>
      <c r="I878" t="n">
        <v>39.1</v>
      </c>
      <c r="J878" s="4" t="n">
        <v>71</v>
      </c>
      <c r="K878" t="inlineStr">
        <is>
          <t>42 / 29</t>
        </is>
      </c>
      <c r="L878" t="inlineStr">
        <is>
          <t>16 / 17</t>
        </is>
      </c>
      <c r="M878" s="5" t="n">
        <v>0.59</v>
      </c>
      <c r="N878" s="5" t="n">
        <v>0.48</v>
      </c>
    </row>
    <row r="879">
      <c r="A879" t="n">
        <v>878</v>
      </c>
      <c r="B879" t="n">
        <v>2014</v>
      </c>
      <c r="C879" t="inlineStr">
        <is>
          <t>Amaara Bhardwaj</t>
        </is>
      </c>
      <c r="D879">
        <f>HYPERLINK("https://ota.tournamentsoftware.com/player-profile/5E30A7A6-4E75-4094-9C50-E36BC2D57510", "Link")</f>
        <v/>
      </c>
      <c r="E879" s="3" t="n">
        <v>3.098</v>
      </c>
      <c r="F879" s="4" t="n">
        <v>1</v>
      </c>
      <c r="G879" t="inlineStr">
        <is>
          <t>British Columbia</t>
        </is>
      </c>
      <c r="H879" t="inlineStr">
        <is>
          <t>No Club</t>
        </is>
      </c>
      <c r="I879" t="n">
        <v>39.7</v>
      </c>
      <c r="J879" s="4" t="n">
        <v>15</v>
      </c>
      <c r="K879" t="inlineStr">
        <is>
          <t>7 / 8</t>
        </is>
      </c>
      <c r="L879" t="inlineStr">
        <is>
          <t>0 / 2</t>
        </is>
      </c>
      <c r="M879" s="5" t="n">
        <v>0.47</v>
      </c>
      <c r="N879" s="5" t="n">
        <v>0</v>
      </c>
    </row>
    <row r="880">
      <c r="A880" t="n">
        <v>879</v>
      </c>
      <c r="B880" t="n">
        <v>2014</v>
      </c>
      <c r="C880" t="inlineStr">
        <is>
          <t>Arianna Shiyong Zhang</t>
        </is>
      </c>
      <c r="D880">
        <f>HYPERLINK("https://ota.tournamentsoftware.com/player-profile/534D64C5-0604-4070-B56D-0E5A49B9F850", "Link")</f>
        <v/>
      </c>
      <c r="E880" s="3" t="n">
        <v>3.075</v>
      </c>
      <c r="F880" s="4" t="n">
        <v>1</v>
      </c>
      <c r="G880" t="inlineStr">
        <is>
          <t>British Columbia</t>
        </is>
      </c>
      <c r="H880" t="inlineStr">
        <is>
          <t>Hollyburn Country Club</t>
        </is>
      </c>
      <c r="I880" t="inlineStr">
        <is>
          <t>unavailable</t>
        </is>
      </c>
      <c r="J880" s="4" t="n">
        <v>34</v>
      </c>
      <c r="K880" t="inlineStr">
        <is>
          <t>13 / 21</t>
        </is>
      </c>
      <c r="L880" t="inlineStr">
        <is>
          <t>0 / 0</t>
        </is>
      </c>
      <c r="M880" s="5" t="n">
        <v>0.38</v>
      </c>
      <c r="N880" s="5" t="n">
        <v>0</v>
      </c>
    </row>
    <row r="881">
      <c r="A881" t="n">
        <v>880</v>
      </c>
      <c r="B881" t="n">
        <v>2016</v>
      </c>
      <c r="C881" t="inlineStr">
        <is>
          <t>Michelle Hiu Tung Law</t>
        </is>
      </c>
      <c r="D881">
        <f>HYPERLINK("https://ota.tournamentsoftware.com/player-profile/6B7246D7-C656-43B4-A93A-54E15E04D73D", "Link")</f>
        <v/>
      </c>
      <c r="E881" s="3" t="n">
        <v>3.024</v>
      </c>
      <c r="F881" s="4" t="n">
        <v>7</v>
      </c>
      <c r="G881" t="inlineStr">
        <is>
          <t>Tennis Alberta</t>
        </is>
      </c>
      <c r="H881" t="inlineStr">
        <is>
          <t>Saville Community Sports Centre</t>
        </is>
      </c>
      <c r="I881" t="n">
        <v>39.1</v>
      </c>
      <c r="J881" s="4" t="n">
        <v>73</v>
      </c>
      <c r="K881" t="inlineStr">
        <is>
          <t>30 / 43</t>
        </is>
      </c>
      <c r="L881" t="inlineStr">
        <is>
          <t>11 / 15</t>
        </is>
      </c>
      <c r="M881" s="5" t="n">
        <v>0.41</v>
      </c>
      <c r="N881" s="5" t="n">
        <v>0.42</v>
      </c>
    </row>
    <row r="882">
      <c r="A882" t="n">
        <v>881</v>
      </c>
      <c r="B882" t="n">
        <v>2014</v>
      </c>
      <c r="C882" t="inlineStr">
        <is>
          <t>Evelyn Jewell Rautenbach</t>
        </is>
      </c>
      <c r="D882">
        <f>HYPERLINK("https://ota.tournamentsoftware.com/player-profile/867F5D6A-BB9A-4FEB-A95E-565609563C13", "Link")</f>
        <v/>
      </c>
      <c r="E882" s="3" t="n">
        <v>2.618</v>
      </c>
      <c r="F882" s="4" t="n">
        <v>2</v>
      </c>
      <c r="G882" t="inlineStr">
        <is>
          <t>Tennis Alberta</t>
        </is>
      </c>
      <c r="H882" t="inlineStr">
        <is>
          <t>The Glencoe Club</t>
        </is>
      </c>
      <c r="I882" t="n">
        <v>36.6</v>
      </c>
      <c r="J882" s="4" t="n">
        <v>34</v>
      </c>
      <c r="K882" t="inlineStr">
        <is>
          <t>14 / 20</t>
        </is>
      </c>
      <c r="L882" t="inlineStr">
        <is>
          <t>1 / 1</t>
        </is>
      </c>
      <c r="M882" s="5" t="n">
        <v>0.41</v>
      </c>
      <c r="N882" s="5" t="n">
        <v>0.5</v>
      </c>
    </row>
    <row r="883">
      <c r="A883" t="n">
        <v>882</v>
      </c>
      <c r="B883" t="n">
        <v>2014</v>
      </c>
      <c r="C883" t="inlineStr">
        <is>
          <t>Elva Zhang</t>
        </is>
      </c>
      <c r="D883">
        <f>HYPERLINK("https://ota.tournamentsoftware.com/player-profile/1216B569-5E4A-499A-9B21-CDA3D2F7917B", "Link")</f>
        <v/>
      </c>
      <c r="E883" s="3" t="n">
        <v>2.574</v>
      </c>
      <c r="F883" s="4" t="n">
        <v>1</v>
      </c>
      <c r="G883" t="inlineStr">
        <is>
          <t>British Columbia</t>
        </is>
      </c>
      <c r="H883" t="inlineStr">
        <is>
          <t>Vancouver Lawn Tennis and Badminton Club</t>
        </is>
      </c>
      <c r="I883" t="inlineStr">
        <is>
          <t>unavailable</t>
        </is>
      </c>
      <c r="J883" s="4" t="n">
        <v>51</v>
      </c>
      <c r="K883" t="inlineStr">
        <is>
          <t>17 / 34</t>
        </is>
      </c>
      <c r="L883" t="inlineStr">
        <is>
          <t>4 / 2</t>
        </is>
      </c>
      <c r="M883" s="5" t="n">
        <v>0.33</v>
      </c>
      <c r="N883" s="5" t="n">
        <v>0.67</v>
      </c>
    </row>
    <row r="884">
      <c r="A884" t="n">
        <v>883</v>
      </c>
      <c r="B884" t="n">
        <v>2014</v>
      </c>
      <c r="C884" t="inlineStr">
        <is>
          <t>Frances Fletcher</t>
        </is>
      </c>
      <c r="D884">
        <f>HYPERLINK("https://ota.tournamentsoftware.com/player-profile/67CBECB7-306E-4C07-AB72-7C9F967F74F1", "Link")</f>
        <v/>
      </c>
      <c r="E884" s="3" t="n">
        <v>2.431</v>
      </c>
      <c r="F884" s="4" t="n">
        <v>2</v>
      </c>
      <c r="G884" t="inlineStr">
        <is>
          <t>Tennis Québec</t>
        </is>
      </c>
      <c r="H884" t="inlineStr">
        <is>
          <t>Club Sportif Côte-de-Liesse</t>
        </is>
      </c>
      <c r="I884" t="n">
        <v>37.8</v>
      </c>
      <c r="J884" s="4" t="n">
        <v>3</v>
      </c>
      <c r="K884" t="inlineStr">
        <is>
          <t>1 / 2</t>
        </is>
      </c>
      <c r="L884" t="inlineStr">
        <is>
          <t>1 / 2</t>
        </is>
      </c>
      <c r="M884" s="5" t="n">
        <v>0.33</v>
      </c>
      <c r="N884" s="5" t="n">
        <v>0.33</v>
      </c>
    </row>
    <row r="885">
      <c r="A885" t="n">
        <v>884</v>
      </c>
      <c r="B885" t="n">
        <v>2016</v>
      </c>
      <c r="C885" t="inlineStr">
        <is>
          <t>Hazel Geng</t>
        </is>
      </c>
      <c r="D885">
        <f>HYPERLINK("https://ota.tournamentsoftware.com/player-profile/00BB4A74-B4FB-4FAC-B874-79D9E778FAAE", "Link")</f>
        <v/>
      </c>
      <c r="E885" s="3" t="n">
        <v>2.403</v>
      </c>
      <c r="F885" s="4" t="n">
        <v>1</v>
      </c>
      <c r="G885" t="inlineStr">
        <is>
          <t>British Columbia</t>
        </is>
      </c>
      <c r="H885" t="inlineStr">
        <is>
          <t>Vancouver Lawn Tennis and Badminton Club</t>
        </is>
      </c>
      <c r="I885" t="n">
        <v>37.5</v>
      </c>
      <c r="J885" s="4" t="n">
        <v>38</v>
      </c>
      <c r="K885" t="inlineStr">
        <is>
          <t>8 / 30</t>
        </is>
      </c>
      <c r="L885" t="inlineStr">
        <is>
          <t>1 / 2</t>
        </is>
      </c>
      <c r="M885" s="5" t="n">
        <v>0.21</v>
      </c>
      <c r="N885" s="5" t="n">
        <v>0.33</v>
      </c>
    </row>
    <row r="886">
      <c r="A886" t="n">
        <v>884</v>
      </c>
      <c r="B886" t="n">
        <v>2014</v>
      </c>
      <c r="C886" t="inlineStr">
        <is>
          <t>Iris Li</t>
        </is>
      </c>
      <c r="D886">
        <f>HYPERLINK("https://ota.tournamentsoftware.com/player-profile/CC36F5CC-203F-4A28-B27C-068A0E15610C", "Link")</f>
        <v/>
      </c>
      <c r="E886" s="3" t="n">
        <v>2.403</v>
      </c>
      <c r="F886" s="4" t="n">
        <v>1</v>
      </c>
      <c r="G886" t="inlineStr">
        <is>
          <t>British Columbia</t>
        </is>
      </c>
      <c r="H886" t="inlineStr">
        <is>
          <t>Coquitlam Tennis Club</t>
        </is>
      </c>
      <c r="I886" t="n">
        <v>39.2</v>
      </c>
      <c r="J886" s="4" t="n">
        <v>34</v>
      </c>
      <c r="K886" t="inlineStr">
        <is>
          <t>10 / 24</t>
        </is>
      </c>
      <c r="L886" t="inlineStr">
        <is>
          <t>1 / 2</t>
        </is>
      </c>
      <c r="M886" s="5" t="n">
        <v>0.29</v>
      </c>
      <c r="N886" s="5" t="n">
        <v>0.33</v>
      </c>
    </row>
    <row r="887">
      <c r="A887" t="n">
        <v>884</v>
      </c>
      <c r="B887" t="n">
        <v>2015</v>
      </c>
      <c r="C887" t="inlineStr">
        <is>
          <t>Claire Sattar</t>
        </is>
      </c>
      <c r="D887">
        <f>HYPERLINK("https://ota.tournamentsoftware.com/player-profile/F9E336C7-A13D-430E-A056-C66EFFC2A0D5", "Link")</f>
        <v/>
      </c>
      <c r="E887" s="3" t="n">
        <v>2.403</v>
      </c>
      <c r="F887" s="4" t="n">
        <v>3</v>
      </c>
      <c r="G887" t="inlineStr">
        <is>
          <t>British Columbia</t>
        </is>
      </c>
      <c r="H887" t="inlineStr">
        <is>
          <t>Great West Fitness and Racquets Club</t>
        </is>
      </c>
      <c r="I887" t="inlineStr">
        <is>
          <t>unavailable</t>
        </is>
      </c>
      <c r="J887" s="4" t="n">
        <v>36</v>
      </c>
      <c r="K887" t="inlineStr">
        <is>
          <t>10 / 26</t>
        </is>
      </c>
      <c r="L887" t="inlineStr">
        <is>
          <t>0 / 2</t>
        </is>
      </c>
      <c r="M887" s="5" t="n">
        <v>0.28</v>
      </c>
      <c r="N887" s="5" t="n">
        <v>0</v>
      </c>
    </row>
    <row r="888">
      <c r="A888" t="n">
        <v>884</v>
      </c>
      <c r="B888" t="n">
        <v>2015</v>
      </c>
      <c r="C888" t="inlineStr">
        <is>
          <t>Niveah Watt-Shelton</t>
        </is>
      </c>
      <c r="D888">
        <f>HYPERLINK("https://ota.tournamentsoftware.com/player-profile/2142B288-43FF-46B4-8037-BD18E957E823", "Link")</f>
        <v/>
      </c>
      <c r="E888" s="3" t="n">
        <v>2.403</v>
      </c>
      <c r="F888" s="4" t="n">
        <v>1</v>
      </c>
      <c r="G888" t="inlineStr">
        <is>
          <t>British Columbia</t>
        </is>
      </c>
      <c r="H888" t="inlineStr">
        <is>
          <t>UBC Tennis Centre</t>
        </is>
      </c>
      <c r="I888" t="inlineStr">
        <is>
          <t>unavailable</t>
        </is>
      </c>
      <c r="J888" s="4" t="n">
        <v>56</v>
      </c>
      <c r="K888" t="inlineStr">
        <is>
          <t>28 / 28</t>
        </is>
      </c>
      <c r="L888" t="inlineStr">
        <is>
          <t>8 / 6</t>
        </is>
      </c>
      <c r="M888" s="5" t="n">
        <v>0.5</v>
      </c>
      <c r="N888" s="5" t="n">
        <v>0.57</v>
      </c>
    </row>
    <row r="889">
      <c r="A889" t="n">
        <v>884</v>
      </c>
      <c r="B889" t="n">
        <v>2014</v>
      </c>
      <c r="C889" t="inlineStr">
        <is>
          <t>Danika Masi</t>
        </is>
      </c>
      <c r="D889">
        <f>HYPERLINK("https://ota.tournamentsoftware.com/player-profile/9FA580FC-05F1-4060-AF06-7AAC23F8ED24", "Link")</f>
        <v/>
      </c>
      <c r="E889" s="3" t="n">
        <v>2.403</v>
      </c>
      <c r="F889" s="4" t="n">
        <v>1</v>
      </c>
      <c r="G889" t="inlineStr">
        <is>
          <t>British Columbia</t>
        </is>
      </c>
      <c r="H889" t="inlineStr">
        <is>
          <t>Suncoast Racquet Club</t>
        </is>
      </c>
      <c r="I889" t="n">
        <v>39.3</v>
      </c>
      <c r="J889" s="4" t="n">
        <v>26</v>
      </c>
      <c r="K889" t="inlineStr">
        <is>
          <t>17 / 9</t>
        </is>
      </c>
      <c r="L889" t="inlineStr">
        <is>
          <t>9 / 2</t>
        </is>
      </c>
      <c r="M889" s="5" t="n">
        <v>0.65</v>
      </c>
      <c r="N889" s="5" t="n">
        <v>0.82</v>
      </c>
    </row>
    <row r="890">
      <c r="A890" t="n">
        <v>889</v>
      </c>
      <c r="B890" t="n">
        <v>2015</v>
      </c>
      <c r="C890" t="inlineStr">
        <is>
          <t>Alison Kao</t>
        </is>
      </c>
      <c r="D890">
        <f>HYPERLINK("https://ota.tournamentsoftware.com/player-profile/BAEC89E7-F54C-49F7-AA56-227606797D02", "Link")</f>
        <v/>
      </c>
      <c r="E890" s="3" t="n">
        <v>2.333</v>
      </c>
      <c r="F890" s="4" t="n">
        <v>2</v>
      </c>
      <c r="G890" t="inlineStr">
        <is>
          <t>Tennis Alberta</t>
        </is>
      </c>
      <c r="H890" t="inlineStr">
        <is>
          <t>Osten &amp; Victor Alberta Tennis Centre</t>
        </is>
      </c>
      <c r="I890" t="n">
        <v>39.8</v>
      </c>
      <c r="J890" s="4" t="n">
        <v>35</v>
      </c>
      <c r="K890" t="inlineStr">
        <is>
          <t>15 / 20</t>
        </is>
      </c>
      <c r="L890" t="inlineStr">
        <is>
          <t>5 / 5</t>
        </is>
      </c>
      <c r="M890" s="5" t="n">
        <v>0.43</v>
      </c>
      <c r="N890" s="5" t="n">
        <v>0.5</v>
      </c>
    </row>
    <row r="891">
      <c r="A891" t="n">
        <v>890</v>
      </c>
      <c r="B891" t="n">
        <v>2015</v>
      </c>
      <c r="C891" t="inlineStr">
        <is>
          <t>Ruhi Juneja</t>
        </is>
      </c>
      <c r="D891">
        <f>HYPERLINK("https://ota.tournamentsoftware.com/player-profile/E7A03006-4960-4A35-8B80-22CB122EB413", "Link")</f>
        <v/>
      </c>
      <c r="E891" s="3" t="n">
        <v>2.257</v>
      </c>
      <c r="F891" s="4" t="n">
        <v>2</v>
      </c>
      <c r="G891" t="inlineStr">
        <is>
          <t>Tennis Alberta</t>
        </is>
      </c>
      <c r="H891" t="inlineStr">
        <is>
          <t>IQ Tennis and Pickleball Centre</t>
        </is>
      </c>
      <c r="I891" t="n">
        <v>40</v>
      </c>
      <c r="J891" s="4" t="n">
        <v>3</v>
      </c>
      <c r="K891" t="inlineStr">
        <is>
          <t>0 / 3</t>
        </is>
      </c>
      <c r="L891" t="inlineStr">
        <is>
          <t>0 / 3</t>
        </is>
      </c>
      <c r="M891" s="5" t="n">
        <v>0</v>
      </c>
      <c r="N891" s="5" t="n">
        <v>0</v>
      </c>
    </row>
    <row r="892">
      <c r="A892" t="n">
        <v>891</v>
      </c>
      <c r="B892" t="n">
        <v>2015</v>
      </c>
      <c r="C892" t="inlineStr">
        <is>
          <t>Mischa Simone Teotico</t>
        </is>
      </c>
      <c r="D892">
        <f>HYPERLINK("https://ota.tournamentsoftware.com/player-profile/E41BBBEF-6912-4E0D-BF5C-BBB0CBC74249", "Link")</f>
        <v/>
      </c>
      <c r="E892" s="3" t="n">
        <v>2.203</v>
      </c>
      <c r="F892" s="4" t="n">
        <v>5</v>
      </c>
      <c r="G892" t="inlineStr">
        <is>
          <t>Tennis Alberta</t>
        </is>
      </c>
      <c r="H892" t="inlineStr">
        <is>
          <t>Aforza</t>
        </is>
      </c>
      <c r="I892" t="n">
        <v>39.2</v>
      </c>
      <c r="J892" s="4" t="n">
        <v>60</v>
      </c>
      <c r="K892" t="inlineStr">
        <is>
          <t>13 / 47</t>
        </is>
      </c>
      <c r="L892" t="inlineStr">
        <is>
          <t>0 / 2</t>
        </is>
      </c>
      <c r="M892" s="5" t="n">
        <v>0.22</v>
      </c>
      <c r="N892" s="5" t="n">
        <v>0</v>
      </c>
    </row>
    <row r="893">
      <c r="A893" t="n">
        <v>892</v>
      </c>
      <c r="B893" t="n">
        <v>2014</v>
      </c>
      <c r="C893" t="inlineStr">
        <is>
          <t>Mia Tan</t>
        </is>
      </c>
      <c r="D893">
        <f>HYPERLINK("https://ota.tournamentsoftware.com/player-profile/9C9A5A33-4CA6-4975-BDCD-67DA2BA4B2E9", "Link")</f>
        <v/>
      </c>
      <c r="E893" s="3" t="n">
        <v>2.202</v>
      </c>
      <c r="F893" s="4" t="n">
        <v>3</v>
      </c>
      <c r="G893" t="inlineStr">
        <is>
          <t>Tennis Alberta</t>
        </is>
      </c>
      <c r="H893" t="inlineStr">
        <is>
          <t>Osten &amp; Victor Alberta Tennis Centre</t>
        </is>
      </c>
      <c r="I893" t="n">
        <v>39.1</v>
      </c>
      <c r="J893" s="4" t="n">
        <v>3</v>
      </c>
      <c r="K893" t="inlineStr">
        <is>
          <t>1 / 2</t>
        </is>
      </c>
      <c r="L893" t="inlineStr">
        <is>
          <t>0 / 0</t>
        </is>
      </c>
      <c r="M893" s="5" t="n">
        <v>0.33</v>
      </c>
      <c r="N893" s="5" t="n">
        <v>0</v>
      </c>
    </row>
    <row r="894">
      <c r="A894" t="n">
        <v>893</v>
      </c>
      <c r="B894" t="n">
        <v>2013</v>
      </c>
      <c r="C894" t="inlineStr">
        <is>
          <t>Zelda Gwen Zenith</t>
        </is>
      </c>
      <c r="D894">
        <f>HYPERLINK("https://ota.tournamentsoftware.com/player-profile/F460E6C2-2456-43C6-B19A-E5695E232448", "Link")</f>
        <v/>
      </c>
      <c r="E894" s="3" t="n">
        <v>2.16</v>
      </c>
      <c r="F894" s="4" t="n">
        <v>1</v>
      </c>
      <c r="G894" t="inlineStr">
        <is>
          <t>Tennis Alberta</t>
        </is>
      </c>
      <c r="H894" t="inlineStr">
        <is>
          <t>No Club</t>
        </is>
      </c>
      <c r="I894" t="inlineStr">
        <is>
          <t>unavailable</t>
        </is>
      </c>
      <c r="J894" s="4" t="n">
        <v>129</v>
      </c>
      <c r="K894" t="inlineStr">
        <is>
          <t>47 / 82</t>
        </is>
      </c>
      <c r="L894" t="inlineStr">
        <is>
          <t>0 / 0</t>
        </is>
      </c>
      <c r="M894" s="5" t="n">
        <v>0.36</v>
      </c>
      <c r="N894" s="5" t="n">
        <v>0</v>
      </c>
    </row>
    <row r="895">
      <c r="A895" t="n">
        <v>894</v>
      </c>
      <c r="B895" t="n">
        <v>2015</v>
      </c>
      <c r="C895" t="inlineStr">
        <is>
          <t>Sophie Clara Vandor</t>
        </is>
      </c>
      <c r="D895">
        <f>HYPERLINK("https://ota.tournamentsoftware.com/player-profile/23B3E879-EE71-4CE7-949F-9E08E7F6FDC9", "Link")</f>
        <v/>
      </c>
      <c r="E895" s="3" t="n">
        <v>1.944</v>
      </c>
      <c r="F895" s="4" t="n">
        <v>3</v>
      </c>
      <c r="G895" t="inlineStr">
        <is>
          <t>British Columbia</t>
        </is>
      </c>
      <c r="H895" t="inlineStr">
        <is>
          <t>UBC Tennis Centre</t>
        </is>
      </c>
      <c r="I895" t="n">
        <v>38.6</v>
      </c>
      <c r="J895" s="4" t="n">
        <v>20</v>
      </c>
      <c r="K895" t="inlineStr">
        <is>
          <t>5 / 15</t>
        </is>
      </c>
      <c r="L895" t="inlineStr">
        <is>
          <t>0 / 2</t>
        </is>
      </c>
      <c r="M895" s="5" t="n">
        <v>0.25</v>
      </c>
      <c r="N895" s="5" t="n">
        <v>0</v>
      </c>
    </row>
    <row r="896">
      <c r="A896" t="n">
        <v>894</v>
      </c>
      <c r="B896" t="n">
        <v>2015</v>
      </c>
      <c r="C896" t="inlineStr">
        <is>
          <t>Harchanan Kaur Kandola</t>
        </is>
      </c>
      <c r="D896">
        <f>HYPERLINK("https://ota.tournamentsoftware.com/player-profile/604DEB6C-89BC-4F3B-9551-3DD1A6EDA123", "Link")</f>
        <v/>
      </c>
      <c r="E896" s="3" t="n">
        <v>1.944</v>
      </c>
      <c r="F896" s="4" t="n">
        <v>1</v>
      </c>
      <c r="G896" t="inlineStr">
        <is>
          <t>British Columbia</t>
        </is>
      </c>
      <c r="H896" t="inlineStr">
        <is>
          <t>The Tennis Centre</t>
        </is>
      </c>
      <c r="I896" t="inlineStr">
        <is>
          <t>unavailable</t>
        </is>
      </c>
      <c r="J896" s="4" t="n">
        <v>24</v>
      </c>
      <c r="K896" t="inlineStr">
        <is>
          <t>10 / 14</t>
        </is>
      </c>
      <c r="L896" t="inlineStr">
        <is>
          <t>0 / 4</t>
        </is>
      </c>
      <c r="M896" s="5" t="n">
        <v>0.42</v>
      </c>
      <c r="N896" s="5" t="n">
        <v>0</v>
      </c>
    </row>
    <row r="897">
      <c r="A897" t="n">
        <v>894</v>
      </c>
      <c r="B897" t="n">
        <v>2014</v>
      </c>
      <c r="C897" t="inlineStr">
        <is>
          <t>Phoenix Anneliese Daniel</t>
        </is>
      </c>
      <c r="D897">
        <f>HYPERLINK("https://ota.tournamentsoftware.com/player-profile/B00B3D37-513A-4ECC-A51C-B74D255D4B87", "Link")</f>
        <v/>
      </c>
      <c r="E897" s="3" t="n">
        <v>1.944</v>
      </c>
      <c r="F897" s="4" t="n">
        <v>1</v>
      </c>
      <c r="G897" t="inlineStr">
        <is>
          <t>British Columbia</t>
        </is>
      </c>
      <c r="H897" t="inlineStr">
        <is>
          <t>Great West Fitness and Racquets Club</t>
        </is>
      </c>
      <c r="I897" t="n">
        <v>40</v>
      </c>
      <c r="J897" s="4" t="n">
        <v>22</v>
      </c>
      <c r="K897" t="inlineStr">
        <is>
          <t>6 / 16</t>
        </is>
      </c>
      <c r="L897" t="inlineStr">
        <is>
          <t>0 / 2</t>
        </is>
      </c>
      <c r="M897" s="5" t="n">
        <v>0.27</v>
      </c>
      <c r="N897" s="5" t="n">
        <v>0</v>
      </c>
    </row>
    <row r="898">
      <c r="A898" t="n">
        <v>897</v>
      </c>
      <c r="B898" t="n">
        <v>2015</v>
      </c>
      <c r="C898" t="inlineStr">
        <is>
          <t>Elyse Pritchard</t>
        </is>
      </c>
      <c r="D898">
        <f>HYPERLINK("https://ota.tournamentsoftware.com/player-profile/BB85EE3A-D120-4D12-9084-91A38B09AF2C", "Link")</f>
        <v/>
      </c>
      <c r="E898" s="3" t="n">
        <v>1.426</v>
      </c>
      <c r="F898" s="4" t="n">
        <v>1</v>
      </c>
      <c r="G898" t="inlineStr">
        <is>
          <t>Tennis Alberta</t>
        </is>
      </c>
      <c r="H898" t="inlineStr">
        <is>
          <t>Edgemont Athletic</t>
        </is>
      </c>
      <c r="I898" t="n">
        <v>39.5</v>
      </c>
      <c r="J898" s="4" t="n">
        <v>10</v>
      </c>
      <c r="K898" t="inlineStr">
        <is>
          <t>0 / 10</t>
        </is>
      </c>
      <c r="L898" t="inlineStr">
        <is>
          <t>0 / 2</t>
        </is>
      </c>
      <c r="M898" s="5" t="n">
        <v>0</v>
      </c>
      <c r="N898" s="5" t="n">
        <v>0</v>
      </c>
    </row>
    <row r="899">
      <c r="A899" t="n">
        <v>897</v>
      </c>
      <c r="B899" t="n">
        <v>2014</v>
      </c>
      <c r="C899" t="inlineStr">
        <is>
          <t>Tillya Villeneuve</t>
        </is>
      </c>
      <c r="D899">
        <f>HYPERLINK("https://ota.tournamentsoftware.com/player-profile/B96926BC-0825-4914-B6C7-E7906E4AC960", "Link")</f>
        <v/>
      </c>
      <c r="E899" s="3" t="n">
        <v>1.426</v>
      </c>
      <c r="F899" s="4" t="n">
        <v>2</v>
      </c>
      <c r="G899" t="inlineStr">
        <is>
          <t>Tennis Alberta</t>
        </is>
      </c>
      <c r="H899" t="inlineStr">
        <is>
          <t>Aforza</t>
        </is>
      </c>
      <c r="I899" t="inlineStr">
        <is>
          <t>unavailable</t>
        </is>
      </c>
      <c r="J899" s="4" t="n">
        <v>5</v>
      </c>
      <c r="K899" t="inlineStr">
        <is>
          <t>2 / 3</t>
        </is>
      </c>
      <c r="L899" t="inlineStr">
        <is>
          <t>2 / 3</t>
        </is>
      </c>
      <c r="M899" s="5" t="n">
        <v>0.4</v>
      </c>
      <c r="N899" s="5" t="n">
        <v>0.4</v>
      </c>
    </row>
    <row r="900">
      <c r="A900" t="n">
        <v>897</v>
      </c>
      <c r="B900" t="n">
        <v>2015</v>
      </c>
      <c r="C900" t="inlineStr">
        <is>
          <t>Makarei Kaye Pujadas</t>
        </is>
      </c>
      <c r="D900">
        <f>HYPERLINK("https://ota.tournamentsoftware.com/player-profile/3265ABF0-65AE-44F0-8F32-63163EC4FE8F", "Link")</f>
        <v/>
      </c>
      <c r="E900" s="3" t="n">
        <v>1.426</v>
      </c>
      <c r="F900" s="4" t="n">
        <v>1</v>
      </c>
      <c r="G900" t="inlineStr">
        <is>
          <t>Tennis Alberta</t>
        </is>
      </c>
      <c r="H900" t="inlineStr">
        <is>
          <t>Mega Courts Pickleball and Tennis</t>
        </is>
      </c>
      <c r="I900" t="n">
        <v>39.8</v>
      </c>
      <c r="J900" s="4" t="n">
        <v>22</v>
      </c>
      <c r="K900" t="inlineStr">
        <is>
          <t>9 / 13</t>
        </is>
      </c>
      <c r="L900" t="inlineStr">
        <is>
          <t>3 / 5</t>
        </is>
      </c>
      <c r="M900" s="5" t="n">
        <v>0.41</v>
      </c>
      <c r="N900" s="5" t="n">
        <v>0.38</v>
      </c>
    </row>
    <row r="901">
      <c r="A901" t="n">
        <v>900</v>
      </c>
      <c r="B901" t="n">
        <v>2012</v>
      </c>
      <c r="C901" t="inlineStr">
        <is>
          <t>Olivia Lee</t>
        </is>
      </c>
      <c r="D901">
        <f>HYPERLINK("https://ota.tournamentsoftware.com/player-profile/1D7FCC9B-08EE-4210-A681-04CBB94829B0", "Link")</f>
        <v/>
      </c>
      <c r="E901" s="3" t="n">
        <v>1.322</v>
      </c>
      <c r="F901" s="4" t="n">
        <v>1</v>
      </c>
      <c r="G901" t="inlineStr">
        <is>
          <t>Tennis Alberta</t>
        </is>
      </c>
      <c r="H901" t="inlineStr">
        <is>
          <t>Calgary - Public</t>
        </is>
      </c>
      <c r="I901" t="n">
        <v>37.6</v>
      </c>
      <c r="J901" s="4" t="n">
        <v>24</v>
      </c>
      <c r="K901" t="inlineStr">
        <is>
          <t>6 / 18</t>
        </is>
      </c>
      <c r="L901" t="inlineStr">
        <is>
          <t>1 / 2</t>
        </is>
      </c>
      <c r="M901" s="5" t="n">
        <v>0.25</v>
      </c>
      <c r="N901" s="5" t="n">
        <v>0.33</v>
      </c>
    </row>
  </sheetData>
  <autoFilter ref="A1:N9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18560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18.6</v>
      </c>
      <c r="J2" s="4" t="n">
        <v>335</v>
      </c>
      <c r="K2" t="inlineStr">
        <is>
          <t>181 / 154</t>
        </is>
      </c>
      <c r="L2" t="inlineStr">
        <is>
          <t>5 / 2</t>
        </is>
      </c>
      <c r="M2" s="5" t="n">
        <v>0.54</v>
      </c>
      <c r="N2" s="5" t="n">
        <v>0.71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10800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9895.576999999999</v>
      </c>
      <c r="F4" s="4" t="n">
        <v>12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14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Victoria Koniouchine</t>
        </is>
      </c>
      <c r="D6">
        <f>HYPERLINK("https://ota.tournamentsoftware.com/player-profile/4F2575CB-84B4-4072-ABEF-7652A7E74DBA", "Link")</f>
        <v/>
      </c>
      <c r="E6" s="3" t="n">
        <v>8177</v>
      </c>
      <c r="F6" s="4" t="n">
        <v>14</v>
      </c>
      <c r="G6" t="inlineStr">
        <is>
          <t>Tennis Québec</t>
        </is>
      </c>
      <c r="H6" t="inlineStr">
        <is>
          <t>Tennis Montréal Excellence</t>
        </is>
      </c>
      <c r="I6" t="n">
        <v>19.6</v>
      </c>
      <c r="J6" s="4" t="n">
        <v>375</v>
      </c>
      <c r="K6" t="inlineStr">
        <is>
          <t>241 / 134</t>
        </is>
      </c>
      <c r="L6" t="inlineStr">
        <is>
          <t>19 / 4</t>
        </is>
      </c>
      <c r="M6" s="5" t="n">
        <v>0.64</v>
      </c>
      <c r="N6" s="5" t="n">
        <v>0.83</v>
      </c>
    </row>
    <row r="7">
      <c r="A7" t="n">
        <v>6</v>
      </c>
      <c r="B7" t="n">
        <v>2012</v>
      </c>
      <c r="C7" t="inlineStr">
        <is>
          <t>Ruijing Chen</t>
        </is>
      </c>
      <c r="D7">
        <f>HYPERLINK("https://ota.tournamentsoftware.com/player-profile/CF3F9020-5B8A-4448-8412-B206DFD70D34", "Link")</f>
        <v/>
      </c>
      <c r="E7" s="3" t="n">
        <v>7050.04</v>
      </c>
      <c r="F7" s="4" t="n">
        <v>19</v>
      </c>
      <c r="G7" t="inlineStr">
        <is>
          <t>British Columbia</t>
        </is>
      </c>
      <c r="H7" t="inlineStr">
        <is>
          <t>North Vancouver Tennis Centre</t>
        </is>
      </c>
      <c r="I7" t="n">
        <v>20.8</v>
      </c>
      <c r="J7" s="4" t="n">
        <v>267</v>
      </c>
      <c r="K7" t="inlineStr">
        <is>
          <t>154 / 113</t>
        </is>
      </c>
      <c r="L7" t="inlineStr">
        <is>
          <t>36 / 18</t>
        </is>
      </c>
      <c r="M7" s="5" t="n">
        <v>0.58</v>
      </c>
      <c r="N7" s="5" t="n">
        <v>0.67</v>
      </c>
    </row>
    <row r="8">
      <c r="A8" t="n">
        <v>7</v>
      </c>
      <c r="B8" t="n">
        <v>2013</v>
      </c>
      <c r="C8" t="inlineStr">
        <is>
          <t>Callie Raharinosy</t>
        </is>
      </c>
      <c r="D8">
        <f>HYPERLINK("https://ota.tournamentsoftware.com/player-profile/C3BB19C9-39F8-4DF4-A576-AAB3D92B85C3", "Link")</f>
        <v/>
      </c>
      <c r="E8" s="3" t="n">
        <v>6426.001</v>
      </c>
      <c r="F8" s="4" t="n">
        <v>13</v>
      </c>
      <c r="G8" t="inlineStr">
        <is>
          <t>Ontario Tennis Association</t>
        </is>
      </c>
      <c r="H8" t="inlineStr">
        <is>
          <t>Richmondhill Golf &amp; Country Club</t>
        </is>
      </c>
      <c r="I8" t="n">
        <v>21</v>
      </c>
      <c r="J8" s="4" t="n">
        <v>238</v>
      </c>
      <c r="K8" t="inlineStr">
        <is>
          <t>153 / 85</t>
        </is>
      </c>
      <c r="L8" t="inlineStr">
        <is>
          <t>22 / 10</t>
        </is>
      </c>
      <c r="M8" s="5" t="n">
        <v>0.64</v>
      </c>
      <c r="N8" s="5" t="n">
        <v>0.6899999999999999</v>
      </c>
    </row>
    <row r="9">
      <c r="A9" t="n">
        <v>8</v>
      </c>
      <c r="B9" t="n">
        <v>2012</v>
      </c>
      <c r="C9" t="inlineStr">
        <is>
          <t>Karina Swaminath</t>
        </is>
      </c>
      <c r="D9">
        <f>HYPERLINK("https://ota.tournamentsoftware.com/player-profile/4DB9D061-D74F-4482-87A3-9C7480D14EFD", "Link")</f>
        <v/>
      </c>
      <c r="E9" s="3" t="n">
        <v>6397.318</v>
      </c>
      <c r="F9" s="4" t="n">
        <v>19</v>
      </c>
      <c r="G9" t="inlineStr">
        <is>
          <t>Ontario Tennis Association</t>
        </is>
      </c>
      <c r="H9" t="inlineStr">
        <is>
          <t>Premier Racquet Clubs – Mississauga</t>
        </is>
      </c>
      <c r="I9" t="n">
        <v>19.8</v>
      </c>
      <c r="J9" s="4" t="n">
        <v>313</v>
      </c>
      <c r="K9" t="inlineStr">
        <is>
          <t>204 / 109</t>
        </is>
      </c>
      <c r="L9" t="inlineStr">
        <is>
          <t>41 / 16</t>
        </is>
      </c>
      <c r="M9" s="5" t="n">
        <v>0.65</v>
      </c>
      <c r="N9" s="5" t="n">
        <v>0.72</v>
      </c>
    </row>
    <row r="10">
      <c r="A10" t="n">
        <v>9</v>
      </c>
      <c r="B10" t="n">
        <v>2012</v>
      </c>
      <c r="C10" t="inlineStr">
        <is>
          <t>kendra zhang</t>
        </is>
      </c>
      <c r="D10">
        <f>HYPERLINK("https://ota.tournamentsoftware.com/player-profile/23508257-17E1-4A1F-A208-90A41A8C5BC8", "Link")</f>
        <v/>
      </c>
      <c r="E10" s="3" t="n">
        <v>6166.12</v>
      </c>
      <c r="F10" s="4" t="n">
        <v>16</v>
      </c>
      <c r="G10" t="inlineStr">
        <is>
          <t>Tennis Alberta</t>
        </is>
      </c>
      <c r="H10" t="inlineStr">
        <is>
          <t>Osten &amp; Victor Alberta Tennis Centre</t>
        </is>
      </c>
      <c r="I10" t="n">
        <v>20</v>
      </c>
      <c r="J10" s="4" t="n">
        <v>311</v>
      </c>
      <c r="K10" t="inlineStr">
        <is>
          <t>246 / 65</t>
        </is>
      </c>
      <c r="L10" t="inlineStr">
        <is>
          <t>37 / 3</t>
        </is>
      </c>
      <c r="M10" s="5" t="n">
        <v>0.79</v>
      </c>
      <c r="N10" s="5" t="n">
        <v>0.93</v>
      </c>
    </row>
    <row r="11">
      <c r="A11" t="n">
        <v>10</v>
      </c>
      <c r="B11" t="n">
        <v>2012</v>
      </c>
      <c r="C11" t="inlineStr">
        <is>
          <t>Zimo Xiang</t>
        </is>
      </c>
      <c r="D11">
        <f>HYPERLINK("https://ota.tournamentsoftware.com/player-profile/16758178-BB4B-49F9-847E-3024E74D5A86", "Link")</f>
        <v/>
      </c>
      <c r="E11" s="3" t="n">
        <v>5677.076</v>
      </c>
      <c r="F11" s="4" t="n">
        <v>20</v>
      </c>
      <c r="G11" t="inlineStr">
        <is>
          <t>Tennis Alberta</t>
        </is>
      </c>
      <c r="H11" t="inlineStr">
        <is>
          <t>Osten &amp; Victor Alberta Tennis Centre</t>
        </is>
      </c>
      <c r="I11" t="n">
        <v>18.5</v>
      </c>
      <c r="J11" s="4" t="n">
        <v>342</v>
      </c>
      <c r="K11" t="inlineStr">
        <is>
          <t>260 / 82</t>
        </is>
      </c>
      <c r="L11" t="inlineStr">
        <is>
          <t>46 / 9</t>
        </is>
      </c>
      <c r="M11" s="5" t="n">
        <v>0.76</v>
      </c>
      <c r="N11" s="5" t="n">
        <v>0.84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5600.6</v>
      </c>
      <c r="F12" s="4" t="n">
        <v>19</v>
      </c>
      <c r="G12" t="inlineStr">
        <is>
          <t>British Columbia</t>
        </is>
      </c>
      <c r="H12" t="inlineStr">
        <is>
          <t>Kamloops Tennis Centre</t>
        </is>
      </c>
      <c r="I12" t="n">
        <v>21</v>
      </c>
      <c r="J12" s="4" t="n">
        <v>234</v>
      </c>
      <c r="K12" t="inlineStr">
        <is>
          <t>156 / 78</t>
        </is>
      </c>
      <c r="L12" t="inlineStr">
        <is>
          <t>35 / 16</t>
        </is>
      </c>
      <c r="M12" s="5" t="n">
        <v>0.67</v>
      </c>
      <c r="N12" s="5" t="n">
        <v>0.6899999999999999</v>
      </c>
    </row>
    <row r="13">
      <c r="A13" t="n">
        <v>12</v>
      </c>
      <c r="B13" t="n">
        <v>2013</v>
      </c>
      <c r="C13" t="inlineStr">
        <is>
          <t>Paris Radovic</t>
        </is>
      </c>
      <c r="D13">
        <f>HYPERLINK("https://ota.tournamentsoftware.com/player-profile/F1F29E41-D080-473C-93A3-FEF9F1122EE3", "Link")</f>
        <v/>
      </c>
      <c r="E13" s="3" t="n">
        <v>5430</v>
      </c>
      <c r="F13" s="4" t="n">
        <v>16</v>
      </c>
      <c r="G13" t="inlineStr">
        <is>
          <t>Ontario Tennis Association</t>
        </is>
      </c>
      <c r="H13" t="inlineStr">
        <is>
          <t>Advantage Tennis International at Veneto</t>
        </is>
      </c>
      <c r="I13" t="n">
        <v>21.8</v>
      </c>
      <c r="J13" s="4" t="n">
        <v>290</v>
      </c>
      <c r="K13" t="inlineStr">
        <is>
          <t>188 / 102</t>
        </is>
      </c>
      <c r="L13" t="inlineStr">
        <is>
          <t>32 / 12</t>
        </is>
      </c>
      <c r="M13" s="5" t="n">
        <v>0.65</v>
      </c>
      <c r="N13" s="5" t="n">
        <v>0.73</v>
      </c>
    </row>
    <row r="14">
      <c r="A14" t="n">
        <v>13</v>
      </c>
      <c r="B14" t="n">
        <v>2013</v>
      </c>
      <c r="C14" t="inlineStr">
        <is>
          <t>Urvi Singh</t>
        </is>
      </c>
      <c r="D14">
        <f>HYPERLINK("https://ota.tournamentsoftware.com/player-profile/20590827-22F8-402F-BC87-449928EE4236", "Link")</f>
        <v/>
      </c>
      <c r="E14" s="3" t="n">
        <v>5247.216</v>
      </c>
      <c r="F14" s="4" t="n">
        <v>16</v>
      </c>
      <c r="G14" t="inlineStr">
        <is>
          <t>Ontario Tennis Association</t>
        </is>
      </c>
      <c r="H14" t="inlineStr">
        <is>
          <t>Guildwood Tennis Club</t>
        </is>
      </c>
      <c r="I14" t="n">
        <v>20.3</v>
      </c>
      <c r="J14" s="4" t="n">
        <v>255</v>
      </c>
      <c r="K14" t="inlineStr">
        <is>
          <t>159 / 96</t>
        </is>
      </c>
      <c r="L14" t="inlineStr">
        <is>
          <t>31 / 14</t>
        </is>
      </c>
      <c r="M14" s="5" t="n">
        <v>0.62</v>
      </c>
      <c r="N14" s="5" t="n">
        <v>0.6899999999999999</v>
      </c>
    </row>
    <row r="15">
      <c r="A15" t="n">
        <v>14</v>
      </c>
      <c r="B15" t="n">
        <v>2012</v>
      </c>
      <c r="C15" t="inlineStr">
        <is>
          <t>Angelica Panzieri</t>
        </is>
      </c>
      <c r="D15">
        <f>HYPERLINK("https://ota.tournamentsoftware.com/player-profile/E0ECCDC8-BEA7-4546-BAF7-5DF193FA2378", "Link")</f>
        <v/>
      </c>
      <c r="E15" s="3" t="n">
        <v>5079.44</v>
      </c>
      <c r="F15" s="4" t="n">
        <v>22</v>
      </c>
      <c r="G15" t="inlineStr">
        <is>
          <t>British Columbia</t>
        </is>
      </c>
      <c r="H15" t="inlineStr">
        <is>
          <t>North Vancouver Tennis Centre</t>
        </is>
      </c>
      <c r="I15" t="n">
        <v>21.9</v>
      </c>
      <c r="J15" s="4" t="n">
        <v>346</v>
      </c>
      <c r="K15" t="inlineStr">
        <is>
          <t>199 / 147</t>
        </is>
      </c>
      <c r="L15" t="inlineStr">
        <is>
          <t>42 / 20</t>
        </is>
      </c>
      <c r="M15" s="5" t="n">
        <v>0.58</v>
      </c>
      <c r="N15" s="5" t="n">
        <v>0.68</v>
      </c>
    </row>
    <row r="16">
      <c r="A16" t="n">
        <v>15</v>
      </c>
      <c r="B16" t="n">
        <v>2012</v>
      </c>
      <c r="C16" t="inlineStr">
        <is>
          <t>Amelia Mishelle Simutin</t>
        </is>
      </c>
      <c r="D16">
        <f>HYPERLINK("https://ota.tournamentsoftware.com/player-profile/35C4C9E4-BC47-4EAA-A89B-06AB12C19B49", "Link")</f>
        <v/>
      </c>
      <c r="E16" s="3" t="n">
        <v>4696.2</v>
      </c>
      <c r="F16" s="4" t="n">
        <v>21</v>
      </c>
      <c r="G16" t="inlineStr">
        <is>
          <t>Ontario Tennis Association</t>
        </is>
      </c>
      <c r="H16" t="inlineStr">
        <is>
          <t>North Toronto Tennis Club</t>
        </is>
      </c>
      <c r="I16" t="n">
        <v>21.1</v>
      </c>
      <c r="J16" s="4" t="n">
        <v>301</v>
      </c>
      <c r="K16" t="inlineStr">
        <is>
          <t>206 / 95</t>
        </is>
      </c>
      <c r="L16" t="inlineStr">
        <is>
          <t>34 / 20</t>
        </is>
      </c>
      <c r="M16" s="5" t="n">
        <v>0.68</v>
      </c>
      <c r="N16" s="5" t="n">
        <v>0.63</v>
      </c>
    </row>
    <row r="17">
      <c r="A17" t="n">
        <v>16</v>
      </c>
      <c r="B17" t="n">
        <v>2012</v>
      </c>
      <c r="C17" t="inlineStr">
        <is>
          <t>Elise Chen</t>
        </is>
      </c>
      <c r="D17">
        <f>HYPERLINK("https://ota.tournamentsoftware.com/player-profile/8E8A2CD5-37E0-4690-A780-846D1895BB0A", "Link")</f>
        <v/>
      </c>
      <c r="E17" s="3" t="n">
        <v>4625.573</v>
      </c>
      <c r="F17" s="4" t="n">
        <v>17</v>
      </c>
      <c r="G17" t="inlineStr">
        <is>
          <t>Tennis Québec</t>
        </is>
      </c>
      <c r="H17" t="inlineStr">
        <is>
          <t>AA Autre club</t>
        </is>
      </c>
      <c r="I17" t="n">
        <v>21.8</v>
      </c>
      <c r="J17" s="4" t="n">
        <v>335</v>
      </c>
      <c r="K17" t="inlineStr">
        <is>
          <t>220 / 115</t>
        </is>
      </c>
      <c r="L17" t="inlineStr">
        <is>
          <t>39 / 13</t>
        </is>
      </c>
      <c r="M17" s="5" t="n">
        <v>0.66</v>
      </c>
      <c r="N17" s="5" t="n">
        <v>0.75</v>
      </c>
    </row>
    <row r="18">
      <c r="A18" t="n">
        <v>17</v>
      </c>
      <c r="B18" t="n">
        <v>2013</v>
      </c>
      <c r="C18" t="inlineStr">
        <is>
          <t>Charlotte MacDonald</t>
        </is>
      </c>
      <c r="D18">
        <f>HYPERLINK("https://ota.tournamentsoftware.com/player-profile/C865FA15-1CF7-4628-A8F7-6AB8ED124599", "Link")</f>
        <v/>
      </c>
      <c r="E18" s="3" t="n">
        <v>4624.909</v>
      </c>
      <c r="F18" s="4" t="n">
        <v>19</v>
      </c>
      <c r="G18" t="inlineStr">
        <is>
          <t>Ontario Tennis Association</t>
        </is>
      </c>
      <c r="H18" t="inlineStr">
        <is>
          <t>10XTO</t>
        </is>
      </c>
      <c r="I18" t="n">
        <v>22.1</v>
      </c>
      <c r="J18" s="4" t="n">
        <v>335</v>
      </c>
      <c r="K18" t="inlineStr">
        <is>
          <t>231 / 104</t>
        </is>
      </c>
      <c r="L18" t="inlineStr">
        <is>
          <t>39 / 20</t>
        </is>
      </c>
      <c r="M18" s="5" t="n">
        <v>0.6899999999999999</v>
      </c>
      <c r="N18" s="5" t="n">
        <v>0.66</v>
      </c>
    </row>
    <row r="19">
      <c r="A19" t="n">
        <v>18</v>
      </c>
      <c r="B19" t="n">
        <v>2012</v>
      </c>
      <c r="C19" t="inlineStr">
        <is>
          <t>Clara Vicol</t>
        </is>
      </c>
      <c r="D19">
        <f>HYPERLINK("https://ota.tournamentsoftware.com/player-profile/A71836FF-9A71-48AD-96B3-DD39B38970B6", "Link")</f>
        <v/>
      </c>
      <c r="E19" s="3" t="n">
        <v>4462.04</v>
      </c>
      <c r="F19" s="4" t="n">
        <v>12</v>
      </c>
      <c r="G19" t="inlineStr">
        <is>
          <t>British Columbia</t>
        </is>
      </c>
      <c r="H19" t="inlineStr">
        <is>
          <t>Jericho Tennis Club</t>
        </is>
      </c>
      <c r="I19" t="n">
        <v>21.2</v>
      </c>
      <c r="J19" s="4" t="n">
        <v>402</v>
      </c>
      <c r="K19" t="inlineStr">
        <is>
          <t>248 / 154</t>
        </is>
      </c>
      <c r="L19" t="inlineStr">
        <is>
          <t>16 / 6</t>
        </is>
      </c>
      <c r="M19" s="5" t="n">
        <v>0.62</v>
      </c>
      <c r="N19" s="5" t="n">
        <v>0.73</v>
      </c>
    </row>
    <row r="20">
      <c r="A20" t="n">
        <v>19</v>
      </c>
      <c r="B20" t="n">
        <v>2013</v>
      </c>
      <c r="C20" t="inlineStr">
        <is>
          <t>Bishop Yonna Grossutti</t>
        </is>
      </c>
      <c r="D20">
        <f>HYPERLINK("https://ota.tournamentsoftware.com/player-profile/3FE8248C-2DBE-46EB-8C24-0AC82A0EC942", "Link")</f>
        <v/>
      </c>
      <c r="E20" s="3" t="n">
        <v>4190.901</v>
      </c>
      <c r="F20" s="4" t="n">
        <v>13</v>
      </c>
      <c r="G20" t="inlineStr">
        <is>
          <t>British Columbia</t>
        </is>
      </c>
      <c r="H20" t="inlineStr">
        <is>
          <t>No Club</t>
        </is>
      </c>
      <c r="I20" t="n">
        <v>21.6</v>
      </c>
      <c r="J20" s="4" t="n">
        <v>214</v>
      </c>
      <c r="K20" t="inlineStr">
        <is>
          <t>145 / 69</t>
        </is>
      </c>
      <c r="L20" t="inlineStr">
        <is>
          <t>35 / 11</t>
        </is>
      </c>
      <c r="M20" s="5" t="n">
        <v>0.68</v>
      </c>
      <c r="N20" s="5" t="n">
        <v>0.76</v>
      </c>
    </row>
    <row r="21">
      <c r="A21" t="n">
        <v>20</v>
      </c>
      <c r="B21" t="n">
        <v>2012</v>
      </c>
      <c r="C21" t="inlineStr">
        <is>
          <t>Olivia Laberge</t>
        </is>
      </c>
      <c r="D21">
        <f>HYPERLINK("https://ota.tournamentsoftware.com/player-profile/A7EF36D6-49FF-4272-A982-22FEC5F0ECCD", "Link")</f>
        <v/>
      </c>
      <c r="E21" s="3" t="n">
        <v>4084.733</v>
      </c>
      <c r="F21" s="4" t="n">
        <v>20</v>
      </c>
      <c r="G21" t="inlineStr">
        <is>
          <t>Tennis Québec</t>
        </is>
      </c>
      <c r="H21" t="inlineStr">
        <is>
          <t>Tennis 13</t>
        </is>
      </c>
      <c r="I21" t="n">
        <v>21.8</v>
      </c>
      <c r="J21" s="4" t="n">
        <v>305</v>
      </c>
      <c r="K21" t="inlineStr">
        <is>
          <t>193 / 112</t>
        </is>
      </c>
      <c r="L21" t="inlineStr">
        <is>
          <t>49 / 19</t>
        </is>
      </c>
      <c r="M21" s="5" t="n">
        <v>0.63</v>
      </c>
      <c r="N21" s="5" t="n">
        <v>0.72</v>
      </c>
    </row>
    <row r="22">
      <c r="A22" t="n">
        <v>21</v>
      </c>
      <c r="B22" t="n">
        <v>2012</v>
      </c>
      <c r="C22" t="inlineStr">
        <is>
          <t>Emma Ciobanu</t>
        </is>
      </c>
      <c r="D22">
        <f>HYPERLINK("https://ota.tournamentsoftware.com/player-profile/3FF64A25-D930-4C5E-8E36-3F04D7602157", "Link")</f>
        <v/>
      </c>
      <c r="E22" s="3" t="n">
        <v>4015.186</v>
      </c>
      <c r="F22" s="4" t="n">
        <v>17</v>
      </c>
      <c r="G22" t="inlineStr">
        <is>
          <t>Tennis Québec</t>
        </is>
      </c>
      <c r="H22" t="inlineStr">
        <is>
          <t>No Club</t>
        </is>
      </c>
      <c r="I22" t="n">
        <v>22.3</v>
      </c>
      <c r="J22" s="4" t="n">
        <v>445</v>
      </c>
      <c r="K22" t="inlineStr">
        <is>
          <t>254 / 191</t>
        </is>
      </c>
      <c r="L22" t="inlineStr">
        <is>
          <t>12 / 9</t>
        </is>
      </c>
      <c r="M22" s="5" t="n">
        <v>0.57</v>
      </c>
      <c r="N22" s="5" t="n">
        <v>0.57</v>
      </c>
    </row>
    <row r="23">
      <c r="A23" t="n">
        <v>22</v>
      </c>
      <c r="B23" t="n">
        <v>2012</v>
      </c>
      <c r="C23" t="inlineStr">
        <is>
          <t>Tabitha Olivia Morisette</t>
        </is>
      </c>
      <c r="D23">
        <f>HYPERLINK("https://ota.tournamentsoftware.com/player-profile/805BE387-8522-4C5E-A95F-857E21DC38E1", "Link")</f>
        <v/>
      </c>
      <c r="E23" s="3" t="n">
        <v>3960.808</v>
      </c>
      <c r="F23" s="4" t="n">
        <v>15</v>
      </c>
      <c r="G23" t="inlineStr">
        <is>
          <t>British Columbia</t>
        </is>
      </c>
      <c r="H23" t="inlineStr">
        <is>
          <t>Tennis BC Hub @ Richmond</t>
        </is>
      </c>
      <c r="I23" t="n">
        <v>22.3</v>
      </c>
      <c r="J23" s="4" t="n">
        <v>300</v>
      </c>
      <c r="K23" t="inlineStr">
        <is>
          <t>175 / 125</t>
        </is>
      </c>
      <c r="L23" t="inlineStr">
        <is>
          <t>17 / 11</t>
        </is>
      </c>
      <c r="M23" s="5" t="n">
        <v>0.58</v>
      </c>
      <c r="N23" s="5" t="n">
        <v>0.61</v>
      </c>
    </row>
    <row r="24">
      <c r="A24" t="n">
        <v>23</v>
      </c>
      <c r="B24" t="n">
        <v>2012</v>
      </c>
      <c r="C24" t="inlineStr">
        <is>
          <t>mackenzie zeidel</t>
        </is>
      </c>
      <c r="D24">
        <f>HYPERLINK("https://ota.tournamentsoftware.com/player-profile/3BADD9C6-CD9A-4858-8E91-EA11AA267135", "Link")</f>
        <v/>
      </c>
      <c r="E24" s="3" t="n">
        <v>3863.288</v>
      </c>
      <c r="F24" s="4" t="n">
        <v>14</v>
      </c>
      <c r="G24" t="inlineStr">
        <is>
          <t>Ontario Tennis Association</t>
        </is>
      </c>
      <c r="H24" t="inlineStr">
        <is>
          <t>Toronto Cricket Skating &amp; Curling</t>
        </is>
      </c>
      <c r="I24" t="n">
        <v>21.5</v>
      </c>
      <c r="J24" s="4" t="n">
        <v>258</v>
      </c>
      <c r="K24" t="inlineStr">
        <is>
          <t>172 / 86</t>
        </is>
      </c>
      <c r="L24" t="inlineStr">
        <is>
          <t>25 / 13</t>
        </is>
      </c>
      <c r="M24" s="5" t="n">
        <v>0.67</v>
      </c>
      <c r="N24" s="5" t="n">
        <v>0.66</v>
      </c>
    </row>
    <row r="25">
      <c r="A25" t="n">
        <v>24</v>
      </c>
      <c r="B25" t="n">
        <v>2014</v>
      </c>
      <c r="C25" t="inlineStr">
        <is>
          <t>Zoe Mao</t>
        </is>
      </c>
      <c r="D25">
        <f>HYPERLINK("https://ota.tournamentsoftware.com/player-profile/9C661BB4-74A2-44E0-A97C-93470EF4AE2B", "Link")</f>
        <v/>
      </c>
      <c r="E25" s="3" t="n">
        <v>3649.12</v>
      </c>
      <c r="F25" s="4" t="n">
        <v>21</v>
      </c>
      <c r="G25" t="inlineStr">
        <is>
          <t>Tennis Alberta</t>
        </is>
      </c>
      <c r="H25" t="inlineStr">
        <is>
          <t>No Club</t>
        </is>
      </c>
      <c r="I25" t="n">
        <v>24.3</v>
      </c>
      <c r="J25" s="4" t="n">
        <v>211</v>
      </c>
      <c r="K25" t="inlineStr">
        <is>
          <t>147 / 64</t>
        </is>
      </c>
      <c r="L25" t="inlineStr">
        <is>
          <t>64 / 10</t>
        </is>
      </c>
      <c r="M25" s="5" t="n">
        <v>0.7</v>
      </c>
      <c r="N25" s="5" t="n">
        <v>0.86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3368.771</v>
      </c>
      <c r="F26" s="4" t="n">
        <v>14</v>
      </c>
      <c r="G26" t="inlineStr">
        <is>
          <t>Tennis Québec</t>
        </is>
      </c>
      <c r="H26" t="inlineStr">
        <is>
          <t>Tennis Ile- des- Soeurs</t>
        </is>
      </c>
      <c r="I26" t="n">
        <v>22.5</v>
      </c>
      <c r="J26" s="4" t="n">
        <v>261</v>
      </c>
      <c r="K26" t="inlineStr">
        <is>
          <t>176 / 85</t>
        </is>
      </c>
      <c r="L26" t="inlineStr">
        <is>
          <t>40 / 14</t>
        </is>
      </c>
      <c r="M26" s="5" t="n">
        <v>0.67</v>
      </c>
      <c r="N26" s="5" t="n">
        <v>0.74</v>
      </c>
    </row>
    <row r="27">
      <c r="A27" t="n">
        <v>26</v>
      </c>
      <c r="B27" t="n">
        <v>2013</v>
      </c>
      <c r="C27" t="inlineStr">
        <is>
          <t>Vera Wing</t>
        </is>
      </c>
      <c r="D27">
        <f>HYPERLINK("https://ota.tournamentsoftware.com/player-profile/9436679B-ADF6-41C9-A343-AB5B05F342AE", "Link")</f>
        <v/>
      </c>
      <c r="E27" s="3" t="n">
        <v>3359.944</v>
      </c>
      <c r="F27" s="4" t="n">
        <v>19</v>
      </c>
      <c r="G27" t="inlineStr">
        <is>
          <t>Tennis Alberta</t>
        </is>
      </c>
      <c r="H27" t="inlineStr">
        <is>
          <t>Aforza</t>
        </is>
      </c>
      <c r="I27" t="n">
        <v>22.2</v>
      </c>
      <c r="J27" s="4" t="n">
        <v>342</v>
      </c>
      <c r="K27" t="inlineStr">
        <is>
          <t>216 / 126</t>
        </is>
      </c>
      <c r="L27" t="inlineStr">
        <is>
          <t>37 / 19</t>
        </is>
      </c>
      <c r="M27" s="5" t="n">
        <v>0.63</v>
      </c>
      <c r="N27" s="5" t="n">
        <v>0.66</v>
      </c>
    </row>
    <row r="28">
      <c r="A28" t="n">
        <v>27</v>
      </c>
      <c r="B28" t="n">
        <v>2012</v>
      </c>
      <c r="C28" t="inlineStr">
        <is>
          <t>Joni Faye Colburne</t>
        </is>
      </c>
      <c r="D28">
        <f>HYPERLINK("https://ota.tournamentsoftware.com/player-profile/497EB335-7B19-4354-A8BD-7D257EE2CBEF", "Link")</f>
        <v/>
      </c>
      <c r="E28" s="3" t="n">
        <v>3356.812</v>
      </c>
      <c r="F28" s="4" t="n">
        <v>10</v>
      </c>
      <c r="G28" t="inlineStr">
        <is>
          <t>Tennis Québec</t>
        </is>
      </c>
      <c r="H28" t="inlineStr">
        <is>
          <t>Stade IGA</t>
        </is>
      </c>
      <c r="I28" t="n">
        <v>22.6</v>
      </c>
      <c r="J28" s="4" t="n">
        <v>320</v>
      </c>
      <c r="K28" t="inlineStr">
        <is>
          <t>198 / 122</t>
        </is>
      </c>
      <c r="L28" t="inlineStr">
        <is>
          <t>4 / 1</t>
        </is>
      </c>
      <c r="M28" s="5" t="n">
        <v>0.62</v>
      </c>
      <c r="N28" s="5" t="n">
        <v>0.8</v>
      </c>
    </row>
    <row r="29">
      <c r="A29" t="n">
        <v>28</v>
      </c>
      <c r="B29" t="n">
        <v>2012</v>
      </c>
      <c r="C29" t="inlineStr">
        <is>
          <t>Ariel Desbiens</t>
        </is>
      </c>
      <c r="D29">
        <f>HYPERLINK("https://ota.tournamentsoftware.com/player-profile/7381CFF5-5BA3-457C-9F6C-499D0F36D2DD", "Link")</f>
        <v/>
      </c>
      <c r="E29" s="3" t="n">
        <v>3288</v>
      </c>
      <c r="F29" s="4" t="n">
        <v>28</v>
      </c>
      <c r="G29" t="inlineStr">
        <is>
          <t>Tennis Québec</t>
        </is>
      </c>
      <c r="H29" t="inlineStr">
        <is>
          <t>SANI Sport</t>
        </is>
      </c>
      <c r="I29" t="n">
        <v>23.4</v>
      </c>
      <c r="J29" s="4" t="n">
        <v>381</v>
      </c>
      <c r="K29" t="inlineStr">
        <is>
          <t>236 / 145</t>
        </is>
      </c>
      <c r="L29" t="inlineStr">
        <is>
          <t>45 / 26</t>
        </is>
      </c>
      <c r="M29" s="5" t="n">
        <v>0.62</v>
      </c>
      <c r="N29" s="5" t="n">
        <v>0.63</v>
      </c>
    </row>
    <row r="30">
      <c r="A30" t="n">
        <v>29</v>
      </c>
      <c r="B30" t="n">
        <v>2014</v>
      </c>
      <c r="C30" t="inlineStr">
        <is>
          <t>Yoyo Siyi Li</t>
        </is>
      </c>
      <c r="D30">
        <f>HYPERLINK("https://ota.tournamentsoftware.com/player-profile/E0E18831-EA34-4F88-BD1F-E79079687846", "Link")</f>
        <v/>
      </c>
      <c r="E30" s="3" t="n">
        <v>3216.6</v>
      </c>
      <c r="F30" s="4" t="n">
        <v>10</v>
      </c>
      <c r="G30" t="inlineStr">
        <is>
          <t>Tennis Saskatchewan</t>
        </is>
      </c>
      <c r="H30" t="inlineStr">
        <is>
          <t>Lakeshore Tennis Club</t>
        </is>
      </c>
      <c r="I30" t="inlineStr">
        <is>
          <t>unavailable</t>
        </is>
      </c>
      <c r="J30" s="4" t="n">
        <v>245</v>
      </c>
      <c r="K30" t="inlineStr">
        <is>
          <t>172 / 73</t>
        </is>
      </c>
      <c r="L30" t="inlineStr">
        <is>
          <t>54 / 10</t>
        </is>
      </c>
      <c r="M30" s="5" t="n">
        <v>0.7</v>
      </c>
      <c r="N30" s="5" t="n">
        <v>0.84</v>
      </c>
    </row>
    <row r="31">
      <c r="A31" t="n">
        <v>30</v>
      </c>
      <c r="B31" t="n">
        <v>2012</v>
      </c>
      <c r="C31" t="inlineStr">
        <is>
          <t>Victoria Cui</t>
        </is>
      </c>
      <c r="D31">
        <f>HYPERLINK("https://ota.tournamentsoftware.com/player-profile/0645977B-E01D-437B-A80F-04D3BC7B5871", "Link")</f>
        <v/>
      </c>
      <c r="E31" s="3" t="n">
        <v>3012.96</v>
      </c>
      <c r="F31" s="4" t="n">
        <v>20</v>
      </c>
      <c r="G31" t="inlineStr">
        <is>
          <t>Ontario Tennis Association</t>
        </is>
      </c>
      <c r="H31" t="inlineStr">
        <is>
          <t>Mayfair East Racquet Club</t>
        </is>
      </c>
      <c r="I31" t="n">
        <v>23.1</v>
      </c>
      <c r="J31" s="4" t="n">
        <v>245</v>
      </c>
      <c r="K31" t="inlineStr">
        <is>
          <t>156 / 89</t>
        </is>
      </c>
      <c r="L31" t="inlineStr">
        <is>
          <t>28 / 16</t>
        </is>
      </c>
      <c r="M31" s="5" t="n">
        <v>0.64</v>
      </c>
      <c r="N31" s="5" t="n">
        <v>0.64</v>
      </c>
    </row>
    <row r="32">
      <c r="A32" t="n">
        <v>31</v>
      </c>
      <c r="B32" t="n">
        <v>2012</v>
      </c>
      <c r="C32" t="inlineStr">
        <is>
          <t>Sophie Rachel Murray</t>
        </is>
      </c>
      <c r="D32">
        <f>HYPERLINK("https://ota.tournamentsoftware.com/player-profile/ADAA4094-7084-435C-80A6-9DA79EB19D3F", "Link")</f>
        <v/>
      </c>
      <c r="E32" s="3" t="n">
        <v>2878.56</v>
      </c>
      <c r="F32" s="4" t="n">
        <v>17</v>
      </c>
      <c r="G32" t="inlineStr">
        <is>
          <t>Tennis Alberta</t>
        </is>
      </c>
      <c r="H32" t="inlineStr">
        <is>
          <t>Osten &amp; Victor Alberta Tennis Centre</t>
        </is>
      </c>
      <c r="I32" t="n">
        <v>22.2</v>
      </c>
      <c r="J32" s="4" t="n">
        <v>322</v>
      </c>
      <c r="K32" t="inlineStr">
        <is>
          <t>194 / 128</t>
        </is>
      </c>
      <c r="L32" t="inlineStr">
        <is>
          <t>20 / 6</t>
        </is>
      </c>
      <c r="M32" s="5" t="n">
        <v>0.6</v>
      </c>
      <c r="N32" s="5" t="n">
        <v>0.77</v>
      </c>
    </row>
    <row r="33">
      <c r="A33" t="n">
        <v>32</v>
      </c>
      <c r="B33" t="n">
        <v>2012</v>
      </c>
      <c r="C33" t="inlineStr">
        <is>
          <t>Hailey MacDonald</t>
        </is>
      </c>
      <c r="D33">
        <f>HYPERLINK("https://ota.tournamentsoftware.com/player-profile/7B752A16-6837-4A5A-AFD8-83F950F37834", "Link")</f>
        <v/>
      </c>
      <c r="E33" s="3" t="n">
        <v>2764.284</v>
      </c>
      <c r="F33" s="4" t="n">
        <v>15</v>
      </c>
      <c r="G33" t="inlineStr">
        <is>
          <t>Ontario Tennis Association</t>
        </is>
      </c>
      <c r="H33" t="inlineStr">
        <is>
          <t>Advantage Tennis International at Veneto</t>
        </is>
      </c>
      <c r="I33" t="n">
        <v>24.1</v>
      </c>
      <c r="J33" s="4" t="n">
        <v>322</v>
      </c>
      <c r="K33" t="inlineStr">
        <is>
          <t>218 / 104</t>
        </is>
      </c>
      <c r="L33" t="inlineStr">
        <is>
          <t>16 / 9</t>
        </is>
      </c>
      <c r="M33" s="5" t="n">
        <v>0.68</v>
      </c>
      <c r="N33" s="5" t="n">
        <v>0.64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2675.936</v>
      </c>
      <c r="F34" s="4" t="n">
        <v>21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24.5</v>
      </c>
      <c r="J34" s="4" t="n">
        <v>250</v>
      </c>
      <c r="K34" t="inlineStr">
        <is>
          <t>139 / 111</t>
        </is>
      </c>
      <c r="L34" t="inlineStr">
        <is>
          <t>38 / 23</t>
        </is>
      </c>
      <c r="M34" s="5" t="n">
        <v>0.5600000000000001</v>
      </c>
      <c r="N34" s="5" t="n">
        <v>0.62</v>
      </c>
    </row>
    <row r="35">
      <c r="A35" t="n">
        <v>34</v>
      </c>
      <c r="B35" t="n">
        <v>2012</v>
      </c>
      <c r="C35" t="inlineStr">
        <is>
          <t>Misaki Rukovanjski</t>
        </is>
      </c>
      <c r="D35">
        <f>HYPERLINK("https://ota.tournamentsoftware.com/player-profile/CECDBF80-C74F-40ED-B426-04CA75BF14C1", "Link")</f>
        <v/>
      </c>
      <c r="E35" s="3" t="n">
        <v>2463.158</v>
      </c>
      <c r="F35" s="4" t="n">
        <v>24</v>
      </c>
      <c r="G35" t="inlineStr">
        <is>
          <t>Ontario Tennis Association</t>
        </is>
      </c>
      <c r="H35" t="inlineStr">
        <is>
          <t>No Club</t>
        </is>
      </c>
      <c r="I35" t="n">
        <v>25.3</v>
      </c>
      <c r="J35" s="4" t="n">
        <v>267</v>
      </c>
      <c r="K35" t="inlineStr">
        <is>
          <t>169 / 98</t>
        </is>
      </c>
      <c r="L35" t="inlineStr">
        <is>
          <t>25 / 18</t>
        </is>
      </c>
      <c r="M35" s="5" t="n">
        <v>0.63</v>
      </c>
      <c r="N35" s="5" t="n">
        <v>0.58</v>
      </c>
    </row>
    <row r="36">
      <c r="A36" t="n">
        <v>35</v>
      </c>
      <c r="B36" t="n">
        <v>2013</v>
      </c>
      <c r="C36" t="inlineStr">
        <is>
          <t>Janelle Mao</t>
        </is>
      </c>
      <c r="D36">
        <f>HYPERLINK("https://ota.tournamentsoftware.com/player-profile/25605052-7047-4B82-9C15-5D4C8CE7946D", "Link")</f>
        <v/>
      </c>
      <c r="E36" s="3" t="n">
        <v>2442.361</v>
      </c>
      <c r="F36" s="4" t="n">
        <v>14</v>
      </c>
      <c r="G36" t="inlineStr">
        <is>
          <t>Ontario Tennis Association</t>
        </is>
      </c>
      <c r="H36" t="inlineStr">
        <is>
          <t>London Hunt &amp; Country Club</t>
        </is>
      </c>
      <c r="I36" t="n">
        <v>24.5</v>
      </c>
      <c r="J36" s="4" t="n">
        <v>211</v>
      </c>
      <c r="K36" t="inlineStr">
        <is>
          <t>124 / 87</t>
        </is>
      </c>
      <c r="L36" t="inlineStr">
        <is>
          <t>19 / 19</t>
        </is>
      </c>
      <c r="M36" s="5" t="n">
        <v>0.59</v>
      </c>
      <c r="N36" s="5" t="n">
        <v>0.5</v>
      </c>
    </row>
    <row r="37">
      <c r="A37" t="n">
        <v>36</v>
      </c>
      <c r="B37" t="n">
        <v>2012</v>
      </c>
      <c r="C37" t="inlineStr">
        <is>
          <t>Daisy Okechukwu</t>
        </is>
      </c>
      <c r="D37">
        <f>HYPERLINK("https://ota.tournamentsoftware.com/player-profile/9909D668-CC24-45D1-AD61-DE790BE62029", "Link")</f>
        <v/>
      </c>
      <c r="E37" s="3" t="n">
        <v>2400</v>
      </c>
      <c r="F37" s="4" t="n">
        <v>12</v>
      </c>
      <c r="G37" t="inlineStr">
        <is>
          <t>Ontario Tennis Association</t>
        </is>
      </c>
      <c r="H37" t="inlineStr">
        <is>
          <t>Carleton Tennis Centre</t>
        </is>
      </c>
      <c r="I37" t="n">
        <v>26.8</v>
      </c>
      <c r="J37" s="4" t="n">
        <v>129</v>
      </c>
      <c r="K37" t="inlineStr">
        <is>
          <t>36 / 93</t>
        </is>
      </c>
      <c r="L37" t="inlineStr">
        <is>
          <t>0 / 0</t>
        </is>
      </c>
      <c r="M37" s="5" t="n">
        <v>0.28</v>
      </c>
      <c r="N37" s="5" t="n">
        <v>0</v>
      </c>
    </row>
    <row r="38">
      <c r="A38" t="n">
        <v>37</v>
      </c>
      <c r="B38" t="n">
        <v>2012</v>
      </c>
      <c r="C38" t="inlineStr">
        <is>
          <t>scarlett Ai</t>
        </is>
      </c>
      <c r="D38">
        <f>HYPERLINK("https://ota.tournamentsoftware.com/player-profile/99B381B6-120A-4EAE-A001-756292C53927", "Link")</f>
        <v/>
      </c>
      <c r="E38" s="3" t="n">
        <v>2328.047</v>
      </c>
      <c r="F38" s="4" t="n">
        <v>16</v>
      </c>
      <c r="G38" t="inlineStr">
        <is>
          <t>Ontario Tennis Association</t>
        </is>
      </c>
      <c r="H38" t="inlineStr">
        <is>
          <t>Toronto Tennis Academy</t>
        </is>
      </c>
      <c r="I38" t="n">
        <v>25.3</v>
      </c>
      <c r="J38" s="4" t="n">
        <v>221</v>
      </c>
      <c r="K38" t="inlineStr">
        <is>
          <t>120 / 101</t>
        </is>
      </c>
      <c r="L38" t="inlineStr">
        <is>
          <t>23 / 16</t>
        </is>
      </c>
      <c r="M38" s="5" t="n">
        <v>0.54</v>
      </c>
      <c r="N38" s="5" t="n">
        <v>0.59</v>
      </c>
    </row>
    <row r="39">
      <c r="A39" t="n">
        <v>38</v>
      </c>
      <c r="B39" t="n">
        <v>2012</v>
      </c>
      <c r="C39" t="inlineStr">
        <is>
          <t>Xinyi Kwan</t>
        </is>
      </c>
      <c r="D39">
        <f>HYPERLINK("https://ota.tournamentsoftware.com/player-profile/5146AC8F-EF0E-4E7A-A6A0-D65D12E5BF6E", "Link")</f>
        <v/>
      </c>
      <c r="E39" s="3" t="n">
        <v>2169.55</v>
      </c>
      <c r="F39" s="4" t="n">
        <v>23</v>
      </c>
      <c r="G39" t="inlineStr">
        <is>
          <t>Ontario Tennis Association</t>
        </is>
      </c>
      <c r="H39" t="inlineStr">
        <is>
          <t>Burlington Hall Sporting Club</t>
        </is>
      </c>
      <c r="I39" t="n">
        <v>22.7</v>
      </c>
      <c r="J39" s="4" t="n">
        <v>207</v>
      </c>
      <c r="K39" t="inlineStr">
        <is>
          <t>102 / 105</t>
        </is>
      </c>
      <c r="L39" t="inlineStr">
        <is>
          <t>25 / 16</t>
        </is>
      </c>
      <c r="M39" s="5" t="n">
        <v>0.49</v>
      </c>
      <c r="N39" s="5" t="n">
        <v>0.61</v>
      </c>
    </row>
    <row r="40">
      <c r="A40" t="n">
        <v>39</v>
      </c>
      <c r="B40" t="n">
        <v>2013</v>
      </c>
      <c r="C40" t="inlineStr">
        <is>
          <t>Valesca Calabrese</t>
        </is>
      </c>
      <c r="D40">
        <f>HYPERLINK("https://ota.tournamentsoftware.com/player-profile/B0833DD4-B006-4DA5-A204-F5A1B4F3FABB", "Link")</f>
        <v/>
      </c>
      <c r="E40" s="3" t="n">
        <v>2075.42</v>
      </c>
      <c r="F40" s="4" t="n">
        <v>21</v>
      </c>
      <c r="G40" t="inlineStr">
        <is>
          <t>Ontario Tennis Association</t>
        </is>
      </c>
      <c r="H40" t="inlineStr">
        <is>
          <t>Kingston Racquet Centre</t>
        </is>
      </c>
      <c r="I40" t="n">
        <v>25.3</v>
      </c>
      <c r="J40" s="4" t="n">
        <v>261</v>
      </c>
      <c r="K40" t="inlineStr">
        <is>
          <t>174 / 87</t>
        </is>
      </c>
      <c r="L40" t="inlineStr">
        <is>
          <t>25 / 11</t>
        </is>
      </c>
      <c r="M40" s="5" t="n">
        <v>0.67</v>
      </c>
      <c r="N40" s="5" t="n">
        <v>0.6899999999999999</v>
      </c>
    </row>
    <row r="41">
      <c r="A41" t="n">
        <v>40</v>
      </c>
      <c r="B41" t="n">
        <v>2014</v>
      </c>
      <c r="C41" t="inlineStr">
        <is>
          <t>Adelina Tanashikova</t>
        </is>
      </c>
      <c r="D41">
        <f>HYPERLINK("https://ota.tournamentsoftware.com/player-profile/AD7F41D2-B208-4518-963D-851BBA4276F4", "Link")</f>
        <v/>
      </c>
      <c r="E41" s="3" t="n">
        <v>2032.278</v>
      </c>
      <c r="F41" s="4" t="n">
        <v>14</v>
      </c>
      <c r="G41" t="inlineStr">
        <is>
          <t>Ontario Tennis Association</t>
        </is>
      </c>
      <c r="H41" t="inlineStr">
        <is>
          <t>No Club</t>
        </is>
      </c>
      <c r="I41" t="n">
        <v>24</v>
      </c>
      <c r="J41" s="4" t="n">
        <v>269</v>
      </c>
      <c r="K41" t="inlineStr">
        <is>
          <t>145 / 124</t>
        </is>
      </c>
      <c r="L41" t="inlineStr">
        <is>
          <t>28 / 7</t>
        </is>
      </c>
      <c r="M41" s="5" t="n">
        <v>0.54</v>
      </c>
      <c r="N41" s="5" t="n">
        <v>0.8</v>
      </c>
    </row>
    <row r="42">
      <c r="A42" t="n">
        <v>41</v>
      </c>
      <c r="B42" t="n">
        <v>2013</v>
      </c>
      <c r="C42" t="inlineStr">
        <is>
          <t>YASMINE SOUISSI</t>
        </is>
      </c>
      <c r="D42">
        <f>HYPERLINK("https://ota.tournamentsoftware.com/player-profile/1B8E66F9-8E72-48A5-A280-1ADD14488B21", "Link")</f>
        <v/>
      </c>
      <c r="E42" s="3" t="n">
        <v>2022.814</v>
      </c>
      <c r="F42" s="4" t="n">
        <v>9</v>
      </c>
      <c r="G42" t="inlineStr">
        <is>
          <t>Tennis Québec</t>
        </is>
      </c>
      <c r="H42" t="inlineStr">
        <is>
          <t>Tennis 13</t>
        </is>
      </c>
      <c r="I42" t="n">
        <v>23.1</v>
      </c>
      <c r="J42" s="4" t="n">
        <v>243</v>
      </c>
      <c r="K42" t="inlineStr">
        <is>
          <t>164 / 79</t>
        </is>
      </c>
      <c r="L42" t="inlineStr">
        <is>
          <t>21 / 11</t>
        </is>
      </c>
      <c r="M42" s="5" t="n">
        <v>0.67</v>
      </c>
      <c r="N42" s="5" t="n">
        <v>0.66</v>
      </c>
    </row>
    <row r="43">
      <c r="A43" t="n">
        <v>42</v>
      </c>
      <c r="B43" t="n">
        <v>2014</v>
      </c>
      <c r="C43" t="inlineStr">
        <is>
          <t>Roseline Nana</t>
        </is>
      </c>
      <c r="D43">
        <f>HYPERLINK("https://ota.tournamentsoftware.com/player-profile/B0A425C4-2F23-4C29-8447-4FFBF9D90967", "Link")</f>
        <v/>
      </c>
      <c r="E43" s="3" t="n">
        <v>1993.2</v>
      </c>
      <c r="F43" s="4" t="n">
        <v>27</v>
      </c>
      <c r="G43" t="inlineStr">
        <is>
          <t>Tennis Québec</t>
        </is>
      </c>
      <c r="H43" t="inlineStr">
        <is>
          <t>Tennis Montréal Excellence</t>
        </is>
      </c>
      <c r="I43" t="n">
        <v>25</v>
      </c>
      <c r="J43" s="4" t="n">
        <v>193</v>
      </c>
      <c r="K43" t="inlineStr">
        <is>
          <t>137 / 56</t>
        </is>
      </c>
      <c r="L43" t="inlineStr">
        <is>
          <t>50 / 17</t>
        </is>
      </c>
      <c r="M43" s="5" t="n">
        <v>0.71</v>
      </c>
      <c r="N43" s="5" t="n">
        <v>0.75</v>
      </c>
    </row>
    <row r="44">
      <c r="A44" t="n">
        <v>43</v>
      </c>
      <c r="B44" t="n">
        <v>2012</v>
      </c>
      <c r="C44" t="inlineStr">
        <is>
          <t>Amaliia Bakumenko</t>
        </is>
      </c>
      <c r="D44">
        <f>HYPERLINK("https://ota.tournamentsoftware.com/player-profile/E789F167-880C-4307-840C-31D5E72C32F0", "Link")</f>
        <v/>
      </c>
      <c r="E44" s="3" t="n">
        <v>1923.936</v>
      </c>
      <c r="F44" s="4" t="n">
        <v>2</v>
      </c>
      <c r="G44" t="inlineStr">
        <is>
          <t>Tennis Québec</t>
        </is>
      </c>
      <c r="H44" t="inlineStr">
        <is>
          <t>Tennis 13 / Académie Ménard et associé</t>
        </is>
      </c>
      <c r="I44" t="n">
        <v>17.8</v>
      </c>
      <c r="J44" s="4" t="n">
        <v>81</v>
      </c>
      <c r="K44" t="inlineStr">
        <is>
          <t>60 / 21</t>
        </is>
      </c>
      <c r="L44" t="inlineStr">
        <is>
          <t>0 / 1</t>
        </is>
      </c>
      <c r="M44" s="5" t="n">
        <v>0.74</v>
      </c>
      <c r="N44" s="5" t="n">
        <v>0</v>
      </c>
    </row>
    <row r="45">
      <c r="A45" t="n">
        <v>44</v>
      </c>
      <c r="B45" t="n">
        <v>2013</v>
      </c>
      <c r="C45" t="inlineStr">
        <is>
          <t>Etooluwa Michelle Bammeke</t>
        </is>
      </c>
      <c r="D45">
        <f>HYPERLINK("https://ota.tournamentsoftware.com/player-profile/7C02D882-BDA0-4F5A-9586-AF17737417F7", "Link")</f>
        <v/>
      </c>
      <c r="E45" s="3" t="n">
        <v>1920</v>
      </c>
      <c r="F45" s="4" t="n">
        <v>28</v>
      </c>
      <c r="G45" t="inlineStr">
        <is>
          <t>Ontario Tennis Association</t>
        </is>
      </c>
      <c r="H45" t="inlineStr">
        <is>
          <t>Joshua Creek Golf &amp; Tennis</t>
        </is>
      </c>
      <c r="I45" t="n">
        <v>27.4</v>
      </c>
      <c r="J45" s="4" t="n">
        <v>268</v>
      </c>
      <c r="K45" t="inlineStr">
        <is>
          <t>166 / 102</t>
        </is>
      </c>
      <c r="L45" t="inlineStr">
        <is>
          <t>22 / 12</t>
        </is>
      </c>
      <c r="M45" s="5" t="n">
        <v>0.62</v>
      </c>
      <c r="N45" s="5" t="n">
        <v>0.65</v>
      </c>
    </row>
    <row r="46">
      <c r="A46" t="n">
        <v>45</v>
      </c>
      <c r="B46" t="n">
        <v>2014</v>
      </c>
      <c r="C46" t="inlineStr">
        <is>
          <t>Wilma Wai Bo Yue</t>
        </is>
      </c>
      <c r="D46">
        <f>HYPERLINK("https://ota.tournamentsoftware.com/player-profile/6CAEB488-574A-45E0-B597-01F96FA5C987", "Link")</f>
        <v/>
      </c>
      <c r="E46" s="3" t="n">
        <v>1828.64</v>
      </c>
      <c r="F46" s="4" t="n">
        <v>13</v>
      </c>
      <c r="G46" t="inlineStr">
        <is>
          <t>Ontario Tennis Association</t>
        </is>
      </c>
      <c r="H46" t="inlineStr">
        <is>
          <t>No Club</t>
        </is>
      </c>
      <c r="I46" t="n">
        <v>26.9</v>
      </c>
      <c r="J46" s="4" t="n">
        <v>207</v>
      </c>
      <c r="K46" t="inlineStr">
        <is>
          <t>149 / 58</t>
        </is>
      </c>
      <c r="L46" t="inlineStr">
        <is>
          <t>34 / 12</t>
        </is>
      </c>
      <c r="M46" s="5" t="n">
        <v>0.72</v>
      </c>
      <c r="N46" s="5" t="n">
        <v>0.74</v>
      </c>
    </row>
    <row r="47">
      <c r="A47" t="n">
        <v>46</v>
      </c>
      <c r="B47" t="n">
        <v>2014</v>
      </c>
      <c r="C47" t="inlineStr">
        <is>
          <t>Fiona Huang</t>
        </is>
      </c>
      <c r="D47">
        <f>HYPERLINK("https://ota.tournamentsoftware.com/player-profile/701ADA13-714A-48E5-B54F-4DB9E25DBDB3", "Link")</f>
        <v/>
      </c>
      <c r="E47" s="3" t="n">
        <v>1815.25</v>
      </c>
      <c r="F47" s="4" t="n">
        <v>14</v>
      </c>
      <c r="G47" t="inlineStr">
        <is>
          <t>British Columbia</t>
        </is>
      </c>
      <c r="H47" t="inlineStr">
        <is>
          <t>No Club</t>
        </is>
      </c>
      <c r="I47" t="n">
        <v>25.1</v>
      </c>
      <c r="J47" s="4" t="n">
        <v>222</v>
      </c>
      <c r="K47" t="inlineStr">
        <is>
          <t>142 / 80</t>
        </is>
      </c>
      <c r="L47" t="inlineStr">
        <is>
          <t>34 / 13</t>
        </is>
      </c>
      <c r="M47" s="5" t="n">
        <v>0.64</v>
      </c>
      <c r="N47" s="5" t="n">
        <v>0.72</v>
      </c>
    </row>
    <row r="48">
      <c r="A48" t="n">
        <v>47</v>
      </c>
      <c r="B48" t="n">
        <v>2012</v>
      </c>
      <c r="C48" t="inlineStr">
        <is>
          <t>Marilyn deBruin-Sawutz</t>
        </is>
      </c>
      <c r="D48">
        <f>HYPERLINK("https://ota.tournamentsoftware.com/player-profile/3DC26724-8571-4345-A75C-D904297288CB", "Link")</f>
        <v/>
      </c>
      <c r="E48" s="3" t="n">
        <v>1809.043</v>
      </c>
      <c r="F48" s="4" t="n">
        <v>24</v>
      </c>
      <c r="G48" t="inlineStr">
        <is>
          <t>Ontario Tennis Association</t>
        </is>
      </c>
      <c r="H48" t="inlineStr">
        <is>
          <t>Advantage Tennis International at Veneto</t>
        </is>
      </c>
      <c r="I48" t="n">
        <v>25.5</v>
      </c>
      <c r="J48" s="4" t="n">
        <v>283</v>
      </c>
      <c r="K48" t="inlineStr">
        <is>
          <t>146 / 137</t>
        </is>
      </c>
      <c r="L48" t="inlineStr">
        <is>
          <t>25 / 18</t>
        </is>
      </c>
      <c r="M48" s="5" t="n">
        <v>0.52</v>
      </c>
      <c r="N48" s="5" t="n">
        <v>0.58</v>
      </c>
    </row>
    <row r="49">
      <c r="A49" t="n">
        <v>48</v>
      </c>
      <c r="B49" t="n">
        <v>2012</v>
      </c>
      <c r="C49" t="inlineStr">
        <is>
          <t>Hannah Yiwei Wang</t>
        </is>
      </c>
      <c r="D49">
        <f>HYPERLINK("https://ota.tournamentsoftware.com/player-profile/CEB4A334-7BA1-4478-96B0-66580448520A", "Link")</f>
        <v/>
      </c>
      <c r="E49" s="3" t="n">
        <v>1798.023</v>
      </c>
      <c r="F49" s="4" t="n">
        <v>17</v>
      </c>
      <c r="G49" t="inlineStr">
        <is>
          <t>Ontario Tennis Association</t>
        </is>
      </c>
      <c r="H49" t="inlineStr">
        <is>
          <t>Richmondhill Golf &amp; Country Club</t>
        </is>
      </c>
      <c r="I49" t="n">
        <v>24.2</v>
      </c>
      <c r="J49" s="4" t="n">
        <v>172</v>
      </c>
      <c r="K49" t="inlineStr">
        <is>
          <t>90 / 82</t>
        </is>
      </c>
      <c r="L49" t="inlineStr">
        <is>
          <t>20 / 16</t>
        </is>
      </c>
      <c r="M49" s="5" t="n">
        <v>0.52</v>
      </c>
      <c r="N49" s="5" t="n">
        <v>0.5600000000000001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1779.55</v>
      </c>
      <c r="F50" s="4" t="n">
        <v>13</v>
      </c>
      <c r="G50" t="inlineStr">
        <is>
          <t>Tennis New Brunswick</t>
        </is>
      </c>
      <c r="H50" t="inlineStr">
        <is>
          <t>Abony Family Tennis Center</t>
        </is>
      </c>
      <c r="I50" t="n">
        <v>26.4</v>
      </c>
      <c r="J50" s="4" t="n">
        <v>235</v>
      </c>
      <c r="K50" t="inlineStr">
        <is>
          <t>138 / 97</t>
        </is>
      </c>
      <c r="L50" t="inlineStr">
        <is>
          <t>38 / 23</t>
        </is>
      </c>
      <c r="M50" s="5" t="n">
        <v>0.59</v>
      </c>
      <c r="N50" s="5" t="n">
        <v>0.62</v>
      </c>
    </row>
    <row r="51">
      <c r="A51" t="n">
        <v>50</v>
      </c>
      <c r="B51" t="n">
        <v>2012</v>
      </c>
      <c r="C51" t="inlineStr">
        <is>
          <t>Daria Glinna</t>
        </is>
      </c>
      <c r="D51">
        <f>HYPERLINK("https://ota.tournamentsoftware.com/player-profile/75F31A41-BD9F-46AC-A064-06ECE54741E7", "Link")</f>
        <v/>
      </c>
      <c r="E51" s="3" t="n">
        <v>1760.552</v>
      </c>
      <c r="F51" s="4" t="n">
        <v>14</v>
      </c>
      <c r="G51" t="inlineStr">
        <is>
          <t>Ontario Tennis Association</t>
        </is>
      </c>
      <c r="H51" t="inlineStr">
        <is>
          <t>Premier Racquet Clubs – Mississauga</t>
        </is>
      </c>
      <c r="I51" t="n">
        <v>28.2</v>
      </c>
      <c r="J51" s="4" t="n">
        <v>158</v>
      </c>
      <c r="K51" t="inlineStr">
        <is>
          <t>59 / 99</t>
        </is>
      </c>
      <c r="L51" t="inlineStr">
        <is>
          <t>4 / 8</t>
        </is>
      </c>
      <c r="M51" s="5" t="n">
        <v>0.37</v>
      </c>
      <c r="N51" s="5" t="n">
        <v>0.33</v>
      </c>
    </row>
    <row r="52">
      <c r="A52" t="n">
        <v>51</v>
      </c>
      <c r="B52" t="n">
        <v>2013</v>
      </c>
      <c r="C52" t="inlineStr">
        <is>
          <t>Haeun (Emily) Jo</t>
        </is>
      </c>
      <c r="D52">
        <f>HYPERLINK("https://ota.tournamentsoftware.com/player-profile/BBD49A71-6CAE-4AC7-908B-9DB5263DA715", "Link")</f>
        <v/>
      </c>
      <c r="E52" s="3" t="n">
        <v>1714.8</v>
      </c>
      <c r="F52" s="4" t="n">
        <v>14</v>
      </c>
      <c r="G52" t="inlineStr">
        <is>
          <t>Tennis Nova Scotia</t>
        </is>
      </c>
      <c r="H52" t="inlineStr">
        <is>
          <t>Atlantic Tennis Centre</t>
        </is>
      </c>
      <c r="I52" t="n">
        <v>25.9</v>
      </c>
      <c r="J52" s="4" t="n">
        <v>285</v>
      </c>
      <c r="K52" t="inlineStr">
        <is>
          <t>190 / 95</t>
        </is>
      </c>
      <c r="L52" t="inlineStr">
        <is>
          <t>41 / 16</t>
        </is>
      </c>
      <c r="M52" s="5" t="n">
        <v>0.67</v>
      </c>
      <c r="N52" s="5" t="n">
        <v>0.72</v>
      </c>
    </row>
    <row r="53">
      <c r="A53" t="n">
        <v>52</v>
      </c>
      <c r="B53" t="n">
        <v>2013</v>
      </c>
      <c r="C53" t="inlineStr">
        <is>
          <t>Aida Idrissi Serghini</t>
        </is>
      </c>
      <c r="D53">
        <f>HYPERLINK("https://ota.tournamentsoftware.com/player-profile/F5E49767-E427-41A0-B6F2-79E8AC4CB7AE", "Link")</f>
        <v/>
      </c>
      <c r="E53" s="3" t="n">
        <v>1685.396</v>
      </c>
      <c r="F53" s="4" t="n">
        <v>19</v>
      </c>
      <c r="G53" t="inlineStr">
        <is>
          <t>Tennis Québec</t>
        </is>
      </c>
      <c r="H53" t="inlineStr">
        <is>
          <t>Centre récréatif de Repentigny / Académie Tennis Momentum</t>
        </is>
      </c>
      <c r="I53" t="n">
        <v>25.6</v>
      </c>
      <c r="J53" s="4" t="n">
        <v>225</v>
      </c>
      <c r="K53" t="inlineStr">
        <is>
          <t>155 / 70</t>
        </is>
      </c>
      <c r="L53" t="inlineStr">
        <is>
          <t>29 / 17</t>
        </is>
      </c>
      <c r="M53" s="5" t="n">
        <v>0.6899999999999999</v>
      </c>
      <c r="N53" s="5" t="n">
        <v>0.63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1661.687</v>
      </c>
      <c r="F54" s="4" t="n">
        <v>6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32</v>
      </c>
      <c r="K54" t="inlineStr">
        <is>
          <t>18 / 14</t>
        </is>
      </c>
      <c r="L54" t="inlineStr">
        <is>
          <t>5 / 5</t>
        </is>
      </c>
      <c r="M54" s="5" t="n">
        <v>0.5600000000000001</v>
      </c>
      <c r="N54" s="5" t="n">
        <v>0.5</v>
      </c>
    </row>
    <row r="55">
      <c r="A55" t="n">
        <v>54</v>
      </c>
      <c r="B55" t="n">
        <v>2014</v>
      </c>
      <c r="C55" t="inlineStr">
        <is>
          <t>Aleksandra Alymov</t>
        </is>
      </c>
      <c r="D55">
        <f>HYPERLINK("https://ota.tournamentsoftware.com/player-profile/3ED01243-78C8-4179-A634-27E1B1E8443A", "Link")</f>
        <v/>
      </c>
      <c r="E55" s="3" t="n">
        <v>1624.264</v>
      </c>
      <c r="F55" s="4" t="n">
        <v>11</v>
      </c>
      <c r="G55" t="inlineStr">
        <is>
          <t>Ontario Tennis Association</t>
        </is>
      </c>
      <c r="H55" t="inlineStr">
        <is>
          <t>Rexall Centre</t>
        </is>
      </c>
      <c r="I55" t="n">
        <v>26.6</v>
      </c>
      <c r="J55" s="4" t="n">
        <v>216</v>
      </c>
      <c r="K55" t="inlineStr">
        <is>
          <t>136 / 80</t>
        </is>
      </c>
      <c r="L55" t="inlineStr">
        <is>
          <t>35 / 11</t>
        </is>
      </c>
      <c r="M55" s="5" t="n">
        <v>0.63</v>
      </c>
      <c r="N55" s="5" t="n">
        <v>0.76</v>
      </c>
    </row>
    <row r="56">
      <c r="A56" t="n">
        <v>55</v>
      </c>
      <c r="B56" t="n">
        <v>2013</v>
      </c>
      <c r="C56" t="inlineStr">
        <is>
          <t>Elena Rusic</t>
        </is>
      </c>
      <c r="D56">
        <f>HYPERLINK("https://ota.tournamentsoftware.com/player-profile/C202F0BA-61C5-459D-993A-2D56C17C2B04", "Link")</f>
        <v/>
      </c>
      <c r="E56" s="3" t="n">
        <v>1612.81</v>
      </c>
      <c r="F56" s="4" t="n">
        <v>23</v>
      </c>
      <c r="G56" t="inlineStr">
        <is>
          <t>Ontario Tennis Association</t>
        </is>
      </c>
      <c r="H56" t="inlineStr">
        <is>
          <t>Joshua Creek Golf &amp; Tennis</t>
        </is>
      </c>
      <c r="I56" t="n">
        <v>26.5</v>
      </c>
      <c r="J56" s="4" t="n">
        <v>256</v>
      </c>
      <c r="K56" t="inlineStr">
        <is>
          <t>182 / 74</t>
        </is>
      </c>
      <c r="L56" t="inlineStr">
        <is>
          <t>23 / 19</t>
        </is>
      </c>
      <c r="M56" s="5" t="n">
        <v>0.71</v>
      </c>
      <c r="N56" s="5" t="n">
        <v>0.55</v>
      </c>
    </row>
    <row r="57">
      <c r="A57" t="n">
        <v>56</v>
      </c>
      <c r="B57" t="n">
        <v>2012</v>
      </c>
      <c r="C57" t="inlineStr">
        <is>
          <t>Annika Richards</t>
        </is>
      </c>
      <c r="D57">
        <f>HYPERLINK("https://ota.tournamentsoftware.com/player-profile/CFED81F9-9EA3-48DF-84C4-507456D5D68B", "Link")</f>
        <v/>
      </c>
      <c r="E57" s="3" t="n">
        <v>1600.867</v>
      </c>
      <c r="F57" s="4" t="n">
        <v>19</v>
      </c>
      <c r="G57" t="inlineStr">
        <is>
          <t>Ontario Tennis Association</t>
        </is>
      </c>
      <c r="H57" t="inlineStr">
        <is>
          <t>Toronto Cricket Skating &amp; Curling</t>
        </is>
      </c>
      <c r="I57" t="n">
        <v>27.4</v>
      </c>
      <c r="J57" s="4" t="n">
        <v>189</v>
      </c>
      <c r="K57" t="inlineStr">
        <is>
          <t>81 / 108</t>
        </is>
      </c>
      <c r="L57" t="inlineStr">
        <is>
          <t>8 / 17</t>
        </is>
      </c>
      <c r="M57" s="5" t="n">
        <v>0.43</v>
      </c>
      <c r="N57" s="5" t="n">
        <v>0.32</v>
      </c>
    </row>
    <row r="58">
      <c r="A58" t="n">
        <v>57</v>
      </c>
      <c r="B58" t="n">
        <v>2012</v>
      </c>
      <c r="C58" t="inlineStr">
        <is>
          <t>Allyson Experience</t>
        </is>
      </c>
      <c r="D58">
        <f>HYPERLINK("https://ota.tournamentsoftware.com/player-profile/9A5D0B4A-A8C7-47DA-8CAD-CA25D28C69CE", "Link")</f>
        <v/>
      </c>
      <c r="E58" s="3" t="n">
        <v>1566.027</v>
      </c>
      <c r="F58" s="4" t="n">
        <v>24</v>
      </c>
      <c r="G58" t="inlineStr">
        <is>
          <t>Tennis Québec</t>
        </is>
      </c>
      <c r="H58" t="inlineStr">
        <is>
          <t>Tennis Montréal Excellence</t>
        </is>
      </c>
      <c r="I58" t="n">
        <v>26.5</v>
      </c>
      <c r="J58" s="4" t="n">
        <v>261</v>
      </c>
      <c r="K58" t="inlineStr">
        <is>
          <t>120 / 141</t>
        </is>
      </c>
      <c r="L58" t="inlineStr">
        <is>
          <t>19 / 22</t>
        </is>
      </c>
      <c r="M58" s="5" t="n">
        <v>0.46</v>
      </c>
      <c r="N58" s="5" t="n">
        <v>0.46</v>
      </c>
    </row>
    <row r="59">
      <c r="A59" t="n">
        <v>58</v>
      </c>
      <c r="B59" t="n">
        <v>2014</v>
      </c>
      <c r="C59" t="inlineStr">
        <is>
          <t>SOPHIA JIAJIA DENG</t>
        </is>
      </c>
      <c r="D59">
        <f>HYPERLINK("https://ota.tournamentsoftware.com/player-profile/FE6DD2AD-9E29-4128-BE09-D1E88B84D2C8", "Link")</f>
        <v/>
      </c>
      <c r="E59" s="3" t="n">
        <v>1517.542</v>
      </c>
      <c r="F59" s="4" t="n">
        <v>17</v>
      </c>
      <c r="G59" t="inlineStr">
        <is>
          <t>Ontario Tennis Association</t>
        </is>
      </c>
      <c r="H59" t="inlineStr">
        <is>
          <t>Mayfair West Fitness &amp; Racquet Club</t>
        </is>
      </c>
      <c r="I59" t="n">
        <v>26.2</v>
      </c>
      <c r="J59" s="4" t="n">
        <v>183</v>
      </c>
      <c r="K59" t="inlineStr">
        <is>
          <t>136 / 47</t>
        </is>
      </c>
      <c r="L59" t="inlineStr">
        <is>
          <t>36 / 13</t>
        </is>
      </c>
      <c r="M59" s="5" t="n">
        <v>0.74</v>
      </c>
      <c r="N59" s="5" t="n">
        <v>0.73</v>
      </c>
    </row>
    <row r="60">
      <c r="A60" t="n">
        <v>59</v>
      </c>
      <c r="B60" t="n">
        <v>2012</v>
      </c>
      <c r="C60" t="inlineStr">
        <is>
          <t>Natalie Le'er Sang</t>
        </is>
      </c>
      <c r="D60">
        <f>HYPERLINK("https://ota.tournamentsoftware.com/player-profile/993E5845-6FAB-4557-A6F0-C3D60CD8BB97", "Link")</f>
        <v/>
      </c>
      <c r="E60" s="3" t="n">
        <v>1488.96</v>
      </c>
      <c r="F60" s="4" t="n">
        <v>17</v>
      </c>
      <c r="G60" t="inlineStr">
        <is>
          <t>British Columbia</t>
        </is>
      </c>
      <c r="H60" t="inlineStr">
        <is>
          <t>No Club</t>
        </is>
      </c>
      <c r="I60" t="n">
        <v>25.4</v>
      </c>
      <c r="J60" s="4" t="n">
        <v>111</v>
      </c>
      <c r="K60" t="inlineStr">
        <is>
          <t>78 / 33</t>
        </is>
      </c>
      <c r="L60" t="inlineStr">
        <is>
          <t>21 / 19</t>
        </is>
      </c>
      <c r="M60" s="5" t="n">
        <v>0.7</v>
      </c>
      <c r="N60" s="5" t="n">
        <v>0.53</v>
      </c>
    </row>
    <row r="61">
      <c r="A61" t="n">
        <v>60</v>
      </c>
      <c r="B61" t="n">
        <v>2012</v>
      </c>
      <c r="C61" t="inlineStr">
        <is>
          <t>Kelly L Zhang</t>
        </is>
      </c>
      <c r="D61">
        <f>HYPERLINK("https://ota.tournamentsoftware.com/player-profile/2504E03B-B05C-4307-B90E-F3F72DD94827", "Link")</f>
        <v/>
      </c>
      <c r="E61" s="3" t="n">
        <v>1476.763</v>
      </c>
      <c r="F61" s="4" t="n">
        <v>22</v>
      </c>
      <c r="G61" t="inlineStr">
        <is>
          <t>Ontario Tennis Association</t>
        </is>
      </c>
      <c r="H61" t="inlineStr">
        <is>
          <t>NYTA Winter Tennis Club</t>
        </is>
      </c>
      <c r="I61" t="n">
        <v>28.3</v>
      </c>
      <c r="J61" s="4" t="n">
        <v>183</v>
      </c>
      <c r="K61" t="inlineStr">
        <is>
          <t>90 / 93</t>
        </is>
      </c>
      <c r="L61" t="inlineStr">
        <is>
          <t>23 / 15</t>
        </is>
      </c>
      <c r="M61" s="5" t="n">
        <v>0.49</v>
      </c>
      <c r="N61" s="5" t="n">
        <v>0.61</v>
      </c>
    </row>
    <row r="62">
      <c r="A62" t="n">
        <v>61</v>
      </c>
      <c r="B62" t="n">
        <v>2013</v>
      </c>
      <c r="C62" t="inlineStr">
        <is>
          <t>Alexane Deschênes</t>
        </is>
      </c>
      <c r="D62">
        <f>HYPERLINK("https://ota.tournamentsoftware.com/player-profile/124D1E6B-E463-4461-A5D1-9C844DE2C6D9", "Link")</f>
        <v/>
      </c>
      <c r="E62" s="3" t="n">
        <v>1453.229</v>
      </c>
      <c r="F62" s="4" t="n">
        <v>20</v>
      </c>
      <c r="G62" t="inlineStr">
        <is>
          <t>Tennis Québec</t>
        </is>
      </c>
      <c r="H62" t="inlineStr">
        <is>
          <t>Centre récréatif de Repentigny / Académie Tennis Momentum</t>
        </is>
      </c>
      <c r="I62" t="n">
        <v>25.9</v>
      </c>
      <c r="J62" s="4" t="n">
        <v>285</v>
      </c>
      <c r="K62" t="inlineStr">
        <is>
          <t>152 / 133</t>
        </is>
      </c>
      <c r="L62" t="inlineStr">
        <is>
          <t>32 / 31</t>
        </is>
      </c>
      <c r="M62" s="5" t="n">
        <v>0.53</v>
      </c>
      <c r="N62" s="5" t="n">
        <v>0.51</v>
      </c>
    </row>
    <row r="63">
      <c r="A63" t="n">
        <v>62</v>
      </c>
      <c r="B63" t="n">
        <v>2013</v>
      </c>
      <c r="C63" t="inlineStr">
        <is>
          <t>xiayue(Cecelia) Bi</t>
        </is>
      </c>
      <c r="D63">
        <f>HYPERLINK("https://ota.tournamentsoftware.com/player-profile/081CD41C-A9E4-4340-A239-2D92F6639919", "Link")</f>
        <v/>
      </c>
      <c r="E63" s="3" t="n">
        <v>1447.488</v>
      </c>
      <c r="F63" s="4" t="n">
        <v>12</v>
      </c>
      <c r="G63" t="inlineStr">
        <is>
          <t>British Columbia</t>
        </is>
      </c>
      <c r="H63" t="inlineStr">
        <is>
          <t>North Vancouver Tennis Centre</t>
        </is>
      </c>
      <c r="I63" t="n">
        <v>24.3</v>
      </c>
      <c r="J63" s="4" t="n">
        <v>243</v>
      </c>
      <c r="K63" t="inlineStr">
        <is>
          <t>155 / 88</t>
        </is>
      </c>
      <c r="L63" t="inlineStr">
        <is>
          <t>16 / 20</t>
        </is>
      </c>
      <c r="M63" s="5" t="n">
        <v>0.64</v>
      </c>
      <c r="N63" s="5" t="n">
        <v>0.44</v>
      </c>
    </row>
    <row r="64">
      <c r="A64" t="n">
        <v>63</v>
      </c>
      <c r="B64" t="n">
        <v>2014</v>
      </c>
      <c r="C64" t="inlineStr">
        <is>
          <t>Amelia Grace Balasuriya</t>
        </is>
      </c>
      <c r="D64">
        <f>HYPERLINK("https://ota.tournamentsoftware.com/player-profile/741A3060-1EA3-4E29-A0BE-1717DEF32CEA", "Link")</f>
        <v/>
      </c>
      <c r="E64" s="3" t="n">
        <v>1404.762</v>
      </c>
      <c r="F64" s="4" t="n">
        <v>27</v>
      </c>
      <c r="G64" t="inlineStr">
        <is>
          <t>Ontario Tennis Association</t>
        </is>
      </c>
      <c r="H64" t="inlineStr">
        <is>
          <t>The Supreme Court Tennis Club</t>
        </is>
      </c>
      <c r="I64" t="n">
        <v>26.3</v>
      </c>
      <c r="J64" s="4" t="n">
        <v>266</v>
      </c>
      <c r="K64" t="inlineStr">
        <is>
          <t>172 / 94</t>
        </is>
      </c>
      <c r="L64" t="inlineStr">
        <is>
          <t>49 / 24</t>
        </is>
      </c>
      <c r="M64" s="5" t="n">
        <v>0.65</v>
      </c>
      <c r="N64" s="5" t="n">
        <v>0.67</v>
      </c>
    </row>
    <row r="65">
      <c r="A65" t="n">
        <v>64</v>
      </c>
      <c r="B65" t="n">
        <v>2014</v>
      </c>
      <c r="C65" t="inlineStr">
        <is>
          <t>jocelyn ai</t>
        </is>
      </c>
      <c r="D65">
        <f>HYPERLINK("https://ota.tournamentsoftware.com/player-profile/EADED953-942B-4335-BE21-C0DE8F31626D", "Link")</f>
        <v/>
      </c>
      <c r="E65" s="3" t="n">
        <v>1398.47</v>
      </c>
      <c r="F65" s="4" t="n">
        <v>21</v>
      </c>
      <c r="G65" t="inlineStr">
        <is>
          <t>Ontario Tennis Association</t>
        </is>
      </c>
      <c r="H65" t="inlineStr">
        <is>
          <t>No Club</t>
        </is>
      </c>
      <c r="I65" t="n">
        <v>27.3</v>
      </c>
      <c r="J65" s="4" t="n">
        <v>219</v>
      </c>
      <c r="K65" t="inlineStr">
        <is>
          <t>132 / 87</t>
        </is>
      </c>
      <c r="L65" t="inlineStr">
        <is>
          <t>38 / 24</t>
        </is>
      </c>
      <c r="M65" s="5" t="n">
        <v>0.6</v>
      </c>
      <c r="N65" s="5" t="n">
        <v>0.61</v>
      </c>
    </row>
    <row r="66">
      <c r="A66" t="n">
        <v>65</v>
      </c>
      <c r="B66" t="n">
        <v>2013</v>
      </c>
      <c r="C66" t="inlineStr">
        <is>
          <t>Dewa Ayu Devin Sum</t>
        </is>
      </c>
      <c r="D66">
        <f>HYPERLINK("https://ota.tournamentsoftware.com/player-profile/9DB24D5C-3B5C-4B40-BE7E-B331240C1B21", "Link")</f>
        <v/>
      </c>
      <c r="E66" s="3" t="n">
        <v>1391.767</v>
      </c>
      <c r="F66" s="4" t="n">
        <v>31</v>
      </c>
      <c r="G66" t="inlineStr">
        <is>
          <t>Ontario Tennis Association</t>
        </is>
      </c>
      <c r="H66" t="inlineStr">
        <is>
          <t>Premier Racquet Clubs – Mississauga</t>
        </is>
      </c>
      <c r="I66" t="n">
        <v>28.1</v>
      </c>
      <c r="J66" s="4" t="n">
        <v>177</v>
      </c>
      <c r="K66" t="inlineStr">
        <is>
          <t>92 / 85</t>
        </is>
      </c>
      <c r="L66" t="inlineStr">
        <is>
          <t>26 / 20</t>
        </is>
      </c>
      <c r="M66" s="5" t="n">
        <v>0.52</v>
      </c>
      <c r="N66" s="5" t="n">
        <v>0.57</v>
      </c>
    </row>
    <row r="67">
      <c r="A67" t="n">
        <v>66</v>
      </c>
      <c r="B67" t="n">
        <v>2013</v>
      </c>
      <c r="C67" t="inlineStr">
        <is>
          <t>Eleanor Victoria Paura</t>
        </is>
      </c>
      <c r="D67">
        <f>HYPERLINK("https://ota.tournamentsoftware.com/player-profile/4D9EBB83-94D7-44A3-BD6F-1D98EF9559DF", "Link")</f>
        <v/>
      </c>
      <c r="E67" s="3" t="n">
        <v>1376.144</v>
      </c>
      <c r="F67" s="4" t="n">
        <v>11</v>
      </c>
      <c r="G67" t="inlineStr">
        <is>
          <t>Tennis Saskatchewan</t>
        </is>
      </c>
      <c r="H67" t="inlineStr">
        <is>
          <t>Lakeshore Tennis Club</t>
        </is>
      </c>
      <c r="I67" t="n">
        <v>29.8</v>
      </c>
      <c r="J67" s="4" t="n">
        <v>196</v>
      </c>
      <c r="K67" t="inlineStr">
        <is>
          <t>85 / 111</t>
        </is>
      </c>
      <c r="L67" t="inlineStr">
        <is>
          <t>27 / 22</t>
        </is>
      </c>
      <c r="M67" s="5" t="n">
        <v>0.43</v>
      </c>
      <c r="N67" s="5" t="n">
        <v>0.55</v>
      </c>
    </row>
    <row r="68">
      <c r="A68" t="n">
        <v>67</v>
      </c>
      <c r="B68" t="n">
        <v>2013</v>
      </c>
      <c r="C68" t="inlineStr">
        <is>
          <t>Charlotte Dawes</t>
        </is>
      </c>
      <c r="D68">
        <f>HYPERLINK("https://ota.tournamentsoftware.com/player-profile/F2AC6B3A-37CF-4522-9228-9A614DED4E6F", "Link")</f>
        <v/>
      </c>
      <c r="E68" s="3" t="n">
        <v>1333.136</v>
      </c>
      <c r="F68" s="4" t="n">
        <v>14</v>
      </c>
      <c r="G68" t="inlineStr">
        <is>
          <t>Tennis Alberta</t>
        </is>
      </c>
      <c r="H68" t="inlineStr">
        <is>
          <t>Osten &amp; Victor Alberta Tennis Centre</t>
        </is>
      </c>
      <c r="I68" t="n">
        <v>27.3</v>
      </c>
      <c r="J68" s="4" t="n">
        <v>225</v>
      </c>
      <c r="K68" t="inlineStr">
        <is>
          <t>112 / 113</t>
        </is>
      </c>
      <c r="L68" t="inlineStr">
        <is>
          <t>25 / 18</t>
        </is>
      </c>
      <c r="M68" s="5" t="n">
        <v>0.5</v>
      </c>
      <c r="N68" s="5" t="n">
        <v>0.58</v>
      </c>
    </row>
    <row r="69">
      <c r="A69" t="n">
        <v>68</v>
      </c>
      <c r="B69" t="n">
        <v>2012</v>
      </c>
      <c r="C69" t="inlineStr">
        <is>
          <t>Zahava Olszynko</t>
        </is>
      </c>
      <c r="D69">
        <f>HYPERLINK("https://ota.tournamentsoftware.com/player-profile/B6F84042-B29D-4CD8-984E-787094BFA8A4", "Link")</f>
        <v/>
      </c>
      <c r="E69" s="3" t="n">
        <v>1317.162</v>
      </c>
      <c r="F69" s="4" t="n">
        <v>28</v>
      </c>
      <c r="G69" t="inlineStr">
        <is>
          <t>Ontario Tennis Association</t>
        </is>
      </c>
      <c r="H69" t="inlineStr">
        <is>
          <t>Rideau Sports Centre</t>
        </is>
      </c>
      <c r="I69" t="n">
        <v>26.1</v>
      </c>
      <c r="J69" s="4" t="n">
        <v>224</v>
      </c>
      <c r="K69" t="inlineStr">
        <is>
          <t>125 / 99</t>
        </is>
      </c>
      <c r="L69" t="inlineStr">
        <is>
          <t>33 / 19</t>
        </is>
      </c>
      <c r="M69" s="5" t="n">
        <v>0.5600000000000001</v>
      </c>
      <c r="N69" s="5" t="n">
        <v>0.63</v>
      </c>
    </row>
    <row r="70">
      <c r="A70" t="n">
        <v>69</v>
      </c>
      <c r="B70" t="n">
        <v>2014</v>
      </c>
      <c r="C70" t="inlineStr">
        <is>
          <t>Naomi Danyod</t>
        </is>
      </c>
      <c r="D70">
        <f>HYPERLINK("https://ota.tournamentsoftware.com/player-profile/2037E4D8-F8CE-4A2B-858E-7FBBA84F2BC7", "Link")</f>
        <v/>
      </c>
      <c r="E70" s="3" t="n">
        <v>1281.058</v>
      </c>
      <c r="F70" s="4" t="n">
        <v>16</v>
      </c>
      <c r="G70" t="inlineStr">
        <is>
          <t>Tennis Québec</t>
        </is>
      </c>
      <c r="H70" t="inlineStr">
        <is>
          <t>Rouge et Or - Université Laval</t>
        </is>
      </c>
      <c r="I70" t="n">
        <v>26.4</v>
      </c>
      <c r="J70" s="4" t="n">
        <v>160</v>
      </c>
      <c r="K70" t="inlineStr">
        <is>
          <t>104 / 56</t>
        </is>
      </c>
      <c r="L70" t="inlineStr">
        <is>
          <t>34 / 17</t>
        </is>
      </c>
      <c r="M70" s="5" t="n">
        <v>0.65</v>
      </c>
      <c r="N70" s="5" t="n">
        <v>0.67</v>
      </c>
    </row>
    <row r="71">
      <c r="A71" t="n">
        <v>70</v>
      </c>
      <c r="B71" t="n">
        <v>2013</v>
      </c>
      <c r="C71" t="inlineStr">
        <is>
          <t>Avery Badyal</t>
        </is>
      </c>
      <c r="D71">
        <f>HYPERLINK("https://ota.tournamentsoftware.com/player-profile/9486479F-C8FD-48FB-BCCD-0246C53A632C", "Link")</f>
        <v/>
      </c>
      <c r="E71" s="3" t="n">
        <v>1248.194</v>
      </c>
      <c r="F71" s="4" t="n">
        <v>11</v>
      </c>
      <c r="G71" t="inlineStr">
        <is>
          <t>British Columbia</t>
        </is>
      </c>
      <c r="H71" t="inlineStr">
        <is>
          <t>The Tennis Centre</t>
        </is>
      </c>
      <c r="I71" t="n">
        <v>25.7</v>
      </c>
      <c r="J71" s="4" t="n">
        <v>234</v>
      </c>
      <c r="K71" t="inlineStr">
        <is>
          <t>143 / 91</t>
        </is>
      </c>
      <c r="L71" t="inlineStr">
        <is>
          <t>15 / 16</t>
        </is>
      </c>
      <c r="M71" s="5" t="n">
        <v>0.61</v>
      </c>
      <c r="N71" s="5" t="n">
        <v>0.48</v>
      </c>
    </row>
    <row r="72">
      <c r="A72" t="n">
        <v>71</v>
      </c>
      <c r="B72" t="n">
        <v>2013</v>
      </c>
      <c r="C72" t="inlineStr">
        <is>
          <t>Iris Fu</t>
        </is>
      </c>
      <c r="D72">
        <f>HYPERLINK("https://ota.tournamentsoftware.com/player-profile/0A3A4B5A-8950-4E67-BAA9-3F132754A3FD", "Link")</f>
        <v/>
      </c>
      <c r="E72" s="3" t="n">
        <v>1233.045</v>
      </c>
      <c r="F72" s="4" t="n">
        <v>16</v>
      </c>
      <c r="G72" t="inlineStr">
        <is>
          <t>Ontario Tennis Association</t>
        </is>
      </c>
      <c r="H72" t="inlineStr">
        <is>
          <t>Premier Racquet Clubs – Mississauga</t>
        </is>
      </c>
      <c r="I72" t="inlineStr">
        <is>
          <t>unavailable</t>
        </is>
      </c>
      <c r="J72" s="4" t="n">
        <v>240</v>
      </c>
      <c r="K72" t="inlineStr">
        <is>
          <t>138 / 102</t>
        </is>
      </c>
      <c r="L72" t="inlineStr">
        <is>
          <t>23 / 12</t>
        </is>
      </c>
      <c r="M72" s="5" t="n">
        <v>0.57</v>
      </c>
      <c r="N72" s="5" t="n">
        <v>0.66</v>
      </c>
    </row>
    <row r="73">
      <c r="A73" t="n">
        <v>72</v>
      </c>
      <c r="B73" t="n">
        <v>2013</v>
      </c>
      <c r="C73" t="inlineStr">
        <is>
          <t>Adèle Juneau</t>
        </is>
      </c>
      <c r="D73">
        <f>HYPERLINK("https://ota.tournamentsoftware.com/player-profile/3A8C3EB0-444C-4108-A91E-FC74701A660D", "Link")</f>
        <v/>
      </c>
      <c r="E73" s="3" t="n">
        <v>1231.347</v>
      </c>
      <c r="F73" s="4" t="n">
        <v>17</v>
      </c>
      <c r="G73" t="inlineStr">
        <is>
          <t>Tennis Québec</t>
        </is>
      </c>
      <c r="H73" t="inlineStr">
        <is>
          <t>Tennis 13 / Académie Ménard et associé</t>
        </is>
      </c>
      <c r="I73" t="n">
        <v>24.9</v>
      </c>
      <c r="J73" s="4" t="n">
        <v>331</v>
      </c>
      <c r="K73" t="inlineStr">
        <is>
          <t>186 / 145</t>
        </is>
      </c>
      <c r="L73" t="inlineStr">
        <is>
          <t>18 / 20</t>
        </is>
      </c>
      <c r="M73" s="5" t="n">
        <v>0.5600000000000001</v>
      </c>
      <c r="N73" s="5" t="n">
        <v>0.47</v>
      </c>
    </row>
    <row r="74">
      <c r="A74" t="n">
        <v>73</v>
      </c>
      <c r="B74" t="n">
        <v>2012</v>
      </c>
      <c r="C74" t="inlineStr">
        <is>
          <t>Alecia Yahan Liu</t>
        </is>
      </c>
      <c r="D74">
        <f>HYPERLINK("https://ota.tournamentsoftware.com/player-profile/3FBB1729-DE66-45FA-864E-C010DC83E5AD", "Link")</f>
        <v/>
      </c>
      <c r="E74" s="3" t="n">
        <v>1215.679</v>
      </c>
      <c r="F74" s="4" t="n">
        <v>20</v>
      </c>
      <c r="G74" t="inlineStr">
        <is>
          <t>Tennis Alberta</t>
        </is>
      </c>
      <c r="H74" t="inlineStr">
        <is>
          <t>Saville Community Sports Centre</t>
        </is>
      </c>
      <c r="I74" t="n">
        <v>26.6</v>
      </c>
      <c r="J74" s="4" t="n">
        <v>242</v>
      </c>
      <c r="K74" t="inlineStr">
        <is>
          <t>125 / 117</t>
        </is>
      </c>
      <c r="L74" t="inlineStr">
        <is>
          <t>23 / 22</t>
        </is>
      </c>
      <c r="M74" s="5" t="n">
        <v>0.52</v>
      </c>
      <c r="N74" s="5" t="n">
        <v>0.51</v>
      </c>
    </row>
    <row r="75">
      <c r="A75" t="n">
        <v>74</v>
      </c>
      <c r="B75" t="n">
        <v>2012</v>
      </c>
      <c r="C75" t="inlineStr">
        <is>
          <t>Alessia Lungu</t>
        </is>
      </c>
      <c r="D75">
        <f>HYPERLINK("https://ota.tournamentsoftware.com/player-profile/99FF719F-9C8F-4394-BE76-5455D457977A", "Link")</f>
        <v/>
      </c>
      <c r="E75" s="3" t="n">
        <v>1212.805</v>
      </c>
      <c r="F75" s="4" t="n">
        <v>10</v>
      </c>
      <c r="G75" t="inlineStr">
        <is>
          <t>Ontario Tennis Association</t>
        </is>
      </c>
      <c r="H75" t="inlineStr">
        <is>
          <t>Joshua Creek Golf &amp; Tennis</t>
        </is>
      </c>
      <c r="I75" t="n">
        <v>23.2</v>
      </c>
      <c r="J75" s="4" t="n">
        <v>181</v>
      </c>
      <c r="K75" t="inlineStr">
        <is>
          <t>116 / 65</t>
        </is>
      </c>
      <c r="L75" t="inlineStr">
        <is>
          <t>5 / 3</t>
        </is>
      </c>
      <c r="M75" s="5" t="n">
        <v>0.64</v>
      </c>
      <c r="N75" s="5" t="n">
        <v>0.62</v>
      </c>
    </row>
    <row r="76">
      <c r="A76" t="n">
        <v>75</v>
      </c>
      <c r="B76" t="n">
        <v>2012</v>
      </c>
      <c r="C76" t="inlineStr">
        <is>
          <t>Karina Zhang</t>
        </is>
      </c>
      <c r="D76">
        <f>HYPERLINK("https://ota.tournamentsoftware.com/player-profile/7BB53E38-BBB9-4E1E-B8A2-8EFC2E762653", "Link")</f>
        <v/>
      </c>
      <c r="E76" s="3" t="n">
        <v>1204.716</v>
      </c>
      <c r="F76" s="4" t="n">
        <v>27</v>
      </c>
      <c r="G76" t="inlineStr">
        <is>
          <t>Ontario Tennis Association</t>
        </is>
      </c>
      <c r="H76" t="inlineStr">
        <is>
          <t>Richmondhill Golf &amp; Country Club</t>
        </is>
      </c>
      <c r="I76" t="n">
        <v>25.9</v>
      </c>
      <c r="J76" s="4" t="n">
        <v>204</v>
      </c>
      <c r="K76" t="inlineStr">
        <is>
          <t>127 / 77</t>
        </is>
      </c>
      <c r="L76" t="inlineStr">
        <is>
          <t>27 / 21</t>
        </is>
      </c>
      <c r="M76" s="5" t="n">
        <v>0.62</v>
      </c>
      <c r="N76" s="5" t="n">
        <v>0.5600000000000001</v>
      </c>
    </row>
    <row r="77">
      <c r="A77" t="n">
        <v>76</v>
      </c>
      <c r="B77" t="n">
        <v>2012</v>
      </c>
      <c r="C77" t="inlineStr">
        <is>
          <t>Ashlee Hanul Yoo</t>
        </is>
      </c>
      <c r="D77">
        <f>HYPERLINK("https://ota.tournamentsoftware.com/player-profile/BA09F220-C66B-4A96-9C0C-1BEE71ADDA56", "Link")</f>
        <v/>
      </c>
      <c r="E77" s="3" t="n">
        <v>1170.503</v>
      </c>
      <c r="F77" s="4" t="n">
        <v>13</v>
      </c>
      <c r="G77" t="inlineStr">
        <is>
          <t>British Columbia</t>
        </is>
      </c>
      <c r="H77" t="inlineStr">
        <is>
          <t>No Club</t>
        </is>
      </c>
      <c r="I77" t="inlineStr">
        <is>
          <t>unavailable</t>
        </is>
      </c>
      <c r="J77" s="4" t="n">
        <v>205</v>
      </c>
      <c r="K77" t="inlineStr">
        <is>
          <t>109 / 96</t>
        </is>
      </c>
      <c r="L77" t="inlineStr">
        <is>
          <t>18 / 18</t>
        </is>
      </c>
      <c r="M77" s="5" t="n">
        <v>0.53</v>
      </c>
      <c r="N77" s="5" t="n">
        <v>0.5</v>
      </c>
    </row>
    <row r="78">
      <c r="A78" t="n">
        <v>77</v>
      </c>
      <c r="B78" t="n">
        <v>2012</v>
      </c>
      <c r="C78" t="inlineStr">
        <is>
          <t>Kate Louise Violet Dee</t>
        </is>
      </c>
      <c r="D78">
        <f>HYPERLINK("https://ota.tournamentsoftware.com/player-profile/807F7468-99D8-4717-B3DF-3F2ED69EFA0A", "Link")</f>
        <v/>
      </c>
      <c r="E78" s="3" t="n">
        <v>1135.533</v>
      </c>
      <c r="F78" s="4" t="n">
        <v>12</v>
      </c>
      <c r="G78" t="inlineStr">
        <is>
          <t>British Columbia</t>
        </is>
      </c>
      <c r="H78" t="inlineStr">
        <is>
          <t>North Vancouver Tennis Centre</t>
        </is>
      </c>
      <c r="I78" t="n">
        <v>25.8</v>
      </c>
      <c r="J78" s="4" t="n">
        <v>244</v>
      </c>
      <c r="K78" t="inlineStr">
        <is>
          <t>136 / 108</t>
        </is>
      </c>
      <c r="L78" t="inlineStr">
        <is>
          <t>14 / 16</t>
        </is>
      </c>
      <c r="M78" s="5" t="n">
        <v>0.5600000000000001</v>
      </c>
      <c r="N78" s="5" t="n">
        <v>0.47</v>
      </c>
    </row>
    <row r="79">
      <c r="A79" t="n">
        <v>78</v>
      </c>
      <c r="B79" t="n">
        <v>2013</v>
      </c>
      <c r="C79" t="inlineStr">
        <is>
          <t>Cindy Liu</t>
        </is>
      </c>
      <c r="D79">
        <f>HYPERLINK("https://ota.tournamentsoftware.com/player-profile/89018759-835F-4CE0-A297-3449F2A42D00", "Link")</f>
        <v/>
      </c>
      <c r="E79" s="3" t="n">
        <v>1113.273</v>
      </c>
      <c r="F79" s="4" t="n">
        <v>24</v>
      </c>
      <c r="G79" t="inlineStr">
        <is>
          <t>British Columbia</t>
        </is>
      </c>
      <c r="H79" t="inlineStr">
        <is>
          <t>The Tennis Centre</t>
        </is>
      </c>
      <c r="I79" t="n">
        <v>25.8</v>
      </c>
      <c r="J79" s="4" t="n">
        <v>197</v>
      </c>
      <c r="K79" t="inlineStr">
        <is>
          <t>104 / 93</t>
        </is>
      </c>
      <c r="L79" t="inlineStr">
        <is>
          <t>34 / 20</t>
        </is>
      </c>
      <c r="M79" s="5" t="n">
        <v>0.53</v>
      </c>
      <c r="N79" s="5" t="n">
        <v>0.63</v>
      </c>
    </row>
    <row r="80">
      <c r="A80" t="n">
        <v>79</v>
      </c>
      <c r="B80" t="n">
        <v>2014</v>
      </c>
      <c r="C80" t="inlineStr">
        <is>
          <t>Nanette Du</t>
        </is>
      </c>
      <c r="D80">
        <f>HYPERLINK("https://ota.tournamentsoftware.com/player-profile/53190390-CC68-4E5E-8079-A41733ADF41A", "Link")</f>
        <v/>
      </c>
      <c r="E80" s="3" t="n">
        <v>1108.596</v>
      </c>
      <c r="F80" s="4" t="n">
        <v>17</v>
      </c>
      <c r="G80" t="inlineStr">
        <is>
          <t>Ontario Tennis Association</t>
        </is>
      </c>
      <c r="H80" t="inlineStr">
        <is>
          <t>Advantage Tennis International at Veneto</t>
        </is>
      </c>
      <c r="I80" t="n">
        <v>28.2</v>
      </c>
      <c r="J80" s="4" t="n">
        <v>146</v>
      </c>
      <c r="K80" t="inlineStr">
        <is>
          <t>90 / 56</t>
        </is>
      </c>
      <c r="L80" t="inlineStr">
        <is>
          <t>24 / 12</t>
        </is>
      </c>
      <c r="M80" s="5" t="n">
        <v>0.62</v>
      </c>
      <c r="N80" s="5" t="n">
        <v>0.67</v>
      </c>
    </row>
    <row r="81">
      <c r="A81" t="n">
        <v>80</v>
      </c>
      <c r="B81" t="n">
        <v>2013</v>
      </c>
      <c r="C81" t="inlineStr">
        <is>
          <t>Charlotte Ng</t>
        </is>
      </c>
      <c r="D81">
        <f>HYPERLINK("https://ota.tournamentsoftware.com/player-profile/1FAB3C52-8224-4122-A705-ED95AC2AE538", "Link")</f>
        <v/>
      </c>
      <c r="E81" s="3" t="n">
        <v>1096.863</v>
      </c>
      <c r="F81" s="4" t="n">
        <v>32</v>
      </c>
      <c r="G81" t="inlineStr">
        <is>
          <t>Ontario Tennis Association</t>
        </is>
      </c>
      <c r="H81" t="inlineStr">
        <is>
          <t>Blackmore Tennis Club</t>
        </is>
      </c>
      <c r="I81" t="n">
        <v>29.9</v>
      </c>
      <c r="J81" s="4" t="n">
        <v>216</v>
      </c>
      <c r="K81" t="inlineStr">
        <is>
          <t>123 / 93</t>
        </is>
      </c>
      <c r="L81" t="inlineStr">
        <is>
          <t>32 / 19</t>
        </is>
      </c>
      <c r="M81" s="5" t="n">
        <v>0.57</v>
      </c>
      <c r="N81" s="5" t="n">
        <v>0.63</v>
      </c>
    </row>
    <row r="82">
      <c r="A82" t="n">
        <v>81</v>
      </c>
      <c r="B82" t="n">
        <v>2012</v>
      </c>
      <c r="C82" t="inlineStr">
        <is>
          <t>Alexsandra Stanislavksy</t>
        </is>
      </c>
      <c r="D82">
        <f>HYPERLINK("https://ota.tournamentsoftware.com/player-profile/A067EDC1-6B71-4023-8C13-88CA87AA808B", "Link")</f>
        <v/>
      </c>
      <c r="E82" s="3" t="n">
        <v>1086.615</v>
      </c>
      <c r="F82" s="4" t="n">
        <v>30</v>
      </c>
      <c r="G82" t="inlineStr">
        <is>
          <t>Ontario Tennis Association</t>
        </is>
      </c>
      <c r="H82" t="inlineStr">
        <is>
          <t>No Club</t>
        </is>
      </c>
      <c r="I82" t="n">
        <v>28.8</v>
      </c>
      <c r="J82" s="4" t="n">
        <v>187</v>
      </c>
      <c r="K82" t="inlineStr">
        <is>
          <t>83 / 104</t>
        </is>
      </c>
      <c r="L82" t="inlineStr">
        <is>
          <t>20 / 23</t>
        </is>
      </c>
      <c r="M82" s="5" t="n">
        <v>0.44</v>
      </c>
      <c r="N82" s="5" t="n">
        <v>0.47</v>
      </c>
    </row>
    <row r="83">
      <c r="A83" t="n">
        <v>82</v>
      </c>
      <c r="B83" t="n">
        <v>2014</v>
      </c>
      <c r="C83" t="inlineStr">
        <is>
          <t>Naella Sehic</t>
        </is>
      </c>
      <c r="D83">
        <f>HYPERLINK("https://ota.tournamentsoftware.com/player-profile/C86BA5BA-97F0-463B-BBE7-6A41452E0D47", "Link")</f>
        <v/>
      </c>
      <c r="E83" s="3" t="n">
        <v>1078.951</v>
      </c>
      <c r="F83" s="4" t="n">
        <v>18</v>
      </c>
      <c r="G83" t="inlineStr">
        <is>
          <t>Tennis Québec</t>
        </is>
      </c>
      <c r="H83" t="inlineStr">
        <is>
          <t>Tennis Ile- des- Soeurs</t>
        </is>
      </c>
      <c r="I83" t="n">
        <v>25.9</v>
      </c>
      <c r="J83" s="4" t="n">
        <v>292</v>
      </c>
      <c r="K83" t="inlineStr">
        <is>
          <t>178 / 114</t>
        </is>
      </c>
      <c r="L83" t="inlineStr">
        <is>
          <t>43 / 16</t>
        </is>
      </c>
      <c r="M83" s="5" t="n">
        <v>0.61</v>
      </c>
      <c r="N83" s="5" t="n">
        <v>0.73</v>
      </c>
    </row>
    <row r="84">
      <c r="A84" t="n">
        <v>83</v>
      </c>
      <c r="B84" t="n">
        <v>2012</v>
      </c>
      <c r="C84" t="inlineStr">
        <is>
          <t>Emilia Klimek</t>
        </is>
      </c>
      <c r="D84">
        <f>HYPERLINK("https://ota.tournamentsoftware.com/player-profile/B65F75BD-7091-433B-817C-EC3472CCA6E3", "Link")</f>
        <v/>
      </c>
      <c r="E84" s="3" t="n">
        <v>1074.821</v>
      </c>
      <c r="F84" s="4" t="n">
        <v>20</v>
      </c>
      <c r="G84" t="inlineStr">
        <is>
          <t>British Columbia</t>
        </is>
      </c>
      <c r="H84" t="inlineStr">
        <is>
          <t>No Club</t>
        </is>
      </c>
      <c r="I84" t="n">
        <v>26</v>
      </c>
      <c r="J84" s="4" t="n">
        <v>223</v>
      </c>
      <c r="K84" t="inlineStr">
        <is>
          <t>119 / 104</t>
        </is>
      </c>
      <c r="L84" t="inlineStr">
        <is>
          <t>31 / 19</t>
        </is>
      </c>
      <c r="M84" s="5" t="n">
        <v>0.53</v>
      </c>
      <c r="N84" s="5" t="n">
        <v>0.62</v>
      </c>
    </row>
    <row r="85">
      <c r="A85" t="n">
        <v>84</v>
      </c>
      <c r="B85" t="n">
        <v>2015</v>
      </c>
      <c r="C85" t="inlineStr">
        <is>
          <t>Sofia Tabunshchyk</t>
        </is>
      </c>
      <c r="D85">
        <f>HYPERLINK("https://ota.tournamentsoftware.com/player-profile/3714FE82-9045-425F-937B-7104A43D57F9", "Link")</f>
        <v/>
      </c>
      <c r="E85" s="3" t="n">
        <v>1067.083</v>
      </c>
      <c r="F85" s="4" t="n">
        <v>38</v>
      </c>
      <c r="G85" t="inlineStr">
        <is>
          <t>Ontario Tennis Association</t>
        </is>
      </c>
      <c r="H85" t="inlineStr">
        <is>
          <t>ACE Tennis - Burlington</t>
        </is>
      </c>
      <c r="I85" t="inlineStr">
        <is>
          <t>unavailable</t>
        </is>
      </c>
      <c r="J85" s="4" t="n">
        <v>323</v>
      </c>
      <c r="K85" t="inlineStr">
        <is>
          <t>160 / 163</t>
        </is>
      </c>
      <c r="L85" t="inlineStr">
        <is>
          <t>50 / 27</t>
        </is>
      </c>
      <c r="M85" s="5" t="n">
        <v>0.5</v>
      </c>
      <c r="N85" s="5" t="n">
        <v>0.65</v>
      </c>
    </row>
    <row r="86">
      <c r="A86" t="n">
        <v>85</v>
      </c>
      <c r="B86" t="n">
        <v>2013</v>
      </c>
      <c r="C86" t="inlineStr">
        <is>
          <t>Halo Boyu Li</t>
        </is>
      </c>
      <c r="D86">
        <f>HYPERLINK("https://ota.tournamentsoftware.com/player-profile/42371346-12B9-439B-B9EB-FB5DD0ABCB73", "Link")</f>
        <v/>
      </c>
      <c r="E86" s="3" t="n">
        <v>1061.845</v>
      </c>
      <c r="F86" s="4" t="n">
        <v>10</v>
      </c>
      <c r="G86" t="inlineStr">
        <is>
          <t>Tennis Saskatchewan</t>
        </is>
      </c>
      <c r="H86" t="inlineStr">
        <is>
          <t>No Club</t>
        </is>
      </c>
      <c r="I86" t="n">
        <v>31.3</v>
      </c>
      <c r="J86" s="4" t="n">
        <v>174</v>
      </c>
      <c r="K86" t="inlineStr">
        <is>
          <t>77 / 97</t>
        </is>
      </c>
      <c r="L86" t="inlineStr">
        <is>
          <t>27 / 22</t>
        </is>
      </c>
      <c r="M86" s="5" t="n">
        <v>0.44</v>
      </c>
      <c r="N86" s="5" t="n">
        <v>0.55</v>
      </c>
    </row>
    <row r="87">
      <c r="A87" t="n">
        <v>86</v>
      </c>
      <c r="B87" t="n">
        <v>2013</v>
      </c>
      <c r="C87" t="inlineStr">
        <is>
          <t>Sophia Gettle</t>
        </is>
      </c>
      <c r="D87">
        <f>HYPERLINK("https://ota.tournamentsoftware.com/player-profile/5CC0A57F-C369-42D6-B845-B30A38F24F56", "Link")</f>
        <v/>
      </c>
      <c r="E87" s="3" t="n">
        <v>1060.252</v>
      </c>
      <c r="F87" s="4" t="n">
        <v>13</v>
      </c>
      <c r="G87" t="inlineStr">
        <is>
          <t>Tennis Saskatchewan</t>
        </is>
      </c>
      <c r="H87" t="inlineStr">
        <is>
          <t>Lakeshore Tennis Club</t>
        </is>
      </c>
      <c r="I87" t="inlineStr">
        <is>
          <t>unavailable</t>
        </is>
      </c>
      <c r="J87" s="4" t="n">
        <v>206</v>
      </c>
      <c r="K87" t="inlineStr">
        <is>
          <t>90 / 116</t>
        </is>
      </c>
      <c r="L87" t="inlineStr">
        <is>
          <t>21 / 30</t>
        </is>
      </c>
      <c r="M87" s="5" t="n">
        <v>0.44</v>
      </c>
      <c r="N87" s="5" t="n">
        <v>0.41</v>
      </c>
    </row>
    <row r="88">
      <c r="A88" t="n">
        <v>87</v>
      </c>
      <c r="B88" t="n">
        <v>2014</v>
      </c>
      <c r="C88" t="inlineStr">
        <is>
          <t>Emma Allen</t>
        </is>
      </c>
      <c r="D88">
        <f>HYPERLINK("https://ota.tournamentsoftware.com/player-profile/5640B61E-0EE7-4BB3-ABC3-AD9CB508E4E9", "Link")</f>
        <v/>
      </c>
      <c r="E88" s="3" t="n">
        <v>1054.397</v>
      </c>
      <c r="F88" s="4" t="n">
        <v>20</v>
      </c>
      <c r="G88" t="inlineStr">
        <is>
          <t>Ontario Tennis Association</t>
        </is>
      </c>
      <c r="H88" t="inlineStr">
        <is>
          <t>Joshua Creek Golf &amp; Tennis</t>
        </is>
      </c>
      <c r="I88" t="n">
        <v>27.5</v>
      </c>
      <c r="J88" s="4" t="n">
        <v>255</v>
      </c>
      <c r="K88" t="inlineStr">
        <is>
          <t>184 / 71</t>
        </is>
      </c>
      <c r="L88" t="inlineStr">
        <is>
          <t>36 / 19</t>
        </is>
      </c>
      <c r="M88" s="5" t="n">
        <v>0.72</v>
      </c>
      <c r="N88" s="5" t="n">
        <v>0.65</v>
      </c>
    </row>
    <row r="89">
      <c r="A89" t="n">
        <v>88</v>
      </c>
      <c r="B89" t="n">
        <v>2013</v>
      </c>
      <c r="C89" t="inlineStr">
        <is>
          <t>Chloé Normandin</t>
        </is>
      </c>
      <c r="D89">
        <f>HYPERLINK("https://ota.tournamentsoftware.com/player-profile/A22608C6-6D99-476C-9EC7-9A31F3CACB0A", "Link")</f>
        <v/>
      </c>
      <c r="E89" s="3" t="n">
        <v>1054.021</v>
      </c>
      <c r="F89" s="4" t="n">
        <v>21</v>
      </c>
      <c r="G89" t="inlineStr">
        <is>
          <t>Tennis Québec</t>
        </is>
      </c>
      <c r="H89" t="inlineStr">
        <is>
          <t>Tennis Ile- des- Soeurs</t>
        </is>
      </c>
      <c r="I89" t="n">
        <v>26.7</v>
      </c>
      <c r="J89" s="4" t="n">
        <v>263</v>
      </c>
      <c r="K89" t="inlineStr">
        <is>
          <t>144 / 119</t>
        </is>
      </c>
      <c r="L89" t="inlineStr">
        <is>
          <t>35 / 19</t>
        </is>
      </c>
      <c r="M89" s="5" t="n">
        <v>0.55</v>
      </c>
      <c r="N89" s="5" t="n">
        <v>0.65</v>
      </c>
    </row>
    <row r="90">
      <c r="A90" t="n">
        <v>89</v>
      </c>
      <c r="B90" t="n">
        <v>2014</v>
      </c>
      <c r="C90" t="inlineStr">
        <is>
          <t>Ruoran Hou</t>
        </is>
      </c>
      <c r="D90">
        <f>HYPERLINK("https://ota.tournamentsoftware.com/player-profile/01D9A845-667C-4EDB-ABF5-CFE1C5418675", "Link")</f>
        <v/>
      </c>
      <c r="E90" s="3" t="n">
        <v>1035.477</v>
      </c>
      <c r="F90" s="4" t="n">
        <v>14</v>
      </c>
      <c r="G90" t="inlineStr">
        <is>
          <t>Tennis Nova Scotia</t>
        </is>
      </c>
      <c r="H90" t="inlineStr">
        <is>
          <t>Atlantic Tennis Centre</t>
        </is>
      </c>
      <c r="I90" t="n">
        <v>28.4</v>
      </c>
      <c r="J90" s="4" t="n">
        <v>230</v>
      </c>
      <c r="K90" t="inlineStr">
        <is>
          <t>134 / 96</t>
        </is>
      </c>
      <c r="L90" t="inlineStr">
        <is>
          <t>36 / 23</t>
        </is>
      </c>
      <c r="M90" s="5" t="n">
        <v>0.58</v>
      </c>
      <c r="N90" s="5" t="n">
        <v>0.61</v>
      </c>
    </row>
    <row r="91">
      <c r="A91" t="n">
        <v>90</v>
      </c>
      <c r="B91" t="n">
        <v>2012</v>
      </c>
      <c r="C91" t="inlineStr">
        <is>
          <t>Margarita Ter-Grigoryan</t>
        </is>
      </c>
      <c r="D91">
        <f>HYPERLINK("https://ota.tournamentsoftware.com/player-profile/A86B3E87-30AA-4D57-86CF-572CF663421E", "Link")</f>
        <v/>
      </c>
      <c r="E91" s="3" t="n">
        <v>1020.42</v>
      </c>
      <c r="F91" s="4" t="n">
        <v>14</v>
      </c>
      <c r="G91" t="inlineStr">
        <is>
          <t>Tennis Saskatchewan</t>
        </is>
      </c>
      <c r="H91" t="inlineStr">
        <is>
          <t>No Club</t>
        </is>
      </c>
      <c r="I91" t="n">
        <v>31</v>
      </c>
      <c r="J91" s="4" t="n">
        <v>127</v>
      </c>
      <c r="K91" t="inlineStr">
        <is>
          <t>67 / 60</t>
        </is>
      </c>
      <c r="L91" t="inlineStr">
        <is>
          <t>27 / 30</t>
        </is>
      </c>
      <c r="M91" s="5" t="n">
        <v>0.53</v>
      </c>
      <c r="N91" s="5" t="n">
        <v>0.47</v>
      </c>
    </row>
    <row r="92">
      <c r="A92" t="n">
        <v>91</v>
      </c>
      <c r="B92" t="n">
        <v>2014</v>
      </c>
      <c r="C92" t="inlineStr">
        <is>
          <t>Victoria Markova</t>
        </is>
      </c>
      <c r="D92">
        <f>HYPERLINK("https://ota.tournamentsoftware.com/player-profile/DE909631-ADF4-4157-ABE4-0097B95C4307", "Link")</f>
        <v/>
      </c>
      <c r="E92" s="3" t="n">
        <v>987.542</v>
      </c>
      <c r="F92" s="4" t="n">
        <v>22</v>
      </c>
      <c r="G92" t="inlineStr">
        <is>
          <t>Tennis Québec</t>
        </is>
      </c>
      <c r="H92" t="inlineStr">
        <is>
          <t>Carrefour Multisports</t>
        </is>
      </c>
      <c r="I92" t="n">
        <v>29.2</v>
      </c>
      <c r="J92" s="4" t="n">
        <v>218</v>
      </c>
      <c r="K92" t="inlineStr">
        <is>
          <t>118 / 100</t>
        </is>
      </c>
      <c r="L92" t="inlineStr">
        <is>
          <t>33 / 23</t>
        </is>
      </c>
      <c r="M92" s="5" t="n">
        <v>0.54</v>
      </c>
      <c r="N92" s="5" t="n">
        <v>0.59</v>
      </c>
    </row>
    <row r="93">
      <c r="A93" t="n">
        <v>92</v>
      </c>
      <c r="B93" t="n">
        <v>2013</v>
      </c>
      <c r="C93" t="inlineStr">
        <is>
          <t>Aubrianna Ellen York</t>
        </is>
      </c>
      <c r="D93">
        <f>HYPERLINK("https://ota.tournamentsoftware.com/player-profile/FDFD6FEF-AD8B-4B1E-ADE3-15417E1BCF05", "Link")</f>
        <v/>
      </c>
      <c r="E93" s="3" t="n">
        <v>970.944</v>
      </c>
      <c r="F93" s="4" t="n">
        <v>18</v>
      </c>
      <c r="G93" t="inlineStr">
        <is>
          <t>Tennis Alberta</t>
        </is>
      </c>
      <c r="H93" t="inlineStr">
        <is>
          <t>Aforza</t>
        </is>
      </c>
      <c r="I93" t="n">
        <v>28.1</v>
      </c>
      <c r="J93" s="4" t="n">
        <v>214</v>
      </c>
      <c r="K93" t="inlineStr">
        <is>
          <t>113 / 101</t>
        </is>
      </c>
      <c r="L93" t="inlineStr">
        <is>
          <t>28 / 19</t>
        </is>
      </c>
      <c r="M93" s="5" t="n">
        <v>0.53</v>
      </c>
      <c r="N93" s="5" t="n">
        <v>0.6</v>
      </c>
    </row>
    <row r="94">
      <c r="A94" t="n">
        <v>93</v>
      </c>
      <c r="B94" t="n">
        <v>2012</v>
      </c>
      <c r="C94" t="inlineStr">
        <is>
          <t>Laura Patsynka</t>
        </is>
      </c>
      <c r="D94">
        <f>HYPERLINK("https://ota.tournamentsoftware.com/player-profile/49340E93-6E30-4683-9E0F-4D50A1C584F1", "Link")</f>
        <v/>
      </c>
      <c r="E94" s="3" t="n">
        <v>965.962</v>
      </c>
      <c r="F94" s="4" t="n">
        <v>32</v>
      </c>
      <c r="G94" t="inlineStr">
        <is>
          <t>Ontario Tennis Association</t>
        </is>
      </c>
      <c r="H94" t="inlineStr">
        <is>
          <t>Peak Performance Tennis Academy</t>
        </is>
      </c>
      <c r="I94" t="inlineStr">
        <is>
          <t>unavailable</t>
        </is>
      </c>
      <c r="J94" s="4" t="n">
        <v>197</v>
      </c>
      <c r="K94" t="inlineStr">
        <is>
          <t>79 / 118</t>
        </is>
      </c>
      <c r="L94" t="inlineStr">
        <is>
          <t>10 / 19</t>
        </is>
      </c>
      <c r="M94" s="5" t="n">
        <v>0.4</v>
      </c>
      <c r="N94" s="5" t="n">
        <v>0.34</v>
      </c>
    </row>
    <row r="95">
      <c r="A95" t="n">
        <v>94</v>
      </c>
      <c r="B95" t="n">
        <v>2012</v>
      </c>
      <c r="C95" t="inlineStr">
        <is>
          <t>Chloe Lou Friesen</t>
        </is>
      </c>
      <c r="D95">
        <f>HYPERLINK("https://ota.tournamentsoftware.com/player-profile/A0A11672-F1E8-4BD3-A43A-BB82984EDDA5", "Link")</f>
        <v/>
      </c>
      <c r="E95" s="3" t="n">
        <v>959.691</v>
      </c>
      <c r="F95" s="4" t="n">
        <v>19</v>
      </c>
      <c r="G95" t="inlineStr">
        <is>
          <t>British Columbia</t>
        </is>
      </c>
      <c r="H95" t="inlineStr">
        <is>
          <t>Vancouver Lawn Tennis and Badminton Club</t>
        </is>
      </c>
      <c r="I95" t="n">
        <v>26</v>
      </c>
      <c r="J95" s="4" t="n">
        <v>235</v>
      </c>
      <c r="K95" t="inlineStr">
        <is>
          <t>129 / 106</t>
        </is>
      </c>
      <c r="L95" t="inlineStr">
        <is>
          <t>24 / 16</t>
        </is>
      </c>
      <c r="M95" s="5" t="n">
        <v>0.55</v>
      </c>
      <c r="N95" s="5" t="n">
        <v>0.6</v>
      </c>
    </row>
    <row r="96">
      <c r="A96" t="n">
        <v>95</v>
      </c>
      <c r="B96" t="n">
        <v>2013</v>
      </c>
      <c r="C96" t="inlineStr">
        <is>
          <t>Varvara Lutsyk</t>
        </is>
      </c>
      <c r="D96">
        <f>HYPERLINK("https://ota.tournamentsoftware.com/player-profile/5197490D-6996-4375-892E-2696E508FF34", "Link")</f>
        <v/>
      </c>
      <c r="E96" s="3" t="n">
        <v>940.271</v>
      </c>
      <c r="F96" s="4" t="n">
        <v>20</v>
      </c>
      <c r="G96" t="inlineStr">
        <is>
          <t>Tennis Québec</t>
        </is>
      </c>
      <c r="H96" t="inlineStr">
        <is>
          <t>Club Sportif Côte-de-Liesse</t>
        </is>
      </c>
      <c r="I96" t="n">
        <v>25.6</v>
      </c>
      <c r="J96" s="4" t="n">
        <v>198</v>
      </c>
      <c r="K96" t="inlineStr">
        <is>
          <t>128 / 70</t>
        </is>
      </c>
      <c r="L96" t="inlineStr">
        <is>
          <t>22 / 14</t>
        </is>
      </c>
      <c r="M96" s="5" t="n">
        <v>0.65</v>
      </c>
      <c r="N96" s="5" t="n">
        <v>0.61</v>
      </c>
    </row>
    <row r="97">
      <c r="A97" t="n">
        <v>96</v>
      </c>
      <c r="B97" t="n">
        <v>2015</v>
      </c>
      <c r="C97" t="inlineStr">
        <is>
          <t>Aahana Guha</t>
        </is>
      </c>
      <c r="D97">
        <f>HYPERLINK("https://ota.tournamentsoftware.com/player-profile/B6BFAEC0-924F-4635-B45C-E700061D4B03", "Link")</f>
        <v/>
      </c>
      <c r="E97" s="3" t="n">
        <v>939.28</v>
      </c>
      <c r="F97" s="4" t="n">
        <v>10</v>
      </c>
      <c r="G97" t="inlineStr">
        <is>
          <t>Tennis Saskatchewan</t>
        </is>
      </c>
      <c r="H97" t="inlineStr">
        <is>
          <t>Lakeshore Tennis Club</t>
        </is>
      </c>
      <c r="I97" t="n">
        <v>29.8</v>
      </c>
      <c r="J97" s="4" t="n">
        <v>166</v>
      </c>
      <c r="K97" t="inlineStr">
        <is>
          <t>90 / 76</t>
        </is>
      </c>
      <c r="L97" t="inlineStr">
        <is>
          <t>34 / 18</t>
        </is>
      </c>
      <c r="M97" s="5" t="n">
        <v>0.54</v>
      </c>
      <c r="N97" s="5" t="n">
        <v>0.65</v>
      </c>
    </row>
    <row r="98">
      <c r="A98" t="n">
        <v>97</v>
      </c>
      <c r="B98" t="n">
        <v>2014</v>
      </c>
      <c r="C98" t="inlineStr">
        <is>
          <t>JOANNA QIHENG FEI</t>
        </is>
      </c>
      <c r="D98">
        <f>HYPERLINK("https://ota.tournamentsoftware.com/player-profile/1DD48A17-96B6-42F9-8D67-EE4CBF6DFA95", "Link")</f>
        <v/>
      </c>
      <c r="E98" s="3" t="n">
        <v>932.457</v>
      </c>
      <c r="F98" s="4" t="n">
        <v>21</v>
      </c>
      <c r="G98" t="inlineStr">
        <is>
          <t>British Columbia</t>
        </is>
      </c>
      <c r="H98" t="inlineStr">
        <is>
          <t>No Club</t>
        </is>
      </c>
      <c r="I98" t="n">
        <v>27.1</v>
      </c>
      <c r="J98" s="4" t="n">
        <v>263</v>
      </c>
      <c r="K98" t="inlineStr">
        <is>
          <t>128 / 135</t>
        </is>
      </c>
      <c r="L98" t="inlineStr">
        <is>
          <t>35 / 19</t>
        </is>
      </c>
      <c r="M98" s="5" t="n">
        <v>0.49</v>
      </c>
      <c r="N98" s="5" t="n">
        <v>0.65</v>
      </c>
    </row>
    <row r="99">
      <c r="A99" t="n">
        <v>98</v>
      </c>
      <c r="B99" t="n">
        <v>2014</v>
      </c>
      <c r="C99" t="inlineStr">
        <is>
          <t>Qiuyue Li</t>
        </is>
      </c>
      <c r="D99">
        <f>HYPERLINK("https://ota.tournamentsoftware.com/player-profile/20DDEF60-3700-4387-8C53-C32DB7F857D4", "Link")</f>
        <v/>
      </c>
      <c r="E99" s="3" t="n">
        <v>912.4</v>
      </c>
      <c r="F99" s="4" t="n">
        <v>5</v>
      </c>
      <c r="G99" t="inlineStr">
        <is>
          <t>Ontario Tennis Association</t>
        </is>
      </c>
      <c r="H99" t="inlineStr">
        <is>
          <t>No Club</t>
        </is>
      </c>
      <c r="I99" t="n">
        <v>26.7</v>
      </c>
      <c r="J99" s="4" t="n">
        <v>24</v>
      </c>
      <c r="K99" t="inlineStr">
        <is>
          <t>22 / 2</t>
        </is>
      </c>
      <c r="L99" t="inlineStr">
        <is>
          <t>12 / 1</t>
        </is>
      </c>
      <c r="M99" s="5" t="n">
        <v>0.92</v>
      </c>
      <c r="N99" s="5" t="n">
        <v>0.92</v>
      </c>
    </row>
    <row r="100">
      <c r="A100" t="n">
        <v>99</v>
      </c>
      <c r="B100" t="n">
        <v>2013</v>
      </c>
      <c r="C100" t="inlineStr">
        <is>
          <t>Amelia Karapalevski</t>
        </is>
      </c>
      <c r="D100">
        <f>HYPERLINK("https://ota.tournamentsoftware.com/player-profile/FA2D2790-6EBD-4928-94F7-17F54621E2B4", "Link")</f>
        <v/>
      </c>
      <c r="E100" s="3" t="n">
        <v>896.6180000000001</v>
      </c>
      <c r="F100" s="4" t="n">
        <v>36</v>
      </c>
      <c r="G100" t="inlineStr">
        <is>
          <t>Ontario Tennis Association</t>
        </is>
      </c>
      <c r="H100" t="inlineStr">
        <is>
          <t>No Club</t>
        </is>
      </c>
      <c r="I100" t="n">
        <v>28.2</v>
      </c>
      <c r="J100" s="4" t="n">
        <v>215</v>
      </c>
      <c r="K100" t="inlineStr">
        <is>
          <t>126 / 89</t>
        </is>
      </c>
      <c r="L100" t="inlineStr">
        <is>
          <t>32 / 18</t>
        </is>
      </c>
      <c r="M100" s="5" t="n">
        <v>0.59</v>
      </c>
      <c r="N100" s="5" t="n">
        <v>0.64</v>
      </c>
    </row>
    <row r="101">
      <c r="A101" t="n">
        <v>100</v>
      </c>
      <c r="B101" t="n">
        <v>2012</v>
      </c>
      <c r="C101" t="inlineStr">
        <is>
          <t>Adrienne Keaton Nelson</t>
        </is>
      </c>
      <c r="D101">
        <f>HYPERLINK("https://ota.tournamentsoftware.com/player-profile/1D977DD3-331D-4977-B4D6-E3202A6C56BD", "Link")</f>
        <v/>
      </c>
      <c r="E101" s="3" t="n">
        <v>886.347</v>
      </c>
      <c r="F101" s="4" t="n">
        <v>42</v>
      </c>
      <c r="G101" t="inlineStr">
        <is>
          <t>Ontario Tennis Association</t>
        </is>
      </c>
      <c r="H101" t="inlineStr">
        <is>
          <t>Blackmore Tennis Club</t>
        </is>
      </c>
      <c r="I101" t="n">
        <v>28.3</v>
      </c>
      <c r="J101" s="4" t="n">
        <v>225</v>
      </c>
      <c r="K101" t="inlineStr">
        <is>
          <t>110 / 115</t>
        </is>
      </c>
      <c r="L101" t="inlineStr">
        <is>
          <t>24 / 20</t>
        </is>
      </c>
      <c r="M101" s="5" t="n">
        <v>0.49</v>
      </c>
      <c r="N101" s="5" t="n">
        <v>0.55</v>
      </c>
    </row>
    <row r="102">
      <c r="A102" t="n">
        <v>101</v>
      </c>
      <c r="B102" t="n">
        <v>2012</v>
      </c>
      <c r="C102" t="inlineStr">
        <is>
          <t>Zenaida May Kolesnikov</t>
        </is>
      </c>
      <c r="D102">
        <f>HYPERLINK("https://ota.tournamentsoftware.com/player-profile/0D20CA06-CC79-483F-87DD-AD6F5FC76972", "Link")</f>
        <v/>
      </c>
      <c r="E102" s="3" t="n">
        <v>858.88</v>
      </c>
      <c r="F102" s="4" t="n">
        <v>7</v>
      </c>
      <c r="G102" t="inlineStr">
        <is>
          <t>Ontario Tennis Association</t>
        </is>
      </c>
      <c r="H102" t="inlineStr">
        <is>
          <t>Kew Gardens Tennis Club</t>
        </is>
      </c>
      <c r="I102" t="n">
        <v>24.3</v>
      </c>
      <c r="J102" s="4" t="n">
        <v>83</v>
      </c>
      <c r="K102" t="inlineStr">
        <is>
          <t>65 / 18</t>
        </is>
      </c>
      <c r="L102" t="inlineStr">
        <is>
          <t>11 / 1</t>
        </is>
      </c>
      <c r="M102" s="5" t="n">
        <v>0.78</v>
      </c>
      <c r="N102" s="5" t="n">
        <v>0.92</v>
      </c>
    </row>
    <row r="103">
      <c r="A103" t="n">
        <v>102</v>
      </c>
      <c r="B103" t="n">
        <v>2012</v>
      </c>
      <c r="C103" t="inlineStr">
        <is>
          <t>Jaydalie Isaac</t>
        </is>
      </c>
      <c r="D103">
        <f>HYPERLINK("https://ota.tournamentsoftware.com/player-profile/A56DDC7B-03D0-424A-907D-63A363906F9A", "Link")</f>
        <v/>
      </c>
      <c r="E103" s="3" t="n">
        <v>851.111</v>
      </c>
      <c r="F103" s="4" t="n">
        <v>13</v>
      </c>
      <c r="G103" t="inlineStr">
        <is>
          <t>Tennis Québec</t>
        </is>
      </c>
      <c r="H103" t="inlineStr">
        <is>
          <t>No Club</t>
        </is>
      </c>
      <c r="I103" t="n">
        <v>27.9</v>
      </c>
      <c r="J103" s="4" t="n">
        <v>235</v>
      </c>
      <c r="K103" t="inlineStr">
        <is>
          <t>111 / 124</t>
        </is>
      </c>
      <c r="L103" t="inlineStr">
        <is>
          <t>21 / 12</t>
        </is>
      </c>
      <c r="M103" s="5" t="n">
        <v>0.47</v>
      </c>
      <c r="N103" s="5" t="n">
        <v>0.64</v>
      </c>
    </row>
    <row r="104">
      <c r="A104" t="n">
        <v>103</v>
      </c>
      <c r="B104" t="n">
        <v>2013</v>
      </c>
      <c r="C104" t="inlineStr">
        <is>
          <t>Jeanne Lampron</t>
        </is>
      </c>
      <c r="D104">
        <f>HYPERLINK("https://ota.tournamentsoftware.com/player-profile/DBA36429-C15E-4F24-9832-7D6BA94887C6", "Link")</f>
        <v/>
      </c>
      <c r="E104" s="3" t="n">
        <v>850.005</v>
      </c>
      <c r="F104" s="4" t="n">
        <v>26</v>
      </c>
      <c r="G104" t="inlineStr">
        <is>
          <t>Tennis Québec</t>
        </is>
      </c>
      <c r="H104" t="inlineStr">
        <is>
          <t>Tennis Montréal Excellence</t>
        </is>
      </c>
      <c r="I104" t="n">
        <v>26.6</v>
      </c>
      <c r="J104" s="4" t="n">
        <v>133</v>
      </c>
      <c r="K104" t="inlineStr">
        <is>
          <t>63 / 70</t>
        </is>
      </c>
      <c r="L104" t="inlineStr">
        <is>
          <t>28 / 23</t>
        </is>
      </c>
      <c r="M104" s="5" t="n">
        <v>0.47</v>
      </c>
      <c r="N104" s="5" t="n">
        <v>0.55</v>
      </c>
    </row>
    <row r="105">
      <c r="A105" t="n">
        <v>104</v>
      </c>
      <c r="B105" t="n">
        <v>2012</v>
      </c>
      <c r="C105" t="inlineStr">
        <is>
          <t>Olivia Escobar</t>
        </is>
      </c>
      <c r="D105">
        <f>HYPERLINK("https://ota.tournamentsoftware.com/player-profile/9E3A15EA-D947-4048-B7A7-6C2437D34132", "Link")</f>
        <v/>
      </c>
      <c r="E105" s="3" t="n">
        <v>836.9160000000001</v>
      </c>
      <c r="F105" s="4" t="n">
        <v>37</v>
      </c>
      <c r="G105" t="inlineStr">
        <is>
          <t>Tennis Québec</t>
        </is>
      </c>
      <c r="H105" t="inlineStr">
        <is>
          <t>Tennis Ile- des- Soeurs</t>
        </is>
      </c>
      <c r="I105" t="n">
        <v>28.8</v>
      </c>
      <c r="J105" s="4" t="n">
        <v>345</v>
      </c>
      <c r="K105" t="inlineStr">
        <is>
          <t>131 / 214</t>
        </is>
      </c>
      <c r="L105" t="inlineStr">
        <is>
          <t>19 / 23</t>
        </is>
      </c>
      <c r="M105" s="5" t="n">
        <v>0.38</v>
      </c>
      <c r="N105" s="5" t="n">
        <v>0.45</v>
      </c>
    </row>
    <row r="106">
      <c r="A106" t="n">
        <v>105</v>
      </c>
      <c r="B106" t="n">
        <v>2015</v>
      </c>
      <c r="C106" t="inlineStr">
        <is>
          <t>Emilie Joly</t>
        </is>
      </c>
      <c r="D106">
        <f>HYPERLINK("https://ota.tournamentsoftware.com/player-profile/57736008-B9CA-4FCE-BEF6-90222787F336", "Link")</f>
        <v/>
      </c>
      <c r="E106" s="3" t="n">
        <v>827.96</v>
      </c>
      <c r="F106" s="4" t="n">
        <v>16</v>
      </c>
      <c r="G106" t="inlineStr">
        <is>
          <t>Ontario Tennis Association</t>
        </is>
      </c>
      <c r="H106" t="inlineStr">
        <is>
          <t>Kingston Racquet Centre</t>
        </is>
      </c>
      <c r="I106" t="n">
        <v>27.1</v>
      </c>
      <c r="J106" s="4" t="n">
        <v>224</v>
      </c>
      <c r="K106" t="inlineStr">
        <is>
          <t>156 / 68</t>
        </is>
      </c>
      <c r="L106" t="inlineStr">
        <is>
          <t>33 / 8</t>
        </is>
      </c>
      <c r="M106" s="5" t="n">
        <v>0.7</v>
      </c>
      <c r="N106" s="5" t="n">
        <v>0.8</v>
      </c>
    </row>
    <row r="107">
      <c r="A107" t="n">
        <v>106</v>
      </c>
      <c r="B107" t="n">
        <v>2012</v>
      </c>
      <c r="C107" t="inlineStr">
        <is>
          <t>Maia-Alexandra Popa</t>
        </is>
      </c>
      <c r="D107">
        <f>HYPERLINK("https://ota.tournamentsoftware.com/player-profile/1D5E0C32-9DDE-4B44-ADF9-FDB75BF638BC", "Link")</f>
        <v/>
      </c>
      <c r="E107" s="3" t="n">
        <v>827.341</v>
      </c>
      <c r="F107" s="4" t="n">
        <v>22</v>
      </c>
      <c r="G107" t="inlineStr">
        <is>
          <t>Ontario Tennis Association</t>
        </is>
      </c>
      <c r="H107" t="inlineStr">
        <is>
          <t>No Club</t>
        </is>
      </c>
      <c r="I107" t="n">
        <v>25.8</v>
      </c>
      <c r="J107" s="4" t="n">
        <v>196</v>
      </c>
      <c r="K107" t="inlineStr">
        <is>
          <t>102 / 94</t>
        </is>
      </c>
      <c r="L107" t="inlineStr">
        <is>
          <t>20 / 9</t>
        </is>
      </c>
      <c r="M107" s="5" t="n">
        <v>0.52</v>
      </c>
      <c r="N107" s="5" t="n">
        <v>0.6899999999999999</v>
      </c>
    </row>
    <row r="108">
      <c r="A108" t="n">
        <v>107</v>
      </c>
      <c r="B108" t="n">
        <v>2012</v>
      </c>
      <c r="C108" t="inlineStr">
        <is>
          <t>Estelle Kroupetski</t>
        </is>
      </c>
      <c r="D108">
        <f>HYPERLINK("https://ota.tournamentsoftware.com/player-profile/7A8D0D40-A77C-429C-81D6-05DC21DB8D28", "Link")</f>
        <v/>
      </c>
      <c r="E108" s="3" t="n">
        <v>816.504</v>
      </c>
      <c r="F108" s="4" t="n">
        <v>19</v>
      </c>
      <c r="G108" t="inlineStr">
        <is>
          <t>Ontario Tennis Association</t>
        </is>
      </c>
      <c r="H108" t="inlineStr">
        <is>
          <t>Ontario Racquet Club</t>
        </is>
      </c>
      <c r="I108" t="n">
        <v>28.4</v>
      </c>
      <c r="J108" s="4" t="n">
        <v>143</v>
      </c>
      <c r="K108" t="inlineStr">
        <is>
          <t>71 / 72</t>
        </is>
      </c>
      <c r="L108" t="inlineStr">
        <is>
          <t>27 / 10</t>
        </is>
      </c>
      <c r="M108" s="5" t="n">
        <v>0.5</v>
      </c>
      <c r="N108" s="5" t="n">
        <v>0.73</v>
      </c>
    </row>
    <row r="109">
      <c r="A109" t="n">
        <v>108</v>
      </c>
      <c r="B109" t="n">
        <v>2015</v>
      </c>
      <c r="C109" t="inlineStr">
        <is>
          <t>Evelyn J.C. Liu</t>
        </is>
      </c>
      <c r="D109">
        <f>HYPERLINK("https://ota.tournamentsoftware.com/player-profile/193F9EEB-1528-48A2-A0D8-C6448E62254A", "Link")</f>
        <v/>
      </c>
      <c r="E109" s="3" t="n">
        <v>807.245</v>
      </c>
      <c r="F109" s="4" t="n">
        <v>19</v>
      </c>
      <c r="G109" t="inlineStr">
        <is>
          <t>British Columbia</t>
        </is>
      </c>
      <c r="H109" t="inlineStr">
        <is>
          <t>Vancouver Lawn Tennis and Badminton Club</t>
        </is>
      </c>
      <c r="I109" t="n">
        <v>27.9</v>
      </c>
      <c r="J109" s="4" t="n">
        <v>270</v>
      </c>
      <c r="K109" t="inlineStr">
        <is>
          <t>152 / 118</t>
        </is>
      </c>
      <c r="L109" t="inlineStr">
        <is>
          <t>41 / 21</t>
        </is>
      </c>
      <c r="M109" s="5" t="n">
        <v>0.5600000000000001</v>
      </c>
      <c r="N109" s="5" t="n">
        <v>0.66</v>
      </c>
    </row>
    <row r="110">
      <c r="A110" t="n">
        <v>109</v>
      </c>
      <c r="B110" t="n">
        <v>2014</v>
      </c>
      <c r="C110" t="inlineStr">
        <is>
          <t>Nyah Morgan</t>
        </is>
      </c>
      <c r="D110">
        <f>HYPERLINK("https://ota.tournamentsoftware.com/player-profile/D9CA028A-3366-4954-9B65-F9840B84F93D", "Link")</f>
        <v/>
      </c>
      <c r="E110" s="3" t="n">
        <v>794.096</v>
      </c>
      <c r="F110" s="4" t="n">
        <v>20</v>
      </c>
      <c r="G110" t="inlineStr">
        <is>
          <t>Ontario Tennis Association</t>
        </is>
      </c>
      <c r="H110" t="inlineStr">
        <is>
          <t>Premier Racquet Clubs – Mississauga</t>
        </is>
      </c>
      <c r="I110" t="n">
        <v>29</v>
      </c>
      <c r="J110" s="4" t="n">
        <v>203</v>
      </c>
      <c r="K110" t="inlineStr">
        <is>
          <t>130 / 73</t>
        </is>
      </c>
      <c r="L110" t="inlineStr">
        <is>
          <t>28 / 17</t>
        </is>
      </c>
      <c r="M110" s="5" t="n">
        <v>0.64</v>
      </c>
      <c r="N110" s="5" t="n">
        <v>0.62</v>
      </c>
    </row>
    <row r="111">
      <c r="A111" t="n">
        <v>110</v>
      </c>
      <c r="B111" t="n">
        <v>2013</v>
      </c>
      <c r="C111" t="inlineStr">
        <is>
          <t>Melanie Moon</t>
        </is>
      </c>
      <c r="D111">
        <f>HYPERLINK("https://ota.tournamentsoftware.com/player-profile/90FC60A1-D48C-4A9A-97D8-A17B60CF6D4A", "Link")</f>
        <v/>
      </c>
      <c r="E111" s="3" t="n">
        <v>784.8390000000001</v>
      </c>
      <c r="F111" s="4" t="n">
        <v>15</v>
      </c>
      <c r="G111" t="inlineStr">
        <is>
          <t>British Columbia</t>
        </is>
      </c>
      <c r="H111" t="inlineStr">
        <is>
          <t>Vancouver Lawn Tennis and Badminton Club</t>
        </is>
      </c>
      <c r="I111" t="n">
        <v>28.3</v>
      </c>
      <c r="J111" s="4" t="n">
        <v>236</v>
      </c>
      <c r="K111" t="inlineStr">
        <is>
          <t>119 / 117</t>
        </is>
      </c>
      <c r="L111" t="inlineStr">
        <is>
          <t>10 / 17</t>
        </is>
      </c>
      <c r="M111" s="5" t="n">
        <v>0.5</v>
      </c>
      <c r="N111" s="5" t="n">
        <v>0.37</v>
      </c>
    </row>
    <row r="112">
      <c r="A112" t="n">
        <v>111</v>
      </c>
      <c r="B112" t="n">
        <v>2013</v>
      </c>
      <c r="C112" t="inlineStr">
        <is>
          <t>Élianne Bouchard</t>
        </is>
      </c>
      <c r="D112">
        <f>HYPERLINK("https://ota.tournamentsoftware.com/player-profile/44233F45-64EC-49B2-AA72-859E176C2987", "Link")</f>
        <v/>
      </c>
      <c r="E112" s="3" t="n">
        <v>784.313</v>
      </c>
      <c r="F112" s="4" t="n">
        <v>28</v>
      </c>
      <c r="G112" t="inlineStr">
        <is>
          <t>Tennis Québec</t>
        </is>
      </c>
      <c r="H112" t="inlineStr">
        <is>
          <t>Tennis Interclub Piedmont</t>
        </is>
      </c>
      <c r="I112" t="n">
        <v>29.7</v>
      </c>
      <c r="J112" s="4" t="n">
        <v>241</v>
      </c>
      <c r="K112" t="inlineStr">
        <is>
          <t>113 / 128</t>
        </is>
      </c>
      <c r="L112" t="inlineStr">
        <is>
          <t>27 / 20</t>
        </is>
      </c>
      <c r="M112" s="5" t="n">
        <v>0.47</v>
      </c>
      <c r="N112" s="5" t="n">
        <v>0.57</v>
      </c>
    </row>
    <row r="113">
      <c r="A113" t="n">
        <v>112</v>
      </c>
      <c r="B113" t="n">
        <v>2012</v>
      </c>
      <c r="C113" t="inlineStr">
        <is>
          <t>Penelope Brandt</t>
        </is>
      </c>
      <c r="D113">
        <f>HYPERLINK("https://ota.tournamentsoftware.com/player-profile/AA2E46A9-EC33-4492-A527-0C8E0CA405B0", "Link")</f>
        <v/>
      </c>
      <c r="E113" s="3" t="n">
        <v>784.1559999999999</v>
      </c>
      <c r="F113" s="4" t="n">
        <v>26</v>
      </c>
      <c r="G113" t="inlineStr">
        <is>
          <t>Tennis Québec</t>
        </is>
      </c>
      <c r="H113" t="inlineStr">
        <is>
          <t>SANI Sport</t>
        </is>
      </c>
      <c r="I113" t="n">
        <v>27.9</v>
      </c>
      <c r="J113" s="4" t="n">
        <v>244</v>
      </c>
      <c r="K113" t="inlineStr">
        <is>
          <t>123 / 121</t>
        </is>
      </c>
      <c r="L113" t="inlineStr">
        <is>
          <t>32 / 20</t>
        </is>
      </c>
      <c r="M113" s="5" t="n">
        <v>0.5</v>
      </c>
      <c r="N113" s="5" t="n">
        <v>0.62</v>
      </c>
    </row>
    <row r="114">
      <c r="A114" t="n">
        <v>113</v>
      </c>
      <c r="B114" t="n">
        <v>2014</v>
      </c>
      <c r="C114" t="inlineStr">
        <is>
          <t>Edwina Ed Xue</t>
        </is>
      </c>
      <c r="D114">
        <f>HYPERLINK("https://ota.tournamentsoftware.com/player-profile/16F3FDF7-F098-4A63-9D5F-87B196D248B5", "Link")</f>
        <v/>
      </c>
      <c r="E114" s="3" t="n">
        <v>779.297</v>
      </c>
      <c r="F114" s="4" t="n">
        <v>23</v>
      </c>
      <c r="G114" t="inlineStr">
        <is>
          <t>Ontario Tennis Association</t>
        </is>
      </c>
      <c r="H114" t="inlineStr">
        <is>
          <t>Granite Club</t>
        </is>
      </c>
      <c r="I114" t="n">
        <v>28.9</v>
      </c>
      <c r="J114" s="4" t="n">
        <v>287</v>
      </c>
      <c r="K114" t="inlineStr">
        <is>
          <t>169 / 118</t>
        </is>
      </c>
      <c r="L114" t="inlineStr">
        <is>
          <t>29 / 22</t>
        </is>
      </c>
      <c r="M114" s="5" t="n">
        <v>0.59</v>
      </c>
      <c r="N114" s="5" t="n">
        <v>0.57</v>
      </c>
    </row>
    <row r="115">
      <c r="A115" t="n">
        <v>114</v>
      </c>
      <c r="B115" t="n">
        <v>2013</v>
      </c>
      <c r="C115" t="inlineStr">
        <is>
          <t>Navya Chawla</t>
        </is>
      </c>
      <c r="D115">
        <f>HYPERLINK("https://ota.tournamentsoftware.com/player-profile/26838C23-66D4-4CAD-825B-C69620EB242D", "Link")</f>
        <v/>
      </c>
      <c r="E115" s="3" t="n">
        <v>777.96</v>
      </c>
      <c r="F115" s="4" t="n">
        <v>18</v>
      </c>
      <c r="G115" t="inlineStr">
        <is>
          <t>Tennis Alberta</t>
        </is>
      </c>
      <c r="H115" t="inlineStr">
        <is>
          <t>Osten &amp; Victor Alberta Tennis Centre</t>
        </is>
      </c>
      <c r="I115" t="n">
        <v>24.5</v>
      </c>
      <c r="J115" s="4" t="n">
        <v>281</v>
      </c>
      <c r="K115" t="inlineStr">
        <is>
          <t>178 / 103</t>
        </is>
      </c>
      <c r="L115" t="inlineStr">
        <is>
          <t>14 / 13</t>
        </is>
      </c>
      <c r="M115" s="5" t="n">
        <v>0.63</v>
      </c>
      <c r="N115" s="5" t="n">
        <v>0.52</v>
      </c>
    </row>
    <row r="116">
      <c r="A116" t="n">
        <v>115</v>
      </c>
      <c r="B116" t="n">
        <v>2013</v>
      </c>
      <c r="C116" t="inlineStr">
        <is>
          <t>Akshara Bavanaka</t>
        </is>
      </c>
      <c r="D116">
        <f>HYPERLINK("https://ota.tournamentsoftware.com/player-profile/DB56F65D-8A18-4169-BE31-18F89B25E14B", "Link")</f>
        <v/>
      </c>
      <c r="E116" s="3" t="n">
        <v>761.1900000000001</v>
      </c>
      <c r="F116" s="4" t="n">
        <v>37</v>
      </c>
      <c r="G116" t="inlineStr">
        <is>
          <t>Ontario Tennis Association</t>
        </is>
      </c>
      <c r="H116" t="inlineStr">
        <is>
          <t>Advantage Tennis International at Veneto</t>
        </is>
      </c>
      <c r="I116" t="n">
        <v>31.5</v>
      </c>
      <c r="J116" s="4" t="n">
        <v>226</v>
      </c>
      <c r="K116" t="inlineStr">
        <is>
          <t>116 / 110</t>
        </is>
      </c>
      <c r="L116" t="inlineStr">
        <is>
          <t>15 / 19</t>
        </is>
      </c>
      <c r="M116" s="5" t="n">
        <v>0.51</v>
      </c>
      <c r="N116" s="5" t="n">
        <v>0.44</v>
      </c>
    </row>
    <row r="117">
      <c r="A117" t="n">
        <v>116</v>
      </c>
      <c r="B117" t="n">
        <v>2015</v>
      </c>
      <c r="C117" t="inlineStr">
        <is>
          <t>Olivia Lu</t>
        </is>
      </c>
      <c r="D117">
        <f>HYPERLINK("https://ota.tournamentsoftware.com/player-profile/807CAE71-A1FD-4ED2-952F-E0EDBF0E66E6", "Link")</f>
        <v/>
      </c>
      <c r="E117" s="3" t="n">
        <v>751.688</v>
      </c>
      <c r="F117" s="4" t="n">
        <v>25</v>
      </c>
      <c r="G117" t="inlineStr">
        <is>
          <t>Ontario Tennis Association</t>
        </is>
      </c>
      <c r="H117" t="inlineStr">
        <is>
          <t>Advantage Tennis International at Veneto</t>
        </is>
      </c>
      <c r="I117" t="n">
        <v>30.8</v>
      </c>
      <c r="J117" s="4" t="n">
        <v>161</v>
      </c>
      <c r="K117" t="inlineStr">
        <is>
          <t>93 / 68</t>
        </is>
      </c>
      <c r="L117" t="inlineStr">
        <is>
          <t>26 / 16</t>
        </is>
      </c>
      <c r="M117" s="5" t="n">
        <v>0.58</v>
      </c>
      <c r="N117" s="5" t="n">
        <v>0.62</v>
      </c>
    </row>
    <row r="118">
      <c r="A118" t="n">
        <v>117</v>
      </c>
      <c r="B118" t="n">
        <v>2013</v>
      </c>
      <c r="C118" t="inlineStr">
        <is>
          <t>Mia Nikolovska</t>
        </is>
      </c>
      <c r="D118">
        <f>HYPERLINK("https://ota.tournamentsoftware.com/player-profile/52158395-8ADB-4430-ABAA-C56A79756D09", "Link")</f>
        <v/>
      </c>
      <c r="E118" s="3" t="n">
        <v>747.96</v>
      </c>
      <c r="F118" s="4" t="n">
        <v>38</v>
      </c>
      <c r="G118" t="inlineStr">
        <is>
          <t>Ontario Tennis Association</t>
        </is>
      </c>
      <c r="H118" t="inlineStr">
        <is>
          <t>No Club</t>
        </is>
      </c>
      <c r="I118" t="inlineStr">
        <is>
          <t>unavailable</t>
        </is>
      </c>
      <c r="J118" s="4" t="n">
        <v>358</v>
      </c>
      <c r="K118" t="inlineStr">
        <is>
          <t>216 / 142</t>
        </is>
      </c>
      <c r="L118" t="inlineStr">
        <is>
          <t>26 / 21</t>
        </is>
      </c>
      <c r="M118" s="5" t="n">
        <v>0.6</v>
      </c>
      <c r="N118" s="5" t="n">
        <v>0.55</v>
      </c>
    </row>
    <row r="119">
      <c r="A119" t="n">
        <v>118</v>
      </c>
      <c r="B119" t="n">
        <v>2014</v>
      </c>
      <c r="C119" t="inlineStr">
        <is>
          <t>Thanida (Belle) Shaipanich</t>
        </is>
      </c>
      <c r="D119">
        <f>HYPERLINK("https://ota.tournamentsoftware.com/player-profile/98546C72-5CCA-44E8-AFB9-20B9D560E5E3", "Link")</f>
        <v/>
      </c>
      <c r="E119" s="3" t="n">
        <v>744.032</v>
      </c>
      <c r="F119" s="4" t="n">
        <v>16</v>
      </c>
      <c r="G119" t="inlineStr">
        <is>
          <t>British Columbia</t>
        </is>
      </c>
      <c r="H119" t="inlineStr">
        <is>
          <t>UBC Tennis Centre</t>
        </is>
      </c>
      <c r="I119" t="n">
        <v>27.6</v>
      </c>
      <c r="J119" s="4" t="n">
        <v>205</v>
      </c>
      <c r="K119" t="inlineStr">
        <is>
          <t>148 / 57</t>
        </is>
      </c>
      <c r="L119" t="inlineStr">
        <is>
          <t>31 / 20</t>
        </is>
      </c>
      <c r="M119" s="5" t="n">
        <v>0.72</v>
      </c>
      <c r="N119" s="5" t="n">
        <v>0.61</v>
      </c>
    </row>
    <row r="120">
      <c r="A120" t="n">
        <v>119</v>
      </c>
      <c r="B120" t="n">
        <v>2012</v>
      </c>
      <c r="C120" t="inlineStr">
        <is>
          <t>Victoria Chow</t>
        </is>
      </c>
      <c r="D120">
        <f>HYPERLINK("https://ota.tournamentsoftware.com/player-profile/7A966C5F-11C4-49ED-9F9D-2B1D18AB7E3B", "Link")</f>
        <v/>
      </c>
      <c r="E120" s="3" t="n">
        <v>743.375</v>
      </c>
      <c r="F120" s="4" t="n">
        <v>18</v>
      </c>
      <c r="G120" t="inlineStr">
        <is>
          <t>Ontario Tennis Association</t>
        </is>
      </c>
      <c r="H120" t="inlineStr">
        <is>
          <t>No Club</t>
        </is>
      </c>
      <c r="I120" t="inlineStr">
        <is>
          <t>unavailable</t>
        </is>
      </c>
      <c r="J120" s="4" t="n">
        <v>274</v>
      </c>
      <c r="K120" t="inlineStr">
        <is>
          <t>139 / 135</t>
        </is>
      </c>
      <c r="L120" t="inlineStr">
        <is>
          <t>13 / 21</t>
        </is>
      </c>
      <c r="M120" s="5" t="n">
        <v>0.51</v>
      </c>
      <c r="N120" s="5" t="n">
        <v>0.38</v>
      </c>
    </row>
    <row r="121">
      <c r="A121" t="n">
        <v>120</v>
      </c>
      <c r="B121" t="n">
        <v>2013</v>
      </c>
      <c r="C121" t="inlineStr">
        <is>
          <t>Natalia Sena</t>
        </is>
      </c>
      <c r="D121">
        <f>HYPERLINK("https://ota.tournamentsoftware.com/player-profile/D89592D5-D2EA-499E-9A9C-8B20B391C761", "Link")</f>
        <v/>
      </c>
      <c r="E121" s="3" t="n">
        <v>730.923</v>
      </c>
      <c r="F121" s="4" t="n">
        <v>29</v>
      </c>
      <c r="G121" t="inlineStr">
        <is>
          <t>Tennis Québec</t>
        </is>
      </c>
      <c r="H121" t="inlineStr">
        <is>
          <t>No Club</t>
        </is>
      </c>
      <c r="I121" t="n">
        <v>29.6</v>
      </c>
      <c r="J121" s="4" t="n">
        <v>82</v>
      </c>
      <c r="K121" t="inlineStr">
        <is>
          <t>40 / 42</t>
        </is>
      </c>
      <c r="L121" t="inlineStr">
        <is>
          <t>21 / 13</t>
        </is>
      </c>
      <c r="M121" s="5" t="n">
        <v>0.49</v>
      </c>
      <c r="N121" s="5" t="n">
        <v>0.62</v>
      </c>
    </row>
    <row r="122">
      <c r="A122" t="n">
        <v>121</v>
      </c>
      <c r="B122" t="n">
        <v>2012</v>
      </c>
      <c r="C122" t="inlineStr">
        <is>
          <t>Meika Sebastian</t>
        </is>
      </c>
      <c r="D122">
        <f>HYPERLINK("https://ota.tournamentsoftware.com/player-profile/0CA7407B-419A-43BA-82FB-32200AA68BA2", "Link")</f>
        <v/>
      </c>
      <c r="E122" s="3" t="n">
        <v>719.111</v>
      </c>
      <c r="F122" s="4" t="n">
        <v>8</v>
      </c>
      <c r="G122" t="inlineStr">
        <is>
          <t>Ontario Tennis Association</t>
        </is>
      </c>
      <c r="H122" t="inlineStr">
        <is>
          <t>City of Kingston</t>
        </is>
      </c>
      <c r="I122" t="n">
        <v>24.6</v>
      </c>
      <c r="J122" s="4" t="n">
        <v>287</v>
      </c>
      <c r="K122" t="inlineStr">
        <is>
          <t>147 / 140</t>
        </is>
      </c>
      <c r="L122" t="inlineStr">
        <is>
          <t>0 / 4</t>
        </is>
      </c>
      <c r="M122" s="5" t="n">
        <v>0.51</v>
      </c>
      <c r="N122" s="5" t="n">
        <v>0</v>
      </c>
    </row>
    <row r="123">
      <c r="A123" t="n">
        <v>122</v>
      </c>
      <c r="B123" t="n">
        <v>2012</v>
      </c>
      <c r="C123" t="inlineStr">
        <is>
          <t>Emma Abdou</t>
        </is>
      </c>
      <c r="D123">
        <f>HYPERLINK("https://ota.tournamentsoftware.com/player-profile/FD6387AB-774D-491E-8A68-CE4DD20FAEF7", "Link")</f>
        <v/>
      </c>
      <c r="E123" s="3" t="n">
        <v>704.612</v>
      </c>
      <c r="F123" s="4" t="n">
        <v>31</v>
      </c>
      <c r="G123" t="inlineStr">
        <is>
          <t>Ontario Tennis Association</t>
        </is>
      </c>
      <c r="H123" t="inlineStr">
        <is>
          <t>Granite Club</t>
        </is>
      </c>
      <c r="I123" t="n">
        <v>30.5</v>
      </c>
      <c r="J123" s="4" t="n">
        <v>204</v>
      </c>
      <c r="K123" t="inlineStr">
        <is>
          <t>97 / 107</t>
        </is>
      </c>
      <c r="L123" t="inlineStr">
        <is>
          <t>29 / 24</t>
        </is>
      </c>
      <c r="M123" s="5" t="n">
        <v>0.48</v>
      </c>
      <c r="N123" s="5" t="n">
        <v>0.55</v>
      </c>
    </row>
    <row r="124">
      <c r="A124" t="n">
        <v>123</v>
      </c>
      <c r="B124" t="n">
        <v>2012</v>
      </c>
      <c r="C124" t="inlineStr">
        <is>
          <t>Dina Yijia Zhang</t>
        </is>
      </c>
      <c r="D124">
        <f>HYPERLINK("https://ota.tournamentsoftware.com/player-profile/CF7261D5-5723-40A9-853D-2B21D7A35985", "Link")</f>
        <v/>
      </c>
      <c r="E124" s="3" t="n">
        <v>703.611</v>
      </c>
      <c r="F124" s="4" t="n">
        <v>10</v>
      </c>
      <c r="G124" t="inlineStr">
        <is>
          <t>Tennis Nova Scotia</t>
        </is>
      </c>
      <c r="H124" t="inlineStr">
        <is>
          <t>HEADSTART</t>
        </is>
      </c>
      <c r="I124" t="n">
        <v>30.8</v>
      </c>
      <c r="J124" s="4" t="n">
        <v>157</v>
      </c>
      <c r="K124" t="inlineStr">
        <is>
          <t>64 / 93</t>
        </is>
      </c>
      <c r="L124" t="inlineStr">
        <is>
          <t>8 / 14</t>
        </is>
      </c>
      <c r="M124" s="5" t="n">
        <v>0.41</v>
      </c>
      <c r="N124" s="5" t="n">
        <v>0.36</v>
      </c>
    </row>
    <row r="125">
      <c r="A125" t="n">
        <v>124</v>
      </c>
      <c r="B125" t="n">
        <v>2013</v>
      </c>
      <c r="C125" t="inlineStr">
        <is>
          <t>Elena Vamoser</t>
        </is>
      </c>
      <c r="D125">
        <f>HYPERLINK("https://ota.tournamentsoftware.com/player-profile/F839ADA6-2875-4712-9FE7-C958E075D669", "Link")</f>
        <v/>
      </c>
      <c r="E125" s="3" t="n">
        <v>697.77</v>
      </c>
      <c r="F125" s="4" t="n">
        <v>28</v>
      </c>
      <c r="G125" t="inlineStr">
        <is>
          <t>Ontario Tennis Association</t>
        </is>
      </c>
      <c r="H125" t="inlineStr">
        <is>
          <t>ACE Tennis - Burlington</t>
        </is>
      </c>
      <c r="I125" t="n">
        <v>30.6</v>
      </c>
      <c r="J125" s="4" t="n">
        <v>128</v>
      </c>
      <c r="K125" t="inlineStr">
        <is>
          <t>74 / 54</t>
        </is>
      </c>
      <c r="L125" t="inlineStr">
        <is>
          <t>15 / 17</t>
        </is>
      </c>
      <c r="M125" s="5" t="n">
        <v>0.58</v>
      </c>
      <c r="N125" s="5" t="n">
        <v>0.47</v>
      </c>
    </row>
    <row r="126">
      <c r="A126" t="n">
        <v>125</v>
      </c>
      <c r="B126" t="n">
        <v>2016</v>
      </c>
      <c r="C126" t="inlineStr">
        <is>
          <t>Kaili Ear Gui</t>
        </is>
      </c>
      <c r="D126">
        <f>HYPERLINK("https://ota.tournamentsoftware.com/player-profile/6E1FCBA7-1BA6-4DCA-9440-D121E3710638", "Link")</f>
        <v/>
      </c>
      <c r="E126" s="3" t="n">
        <v>695.772</v>
      </c>
      <c r="F126" s="4" t="n">
        <v>12</v>
      </c>
      <c r="G126" t="inlineStr">
        <is>
          <t>Tennis Saskatchewan</t>
        </is>
      </c>
      <c r="H126" t="inlineStr">
        <is>
          <t>Lakeshore Tennis Club</t>
        </is>
      </c>
      <c r="I126" t="n">
        <v>32.9</v>
      </c>
      <c r="J126" s="4" t="n">
        <v>144</v>
      </c>
      <c r="K126" t="inlineStr">
        <is>
          <t>81 / 63</t>
        </is>
      </c>
      <c r="L126" t="inlineStr">
        <is>
          <t>32 / 30</t>
        </is>
      </c>
      <c r="M126" s="5" t="n">
        <v>0.5600000000000001</v>
      </c>
      <c r="N126" s="5" t="n">
        <v>0.52</v>
      </c>
    </row>
    <row r="127">
      <c r="A127" t="n">
        <v>126</v>
      </c>
      <c r="B127" t="n">
        <v>2012</v>
      </c>
      <c r="C127" t="inlineStr">
        <is>
          <t>Cindy Zixuan Li</t>
        </is>
      </c>
      <c r="D127">
        <f>HYPERLINK("https://ota.tournamentsoftware.com/player-profile/23E61DC5-74BF-4612-8E7F-7DA0B013D911", "Link")</f>
        <v/>
      </c>
      <c r="E127" s="3" t="n">
        <v>661.299</v>
      </c>
      <c r="F127" s="4" t="n">
        <v>10</v>
      </c>
      <c r="G127" t="inlineStr">
        <is>
          <t>British Columbia</t>
        </is>
      </c>
      <c r="H127" t="inlineStr">
        <is>
          <t>Vanguard Tennis Academy</t>
        </is>
      </c>
      <c r="I127" t="n">
        <v>27.2</v>
      </c>
      <c r="J127" s="4" t="n">
        <v>137</v>
      </c>
      <c r="K127" t="inlineStr">
        <is>
          <t>69 / 68</t>
        </is>
      </c>
      <c r="L127" t="inlineStr">
        <is>
          <t>8 / 7</t>
        </is>
      </c>
      <c r="M127" s="5" t="n">
        <v>0.5</v>
      </c>
      <c r="N127" s="5" t="n">
        <v>0.53</v>
      </c>
    </row>
    <row r="128">
      <c r="A128" t="n">
        <v>127</v>
      </c>
      <c r="B128" t="n">
        <v>2012</v>
      </c>
      <c r="C128" t="inlineStr">
        <is>
          <t>Luisa Victoria Davis</t>
        </is>
      </c>
      <c r="D128">
        <f>HYPERLINK("https://ota.tournamentsoftware.com/player-profile/F5AE6D4A-50BA-4E57-AD34-589189161D57", "Link")</f>
        <v/>
      </c>
      <c r="E128" s="3" t="n">
        <v>656.047</v>
      </c>
      <c r="F128" s="4" t="n">
        <v>13</v>
      </c>
      <c r="G128" t="inlineStr">
        <is>
          <t>Ontario Tennis Association</t>
        </is>
      </c>
      <c r="H128" t="inlineStr">
        <is>
          <t>Mayfair West Fitness &amp; Racquet Club</t>
        </is>
      </c>
      <c r="I128" t="inlineStr">
        <is>
          <t>unavailable</t>
        </is>
      </c>
      <c r="J128" s="4" t="n">
        <v>200</v>
      </c>
      <c r="K128" t="inlineStr">
        <is>
          <t>128 / 72</t>
        </is>
      </c>
      <c r="L128" t="inlineStr">
        <is>
          <t>6 / 10</t>
        </is>
      </c>
      <c r="M128" s="5" t="n">
        <v>0.64</v>
      </c>
      <c r="N128" s="5" t="n">
        <v>0.38</v>
      </c>
    </row>
    <row r="129">
      <c r="A129" t="n">
        <v>128</v>
      </c>
      <c r="B129" t="n">
        <v>2012</v>
      </c>
      <c r="C129" t="inlineStr">
        <is>
          <t>Chloe Fischer</t>
        </is>
      </c>
      <c r="D129">
        <f>HYPERLINK("https://ota.tournamentsoftware.com/player-profile/4F19921D-D25C-4DFA-8A7D-90DE48FEB722", "Link")</f>
        <v/>
      </c>
      <c r="E129" s="3" t="n">
        <v>646.653</v>
      </c>
      <c r="F129" s="4" t="n">
        <v>26</v>
      </c>
      <c r="G129" t="inlineStr">
        <is>
          <t>Ontario Tennis Association</t>
        </is>
      </c>
      <c r="H129" t="inlineStr">
        <is>
          <t>No Club</t>
        </is>
      </c>
      <c r="I129" t="n">
        <v>33</v>
      </c>
      <c r="J129" s="4" t="n">
        <v>217</v>
      </c>
      <c r="K129" t="inlineStr">
        <is>
          <t>102 / 115</t>
        </is>
      </c>
      <c r="L129" t="inlineStr">
        <is>
          <t>6 / 21</t>
        </is>
      </c>
      <c r="M129" s="5" t="n">
        <v>0.47</v>
      </c>
      <c r="N129" s="5" t="n">
        <v>0.22</v>
      </c>
    </row>
    <row r="130">
      <c r="A130" t="n">
        <v>129</v>
      </c>
      <c r="B130" t="n">
        <v>2014</v>
      </c>
      <c r="C130" t="inlineStr">
        <is>
          <t>Nuanyi Li</t>
        </is>
      </c>
      <c r="D130">
        <f>HYPERLINK("https://ota.tournamentsoftware.com/player-profile/341DA394-9039-4254-B369-B8C52872A168", "Link")</f>
        <v/>
      </c>
      <c r="E130" s="3" t="n">
        <v>646.429</v>
      </c>
      <c r="F130" s="4" t="n">
        <v>29</v>
      </c>
      <c r="G130" t="inlineStr">
        <is>
          <t>Ontario Tennis Association</t>
        </is>
      </c>
      <c r="H130" t="inlineStr">
        <is>
          <t>Fainblum Tennis Academy</t>
        </is>
      </c>
      <c r="I130" t="n">
        <v>28.9</v>
      </c>
      <c r="J130" s="4" t="n">
        <v>287</v>
      </c>
      <c r="K130" t="inlineStr">
        <is>
          <t>178 / 109</t>
        </is>
      </c>
      <c r="L130" t="inlineStr">
        <is>
          <t>27 / 26</t>
        </is>
      </c>
      <c r="M130" s="5" t="n">
        <v>0.62</v>
      </c>
      <c r="N130" s="5" t="n">
        <v>0.51</v>
      </c>
    </row>
    <row r="131">
      <c r="A131" t="n">
        <v>130</v>
      </c>
      <c r="B131" t="n">
        <v>2013</v>
      </c>
      <c r="C131" t="inlineStr">
        <is>
          <t>Leyan Isabella Yik Sum Leung</t>
        </is>
      </c>
      <c r="D131">
        <f>HYPERLINK("https://ota.tournamentsoftware.com/player-profile/7FB2D792-ABB2-4F05-B9D4-757321E9FA35", "Link")</f>
        <v/>
      </c>
      <c r="E131" s="3" t="n">
        <v>635.405</v>
      </c>
      <c r="F131" s="4" t="n">
        <v>21</v>
      </c>
      <c r="G131" t="inlineStr">
        <is>
          <t>British Columbia</t>
        </is>
      </c>
      <c r="H131" t="inlineStr">
        <is>
          <t>Vanguard Tennis Academy</t>
        </is>
      </c>
      <c r="I131" t="n">
        <v>27.7</v>
      </c>
      <c r="J131" s="4" t="n">
        <v>123</v>
      </c>
      <c r="K131" t="inlineStr">
        <is>
          <t>79 / 44</t>
        </is>
      </c>
      <c r="L131" t="inlineStr">
        <is>
          <t>29 / 16</t>
        </is>
      </c>
      <c r="M131" s="5" t="n">
        <v>0.64</v>
      </c>
      <c r="N131" s="5" t="n">
        <v>0.64</v>
      </c>
    </row>
    <row r="132">
      <c r="A132" t="n">
        <v>131</v>
      </c>
      <c r="B132" t="n">
        <v>2012</v>
      </c>
      <c r="C132" t="inlineStr">
        <is>
          <t>Yutong (Olivia) Ha</t>
        </is>
      </c>
      <c r="D132">
        <f>HYPERLINK("https://ota.tournamentsoftware.com/player-profile/53AE0DB5-1F76-4FB8-9870-3B236A9DAA97", "Link")</f>
        <v/>
      </c>
      <c r="E132" s="3" t="n">
        <v>624.7430000000001</v>
      </c>
      <c r="F132" s="4" t="n">
        <v>18</v>
      </c>
      <c r="G132" t="inlineStr">
        <is>
          <t>Ontario Tennis Association</t>
        </is>
      </c>
      <c r="H132" t="inlineStr">
        <is>
          <t>Richmondhill Golf &amp; Country Club</t>
        </is>
      </c>
      <c r="I132" t="inlineStr">
        <is>
          <t>unavailable</t>
        </is>
      </c>
      <c r="J132" s="4" t="n">
        <v>195</v>
      </c>
      <c r="K132" t="inlineStr">
        <is>
          <t>84 / 111</t>
        </is>
      </c>
      <c r="L132" t="inlineStr">
        <is>
          <t>6 / 16</t>
        </is>
      </c>
      <c r="M132" s="5" t="n">
        <v>0.43</v>
      </c>
      <c r="N132" s="5" t="n">
        <v>0.27</v>
      </c>
    </row>
    <row r="133">
      <c r="A133" t="n">
        <v>132</v>
      </c>
      <c r="B133" t="n">
        <v>2015</v>
      </c>
      <c r="C133" t="inlineStr">
        <is>
          <t>Emma Yin</t>
        </is>
      </c>
      <c r="D133">
        <f>HYPERLINK("https://ota.tournamentsoftware.com/player-profile/F90E2576-5989-4051-9E1F-45C789378967", "Link")</f>
        <v/>
      </c>
      <c r="E133" s="3" t="n">
        <v>613.705</v>
      </c>
      <c r="F133" s="4" t="n">
        <v>11</v>
      </c>
      <c r="G133" t="inlineStr">
        <is>
          <t>Tennis Saskatchewan</t>
        </is>
      </c>
      <c r="H133" t="inlineStr">
        <is>
          <t>Lakeshore Tennis Club</t>
        </is>
      </c>
      <c r="I133" t="n">
        <v>30.9</v>
      </c>
      <c r="J133" s="4" t="n">
        <v>154</v>
      </c>
      <c r="K133" t="inlineStr">
        <is>
          <t>78 / 76</t>
        </is>
      </c>
      <c r="L133" t="inlineStr">
        <is>
          <t>32 / 21</t>
        </is>
      </c>
      <c r="M133" s="5" t="n">
        <v>0.51</v>
      </c>
      <c r="N133" s="5" t="n">
        <v>0.6</v>
      </c>
    </row>
    <row r="134">
      <c r="A134" t="n">
        <v>133</v>
      </c>
      <c r="B134" t="n">
        <v>2012</v>
      </c>
      <c r="C134" t="inlineStr">
        <is>
          <t>OLIVIA JUNHAN CAO</t>
        </is>
      </c>
      <c r="D134">
        <f>HYPERLINK("https://ota.tournamentsoftware.com/player-profile/3D68BE77-5DE2-40D9-BCC3-C836A764F3EF", "Link")</f>
        <v/>
      </c>
      <c r="E134" s="3" t="n">
        <v>608.6</v>
      </c>
      <c r="F134" s="4" t="n">
        <v>19</v>
      </c>
      <c r="G134" t="inlineStr">
        <is>
          <t>British Columbia</t>
        </is>
      </c>
      <c r="H134" t="inlineStr">
        <is>
          <t>Richmond Country Club</t>
        </is>
      </c>
      <c r="I134" t="n">
        <v>27.2</v>
      </c>
      <c r="J134" s="4" t="n">
        <v>147</v>
      </c>
      <c r="K134" t="inlineStr">
        <is>
          <t>100 / 47</t>
        </is>
      </c>
      <c r="L134" t="inlineStr">
        <is>
          <t>37 / 16</t>
        </is>
      </c>
      <c r="M134" s="5" t="n">
        <v>0.68</v>
      </c>
      <c r="N134" s="5" t="n">
        <v>0.7</v>
      </c>
    </row>
    <row r="135">
      <c r="A135" t="n">
        <v>134</v>
      </c>
      <c r="B135" t="n">
        <v>2014</v>
      </c>
      <c r="C135" t="inlineStr">
        <is>
          <t>Naomi Iamandi</t>
        </is>
      </c>
      <c r="D135">
        <f>HYPERLINK("https://ota.tournamentsoftware.com/player-profile/5653599F-FFB6-46FA-B574-E53D7FBC278E", "Link")</f>
        <v/>
      </c>
      <c r="E135" s="3" t="n">
        <v>602.866</v>
      </c>
      <c r="F135" s="4" t="n">
        <v>23</v>
      </c>
      <c r="G135" t="inlineStr">
        <is>
          <t>Ontario Tennis Association</t>
        </is>
      </c>
      <c r="H135" t="inlineStr">
        <is>
          <t>Joshua Creek Golf &amp; Tennis</t>
        </is>
      </c>
      <c r="I135" t="n">
        <v>29.6</v>
      </c>
      <c r="J135" s="4" t="n">
        <v>226</v>
      </c>
      <c r="K135" t="inlineStr">
        <is>
          <t>123 / 103</t>
        </is>
      </c>
      <c r="L135" t="inlineStr">
        <is>
          <t>14 / 22</t>
        </is>
      </c>
      <c r="M135" s="5" t="n">
        <v>0.54</v>
      </c>
      <c r="N135" s="5" t="n">
        <v>0.39</v>
      </c>
    </row>
    <row r="136">
      <c r="A136" t="n">
        <v>135</v>
      </c>
      <c r="B136" t="n">
        <v>2013</v>
      </c>
      <c r="C136" t="inlineStr">
        <is>
          <t>Blaire Ming min kaminski</t>
        </is>
      </c>
      <c r="D136">
        <f>HYPERLINK("https://ota.tournamentsoftware.com/player-profile/F1255585-993D-4DBF-ADE9-E5818DCBA131", "Link")</f>
        <v/>
      </c>
      <c r="E136" s="3" t="n">
        <v>601.103</v>
      </c>
      <c r="F136" s="4" t="n">
        <v>16</v>
      </c>
      <c r="G136" t="inlineStr">
        <is>
          <t>Tennis Alberta</t>
        </is>
      </c>
      <c r="H136" t="inlineStr">
        <is>
          <t>Osten &amp; Victor Alberta Tennis Centre</t>
        </is>
      </c>
      <c r="I136" t="inlineStr">
        <is>
          <t>unavailable</t>
        </is>
      </c>
      <c r="J136" s="4" t="n">
        <v>124</v>
      </c>
      <c r="K136" t="inlineStr">
        <is>
          <t>60 / 64</t>
        </is>
      </c>
      <c r="L136" t="inlineStr">
        <is>
          <t>15 / 13</t>
        </is>
      </c>
      <c r="M136" s="5" t="n">
        <v>0.48</v>
      </c>
      <c r="N136" s="5" t="n">
        <v>0.54</v>
      </c>
    </row>
    <row r="137">
      <c r="A137" t="n">
        <v>136</v>
      </c>
      <c r="B137" t="n">
        <v>2012</v>
      </c>
      <c r="C137" t="inlineStr">
        <is>
          <t>Anna Lucenti</t>
        </is>
      </c>
      <c r="D137">
        <f>HYPERLINK("https://ota.tournamentsoftware.com/player-profile/332E40CD-AB90-41CE-81C3-858501B2FAD3", "Link")</f>
        <v/>
      </c>
      <c r="E137" s="3" t="n">
        <v>592.889</v>
      </c>
      <c r="F137" s="4" t="n">
        <v>29</v>
      </c>
      <c r="G137" t="inlineStr">
        <is>
          <t>Ontario Tennis Association</t>
        </is>
      </c>
      <c r="H137" t="inlineStr">
        <is>
          <t>SmartVMC Racquetsports by ACE</t>
        </is>
      </c>
      <c r="I137" t="n">
        <v>31.3</v>
      </c>
      <c r="J137" s="4" t="n">
        <v>128</v>
      </c>
      <c r="K137" t="inlineStr">
        <is>
          <t>51 / 77</t>
        </is>
      </c>
      <c r="L137" t="inlineStr">
        <is>
          <t>18 / 14</t>
        </is>
      </c>
      <c r="M137" s="5" t="n">
        <v>0.4</v>
      </c>
      <c r="N137" s="5" t="n">
        <v>0.5600000000000001</v>
      </c>
    </row>
    <row r="138">
      <c r="A138" t="n">
        <v>137</v>
      </c>
      <c r="B138" t="n">
        <v>2012</v>
      </c>
      <c r="C138" t="inlineStr">
        <is>
          <t>Emilie Chen</t>
        </is>
      </c>
      <c r="D138">
        <f>HYPERLINK("https://ota.tournamentsoftware.com/player-profile/829AD033-5D37-4AE8-9F34-8C50F25B20C3", "Link")</f>
        <v/>
      </c>
      <c r="E138" s="3" t="n">
        <v>588.2910000000001</v>
      </c>
      <c r="F138" s="4" t="n">
        <v>12</v>
      </c>
      <c r="G138" t="inlineStr">
        <is>
          <t>Ontario Tennis Association</t>
        </is>
      </c>
      <c r="H138" t="inlineStr">
        <is>
          <t>Toronto Cricket Skating &amp; Curling</t>
        </is>
      </c>
      <c r="I138" t="n">
        <v>26.2</v>
      </c>
      <c r="J138" s="4" t="n">
        <v>211</v>
      </c>
      <c r="K138" t="inlineStr">
        <is>
          <t>89 / 122</t>
        </is>
      </c>
      <c r="L138" t="inlineStr">
        <is>
          <t>12 / 10</t>
        </is>
      </c>
      <c r="M138" s="5" t="n">
        <v>0.42</v>
      </c>
      <c r="N138" s="5" t="n">
        <v>0.55</v>
      </c>
    </row>
    <row r="139">
      <c r="A139" t="n">
        <v>138</v>
      </c>
      <c r="B139" t="n">
        <v>2013</v>
      </c>
      <c r="C139" t="inlineStr">
        <is>
          <t>Bianca Nestor</t>
        </is>
      </c>
      <c r="D139">
        <f>HYPERLINK("https://ota.tournamentsoftware.com/player-profile/8BAE5D37-8145-43F6-9016-30DDC5E4E994", "Link")</f>
        <v/>
      </c>
      <c r="E139" s="3" t="n">
        <v>587.992</v>
      </c>
      <c r="F139" s="4" t="n">
        <v>23</v>
      </c>
      <c r="G139" t="inlineStr">
        <is>
          <t>Ontario Tennis Association</t>
        </is>
      </c>
      <c r="H139" t="inlineStr">
        <is>
          <t>Toronto Lawn Tennis Club</t>
        </is>
      </c>
      <c r="I139" t="n">
        <v>30.3</v>
      </c>
      <c r="J139" s="4" t="n">
        <v>194</v>
      </c>
      <c r="K139" t="inlineStr">
        <is>
          <t>95 / 99</t>
        </is>
      </c>
      <c r="L139" t="inlineStr">
        <is>
          <t>14 / 13</t>
        </is>
      </c>
      <c r="M139" s="5" t="n">
        <v>0.49</v>
      </c>
      <c r="N139" s="5" t="n">
        <v>0.52</v>
      </c>
    </row>
    <row r="140">
      <c r="A140" t="n">
        <v>139</v>
      </c>
      <c r="B140" t="n">
        <v>2013</v>
      </c>
      <c r="C140" t="inlineStr">
        <is>
          <t>Zoe Yeung</t>
        </is>
      </c>
      <c r="D140">
        <f>HYPERLINK("https://ota.tournamentsoftware.com/player-profile/69712725-5DA5-49A3-9C42-5A05BBB6B230", "Link")</f>
        <v/>
      </c>
      <c r="E140" s="3" t="n">
        <v>583.942</v>
      </c>
      <c r="F140" s="4" t="n">
        <v>16</v>
      </c>
      <c r="G140" t="inlineStr">
        <is>
          <t>Tennis Alberta</t>
        </is>
      </c>
      <c r="H140" t="inlineStr">
        <is>
          <t>Osten &amp; Victor Alberta Tennis Centre</t>
        </is>
      </c>
      <c r="I140" t="n">
        <v>29.2</v>
      </c>
      <c r="J140" s="4" t="n">
        <v>184</v>
      </c>
      <c r="K140" t="inlineStr">
        <is>
          <t>87 / 97</t>
        </is>
      </c>
      <c r="L140" t="inlineStr">
        <is>
          <t>13 / 16</t>
        </is>
      </c>
      <c r="M140" s="5" t="n">
        <v>0.47</v>
      </c>
      <c r="N140" s="5" t="n">
        <v>0.45</v>
      </c>
    </row>
    <row r="141">
      <c r="A141" t="n">
        <v>140</v>
      </c>
      <c r="B141" t="n">
        <v>2012</v>
      </c>
      <c r="C141" t="inlineStr">
        <is>
          <t>Malia Lee Datta</t>
        </is>
      </c>
      <c r="D141">
        <f>HYPERLINK("https://ota.tournamentsoftware.com/player-profile/0FC1E5E7-0316-49C4-95C5-C429E3032398", "Link")</f>
        <v/>
      </c>
      <c r="E141" s="3" t="n">
        <v>583.375</v>
      </c>
      <c r="F141" s="4" t="n">
        <v>17</v>
      </c>
      <c r="G141" t="inlineStr">
        <is>
          <t>Tennis Alberta</t>
        </is>
      </c>
      <c r="H141" t="inlineStr">
        <is>
          <t>Calgary Winter Club</t>
        </is>
      </c>
      <c r="I141" t="n">
        <v>28.5</v>
      </c>
      <c r="J141" s="4" t="n">
        <v>149</v>
      </c>
      <c r="K141" t="inlineStr">
        <is>
          <t>64 / 85</t>
        </is>
      </c>
      <c r="L141" t="inlineStr">
        <is>
          <t>13 / 18</t>
        </is>
      </c>
      <c r="M141" s="5" t="n">
        <v>0.43</v>
      </c>
      <c r="N141" s="5" t="n">
        <v>0.42</v>
      </c>
    </row>
    <row r="142">
      <c r="A142" t="n">
        <v>141</v>
      </c>
      <c r="B142" t="n">
        <v>2014</v>
      </c>
      <c r="C142" t="inlineStr">
        <is>
          <t>Evelyn Wang</t>
        </is>
      </c>
      <c r="D142">
        <f>HYPERLINK("https://ota.tournamentsoftware.com/player-profile/3A43E7FB-647C-4296-8E8D-106421DC2080", "Link")</f>
        <v/>
      </c>
      <c r="E142" s="3" t="n">
        <v>579.64</v>
      </c>
      <c r="F142" s="4" t="n">
        <v>18</v>
      </c>
      <c r="G142" t="inlineStr">
        <is>
          <t>British Columbia</t>
        </is>
      </c>
      <c r="H142" t="inlineStr">
        <is>
          <t>UBC Tennis Centre</t>
        </is>
      </c>
      <c r="I142" t="n">
        <v>28.4</v>
      </c>
      <c r="J142" s="4" t="n">
        <v>245</v>
      </c>
      <c r="K142" t="inlineStr">
        <is>
          <t>122 / 123</t>
        </is>
      </c>
      <c r="L142" t="inlineStr">
        <is>
          <t>26 / 24</t>
        </is>
      </c>
      <c r="M142" s="5" t="n">
        <v>0.5</v>
      </c>
      <c r="N142" s="5" t="n">
        <v>0.52</v>
      </c>
    </row>
    <row r="143">
      <c r="A143" t="n">
        <v>142</v>
      </c>
      <c r="B143" t="n">
        <v>2015</v>
      </c>
      <c r="C143" t="inlineStr">
        <is>
          <t>Amy Jiao</t>
        </is>
      </c>
      <c r="D143">
        <f>HYPERLINK("https://ota.tournamentsoftware.com/player-profile/5977984B-8EC9-4812-BCFA-CD93C4FFD7AF", "Link")</f>
        <v/>
      </c>
      <c r="E143" s="3" t="n">
        <v>579.221</v>
      </c>
      <c r="F143" s="4" t="n">
        <v>22</v>
      </c>
      <c r="G143" t="inlineStr">
        <is>
          <t>Ontario Tennis Association</t>
        </is>
      </c>
      <c r="H143" t="inlineStr">
        <is>
          <t>Rideau Sports Centre</t>
        </is>
      </c>
      <c r="I143" t="n">
        <v>29.9</v>
      </c>
      <c r="J143" s="4" t="n">
        <v>291</v>
      </c>
      <c r="K143" t="inlineStr">
        <is>
          <t>164 / 127</t>
        </is>
      </c>
      <c r="L143" t="inlineStr">
        <is>
          <t>45 / 25</t>
        </is>
      </c>
      <c r="M143" s="5" t="n">
        <v>0.5600000000000001</v>
      </c>
      <c r="N143" s="5" t="n">
        <v>0.64</v>
      </c>
    </row>
    <row r="144">
      <c r="A144" t="n">
        <v>143</v>
      </c>
      <c r="B144" t="n">
        <v>2012</v>
      </c>
      <c r="C144" t="inlineStr">
        <is>
          <t>Eliana Cantin</t>
        </is>
      </c>
      <c r="D144">
        <f>HYPERLINK("https://ota.tournamentsoftware.com/player-profile/D4DBD3FF-74D7-4D84-BB8F-104CA729E69E", "Link")</f>
        <v/>
      </c>
      <c r="E144" s="3" t="n">
        <v>579.148</v>
      </c>
      <c r="F144" s="4" t="n">
        <v>14</v>
      </c>
      <c r="G144" t="inlineStr">
        <is>
          <t>Tennis Québec</t>
        </is>
      </c>
      <c r="H144" t="inlineStr">
        <is>
          <t>Centre récréatif de Repentigny / Académie Tennis Momentum</t>
        </is>
      </c>
      <c r="I144" t="n">
        <v>29</v>
      </c>
      <c r="J144" s="4" t="n">
        <v>186</v>
      </c>
      <c r="K144" t="inlineStr">
        <is>
          <t>91 / 95</t>
        </is>
      </c>
      <c r="L144" t="inlineStr">
        <is>
          <t>9 / 16</t>
        </is>
      </c>
      <c r="M144" s="5" t="n">
        <v>0.49</v>
      </c>
      <c r="N144" s="5" t="n">
        <v>0.36</v>
      </c>
    </row>
    <row r="145">
      <c r="A145" t="n">
        <v>144</v>
      </c>
      <c r="B145" t="n">
        <v>2014</v>
      </c>
      <c r="C145" t="inlineStr">
        <is>
          <t>Emmanuella Ibrahim</t>
        </is>
      </c>
      <c r="D145">
        <f>HYPERLINK("https://ota.tournamentsoftware.com/player-profile/8CFFE2B1-9508-4CB2-8E6A-6761AA8394EA", "Link")</f>
        <v/>
      </c>
      <c r="E145" s="3" t="n">
        <v>578.7430000000001</v>
      </c>
      <c r="F145" s="4" t="n">
        <v>17</v>
      </c>
      <c r="G145" t="inlineStr">
        <is>
          <t>Tennis Alberta</t>
        </is>
      </c>
      <c r="H145" t="inlineStr">
        <is>
          <t>Aforza</t>
        </is>
      </c>
      <c r="I145" t="inlineStr">
        <is>
          <t>unavailable</t>
        </is>
      </c>
      <c r="J145" s="4" t="n">
        <v>189</v>
      </c>
      <c r="K145" t="inlineStr">
        <is>
          <t>137 / 52</t>
        </is>
      </c>
      <c r="L145" t="inlineStr">
        <is>
          <t>39 / 15</t>
        </is>
      </c>
      <c r="M145" s="5" t="n">
        <v>0.72</v>
      </c>
      <c r="N145" s="5" t="n">
        <v>0.72</v>
      </c>
    </row>
    <row r="146">
      <c r="A146" t="n">
        <v>145</v>
      </c>
      <c r="B146" t="n">
        <v>2013</v>
      </c>
      <c r="C146" t="inlineStr">
        <is>
          <t>Maliah Morgan</t>
        </is>
      </c>
      <c r="D146">
        <f>HYPERLINK("https://ota.tournamentsoftware.com/player-profile/9A3C1326-AE04-42FE-BCE6-AF95D32715F8", "Link")</f>
        <v/>
      </c>
      <c r="E146" s="3" t="n">
        <v>577.035</v>
      </c>
      <c r="F146" s="4" t="n">
        <v>20</v>
      </c>
      <c r="G146" t="inlineStr">
        <is>
          <t>Ontario Tennis Association</t>
        </is>
      </c>
      <c r="H146" t="inlineStr">
        <is>
          <t>Joshua Creek Golf &amp; Tennis</t>
        </is>
      </c>
      <c r="I146" t="n">
        <v>29.1</v>
      </c>
      <c r="J146" s="4" t="n">
        <v>186</v>
      </c>
      <c r="K146" t="inlineStr">
        <is>
          <t>111 / 75</t>
        </is>
      </c>
      <c r="L146" t="inlineStr">
        <is>
          <t>11 / 12</t>
        </is>
      </c>
      <c r="M146" s="5" t="n">
        <v>0.6</v>
      </c>
      <c r="N146" s="5" t="n">
        <v>0.48</v>
      </c>
    </row>
    <row r="147">
      <c r="A147" t="n">
        <v>146</v>
      </c>
      <c r="B147" t="n">
        <v>2012</v>
      </c>
      <c r="C147" t="inlineStr">
        <is>
          <t>Caroline ChuYun Yang</t>
        </is>
      </c>
      <c r="D147">
        <f>HYPERLINK("https://ota.tournamentsoftware.com/player-profile/973A8D96-42F5-42BC-9DF2-0A195E1A983F", "Link")</f>
        <v/>
      </c>
      <c r="E147" s="3" t="n">
        <v>574.0700000000001</v>
      </c>
      <c r="F147" s="4" t="n">
        <v>22</v>
      </c>
      <c r="G147" t="inlineStr">
        <is>
          <t>British Columbia</t>
        </is>
      </c>
      <c r="H147" t="inlineStr">
        <is>
          <t>The Tennis Centre</t>
        </is>
      </c>
      <c r="I147" t="n">
        <v>28.5</v>
      </c>
      <c r="J147" s="4" t="n">
        <v>265</v>
      </c>
      <c r="K147" t="inlineStr">
        <is>
          <t>159 / 106</t>
        </is>
      </c>
      <c r="L147" t="inlineStr">
        <is>
          <t>27 / 20</t>
        </is>
      </c>
      <c r="M147" s="5" t="n">
        <v>0.6</v>
      </c>
      <c r="N147" s="5" t="n">
        <v>0.57</v>
      </c>
    </row>
    <row r="148">
      <c r="A148" t="n">
        <v>147</v>
      </c>
      <c r="B148" t="n">
        <v>2012</v>
      </c>
      <c r="C148" t="inlineStr">
        <is>
          <t>Madison Tam</t>
        </is>
      </c>
      <c r="D148">
        <f>HYPERLINK("https://ota.tournamentsoftware.com/player-profile/827C7FCD-2D7D-406E-B5C0-29D0720096DC", "Link")</f>
        <v/>
      </c>
      <c r="E148" s="3" t="n">
        <v>572.6</v>
      </c>
      <c r="F148" s="4" t="n">
        <v>21</v>
      </c>
      <c r="G148" t="inlineStr">
        <is>
          <t>Ontario Tennis Association</t>
        </is>
      </c>
      <c r="H148" t="inlineStr">
        <is>
          <t>Sir Winston Churchill Tennis Club</t>
        </is>
      </c>
      <c r="I148" t="n">
        <v>29.2</v>
      </c>
      <c r="J148" s="4" t="n">
        <v>438</v>
      </c>
      <c r="K148" t="inlineStr">
        <is>
          <t>313 / 125</t>
        </is>
      </c>
      <c r="L148" t="inlineStr">
        <is>
          <t>16 / 10</t>
        </is>
      </c>
      <c r="M148" s="5" t="n">
        <v>0.71</v>
      </c>
      <c r="N148" s="5" t="n">
        <v>0.62</v>
      </c>
    </row>
    <row r="149">
      <c r="A149" t="n">
        <v>148</v>
      </c>
      <c r="B149" t="n">
        <v>2012</v>
      </c>
      <c r="C149" t="inlineStr">
        <is>
          <t>Alexandra Dorobantu</t>
        </is>
      </c>
      <c r="D149">
        <f>HYPERLINK("https://ota.tournamentsoftware.com/player-profile/CE7FB59F-F5CB-4CA3-A3EB-27DC05EB2B7D", "Link")</f>
        <v/>
      </c>
      <c r="E149" s="3" t="n">
        <v>568.771</v>
      </c>
      <c r="F149" s="4" t="n">
        <v>13</v>
      </c>
      <c r="G149" t="inlineStr">
        <is>
          <t>Tennis Alberta</t>
        </is>
      </c>
      <c r="H149" t="inlineStr">
        <is>
          <t>Saville Community Sports Centre</t>
        </is>
      </c>
      <c r="I149" t="inlineStr">
        <is>
          <t>unavailable</t>
        </is>
      </c>
      <c r="J149" s="4" t="n">
        <v>156</v>
      </c>
      <c r="K149" t="inlineStr">
        <is>
          <t>76 / 80</t>
        </is>
      </c>
      <c r="L149" t="inlineStr">
        <is>
          <t>14 / 17</t>
        </is>
      </c>
      <c r="M149" s="5" t="n">
        <v>0.49</v>
      </c>
      <c r="N149" s="5" t="n">
        <v>0.45</v>
      </c>
    </row>
    <row r="150">
      <c r="A150" t="n">
        <v>149</v>
      </c>
      <c r="B150" t="n">
        <v>2012</v>
      </c>
      <c r="C150" t="inlineStr">
        <is>
          <t>Avea Ungureanu Pinto</t>
        </is>
      </c>
      <c r="D150">
        <f>HYPERLINK("https://ota.tournamentsoftware.com/player-profile/527FEC9E-D920-4439-9E01-51A3CFDED939", "Link")</f>
        <v/>
      </c>
      <c r="E150" s="3" t="n">
        <v>566.549</v>
      </c>
      <c r="F150" s="4" t="n">
        <v>26</v>
      </c>
      <c r="G150" t="inlineStr">
        <is>
          <t>Ontario Tennis Association</t>
        </is>
      </c>
      <c r="H150" t="inlineStr">
        <is>
          <t>Mayfair East Racquet Club</t>
        </is>
      </c>
      <c r="I150" t="n">
        <v>29.3</v>
      </c>
      <c r="J150" s="4" t="n">
        <v>137</v>
      </c>
      <c r="K150" t="inlineStr">
        <is>
          <t>73 / 64</t>
        </is>
      </c>
      <c r="L150" t="inlineStr">
        <is>
          <t>18 / 15</t>
        </is>
      </c>
      <c r="M150" s="5" t="n">
        <v>0.53</v>
      </c>
      <c r="N150" s="5" t="n">
        <v>0.55</v>
      </c>
    </row>
    <row r="151">
      <c r="A151" t="n">
        <v>150</v>
      </c>
      <c r="B151" t="n">
        <v>2012</v>
      </c>
      <c r="C151" t="inlineStr">
        <is>
          <t>Marisol Hilal</t>
        </is>
      </c>
      <c r="D151">
        <f>HYPERLINK("https://ota.tournamentsoftware.com/player-profile/A59841ED-F3F4-4773-A197-5502453988FE", "Link")</f>
        <v/>
      </c>
      <c r="E151" s="3" t="n">
        <v>541.679</v>
      </c>
      <c r="F151" s="4" t="n">
        <v>30</v>
      </c>
      <c r="G151" t="inlineStr">
        <is>
          <t>Tennis Québec</t>
        </is>
      </c>
      <c r="H151" t="inlineStr">
        <is>
          <t>Carrefour Multisports</t>
        </is>
      </c>
      <c r="I151" t="n">
        <v>29.8</v>
      </c>
      <c r="J151" s="4" t="n">
        <v>281</v>
      </c>
      <c r="K151" t="inlineStr">
        <is>
          <t>113 / 168</t>
        </is>
      </c>
      <c r="L151" t="inlineStr">
        <is>
          <t>16 / 23</t>
        </is>
      </c>
      <c r="M151" s="5" t="n">
        <v>0.4</v>
      </c>
      <c r="N151" s="5" t="n">
        <v>0.41</v>
      </c>
    </row>
    <row r="152">
      <c r="A152" t="n">
        <v>151</v>
      </c>
      <c r="B152" t="n">
        <v>2013</v>
      </c>
      <c r="C152" t="inlineStr">
        <is>
          <t>Mathilde Labeeuw</t>
        </is>
      </c>
      <c r="D152">
        <f>HYPERLINK("https://ota.tournamentsoftware.com/player-profile/ACCBCF37-0334-4ED1-B564-DFD6E35F3445", "Link")</f>
        <v/>
      </c>
      <c r="E152" s="3" t="n">
        <v>541.425</v>
      </c>
      <c r="F152" s="4" t="n">
        <v>22</v>
      </c>
      <c r="G152" t="inlineStr">
        <is>
          <t>Tennis Québec</t>
        </is>
      </c>
      <c r="H152" t="inlineStr">
        <is>
          <t>SANI Sport</t>
        </is>
      </c>
      <c r="I152" t="n">
        <v>30.5</v>
      </c>
      <c r="J152" s="4" t="n">
        <v>189</v>
      </c>
      <c r="K152" t="inlineStr">
        <is>
          <t>89 / 100</t>
        </is>
      </c>
      <c r="L152" t="inlineStr">
        <is>
          <t>11 / 14</t>
        </is>
      </c>
      <c r="M152" s="5" t="n">
        <v>0.47</v>
      </c>
      <c r="N152" s="5" t="n">
        <v>0.44</v>
      </c>
    </row>
    <row r="153">
      <c r="A153" t="n">
        <v>152</v>
      </c>
      <c r="B153" t="n">
        <v>2012</v>
      </c>
      <c r="C153" t="inlineStr">
        <is>
          <t>Riddhi Jha</t>
        </is>
      </c>
      <c r="D153">
        <f>HYPERLINK("https://ota.tournamentsoftware.com/player-profile/3B4B01BB-2AAD-49DD-B186-312576B12DC9", "Link")</f>
        <v/>
      </c>
      <c r="E153" s="3" t="n">
        <v>540.386</v>
      </c>
      <c r="F153" s="4" t="n">
        <v>13</v>
      </c>
      <c r="G153" t="inlineStr">
        <is>
          <t>Ontario Tennis Association</t>
        </is>
      </c>
      <c r="H153" t="inlineStr">
        <is>
          <t>Bramalea Tennis Club</t>
        </is>
      </c>
      <c r="I153" t="n">
        <v>31.5</v>
      </c>
      <c r="J153" s="4" t="n">
        <v>241</v>
      </c>
      <c r="K153" t="inlineStr">
        <is>
          <t>89 / 152</t>
        </is>
      </c>
      <c r="L153" t="inlineStr">
        <is>
          <t>18 / 11</t>
        </is>
      </c>
      <c r="M153" s="5" t="n">
        <v>0.37</v>
      </c>
      <c r="N153" s="5" t="n">
        <v>0.62</v>
      </c>
    </row>
    <row r="154">
      <c r="A154" t="n">
        <v>153</v>
      </c>
      <c r="B154" t="n">
        <v>2012</v>
      </c>
      <c r="C154" t="inlineStr">
        <is>
          <t>Joanna Pananchickal</t>
        </is>
      </c>
      <c r="D154">
        <f>HYPERLINK("https://ota.tournamentsoftware.com/player-profile/6487D297-D67D-4189-9D3C-05A8EA398E60", "Link")</f>
        <v/>
      </c>
      <c r="E154" s="3" t="n">
        <v>537.371</v>
      </c>
      <c r="F154" s="4" t="n">
        <v>10</v>
      </c>
      <c r="G154" t="inlineStr">
        <is>
          <t>Ontario Tennis Association</t>
        </is>
      </c>
      <c r="H154" t="inlineStr">
        <is>
          <t>No Club</t>
        </is>
      </c>
      <c r="I154" t="n">
        <v>31</v>
      </c>
      <c r="J154" s="4" t="n">
        <v>63</v>
      </c>
      <c r="K154" t="inlineStr">
        <is>
          <t>29 / 34</t>
        </is>
      </c>
      <c r="L154" t="inlineStr">
        <is>
          <t>11 / 6</t>
        </is>
      </c>
      <c r="M154" s="5" t="n">
        <v>0.46</v>
      </c>
      <c r="N154" s="5" t="n">
        <v>0.65</v>
      </c>
    </row>
    <row r="155">
      <c r="A155" t="n">
        <v>154</v>
      </c>
      <c r="B155" t="n">
        <v>2014</v>
      </c>
      <c r="C155" t="inlineStr">
        <is>
          <t>Alice Yu-Qi Ren</t>
        </is>
      </c>
      <c r="D155">
        <f>HYPERLINK("https://ota.tournamentsoftware.com/player-profile/FE127D3B-825E-4C4F-9666-BA4529348FE4", "Link")</f>
        <v/>
      </c>
      <c r="E155" s="3" t="n">
        <v>535.64</v>
      </c>
      <c r="F155" s="4" t="n">
        <v>18</v>
      </c>
      <c r="G155" t="inlineStr">
        <is>
          <t>Tennis Alberta</t>
        </is>
      </c>
      <c r="H155" t="inlineStr">
        <is>
          <t>Saville Community Sports Centre</t>
        </is>
      </c>
      <c r="I155" t="n">
        <v>28.2</v>
      </c>
      <c r="J155" s="4" t="n">
        <v>207</v>
      </c>
      <c r="K155" t="inlineStr">
        <is>
          <t>141 / 66</t>
        </is>
      </c>
      <c r="L155" t="inlineStr">
        <is>
          <t>38 / 17</t>
        </is>
      </c>
      <c r="M155" s="5" t="n">
        <v>0.68</v>
      </c>
      <c r="N155" s="5" t="n">
        <v>0.6899999999999999</v>
      </c>
    </row>
    <row r="156">
      <c r="A156" t="n">
        <v>155</v>
      </c>
      <c r="B156" t="n">
        <v>2012</v>
      </c>
      <c r="C156" t="inlineStr">
        <is>
          <t>Yuehan DONG</t>
        </is>
      </c>
      <c r="D156">
        <f>HYPERLINK("https://ota.tournamentsoftware.com/player-profile/F5996998-771E-46C9-A222-1C90911DD4C3", "Link")</f>
        <v/>
      </c>
      <c r="E156" s="3" t="n">
        <v>534.77</v>
      </c>
      <c r="F156" s="4" t="n">
        <v>31</v>
      </c>
      <c r="G156" t="inlineStr">
        <is>
          <t>Ontario Tennis Association</t>
        </is>
      </c>
      <c r="H156" t="inlineStr">
        <is>
          <t>Fainblum Tennis Academy</t>
        </is>
      </c>
      <c r="I156" t="n">
        <v>31.7</v>
      </c>
      <c r="J156" s="4" t="n">
        <v>125</v>
      </c>
      <c r="K156" t="inlineStr">
        <is>
          <t>56 / 69</t>
        </is>
      </c>
      <c r="L156" t="inlineStr">
        <is>
          <t>8 / 18</t>
        </is>
      </c>
      <c r="M156" s="5" t="n">
        <v>0.45</v>
      </c>
      <c r="N156" s="5" t="n">
        <v>0.31</v>
      </c>
    </row>
    <row r="157">
      <c r="A157" t="n">
        <v>156</v>
      </c>
      <c r="B157" t="n">
        <v>2012</v>
      </c>
      <c r="C157" t="inlineStr">
        <is>
          <t>Emma Sun</t>
        </is>
      </c>
      <c r="D157">
        <f>HYPERLINK("https://ota.tournamentsoftware.com/player-profile/00B8EFA4-17DF-49B4-90DE-B5A577BC8620", "Link")</f>
        <v/>
      </c>
      <c r="E157" s="3" t="n">
        <v>530.172</v>
      </c>
      <c r="F157" s="4" t="n">
        <v>17</v>
      </c>
      <c r="G157" t="inlineStr">
        <is>
          <t>British Columbia</t>
        </is>
      </c>
      <c r="H157" t="inlineStr">
        <is>
          <t>The Tennis Centre</t>
        </is>
      </c>
      <c r="I157" t="n">
        <v>27.6</v>
      </c>
      <c r="J157" s="4" t="n">
        <v>258</v>
      </c>
      <c r="K157" t="inlineStr">
        <is>
          <t>123 / 135</t>
        </is>
      </c>
      <c r="L157" t="inlineStr">
        <is>
          <t>14 / 14</t>
        </is>
      </c>
      <c r="M157" s="5" t="n">
        <v>0.48</v>
      </c>
      <c r="N157" s="5" t="n">
        <v>0.5</v>
      </c>
    </row>
    <row r="158">
      <c r="A158" t="n">
        <v>157</v>
      </c>
      <c r="B158" t="n">
        <v>2015</v>
      </c>
      <c r="C158" t="inlineStr">
        <is>
          <t>Alexia Djomo</t>
        </is>
      </c>
      <c r="D158">
        <f>HYPERLINK("https://ota.tournamentsoftware.com/player-profile/DCE433A3-22C1-4484-BA5B-62931094794E", "Link")</f>
        <v/>
      </c>
      <c r="E158" s="3" t="n">
        <v>529.005</v>
      </c>
      <c r="F158" s="4" t="n">
        <v>12</v>
      </c>
      <c r="G158" t="inlineStr">
        <is>
          <t>Tennis Manitoba</t>
        </is>
      </c>
      <c r="H158" t="inlineStr">
        <is>
          <t>Winnipeg Winter Club</t>
        </is>
      </c>
      <c r="I158" t="n">
        <v>33.3</v>
      </c>
      <c r="J158" s="4" t="n">
        <v>78</v>
      </c>
      <c r="K158" t="inlineStr">
        <is>
          <t>31 / 47</t>
        </is>
      </c>
      <c r="L158" t="inlineStr">
        <is>
          <t>24 / 28</t>
        </is>
      </c>
      <c r="M158" s="5" t="n">
        <v>0.4</v>
      </c>
      <c r="N158" s="5" t="n">
        <v>0.46</v>
      </c>
    </row>
    <row r="159">
      <c r="A159" t="n">
        <v>158</v>
      </c>
      <c r="B159" t="n">
        <v>2014</v>
      </c>
      <c r="C159" t="inlineStr">
        <is>
          <t>Sophie Lu</t>
        </is>
      </c>
      <c r="D159">
        <f>HYPERLINK("https://ota.tournamentsoftware.com/player-profile/5C3C8ABA-3BF6-4232-B65C-B26C16207D0A", "Link")</f>
        <v/>
      </c>
      <c r="E159" s="3" t="n">
        <v>528.918</v>
      </c>
      <c r="F159" s="4" t="n">
        <v>18</v>
      </c>
      <c r="G159" t="inlineStr">
        <is>
          <t>Tennis Québec</t>
        </is>
      </c>
      <c r="H159" t="inlineStr">
        <is>
          <t>Tennis Ile- des- Soeurs</t>
        </is>
      </c>
      <c r="I159" t="inlineStr">
        <is>
          <t>unavailable</t>
        </is>
      </c>
      <c r="J159" s="4" t="n">
        <v>209</v>
      </c>
      <c r="K159" t="inlineStr">
        <is>
          <t>107 / 102</t>
        </is>
      </c>
      <c r="L159" t="inlineStr">
        <is>
          <t>36 / 23</t>
        </is>
      </c>
      <c r="M159" s="5" t="n">
        <v>0.51</v>
      </c>
      <c r="N159" s="5" t="n">
        <v>0.61</v>
      </c>
    </row>
    <row r="160">
      <c r="A160" t="n">
        <v>159</v>
      </c>
      <c r="B160" t="n">
        <v>2014</v>
      </c>
      <c r="C160" t="inlineStr">
        <is>
          <t>Charlie Thomas-Simard</t>
        </is>
      </c>
      <c r="D160">
        <f>HYPERLINK("https://ota.tournamentsoftware.com/player-profile/E101E3D0-39D8-4861-AB44-D9BE1C346E1E", "Link")</f>
        <v/>
      </c>
      <c r="E160" s="3" t="n">
        <v>528.784</v>
      </c>
      <c r="F160" s="4" t="n">
        <v>23</v>
      </c>
      <c r="G160" t="inlineStr">
        <is>
          <t>Tennis Québec</t>
        </is>
      </c>
      <c r="H160" t="inlineStr">
        <is>
          <t>Club Avantage Multi-sports / Académie de tennis Hérisset Bordeleau</t>
        </is>
      </c>
      <c r="I160" t="n">
        <v>31.1</v>
      </c>
      <c r="J160" s="4" t="n">
        <v>121</v>
      </c>
      <c r="K160" t="inlineStr">
        <is>
          <t>65 / 56</t>
        </is>
      </c>
      <c r="L160" t="inlineStr">
        <is>
          <t>29 / 28</t>
        </is>
      </c>
      <c r="M160" s="5" t="n">
        <v>0.54</v>
      </c>
      <c r="N160" s="5" t="n">
        <v>0.51</v>
      </c>
    </row>
    <row r="161">
      <c r="A161" t="n">
        <v>160</v>
      </c>
      <c r="B161" t="n">
        <v>2013</v>
      </c>
      <c r="C161" t="inlineStr">
        <is>
          <t>Sonya Notta</t>
        </is>
      </c>
      <c r="D161">
        <f>HYPERLINK("https://ota.tournamentsoftware.com/player-profile/6AF626BE-D8F1-4939-AF03-813D0A17EE25", "Link")</f>
        <v/>
      </c>
      <c r="E161" s="3" t="n">
        <v>527.968</v>
      </c>
      <c r="F161" s="4" t="n">
        <v>9</v>
      </c>
      <c r="G161" t="inlineStr">
        <is>
          <t>Ontario Tennis Association</t>
        </is>
      </c>
      <c r="H161" t="inlineStr">
        <is>
          <t>Mayfair East Racquet Club</t>
        </is>
      </c>
      <c r="I161" t="inlineStr">
        <is>
          <t>unavailable</t>
        </is>
      </c>
      <c r="J161" s="4" t="n">
        <v>76</v>
      </c>
      <c r="K161" t="inlineStr">
        <is>
          <t>51 / 25</t>
        </is>
      </c>
      <c r="L161" t="inlineStr">
        <is>
          <t>8 / 3</t>
        </is>
      </c>
      <c r="M161" s="5" t="n">
        <v>0.67</v>
      </c>
      <c r="N161" s="5" t="n">
        <v>0.73</v>
      </c>
    </row>
    <row r="162">
      <c r="A162" t="n">
        <v>161</v>
      </c>
      <c r="B162" t="n">
        <v>2012</v>
      </c>
      <c r="C162" t="inlineStr">
        <is>
          <t>Lourdes Valentina Haun</t>
        </is>
      </c>
      <c r="D162">
        <f>HYPERLINK("https://ota.tournamentsoftware.com/player-profile/97D1640C-AAFD-43B2-8C9A-BAA1649A3937", "Link")</f>
        <v/>
      </c>
      <c r="E162" s="3" t="n">
        <v>527.521</v>
      </c>
      <c r="F162" s="4" t="n">
        <v>13</v>
      </c>
      <c r="G162" t="inlineStr">
        <is>
          <t>Tennis Alberta</t>
        </is>
      </c>
      <c r="H162" t="inlineStr">
        <is>
          <t>Osten &amp; Victor Alberta Tennis Centre</t>
        </is>
      </c>
      <c r="I162" t="n">
        <v>25.5</v>
      </c>
      <c r="J162" s="4" t="n">
        <v>287</v>
      </c>
      <c r="K162" t="inlineStr">
        <is>
          <t>169 / 118</t>
        </is>
      </c>
      <c r="L162" t="inlineStr">
        <is>
          <t>20 / 12</t>
        </is>
      </c>
      <c r="M162" s="5" t="n">
        <v>0.59</v>
      </c>
      <c r="N162" s="5" t="n">
        <v>0.62</v>
      </c>
    </row>
    <row r="163">
      <c r="A163" t="n">
        <v>162</v>
      </c>
      <c r="B163" t="n">
        <v>2012</v>
      </c>
      <c r="C163" t="inlineStr">
        <is>
          <t>Daniella Kulemin</t>
        </is>
      </c>
      <c r="D163">
        <f>HYPERLINK("https://ota.tournamentsoftware.com/player-profile/665847C2-A172-4164-B9E1-C1030269B793", "Link")</f>
        <v/>
      </c>
      <c r="E163" s="3" t="n">
        <v>515.465</v>
      </c>
      <c r="F163" s="4" t="n">
        <v>18</v>
      </c>
      <c r="G163" t="inlineStr">
        <is>
          <t>Ontario Tennis Association</t>
        </is>
      </c>
      <c r="H163" t="inlineStr">
        <is>
          <t>Concord Tennis Academy</t>
        </is>
      </c>
      <c r="I163" t="n">
        <v>30.6</v>
      </c>
      <c r="J163" s="4" t="n">
        <v>55</v>
      </c>
      <c r="K163" t="inlineStr">
        <is>
          <t>25 / 30</t>
        </is>
      </c>
      <c r="L163" t="inlineStr">
        <is>
          <t>15 / 16</t>
        </is>
      </c>
      <c r="M163" s="5" t="n">
        <v>0.45</v>
      </c>
      <c r="N163" s="5" t="n">
        <v>0.48</v>
      </c>
    </row>
    <row r="164">
      <c r="A164" t="n">
        <v>163</v>
      </c>
      <c r="B164" t="n">
        <v>2012</v>
      </c>
      <c r="C164" t="inlineStr">
        <is>
          <t>Izibeyle Bhopal</t>
        </is>
      </c>
      <c r="D164">
        <f>HYPERLINK("https://ota.tournamentsoftware.com/player-profile/E9C7A60A-D097-4925-9456-764C57DCF01A", "Link")</f>
        <v/>
      </c>
      <c r="E164" s="3" t="n">
        <v>514.73</v>
      </c>
      <c r="F164" s="4" t="n">
        <v>3</v>
      </c>
      <c r="G164" t="inlineStr">
        <is>
          <t>British Columbia</t>
        </is>
      </c>
      <c r="H164" t="inlineStr">
        <is>
          <t>Bear Mountain Tennis Centre</t>
        </is>
      </c>
      <c r="I164" t="n">
        <v>24.4</v>
      </c>
      <c r="J164" s="4" t="n">
        <v>64</v>
      </c>
      <c r="K164" t="inlineStr">
        <is>
          <t>39 / 25</t>
        </is>
      </c>
      <c r="L164" t="inlineStr">
        <is>
          <t>4 / 0</t>
        </is>
      </c>
      <c r="M164" s="5" t="n">
        <v>0.61</v>
      </c>
      <c r="N164" s="5" t="n">
        <v>1</v>
      </c>
    </row>
    <row r="165">
      <c r="A165" t="n">
        <v>164</v>
      </c>
      <c r="B165" t="n">
        <v>2014</v>
      </c>
      <c r="C165" t="inlineStr">
        <is>
          <t>Michelle Zhang</t>
        </is>
      </c>
      <c r="D165">
        <f>HYPERLINK("https://ota.tournamentsoftware.com/player-profile/9912697B-2876-4A36-8F98-3B7F524694E1", "Link")</f>
        <v/>
      </c>
      <c r="E165" s="3" t="n">
        <v>514.627</v>
      </c>
      <c r="F165" s="4" t="n">
        <v>10</v>
      </c>
      <c r="G165" t="inlineStr">
        <is>
          <t>Tennis Nova Scotia</t>
        </is>
      </c>
      <c r="H165" t="inlineStr">
        <is>
          <t>Atlantic Tennis Centre</t>
        </is>
      </c>
      <c r="I165" t="n">
        <v>30.8</v>
      </c>
      <c r="J165" s="4" t="n">
        <v>152</v>
      </c>
      <c r="K165" t="inlineStr">
        <is>
          <t>87 / 65</t>
        </is>
      </c>
      <c r="L165" t="inlineStr">
        <is>
          <t>25 / 24</t>
        </is>
      </c>
      <c r="M165" s="5" t="n">
        <v>0.57</v>
      </c>
      <c r="N165" s="5" t="n">
        <v>0.51</v>
      </c>
    </row>
    <row r="166">
      <c r="A166" t="n">
        <v>165</v>
      </c>
      <c r="B166" t="n">
        <v>2013</v>
      </c>
      <c r="C166" t="inlineStr">
        <is>
          <t>Nelly Campagna</t>
        </is>
      </c>
      <c r="D166">
        <f>HYPERLINK("https://ota.tournamentsoftware.com/player-profile/57A742FF-F88B-4C14-A895-DA6559972095", "Link")</f>
        <v/>
      </c>
      <c r="E166" s="3" t="n">
        <v>514.603</v>
      </c>
      <c r="F166" s="4" t="n">
        <v>20</v>
      </c>
      <c r="G166" t="inlineStr">
        <is>
          <t>Tennis Québec</t>
        </is>
      </c>
      <c r="H166" t="inlineStr">
        <is>
          <t>Centre récréatif de Repentigny / Académie Tennis Momentum</t>
        </is>
      </c>
      <c r="I166" t="n">
        <v>29.6</v>
      </c>
      <c r="J166" s="4" t="n">
        <v>167</v>
      </c>
      <c r="K166" t="inlineStr">
        <is>
          <t>89 / 78</t>
        </is>
      </c>
      <c r="L166" t="inlineStr">
        <is>
          <t>21 / 16</t>
        </is>
      </c>
      <c r="M166" s="5" t="n">
        <v>0.53</v>
      </c>
      <c r="N166" s="5" t="n">
        <v>0.57</v>
      </c>
    </row>
    <row r="167">
      <c r="A167" t="n">
        <v>166</v>
      </c>
      <c r="B167" t="n">
        <v>2012</v>
      </c>
      <c r="C167" t="inlineStr">
        <is>
          <t>Meeth Kaur Rai</t>
        </is>
      </c>
      <c r="D167">
        <f>HYPERLINK("https://ota.tournamentsoftware.com/player-profile/3C191393-570A-4DF7-80D4-0613143CE54B", "Link")</f>
        <v/>
      </c>
      <c r="E167" s="3" t="n">
        <v>511.12</v>
      </c>
      <c r="F167" s="4" t="n">
        <v>19</v>
      </c>
      <c r="G167" t="inlineStr">
        <is>
          <t>British Columbia</t>
        </is>
      </c>
      <c r="H167" t="inlineStr">
        <is>
          <t>No Club</t>
        </is>
      </c>
      <c r="I167" t="n">
        <v>28.5</v>
      </c>
      <c r="J167" s="4" t="n">
        <v>223</v>
      </c>
      <c r="K167" t="inlineStr">
        <is>
          <t>122 / 101</t>
        </is>
      </c>
      <c r="L167" t="inlineStr">
        <is>
          <t>12 / 24</t>
        </is>
      </c>
      <c r="M167" s="5" t="n">
        <v>0.55</v>
      </c>
      <c r="N167" s="5" t="n">
        <v>0.33</v>
      </c>
    </row>
    <row r="168">
      <c r="A168" t="n">
        <v>167</v>
      </c>
      <c r="B168" t="n">
        <v>2012</v>
      </c>
      <c r="C168" t="inlineStr">
        <is>
          <t>Ira Karthi</t>
        </is>
      </c>
      <c r="D168">
        <f>HYPERLINK("https://ota.tournamentsoftware.com/player-profile/87DFD688-7475-43FD-B605-7E13CDDC471C", "Link")</f>
        <v/>
      </c>
      <c r="E168" s="3" t="n">
        <v>509.725</v>
      </c>
      <c r="F168" s="4" t="n">
        <v>19</v>
      </c>
      <c r="G168" t="inlineStr">
        <is>
          <t>Ontario Tennis Association</t>
        </is>
      </c>
      <c r="H168" t="inlineStr">
        <is>
          <t>Sandy Beach Tennis Club</t>
        </is>
      </c>
      <c r="I168" t="n">
        <v>33.2</v>
      </c>
      <c r="J168" s="4" t="n">
        <v>73</v>
      </c>
      <c r="K168" t="inlineStr">
        <is>
          <t>22 / 51</t>
        </is>
      </c>
      <c r="L168" t="inlineStr">
        <is>
          <t>11 / 13</t>
        </is>
      </c>
      <c r="M168" s="5" t="n">
        <v>0.3</v>
      </c>
      <c r="N168" s="5" t="n">
        <v>0.46</v>
      </c>
    </row>
    <row r="169">
      <c r="A169" t="n">
        <v>168</v>
      </c>
      <c r="B169" t="n">
        <v>2014</v>
      </c>
      <c r="C169" t="inlineStr">
        <is>
          <t>Laetitia Thuy Van Nguyen</t>
        </is>
      </c>
      <c r="D169">
        <f>HYPERLINK("https://ota.tournamentsoftware.com/player-profile/B151CB64-D12D-48B2-8087-4EABB50157E8", "Link")</f>
        <v/>
      </c>
      <c r="E169" s="3" t="n">
        <v>508.37</v>
      </c>
      <c r="F169" s="4" t="n">
        <v>21</v>
      </c>
      <c r="G169" t="inlineStr">
        <is>
          <t>Tennis Québec</t>
        </is>
      </c>
      <c r="H169" t="inlineStr">
        <is>
          <t>Tennis Outaouais Performance (TOP)</t>
        </is>
      </c>
      <c r="I169" t="n">
        <v>29.7</v>
      </c>
      <c r="J169" s="4" t="n">
        <v>216</v>
      </c>
      <c r="K169" t="inlineStr">
        <is>
          <t>118 / 98</t>
        </is>
      </c>
      <c r="L169" t="inlineStr">
        <is>
          <t>32 / 23</t>
        </is>
      </c>
      <c r="M169" s="5" t="n">
        <v>0.55</v>
      </c>
      <c r="N169" s="5" t="n">
        <v>0.58</v>
      </c>
    </row>
    <row r="170">
      <c r="A170" t="n">
        <v>169</v>
      </c>
      <c r="B170" t="n">
        <v>2015</v>
      </c>
      <c r="C170" t="inlineStr">
        <is>
          <t>Grace Wang</t>
        </is>
      </c>
      <c r="D170">
        <f>HYPERLINK("https://ota.tournamentsoftware.com/player-profile/2F68C1DC-1A19-4E3A-AF58-6DC4541843F2", "Link")</f>
        <v/>
      </c>
      <c r="E170" s="3" t="n">
        <v>502.704</v>
      </c>
      <c r="F170" s="4" t="n">
        <v>25</v>
      </c>
      <c r="G170" t="inlineStr">
        <is>
          <t>British Columbia</t>
        </is>
      </c>
      <c r="H170" t="inlineStr">
        <is>
          <t>The Tennis Centre</t>
        </is>
      </c>
      <c r="I170" t="n">
        <v>29.4</v>
      </c>
      <c r="J170" s="4" t="n">
        <v>236</v>
      </c>
      <c r="K170" t="inlineStr">
        <is>
          <t>141 / 95</t>
        </is>
      </c>
      <c r="L170" t="inlineStr">
        <is>
          <t>40 / 22</t>
        </is>
      </c>
      <c r="M170" s="5" t="n">
        <v>0.6</v>
      </c>
      <c r="N170" s="5" t="n">
        <v>0.65</v>
      </c>
    </row>
    <row r="171">
      <c r="A171" t="n">
        <v>170</v>
      </c>
      <c r="B171" t="n">
        <v>2014</v>
      </c>
      <c r="C171" t="inlineStr">
        <is>
          <t>Fengfei ZHANG</t>
        </is>
      </c>
      <c r="D171">
        <f>HYPERLINK("https://ota.tournamentsoftware.com/player-profile/AB18AFB2-DEDF-42AF-BFB1-458553AF250C", "Link")</f>
        <v/>
      </c>
      <c r="E171" s="3" t="n">
        <v>502.112</v>
      </c>
      <c r="F171" s="4" t="n">
        <v>26</v>
      </c>
      <c r="G171" t="inlineStr">
        <is>
          <t>Tennis Québec</t>
        </is>
      </c>
      <c r="H171" t="inlineStr">
        <is>
          <t>Tennis Ile- des- Soeurs</t>
        </is>
      </c>
      <c r="I171" t="n">
        <v>30.1</v>
      </c>
      <c r="J171" s="4" t="n">
        <v>226</v>
      </c>
      <c r="K171" t="inlineStr">
        <is>
          <t>97 / 129</t>
        </is>
      </c>
      <c r="L171" t="inlineStr">
        <is>
          <t>31 / 30</t>
        </is>
      </c>
      <c r="M171" s="5" t="n">
        <v>0.43</v>
      </c>
      <c r="N171" s="5" t="n">
        <v>0.51</v>
      </c>
    </row>
    <row r="172">
      <c r="A172" t="n">
        <v>171</v>
      </c>
      <c r="B172" t="n">
        <v>2014</v>
      </c>
      <c r="C172" t="inlineStr">
        <is>
          <t>Veronica Mourlatov</t>
        </is>
      </c>
      <c r="D172">
        <f>HYPERLINK("https://ota.tournamentsoftware.com/player-profile/B6154A4C-BA94-41F6-A39C-E106D7116C1A", "Link")</f>
        <v/>
      </c>
      <c r="E172" s="3" t="n">
        <v>494.477</v>
      </c>
      <c r="F172" s="4" t="n">
        <v>31</v>
      </c>
      <c r="G172" t="inlineStr">
        <is>
          <t>Ontario Tennis Association</t>
        </is>
      </c>
      <c r="H172" t="inlineStr">
        <is>
          <t>SmartVMC Racquetsports by ACE</t>
        </is>
      </c>
      <c r="I172" t="n">
        <v>31</v>
      </c>
      <c r="J172" s="4" t="n">
        <v>214</v>
      </c>
      <c r="K172" t="inlineStr">
        <is>
          <t>135 / 79</t>
        </is>
      </c>
      <c r="L172" t="inlineStr">
        <is>
          <t>38 / 16</t>
        </is>
      </c>
      <c r="M172" s="5" t="n">
        <v>0.63</v>
      </c>
      <c r="N172" s="5" t="n">
        <v>0.7</v>
      </c>
    </row>
    <row r="173">
      <c r="A173" t="n">
        <v>172</v>
      </c>
      <c r="B173" t="n">
        <v>2015</v>
      </c>
      <c r="C173" t="inlineStr">
        <is>
          <t>Abbey Crump</t>
        </is>
      </c>
      <c r="D173">
        <f>HYPERLINK("https://ota.tournamentsoftware.com/player-profile/92F0423F-2B57-40B1-A6AA-5C7DC6477800", "Link")</f>
        <v/>
      </c>
      <c r="E173" s="3" t="n">
        <v>493.889</v>
      </c>
      <c r="F173" s="4" t="n">
        <v>16</v>
      </c>
      <c r="G173" t="inlineStr">
        <is>
          <t>Ontario Tennis Association</t>
        </is>
      </c>
      <c r="H173" t="inlineStr">
        <is>
          <t>Joshua Creek Golf &amp; Tennis</t>
        </is>
      </c>
      <c r="I173" t="n">
        <v>30.7</v>
      </c>
      <c r="J173" s="4" t="n">
        <v>146</v>
      </c>
      <c r="K173" t="inlineStr">
        <is>
          <t>120 / 26</t>
        </is>
      </c>
      <c r="L173" t="inlineStr">
        <is>
          <t>28 / 15</t>
        </is>
      </c>
      <c r="M173" s="5" t="n">
        <v>0.82</v>
      </c>
      <c r="N173" s="5" t="n">
        <v>0.65</v>
      </c>
    </row>
    <row r="174">
      <c r="A174" t="n">
        <v>173</v>
      </c>
      <c r="B174" t="n">
        <v>2012</v>
      </c>
      <c r="C174" t="inlineStr">
        <is>
          <t>Maya Sophia Abdullah</t>
        </is>
      </c>
      <c r="D174">
        <f>HYPERLINK("https://ota.tournamentsoftware.com/player-profile/6169AD2A-5AC2-4220-8B87-C5D54BAF6AD4", "Link")</f>
        <v/>
      </c>
      <c r="E174" s="3" t="n">
        <v>485.934</v>
      </c>
      <c r="F174" s="4" t="n">
        <v>20</v>
      </c>
      <c r="G174" t="inlineStr">
        <is>
          <t>Tennis Alberta</t>
        </is>
      </c>
      <c r="H174" t="inlineStr">
        <is>
          <t>Aforza</t>
        </is>
      </c>
      <c r="I174" t="n">
        <v>31.7</v>
      </c>
      <c r="J174" s="4" t="n">
        <v>61</v>
      </c>
      <c r="K174" t="inlineStr">
        <is>
          <t>30 / 31</t>
        </is>
      </c>
      <c r="L174" t="inlineStr">
        <is>
          <t>18 / 19</t>
        </is>
      </c>
      <c r="M174" s="5" t="n">
        <v>0.49</v>
      </c>
      <c r="N174" s="5" t="n">
        <v>0.49</v>
      </c>
    </row>
    <row r="175">
      <c r="A175" t="n">
        <v>174</v>
      </c>
      <c r="B175" t="n">
        <v>2014</v>
      </c>
      <c r="C175" t="inlineStr">
        <is>
          <t>Naima Majumdar-Moreau</t>
        </is>
      </c>
      <c r="D175">
        <f>HYPERLINK("https://ota.tournamentsoftware.com/player-profile/DCA02929-B08F-46CE-9CFE-852A987CEBF8", "Link")</f>
        <v/>
      </c>
      <c r="E175" s="3" t="n">
        <v>482.744</v>
      </c>
      <c r="F175" s="4" t="n">
        <v>28</v>
      </c>
      <c r="G175" t="inlineStr">
        <is>
          <t>Tennis Québec</t>
        </is>
      </c>
      <c r="H175" t="inlineStr">
        <is>
          <t>Tennis Ile- des- Soeurs</t>
        </is>
      </c>
      <c r="I175" t="inlineStr">
        <is>
          <t>unavailable</t>
        </is>
      </c>
      <c r="J175" s="4" t="n">
        <v>154</v>
      </c>
      <c r="K175" t="inlineStr">
        <is>
          <t>72 / 82</t>
        </is>
      </c>
      <c r="L175" t="inlineStr">
        <is>
          <t>28 / 27</t>
        </is>
      </c>
      <c r="M175" s="5" t="n">
        <v>0.47</v>
      </c>
      <c r="N175" s="5" t="n">
        <v>0.51</v>
      </c>
    </row>
    <row r="176">
      <c r="A176" t="n">
        <v>175</v>
      </c>
      <c r="B176" t="n">
        <v>2015</v>
      </c>
      <c r="C176" t="inlineStr">
        <is>
          <t>Elina Wang</t>
        </is>
      </c>
      <c r="D176">
        <f>HYPERLINK("https://ota.tournamentsoftware.com/player-profile/D1A88E02-8A26-413B-866E-8A72948B268F", "Link")</f>
        <v/>
      </c>
      <c r="E176" s="3" t="n">
        <v>482.596</v>
      </c>
      <c r="F176" s="4" t="n">
        <v>23</v>
      </c>
      <c r="G176" t="inlineStr">
        <is>
          <t>Ontario Tennis Association</t>
        </is>
      </c>
      <c r="H176" t="inlineStr">
        <is>
          <t>Richmondhill Golf &amp; Country Club</t>
        </is>
      </c>
      <c r="I176" t="n">
        <v>30.5</v>
      </c>
      <c r="J176" s="4" t="n">
        <v>234</v>
      </c>
      <c r="K176" t="inlineStr">
        <is>
          <t>154 / 80</t>
        </is>
      </c>
      <c r="L176" t="inlineStr">
        <is>
          <t>37 / 15</t>
        </is>
      </c>
      <c r="M176" s="5" t="n">
        <v>0.66</v>
      </c>
      <c r="N176" s="5" t="n">
        <v>0.71</v>
      </c>
    </row>
    <row r="177">
      <c r="A177" t="n">
        <v>176</v>
      </c>
      <c r="B177" t="n">
        <v>2013</v>
      </c>
      <c r="C177" t="inlineStr">
        <is>
          <t>Alexandra Choe</t>
        </is>
      </c>
      <c r="D177">
        <f>HYPERLINK("https://ota.tournamentsoftware.com/player-profile/0BFF8F09-A612-40D9-B491-E305A472672B", "Link")</f>
        <v/>
      </c>
      <c r="E177" s="3" t="n">
        <v>481.947</v>
      </c>
      <c r="F177" s="4" t="n">
        <v>17</v>
      </c>
      <c r="G177" t="inlineStr">
        <is>
          <t>Ontario Tennis Association</t>
        </is>
      </c>
      <c r="H177" t="inlineStr">
        <is>
          <t>Joshua Creek Golf &amp; Tennis</t>
        </is>
      </c>
      <c r="I177" t="n">
        <v>29.9</v>
      </c>
      <c r="J177" s="4" t="n">
        <v>221</v>
      </c>
      <c r="K177" t="inlineStr">
        <is>
          <t>135 / 86</t>
        </is>
      </c>
      <c r="L177" t="inlineStr">
        <is>
          <t>8 / 4</t>
        </is>
      </c>
      <c r="M177" s="5" t="n">
        <v>0.61</v>
      </c>
      <c r="N177" s="5" t="n">
        <v>0.67</v>
      </c>
    </row>
    <row r="178">
      <c r="A178" t="n">
        <v>177</v>
      </c>
      <c r="B178" t="n">
        <v>2012</v>
      </c>
      <c r="C178" t="inlineStr">
        <is>
          <t>Margot de Candé</t>
        </is>
      </c>
      <c r="D178">
        <f>HYPERLINK("https://ota.tournamentsoftware.com/player-profile/695315EE-6360-44B7-9352-E2A867A09DAD", "Link")</f>
        <v/>
      </c>
      <c r="E178" s="3" t="n">
        <v>478.435</v>
      </c>
      <c r="F178" s="4" t="n">
        <v>13</v>
      </c>
      <c r="G178" t="inlineStr">
        <is>
          <t>Tennis Québec</t>
        </is>
      </c>
      <c r="H178" t="inlineStr">
        <is>
          <t>Tennis Ile- des- Soeurs</t>
        </is>
      </c>
      <c r="I178" t="n">
        <v>29.9</v>
      </c>
      <c r="J178" s="4" t="n">
        <v>110</v>
      </c>
      <c r="K178" t="inlineStr">
        <is>
          <t>52 / 58</t>
        </is>
      </c>
      <c r="L178" t="inlineStr">
        <is>
          <t>12 / 3</t>
        </is>
      </c>
      <c r="M178" s="5" t="n">
        <v>0.47</v>
      </c>
      <c r="N178" s="5" t="n">
        <v>0.8</v>
      </c>
    </row>
    <row r="179">
      <c r="A179" t="n">
        <v>178</v>
      </c>
      <c r="B179" t="n">
        <v>2015</v>
      </c>
      <c r="C179" t="inlineStr">
        <is>
          <t>Sofia Chan</t>
        </is>
      </c>
      <c r="D179">
        <f>HYPERLINK("https://ota.tournamentsoftware.com/player-profile/62C41ADF-8A1D-416E-AAF9-4C80ECB74645", "Link")</f>
        <v/>
      </c>
      <c r="E179" s="3" t="n">
        <v>473.157</v>
      </c>
      <c r="F179" s="4" t="n">
        <v>31</v>
      </c>
      <c r="G179" t="inlineStr">
        <is>
          <t>Ontario Tennis Association</t>
        </is>
      </c>
      <c r="H179" t="inlineStr">
        <is>
          <t>No Club</t>
        </is>
      </c>
      <c r="I179" t="n">
        <v>31.7</v>
      </c>
      <c r="J179" s="4" t="n">
        <v>149</v>
      </c>
      <c r="K179" t="inlineStr">
        <is>
          <t>95 / 54</t>
        </is>
      </c>
      <c r="L179" t="inlineStr">
        <is>
          <t>38 / 23</t>
        </is>
      </c>
      <c r="M179" s="5" t="n">
        <v>0.64</v>
      </c>
      <c r="N179" s="5" t="n">
        <v>0.62</v>
      </c>
    </row>
    <row r="180">
      <c r="A180" t="n">
        <v>179</v>
      </c>
      <c r="B180" t="n">
        <v>2012</v>
      </c>
      <c r="C180" t="inlineStr">
        <is>
          <t>Ella Zhao</t>
        </is>
      </c>
      <c r="D180">
        <f>HYPERLINK("https://ota.tournamentsoftware.com/player-profile/4CFC4B61-0F67-4AD7-8CC6-03CC7A224737", "Link")</f>
        <v/>
      </c>
      <c r="E180" s="3" t="n">
        <v>469.642</v>
      </c>
      <c r="F180" s="4" t="n">
        <v>11</v>
      </c>
      <c r="G180" t="inlineStr">
        <is>
          <t>British Columbia</t>
        </is>
      </c>
      <c r="H180" t="inlineStr">
        <is>
          <t>North Shore Winter Club</t>
        </is>
      </c>
      <c r="I180" t="n">
        <v>26.9</v>
      </c>
      <c r="J180" s="4" t="n">
        <v>121</v>
      </c>
      <c r="K180" t="inlineStr">
        <is>
          <t>89 / 32</t>
        </is>
      </c>
      <c r="L180" t="inlineStr">
        <is>
          <t>9 / 7</t>
        </is>
      </c>
      <c r="M180" s="5" t="n">
        <v>0.74</v>
      </c>
      <c r="N180" s="5" t="n">
        <v>0.5600000000000001</v>
      </c>
    </row>
    <row r="181">
      <c r="A181" t="n">
        <v>180</v>
      </c>
      <c r="B181" t="n">
        <v>2013</v>
      </c>
      <c r="C181" t="inlineStr">
        <is>
          <t>Juliana Sophie Ho</t>
        </is>
      </c>
      <c r="D181">
        <f>HYPERLINK("https://ota.tournamentsoftware.com/player-profile/D79AC720-EA55-42CC-ACCB-558E5C86D00C", "Link")</f>
        <v/>
      </c>
      <c r="E181" s="3" t="n">
        <v>468.722</v>
      </c>
      <c r="F181" s="4" t="n">
        <v>28</v>
      </c>
      <c r="G181" t="inlineStr">
        <is>
          <t>Ontario Tennis Association</t>
        </is>
      </c>
      <c r="H181" t="inlineStr">
        <is>
          <t>Ontario Racquet Club</t>
        </is>
      </c>
      <c r="I181" t="n">
        <v>32.5</v>
      </c>
      <c r="J181" s="4" t="n">
        <v>139</v>
      </c>
      <c r="K181" t="inlineStr">
        <is>
          <t>69 / 70</t>
        </is>
      </c>
      <c r="L181" t="inlineStr">
        <is>
          <t>17 / 19</t>
        </is>
      </c>
      <c r="M181" s="5" t="n">
        <v>0.5</v>
      </c>
      <c r="N181" s="5" t="n">
        <v>0.47</v>
      </c>
    </row>
    <row r="182">
      <c r="A182" t="n">
        <v>181</v>
      </c>
      <c r="B182" t="n">
        <v>2012</v>
      </c>
      <c r="C182" t="inlineStr">
        <is>
          <t>Tiffany Ren Jun Cao</t>
        </is>
      </c>
      <c r="D182">
        <f>HYPERLINK("https://ota.tournamentsoftware.com/player-profile/07B17DA5-DD47-4C90-B575-478C58AD7465", "Link")</f>
        <v/>
      </c>
      <c r="E182" s="3" t="n">
        <v>453.144</v>
      </c>
      <c r="F182" s="4" t="n">
        <v>25</v>
      </c>
      <c r="G182" t="inlineStr">
        <is>
          <t>British Columbia</t>
        </is>
      </c>
      <c r="H182" t="inlineStr">
        <is>
          <t>Richmond Country Club</t>
        </is>
      </c>
      <c r="I182" t="n">
        <v>29.7</v>
      </c>
      <c r="J182" s="4" t="n">
        <v>207</v>
      </c>
      <c r="K182" t="inlineStr">
        <is>
          <t>105 / 102</t>
        </is>
      </c>
      <c r="L182" t="inlineStr">
        <is>
          <t>18 / 22</t>
        </is>
      </c>
      <c r="M182" s="5" t="n">
        <v>0.51</v>
      </c>
      <c r="N182" s="5" t="n">
        <v>0.45</v>
      </c>
    </row>
    <row r="183">
      <c r="A183" t="n">
        <v>182</v>
      </c>
      <c r="B183" t="n">
        <v>2015</v>
      </c>
      <c r="C183" t="inlineStr">
        <is>
          <t>NELIA BERKOUD</t>
        </is>
      </c>
      <c r="D183">
        <f>HYPERLINK("https://ota.tournamentsoftware.com/player-profile/2E73021E-DEDD-484B-95FC-00429D223FB2", "Link")</f>
        <v/>
      </c>
      <c r="E183" s="3" t="n">
        <v>452.696</v>
      </c>
      <c r="F183" s="4" t="n">
        <v>24</v>
      </c>
      <c r="G183" t="inlineStr">
        <is>
          <t>Tennis Québec</t>
        </is>
      </c>
      <c r="H183" t="inlineStr">
        <is>
          <t>Carrefour Multisports</t>
        </is>
      </c>
      <c r="I183" t="n">
        <v>30.8</v>
      </c>
      <c r="J183" s="4" t="n">
        <v>142</v>
      </c>
      <c r="K183" t="inlineStr">
        <is>
          <t>87 / 55</t>
        </is>
      </c>
      <c r="L183" t="inlineStr">
        <is>
          <t>31 / 27</t>
        </is>
      </c>
      <c r="M183" s="5" t="n">
        <v>0.61</v>
      </c>
      <c r="N183" s="5" t="n">
        <v>0.53</v>
      </c>
    </row>
    <row r="184">
      <c r="A184" t="n">
        <v>183</v>
      </c>
      <c r="B184" t="n">
        <v>2015</v>
      </c>
      <c r="C184" t="inlineStr">
        <is>
          <t>Alyanna Jane Principe</t>
        </is>
      </c>
      <c r="D184">
        <f>HYPERLINK("https://ota.tournamentsoftware.com/player-profile/DF18434B-FE2E-4647-9481-0DA91B5C9B92", "Link")</f>
        <v/>
      </c>
      <c r="E184" s="3" t="n">
        <v>449.433</v>
      </c>
      <c r="F184" s="4" t="n">
        <v>24</v>
      </c>
      <c r="G184" t="inlineStr">
        <is>
          <t>British Columbia</t>
        </is>
      </c>
      <c r="H184" t="inlineStr">
        <is>
          <t>The Tennis Centre</t>
        </is>
      </c>
      <c r="I184" t="n">
        <v>29.2</v>
      </c>
      <c r="J184" s="4" t="n">
        <v>236</v>
      </c>
      <c r="K184" t="inlineStr">
        <is>
          <t>155 / 81</t>
        </is>
      </c>
      <c r="L184" t="inlineStr">
        <is>
          <t>33 / 22</t>
        </is>
      </c>
      <c r="M184" s="5" t="n">
        <v>0.66</v>
      </c>
      <c r="N184" s="5" t="n">
        <v>0.6</v>
      </c>
    </row>
    <row r="185">
      <c r="A185" t="n">
        <v>184</v>
      </c>
      <c r="B185" t="n">
        <v>2012</v>
      </c>
      <c r="C185" t="inlineStr">
        <is>
          <t>MISHIKA SURESH BALAJI</t>
        </is>
      </c>
      <c r="D185">
        <f>HYPERLINK("https://ota.tournamentsoftware.com/player-profile/B11C615C-6BB8-4655-BCAA-370D01C186B1", "Link")</f>
        <v/>
      </c>
      <c r="E185" s="3" t="n">
        <v>448</v>
      </c>
      <c r="F185" s="4" t="n">
        <v>15</v>
      </c>
      <c r="G185" t="inlineStr">
        <is>
          <t>Tennis Nova Scotia</t>
        </is>
      </c>
      <c r="H185" t="inlineStr">
        <is>
          <t>Atlantic Tennis Centre</t>
        </is>
      </c>
      <c r="I185" t="n">
        <v>28.4</v>
      </c>
      <c r="J185" s="4" t="n">
        <v>169</v>
      </c>
      <c r="K185" t="inlineStr">
        <is>
          <t>87 / 82</t>
        </is>
      </c>
      <c r="L185" t="inlineStr">
        <is>
          <t>22 / 14</t>
        </is>
      </c>
      <c r="M185" s="5" t="n">
        <v>0.51</v>
      </c>
      <c r="N185" s="5" t="n">
        <v>0.61</v>
      </c>
    </row>
    <row r="186">
      <c r="A186" t="n">
        <v>185</v>
      </c>
      <c r="B186" t="n">
        <v>2013</v>
      </c>
      <c r="C186" t="inlineStr">
        <is>
          <t>Mariela Ibrahim</t>
        </is>
      </c>
      <c r="D186">
        <f>HYPERLINK("https://ota.tournamentsoftware.com/player-profile/D80C965C-4117-4C2C-9F46-F371E9E47454", "Link")</f>
        <v/>
      </c>
      <c r="E186" s="3" t="n">
        <v>447.042</v>
      </c>
      <c r="F186" s="4" t="n">
        <v>26</v>
      </c>
      <c r="G186" t="inlineStr">
        <is>
          <t>Ontario Tennis Association</t>
        </is>
      </c>
      <c r="H186" t="inlineStr">
        <is>
          <t>Concord Tennis Academy</t>
        </is>
      </c>
      <c r="I186" t="inlineStr">
        <is>
          <t>unavailable</t>
        </is>
      </c>
      <c r="J186" s="4" t="n">
        <v>100</v>
      </c>
      <c r="K186" t="inlineStr">
        <is>
          <t>57 / 43</t>
        </is>
      </c>
      <c r="L186" t="inlineStr">
        <is>
          <t>23 / 17</t>
        </is>
      </c>
      <c r="M186" s="5" t="n">
        <v>0.57</v>
      </c>
      <c r="N186" s="5" t="n">
        <v>0.57</v>
      </c>
    </row>
    <row r="187">
      <c r="A187" t="n">
        <v>186</v>
      </c>
      <c r="B187" t="n">
        <v>2013</v>
      </c>
      <c r="C187" t="inlineStr">
        <is>
          <t>Bianca Bordogna</t>
        </is>
      </c>
      <c r="D187">
        <f>HYPERLINK("https://ota.tournamentsoftware.com/player-profile/71A0B4E7-3A92-4F64-82D6-42A032600DC7", "Link")</f>
        <v/>
      </c>
      <c r="E187" s="3" t="n">
        <v>445.52</v>
      </c>
      <c r="F187" s="4" t="n">
        <v>12</v>
      </c>
      <c r="G187" t="inlineStr">
        <is>
          <t>Ontario Tennis Association</t>
        </is>
      </c>
      <c r="H187" t="inlineStr">
        <is>
          <t>Carleton Tennis Centre</t>
        </is>
      </c>
      <c r="I187" t="n">
        <v>32.9</v>
      </c>
      <c r="J187" s="4" t="n">
        <v>100</v>
      </c>
      <c r="K187" t="inlineStr">
        <is>
          <t>50 / 50</t>
        </is>
      </c>
      <c r="L187" t="inlineStr">
        <is>
          <t>7 / 10</t>
        </is>
      </c>
      <c r="M187" s="5" t="n">
        <v>0.5</v>
      </c>
      <c r="N187" s="5" t="n">
        <v>0.41</v>
      </c>
    </row>
    <row r="188">
      <c r="A188" t="n">
        <v>187</v>
      </c>
      <c r="B188" t="n">
        <v>2013</v>
      </c>
      <c r="C188" t="inlineStr">
        <is>
          <t>Rihanna Kulyk</t>
        </is>
      </c>
      <c r="D188">
        <f>HYPERLINK("https://ota.tournamentsoftware.com/player-profile/6E1703BA-DB25-4B47-9BB7-314BDDCFDBAC", "Link")</f>
        <v/>
      </c>
      <c r="E188" s="3" t="n">
        <v>444.665</v>
      </c>
      <c r="F188" s="4" t="n">
        <v>24</v>
      </c>
      <c r="G188" t="inlineStr">
        <is>
          <t>Tennis Québec</t>
        </is>
      </c>
      <c r="H188" t="inlineStr">
        <is>
          <t>Tennis Ile- des- Soeurs</t>
        </is>
      </c>
      <c r="I188" t="inlineStr">
        <is>
          <t>unavailable</t>
        </is>
      </c>
      <c r="J188" s="4" t="n">
        <v>241</v>
      </c>
      <c r="K188" t="inlineStr">
        <is>
          <t>106 / 135</t>
        </is>
      </c>
      <c r="L188" t="inlineStr">
        <is>
          <t>13 / 21</t>
        </is>
      </c>
      <c r="M188" s="5" t="n">
        <v>0.44</v>
      </c>
      <c r="N188" s="5" t="n">
        <v>0.38</v>
      </c>
    </row>
    <row r="189">
      <c r="A189" t="n">
        <v>188</v>
      </c>
      <c r="B189" t="n">
        <v>2014</v>
      </c>
      <c r="C189" t="inlineStr">
        <is>
          <t>KENZA JERBI</t>
        </is>
      </c>
      <c r="D189">
        <f>HYPERLINK("https://ota.tournamentsoftware.com/player-profile/C6A8B859-96DA-46D9-A270-B08DA27DDE5C", "Link")</f>
        <v/>
      </c>
      <c r="E189" s="3" t="n">
        <v>442.895</v>
      </c>
      <c r="F189" s="4" t="n">
        <v>15</v>
      </c>
      <c r="G189" t="inlineStr">
        <is>
          <t>Tennis Québec</t>
        </is>
      </c>
      <c r="H189" t="inlineStr">
        <is>
          <t>Tennis Montréal Excellence</t>
        </is>
      </c>
      <c r="I189" t="n">
        <v>32</v>
      </c>
      <c r="J189" s="4" t="n">
        <v>108</v>
      </c>
      <c r="K189" t="inlineStr">
        <is>
          <t>65 / 43</t>
        </is>
      </c>
      <c r="L189" t="inlineStr">
        <is>
          <t>7 / 11</t>
        </is>
      </c>
      <c r="M189" s="5" t="n">
        <v>0.6</v>
      </c>
      <c r="N189" s="5" t="n">
        <v>0.39</v>
      </c>
    </row>
    <row r="190">
      <c r="A190" t="n">
        <v>189</v>
      </c>
      <c r="B190" t="n">
        <v>2013</v>
      </c>
      <c r="C190" t="inlineStr">
        <is>
          <t>Mila Anna Kodjian</t>
        </is>
      </c>
      <c r="D190">
        <f>HYPERLINK("https://ota.tournamentsoftware.com/player-profile/CE1F1BC7-04CB-4652-A947-AF91FA03ECD5", "Link")</f>
        <v/>
      </c>
      <c r="E190" s="3" t="n">
        <v>440.264</v>
      </c>
      <c r="F190" s="4" t="n">
        <v>18</v>
      </c>
      <c r="G190" t="inlineStr">
        <is>
          <t>Ontario Tennis Association</t>
        </is>
      </c>
      <c r="H190" t="inlineStr">
        <is>
          <t>Rosethorn Tennis Club</t>
        </is>
      </c>
      <c r="I190" t="n">
        <v>32</v>
      </c>
      <c r="J190" s="4" t="n">
        <v>111</v>
      </c>
      <c r="K190" t="inlineStr">
        <is>
          <t>63 / 48</t>
        </is>
      </c>
      <c r="L190" t="inlineStr">
        <is>
          <t>22 / 10</t>
        </is>
      </c>
      <c r="M190" s="5" t="n">
        <v>0.57</v>
      </c>
      <c r="N190" s="5" t="n">
        <v>0.6899999999999999</v>
      </c>
    </row>
    <row r="191">
      <c r="A191" t="n">
        <v>190</v>
      </c>
      <c r="B191" t="n">
        <v>2013</v>
      </c>
      <c r="C191" t="inlineStr">
        <is>
          <t>Audrey Yiyi Xu</t>
        </is>
      </c>
      <c r="D191">
        <f>HYPERLINK("https://ota.tournamentsoftware.com/player-profile/25D8C643-E3DC-418B-948B-22520C94F8E3", "Link")</f>
        <v/>
      </c>
      <c r="E191" s="3" t="n">
        <v>439.622</v>
      </c>
      <c r="F191" s="4" t="n">
        <v>23</v>
      </c>
      <c r="G191" t="inlineStr">
        <is>
          <t>Ontario Tennis Association</t>
        </is>
      </c>
      <c r="H191" t="inlineStr">
        <is>
          <t>Joshua Creek Golf &amp; Tennis</t>
        </is>
      </c>
      <c r="I191" t="n">
        <v>32.8</v>
      </c>
      <c r="J191" s="4" t="n">
        <v>137</v>
      </c>
      <c r="K191" t="inlineStr">
        <is>
          <t>58 / 79</t>
        </is>
      </c>
      <c r="L191" t="inlineStr">
        <is>
          <t>19 / 15</t>
        </is>
      </c>
      <c r="M191" s="5" t="n">
        <v>0.42</v>
      </c>
      <c r="N191" s="5" t="n">
        <v>0.5600000000000001</v>
      </c>
    </row>
    <row r="192">
      <c r="A192" t="n">
        <v>191</v>
      </c>
      <c r="B192" t="n">
        <v>2014</v>
      </c>
      <c r="C192" t="inlineStr">
        <is>
          <t>Adrianna Gianvito</t>
        </is>
      </c>
      <c r="D192">
        <f>HYPERLINK("https://ota.tournamentsoftware.com/player-profile/1412F0F4-82D3-410D-980E-969EFE386B01", "Link")</f>
        <v/>
      </c>
      <c r="E192" s="3" t="n">
        <v>439.384</v>
      </c>
      <c r="F192" s="4" t="n">
        <v>20</v>
      </c>
      <c r="G192" t="inlineStr">
        <is>
          <t>Tennis Québec</t>
        </is>
      </c>
      <c r="H192" t="inlineStr">
        <is>
          <t>No Club</t>
        </is>
      </c>
      <c r="I192" t="inlineStr">
        <is>
          <t>unavailable</t>
        </is>
      </c>
      <c r="J192" s="4" t="n">
        <v>145</v>
      </c>
      <c r="K192" t="inlineStr">
        <is>
          <t>75 / 70</t>
        </is>
      </c>
      <c r="L192" t="inlineStr">
        <is>
          <t>25 / 18</t>
        </is>
      </c>
      <c r="M192" s="5" t="n">
        <v>0.52</v>
      </c>
      <c r="N192" s="5" t="n">
        <v>0.58</v>
      </c>
    </row>
    <row r="193">
      <c r="A193" t="n">
        <v>192</v>
      </c>
      <c r="B193" t="n">
        <v>2016</v>
      </c>
      <c r="C193" t="inlineStr">
        <is>
          <t>Alisha Goel</t>
        </is>
      </c>
      <c r="D193">
        <f>HYPERLINK("https://ota.tournamentsoftware.com/player-profile/7F9E9DD0-77A1-4F40-B2B5-C4B89592B089", "Link")</f>
        <v/>
      </c>
      <c r="E193" s="3" t="n">
        <v>439.27</v>
      </c>
      <c r="F193" s="4" t="n">
        <v>21</v>
      </c>
      <c r="G193" t="inlineStr">
        <is>
          <t>Ontario Tennis Association</t>
        </is>
      </c>
      <c r="H193" t="inlineStr">
        <is>
          <t>The Supreme Court Tennis Club</t>
        </is>
      </c>
      <c r="I193" t="n">
        <v>32.7</v>
      </c>
      <c r="J193" s="4" t="n">
        <v>178</v>
      </c>
      <c r="K193" t="inlineStr">
        <is>
          <t>122 / 56</t>
        </is>
      </c>
      <c r="L193" t="inlineStr">
        <is>
          <t>35 / 18</t>
        </is>
      </c>
      <c r="M193" s="5" t="n">
        <v>0.6899999999999999</v>
      </c>
      <c r="N193" s="5" t="n">
        <v>0.66</v>
      </c>
    </row>
    <row r="194">
      <c r="A194" t="n">
        <v>193</v>
      </c>
      <c r="B194" t="n">
        <v>2015</v>
      </c>
      <c r="C194" t="inlineStr">
        <is>
          <t>Tina liu</t>
        </is>
      </c>
      <c r="D194">
        <f>HYPERLINK("https://ota.tournamentsoftware.com/player-profile/E7D1FBAC-8033-480E-A688-28CBCEF6D907", "Link")</f>
        <v/>
      </c>
      <c r="E194" s="3" t="n">
        <v>436.506</v>
      </c>
      <c r="F194" s="4" t="n">
        <v>32</v>
      </c>
      <c r="G194" t="inlineStr">
        <is>
          <t>Ontario Tennis Association</t>
        </is>
      </c>
      <c r="H194" t="inlineStr">
        <is>
          <t>No Club</t>
        </is>
      </c>
      <c r="I194" t="n">
        <v>32.6</v>
      </c>
      <c r="J194" s="4" t="n">
        <v>200</v>
      </c>
      <c r="K194" t="inlineStr">
        <is>
          <t>128 / 72</t>
        </is>
      </c>
      <c r="L194" t="inlineStr">
        <is>
          <t>32 / 19</t>
        </is>
      </c>
      <c r="M194" s="5" t="n">
        <v>0.64</v>
      </c>
      <c r="N194" s="5" t="n">
        <v>0.63</v>
      </c>
    </row>
    <row r="195">
      <c r="A195" t="n">
        <v>194</v>
      </c>
      <c r="B195" t="n">
        <v>2014</v>
      </c>
      <c r="C195" t="inlineStr">
        <is>
          <t>Anica Yachun Liu</t>
        </is>
      </c>
      <c r="D195">
        <f>HYPERLINK("https://ota.tournamentsoftware.com/player-profile/B58148E6-4895-4918-B4B6-ADFAA5FEE0D2", "Link")</f>
        <v/>
      </c>
      <c r="E195" s="3" t="n">
        <v>429.425</v>
      </c>
      <c r="F195" s="4" t="n">
        <v>22</v>
      </c>
      <c r="G195" t="inlineStr">
        <is>
          <t>Tennis Alberta</t>
        </is>
      </c>
      <c r="H195" t="inlineStr">
        <is>
          <t>Saville Community Sports Centre</t>
        </is>
      </c>
      <c r="I195" t="n">
        <v>30.2</v>
      </c>
      <c r="J195" s="4" t="n">
        <v>223</v>
      </c>
      <c r="K195" t="inlineStr">
        <is>
          <t>111 / 112</t>
        </is>
      </c>
      <c r="L195" t="inlineStr">
        <is>
          <t>30 / 34</t>
        </is>
      </c>
      <c r="M195" s="5" t="n">
        <v>0.5</v>
      </c>
      <c r="N195" s="5" t="n">
        <v>0.47</v>
      </c>
    </row>
    <row r="196">
      <c r="A196" t="n">
        <v>195</v>
      </c>
      <c r="B196" t="n">
        <v>2015</v>
      </c>
      <c r="C196" t="inlineStr">
        <is>
          <t>Sunandita Pal</t>
        </is>
      </c>
      <c r="D196">
        <f>HYPERLINK("https://ota.tournamentsoftware.com/player-profile/10185E41-C6E2-4C6A-9A47-A3AF6C77F2A4", "Link")</f>
        <v/>
      </c>
      <c r="E196" s="3" t="n">
        <v>418.017</v>
      </c>
      <c r="F196" s="4" t="n">
        <v>26</v>
      </c>
      <c r="G196" t="inlineStr">
        <is>
          <t>Ontario Tennis Association</t>
        </is>
      </c>
      <c r="H196" t="inlineStr">
        <is>
          <t>No Club</t>
        </is>
      </c>
      <c r="I196" t="n">
        <v>33.9</v>
      </c>
      <c r="J196" s="4" t="n">
        <v>226</v>
      </c>
      <c r="K196" t="inlineStr">
        <is>
          <t>105 / 121</t>
        </is>
      </c>
      <c r="L196" t="inlineStr">
        <is>
          <t>21 / 20</t>
        </is>
      </c>
      <c r="M196" s="5" t="n">
        <v>0.46</v>
      </c>
      <c r="N196" s="5" t="n">
        <v>0.51</v>
      </c>
    </row>
    <row r="197">
      <c r="A197" t="n">
        <v>196</v>
      </c>
      <c r="B197" t="n">
        <v>2014</v>
      </c>
      <c r="C197" t="inlineStr">
        <is>
          <t>Sophia Pavlovska</t>
        </is>
      </c>
      <c r="D197">
        <f>HYPERLINK("https://ota.tournamentsoftware.com/player-profile/5C58F1EE-F291-431D-AC00-FB9096274E0A", "Link")</f>
        <v/>
      </c>
      <c r="E197" s="3" t="n">
        <v>413.785</v>
      </c>
      <c r="F197" s="4" t="n">
        <v>14</v>
      </c>
      <c r="G197" t="inlineStr">
        <is>
          <t>Tennis New Brunswick</t>
        </is>
      </c>
      <c r="H197" t="inlineStr">
        <is>
          <t>Dieppe</t>
        </is>
      </c>
      <c r="I197" t="n">
        <v>33.6</v>
      </c>
      <c r="J197" s="4" t="n">
        <v>170</v>
      </c>
      <c r="K197" t="inlineStr">
        <is>
          <t>60 / 110</t>
        </is>
      </c>
      <c r="L197" t="inlineStr">
        <is>
          <t>16 / 15</t>
        </is>
      </c>
      <c r="M197" s="5" t="n">
        <v>0.35</v>
      </c>
      <c r="N197" s="5" t="n">
        <v>0.52</v>
      </c>
    </row>
    <row r="198">
      <c r="A198" t="n">
        <v>197</v>
      </c>
      <c r="B198" t="n">
        <v>2013</v>
      </c>
      <c r="C198" t="inlineStr">
        <is>
          <t>Isidora Trkulja</t>
        </is>
      </c>
      <c r="D198">
        <f>HYPERLINK("https://ota.tournamentsoftware.com/player-profile/1A3F3EE8-FB93-483C-A52C-E761E6FA42CE", "Link")</f>
        <v/>
      </c>
      <c r="E198" s="3" t="n">
        <v>413.395</v>
      </c>
      <c r="F198" s="4" t="n">
        <v>8</v>
      </c>
      <c r="G198" t="inlineStr">
        <is>
          <t>Tennis Alberta</t>
        </is>
      </c>
      <c r="H198" t="inlineStr">
        <is>
          <t>Saville Community Sports Centre</t>
        </is>
      </c>
      <c r="I198" t="n">
        <v>26.2</v>
      </c>
      <c r="J198" s="4" t="n">
        <v>194</v>
      </c>
      <c r="K198" t="inlineStr">
        <is>
          <t>125 / 69</t>
        </is>
      </c>
      <c r="L198" t="inlineStr">
        <is>
          <t>8 / 6</t>
        </is>
      </c>
      <c r="M198" s="5" t="n">
        <v>0.64</v>
      </c>
      <c r="N198" s="5" t="n">
        <v>0.57</v>
      </c>
    </row>
    <row r="199">
      <c r="A199" t="n">
        <v>198</v>
      </c>
      <c r="B199" t="n">
        <v>2013</v>
      </c>
      <c r="C199" t="inlineStr">
        <is>
          <t>Arya Kaur Dhillon</t>
        </is>
      </c>
      <c r="D199">
        <f>HYPERLINK("https://ota.tournamentsoftware.com/player-profile/3DBC0BDE-C3D6-40A5-992E-F7274098EF5D", "Link")</f>
        <v/>
      </c>
      <c r="E199" s="3" t="n">
        <v>405.446</v>
      </c>
      <c r="F199" s="4" t="n">
        <v>18</v>
      </c>
      <c r="G199" t="inlineStr">
        <is>
          <t>Tennis Alberta</t>
        </is>
      </c>
      <c r="H199" t="inlineStr">
        <is>
          <t>Saville Community Sports Centre</t>
        </is>
      </c>
      <c r="I199" t="n">
        <v>29.6</v>
      </c>
      <c r="J199" s="4" t="n">
        <v>173</v>
      </c>
      <c r="K199" t="inlineStr">
        <is>
          <t>85 / 88</t>
        </is>
      </c>
      <c r="L199" t="inlineStr">
        <is>
          <t>23 / 20</t>
        </is>
      </c>
      <c r="M199" s="5" t="n">
        <v>0.49</v>
      </c>
      <c r="N199" s="5" t="n">
        <v>0.53</v>
      </c>
    </row>
    <row r="200">
      <c r="A200" t="n">
        <v>199</v>
      </c>
      <c r="B200" t="n">
        <v>2014</v>
      </c>
      <c r="C200" t="inlineStr">
        <is>
          <t>Ema Zonjic</t>
        </is>
      </c>
      <c r="D200">
        <f>HYPERLINK("https://ota.tournamentsoftware.com/player-profile/42A43C76-E08F-4134-B876-2E9D05859D92", "Link")</f>
        <v/>
      </c>
      <c r="E200" s="3" t="n">
        <v>401.725</v>
      </c>
      <c r="F200" s="4" t="n">
        <v>25</v>
      </c>
      <c r="G200" t="inlineStr">
        <is>
          <t>Ontario Tennis Association</t>
        </is>
      </c>
      <c r="H200" t="inlineStr">
        <is>
          <t>Rideau Sports Centre</t>
        </is>
      </c>
      <c r="I200" t="n">
        <v>31.7</v>
      </c>
      <c r="J200" s="4" t="n">
        <v>179</v>
      </c>
      <c r="K200" t="inlineStr">
        <is>
          <t>100 / 79</t>
        </is>
      </c>
      <c r="L200" t="inlineStr">
        <is>
          <t>32 / 22</t>
        </is>
      </c>
      <c r="M200" s="5" t="n">
        <v>0.5600000000000001</v>
      </c>
      <c r="N200" s="5" t="n">
        <v>0.59</v>
      </c>
    </row>
    <row r="201">
      <c r="A201" t="n">
        <v>200</v>
      </c>
      <c r="B201" t="n">
        <v>2014</v>
      </c>
      <c r="C201" t="inlineStr">
        <is>
          <t>Eva Larose</t>
        </is>
      </c>
      <c r="D201">
        <f>HYPERLINK("https://ota.tournamentsoftware.com/player-profile/BC2D4F14-515B-4F2A-AD3B-8DA03F3E5E5B", "Link")</f>
        <v/>
      </c>
      <c r="E201" s="3" t="n">
        <v>400.296</v>
      </c>
      <c r="F201" s="4" t="n">
        <v>21</v>
      </c>
      <c r="G201" t="inlineStr">
        <is>
          <t>Tennis Québec</t>
        </is>
      </c>
      <c r="H201" t="inlineStr">
        <is>
          <t>Tennis Ile- des- Soeurs</t>
        </is>
      </c>
      <c r="I201" t="inlineStr">
        <is>
          <t>unavailable</t>
        </is>
      </c>
      <c r="J201" s="4" t="n">
        <v>161</v>
      </c>
      <c r="K201" t="inlineStr">
        <is>
          <t>95 / 66</t>
        </is>
      </c>
      <c r="L201" t="inlineStr">
        <is>
          <t>43 / 18</t>
        </is>
      </c>
      <c r="M201" s="5" t="n">
        <v>0.59</v>
      </c>
      <c r="N201" s="5" t="n">
        <v>0.7</v>
      </c>
    </row>
    <row r="202">
      <c r="A202" t="n">
        <v>201</v>
      </c>
      <c r="B202" t="n">
        <v>2012</v>
      </c>
      <c r="C202" t="inlineStr">
        <is>
          <t>Victoria Perez Vargas</t>
        </is>
      </c>
      <c r="D202">
        <f>HYPERLINK("https://ota.tournamentsoftware.com/player-profile/6649B15F-628D-4ED7-81D6-AEB9036DF19A", "Link")</f>
        <v/>
      </c>
      <c r="E202" s="3" t="n">
        <v>396.088</v>
      </c>
      <c r="F202" s="4" t="n">
        <v>23</v>
      </c>
      <c r="G202" t="inlineStr">
        <is>
          <t>Tennis Québec</t>
        </is>
      </c>
      <c r="H202" t="inlineStr">
        <is>
          <t>Centre récréatif de Repentigny / Académie Tennis Momentum</t>
        </is>
      </c>
      <c r="I202" t="n">
        <v>32.8</v>
      </c>
      <c r="J202" s="4" t="n">
        <v>100</v>
      </c>
      <c r="K202" t="inlineStr">
        <is>
          <t>49 / 51</t>
        </is>
      </c>
      <c r="L202" t="inlineStr">
        <is>
          <t>24 / 14</t>
        </is>
      </c>
      <c r="M202" s="5" t="n">
        <v>0.49</v>
      </c>
      <c r="N202" s="5" t="n">
        <v>0.63</v>
      </c>
    </row>
    <row r="203">
      <c r="A203" t="n">
        <v>202</v>
      </c>
      <c r="B203" t="n">
        <v>2013</v>
      </c>
      <c r="C203" t="inlineStr">
        <is>
          <t>Livia Seguin</t>
        </is>
      </c>
      <c r="D203">
        <f>HYPERLINK("https://ota.tournamentsoftware.com/player-profile/2B987274-8A56-4EE6-B85D-948871231CC0", "Link")</f>
        <v/>
      </c>
      <c r="E203" s="3" t="n">
        <v>394.844</v>
      </c>
      <c r="F203" s="4" t="n">
        <v>34</v>
      </c>
      <c r="G203" t="inlineStr">
        <is>
          <t>Tennis Québec</t>
        </is>
      </c>
      <c r="H203" t="inlineStr">
        <is>
          <t>Tennis Interclub Piedmont</t>
        </is>
      </c>
      <c r="I203" t="n">
        <v>33</v>
      </c>
      <c r="J203" s="4" t="n">
        <v>128</v>
      </c>
      <c r="K203" t="inlineStr">
        <is>
          <t>39 / 89</t>
        </is>
      </c>
      <c r="L203" t="inlineStr">
        <is>
          <t>15 / 28</t>
        </is>
      </c>
      <c r="M203" s="5" t="n">
        <v>0.3</v>
      </c>
      <c r="N203" s="5" t="n">
        <v>0.35</v>
      </c>
    </row>
    <row r="204">
      <c r="A204" t="n">
        <v>203</v>
      </c>
      <c r="B204" t="n">
        <v>2015</v>
      </c>
      <c r="C204" t="inlineStr">
        <is>
          <t>Mila Caporusso</t>
        </is>
      </c>
      <c r="D204">
        <f>HYPERLINK("https://ota.tournamentsoftware.com/player-profile/71A1C940-3E73-49DA-929B-3B90328FC4BC", "Link")</f>
        <v/>
      </c>
      <c r="E204" s="3" t="n">
        <v>392.138</v>
      </c>
      <c r="F204" s="4" t="n">
        <v>8</v>
      </c>
      <c r="G204" t="inlineStr">
        <is>
          <t>Tennis Québec</t>
        </is>
      </c>
      <c r="H204" t="inlineStr">
        <is>
          <t>Tennis 13 / Académie Ménard et associé</t>
        </is>
      </c>
      <c r="I204" t="n">
        <v>30.6</v>
      </c>
      <c r="J204" s="4" t="n">
        <v>109</v>
      </c>
      <c r="K204" t="inlineStr">
        <is>
          <t>71 / 38</t>
        </is>
      </c>
      <c r="L204" t="inlineStr">
        <is>
          <t>10 / 10</t>
        </is>
      </c>
      <c r="M204" s="5" t="n">
        <v>0.65</v>
      </c>
      <c r="N204" s="5" t="n">
        <v>0.5</v>
      </c>
    </row>
    <row r="205">
      <c r="A205" t="n">
        <v>204</v>
      </c>
      <c r="B205" t="n">
        <v>2013</v>
      </c>
      <c r="C205" t="inlineStr">
        <is>
          <t>Coralie D'Amours</t>
        </is>
      </c>
      <c r="D205">
        <f>HYPERLINK("https://ota.tournamentsoftware.com/player-profile/35A6230C-9F9D-4861-B1DB-6367FB38A039", "Link")</f>
        <v/>
      </c>
      <c r="E205" s="3" t="n">
        <v>389.814</v>
      </c>
      <c r="F205" s="4" t="n">
        <v>14</v>
      </c>
      <c r="G205" t="inlineStr">
        <is>
          <t>Ontario Tennis Association</t>
        </is>
      </c>
      <c r="H205" t="inlineStr">
        <is>
          <t>Rideau Sports Centre</t>
        </is>
      </c>
      <c r="I205" t="n">
        <v>34.3</v>
      </c>
      <c r="J205" s="4" t="n">
        <v>51</v>
      </c>
      <c r="K205" t="inlineStr">
        <is>
          <t>17 / 34</t>
        </is>
      </c>
      <c r="L205" t="inlineStr">
        <is>
          <t>9 / 12</t>
        </is>
      </c>
      <c r="M205" s="5" t="n">
        <v>0.33</v>
      </c>
      <c r="N205" s="5" t="n">
        <v>0.43</v>
      </c>
    </row>
    <row r="206">
      <c r="A206" t="n">
        <v>205</v>
      </c>
      <c r="B206" t="n">
        <v>2013</v>
      </c>
      <c r="C206" t="inlineStr">
        <is>
          <t>Élisabeth Circé</t>
        </is>
      </c>
      <c r="D206">
        <f>HYPERLINK("https://ota.tournamentsoftware.com/player-profile/6616439A-F3CD-4D57-876F-DCE4AC4B88C9", "Link")</f>
        <v/>
      </c>
      <c r="E206" s="3" t="n">
        <v>389.717</v>
      </c>
      <c r="F206" s="4" t="n">
        <v>30</v>
      </c>
      <c r="G206" t="inlineStr">
        <is>
          <t>Tennis Québec</t>
        </is>
      </c>
      <c r="H206" t="inlineStr">
        <is>
          <t>Tennis Interclub Piedmont</t>
        </is>
      </c>
      <c r="I206" t="inlineStr">
        <is>
          <t>unavailable</t>
        </is>
      </c>
      <c r="J206" s="4" t="n">
        <v>145</v>
      </c>
      <c r="K206" t="inlineStr">
        <is>
          <t>47 / 98</t>
        </is>
      </c>
      <c r="L206" t="inlineStr">
        <is>
          <t>13 / 22</t>
        </is>
      </c>
      <c r="M206" s="5" t="n">
        <v>0.32</v>
      </c>
      <c r="N206" s="5" t="n">
        <v>0.37</v>
      </c>
    </row>
    <row r="207">
      <c r="A207" t="n">
        <v>206</v>
      </c>
      <c r="B207" t="n">
        <v>2013</v>
      </c>
      <c r="C207" t="inlineStr">
        <is>
          <t>Rosemarie Gagnon</t>
        </is>
      </c>
      <c r="D207">
        <f>HYPERLINK("https://ota.tournamentsoftware.com/player-profile/55A370D6-4FAD-414D-9E3D-2889C644855A", "Link")</f>
        <v/>
      </c>
      <c r="E207" s="3" t="n">
        <v>389.688</v>
      </c>
      <c r="F207" s="4" t="n">
        <v>20</v>
      </c>
      <c r="G207" t="inlineStr">
        <is>
          <t>Tennis Québec</t>
        </is>
      </c>
      <c r="H207" t="inlineStr">
        <is>
          <t>Club de tennis intérieur Saguenay / École de tennis Delisle-Poirel</t>
        </is>
      </c>
      <c r="I207" t="n">
        <v>33.3</v>
      </c>
      <c r="J207" s="4" t="n">
        <v>107</v>
      </c>
      <c r="K207" t="inlineStr">
        <is>
          <t>46 / 61</t>
        </is>
      </c>
      <c r="L207" t="inlineStr">
        <is>
          <t>8 / 16</t>
        </is>
      </c>
      <c r="M207" s="5" t="n">
        <v>0.43</v>
      </c>
      <c r="N207" s="5" t="n">
        <v>0.33</v>
      </c>
    </row>
    <row r="208">
      <c r="A208" t="n">
        <v>207</v>
      </c>
      <c r="B208" t="n">
        <v>2013</v>
      </c>
      <c r="C208" t="inlineStr">
        <is>
          <t>Rachel Daniel</t>
        </is>
      </c>
      <c r="D208">
        <f>HYPERLINK("https://ota.tournamentsoftware.com/player-profile/C70279D5-586C-4A9D-94CC-EB9551085FF4", "Link")</f>
        <v/>
      </c>
      <c r="E208" s="3" t="n">
        <v>389.614</v>
      </c>
      <c r="F208" s="4" t="n">
        <v>17</v>
      </c>
      <c r="G208" t="inlineStr">
        <is>
          <t>Ontario Tennis Association</t>
        </is>
      </c>
      <c r="H208" t="inlineStr">
        <is>
          <t>Advantage Tennis International at Veneto</t>
        </is>
      </c>
      <c r="I208" t="n">
        <v>32.3</v>
      </c>
      <c r="J208" s="4" t="n">
        <v>97</v>
      </c>
      <c r="K208" t="inlineStr">
        <is>
          <t>37 / 60</t>
        </is>
      </c>
      <c r="L208" t="inlineStr">
        <is>
          <t>7 / 11</t>
        </is>
      </c>
      <c r="M208" s="5" t="n">
        <v>0.38</v>
      </c>
      <c r="N208" s="5" t="n">
        <v>0.39</v>
      </c>
    </row>
    <row r="209">
      <c r="A209" t="n">
        <v>208</v>
      </c>
      <c r="B209" t="n">
        <v>2014</v>
      </c>
      <c r="C209" t="inlineStr">
        <is>
          <t>Maeva Cantin</t>
        </is>
      </c>
      <c r="D209">
        <f>HYPERLINK("https://ota.tournamentsoftware.com/player-profile/B46D6374-4A68-4FB0-8516-4056AFA1047A", "Link")</f>
        <v/>
      </c>
      <c r="E209" s="3" t="n">
        <v>389.285</v>
      </c>
      <c r="F209" s="4" t="n">
        <v>17</v>
      </c>
      <c r="G209" t="inlineStr">
        <is>
          <t>Tennis Québec</t>
        </is>
      </c>
      <c r="H209" t="inlineStr">
        <is>
          <t>Centre récréatif de Repentigny / Académie Tennis Momentum</t>
        </is>
      </c>
      <c r="I209" t="n">
        <v>30.9</v>
      </c>
      <c r="J209" s="4" t="n">
        <v>149</v>
      </c>
      <c r="K209" t="inlineStr">
        <is>
          <t>79 / 70</t>
        </is>
      </c>
      <c r="L209" t="inlineStr">
        <is>
          <t>26 / 17</t>
        </is>
      </c>
      <c r="M209" s="5" t="n">
        <v>0.53</v>
      </c>
      <c r="N209" s="5" t="n">
        <v>0.6</v>
      </c>
    </row>
    <row r="210">
      <c r="A210" t="n">
        <v>209</v>
      </c>
      <c r="B210" t="n">
        <v>2014</v>
      </c>
      <c r="C210" t="inlineStr">
        <is>
          <t>Hanna Julia Barta</t>
        </is>
      </c>
      <c r="D210">
        <f>HYPERLINK("https://ota.tournamentsoftware.com/player-profile/BAF4D69B-39E5-4A7E-BB04-5AF0EDC7734B", "Link")</f>
        <v/>
      </c>
      <c r="E210" s="3" t="n">
        <v>388.453</v>
      </c>
      <c r="F210" s="4" t="n">
        <v>27</v>
      </c>
      <c r="G210" t="inlineStr">
        <is>
          <t>Ontario Tennis Association</t>
        </is>
      </c>
      <c r="H210" t="inlineStr">
        <is>
          <t>Advantage Tennis International at Veneto</t>
        </is>
      </c>
      <c r="I210" t="n">
        <v>33</v>
      </c>
      <c r="J210" s="4" t="n">
        <v>203</v>
      </c>
      <c r="K210" t="inlineStr">
        <is>
          <t>99 / 104</t>
        </is>
      </c>
      <c r="L210" t="inlineStr">
        <is>
          <t>19 / 18</t>
        </is>
      </c>
      <c r="M210" s="5" t="n">
        <v>0.49</v>
      </c>
      <c r="N210" s="5" t="n">
        <v>0.51</v>
      </c>
    </row>
    <row r="211">
      <c r="A211" t="n">
        <v>210</v>
      </c>
      <c r="B211" t="n">
        <v>2012</v>
      </c>
      <c r="C211" t="inlineStr">
        <is>
          <t>Aliya Star Michel</t>
        </is>
      </c>
      <c r="D211">
        <f>HYPERLINK("https://ota.tournamentsoftware.com/player-profile/B34E6AA6-2962-4DB5-93DB-BCA4DBF97316", "Link")</f>
        <v/>
      </c>
      <c r="E211" s="3" t="n">
        <v>386.865</v>
      </c>
      <c r="F211" s="4" t="n">
        <v>7</v>
      </c>
      <c r="G211" t="inlineStr">
        <is>
          <t>Tennis Québec</t>
        </is>
      </c>
      <c r="H211" t="inlineStr">
        <is>
          <t>Carrefour Multisports</t>
        </is>
      </c>
      <c r="I211" t="n">
        <v>29.9</v>
      </c>
      <c r="J211" s="4" t="n">
        <v>184</v>
      </c>
      <c r="K211" t="inlineStr">
        <is>
          <t>96 / 88</t>
        </is>
      </c>
      <c r="L211" t="inlineStr">
        <is>
          <t>2 / 2</t>
        </is>
      </c>
      <c r="M211" s="5" t="n">
        <v>0.52</v>
      </c>
      <c r="N211" s="5" t="n">
        <v>0.5</v>
      </c>
    </row>
    <row r="212">
      <c r="A212" t="n">
        <v>211</v>
      </c>
      <c r="B212" t="n">
        <v>2013</v>
      </c>
      <c r="C212" t="inlineStr">
        <is>
          <t>Sonya Resnikova</t>
        </is>
      </c>
      <c r="D212">
        <f>HYPERLINK("https://ota.tournamentsoftware.com/player-profile/083F5EEA-6E2D-488B-B778-27E4248C2F0D", "Link")</f>
        <v/>
      </c>
      <c r="E212" s="3" t="n">
        <v>386.662</v>
      </c>
      <c r="F212" s="4" t="n">
        <v>21</v>
      </c>
      <c r="G212" t="inlineStr">
        <is>
          <t>Ontario Tennis Association</t>
        </is>
      </c>
      <c r="H212" t="inlineStr">
        <is>
          <t>Concord Tennis Academy</t>
        </is>
      </c>
      <c r="I212" t="n">
        <v>32.5</v>
      </c>
      <c r="J212" s="4" t="n">
        <v>76</v>
      </c>
      <c r="K212" t="inlineStr">
        <is>
          <t>47 / 29</t>
        </is>
      </c>
      <c r="L212" t="inlineStr">
        <is>
          <t>15 / 15</t>
        </is>
      </c>
      <c r="M212" s="5" t="n">
        <v>0.62</v>
      </c>
      <c r="N212" s="5" t="n">
        <v>0.5</v>
      </c>
    </row>
    <row r="213">
      <c r="A213" t="n">
        <v>212</v>
      </c>
      <c r="B213" t="n">
        <v>2013</v>
      </c>
      <c r="C213" t="inlineStr">
        <is>
          <t>EMMA ANTONIA DOBREAN</t>
        </is>
      </c>
      <c r="D213">
        <f>HYPERLINK("https://ota.tournamentsoftware.com/player-profile/A556E1FC-8159-42C1-A5DB-35375535B6F4", "Link")</f>
        <v/>
      </c>
      <c r="E213" s="3" t="n">
        <v>386.415</v>
      </c>
      <c r="F213" s="4" t="n">
        <v>3</v>
      </c>
      <c r="G213" t="inlineStr">
        <is>
          <t>Ontario Tennis Association</t>
        </is>
      </c>
      <c r="H213" t="inlineStr">
        <is>
          <t>No Club</t>
        </is>
      </c>
      <c r="I213" t="inlineStr">
        <is>
          <t>unavailable</t>
        </is>
      </c>
      <c r="J213" s="4" t="n">
        <v>137</v>
      </c>
      <c r="K213" t="inlineStr">
        <is>
          <t>98 / 39</t>
        </is>
      </c>
      <c r="L213" t="inlineStr">
        <is>
          <t>2 / 3</t>
        </is>
      </c>
      <c r="M213" s="5" t="n">
        <v>0.72</v>
      </c>
      <c r="N213" s="5" t="n">
        <v>0.4</v>
      </c>
    </row>
    <row r="214">
      <c r="A214" t="n">
        <v>213</v>
      </c>
      <c r="B214" t="n">
        <v>2012</v>
      </c>
      <c r="C214" t="inlineStr">
        <is>
          <t>Milena Mavrin</t>
        </is>
      </c>
      <c r="D214">
        <f>HYPERLINK("https://ota.tournamentsoftware.com/player-profile/E6DED1E8-57C3-4627-8D59-94A636610A6B", "Link")</f>
        <v/>
      </c>
      <c r="E214" s="3" t="n">
        <v>386.04</v>
      </c>
      <c r="F214" s="4" t="n">
        <v>25</v>
      </c>
      <c r="G214" t="inlineStr">
        <is>
          <t>Ontario Tennis Association</t>
        </is>
      </c>
      <c r="H214" t="inlineStr">
        <is>
          <t>Blackmore Tennis Club</t>
        </is>
      </c>
      <c r="I214" t="n">
        <v>31.5</v>
      </c>
      <c r="J214" s="4" t="n">
        <v>71</v>
      </c>
      <c r="K214" t="inlineStr">
        <is>
          <t>32 / 39</t>
        </is>
      </c>
      <c r="L214" t="inlineStr">
        <is>
          <t>24 / 19</t>
        </is>
      </c>
      <c r="M214" s="5" t="n">
        <v>0.45</v>
      </c>
      <c r="N214" s="5" t="n">
        <v>0.5600000000000001</v>
      </c>
    </row>
    <row r="215">
      <c r="A215" t="n">
        <v>214</v>
      </c>
      <c r="B215" t="n">
        <v>2014</v>
      </c>
      <c r="C215" t="inlineStr">
        <is>
          <t>Erin Yida Li</t>
        </is>
      </c>
      <c r="D215">
        <f>HYPERLINK("https://ota.tournamentsoftware.com/player-profile/48592A27-18BE-4C04-BE24-73F536B6D5D5", "Link")</f>
        <v/>
      </c>
      <c r="E215" s="3" t="n">
        <v>382.624</v>
      </c>
      <c r="F215" s="4" t="n">
        <v>19</v>
      </c>
      <c r="G215" t="inlineStr">
        <is>
          <t>Ontario Tennis Association</t>
        </is>
      </c>
      <c r="H215" t="inlineStr">
        <is>
          <t>Richmondhill Golf &amp; Country Club</t>
        </is>
      </c>
      <c r="I215" t="n">
        <v>32.5</v>
      </c>
      <c r="J215" s="4" t="n">
        <v>83</v>
      </c>
      <c r="K215" t="inlineStr">
        <is>
          <t>41 / 42</t>
        </is>
      </c>
      <c r="L215" t="inlineStr">
        <is>
          <t>18 / 17</t>
        </is>
      </c>
      <c r="M215" s="5" t="n">
        <v>0.49</v>
      </c>
      <c r="N215" s="5" t="n">
        <v>0.51</v>
      </c>
    </row>
    <row r="216">
      <c r="A216" t="n">
        <v>215</v>
      </c>
      <c r="B216" t="n">
        <v>2014</v>
      </c>
      <c r="C216" t="inlineStr">
        <is>
          <t>Olivia Zhang</t>
        </is>
      </c>
      <c r="D216">
        <f>HYPERLINK("https://ota.tournamentsoftware.com/player-profile/8A1E61A8-3535-4F88-8C90-68A511D75AC2", "Link")</f>
        <v/>
      </c>
      <c r="E216" s="3" t="n">
        <v>371.704</v>
      </c>
      <c r="F216" s="4" t="n">
        <v>17</v>
      </c>
      <c r="G216" t="inlineStr">
        <is>
          <t>Ontario Tennis Association</t>
        </is>
      </c>
      <c r="H216" t="inlineStr">
        <is>
          <t>Richmondhill Golf &amp; Country Club</t>
        </is>
      </c>
      <c r="I216" t="n">
        <v>30.8</v>
      </c>
      <c r="J216" s="4" t="n">
        <v>96</v>
      </c>
      <c r="K216" t="inlineStr">
        <is>
          <t>58 / 38</t>
        </is>
      </c>
      <c r="L216" t="inlineStr">
        <is>
          <t>27 / 15</t>
        </is>
      </c>
      <c r="M216" s="5" t="n">
        <v>0.6</v>
      </c>
      <c r="N216" s="5" t="n">
        <v>0.64</v>
      </c>
    </row>
    <row r="217">
      <c r="A217" t="n">
        <v>216</v>
      </c>
      <c r="B217" t="n">
        <v>2013</v>
      </c>
      <c r="C217" t="inlineStr">
        <is>
          <t>Noelle Coyne</t>
        </is>
      </c>
      <c r="D217">
        <f>HYPERLINK("https://ota.tournamentsoftware.com/player-profile/F9F10EB5-F22D-4997-85F1-78377170C70A", "Link")</f>
        <v/>
      </c>
      <c r="E217" s="3" t="n">
        <v>367.853</v>
      </c>
      <c r="F217" s="4" t="n">
        <v>26</v>
      </c>
      <c r="G217" t="inlineStr">
        <is>
          <t>Tennis Alberta</t>
        </is>
      </c>
      <c r="H217" t="inlineStr">
        <is>
          <t>Osten &amp; Victor Alberta Tennis Centre</t>
        </is>
      </c>
      <c r="I217" t="n">
        <v>31.9</v>
      </c>
      <c r="J217" s="4" t="n">
        <v>122</v>
      </c>
      <c r="K217" t="inlineStr">
        <is>
          <t>51 / 71</t>
        </is>
      </c>
      <c r="L217" t="inlineStr">
        <is>
          <t>23 / 32</t>
        </is>
      </c>
      <c r="M217" s="5" t="n">
        <v>0.42</v>
      </c>
      <c r="N217" s="5" t="n">
        <v>0.42</v>
      </c>
    </row>
    <row r="218">
      <c r="A218" t="n">
        <v>217</v>
      </c>
      <c r="B218" t="n">
        <v>2013</v>
      </c>
      <c r="C218" t="inlineStr">
        <is>
          <t>Mary Grace MacDonnell Doak</t>
        </is>
      </c>
      <c r="D218">
        <f>HYPERLINK("https://ota.tournamentsoftware.com/player-profile/7E3C3388-CB92-4FE9-B0C8-FE6415D966E4", "Link")</f>
        <v/>
      </c>
      <c r="E218" s="3" t="n">
        <v>366.079</v>
      </c>
      <c r="F218" s="4" t="n">
        <v>19</v>
      </c>
      <c r="G218" t="inlineStr">
        <is>
          <t>Ontario Tennis Association</t>
        </is>
      </c>
      <c r="H218" t="inlineStr">
        <is>
          <t>St. James Tennis Club</t>
        </is>
      </c>
      <c r="I218" t="n">
        <v>36.2</v>
      </c>
      <c r="J218" s="4" t="n">
        <v>143</v>
      </c>
      <c r="K218" t="inlineStr">
        <is>
          <t>69 / 74</t>
        </is>
      </c>
      <c r="L218" t="inlineStr">
        <is>
          <t>5 / 12</t>
        </is>
      </c>
      <c r="M218" s="5" t="n">
        <v>0.48</v>
      </c>
      <c r="N218" s="5" t="n">
        <v>0.29</v>
      </c>
    </row>
    <row r="219">
      <c r="A219" t="n">
        <v>218</v>
      </c>
      <c r="B219" t="n">
        <v>2014</v>
      </c>
      <c r="C219" t="inlineStr">
        <is>
          <t>Hailey Zhou</t>
        </is>
      </c>
      <c r="D219">
        <f>HYPERLINK("https://ota.tournamentsoftware.com/player-profile/3046278B-E91E-4DE6-B598-5CD7D202AA49", "Link")</f>
        <v/>
      </c>
      <c r="E219" s="3" t="n">
        <v>344.77</v>
      </c>
      <c r="F219" s="4" t="n">
        <v>32</v>
      </c>
      <c r="G219" t="inlineStr">
        <is>
          <t>Ontario Tennis Association</t>
        </is>
      </c>
      <c r="H219" t="inlineStr">
        <is>
          <t>Advantage Tennis International at Veneto</t>
        </is>
      </c>
      <c r="I219" t="n">
        <v>33.7</v>
      </c>
      <c r="J219" s="4" t="n">
        <v>74</v>
      </c>
      <c r="K219" t="inlineStr">
        <is>
          <t>38 / 36</t>
        </is>
      </c>
      <c r="L219" t="inlineStr">
        <is>
          <t>28 / 24</t>
        </is>
      </c>
      <c r="M219" s="5" t="n">
        <v>0.51</v>
      </c>
      <c r="N219" s="5" t="n">
        <v>0.54</v>
      </c>
    </row>
    <row r="220">
      <c r="A220" t="n">
        <v>219</v>
      </c>
      <c r="B220" t="n">
        <v>2012</v>
      </c>
      <c r="C220" t="inlineStr">
        <is>
          <t>Sneha Sahiba Bhatti</t>
        </is>
      </c>
      <c r="D220">
        <f>HYPERLINK("https://ota.tournamentsoftware.com/player-profile/16EA0E7B-0025-4333-9A2A-28395C436A40", "Link")</f>
        <v/>
      </c>
      <c r="E220" s="3" t="n">
        <v>343.767</v>
      </c>
      <c r="F220" s="4" t="n">
        <v>18</v>
      </c>
      <c r="G220" t="inlineStr">
        <is>
          <t>British Columbia</t>
        </is>
      </c>
      <c r="H220" t="inlineStr">
        <is>
          <t>Coquitlam Tennis Club</t>
        </is>
      </c>
      <c r="I220" t="n">
        <v>30.4</v>
      </c>
      <c r="J220" s="4" t="n">
        <v>186</v>
      </c>
      <c r="K220" t="inlineStr">
        <is>
          <t>93 / 93</t>
        </is>
      </c>
      <c r="L220" t="inlineStr">
        <is>
          <t>15 / 19</t>
        </is>
      </c>
      <c r="M220" s="5" t="n">
        <v>0.5</v>
      </c>
      <c r="N220" s="5" t="n">
        <v>0.44</v>
      </c>
    </row>
    <row r="221">
      <c r="A221" t="n">
        <v>220</v>
      </c>
      <c r="B221" t="n">
        <v>2012</v>
      </c>
      <c r="C221" t="inlineStr">
        <is>
          <t>Anne-Frédérique Jacob</t>
        </is>
      </c>
      <c r="D221">
        <f>HYPERLINK("https://ota.tournamentsoftware.com/player-profile/6FDF9E24-9EF2-40B8-AA29-4E8DB70822F9", "Link")</f>
        <v/>
      </c>
      <c r="E221" s="3" t="n">
        <v>339.237</v>
      </c>
      <c r="F221" s="4" t="n">
        <v>15</v>
      </c>
      <c r="G221" t="inlineStr">
        <is>
          <t>Tennis Québec</t>
        </is>
      </c>
      <c r="H221" t="inlineStr">
        <is>
          <t>SANI Sport</t>
        </is>
      </c>
      <c r="I221" t="n">
        <v>30.3</v>
      </c>
      <c r="J221" s="4" t="n">
        <v>147</v>
      </c>
      <c r="K221" t="inlineStr">
        <is>
          <t>73 / 74</t>
        </is>
      </c>
      <c r="L221" t="inlineStr">
        <is>
          <t>5 / 11</t>
        </is>
      </c>
      <c r="M221" s="5" t="n">
        <v>0.5</v>
      </c>
      <c r="N221" s="5" t="n">
        <v>0.31</v>
      </c>
    </row>
    <row r="222">
      <c r="A222" t="n">
        <v>221</v>
      </c>
      <c r="B222" t="n">
        <v>2014</v>
      </c>
      <c r="C222" t="inlineStr">
        <is>
          <t>Isabelle Prusinkiewicz</t>
        </is>
      </c>
      <c r="D222">
        <f>HYPERLINK("https://ota.tournamentsoftware.com/player-profile/15F8CE0F-EF62-4029-B13B-F131581B8B29", "Link")</f>
        <v/>
      </c>
      <c r="E222" s="3" t="n">
        <v>338.545</v>
      </c>
      <c r="F222" s="4" t="n">
        <v>24</v>
      </c>
      <c r="G222" t="inlineStr">
        <is>
          <t>Tennis Alberta</t>
        </is>
      </c>
      <c r="H222" t="inlineStr">
        <is>
          <t>Aforza</t>
        </is>
      </c>
      <c r="I222" t="n">
        <v>32.1</v>
      </c>
      <c r="J222" s="4" t="n">
        <v>178</v>
      </c>
      <c r="K222" t="inlineStr">
        <is>
          <t>102 / 76</t>
        </is>
      </c>
      <c r="L222" t="inlineStr">
        <is>
          <t>30 / 20</t>
        </is>
      </c>
      <c r="M222" s="5" t="n">
        <v>0.57</v>
      </c>
      <c r="N222" s="5" t="n">
        <v>0.6</v>
      </c>
    </row>
    <row r="223">
      <c r="A223" t="n">
        <v>222</v>
      </c>
      <c r="B223" t="n">
        <v>2013</v>
      </c>
      <c r="C223" t="inlineStr">
        <is>
          <t>Jessica Rosemary Hill</t>
        </is>
      </c>
      <c r="D223">
        <f>HYPERLINK("https://ota.tournamentsoftware.com/player-profile/9F68BF9A-4FFA-4754-8023-C9F4ABCF0003", "Link")</f>
        <v/>
      </c>
      <c r="E223" s="3" t="n">
        <v>336.999</v>
      </c>
      <c r="F223" s="4" t="n">
        <v>22</v>
      </c>
      <c r="G223" t="inlineStr">
        <is>
          <t>British Columbia</t>
        </is>
      </c>
      <c r="H223" t="inlineStr">
        <is>
          <t>No Club</t>
        </is>
      </c>
      <c r="I223" t="n">
        <v>30.2</v>
      </c>
      <c r="J223" s="4" t="n">
        <v>165</v>
      </c>
      <c r="K223" t="inlineStr">
        <is>
          <t>93 / 72</t>
        </is>
      </c>
      <c r="L223" t="inlineStr">
        <is>
          <t>23 / 17</t>
        </is>
      </c>
      <c r="M223" s="5" t="n">
        <v>0.5600000000000001</v>
      </c>
      <c r="N223" s="5" t="n">
        <v>0.57</v>
      </c>
    </row>
    <row r="224">
      <c r="A224" t="n">
        <v>223</v>
      </c>
      <c r="B224" t="n">
        <v>2013</v>
      </c>
      <c r="C224" t="inlineStr">
        <is>
          <t>Alina Luo</t>
        </is>
      </c>
      <c r="D224">
        <f>HYPERLINK("https://ota.tournamentsoftware.com/player-profile/848C25E0-4CBB-4051-8AB5-C8460313D4A3", "Link")</f>
        <v/>
      </c>
      <c r="E224" s="3" t="n">
        <v>336.847</v>
      </c>
      <c r="F224" s="4" t="n">
        <v>23</v>
      </c>
      <c r="G224" t="inlineStr">
        <is>
          <t>Tennis Québec</t>
        </is>
      </c>
      <c r="H224" t="inlineStr">
        <is>
          <t>SANI Sport</t>
        </is>
      </c>
      <c r="I224" t="n">
        <v>32.4</v>
      </c>
      <c r="J224" s="4" t="n">
        <v>217</v>
      </c>
      <c r="K224" t="inlineStr">
        <is>
          <t>103 / 114</t>
        </is>
      </c>
      <c r="L224" t="inlineStr">
        <is>
          <t>3 / 17</t>
        </is>
      </c>
      <c r="M224" s="5" t="n">
        <v>0.47</v>
      </c>
      <c r="N224" s="5" t="n">
        <v>0.15</v>
      </c>
    </row>
    <row r="225">
      <c r="A225" t="n">
        <v>224</v>
      </c>
      <c r="B225" t="n">
        <v>2013</v>
      </c>
      <c r="C225" t="inlineStr">
        <is>
          <t>Anastazia De Lain</t>
        </is>
      </c>
      <c r="D225">
        <f>HYPERLINK("https://ota.tournamentsoftware.com/player-profile/BEE8D838-8464-4CCF-9268-D0D58F108999", "Link")</f>
        <v/>
      </c>
      <c r="E225" s="3" t="n">
        <v>335.359</v>
      </c>
      <c r="F225" s="4" t="n">
        <v>20</v>
      </c>
      <c r="G225" t="inlineStr">
        <is>
          <t>Tennis Québec</t>
        </is>
      </c>
      <c r="H225" t="inlineStr">
        <is>
          <t>EB Tennis inc.</t>
        </is>
      </c>
      <c r="I225" t="n">
        <v>36.6</v>
      </c>
      <c r="J225" s="4" t="n">
        <v>172</v>
      </c>
      <c r="K225" t="inlineStr">
        <is>
          <t>37 / 135</t>
        </is>
      </c>
      <c r="L225" t="inlineStr">
        <is>
          <t>4 / 21</t>
        </is>
      </c>
      <c r="M225" s="5" t="n">
        <v>0.22</v>
      </c>
      <c r="N225" s="5" t="n">
        <v>0.16</v>
      </c>
    </row>
    <row r="226">
      <c r="A226" t="n">
        <v>225</v>
      </c>
      <c r="B226" t="n">
        <v>2013</v>
      </c>
      <c r="C226" t="inlineStr">
        <is>
          <t>Kmar ELHOUIJ</t>
        </is>
      </c>
      <c r="D226">
        <f>HYPERLINK("https://ota.tournamentsoftware.com/player-profile/D690466C-B3D9-45B2-B453-BA40F436A5C1", "Link")</f>
        <v/>
      </c>
      <c r="E226" s="3" t="n">
        <v>335.176</v>
      </c>
      <c r="F226" s="4" t="n">
        <v>4</v>
      </c>
      <c r="G226" t="inlineStr">
        <is>
          <t>Tennis New Brunswick</t>
        </is>
      </c>
      <c r="H226" t="inlineStr">
        <is>
          <t>No Club</t>
        </is>
      </c>
      <c r="I226" t="n">
        <v>27.5</v>
      </c>
      <c r="J226" s="4" t="n">
        <v>39</v>
      </c>
      <c r="K226" t="inlineStr">
        <is>
          <t>30 / 9</t>
        </is>
      </c>
      <c r="L226" t="inlineStr">
        <is>
          <t>19 / 6</t>
        </is>
      </c>
      <c r="M226" s="5" t="n">
        <v>0.77</v>
      </c>
      <c r="N226" s="5" t="n">
        <v>0.76</v>
      </c>
    </row>
    <row r="227">
      <c r="A227" t="n">
        <v>226</v>
      </c>
      <c r="B227" t="n">
        <v>2014</v>
      </c>
      <c r="C227" t="inlineStr">
        <is>
          <t>Eva Paquette</t>
        </is>
      </c>
      <c r="D227">
        <f>HYPERLINK("https://ota.tournamentsoftware.com/player-profile/631BF8EC-5FD6-41F7-A4BC-1B4980693D40", "Link")</f>
        <v/>
      </c>
      <c r="E227" s="3" t="n">
        <v>335.088</v>
      </c>
      <c r="F227" s="4" t="n">
        <v>32</v>
      </c>
      <c r="G227" t="inlineStr">
        <is>
          <t>Tennis Québec</t>
        </is>
      </c>
      <c r="H227" t="inlineStr">
        <is>
          <t>Club Sportif Côte-de-Liesse</t>
        </is>
      </c>
      <c r="I227" t="n">
        <v>32.3</v>
      </c>
      <c r="J227" s="4" t="n">
        <v>200</v>
      </c>
      <c r="K227" t="inlineStr">
        <is>
          <t>103 / 97</t>
        </is>
      </c>
      <c r="L227" t="inlineStr">
        <is>
          <t>39 / 22</t>
        </is>
      </c>
      <c r="M227" s="5" t="n">
        <v>0.52</v>
      </c>
      <c r="N227" s="5" t="n">
        <v>0.64</v>
      </c>
    </row>
    <row r="228">
      <c r="A228" t="n">
        <v>227</v>
      </c>
      <c r="B228" t="n">
        <v>2012</v>
      </c>
      <c r="C228" t="inlineStr">
        <is>
          <t>Yunia Bartha</t>
        </is>
      </c>
      <c r="D228">
        <f>HYPERLINK("https://ota.tournamentsoftware.com/player-profile/3A2980C0-C922-4870-A2B4-18E74AC903C2", "Link")</f>
        <v/>
      </c>
      <c r="E228" s="3" t="n">
        <v>332.284</v>
      </c>
      <c r="F228" s="4" t="n">
        <v>25</v>
      </c>
      <c r="G228" t="inlineStr">
        <is>
          <t>Tennis Québec</t>
        </is>
      </c>
      <c r="H228" t="inlineStr">
        <is>
          <t>Club Sportif Côte-de-Liesse</t>
        </is>
      </c>
      <c r="I228" t="n">
        <v>32.6</v>
      </c>
      <c r="J228" s="4" t="n">
        <v>141</v>
      </c>
      <c r="K228" t="inlineStr">
        <is>
          <t>56 / 85</t>
        </is>
      </c>
      <c r="L228" t="inlineStr">
        <is>
          <t>12 / 21</t>
        </is>
      </c>
      <c r="M228" s="5" t="n">
        <v>0.4</v>
      </c>
      <c r="N228" s="5" t="n">
        <v>0.36</v>
      </c>
    </row>
    <row r="229">
      <c r="A229" t="n">
        <v>228</v>
      </c>
      <c r="B229" t="n">
        <v>2013</v>
      </c>
      <c r="C229" t="inlineStr">
        <is>
          <t>Aicha Ben Ali</t>
        </is>
      </c>
      <c r="D229">
        <f>HYPERLINK("https://ota.tournamentsoftware.com/player-profile/87F8F2BE-10FE-41D7-8382-85524C1D5D23", "Link")</f>
        <v/>
      </c>
      <c r="E229" s="3" t="n">
        <v>330.988</v>
      </c>
      <c r="F229" s="4" t="n">
        <v>9</v>
      </c>
      <c r="G229" t="inlineStr">
        <is>
          <t>Tennis Saskatchewan</t>
        </is>
      </c>
      <c r="H229" t="inlineStr">
        <is>
          <t>Lakeshore Tennis Club</t>
        </is>
      </c>
      <c r="I229" t="inlineStr">
        <is>
          <t>unavailable</t>
        </is>
      </c>
      <c r="J229" s="4" t="n">
        <v>31</v>
      </c>
      <c r="K229" t="inlineStr">
        <is>
          <t>4 / 27</t>
        </is>
      </c>
      <c r="L229" t="inlineStr">
        <is>
          <t>4 / 23</t>
        </is>
      </c>
      <c r="M229" s="5" t="n">
        <v>0.13</v>
      </c>
      <c r="N229" s="5" t="n">
        <v>0.15</v>
      </c>
    </row>
    <row r="230">
      <c r="A230" t="n">
        <v>229</v>
      </c>
      <c r="B230" t="n">
        <v>2014</v>
      </c>
      <c r="C230" t="inlineStr">
        <is>
          <t>anne xie</t>
        </is>
      </c>
      <c r="D230">
        <f>HYPERLINK("https://ota.tournamentsoftware.com/player-profile/FA9126B9-8D97-4D5E-9E34-8893BB836AE1", "Link")</f>
        <v/>
      </c>
      <c r="E230" s="3" t="n">
        <v>330.776</v>
      </c>
      <c r="F230" s="4" t="n">
        <v>26</v>
      </c>
      <c r="G230" t="inlineStr">
        <is>
          <t>British Columbia</t>
        </is>
      </c>
      <c r="H230" t="inlineStr">
        <is>
          <t>North Vancouver Tennis Centre</t>
        </is>
      </c>
      <c r="I230" t="n">
        <v>29.6</v>
      </c>
      <c r="J230" s="4" t="n">
        <v>254</v>
      </c>
      <c r="K230" t="inlineStr">
        <is>
          <t>122 / 132</t>
        </is>
      </c>
      <c r="L230" t="inlineStr">
        <is>
          <t>25 / 24</t>
        </is>
      </c>
      <c r="M230" s="5" t="n">
        <v>0.48</v>
      </c>
      <c r="N230" s="5" t="n">
        <v>0.51</v>
      </c>
    </row>
    <row r="231">
      <c r="A231" t="n">
        <v>230</v>
      </c>
      <c r="B231" t="n">
        <v>2012</v>
      </c>
      <c r="C231" t="inlineStr">
        <is>
          <t>Alexandra Bayentin</t>
        </is>
      </c>
      <c r="D231">
        <f>HYPERLINK("https://ota.tournamentsoftware.com/player-profile/EFF894D9-35F7-45C9-9C57-06584708D213", "Link")</f>
        <v/>
      </c>
      <c r="E231" s="3" t="n">
        <v>327.269</v>
      </c>
      <c r="F231" s="4" t="n">
        <v>13</v>
      </c>
      <c r="G231" t="inlineStr">
        <is>
          <t>Tennis Alberta</t>
        </is>
      </c>
      <c r="H231" t="inlineStr">
        <is>
          <t>Osten &amp; Victor Alberta Tennis Centre</t>
        </is>
      </c>
      <c r="I231" t="n">
        <v>29.2</v>
      </c>
      <c r="J231" s="4" t="n">
        <v>167</v>
      </c>
      <c r="K231" t="inlineStr">
        <is>
          <t>81 / 86</t>
        </is>
      </c>
      <c r="L231" t="inlineStr">
        <is>
          <t>11 / 12</t>
        </is>
      </c>
      <c r="M231" s="5" t="n">
        <v>0.49</v>
      </c>
      <c r="N231" s="5" t="n">
        <v>0.48</v>
      </c>
    </row>
    <row r="232">
      <c r="A232" t="n">
        <v>231</v>
      </c>
      <c r="B232" t="n">
        <v>2012</v>
      </c>
      <c r="C232" t="inlineStr">
        <is>
          <t>Ariyana Usharah Mahanandan</t>
        </is>
      </c>
      <c r="D232">
        <f>HYPERLINK("https://ota.tournamentsoftware.com/player-profile/FE0B9224-EA2B-4B60-AB52-7A0A2ACA90DA", "Link")</f>
        <v/>
      </c>
      <c r="E232" s="3" t="n">
        <v>327.166</v>
      </c>
      <c r="F232" s="4" t="n">
        <v>21</v>
      </c>
      <c r="G232" t="inlineStr">
        <is>
          <t>Ontario Tennis Association</t>
        </is>
      </c>
      <c r="H232" t="inlineStr">
        <is>
          <t>Premier Racquet Clubs – Mississauga</t>
        </is>
      </c>
      <c r="I232" t="inlineStr">
        <is>
          <t>unavailable</t>
        </is>
      </c>
      <c r="J232" s="4" t="n">
        <v>133</v>
      </c>
      <c r="K232" t="inlineStr">
        <is>
          <t>56 / 77</t>
        </is>
      </c>
      <c r="L232" t="inlineStr">
        <is>
          <t>10 / 19</t>
        </is>
      </c>
      <c r="M232" s="5" t="n">
        <v>0.42</v>
      </c>
      <c r="N232" s="5" t="n">
        <v>0.34</v>
      </c>
    </row>
    <row r="233">
      <c r="A233" t="n">
        <v>232</v>
      </c>
      <c r="B233" t="n">
        <v>2013</v>
      </c>
      <c r="C233" t="inlineStr">
        <is>
          <t>Chloe Elizabeth Kotorobai</t>
        </is>
      </c>
      <c r="D233">
        <f>HYPERLINK("https://ota.tournamentsoftware.com/player-profile/FA516D57-03A4-4F2E-810D-864F5732F5CE", "Link")</f>
        <v/>
      </c>
      <c r="E233" s="3" t="n">
        <v>322.784</v>
      </c>
      <c r="F233" s="4" t="n">
        <v>22</v>
      </c>
      <c r="G233" t="inlineStr">
        <is>
          <t>Ontario Tennis Association</t>
        </is>
      </c>
      <c r="H233" t="inlineStr">
        <is>
          <t>City of Stoney Creek</t>
        </is>
      </c>
      <c r="I233" t="n">
        <v>32.6</v>
      </c>
      <c r="J233" s="4" t="n">
        <v>90</v>
      </c>
      <c r="K233" t="inlineStr">
        <is>
          <t>36 / 54</t>
        </is>
      </c>
      <c r="L233" t="inlineStr">
        <is>
          <t>8 / 13</t>
        </is>
      </c>
      <c r="M233" s="5" t="n">
        <v>0.4</v>
      </c>
      <c r="N233" s="5" t="n">
        <v>0.38</v>
      </c>
    </row>
    <row r="234">
      <c r="A234" t="n">
        <v>233</v>
      </c>
      <c r="B234" t="n">
        <v>2014</v>
      </c>
      <c r="C234" t="inlineStr">
        <is>
          <t>Vrishti Gehlot</t>
        </is>
      </c>
      <c r="D234">
        <f>HYPERLINK("https://ota.tournamentsoftware.com/player-profile/8D59FB71-FC68-41E0-B69F-920C29B60AD3", "Link")</f>
        <v/>
      </c>
      <c r="E234" s="3" t="n">
        <v>322.528</v>
      </c>
      <c r="F234" s="4" t="n">
        <v>28</v>
      </c>
      <c r="G234" t="inlineStr">
        <is>
          <t>Ontario Tennis Association</t>
        </is>
      </c>
      <c r="H234" t="inlineStr">
        <is>
          <t>Premier Racquet Clubs – Mississauga</t>
        </is>
      </c>
      <c r="I234" t="n">
        <v>32.9</v>
      </c>
      <c r="J234" s="4" t="n">
        <v>153</v>
      </c>
      <c r="K234" t="inlineStr">
        <is>
          <t>78 / 75</t>
        </is>
      </c>
      <c r="L234" t="inlineStr">
        <is>
          <t>30 / 16</t>
        </is>
      </c>
      <c r="M234" s="5" t="n">
        <v>0.51</v>
      </c>
      <c r="N234" s="5" t="n">
        <v>0.65</v>
      </c>
    </row>
    <row r="235">
      <c r="A235" t="n">
        <v>234</v>
      </c>
      <c r="B235" t="n">
        <v>2015</v>
      </c>
      <c r="C235" t="inlineStr">
        <is>
          <t>Josephine Yitong Wu</t>
        </is>
      </c>
      <c r="D235">
        <f>HYPERLINK("https://ota.tournamentsoftware.com/player-profile/1DF0BC06-9057-4469-9CEF-A9B5D864D9C9", "Link")</f>
        <v/>
      </c>
      <c r="E235" s="3" t="n">
        <v>321.68</v>
      </c>
      <c r="F235" s="4" t="n">
        <v>20</v>
      </c>
      <c r="G235" t="inlineStr">
        <is>
          <t>British Columbia</t>
        </is>
      </c>
      <c r="H235" t="inlineStr">
        <is>
          <t>North Vancouver Tennis Centre</t>
        </is>
      </c>
      <c r="I235" t="n">
        <v>29.5</v>
      </c>
      <c r="J235" s="4" t="n">
        <v>167</v>
      </c>
      <c r="K235" t="inlineStr">
        <is>
          <t>99 / 68</t>
        </is>
      </c>
      <c r="L235" t="inlineStr">
        <is>
          <t>22 / 12</t>
        </is>
      </c>
      <c r="M235" s="5" t="n">
        <v>0.59</v>
      </c>
      <c r="N235" s="5" t="n">
        <v>0.65</v>
      </c>
    </row>
    <row r="236">
      <c r="A236" t="n">
        <v>235</v>
      </c>
      <c r="B236" t="n">
        <v>2012</v>
      </c>
      <c r="C236" t="inlineStr">
        <is>
          <t>Abby Jean Tobac</t>
        </is>
      </c>
      <c r="D236">
        <f>HYPERLINK("https://ota.tournamentsoftware.com/player-profile/CDFDF0FB-A147-4D3C-BF4D-24E115B9EC1A", "Link")</f>
        <v/>
      </c>
      <c r="E236" s="3" t="n">
        <v>318.528</v>
      </c>
      <c r="F236" s="4" t="n">
        <v>6</v>
      </c>
      <c r="G236" t="inlineStr">
        <is>
          <t>Tennis Manitoba</t>
        </is>
      </c>
      <c r="H236" t="inlineStr">
        <is>
          <t>Taylor Tennis</t>
        </is>
      </c>
      <c r="I236" t="n">
        <v>35.1</v>
      </c>
      <c r="J236" s="4" t="n">
        <v>49</v>
      </c>
      <c r="K236" t="inlineStr">
        <is>
          <t>14 / 35</t>
        </is>
      </c>
      <c r="L236" t="inlineStr">
        <is>
          <t>2 / 9</t>
        </is>
      </c>
      <c r="M236" s="5" t="n">
        <v>0.29</v>
      </c>
      <c r="N236" s="5" t="n">
        <v>0.18</v>
      </c>
    </row>
    <row r="237">
      <c r="A237" t="n">
        <v>236</v>
      </c>
      <c r="B237" t="n">
        <v>2015</v>
      </c>
      <c r="C237" t="inlineStr">
        <is>
          <t>Clara Fanoos</t>
        </is>
      </c>
      <c r="D237">
        <f>HYPERLINK("https://ota.tournamentsoftware.com/player-profile/4AE431B3-C9E6-49D8-8003-48666B13F94B", "Link")</f>
        <v/>
      </c>
      <c r="E237" s="3" t="n">
        <v>316.509</v>
      </c>
      <c r="F237" s="4" t="n">
        <v>21</v>
      </c>
      <c r="G237" t="inlineStr">
        <is>
          <t>Tennis Québec</t>
        </is>
      </c>
      <c r="H237" t="inlineStr">
        <is>
          <t>Complexe de tennis de St-Augustin</t>
        </is>
      </c>
      <c r="I237" t="n">
        <v>31.5</v>
      </c>
      <c r="J237" s="4" t="n">
        <v>192</v>
      </c>
      <c r="K237" t="inlineStr">
        <is>
          <t>117 / 75</t>
        </is>
      </c>
      <c r="L237" t="inlineStr">
        <is>
          <t>29 / 19</t>
        </is>
      </c>
      <c r="M237" s="5" t="n">
        <v>0.61</v>
      </c>
      <c r="N237" s="5" t="n">
        <v>0.6</v>
      </c>
    </row>
    <row r="238">
      <c r="A238" t="n">
        <v>237</v>
      </c>
      <c r="B238" t="n">
        <v>2012</v>
      </c>
      <c r="C238" t="inlineStr">
        <is>
          <t>helena Khorsid-G-Mahdi</t>
        </is>
      </c>
      <c r="D238">
        <f>HYPERLINK("https://ota.tournamentsoftware.com/player-profile/D9FB3068-A1A7-4F96-B728-095D292B805C", "Link")</f>
        <v/>
      </c>
      <c r="E238" s="3" t="n">
        <v>312.56</v>
      </c>
      <c r="F238" s="4" t="n">
        <v>19</v>
      </c>
      <c r="G238" t="inlineStr">
        <is>
          <t>Ontario Tennis Association</t>
        </is>
      </c>
      <c r="H238" t="inlineStr">
        <is>
          <t>Cottingham Tennis Club</t>
        </is>
      </c>
      <c r="I238" t="inlineStr">
        <is>
          <t>unavailable</t>
        </is>
      </c>
      <c r="J238" s="4" t="n">
        <v>56</v>
      </c>
      <c r="K238" t="inlineStr">
        <is>
          <t>33 / 23</t>
        </is>
      </c>
      <c r="L238" t="inlineStr">
        <is>
          <t>19 / 16</t>
        </is>
      </c>
      <c r="M238" s="5" t="n">
        <v>0.59</v>
      </c>
      <c r="N238" s="5" t="n">
        <v>0.54</v>
      </c>
    </row>
    <row r="239">
      <c r="A239" t="n">
        <v>238</v>
      </c>
      <c r="B239" t="n">
        <v>2013</v>
      </c>
      <c r="C239" t="inlineStr">
        <is>
          <t>Katelyn Zhao</t>
        </is>
      </c>
      <c r="D239">
        <f>HYPERLINK("https://ota.tournamentsoftware.com/player-profile/C6305E19-1670-4857-9967-0344F0C8AB1D", "Link")</f>
        <v/>
      </c>
      <c r="E239" s="3" t="n">
        <v>312.472</v>
      </c>
      <c r="F239" s="4" t="n">
        <v>25</v>
      </c>
      <c r="G239" t="inlineStr">
        <is>
          <t>Ontario Tennis Association</t>
        </is>
      </c>
      <c r="H239" t="inlineStr">
        <is>
          <t>Premier Racquet Club</t>
        </is>
      </c>
      <c r="I239" t="n">
        <v>33.3</v>
      </c>
      <c r="J239" s="4" t="n">
        <v>98</v>
      </c>
      <c r="K239" t="inlineStr">
        <is>
          <t>52 / 46</t>
        </is>
      </c>
      <c r="L239" t="inlineStr">
        <is>
          <t>20 / 20</t>
        </is>
      </c>
      <c r="M239" s="5" t="n">
        <v>0.53</v>
      </c>
      <c r="N239" s="5" t="n">
        <v>0.5</v>
      </c>
    </row>
    <row r="240">
      <c r="A240" t="n">
        <v>239</v>
      </c>
      <c r="B240" t="n">
        <v>2012</v>
      </c>
      <c r="C240" t="inlineStr">
        <is>
          <t>Camie Wang</t>
        </is>
      </c>
      <c r="D240">
        <f>HYPERLINK("https://ota.tournamentsoftware.com/player-profile/5CE5CCC5-E821-48EF-86C9-6973D97D1F92", "Link")</f>
        <v/>
      </c>
      <c r="E240" s="3" t="n">
        <v>311.911</v>
      </c>
      <c r="F240" s="4" t="n">
        <v>16</v>
      </c>
      <c r="G240" t="inlineStr">
        <is>
          <t>Tennis Alberta</t>
        </is>
      </c>
      <c r="H240" t="inlineStr">
        <is>
          <t>Osten &amp; Victor Alberta Tennis Centre</t>
        </is>
      </c>
      <c r="I240" t="n">
        <v>28</v>
      </c>
      <c r="J240" s="4" t="n">
        <v>115</v>
      </c>
      <c r="K240" t="inlineStr">
        <is>
          <t>61 / 54</t>
        </is>
      </c>
      <c r="L240" t="inlineStr">
        <is>
          <t>20 / 19</t>
        </is>
      </c>
      <c r="M240" s="5" t="n">
        <v>0.53</v>
      </c>
      <c r="N240" s="5" t="n">
        <v>0.51</v>
      </c>
    </row>
    <row r="241">
      <c r="A241" t="n">
        <v>240</v>
      </c>
      <c r="B241" t="n">
        <v>2012</v>
      </c>
      <c r="C241" t="inlineStr">
        <is>
          <t>Daisy Tingru Wang</t>
        </is>
      </c>
      <c r="D241">
        <f>HYPERLINK("https://ota.tournamentsoftware.com/player-profile/40DA5F9F-8E70-4030-A0ED-A54E3D8832D2", "Link")</f>
        <v/>
      </c>
      <c r="E241" s="3" t="n">
        <v>310.853</v>
      </c>
      <c r="F241" s="4" t="n">
        <v>7</v>
      </c>
      <c r="G241" t="inlineStr">
        <is>
          <t>Tennis Nova Scotia</t>
        </is>
      </c>
      <c r="H241" t="inlineStr">
        <is>
          <t>HEADSTART</t>
        </is>
      </c>
      <c r="I241" t="n">
        <v>36.2</v>
      </c>
      <c r="J241" s="4" t="n">
        <v>35</v>
      </c>
      <c r="K241" t="inlineStr">
        <is>
          <t>8 / 27</t>
        </is>
      </c>
      <c r="L241" t="inlineStr">
        <is>
          <t>5 / 17</t>
        </is>
      </c>
      <c r="M241" s="5" t="n">
        <v>0.23</v>
      </c>
      <c r="N241" s="5" t="n">
        <v>0.23</v>
      </c>
    </row>
    <row r="242">
      <c r="A242" t="n">
        <v>241</v>
      </c>
      <c r="B242" t="n">
        <v>2014</v>
      </c>
      <c r="C242" t="inlineStr">
        <is>
          <t>Isabella Quintero-Gonzalez</t>
        </is>
      </c>
      <c r="D242">
        <f>HYPERLINK("https://ota.tournamentsoftware.com/player-profile/7215E114-BC9E-4292-9B97-03B766DB64EA", "Link")</f>
        <v/>
      </c>
      <c r="E242" s="3" t="n">
        <v>309.855</v>
      </c>
      <c r="F242" s="4" t="n">
        <v>12</v>
      </c>
      <c r="G242" t="inlineStr">
        <is>
          <t>Tennis Nova Scotia</t>
        </is>
      </c>
      <c r="H242" t="inlineStr">
        <is>
          <t>Atlantic Tennis Centre</t>
        </is>
      </c>
      <c r="I242" t="n">
        <v>33</v>
      </c>
      <c r="J242" s="4" t="n">
        <v>123</v>
      </c>
      <c r="K242" t="inlineStr">
        <is>
          <t>61 / 62</t>
        </is>
      </c>
      <c r="L242" t="inlineStr">
        <is>
          <t>25 / 22</t>
        </is>
      </c>
      <c r="M242" s="5" t="n">
        <v>0.5</v>
      </c>
      <c r="N242" s="5" t="n">
        <v>0.53</v>
      </c>
    </row>
    <row r="243">
      <c r="A243" t="n">
        <v>242</v>
      </c>
      <c r="B243" t="n">
        <v>2015</v>
      </c>
      <c r="C243" t="inlineStr">
        <is>
          <t>Mia Louise LADEWIG</t>
        </is>
      </c>
      <c r="D243">
        <f>HYPERLINK("https://ota.tournamentsoftware.com/player-profile/25055713-74C7-482D-8A9B-00D94FB7068B", "Link")</f>
        <v/>
      </c>
      <c r="E243" s="3" t="n">
        <v>309.295</v>
      </c>
      <c r="F243" s="4" t="n">
        <v>23</v>
      </c>
      <c r="G243" t="inlineStr">
        <is>
          <t>British Columbia</t>
        </is>
      </c>
      <c r="H243" t="inlineStr">
        <is>
          <t>North Vancouver Tennis Centre</t>
        </is>
      </c>
      <c r="I243" t="n">
        <v>29.2</v>
      </c>
      <c r="J243" s="4" t="n">
        <v>221</v>
      </c>
      <c r="K243" t="inlineStr">
        <is>
          <t>140 / 81</t>
        </is>
      </c>
      <c r="L243" t="inlineStr">
        <is>
          <t>30 / 19</t>
        </is>
      </c>
      <c r="M243" s="5" t="n">
        <v>0.63</v>
      </c>
      <c r="N243" s="5" t="n">
        <v>0.61</v>
      </c>
    </row>
    <row r="244">
      <c r="A244" t="n">
        <v>243</v>
      </c>
      <c r="B244" t="n">
        <v>2013</v>
      </c>
      <c r="C244" t="inlineStr">
        <is>
          <t>Ria Tamber</t>
        </is>
      </c>
      <c r="D244">
        <f>HYPERLINK("https://ota.tournamentsoftware.com/player-profile/4A086BBB-EEC2-48A4-BDDA-142D9D4A3534", "Link")</f>
        <v/>
      </c>
      <c r="E244" s="3" t="n">
        <v>308.995</v>
      </c>
      <c r="F244" s="4" t="n">
        <v>23</v>
      </c>
      <c r="G244" t="inlineStr">
        <is>
          <t>Ontario Tennis Association</t>
        </is>
      </c>
      <c r="H244" t="inlineStr">
        <is>
          <t>Premier Racquet Clubs – Mississauga</t>
        </is>
      </c>
      <c r="I244" t="inlineStr">
        <is>
          <t>unavailable</t>
        </is>
      </c>
      <c r="J244" s="4" t="n">
        <v>95</v>
      </c>
      <c r="K244" t="inlineStr">
        <is>
          <t>39 / 56</t>
        </is>
      </c>
      <c r="L244" t="inlineStr">
        <is>
          <t>12 / 16</t>
        </is>
      </c>
      <c r="M244" s="5" t="n">
        <v>0.41</v>
      </c>
      <c r="N244" s="5" t="n">
        <v>0.43</v>
      </c>
    </row>
    <row r="245">
      <c r="A245" t="n">
        <v>244</v>
      </c>
      <c r="B245" t="n">
        <v>2013</v>
      </c>
      <c r="C245" t="inlineStr">
        <is>
          <t>Keona Asogwa</t>
        </is>
      </c>
      <c r="D245">
        <f>HYPERLINK("https://ota.tournamentsoftware.com/player-profile/1F426AE8-5B0F-4535-AD10-450570C37073", "Link")</f>
        <v/>
      </c>
      <c r="E245" s="3" t="n">
        <v>308.808</v>
      </c>
      <c r="F245" s="4" t="n">
        <v>16</v>
      </c>
      <c r="G245" t="inlineStr">
        <is>
          <t>Ontario Tennis Association</t>
        </is>
      </c>
      <c r="H245" t="inlineStr">
        <is>
          <t>Carleton Tennis Centre</t>
        </is>
      </c>
      <c r="I245" t="inlineStr">
        <is>
          <t>unavailable</t>
        </is>
      </c>
      <c r="J245" s="4" t="n">
        <v>107</v>
      </c>
      <c r="K245" t="inlineStr">
        <is>
          <t>40 / 67</t>
        </is>
      </c>
      <c r="L245" t="inlineStr">
        <is>
          <t>4 / 11</t>
        </is>
      </c>
      <c r="M245" s="5" t="n">
        <v>0.37</v>
      </c>
      <c r="N245" s="5" t="n">
        <v>0.27</v>
      </c>
    </row>
    <row r="246">
      <c r="A246" t="n">
        <v>245</v>
      </c>
      <c r="B246" t="n">
        <v>2015</v>
      </c>
      <c r="C246" t="inlineStr">
        <is>
          <t>Maya Lupu</t>
        </is>
      </c>
      <c r="D246">
        <f>HYPERLINK("https://ota.tournamentsoftware.com/player-profile/C02052CF-6FBB-4C91-8237-A96FF9B4C794", "Link")</f>
        <v/>
      </c>
      <c r="E246" s="3" t="n">
        <v>308.771</v>
      </c>
      <c r="F246" s="4" t="n">
        <v>16</v>
      </c>
      <c r="G246" t="inlineStr">
        <is>
          <t>Tennis Alberta</t>
        </is>
      </c>
      <c r="H246" t="inlineStr">
        <is>
          <t>Saville Community Sports Centre</t>
        </is>
      </c>
      <c r="I246" t="n">
        <v>31.2</v>
      </c>
      <c r="J246" s="4" t="n">
        <v>162</v>
      </c>
      <c r="K246" t="inlineStr">
        <is>
          <t>104 / 58</t>
        </is>
      </c>
      <c r="L246" t="inlineStr">
        <is>
          <t>19 / 23</t>
        </is>
      </c>
      <c r="M246" s="5" t="n">
        <v>0.64</v>
      </c>
      <c r="N246" s="5" t="n">
        <v>0.45</v>
      </c>
    </row>
    <row r="247">
      <c r="A247" t="n">
        <v>246</v>
      </c>
      <c r="B247" t="n">
        <v>2013</v>
      </c>
      <c r="C247" t="inlineStr">
        <is>
          <t>Kany Kaba</t>
        </is>
      </c>
      <c r="D247">
        <f>HYPERLINK("https://ota.tournamentsoftware.com/player-profile/7816DF47-252D-402D-BF26-B906A8AB6ED7", "Link")</f>
        <v/>
      </c>
      <c r="E247" s="3" t="n">
        <v>308.368</v>
      </c>
      <c r="F247" s="4" t="n">
        <v>9</v>
      </c>
      <c r="G247" t="inlineStr">
        <is>
          <t>Tennis Québec</t>
        </is>
      </c>
      <c r="H247" t="inlineStr">
        <is>
          <t>EB Tennis inc.</t>
        </is>
      </c>
      <c r="I247" t="n">
        <v>32.6</v>
      </c>
      <c r="J247" s="4" t="n">
        <v>136</v>
      </c>
      <c r="K247" t="inlineStr">
        <is>
          <t>83 / 53</t>
        </is>
      </c>
      <c r="L247" t="inlineStr">
        <is>
          <t>5 / 10</t>
        </is>
      </c>
      <c r="M247" s="5" t="n">
        <v>0.61</v>
      </c>
      <c r="N247" s="5" t="n">
        <v>0.33</v>
      </c>
    </row>
    <row r="248">
      <c r="A248" t="n">
        <v>247</v>
      </c>
      <c r="B248" t="n">
        <v>2013</v>
      </c>
      <c r="C248" t="inlineStr">
        <is>
          <t>ZOE SOFIA CARDENAS PANIAGUA</t>
        </is>
      </c>
      <c r="D248">
        <f>HYPERLINK("https://ota.tournamentsoftware.com/player-profile/6ADCA248-D68F-47BB-9ED7-CDC7448C4AE9", "Link")</f>
        <v/>
      </c>
      <c r="E248" s="3" t="n">
        <v>307.118</v>
      </c>
      <c r="F248" s="4" t="n">
        <v>6</v>
      </c>
      <c r="G248" t="inlineStr">
        <is>
          <t>Tennis Manitoba</t>
        </is>
      </c>
      <c r="H248" t="inlineStr">
        <is>
          <t>Tuxedo Tennis Club</t>
        </is>
      </c>
      <c r="I248" t="inlineStr">
        <is>
          <t>unavailable</t>
        </is>
      </c>
      <c r="J248" s="4" t="n">
        <v>59</v>
      </c>
      <c r="K248" t="inlineStr">
        <is>
          <t>22 / 37</t>
        </is>
      </c>
      <c r="L248" t="inlineStr">
        <is>
          <t>6 / 8</t>
        </is>
      </c>
      <c r="M248" s="5" t="n">
        <v>0.37</v>
      </c>
      <c r="N248" s="5" t="n">
        <v>0.43</v>
      </c>
    </row>
    <row r="249">
      <c r="A249" t="n">
        <v>248</v>
      </c>
      <c r="B249" t="n">
        <v>2014</v>
      </c>
      <c r="C249" t="inlineStr">
        <is>
          <t>Rosie Mai Kowalewski</t>
        </is>
      </c>
      <c r="D249">
        <f>HYPERLINK("https://ota.tournamentsoftware.com/player-profile/6AE6D507-C7A4-4B8D-AF2E-EBFE848DD41B", "Link")</f>
        <v/>
      </c>
      <c r="E249" s="3" t="n">
        <v>303.327</v>
      </c>
      <c r="F249" s="4" t="n">
        <v>20</v>
      </c>
      <c r="G249" t="inlineStr">
        <is>
          <t>Ontario Tennis Association</t>
        </is>
      </c>
      <c r="H249" t="inlineStr">
        <is>
          <t>No Club</t>
        </is>
      </c>
      <c r="I249" t="n">
        <v>31.5</v>
      </c>
      <c r="J249" s="4" t="n">
        <v>192</v>
      </c>
      <c r="K249" t="inlineStr">
        <is>
          <t>113 / 79</t>
        </is>
      </c>
      <c r="L249" t="inlineStr">
        <is>
          <t>14 / 11</t>
        </is>
      </c>
      <c r="M249" s="5" t="n">
        <v>0.59</v>
      </c>
      <c r="N249" s="5" t="n">
        <v>0.5600000000000001</v>
      </c>
    </row>
    <row r="250">
      <c r="A250" t="n">
        <v>249</v>
      </c>
      <c r="B250" t="n">
        <v>2013</v>
      </c>
      <c r="C250" t="inlineStr">
        <is>
          <t>Chloe Lu</t>
        </is>
      </c>
      <c r="D250">
        <f>HYPERLINK("https://ota.tournamentsoftware.com/player-profile/30F898AC-1C96-41C5-BBB0-3BFD30EC0D0D", "Link")</f>
        <v/>
      </c>
      <c r="E250" s="3" t="n">
        <v>300.706</v>
      </c>
      <c r="F250" s="4" t="n">
        <v>27</v>
      </c>
      <c r="G250" t="inlineStr">
        <is>
          <t>British Columbia</t>
        </is>
      </c>
      <c r="H250" t="inlineStr">
        <is>
          <t>UBC Tennis Centre</t>
        </is>
      </c>
      <c r="I250" t="n">
        <v>31.8</v>
      </c>
      <c r="J250" s="4" t="n">
        <v>162</v>
      </c>
      <c r="K250" t="inlineStr">
        <is>
          <t>61 / 101</t>
        </is>
      </c>
      <c r="L250" t="inlineStr">
        <is>
          <t>21 / 23</t>
        </is>
      </c>
      <c r="M250" s="5" t="n">
        <v>0.38</v>
      </c>
      <c r="N250" s="5" t="n">
        <v>0.48</v>
      </c>
    </row>
    <row r="251">
      <c r="A251" t="n">
        <v>250</v>
      </c>
      <c r="B251" t="n">
        <v>2015</v>
      </c>
      <c r="C251" t="inlineStr">
        <is>
          <t>Zoë Crago</t>
        </is>
      </c>
      <c r="D251">
        <f>HYPERLINK("https://ota.tournamentsoftware.com/player-profile/C2D18227-6075-4F1E-83A2-40A822F874D3", "Link")</f>
        <v/>
      </c>
      <c r="E251" s="3" t="n">
        <v>298.67</v>
      </c>
      <c r="F251" s="4" t="n">
        <v>26</v>
      </c>
      <c r="G251" t="inlineStr">
        <is>
          <t>Tennis Québec</t>
        </is>
      </c>
      <c r="H251" t="inlineStr">
        <is>
          <t>Tennis Montréal Excellence</t>
        </is>
      </c>
      <c r="I251" t="n">
        <v>32.9</v>
      </c>
      <c r="J251" s="4" t="n">
        <v>190</v>
      </c>
      <c r="K251" t="inlineStr">
        <is>
          <t>100 / 90</t>
        </is>
      </c>
      <c r="L251" t="inlineStr">
        <is>
          <t>28 / 22</t>
        </is>
      </c>
      <c r="M251" s="5" t="n">
        <v>0.53</v>
      </c>
      <c r="N251" s="5" t="n">
        <v>0.5600000000000001</v>
      </c>
    </row>
    <row r="252">
      <c r="A252" t="n">
        <v>251</v>
      </c>
      <c r="B252" t="n">
        <v>2014</v>
      </c>
      <c r="C252" t="inlineStr">
        <is>
          <t>Krystal Xuan Sun</t>
        </is>
      </c>
      <c r="D252">
        <f>HYPERLINK("https://ota.tournamentsoftware.com/player-profile/683C106F-AE4B-4C63-B1A3-D9C25FFAD31B", "Link")</f>
        <v/>
      </c>
      <c r="E252" s="3" t="n">
        <v>289.981</v>
      </c>
      <c r="F252" s="4" t="n">
        <v>11</v>
      </c>
      <c r="G252" t="inlineStr">
        <is>
          <t>Tennis Manitoba</t>
        </is>
      </c>
      <c r="H252" t="inlineStr">
        <is>
          <t>Taylor Tennis</t>
        </is>
      </c>
      <c r="I252" t="inlineStr">
        <is>
          <t>unavailable</t>
        </is>
      </c>
      <c r="J252" s="4" t="n">
        <v>74</v>
      </c>
      <c r="K252" t="inlineStr">
        <is>
          <t>21 / 53</t>
        </is>
      </c>
      <c r="L252" t="inlineStr">
        <is>
          <t>10 / 29</t>
        </is>
      </c>
      <c r="M252" s="5" t="n">
        <v>0.28</v>
      </c>
      <c r="N252" s="5" t="n">
        <v>0.26</v>
      </c>
    </row>
    <row r="253">
      <c r="A253" t="n">
        <v>252</v>
      </c>
      <c r="B253" t="n">
        <v>2013</v>
      </c>
      <c r="C253" t="inlineStr">
        <is>
          <t>Sasha Stack</t>
        </is>
      </c>
      <c r="D253">
        <f>HYPERLINK("https://ota.tournamentsoftware.com/player-profile/C0B95842-5E69-4EBF-8E5C-398666A7112E", "Link")</f>
        <v/>
      </c>
      <c r="E253" s="3" t="n">
        <v>283.679</v>
      </c>
      <c r="F253" s="4" t="n">
        <v>15</v>
      </c>
      <c r="G253" t="inlineStr">
        <is>
          <t>British Columbia</t>
        </is>
      </c>
      <c r="H253" t="inlineStr">
        <is>
          <t>Hollyburn Country Club</t>
        </is>
      </c>
      <c r="I253" t="n">
        <v>33</v>
      </c>
      <c r="J253" s="4" t="n">
        <v>113</v>
      </c>
      <c r="K253" t="inlineStr">
        <is>
          <t>52 / 61</t>
        </is>
      </c>
      <c r="L253" t="inlineStr">
        <is>
          <t>8 / 15</t>
        </is>
      </c>
      <c r="M253" s="5" t="n">
        <v>0.46</v>
      </c>
      <c r="N253" s="5" t="n">
        <v>0.35</v>
      </c>
    </row>
    <row r="254">
      <c r="A254" t="n">
        <v>253</v>
      </c>
      <c r="B254" t="n">
        <v>2014</v>
      </c>
      <c r="C254" t="inlineStr">
        <is>
          <t>Ela Velic</t>
        </is>
      </c>
      <c r="D254">
        <f>HYPERLINK("https://ota.tournamentsoftware.com/player-profile/5CC54F7D-0D30-4EF4-BE6C-A336041BBEE2", "Link")</f>
        <v/>
      </c>
      <c r="E254" s="3" t="n">
        <v>283.442</v>
      </c>
      <c r="F254" s="4" t="n">
        <v>21</v>
      </c>
      <c r="G254" t="inlineStr">
        <is>
          <t>Ontario Tennis Association</t>
        </is>
      </c>
      <c r="H254" t="inlineStr">
        <is>
          <t>Central Tennis Club</t>
        </is>
      </c>
      <c r="I254" t="n">
        <v>33.4</v>
      </c>
      <c r="J254" s="4" t="n">
        <v>95</v>
      </c>
      <c r="K254" t="inlineStr">
        <is>
          <t>49 / 46</t>
        </is>
      </c>
      <c r="L254" t="inlineStr">
        <is>
          <t>18 / 18</t>
        </is>
      </c>
      <c r="M254" s="5" t="n">
        <v>0.52</v>
      </c>
      <c r="N254" s="5" t="n">
        <v>0.5</v>
      </c>
    </row>
    <row r="255">
      <c r="A255" t="n">
        <v>254</v>
      </c>
      <c r="B255" t="n">
        <v>2014</v>
      </c>
      <c r="C255" t="inlineStr">
        <is>
          <t>Avelyn Deepak</t>
        </is>
      </c>
      <c r="D255">
        <f>HYPERLINK("https://ota.tournamentsoftware.com/player-profile/4412DB09-5DE9-45DA-AB13-46B4F24B409F", "Link")</f>
        <v/>
      </c>
      <c r="E255" s="3" t="n">
        <v>282.546</v>
      </c>
      <c r="F255" s="4" t="n">
        <v>10</v>
      </c>
      <c r="G255" t="inlineStr">
        <is>
          <t>Tennis Manitoba</t>
        </is>
      </c>
      <c r="H255" t="inlineStr">
        <is>
          <t>Winnipeg Winter Club</t>
        </is>
      </c>
      <c r="I255" t="n">
        <v>35.2</v>
      </c>
      <c r="J255" s="4" t="n">
        <v>35</v>
      </c>
      <c r="K255" t="inlineStr">
        <is>
          <t>9 / 26</t>
        </is>
      </c>
      <c r="L255" t="inlineStr">
        <is>
          <t>9 / 26</t>
        </is>
      </c>
      <c r="M255" s="5" t="n">
        <v>0.26</v>
      </c>
      <c r="N255" s="5" t="n">
        <v>0.26</v>
      </c>
    </row>
    <row r="256">
      <c r="A256" t="n">
        <v>255</v>
      </c>
      <c r="B256" t="n">
        <v>2015</v>
      </c>
      <c r="C256" t="inlineStr">
        <is>
          <t>Danica Stamatovic</t>
        </is>
      </c>
      <c r="D256">
        <f>HYPERLINK("https://ota.tournamentsoftware.com/player-profile/3D976EDA-1737-4852-A9BF-C67ED47C73C1", "Link")</f>
        <v/>
      </c>
      <c r="E256" s="3" t="n">
        <v>281.872</v>
      </c>
      <c r="F256" s="4" t="n">
        <v>19</v>
      </c>
      <c r="G256" t="inlineStr">
        <is>
          <t>Ontario Tennis Association</t>
        </is>
      </c>
      <c r="H256" t="inlineStr">
        <is>
          <t>SmartVMC Racquetsports by ACE</t>
        </is>
      </c>
      <c r="I256" t="n">
        <v>32.2</v>
      </c>
      <c r="J256" s="4" t="n">
        <v>183</v>
      </c>
      <c r="K256" t="inlineStr">
        <is>
          <t>90 / 93</t>
        </is>
      </c>
      <c r="L256" t="inlineStr">
        <is>
          <t>23 / 14</t>
        </is>
      </c>
      <c r="M256" s="5" t="n">
        <v>0.49</v>
      </c>
      <c r="N256" s="5" t="n">
        <v>0.62</v>
      </c>
    </row>
    <row r="257">
      <c r="A257" t="n">
        <v>256</v>
      </c>
      <c r="B257" t="n">
        <v>2012</v>
      </c>
      <c r="C257" t="inlineStr">
        <is>
          <t>ella kim brend</t>
        </is>
      </c>
      <c r="D257">
        <f>HYPERLINK("https://ota.tournamentsoftware.com/player-profile/C777EDB2-AC2E-4E02-948A-26DCAC347821", "Link")</f>
        <v/>
      </c>
      <c r="E257" s="3" t="n">
        <v>280.297</v>
      </c>
      <c r="F257" s="4" t="n">
        <v>19</v>
      </c>
      <c r="G257" t="inlineStr">
        <is>
          <t>British Columbia</t>
        </is>
      </c>
      <c r="H257" t="inlineStr">
        <is>
          <t>The Tennis Centre</t>
        </is>
      </c>
      <c r="I257" t="n">
        <v>29.6</v>
      </c>
      <c r="J257" s="4" t="n">
        <v>124</v>
      </c>
      <c r="K257" t="inlineStr">
        <is>
          <t>87 / 37</t>
        </is>
      </c>
      <c r="L257" t="inlineStr">
        <is>
          <t>35 / 12</t>
        </is>
      </c>
      <c r="M257" s="5" t="n">
        <v>0.7</v>
      </c>
      <c r="N257" s="5" t="n">
        <v>0.74</v>
      </c>
    </row>
    <row r="258">
      <c r="A258" t="n">
        <v>257</v>
      </c>
      <c r="B258" t="n">
        <v>2013</v>
      </c>
      <c r="C258" t="inlineStr">
        <is>
          <t>Chanjoban Kaur Birdi</t>
        </is>
      </c>
      <c r="D258">
        <f>HYPERLINK("https://ota.tournamentsoftware.com/player-profile/26D50988-CF95-4A0A-9087-8DC8E38F0BDB", "Link")</f>
        <v/>
      </c>
      <c r="E258" s="3" t="n">
        <v>278.58</v>
      </c>
      <c r="F258" s="4" t="n">
        <v>20</v>
      </c>
      <c r="G258" t="inlineStr">
        <is>
          <t>British Columbia</t>
        </is>
      </c>
      <c r="H258" t="inlineStr">
        <is>
          <t>Newton Tennis Club</t>
        </is>
      </c>
      <c r="I258" t="n">
        <v>30.3</v>
      </c>
      <c r="J258" s="4" t="n">
        <v>198</v>
      </c>
      <c r="K258" t="inlineStr">
        <is>
          <t>96 / 102</t>
        </is>
      </c>
      <c r="L258" t="inlineStr">
        <is>
          <t>21 / 15</t>
        </is>
      </c>
      <c r="M258" s="5" t="n">
        <v>0.48</v>
      </c>
      <c r="N258" s="5" t="n">
        <v>0.58</v>
      </c>
    </row>
    <row r="259">
      <c r="A259" t="n">
        <v>258</v>
      </c>
      <c r="B259" t="n">
        <v>2014</v>
      </c>
      <c r="C259" t="inlineStr">
        <is>
          <t>Elliette Leah Tran</t>
        </is>
      </c>
      <c r="D259">
        <f>HYPERLINK("https://ota.tournamentsoftware.com/player-profile/9986D752-4364-42A6-9A1B-E1BC239760F0", "Link")</f>
        <v/>
      </c>
      <c r="E259" s="3" t="n">
        <v>278.539</v>
      </c>
      <c r="F259" s="4" t="n">
        <v>17</v>
      </c>
      <c r="G259" t="inlineStr">
        <is>
          <t>Tennis Alberta</t>
        </is>
      </c>
      <c r="H259" t="inlineStr">
        <is>
          <t>Saville Community Sports Centre</t>
        </is>
      </c>
      <c r="I259" t="inlineStr">
        <is>
          <t>unavailable</t>
        </is>
      </c>
      <c r="J259" s="4" t="n">
        <v>118</v>
      </c>
      <c r="K259" t="inlineStr">
        <is>
          <t>59 / 59</t>
        </is>
      </c>
      <c r="L259" t="inlineStr">
        <is>
          <t>24 / 19</t>
        </is>
      </c>
      <c r="M259" s="5" t="n">
        <v>0.5</v>
      </c>
      <c r="N259" s="5" t="n">
        <v>0.5600000000000001</v>
      </c>
    </row>
    <row r="260">
      <c r="A260" t="n">
        <v>259</v>
      </c>
      <c r="B260" t="n">
        <v>2013</v>
      </c>
      <c r="C260" t="inlineStr">
        <is>
          <t>Maddie Kershaw</t>
        </is>
      </c>
      <c r="D260">
        <f>HYPERLINK("https://ota.tournamentsoftware.com/player-profile/14F8911D-BF5A-4FE7-BFF6-D5A71E72307F", "Link")</f>
        <v/>
      </c>
      <c r="E260" s="3" t="n">
        <v>278.432</v>
      </c>
      <c r="F260" s="4" t="n">
        <v>10</v>
      </c>
      <c r="G260" t="inlineStr">
        <is>
          <t>Tennis New Brunswick</t>
        </is>
      </c>
      <c r="H260" t="inlineStr">
        <is>
          <t>Abony Family Tennis Center</t>
        </is>
      </c>
      <c r="I260" t="n">
        <v>33.9</v>
      </c>
      <c r="J260" s="4" t="n">
        <v>188</v>
      </c>
      <c r="K260" t="inlineStr">
        <is>
          <t>95 / 93</t>
        </is>
      </c>
      <c r="L260" t="inlineStr">
        <is>
          <t>16 / 23</t>
        </is>
      </c>
      <c r="M260" s="5" t="n">
        <v>0.51</v>
      </c>
      <c r="N260" s="5" t="n">
        <v>0.41</v>
      </c>
    </row>
    <row r="261">
      <c r="A261" t="n">
        <v>260</v>
      </c>
      <c r="B261" t="n">
        <v>2012</v>
      </c>
      <c r="C261" t="inlineStr">
        <is>
          <t>Jana Karkoukli</t>
        </is>
      </c>
      <c r="D261">
        <f>HYPERLINK("https://ota.tournamentsoftware.com/player-profile/ED5D7332-7665-453C-87FD-D7E5B172FD8A", "Link")</f>
        <v/>
      </c>
      <c r="E261" s="3" t="n">
        <v>276.736</v>
      </c>
      <c r="F261" s="4" t="n">
        <v>23</v>
      </c>
      <c r="G261" t="inlineStr">
        <is>
          <t>Tennis Québec</t>
        </is>
      </c>
      <c r="H261" t="inlineStr">
        <is>
          <t>EB Tennis inc.</t>
        </is>
      </c>
      <c r="I261" t="n">
        <v>35.5</v>
      </c>
      <c r="J261" s="4" t="n">
        <v>185</v>
      </c>
      <c r="K261" t="inlineStr">
        <is>
          <t>51 / 134</t>
        </is>
      </c>
      <c r="L261" t="inlineStr">
        <is>
          <t>2 / 17</t>
        </is>
      </c>
      <c r="M261" s="5" t="n">
        <v>0.28</v>
      </c>
      <c r="N261" s="5" t="n">
        <v>0.11</v>
      </c>
    </row>
    <row r="262">
      <c r="A262" t="n">
        <v>261</v>
      </c>
      <c r="B262" t="n">
        <v>2014</v>
      </c>
      <c r="C262" t="inlineStr">
        <is>
          <t>Tehzeeb MRAR</t>
        </is>
      </c>
      <c r="D262">
        <f>HYPERLINK("https://ota.tournamentsoftware.com/player-profile/9E69163B-7ED7-4450-8845-0676D6C943B8", "Link")</f>
        <v/>
      </c>
      <c r="E262" s="3" t="n">
        <v>272.832</v>
      </c>
      <c r="F262" s="4" t="n">
        <v>20</v>
      </c>
      <c r="G262" t="inlineStr">
        <is>
          <t>British Columbia</t>
        </is>
      </c>
      <c r="H262" t="inlineStr">
        <is>
          <t>No Club</t>
        </is>
      </c>
      <c r="I262" t="n">
        <v>29.5</v>
      </c>
      <c r="J262" s="4" t="n">
        <v>195</v>
      </c>
      <c r="K262" t="inlineStr">
        <is>
          <t>106 / 89</t>
        </is>
      </c>
      <c r="L262" t="inlineStr">
        <is>
          <t>16 / 15</t>
        </is>
      </c>
      <c r="M262" s="5" t="n">
        <v>0.54</v>
      </c>
      <c r="N262" s="5" t="n">
        <v>0.52</v>
      </c>
    </row>
    <row r="263">
      <c r="A263" t="n">
        <v>262</v>
      </c>
      <c r="B263" t="n">
        <v>2013</v>
      </c>
      <c r="C263" t="inlineStr">
        <is>
          <t>Lily Gaumond-Boivin</t>
        </is>
      </c>
      <c r="D263">
        <f>HYPERLINK("https://ota.tournamentsoftware.com/player-profile/98461C64-ECF9-40D8-849E-C8999A9F9BA1", "Link")</f>
        <v/>
      </c>
      <c r="E263" s="3" t="n">
        <v>272.103</v>
      </c>
      <c r="F263" s="4" t="n">
        <v>20</v>
      </c>
      <c r="G263" t="inlineStr">
        <is>
          <t>Tennis Québec</t>
        </is>
      </c>
      <c r="H263" t="inlineStr">
        <is>
          <t>Club Avantage Multi-sports / Académie de tennis Hérisset Bordeleau</t>
        </is>
      </c>
      <c r="I263" t="inlineStr">
        <is>
          <t>unavailable</t>
        </is>
      </c>
      <c r="J263" s="4" t="n">
        <v>116</v>
      </c>
      <c r="K263" t="inlineStr">
        <is>
          <t>57 / 59</t>
        </is>
      </c>
      <c r="L263" t="inlineStr">
        <is>
          <t>7 / 10</t>
        </is>
      </c>
      <c r="M263" s="5" t="n">
        <v>0.49</v>
      </c>
      <c r="N263" s="5" t="n">
        <v>0.41</v>
      </c>
    </row>
    <row r="264">
      <c r="A264" t="n">
        <v>263</v>
      </c>
      <c r="B264" t="n">
        <v>2014</v>
      </c>
      <c r="C264" t="inlineStr">
        <is>
          <t>Katelyn Li</t>
        </is>
      </c>
      <c r="D264">
        <f>HYPERLINK("https://ota.tournamentsoftware.com/player-profile/4A74B151-256A-40ED-9F9D-F00036EDD0A5", "Link")</f>
        <v/>
      </c>
      <c r="E264" s="3" t="n">
        <v>270.485</v>
      </c>
      <c r="F264" s="4" t="n">
        <v>22</v>
      </c>
      <c r="G264" t="inlineStr">
        <is>
          <t>Ontario Tennis Association</t>
        </is>
      </c>
      <c r="H264" t="inlineStr">
        <is>
          <t>No Club</t>
        </is>
      </c>
      <c r="I264" t="inlineStr">
        <is>
          <t>unavailable</t>
        </is>
      </c>
      <c r="J264" s="4" t="n">
        <v>127</v>
      </c>
      <c r="K264" t="inlineStr">
        <is>
          <t>58 / 69</t>
        </is>
      </c>
      <c r="L264" t="inlineStr">
        <is>
          <t>17 / 19</t>
        </is>
      </c>
      <c r="M264" s="5" t="n">
        <v>0.46</v>
      </c>
      <c r="N264" s="5" t="n">
        <v>0.47</v>
      </c>
    </row>
    <row r="265">
      <c r="A265" t="n">
        <v>264</v>
      </c>
      <c r="B265" t="n">
        <v>2014</v>
      </c>
      <c r="C265" t="inlineStr">
        <is>
          <t>Elisa Krumov</t>
        </is>
      </c>
      <c r="D265">
        <f>HYPERLINK("https://ota.tournamentsoftware.com/player-profile/8B5D18FC-0F51-468A-BE7C-7EA242A06382", "Link")</f>
        <v/>
      </c>
      <c r="E265" s="3" t="n">
        <v>270.273</v>
      </c>
      <c r="F265" s="4" t="n">
        <v>16</v>
      </c>
      <c r="G265" t="inlineStr">
        <is>
          <t>Ontario Tennis Association</t>
        </is>
      </c>
      <c r="H265" t="inlineStr">
        <is>
          <t>Joshua Creek Golf &amp; Tennis</t>
        </is>
      </c>
      <c r="I265" t="n">
        <v>32.8</v>
      </c>
      <c r="J265" s="4" t="n">
        <v>89</v>
      </c>
      <c r="K265" t="inlineStr">
        <is>
          <t>43 / 46</t>
        </is>
      </c>
      <c r="L265" t="inlineStr">
        <is>
          <t>16 / 16</t>
        </is>
      </c>
      <c r="M265" s="5" t="n">
        <v>0.48</v>
      </c>
      <c r="N265" s="5" t="n">
        <v>0.5</v>
      </c>
    </row>
    <row r="266">
      <c r="A266" t="n">
        <v>265</v>
      </c>
      <c r="B266" t="n">
        <v>2013</v>
      </c>
      <c r="C266" t="inlineStr">
        <is>
          <t>Gabriela Gardonyi</t>
        </is>
      </c>
      <c r="D266">
        <f>HYPERLINK("https://ota.tournamentsoftware.com/player-profile/EA584DC9-AF4E-413B-BF0B-75746024F8E4", "Link")</f>
        <v/>
      </c>
      <c r="E266" s="3" t="n">
        <v>269.544</v>
      </c>
      <c r="F266" s="4" t="n">
        <v>23</v>
      </c>
      <c r="G266" t="inlineStr">
        <is>
          <t>Ontario Tennis Association</t>
        </is>
      </c>
      <c r="H266" t="inlineStr">
        <is>
          <t>Richmond Hill Country Club</t>
        </is>
      </c>
      <c r="I266" t="inlineStr">
        <is>
          <t>unavailable</t>
        </is>
      </c>
      <c r="J266" s="4" t="n">
        <v>119</v>
      </c>
      <c r="K266" t="inlineStr">
        <is>
          <t>56 / 63</t>
        </is>
      </c>
      <c r="L266" t="inlineStr">
        <is>
          <t>21 / 19</t>
        </is>
      </c>
      <c r="M266" s="5" t="n">
        <v>0.47</v>
      </c>
      <c r="N266" s="5" t="n">
        <v>0.53</v>
      </c>
    </row>
    <row r="267">
      <c r="A267" t="n">
        <v>266</v>
      </c>
      <c r="B267" t="n">
        <v>2013</v>
      </c>
      <c r="C267" t="inlineStr">
        <is>
          <t>Tia Patel</t>
        </is>
      </c>
      <c r="D267">
        <f>HYPERLINK("https://ota.tournamentsoftware.com/player-profile/5C480574-FD9C-4816-B1CF-F51441726B25", "Link")</f>
        <v/>
      </c>
      <c r="E267" s="3" t="n">
        <v>267.982</v>
      </c>
      <c r="F267" s="4" t="n">
        <v>17</v>
      </c>
      <c r="G267" t="inlineStr">
        <is>
          <t>Ontario Tennis Association</t>
        </is>
      </c>
      <c r="H267" t="inlineStr">
        <is>
          <t>Waterloo Tennis Club</t>
        </is>
      </c>
      <c r="I267" t="n">
        <v>35.4</v>
      </c>
      <c r="J267" s="4" t="n">
        <v>74</v>
      </c>
      <c r="K267" t="inlineStr">
        <is>
          <t>26 / 48</t>
        </is>
      </c>
      <c r="L267" t="inlineStr">
        <is>
          <t>4 / 8</t>
        </is>
      </c>
      <c r="M267" s="5" t="n">
        <v>0.35</v>
      </c>
      <c r="N267" s="5" t="n">
        <v>0.33</v>
      </c>
    </row>
    <row r="268">
      <c r="A268" t="n">
        <v>267</v>
      </c>
      <c r="B268" t="n">
        <v>2015</v>
      </c>
      <c r="C268" t="inlineStr">
        <is>
          <t>Sophia Shiqi Zeng</t>
        </is>
      </c>
      <c r="D268">
        <f>HYPERLINK("https://ota.tournamentsoftware.com/player-profile/F1A373DA-18B2-46FA-AF39-157644DB679B", "Link")</f>
        <v/>
      </c>
      <c r="E268" s="3" t="n">
        <v>267.836</v>
      </c>
      <c r="F268" s="4" t="n">
        <v>22</v>
      </c>
      <c r="G268" t="inlineStr">
        <is>
          <t>British Columbia</t>
        </is>
      </c>
      <c r="H268" t="inlineStr">
        <is>
          <t>The Tennis Centre</t>
        </is>
      </c>
      <c r="I268" t="n">
        <v>31.4</v>
      </c>
      <c r="J268" s="4" t="n">
        <v>183</v>
      </c>
      <c r="K268" t="inlineStr">
        <is>
          <t>100 / 83</t>
        </is>
      </c>
      <c r="L268" t="inlineStr">
        <is>
          <t>26 / 14</t>
        </is>
      </c>
      <c r="M268" s="5" t="n">
        <v>0.55</v>
      </c>
      <c r="N268" s="5" t="n">
        <v>0.65</v>
      </c>
    </row>
    <row r="269">
      <c r="A269" t="n">
        <v>268</v>
      </c>
      <c r="B269" t="n">
        <v>2015</v>
      </c>
      <c r="C269" t="inlineStr">
        <is>
          <t>Alia Idrissi Serghini</t>
        </is>
      </c>
      <c r="D269">
        <f>HYPERLINK("https://ota.tournamentsoftware.com/player-profile/CF328206-362D-4259-AA9F-74B7EF760A80", "Link")</f>
        <v/>
      </c>
      <c r="E269" s="3" t="n">
        <v>267.456</v>
      </c>
      <c r="F269" s="4" t="n">
        <v>20</v>
      </c>
      <c r="G269" t="inlineStr">
        <is>
          <t>Tennis Québec</t>
        </is>
      </c>
      <c r="H269" t="inlineStr">
        <is>
          <t>Centre récréatif de Repentigny / Académie Tennis Momentum</t>
        </is>
      </c>
      <c r="I269" t="n">
        <v>32.6</v>
      </c>
      <c r="J269" s="4" t="n">
        <v>139</v>
      </c>
      <c r="K269" t="inlineStr">
        <is>
          <t>84 / 55</t>
        </is>
      </c>
      <c r="L269" t="inlineStr">
        <is>
          <t>19 / 19</t>
        </is>
      </c>
      <c r="M269" s="5" t="n">
        <v>0.6</v>
      </c>
      <c r="N269" s="5" t="n">
        <v>0.5</v>
      </c>
    </row>
    <row r="270">
      <c r="A270" t="n">
        <v>269</v>
      </c>
      <c r="B270" t="n">
        <v>2014</v>
      </c>
      <c r="C270" t="inlineStr">
        <is>
          <t>Mégane Bernard</t>
        </is>
      </c>
      <c r="D270">
        <f>HYPERLINK("https://ota.tournamentsoftware.com/player-profile/041B9415-6EB0-452F-AD3F-EA68CADBA2FB", "Link")</f>
        <v/>
      </c>
      <c r="E270" s="3" t="n">
        <v>263.992</v>
      </c>
      <c r="F270" s="4" t="n">
        <v>19</v>
      </c>
      <c r="G270" t="inlineStr">
        <is>
          <t>Tennis Québec</t>
        </is>
      </c>
      <c r="H270" t="inlineStr">
        <is>
          <t>Tennis 13</t>
        </is>
      </c>
      <c r="I270" t="n">
        <v>32.5</v>
      </c>
      <c r="J270" s="4" t="n">
        <v>183</v>
      </c>
      <c r="K270" t="inlineStr">
        <is>
          <t>80 / 103</t>
        </is>
      </c>
      <c r="L270" t="inlineStr">
        <is>
          <t>10 / 17</t>
        </is>
      </c>
      <c r="M270" s="5" t="n">
        <v>0.44</v>
      </c>
      <c r="N270" s="5" t="n">
        <v>0.37</v>
      </c>
    </row>
    <row r="271">
      <c r="A271" t="n">
        <v>270</v>
      </c>
      <c r="B271" t="n">
        <v>2013</v>
      </c>
      <c r="C271" t="inlineStr">
        <is>
          <t>Mia Tran</t>
        </is>
      </c>
      <c r="D271">
        <f>HYPERLINK("https://ota.tournamentsoftware.com/player-profile/140A029D-3BE9-44F2-AA6A-53ED5C2991A8", "Link")</f>
        <v/>
      </c>
      <c r="E271" s="3" t="n">
        <v>263.48</v>
      </c>
      <c r="F271" s="4" t="n">
        <v>11</v>
      </c>
      <c r="G271" t="inlineStr">
        <is>
          <t>Ontario Tennis Association</t>
        </is>
      </c>
      <c r="H271" t="inlineStr">
        <is>
          <t>SmartVMC Racquetsports by ACE</t>
        </is>
      </c>
      <c r="I271" t="n">
        <v>32.4</v>
      </c>
      <c r="J271" s="4" t="n">
        <v>86</v>
      </c>
      <c r="K271" t="inlineStr">
        <is>
          <t>53 / 33</t>
        </is>
      </c>
      <c r="L271" t="inlineStr">
        <is>
          <t>14 / 8</t>
        </is>
      </c>
      <c r="M271" s="5" t="n">
        <v>0.62</v>
      </c>
      <c r="N271" s="5" t="n">
        <v>0.64</v>
      </c>
    </row>
    <row r="272">
      <c r="A272" t="n">
        <v>271</v>
      </c>
      <c r="B272" t="n">
        <v>2014</v>
      </c>
      <c r="C272" t="inlineStr">
        <is>
          <t>Thanushka Sadasivam</t>
        </is>
      </c>
      <c r="D272">
        <f>HYPERLINK("https://ota.tournamentsoftware.com/player-profile/CA495DA8-0B9D-4530-9886-FC567CD73AE9", "Link")</f>
        <v/>
      </c>
      <c r="E272" s="3" t="n">
        <v>261.793</v>
      </c>
      <c r="F272" s="4" t="n">
        <v>20</v>
      </c>
      <c r="G272" t="inlineStr">
        <is>
          <t>Ontario Tennis Association</t>
        </is>
      </c>
      <c r="H272" t="inlineStr">
        <is>
          <t>Ontario Racquet Club</t>
        </is>
      </c>
      <c r="I272" t="n">
        <v>35.2</v>
      </c>
      <c r="J272" s="4" t="n">
        <v>59</v>
      </c>
      <c r="K272" t="inlineStr">
        <is>
          <t>25 / 34</t>
        </is>
      </c>
      <c r="L272" t="inlineStr">
        <is>
          <t>7 / 12</t>
        </is>
      </c>
      <c r="M272" s="5" t="n">
        <v>0.42</v>
      </c>
      <c r="N272" s="5" t="n">
        <v>0.37</v>
      </c>
    </row>
    <row r="273">
      <c r="A273" t="n">
        <v>272</v>
      </c>
      <c r="B273" t="n">
        <v>2015</v>
      </c>
      <c r="C273" t="inlineStr">
        <is>
          <t>Emma Xu</t>
        </is>
      </c>
      <c r="D273">
        <f>HYPERLINK("https://ota.tournamentsoftware.com/player-profile/464089C3-D2B4-413F-A102-AF0AEFF9A318", "Link")</f>
        <v/>
      </c>
      <c r="E273" s="3" t="n">
        <v>259.338</v>
      </c>
      <c r="F273" s="4" t="n">
        <v>9</v>
      </c>
      <c r="G273" t="inlineStr">
        <is>
          <t>Tennis Manitoba</t>
        </is>
      </c>
      <c r="H273" t="inlineStr">
        <is>
          <t>Taylor Tennis</t>
        </is>
      </c>
      <c r="I273" t="n">
        <v>36.6</v>
      </c>
      <c r="J273" s="4" t="n">
        <v>98</v>
      </c>
      <c r="K273" t="inlineStr">
        <is>
          <t>27 / 71</t>
        </is>
      </c>
      <c r="L273" t="inlineStr">
        <is>
          <t>9 / 28</t>
        </is>
      </c>
      <c r="M273" s="5" t="n">
        <v>0.28</v>
      </c>
      <c r="N273" s="5" t="n">
        <v>0.24</v>
      </c>
    </row>
    <row r="274">
      <c r="A274" t="n">
        <v>273</v>
      </c>
      <c r="B274" t="n">
        <v>2013</v>
      </c>
      <c r="C274" t="inlineStr">
        <is>
          <t>Ebun Fasanya</t>
        </is>
      </c>
      <c r="D274">
        <f>HYPERLINK("https://ota.tournamentsoftware.com/player-profile/943BB22B-8108-44B4-80BD-15A6984D1D23", "Link")</f>
        <v/>
      </c>
      <c r="E274" s="3" t="n">
        <v>256.168</v>
      </c>
      <c r="F274" s="4" t="n">
        <v>17</v>
      </c>
      <c r="G274" t="inlineStr">
        <is>
          <t>Ontario Tennis Association</t>
        </is>
      </c>
      <c r="H274" t="inlineStr">
        <is>
          <t>Joshua Creek Golf &amp; Tennis</t>
        </is>
      </c>
      <c r="I274" t="n">
        <v>34</v>
      </c>
      <c r="J274" s="4" t="n">
        <v>80</v>
      </c>
      <c r="K274" t="inlineStr">
        <is>
          <t>44 / 36</t>
        </is>
      </c>
      <c r="L274" t="inlineStr">
        <is>
          <t>16 / 13</t>
        </is>
      </c>
      <c r="M274" s="5" t="n">
        <v>0.55</v>
      </c>
      <c r="N274" s="5" t="n">
        <v>0.55</v>
      </c>
    </row>
    <row r="275">
      <c r="A275" t="n">
        <v>274</v>
      </c>
      <c r="B275" t="n">
        <v>2014</v>
      </c>
      <c r="C275" t="inlineStr">
        <is>
          <t>Isabella Huang</t>
        </is>
      </c>
      <c r="D275">
        <f>HYPERLINK("https://ota.tournamentsoftware.com/player-profile/DB8FA904-8DE1-4D99-951F-F44CD792291A", "Link")</f>
        <v/>
      </c>
      <c r="E275" s="3" t="n">
        <v>255.752</v>
      </c>
      <c r="F275" s="4" t="n">
        <v>15</v>
      </c>
      <c r="G275" t="inlineStr">
        <is>
          <t>British Columbia</t>
        </is>
      </c>
      <c r="H275" t="inlineStr">
        <is>
          <t>Burnaby Tennis Club</t>
        </is>
      </c>
      <c r="I275" t="inlineStr">
        <is>
          <t>unavailable</t>
        </is>
      </c>
      <c r="J275" s="4" t="n">
        <v>186</v>
      </c>
      <c r="K275" t="inlineStr">
        <is>
          <t>103 / 83</t>
        </is>
      </c>
      <c r="L275" t="inlineStr">
        <is>
          <t>16 / 11</t>
        </is>
      </c>
      <c r="M275" s="5" t="n">
        <v>0.55</v>
      </c>
      <c r="N275" s="5" t="n">
        <v>0.59</v>
      </c>
    </row>
    <row r="276">
      <c r="A276" t="n">
        <v>275</v>
      </c>
      <c r="B276" t="n">
        <v>2012</v>
      </c>
      <c r="C276" t="inlineStr">
        <is>
          <t>Kristina Khlyebnykova</t>
        </is>
      </c>
      <c r="D276">
        <f>HYPERLINK("https://ota.tournamentsoftware.com/player-profile/D585FC7E-ABD0-44A4-A0AC-539E39880B84", "Link")</f>
        <v/>
      </c>
      <c r="E276" s="3" t="n">
        <v>255.56</v>
      </c>
      <c r="F276" s="4" t="n">
        <v>13</v>
      </c>
      <c r="G276" t="inlineStr">
        <is>
          <t>Ontario Tennis Association</t>
        </is>
      </c>
      <c r="H276" t="inlineStr">
        <is>
          <t>Concord Tennis Academy</t>
        </is>
      </c>
      <c r="I276" t="n">
        <v>32.8</v>
      </c>
      <c r="J276" s="4" t="n">
        <v>67</v>
      </c>
      <c r="K276" t="inlineStr">
        <is>
          <t>32 / 35</t>
        </is>
      </c>
      <c r="L276" t="inlineStr">
        <is>
          <t>11 / 8</t>
        </is>
      </c>
      <c r="M276" s="5" t="n">
        <v>0.48</v>
      </c>
      <c r="N276" s="5" t="n">
        <v>0.58</v>
      </c>
    </row>
    <row r="277">
      <c r="A277" t="n">
        <v>276</v>
      </c>
      <c r="B277" t="n">
        <v>2012</v>
      </c>
      <c r="C277" t="inlineStr">
        <is>
          <t>Jessica Li</t>
        </is>
      </c>
      <c r="D277">
        <f>HYPERLINK("https://ota.tournamentsoftware.com/player-profile/9F51CCE2-07F1-48BF-B635-CE7622769243", "Link")</f>
        <v/>
      </c>
      <c r="E277" s="3" t="n">
        <v>254.244</v>
      </c>
      <c r="F277" s="4" t="n">
        <v>12</v>
      </c>
      <c r="G277" t="inlineStr">
        <is>
          <t>Ontario Tennis Association</t>
        </is>
      </c>
      <c r="H277" t="inlineStr">
        <is>
          <t>Markham Tennis Club</t>
        </is>
      </c>
      <c r="I277" t="inlineStr">
        <is>
          <t>unavailable</t>
        </is>
      </c>
      <c r="J277" s="4" t="n">
        <v>57</v>
      </c>
      <c r="K277" t="inlineStr">
        <is>
          <t>27 / 30</t>
        </is>
      </c>
      <c r="L277" t="inlineStr">
        <is>
          <t>9 / 8</t>
        </is>
      </c>
      <c r="M277" s="5" t="n">
        <v>0.47</v>
      </c>
      <c r="N277" s="5" t="n">
        <v>0.53</v>
      </c>
    </row>
    <row r="278">
      <c r="A278" t="n">
        <v>277</v>
      </c>
      <c r="B278" t="n">
        <v>2012</v>
      </c>
      <c r="C278" t="inlineStr">
        <is>
          <t>Jamie Cui</t>
        </is>
      </c>
      <c r="D278">
        <f>HYPERLINK("https://ota.tournamentsoftware.com/player-profile/6F7B90A5-BECB-44C9-9B4E-74FED8443672", "Link")</f>
        <v/>
      </c>
      <c r="E278" s="3" t="n">
        <v>253.154</v>
      </c>
      <c r="F278" s="4" t="n">
        <v>21</v>
      </c>
      <c r="G278" t="inlineStr">
        <is>
          <t>British Columbia</t>
        </is>
      </c>
      <c r="H278" t="inlineStr">
        <is>
          <t>Coquitlam Tennis Club</t>
        </is>
      </c>
      <c r="I278" t="inlineStr">
        <is>
          <t>unavailable</t>
        </is>
      </c>
      <c r="J278" s="4" t="n">
        <v>166</v>
      </c>
      <c r="K278" t="inlineStr">
        <is>
          <t>44 / 122</t>
        </is>
      </c>
      <c r="L278" t="inlineStr">
        <is>
          <t>7 / 19</t>
        </is>
      </c>
      <c r="M278" s="5" t="n">
        <v>0.27</v>
      </c>
      <c r="N278" s="5" t="n">
        <v>0.27</v>
      </c>
    </row>
    <row r="279">
      <c r="A279" t="n">
        <v>278</v>
      </c>
      <c r="B279" t="n">
        <v>2012</v>
      </c>
      <c r="C279" t="inlineStr">
        <is>
          <t>Trisha Singh</t>
        </is>
      </c>
      <c r="D279">
        <f>HYPERLINK("https://ota.tournamentsoftware.com/player-profile/CA831513-6963-4556-B8FD-4D148748EB19", "Link")</f>
        <v/>
      </c>
      <c r="E279" s="3" t="n">
        <v>250.421</v>
      </c>
      <c r="F279" s="4" t="n">
        <v>17</v>
      </c>
      <c r="G279" t="inlineStr">
        <is>
          <t>Tennis Québec</t>
        </is>
      </c>
      <c r="H279" t="inlineStr">
        <is>
          <t>Tennis 13 / Académie Ménard et associé</t>
        </is>
      </c>
      <c r="I279" t="n">
        <v>32</v>
      </c>
      <c r="J279" s="4" t="n">
        <v>85</v>
      </c>
      <c r="K279" t="inlineStr">
        <is>
          <t>36 / 49</t>
        </is>
      </c>
      <c r="L279" t="inlineStr">
        <is>
          <t>6 / 16</t>
        </is>
      </c>
      <c r="M279" s="5" t="n">
        <v>0.42</v>
      </c>
      <c r="N279" s="5" t="n">
        <v>0.27</v>
      </c>
    </row>
    <row r="280">
      <c r="A280" t="n">
        <v>279</v>
      </c>
      <c r="B280" t="n">
        <v>2015</v>
      </c>
      <c r="C280" t="inlineStr">
        <is>
          <t>Keira Braudo</t>
        </is>
      </c>
      <c r="D280">
        <f>HYPERLINK("https://ota.tournamentsoftware.com/player-profile/8D683600-A107-430B-BBAA-BD98BDCE0FD8", "Link")</f>
        <v/>
      </c>
      <c r="E280" s="3" t="n">
        <v>250.103</v>
      </c>
      <c r="F280" s="4" t="n">
        <v>13</v>
      </c>
      <c r="G280" t="inlineStr">
        <is>
          <t>Ontario Tennis Association</t>
        </is>
      </c>
      <c r="H280" t="inlineStr">
        <is>
          <t>Mayfair West Fitness &amp; Racquet Club</t>
        </is>
      </c>
      <c r="I280" t="n">
        <v>30.5</v>
      </c>
      <c r="J280" s="4" t="n">
        <v>69</v>
      </c>
      <c r="K280" t="inlineStr">
        <is>
          <t>46 / 23</t>
        </is>
      </c>
      <c r="L280" t="inlineStr">
        <is>
          <t>23 / 5</t>
        </is>
      </c>
      <c r="M280" s="5" t="n">
        <v>0.67</v>
      </c>
      <c r="N280" s="5" t="n">
        <v>0.82</v>
      </c>
    </row>
    <row r="281">
      <c r="A281" t="n">
        <v>280</v>
      </c>
      <c r="B281" t="n">
        <v>2014</v>
      </c>
      <c r="C281" t="inlineStr">
        <is>
          <t>Sara Liao</t>
        </is>
      </c>
      <c r="D281">
        <f>HYPERLINK("https://ota.tournamentsoftware.com/player-profile/A86A9BCB-375D-415C-BD04-3D7638B2F6E8", "Link")</f>
        <v/>
      </c>
      <c r="E281" s="3" t="n">
        <v>249.717</v>
      </c>
      <c r="F281" s="4" t="n">
        <v>33</v>
      </c>
      <c r="G281" t="inlineStr">
        <is>
          <t>Ontario Tennis Association</t>
        </is>
      </c>
      <c r="H281" t="inlineStr">
        <is>
          <t>Ontario Racquet Club</t>
        </is>
      </c>
      <c r="I281" t="n">
        <v>33.8</v>
      </c>
      <c r="J281" s="4" t="n">
        <v>113</v>
      </c>
      <c r="K281" t="inlineStr">
        <is>
          <t>54 / 59</t>
        </is>
      </c>
      <c r="L281" t="inlineStr">
        <is>
          <t>27 / 26</t>
        </is>
      </c>
      <c r="M281" s="5" t="n">
        <v>0.48</v>
      </c>
      <c r="N281" s="5" t="n">
        <v>0.51</v>
      </c>
    </row>
    <row r="282">
      <c r="A282" t="n">
        <v>281</v>
      </c>
      <c r="B282" t="n">
        <v>2014</v>
      </c>
      <c r="C282" t="inlineStr">
        <is>
          <t>Emma Lajoie</t>
        </is>
      </c>
      <c r="D282">
        <f>HYPERLINK("https://ota.tournamentsoftware.com/player-profile/E1635D80-45C0-4A06-8270-280699032897", "Link")</f>
        <v/>
      </c>
      <c r="E282" s="3" t="n">
        <v>249.285</v>
      </c>
      <c r="F282" s="4" t="n">
        <v>23</v>
      </c>
      <c r="G282" t="inlineStr">
        <is>
          <t>Tennis Québec</t>
        </is>
      </c>
      <c r="H282" t="inlineStr">
        <is>
          <t>SANI Sport</t>
        </is>
      </c>
      <c r="I282" t="n">
        <v>33</v>
      </c>
      <c r="J282" s="4" t="n">
        <v>160</v>
      </c>
      <c r="K282" t="inlineStr">
        <is>
          <t>81 / 79</t>
        </is>
      </c>
      <c r="L282" t="inlineStr">
        <is>
          <t>19 / 23</t>
        </is>
      </c>
      <c r="M282" s="5" t="n">
        <v>0.51</v>
      </c>
      <c r="N282" s="5" t="n">
        <v>0.45</v>
      </c>
    </row>
    <row r="283">
      <c r="A283" t="n">
        <v>282</v>
      </c>
      <c r="B283" t="n">
        <v>2013</v>
      </c>
      <c r="C283" t="inlineStr">
        <is>
          <t>Elina Farmanbar</t>
        </is>
      </c>
      <c r="D283">
        <f>HYPERLINK("https://ota.tournamentsoftware.com/player-profile/CBAE609B-7C8B-4EA5-976F-0F6C1089D79C", "Link")</f>
        <v/>
      </c>
      <c r="E283" s="3" t="n">
        <v>248</v>
      </c>
      <c r="F283" s="4" t="n">
        <v>1</v>
      </c>
      <c r="G283" t="inlineStr">
        <is>
          <t>Ontario Tennis Association</t>
        </is>
      </c>
      <c r="H283" t="inlineStr">
        <is>
          <t>Thornhill Park Tennis Club</t>
        </is>
      </c>
      <c r="I283" t="n">
        <v>24</v>
      </c>
      <c r="J283" s="4" t="n">
        <v>73</v>
      </c>
      <c r="K283" t="inlineStr">
        <is>
          <t>54 / 19</t>
        </is>
      </c>
      <c r="L283" t="inlineStr">
        <is>
          <t>0 / 0</t>
        </is>
      </c>
      <c r="M283" s="5" t="n">
        <v>0.74</v>
      </c>
      <c r="N283" s="5" t="n">
        <v>0</v>
      </c>
    </row>
    <row r="284">
      <c r="A284" t="n">
        <v>283</v>
      </c>
      <c r="B284" t="n">
        <v>2012</v>
      </c>
      <c r="C284" t="inlineStr">
        <is>
          <t>Sophia Zhang</t>
        </is>
      </c>
      <c r="D284">
        <f>HYPERLINK("https://ota.tournamentsoftware.com/player-profile/D3858E79-6F6D-42C3-B497-74590CD50165", "Link")</f>
        <v/>
      </c>
      <c r="E284" s="3" t="n">
        <v>246.89</v>
      </c>
      <c r="F284" s="4" t="n">
        <v>9</v>
      </c>
      <c r="G284" t="inlineStr">
        <is>
          <t>British Columbia</t>
        </is>
      </c>
      <c r="H284" t="inlineStr">
        <is>
          <t>Richmond Country Club</t>
        </is>
      </c>
      <c r="I284" t="n">
        <v>32.9</v>
      </c>
      <c r="J284" s="4" t="n">
        <v>120</v>
      </c>
      <c r="K284" t="inlineStr">
        <is>
          <t>33 / 87</t>
        </is>
      </c>
      <c r="L284" t="inlineStr">
        <is>
          <t>1 / 10</t>
        </is>
      </c>
      <c r="M284" s="5" t="n">
        <v>0.28</v>
      </c>
      <c r="N284" s="5" t="n">
        <v>0.09</v>
      </c>
    </row>
    <row r="285">
      <c r="A285" t="n">
        <v>284</v>
      </c>
      <c r="B285" t="n">
        <v>2013</v>
      </c>
      <c r="C285" t="inlineStr">
        <is>
          <t>Ava Dancik</t>
        </is>
      </c>
      <c r="D285">
        <f>HYPERLINK("https://ota.tournamentsoftware.com/player-profile/CF808414-C0CE-4B07-9667-D3EE492D6BCE", "Link")</f>
        <v/>
      </c>
      <c r="E285" s="3" t="n">
        <v>245.24</v>
      </c>
      <c r="F285" s="4" t="n">
        <v>11</v>
      </c>
      <c r="G285" t="inlineStr">
        <is>
          <t>Tennis Québec</t>
        </is>
      </c>
      <c r="H285" t="inlineStr">
        <is>
          <t>Tennis Ile- des- Soeurs</t>
        </is>
      </c>
      <c r="I285" t="n">
        <v>31.5</v>
      </c>
      <c r="J285" s="4" t="n">
        <v>214</v>
      </c>
      <c r="K285" t="inlineStr">
        <is>
          <t>110 / 104</t>
        </is>
      </c>
      <c r="L285" t="inlineStr">
        <is>
          <t>14 / 7</t>
        </is>
      </c>
      <c r="M285" s="5" t="n">
        <v>0.51</v>
      </c>
      <c r="N285" s="5" t="n">
        <v>0.67</v>
      </c>
    </row>
    <row r="286">
      <c r="A286" t="n">
        <v>285</v>
      </c>
      <c r="B286" t="n">
        <v>2014</v>
      </c>
      <c r="C286" t="inlineStr">
        <is>
          <t>SOFIA LUCKY</t>
        </is>
      </c>
      <c r="D286">
        <f>HYPERLINK("https://ota.tournamentsoftware.com/player-profile/9A590660-3C23-4CD7-A9AF-30CC3227EC17", "Link")</f>
        <v/>
      </c>
      <c r="E286" s="3" t="n">
        <v>245.128</v>
      </c>
      <c r="F286" s="4" t="n">
        <v>14</v>
      </c>
      <c r="G286" t="inlineStr">
        <is>
          <t>Tennis Québec</t>
        </is>
      </c>
      <c r="H286" t="inlineStr">
        <is>
          <t>Académie de tennis UNI(T)</t>
        </is>
      </c>
      <c r="I286" t="n">
        <v>34.5</v>
      </c>
      <c r="J286" s="4" t="n">
        <v>85</v>
      </c>
      <c r="K286" t="inlineStr">
        <is>
          <t>31 / 54</t>
        </is>
      </c>
      <c r="L286" t="inlineStr">
        <is>
          <t>10 / 9</t>
        </is>
      </c>
      <c r="M286" s="5" t="n">
        <v>0.36</v>
      </c>
      <c r="N286" s="5" t="n">
        <v>0.53</v>
      </c>
    </row>
    <row r="287">
      <c r="A287" t="n">
        <v>286</v>
      </c>
      <c r="B287" t="n">
        <v>2012</v>
      </c>
      <c r="C287" t="inlineStr">
        <is>
          <t>Norah Diop</t>
        </is>
      </c>
      <c r="D287">
        <f>HYPERLINK("https://ota.tournamentsoftware.com/player-profile/1B130952-D24A-467D-813D-2DA5B56ADFFF", "Link")</f>
        <v/>
      </c>
      <c r="E287" s="3" t="n">
        <v>245.04</v>
      </c>
      <c r="F287" s="4" t="n">
        <v>19</v>
      </c>
      <c r="G287" t="inlineStr">
        <is>
          <t>Tennis Québec</t>
        </is>
      </c>
      <c r="H287" t="inlineStr">
        <is>
          <t>Tennis 13</t>
        </is>
      </c>
      <c r="I287" t="inlineStr">
        <is>
          <t>unavailable</t>
        </is>
      </c>
      <c r="J287" s="4" t="n">
        <v>82</v>
      </c>
      <c r="K287" t="inlineStr">
        <is>
          <t>36 / 46</t>
        </is>
      </c>
      <c r="L287" t="inlineStr">
        <is>
          <t>11 / 11</t>
        </is>
      </c>
      <c r="M287" s="5" t="n">
        <v>0.44</v>
      </c>
      <c r="N287" s="5" t="n">
        <v>0.5</v>
      </c>
    </row>
    <row r="288">
      <c r="A288" t="n">
        <v>287</v>
      </c>
      <c r="B288" t="n">
        <v>2012</v>
      </c>
      <c r="C288" t="inlineStr">
        <is>
          <t>MICHELLE OREANE OLA ECHAO</t>
        </is>
      </c>
      <c r="D288">
        <f>HYPERLINK("https://ota.tournamentsoftware.com/player-profile/50FA5AE5-9557-483C-94FB-05937E25C837", "Link")</f>
        <v/>
      </c>
      <c r="E288" s="3" t="n">
        <v>241.101</v>
      </c>
      <c r="F288" s="4" t="n">
        <v>10</v>
      </c>
      <c r="G288" t="inlineStr">
        <is>
          <t>Ontario Tennis Association</t>
        </is>
      </c>
      <c r="H288" t="inlineStr">
        <is>
          <t>Rideau Sports Centre</t>
        </is>
      </c>
      <c r="I288" t="n">
        <v>36.9</v>
      </c>
      <c r="J288" s="4" t="n">
        <v>55</v>
      </c>
      <c r="K288" t="inlineStr">
        <is>
          <t>12 / 43</t>
        </is>
      </c>
      <c r="L288" t="inlineStr">
        <is>
          <t>3 / 8</t>
        </is>
      </c>
      <c r="M288" s="5" t="n">
        <v>0.22</v>
      </c>
      <c r="N288" s="5" t="n">
        <v>0.27</v>
      </c>
    </row>
    <row r="289">
      <c r="A289" t="n">
        <v>288</v>
      </c>
      <c r="B289" t="n">
        <v>2015</v>
      </c>
      <c r="C289" t="inlineStr">
        <is>
          <t>Ella Potechin</t>
        </is>
      </c>
      <c r="D289">
        <f>HYPERLINK("https://ota.tournamentsoftware.com/player-profile/6611C50A-5A2F-4DF7-B99B-97DD644D2C2A", "Link")</f>
        <v/>
      </c>
      <c r="E289" s="3" t="n">
        <v>239.009</v>
      </c>
      <c r="F289" s="4" t="n">
        <v>16</v>
      </c>
      <c r="G289" t="inlineStr">
        <is>
          <t>Ontario Tennis Association</t>
        </is>
      </c>
      <c r="H289" t="inlineStr">
        <is>
          <t>Tennis Outaouais Performance (TOP) ON</t>
        </is>
      </c>
      <c r="I289" t="n">
        <v>35.1</v>
      </c>
      <c r="J289" s="4" t="n">
        <v>89</v>
      </c>
      <c r="K289" t="inlineStr">
        <is>
          <t>34 / 55</t>
        </is>
      </c>
      <c r="L289" t="inlineStr">
        <is>
          <t>17 / 19</t>
        </is>
      </c>
      <c r="M289" s="5" t="n">
        <v>0.38</v>
      </c>
      <c r="N289" s="5" t="n">
        <v>0.47</v>
      </c>
    </row>
    <row r="290">
      <c r="A290" t="n">
        <v>289</v>
      </c>
      <c r="B290" t="n">
        <v>2015</v>
      </c>
      <c r="C290" t="inlineStr">
        <is>
          <t>Liana Arendain</t>
        </is>
      </c>
      <c r="D290">
        <f>HYPERLINK("https://ota.tournamentsoftware.com/player-profile/2D89D481-D621-43AF-8792-3F0114FE4D77", "Link")</f>
        <v/>
      </c>
      <c r="E290" s="3" t="n">
        <v>238.244</v>
      </c>
      <c r="F290" s="4" t="n">
        <v>20</v>
      </c>
      <c r="G290" t="inlineStr">
        <is>
          <t>Tennis Alberta</t>
        </is>
      </c>
      <c r="H290" t="inlineStr">
        <is>
          <t>Saville Community Sports Centre</t>
        </is>
      </c>
      <c r="I290" t="n">
        <v>31.1</v>
      </c>
      <c r="J290" s="4" t="n">
        <v>147</v>
      </c>
      <c r="K290" t="inlineStr">
        <is>
          <t>100 / 47</t>
        </is>
      </c>
      <c r="L290" t="inlineStr">
        <is>
          <t>33 / 19</t>
        </is>
      </c>
      <c r="M290" s="5" t="n">
        <v>0.68</v>
      </c>
      <c r="N290" s="5" t="n">
        <v>0.63</v>
      </c>
    </row>
    <row r="291">
      <c r="A291" t="n">
        <v>290</v>
      </c>
      <c r="B291" t="n">
        <v>2012</v>
      </c>
      <c r="C291" t="inlineStr">
        <is>
          <t>Ariella Wainer</t>
        </is>
      </c>
      <c r="D291">
        <f>HYPERLINK("https://ota.tournamentsoftware.com/player-profile/29A07F50-E6F3-4FFE-84BF-31DB048552D6", "Link")</f>
        <v/>
      </c>
      <c r="E291" s="3" t="n">
        <v>238.158</v>
      </c>
      <c r="F291" s="4" t="n">
        <v>24</v>
      </c>
      <c r="G291" t="inlineStr">
        <is>
          <t>Tennis Québec</t>
        </is>
      </c>
      <c r="H291" t="inlineStr">
        <is>
          <t>Club Sportif Côte-de-Liesse</t>
        </is>
      </c>
      <c r="I291" t="n">
        <v>34.9</v>
      </c>
      <c r="J291" s="4" t="n">
        <v>169</v>
      </c>
      <c r="K291" t="inlineStr">
        <is>
          <t>57 / 112</t>
        </is>
      </c>
      <c r="L291" t="inlineStr">
        <is>
          <t>3 / 17</t>
        </is>
      </c>
      <c r="M291" s="5" t="n">
        <v>0.34</v>
      </c>
      <c r="N291" s="5" t="n">
        <v>0.15</v>
      </c>
    </row>
    <row r="292">
      <c r="A292" t="n">
        <v>291</v>
      </c>
      <c r="B292" t="n">
        <v>2015</v>
      </c>
      <c r="C292" t="inlineStr">
        <is>
          <t>Violetta Munoz</t>
        </is>
      </c>
      <c r="D292">
        <f>HYPERLINK("https://ota.tournamentsoftware.com/player-profile/55FD2B42-2961-45DA-8250-9ECCED0E6566", "Link")</f>
        <v/>
      </c>
      <c r="E292" s="3" t="n">
        <v>236.517</v>
      </c>
      <c r="F292" s="4" t="n">
        <v>25</v>
      </c>
      <c r="G292" t="inlineStr">
        <is>
          <t>Tennis Québec</t>
        </is>
      </c>
      <c r="H292" t="inlineStr">
        <is>
          <t>Carrefour Multisports</t>
        </is>
      </c>
      <c r="I292" t="n">
        <v>32</v>
      </c>
      <c r="J292" s="4" t="n">
        <v>176</v>
      </c>
      <c r="K292" t="inlineStr">
        <is>
          <t>93 / 83</t>
        </is>
      </c>
      <c r="L292" t="inlineStr">
        <is>
          <t>22 / 18</t>
        </is>
      </c>
      <c r="M292" s="5" t="n">
        <v>0.53</v>
      </c>
      <c r="N292" s="5" t="n">
        <v>0.55</v>
      </c>
    </row>
    <row r="293">
      <c r="A293" t="n">
        <v>292</v>
      </c>
      <c r="B293" t="n">
        <v>2014</v>
      </c>
      <c r="C293" t="inlineStr">
        <is>
          <t>Penelope Anne McMillan</t>
        </is>
      </c>
      <c r="D293">
        <f>HYPERLINK("https://ota.tournamentsoftware.com/player-profile/D7699338-4FE5-4F30-9A7D-8E14842C2A9B", "Link")</f>
        <v/>
      </c>
      <c r="E293" s="3" t="n">
        <v>235.813</v>
      </c>
      <c r="F293" s="4" t="n">
        <v>9</v>
      </c>
      <c r="G293" t="inlineStr">
        <is>
          <t>Tennis Nova Scotia</t>
        </is>
      </c>
      <c r="H293" t="inlineStr">
        <is>
          <t>Atlantic Tennis Centre</t>
        </is>
      </c>
      <c r="I293" t="n">
        <v>36.1</v>
      </c>
      <c r="J293" s="4" t="n">
        <v>105</v>
      </c>
      <c r="K293" t="inlineStr">
        <is>
          <t>43 / 62</t>
        </is>
      </c>
      <c r="L293" t="inlineStr">
        <is>
          <t>13 / 22</t>
        </is>
      </c>
      <c r="M293" s="5" t="n">
        <v>0.41</v>
      </c>
      <c r="N293" s="5" t="n">
        <v>0.37</v>
      </c>
    </row>
    <row r="294">
      <c r="A294" t="n">
        <v>293</v>
      </c>
      <c r="B294" t="n">
        <v>2015</v>
      </c>
      <c r="C294" t="inlineStr">
        <is>
          <t>Alexia Picciola</t>
        </is>
      </c>
      <c r="D294">
        <f>HYPERLINK("https://ota.tournamentsoftware.com/player-profile/91C9A734-3E6E-45CC-B46D-51BF9C9A7FC4", "Link")</f>
        <v/>
      </c>
      <c r="E294" s="3" t="n">
        <v>235.183</v>
      </c>
      <c r="F294" s="4" t="n">
        <v>19</v>
      </c>
      <c r="G294" t="inlineStr">
        <is>
          <t>Tennis Québec</t>
        </is>
      </c>
      <c r="H294" t="inlineStr">
        <is>
          <t>Tennis Montréal Excellence</t>
        </is>
      </c>
      <c r="I294" t="n">
        <v>31.5</v>
      </c>
      <c r="J294" s="4" t="n">
        <v>160</v>
      </c>
      <c r="K294" t="inlineStr">
        <is>
          <t>78 / 82</t>
        </is>
      </c>
      <c r="L294" t="inlineStr">
        <is>
          <t>31 / 16</t>
        </is>
      </c>
      <c r="M294" s="5" t="n">
        <v>0.49</v>
      </c>
      <c r="N294" s="5" t="n">
        <v>0.66</v>
      </c>
    </row>
    <row r="295">
      <c r="A295" t="n">
        <v>294</v>
      </c>
      <c r="B295" t="n">
        <v>2013</v>
      </c>
      <c r="C295" t="inlineStr">
        <is>
          <t>Hazel Sharma</t>
        </is>
      </c>
      <c r="D295">
        <f>HYPERLINK("https://ota.tournamentsoftware.com/player-profile/114D9BCA-C6DA-49E0-9F64-5FB54E5B0E3E", "Link")</f>
        <v/>
      </c>
      <c r="E295" s="3" t="n">
        <v>234.934</v>
      </c>
      <c r="F295" s="4" t="n">
        <v>17</v>
      </c>
      <c r="G295" t="inlineStr">
        <is>
          <t>British Columbia</t>
        </is>
      </c>
      <c r="H295" t="inlineStr">
        <is>
          <t>The Tennis Centre</t>
        </is>
      </c>
      <c r="I295" t="n">
        <v>32.5</v>
      </c>
      <c r="J295" s="4" t="n">
        <v>192</v>
      </c>
      <c r="K295" t="inlineStr">
        <is>
          <t>85 / 107</t>
        </is>
      </c>
      <c r="L295" t="inlineStr">
        <is>
          <t>16 / 12</t>
        </is>
      </c>
      <c r="M295" s="5" t="n">
        <v>0.44</v>
      </c>
      <c r="N295" s="5" t="n">
        <v>0.57</v>
      </c>
    </row>
    <row r="296">
      <c r="A296" t="n">
        <v>295</v>
      </c>
      <c r="B296" t="n">
        <v>2015</v>
      </c>
      <c r="C296" t="inlineStr">
        <is>
          <t>ESTHER HAO</t>
        </is>
      </c>
      <c r="D296">
        <f>HYPERLINK("https://ota.tournamentsoftware.com/player-profile/8EA584DE-3986-4803-A3AA-F96230F853A7", "Link")</f>
        <v/>
      </c>
      <c r="E296" s="3" t="n">
        <v>233.33</v>
      </c>
      <c r="F296" s="4" t="n">
        <v>21</v>
      </c>
      <c r="G296" t="inlineStr">
        <is>
          <t>Ontario Tennis Association</t>
        </is>
      </c>
      <c r="H296" t="inlineStr">
        <is>
          <t>Ontario Racquet Club</t>
        </is>
      </c>
      <c r="I296" t="n">
        <v>34.2</v>
      </c>
      <c r="J296" s="4" t="n">
        <v>215</v>
      </c>
      <c r="K296" t="inlineStr">
        <is>
          <t>131 / 84</t>
        </is>
      </c>
      <c r="L296" t="inlineStr">
        <is>
          <t>9 / 9</t>
        </is>
      </c>
      <c r="M296" s="5" t="n">
        <v>0.61</v>
      </c>
      <c r="N296" s="5" t="n">
        <v>0.5</v>
      </c>
    </row>
    <row r="297">
      <c r="A297" t="n">
        <v>296</v>
      </c>
      <c r="B297" t="n">
        <v>2013</v>
      </c>
      <c r="C297" t="inlineStr">
        <is>
          <t>Victoria Ta</t>
        </is>
      </c>
      <c r="D297">
        <f>HYPERLINK("https://ota.tournamentsoftware.com/player-profile/A9D6CF45-A7F1-427F-A376-2C40852D98CD", "Link")</f>
        <v/>
      </c>
      <c r="E297" s="3" t="n">
        <v>232.195</v>
      </c>
      <c r="F297" s="4" t="n">
        <v>18</v>
      </c>
      <c r="G297" t="inlineStr">
        <is>
          <t>Ontario Tennis Association</t>
        </is>
      </c>
      <c r="H297" t="inlineStr">
        <is>
          <t>Lambton Golf &amp; Country Club</t>
        </is>
      </c>
      <c r="I297" t="n">
        <v>32.8</v>
      </c>
      <c r="J297" s="4" t="n">
        <v>97</v>
      </c>
      <c r="K297" t="inlineStr">
        <is>
          <t>47 / 50</t>
        </is>
      </c>
      <c r="L297" t="inlineStr">
        <is>
          <t>12 / 10</t>
        </is>
      </c>
      <c r="M297" s="5" t="n">
        <v>0.48</v>
      </c>
      <c r="N297" s="5" t="n">
        <v>0.55</v>
      </c>
    </row>
    <row r="298">
      <c r="A298" t="n">
        <v>297</v>
      </c>
      <c r="B298" t="n">
        <v>2015</v>
      </c>
      <c r="C298" t="inlineStr">
        <is>
          <t>Lacey Isabella Ly</t>
        </is>
      </c>
      <c r="D298">
        <f>HYPERLINK("https://ota.tournamentsoftware.com/player-profile/878918D3-5C76-4815-A98A-1D1A49BFC21F", "Link")</f>
        <v/>
      </c>
      <c r="E298" s="3" t="n">
        <v>231.26</v>
      </c>
      <c r="F298" s="4" t="n">
        <v>12</v>
      </c>
      <c r="G298" t="inlineStr">
        <is>
          <t>British Columbia</t>
        </is>
      </c>
      <c r="H298" t="inlineStr">
        <is>
          <t>The Tennis Centre</t>
        </is>
      </c>
      <c r="I298" t="n">
        <v>30.8</v>
      </c>
      <c r="J298" s="4" t="n">
        <v>133</v>
      </c>
      <c r="K298" t="inlineStr">
        <is>
          <t>100 / 33</t>
        </is>
      </c>
      <c r="L298" t="inlineStr">
        <is>
          <t>23 / 9</t>
        </is>
      </c>
      <c r="M298" s="5" t="n">
        <v>0.75</v>
      </c>
      <c r="N298" s="5" t="n">
        <v>0.72</v>
      </c>
    </row>
    <row r="299">
      <c r="A299" t="n">
        <v>298</v>
      </c>
      <c r="B299" t="n">
        <v>2014</v>
      </c>
      <c r="C299" t="inlineStr">
        <is>
          <t>Candice YAO</t>
        </is>
      </c>
      <c r="D299">
        <f>HYPERLINK("https://ota.tournamentsoftware.com/player-profile/2EEE6D95-1504-4E36-A996-F48A3CD7FC03", "Link")</f>
        <v/>
      </c>
      <c r="E299" s="3" t="n">
        <v>231.193</v>
      </c>
      <c r="F299" s="4" t="n">
        <v>19</v>
      </c>
      <c r="G299" t="inlineStr">
        <is>
          <t>Ontario Tennis Association</t>
        </is>
      </c>
      <c r="H299" t="inlineStr">
        <is>
          <t>Richmondhill Golf &amp; Country Club</t>
        </is>
      </c>
      <c r="I299" t="n">
        <v>32.4</v>
      </c>
      <c r="J299" s="4" t="n">
        <v>90</v>
      </c>
      <c r="K299" t="inlineStr">
        <is>
          <t>40 / 50</t>
        </is>
      </c>
      <c r="L299" t="inlineStr">
        <is>
          <t>16 / 11</t>
        </is>
      </c>
      <c r="M299" s="5" t="n">
        <v>0.44</v>
      </c>
      <c r="N299" s="5" t="n">
        <v>0.59</v>
      </c>
    </row>
    <row r="300">
      <c r="A300" t="n">
        <v>299</v>
      </c>
      <c r="B300" t="n">
        <v>2014</v>
      </c>
      <c r="C300" t="inlineStr">
        <is>
          <t>Aryella Ainame Duran Khongwir</t>
        </is>
      </c>
      <c r="D300">
        <f>HYPERLINK("https://ota.tournamentsoftware.com/player-profile/6DB3D46F-3C74-400D-92A4-62CF55426936", "Link")</f>
        <v/>
      </c>
      <c r="E300" s="3" t="n">
        <v>230.594</v>
      </c>
      <c r="F300" s="4" t="n">
        <v>19</v>
      </c>
      <c r="G300" t="inlineStr">
        <is>
          <t>Ontario Tennis Association</t>
        </is>
      </c>
      <c r="H300" t="inlineStr">
        <is>
          <t>Stefanovic Tennis Academy</t>
        </is>
      </c>
      <c r="I300" t="n">
        <v>33.5</v>
      </c>
      <c r="J300" s="4" t="n">
        <v>174</v>
      </c>
      <c r="K300" t="inlineStr">
        <is>
          <t>50 / 124</t>
        </is>
      </c>
      <c r="L300" t="inlineStr">
        <is>
          <t>16 / 12</t>
        </is>
      </c>
      <c r="M300" s="5" t="n">
        <v>0.29</v>
      </c>
      <c r="N300" s="5" t="n">
        <v>0.57</v>
      </c>
    </row>
    <row r="301">
      <c r="A301" t="n">
        <v>300</v>
      </c>
      <c r="B301" t="n">
        <v>2014</v>
      </c>
      <c r="C301" t="inlineStr">
        <is>
          <t>Dora Zhang</t>
        </is>
      </c>
      <c r="D301">
        <f>HYPERLINK("https://ota.tournamentsoftware.com/player-profile/3772BD57-A73E-4652-86C8-E1885FE20DCF", "Link")</f>
        <v/>
      </c>
      <c r="E301" s="3" t="n">
        <v>230.464</v>
      </c>
      <c r="F301" s="4" t="n">
        <v>19</v>
      </c>
      <c r="G301" t="inlineStr">
        <is>
          <t>Ontario Tennis Association</t>
        </is>
      </c>
      <c r="H301" t="inlineStr">
        <is>
          <t>Toronto Tennis City</t>
        </is>
      </c>
      <c r="I301" t="n">
        <v>33.1</v>
      </c>
      <c r="J301" s="4" t="n">
        <v>50</v>
      </c>
      <c r="K301" t="inlineStr">
        <is>
          <t>36 / 14</t>
        </is>
      </c>
      <c r="L301" t="inlineStr">
        <is>
          <t>5 / 4</t>
        </is>
      </c>
      <c r="M301" s="5" t="n">
        <v>0.72</v>
      </c>
      <c r="N301" s="5" t="n">
        <v>0.5600000000000001</v>
      </c>
    </row>
    <row r="302">
      <c r="A302" t="n">
        <v>301</v>
      </c>
      <c r="B302" t="n">
        <v>2012</v>
      </c>
      <c r="C302" t="inlineStr">
        <is>
          <t>Saroop Randhawa</t>
        </is>
      </c>
      <c r="D302">
        <f>HYPERLINK("https://ota.tournamentsoftware.com/player-profile/5F710ADB-6059-4376-8917-220BAD95C9B2", "Link")</f>
        <v/>
      </c>
      <c r="E302" s="3" t="n">
        <v>228</v>
      </c>
      <c r="F302" s="4" t="n">
        <v>2</v>
      </c>
      <c r="G302" t="inlineStr">
        <is>
          <t>Ontario Tennis Association</t>
        </is>
      </c>
      <c r="H302" t="inlineStr">
        <is>
          <t>Advantage Tennis International at Veneto</t>
        </is>
      </c>
      <c r="I302" t="n">
        <v>21.8</v>
      </c>
      <c r="J302" s="4" t="n">
        <v>153</v>
      </c>
      <c r="K302" t="inlineStr">
        <is>
          <t>114 / 39</t>
        </is>
      </c>
      <c r="L302" t="inlineStr">
        <is>
          <t>5 / 0</t>
        </is>
      </c>
      <c r="M302" s="5" t="n">
        <v>0.75</v>
      </c>
      <c r="N302" s="5" t="n">
        <v>1</v>
      </c>
    </row>
    <row r="303">
      <c r="A303" t="n">
        <v>302</v>
      </c>
      <c r="B303" t="n">
        <v>2012</v>
      </c>
      <c r="C303" t="inlineStr">
        <is>
          <t>Eva Brisson</t>
        </is>
      </c>
      <c r="D303">
        <f>HYPERLINK("https://ota.tournamentsoftware.com/player-profile/BC349487-CEB9-4CB8-ABCF-1006DD0F69AA", "Link")</f>
        <v/>
      </c>
      <c r="E303" s="3" t="n">
        <v>227.99</v>
      </c>
      <c r="F303" s="4" t="n">
        <v>21</v>
      </c>
      <c r="G303" t="inlineStr">
        <is>
          <t>Tennis Québec</t>
        </is>
      </c>
      <c r="H303" t="inlineStr">
        <is>
          <t>Club Sportif Côte-de-Liesse</t>
        </is>
      </c>
      <c r="I303" t="n">
        <v>32.9</v>
      </c>
      <c r="J303" s="4" t="n">
        <v>136</v>
      </c>
      <c r="K303" t="inlineStr">
        <is>
          <t>55 / 81</t>
        </is>
      </c>
      <c r="L303" t="inlineStr">
        <is>
          <t>9 / 13</t>
        </is>
      </c>
      <c r="M303" s="5" t="n">
        <v>0.4</v>
      </c>
      <c r="N303" s="5" t="n">
        <v>0.41</v>
      </c>
    </row>
    <row r="304">
      <c r="A304" t="n">
        <v>303</v>
      </c>
      <c r="B304" t="n">
        <v>2012</v>
      </c>
      <c r="C304" t="inlineStr">
        <is>
          <t>Louanna Perron</t>
        </is>
      </c>
      <c r="D304">
        <f>HYPERLINK("https://ota.tournamentsoftware.com/player-profile/0D5BD355-F71F-4A8A-B269-0D225B56C809", "Link")</f>
        <v/>
      </c>
      <c r="E304" s="3" t="n">
        <v>227.848</v>
      </c>
      <c r="F304" s="4" t="n">
        <v>9</v>
      </c>
      <c r="G304" t="inlineStr">
        <is>
          <t>Tennis Québec</t>
        </is>
      </c>
      <c r="H304" t="inlineStr">
        <is>
          <t>Tennis 13 / Académie Ménard et associé</t>
        </is>
      </c>
      <c r="I304" t="n">
        <v>33.3</v>
      </c>
      <c r="J304" s="4" t="n">
        <v>20</v>
      </c>
      <c r="K304" t="inlineStr">
        <is>
          <t>9 / 11</t>
        </is>
      </c>
      <c r="L304" t="inlineStr">
        <is>
          <t>3 / 5</t>
        </is>
      </c>
      <c r="M304" s="5" t="n">
        <v>0.45</v>
      </c>
      <c r="N304" s="5" t="n">
        <v>0.38</v>
      </c>
    </row>
    <row r="305">
      <c r="A305" t="n">
        <v>304</v>
      </c>
      <c r="B305" t="n">
        <v>2012</v>
      </c>
      <c r="C305" t="inlineStr">
        <is>
          <t>Charlotte Gal</t>
        </is>
      </c>
      <c r="D305">
        <f>HYPERLINK("https://ota.tournamentsoftware.com/player-profile/EF0AF614-E6CE-4E3C-9FC4-7EF8A5EB6B57", "Link")</f>
        <v/>
      </c>
      <c r="E305" s="3" t="n">
        <v>227.232</v>
      </c>
      <c r="F305" s="4" t="n">
        <v>4</v>
      </c>
      <c r="G305" t="inlineStr">
        <is>
          <t>Tennis Nova Scotia</t>
        </is>
      </c>
      <c r="H305" t="inlineStr">
        <is>
          <t>HEADSTART</t>
        </is>
      </c>
      <c r="I305" t="n">
        <v>37.2</v>
      </c>
      <c r="J305" s="4" t="n">
        <v>23</v>
      </c>
      <c r="K305" t="inlineStr">
        <is>
          <t>6 / 17</t>
        </is>
      </c>
      <c r="L305" t="inlineStr">
        <is>
          <t>2 / 11</t>
        </is>
      </c>
      <c r="M305" s="5" t="n">
        <v>0.26</v>
      </c>
      <c r="N305" s="5" t="n">
        <v>0.15</v>
      </c>
    </row>
    <row r="306">
      <c r="A306" t="n">
        <v>305</v>
      </c>
      <c r="B306" t="n">
        <v>2015</v>
      </c>
      <c r="C306" t="inlineStr">
        <is>
          <t>MASAL ELA YAZICI</t>
        </is>
      </c>
      <c r="D306">
        <f>HYPERLINK("https://ota.tournamentsoftware.com/player-profile/8556435C-B5F1-47A5-8C4A-46AF5B800D78", "Link")</f>
        <v/>
      </c>
      <c r="E306" s="3" t="n">
        <v>223.946</v>
      </c>
      <c r="F306" s="4" t="n">
        <v>18</v>
      </c>
      <c r="G306" t="inlineStr">
        <is>
          <t>Ontario Tennis Association</t>
        </is>
      </c>
      <c r="H306" t="inlineStr">
        <is>
          <t>Mayfair West Fitness &amp; Racquet Club</t>
        </is>
      </c>
      <c r="I306" t="n">
        <v>32.9</v>
      </c>
      <c r="J306" s="4" t="n">
        <v>54</v>
      </c>
      <c r="K306" t="inlineStr">
        <is>
          <t>35 / 19</t>
        </is>
      </c>
      <c r="L306" t="inlineStr">
        <is>
          <t>27 / 12</t>
        </is>
      </c>
      <c r="M306" s="5" t="n">
        <v>0.65</v>
      </c>
      <c r="N306" s="5" t="n">
        <v>0.6899999999999999</v>
      </c>
    </row>
    <row r="307">
      <c r="A307" t="n">
        <v>306</v>
      </c>
      <c r="B307" t="n">
        <v>2015</v>
      </c>
      <c r="C307" t="inlineStr">
        <is>
          <t>Navena Thelepan</t>
        </is>
      </c>
      <c r="D307">
        <f>HYPERLINK("https://ota.tournamentsoftware.com/player-profile/811C2EA5-51E7-4FDE-BF82-1DF3D9D0AD27", "Link")</f>
        <v/>
      </c>
      <c r="E307" s="3" t="n">
        <v>221.189</v>
      </c>
      <c r="F307" s="4" t="n">
        <v>35</v>
      </c>
      <c r="G307" t="inlineStr">
        <is>
          <t>Ontario Tennis Association</t>
        </is>
      </c>
      <c r="H307" t="inlineStr">
        <is>
          <t>Markham Tennis Club</t>
        </is>
      </c>
      <c r="I307" t="n">
        <v>35.5</v>
      </c>
      <c r="J307" s="4" t="n">
        <v>136</v>
      </c>
      <c r="K307" t="inlineStr">
        <is>
          <t>63 / 73</t>
        </is>
      </c>
      <c r="L307" t="inlineStr">
        <is>
          <t>19 / 36</t>
        </is>
      </c>
      <c r="M307" s="5" t="n">
        <v>0.46</v>
      </c>
      <c r="N307" s="5" t="n">
        <v>0.35</v>
      </c>
    </row>
    <row r="308">
      <c r="A308" t="n">
        <v>307</v>
      </c>
      <c r="B308" t="n">
        <v>2013</v>
      </c>
      <c r="C308" t="inlineStr">
        <is>
          <t>Makayla Najjar</t>
        </is>
      </c>
      <c r="D308">
        <f>HYPERLINK("https://ota.tournamentsoftware.com/player-profile/A931D3E2-A84F-4018-9B2A-A1664811863E", "Link")</f>
        <v/>
      </c>
      <c r="E308" s="3" t="n">
        <v>219.584</v>
      </c>
      <c r="F308" s="4" t="n">
        <v>13</v>
      </c>
      <c r="G308" t="inlineStr">
        <is>
          <t>Ontario Tennis Association</t>
        </is>
      </c>
      <c r="H308" t="inlineStr">
        <is>
          <t>Premier Racquet Clubs – Mississauga</t>
        </is>
      </c>
      <c r="I308" t="n">
        <v>33.1</v>
      </c>
      <c r="J308" s="4" t="n">
        <v>89</v>
      </c>
      <c r="K308" t="inlineStr">
        <is>
          <t>60 / 29</t>
        </is>
      </c>
      <c r="L308" t="inlineStr">
        <is>
          <t>17 / 10</t>
        </is>
      </c>
      <c r="M308" s="5" t="n">
        <v>0.67</v>
      </c>
      <c r="N308" s="5" t="n">
        <v>0.63</v>
      </c>
    </row>
    <row r="309">
      <c r="A309" t="n">
        <v>308</v>
      </c>
      <c r="B309" t="n">
        <v>2015</v>
      </c>
      <c r="C309" t="inlineStr">
        <is>
          <t>Lydia Huang</t>
        </is>
      </c>
      <c r="D309">
        <f>HYPERLINK("https://ota.tournamentsoftware.com/player-profile/C398C976-6D88-4D76-B532-8E986C6FF0EA", "Link")</f>
        <v/>
      </c>
      <c r="E309" s="3" t="n">
        <v>219.184</v>
      </c>
      <c r="F309" s="4" t="n">
        <v>25</v>
      </c>
      <c r="G309" t="inlineStr">
        <is>
          <t>Ontario Tennis Association</t>
        </is>
      </c>
      <c r="H309" t="inlineStr">
        <is>
          <t>The Supreme Court Tennis Club</t>
        </is>
      </c>
      <c r="I309" t="n">
        <v>33.4</v>
      </c>
      <c r="J309" s="4" t="n">
        <v>94</v>
      </c>
      <c r="K309" t="inlineStr">
        <is>
          <t>57 / 37</t>
        </is>
      </c>
      <c r="L309" t="inlineStr">
        <is>
          <t>28 / 19</t>
        </is>
      </c>
      <c r="M309" s="5" t="n">
        <v>0.61</v>
      </c>
      <c r="N309" s="5" t="n">
        <v>0.6</v>
      </c>
    </row>
    <row r="310">
      <c r="A310" t="n">
        <v>309</v>
      </c>
      <c r="B310" t="n">
        <v>2013</v>
      </c>
      <c r="C310" t="inlineStr">
        <is>
          <t>Helena Shengyi Chen</t>
        </is>
      </c>
      <c r="D310">
        <f>HYPERLINK("https://ota.tournamentsoftware.com/player-profile/097D6397-0826-4C15-948E-B983C1D748F4", "Link")</f>
        <v/>
      </c>
      <c r="E310" s="3" t="n">
        <v>218.438</v>
      </c>
      <c r="F310" s="4" t="n">
        <v>16</v>
      </c>
      <c r="G310" t="inlineStr">
        <is>
          <t>British Columbia</t>
        </is>
      </c>
      <c r="H310" t="inlineStr">
        <is>
          <t>Tennis BC Hub @ Richmond</t>
        </is>
      </c>
      <c r="I310" t="n">
        <v>32.8</v>
      </c>
      <c r="J310" s="4" t="n">
        <v>118</v>
      </c>
      <c r="K310" t="inlineStr">
        <is>
          <t>50 / 68</t>
        </is>
      </c>
      <c r="L310" t="inlineStr">
        <is>
          <t>13 / 17</t>
        </is>
      </c>
      <c r="M310" s="5" t="n">
        <v>0.42</v>
      </c>
      <c r="N310" s="5" t="n">
        <v>0.43</v>
      </c>
    </row>
    <row r="311">
      <c r="A311" t="n">
        <v>310</v>
      </c>
      <c r="B311" t="n">
        <v>2012</v>
      </c>
      <c r="C311" t="inlineStr">
        <is>
          <t>Shrreya Elkturi</t>
        </is>
      </c>
      <c r="D311">
        <f>HYPERLINK("https://ota.tournamentsoftware.com/player-profile/1A8DA0C1-51FB-48B8-8AED-D37DAB186E95", "Link")</f>
        <v/>
      </c>
      <c r="E311" s="3" t="n">
        <v>216.761</v>
      </c>
      <c r="F311" s="4" t="n">
        <v>20</v>
      </c>
      <c r="G311" t="inlineStr">
        <is>
          <t>Ontario Tennis Association</t>
        </is>
      </c>
      <c r="H311" t="inlineStr">
        <is>
          <t>No Club</t>
        </is>
      </c>
      <c r="I311" t="n">
        <v>33</v>
      </c>
      <c r="J311" s="4" t="n">
        <v>83</v>
      </c>
      <c r="K311" t="inlineStr">
        <is>
          <t>30 / 53</t>
        </is>
      </c>
      <c r="L311" t="inlineStr">
        <is>
          <t>15 / 15</t>
        </is>
      </c>
      <c r="M311" s="5" t="n">
        <v>0.36</v>
      </c>
      <c r="N311" s="5" t="n">
        <v>0.5</v>
      </c>
    </row>
    <row r="312">
      <c r="A312" t="n">
        <v>311</v>
      </c>
      <c r="B312" t="n">
        <v>2014</v>
      </c>
      <c r="C312" t="inlineStr">
        <is>
          <t>Skylar Isabelle JOHNSTON</t>
        </is>
      </c>
      <c r="D312">
        <f>HYPERLINK("https://ota.tournamentsoftware.com/player-profile/18CCEC3F-12DA-4A55-A300-393E64FB4F6E", "Link")</f>
        <v/>
      </c>
      <c r="E312" s="3" t="n">
        <v>216.396</v>
      </c>
      <c r="F312" s="4" t="n">
        <v>11</v>
      </c>
      <c r="G312" t="inlineStr">
        <is>
          <t>Tennis Nova Scotia</t>
        </is>
      </c>
      <c r="H312" t="inlineStr">
        <is>
          <t>Gordon Hughes Tennis Club</t>
        </is>
      </c>
      <c r="I312" t="n">
        <v>33.5</v>
      </c>
      <c r="J312" s="4" t="n">
        <v>90</v>
      </c>
      <c r="K312" t="inlineStr">
        <is>
          <t>43 / 47</t>
        </is>
      </c>
      <c r="L312" t="inlineStr">
        <is>
          <t>22 / 14</t>
        </is>
      </c>
      <c r="M312" s="5" t="n">
        <v>0.48</v>
      </c>
      <c r="N312" s="5" t="n">
        <v>0.61</v>
      </c>
    </row>
    <row r="313">
      <c r="A313" t="n">
        <v>312</v>
      </c>
      <c r="B313" t="n">
        <v>2015</v>
      </c>
      <c r="C313" t="inlineStr">
        <is>
          <t>Daniella Lynne Lee</t>
        </is>
      </c>
      <c r="D313">
        <f>HYPERLINK("https://ota.tournamentsoftware.com/player-profile/92FC49CB-246B-48E6-ABC3-903AA780449F", "Link")</f>
        <v/>
      </c>
      <c r="E313" s="3" t="n">
        <v>215.601</v>
      </c>
      <c r="F313" s="4" t="n">
        <v>28</v>
      </c>
      <c r="G313" t="inlineStr">
        <is>
          <t>British Columbia</t>
        </is>
      </c>
      <c r="H313" t="inlineStr">
        <is>
          <t>Arbutus Club</t>
        </is>
      </c>
      <c r="I313" t="n">
        <v>32.4</v>
      </c>
      <c r="J313" s="4" t="n">
        <v>127</v>
      </c>
      <c r="K313" t="inlineStr">
        <is>
          <t>65 / 62</t>
        </is>
      </c>
      <c r="L313" t="inlineStr">
        <is>
          <t>26 / 23</t>
        </is>
      </c>
      <c r="M313" s="5" t="n">
        <v>0.51</v>
      </c>
      <c r="N313" s="5" t="n">
        <v>0.53</v>
      </c>
    </row>
    <row r="314">
      <c r="A314" t="n">
        <v>313</v>
      </c>
      <c r="B314" t="n">
        <v>2015</v>
      </c>
      <c r="C314" t="inlineStr">
        <is>
          <t>Yasmine Maazouz</t>
        </is>
      </c>
      <c r="D314">
        <f>HYPERLINK("https://ota.tournamentsoftware.com/player-profile/004E04F8-71A7-4C1F-B42C-805F1590C456", "Link")</f>
        <v/>
      </c>
      <c r="E314" s="3" t="n">
        <v>215.212</v>
      </c>
      <c r="F314" s="4" t="n">
        <v>8</v>
      </c>
      <c r="G314" t="inlineStr">
        <is>
          <t>Tennis Québec</t>
        </is>
      </c>
      <c r="H314" t="inlineStr">
        <is>
          <t>Tennis Montréal Excellence</t>
        </is>
      </c>
      <c r="I314" t="n">
        <v>31.3</v>
      </c>
      <c r="J314" s="4" t="n">
        <v>115</v>
      </c>
      <c r="K314" t="inlineStr">
        <is>
          <t>69 / 46</t>
        </is>
      </c>
      <c r="L314" t="inlineStr">
        <is>
          <t>20 / 7</t>
        </is>
      </c>
      <c r="M314" s="5" t="n">
        <v>0.6</v>
      </c>
      <c r="N314" s="5" t="n">
        <v>0.74</v>
      </c>
    </row>
    <row r="315">
      <c r="A315" t="n">
        <v>314</v>
      </c>
      <c r="B315" t="n">
        <v>2013</v>
      </c>
      <c r="C315" t="inlineStr">
        <is>
          <t>Alma Safinia</t>
        </is>
      </c>
      <c r="D315">
        <f>HYPERLINK("https://ota.tournamentsoftware.com/player-profile/5EF88718-BF69-42BC-A643-1C11174AD1CB", "Link")</f>
        <v/>
      </c>
      <c r="E315" s="3" t="n">
        <v>215.078</v>
      </c>
      <c r="F315" s="4" t="n">
        <v>2</v>
      </c>
      <c r="G315" t="inlineStr">
        <is>
          <t>Tennis Nova Scotia</t>
        </is>
      </c>
      <c r="H315" t="inlineStr">
        <is>
          <t>Atlantic Tennis Centre</t>
        </is>
      </c>
      <c r="I315" t="n">
        <v>32.7</v>
      </c>
      <c r="J315" s="4" t="n">
        <v>23</v>
      </c>
      <c r="K315" t="inlineStr">
        <is>
          <t>12 / 11</t>
        </is>
      </c>
      <c r="L315" t="inlineStr">
        <is>
          <t>1 / 3</t>
        </is>
      </c>
      <c r="M315" s="5" t="n">
        <v>0.52</v>
      </c>
      <c r="N315" s="5" t="n">
        <v>0.25</v>
      </c>
    </row>
    <row r="316">
      <c r="A316" t="n">
        <v>315</v>
      </c>
      <c r="B316" t="n">
        <v>2014</v>
      </c>
      <c r="C316" t="inlineStr">
        <is>
          <t>Alaia Grace Serravalle</t>
        </is>
      </c>
      <c r="D316">
        <f>HYPERLINK("https://ota.tournamentsoftware.com/player-profile/EDBCEC0C-45DE-4DFD-B17A-C176B306FC97", "Link")</f>
        <v/>
      </c>
      <c r="E316" s="3" t="n">
        <v>215.068</v>
      </c>
      <c r="F316" s="4" t="n">
        <v>21</v>
      </c>
      <c r="G316" t="inlineStr">
        <is>
          <t>Ontario Tennis Association</t>
        </is>
      </c>
      <c r="H316" t="inlineStr">
        <is>
          <t>Youngs Sportsplex</t>
        </is>
      </c>
      <c r="I316" t="n">
        <v>34.1</v>
      </c>
      <c r="J316" s="4" t="n">
        <v>55</v>
      </c>
      <c r="K316" t="inlineStr">
        <is>
          <t>30 / 25</t>
        </is>
      </c>
      <c r="L316" t="inlineStr">
        <is>
          <t>18 / 16</t>
        </is>
      </c>
      <c r="M316" s="5" t="n">
        <v>0.55</v>
      </c>
      <c r="N316" s="5" t="n">
        <v>0.53</v>
      </c>
    </row>
    <row r="317">
      <c r="A317" t="n">
        <v>316</v>
      </c>
      <c r="B317" t="n">
        <v>2012</v>
      </c>
      <c r="C317" t="inlineStr">
        <is>
          <t>Stefaniia Petrova</t>
        </is>
      </c>
      <c r="D317">
        <f>HYPERLINK("https://ota.tournamentsoftware.com/player-profile/23727B96-731B-4DBB-9789-81399E2B9950", "Link")</f>
        <v/>
      </c>
      <c r="E317" s="3" t="n">
        <v>213.48</v>
      </c>
      <c r="F317" s="4" t="n">
        <v>4</v>
      </c>
      <c r="G317" t="inlineStr">
        <is>
          <t>Ontario Tennis Association</t>
        </is>
      </c>
      <c r="H317" t="inlineStr">
        <is>
          <t>No Club</t>
        </is>
      </c>
      <c r="I317" t="n">
        <v>28.7</v>
      </c>
      <c r="J317" s="4" t="n">
        <v>301</v>
      </c>
      <c r="K317" t="inlineStr">
        <is>
          <t>177 / 124</t>
        </is>
      </c>
      <c r="L317" t="inlineStr">
        <is>
          <t>0 / 0</t>
        </is>
      </c>
      <c r="M317" s="5" t="n">
        <v>0.59</v>
      </c>
      <c r="N317" s="5" t="n">
        <v>0</v>
      </c>
    </row>
    <row r="318">
      <c r="A318" t="n">
        <v>317</v>
      </c>
      <c r="B318" t="n">
        <v>2013</v>
      </c>
      <c r="C318" t="inlineStr">
        <is>
          <t>Léa Crépault</t>
        </is>
      </c>
      <c r="D318">
        <f>HYPERLINK("https://ota.tournamentsoftware.com/player-profile/A3D2A82D-C6E8-410C-A1B3-E5DC3B845B7A", "Link")</f>
        <v/>
      </c>
      <c r="E318" s="3" t="n">
        <v>213.316</v>
      </c>
      <c r="F318" s="4" t="n">
        <v>20</v>
      </c>
      <c r="G318" t="inlineStr">
        <is>
          <t>Tennis Québec</t>
        </is>
      </c>
      <c r="H318" t="inlineStr">
        <is>
          <t>EB Tennis inc.</t>
        </is>
      </c>
      <c r="I318" t="n">
        <v>34.4</v>
      </c>
      <c r="J318" s="4" t="n">
        <v>152</v>
      </c>
      <c r="K318" t="inlineStr">
        <is>
          <t>41 / 111</t>
        </is>
      </c>
      <c r="L318" t="inlineStr">
        <is>
          <t>5 / 12</t>
        </is>
      </c>
      <c r="M318" s="5" t="n">
        <v>0.27</v>
      </c>
      <c r="N318" s="5" t="n">
        <v>0.29</v>
      </c>
    </row>
    <row r="319">
      <c r="A319" t="n">
        <v>318</v>
      </c>
      <c r="B319" t="n">
        <v>2013</v>
      </c>
      <c r="C319" t="inlineStr">
        <is>
          <t>Annabelle Chen</t>
        </is>
      </c>
      <c r="D319">
        <f>HYPERLINK("https://ota.tournamentsoftware.com/player-profile/E532A343-867C-4B97-BCB3-998A28EC84A8", "Link")</f>
        <v/>
      </c>
      <c r="E319" s="3" t="n">
        <v>212.416</v>
      </c>
      <c r="F319" s="4" t="n">
        <v>9</v>
      </c>
      <c r="G319" t="inlineStr">
        <is>
          <t>British Columbia</t>
        </is>
      </c>
      <c r="H319" t="inlineStr">
        <is>
          <t>UBC Tennis Centre</t>
        </is>
      </c>
      <c r="I319" t="n">
        <v>32</v>
      </c>
      <c r="J319" s="4" t="n">
        <v>152</v>
      </c>
      <c r="K319" t="inlineStr">
        <is>
          <t>84 / 68</t>
        </is>
      </c>
      <c r="L319" t="inlineStr">
        <is>
          <t>0 / 4</t>
        </is>
      </c>
      <c r="M319" s="5" t="n">
        <v>0.55</v>
      </c>
      <c r="N319" s="5" t="n">
        <v>0</v>
      </c>
    </row>
    <row r="320">
      <c r="A320" t="n">
        <v>319</v>
      </c>
      <c r="B320" t="n">
        <v>2015</v>
      </c>
      <c r="C320" t="inlineStr">
        <is>
          <t>Kiyara Dinuli Hinidumarachchi</t>
        </is>
      </c>
      <c r="D320">
        <f>HYPERLINK("https://ota.tournamentsoftware.com/player-profile/FD2638E4-B06D-478E-9F5A-FE51B9EC8DF8", "Link")</f>
        <v/>
      </c>
      <c r="E320" s="3" t="n">
        <v>211.944</v>
      </c>
      <c r="F320" s="4" t="n">
        <v>18</v>
      </c>
      <c r="G320" t="inlineStr">
        <is>
          <t>Ontario Tennis Association</t>
        </is>
      </c>
      <c r="H320" t="inlineStr">
        <is>
          <t>Sarnia Tennis Club</t>
        </is>
      </c>
      <c r="I320" t="inlineStr">
        <is>
          <t>unavailable</t>
        </is>
      </c>
      <c r="J320" s="4" t="n">
        <v>153</v>
      </c>
      <c r="K320" t="inlineStr">
        <is>
          <t>94 / 59</t>
        </is>
      </c>
      <c r="L320" t="inlineStr">
        <is>
          <t>9 / 13</t>
        </is>
      </c>
      <c r="M320" s="5" t="n">
        <v>0.61</v>
      </c>
      <c r="N320" s="5" t="n">
        <v>0.41</v>
      </c>
    </row>
    <row r="321">
      <c r="A321" t="n">
        <v>320</v>
      </c>
      <c r="B321" t="n">
        <v>2012</v>
      </c>
      <c r="C321" t="inlineStr">
        <is>
          <t>GURMEHR KAUR</t>
        </is>
      </c>
      <c r="D321">
        <f>HYPERLINK("https://ota.tournamentsoftware.com/player-profile/2C69CAA6-FCC8-49BC-ACA2-32F5C15717ED", "Link")</f>
        <v/>
      </c>
      <c r="E321" s="3" t="n">
        <v>210.416</v>
      </c>
      <c r="F321" s="4" t="n">
        <v>21</v>
      </c>
      <c r="G321" t="inlineStr">
        <is>
          <t>British Columbia</t>
        </is>
      </c>
      <c r="H321" t="inlineStr">
        <is>
          <t>Newton Tennis Club</t>
        </is>
      </c>
      <c r="I321" t="n">
        <v>32.6</v>
      </c>
      <c r="J321" s="4" t="n">
        <v>177</v>
      </c>
      <c r="K321" t="inlineStr">
        <is>
          <t>77 / 100</t>
        </is>
      </c>
      <c r="L321" t="inlineStr">
        <is>
          <t>17 / 21</t>
        </is>
      </c>
      <c r="M321" s="5" t="n">
        <v>0.44</v>
      </c>
      <c r="N321" s="5" t="n">
        <v>0.45</v>
      </c>
    </row>
    <row r="322">
      <c r="A322" t="n">
        <v>321</v>
      </c>
      <c r="B322" t="n">
        <v>2014</v>
      </c>
      <c r="C322" t="inlineStr">
        <is>
          <t>Sarah Gottlieb</t>
        </is>
      </c>
      <c r="D322">
        <f>HYPERLINK("https://ota.tournamentsoftware.com/player-profile/BD51254A-E036-424C-B89A-FB47A73C0DC5", "Link")</f>
        <v/>
      </c>
      <c r="E322" s="3" t="n">
        <v>209.5</v>
      </c>
      <c r="F322" s="4" t="n">
        <v>6</v>
      </c>
      <c r="G322" t="inlineStr">
        <is>
          <t>Tennis Québec</t>
        </is>
      </c>
      <c r="H322" t="inlineStr">
        <is>
          <t>Tennis 13</t>
        </is>
      </c>
      <c r="I322" t="n">
        <v>33.5</v>
      </c>
      <c r="J322" s="4" t="n">
        <v>92</v>
      </c>
      <c r="K322" t="inlineStr">
        <is>
          <t>46 / 46</t>
        </is>
      </c>
      <c r="L322" t="inlineStr">
        <is>
          <t>1 / 2</t>
        </is>
      </c>
      <c r="M322" s="5" t="n">
        <v>0.5</v>
      </c>
      <c r="N322" s="5" t="n">
        <v>0.33</v>
      </c>
    </row>
    <row r="323">
      <c r="A323" t="n">
        <v>322</v>
      </c>
      <c r="B323" t="n">
        <v>2015</v>
      </c>
      <c r="C323" t="inlineStr">
        <is>
          <t>Sofia Twynam</t>
        </is>
      </c>
      <c r="D323">
        <f>HYPERLINK("https://ota.tournamentsoftware.com/player-profile/025F0929-F490-4440-8CB6-08E8D1F59F08", "Link")</f>
        <v/>
      </c>
      <c r="E323" s="3" t="n">
        <v>209.039</v>
      </c>
      <c r="F323" s="4" t="n">
        <v>16</v>
      </c>
      <c r="G323" t="inlineStr">
        <is>
          <t>Tennis Québec</t>
        </is>
      </c>
      <c r="H323" t="inlineStr">
        <is>
          <t>SANI Sport</t>
        </is>
      </c>
      <c r="I323" t="n">
        <v>32.2</v>
      </c>
      <c r="J323" s="4" t="n">
        <v>127</v>
      </c>
      <c r="K323" t="inlineStr">
        <is>
          <t>69 / 58</t>
        </is>
      </c>
      <c r="L323" t="inlineStr">
        <is>
          <t>14 / 15</t>
        </is>
      </c>
      <c r="M323" s="5" t="n">
        <v>0.54</v>
      </c>
      <c r="N323" s="5" t="n">
        <v>0.48</v>
      </c>
    </row>
    <row r="324">
      <c r="A324" t="n">
        <v>323</v>
      </c>
      <c r="B324" t="n">
        <v>2014</v>
      </c>
      <c r="C324" t="inlineStr">
        <is>
          <t>Esabel Liu</t>
        </is>
      </c>
      <c r="D324">
        <f>HYPERLINK("https://ota.tournamentsoftware.com/player-profile/03274A3B-556F-4321-880B-2AF255E6A817", "Link")</f>
        <v/>
      </c>
      <c r="E324" s="3" t="n">
        <v>208.86</v>
      </c>
      <c r="F324" s="4" t="n">
        <v>21</v>
      </c>
      <c r="G324" t="inlineStr">
        <is>
          <t>British Columbia</t>
        </is>
      </c>
      <c r="H324" t="inlineStr">
        <is>
          <t>North Vancouver Tennis Centre</t>
        </is>
      </c>
      <c r="I324" t="n">
        <v>30</v>
      </c>
      <c r="J324" s="4" t="n">
        <v>224</v>
      </c>
      <c r="K324" t="inlineStr">
        <is>
          <t>139 / 85</t>
        </is>
      </c>
      <c r="L324" t="inlineStr">
        <is>
          <t>31 / 19</t>
        </is>
      </c>
      <c r="M324" s="5" t="n">
        <v>0.62</v>
      </c>
      <c r="N324" s="5" t="n">
        <v>0.62</v>
      </c>
    </row>
    <row r="325">
      <c r="A325" t="n">
        <v>324</v>
      </c>
      <c r="B325" t="n">
        <v>2014</v>
      </c>
      <c r="C325" t="inlineStr">
        <is>
          <t>Vida Jeftic</t>
        </is>
      </c>
      <c r="D325">
        <f>HYPERLINK("https://ota.tournamentsoftware.com/player-profile/5A42C908-572E-4E42-A8CB-609FCF083DE9", "Link")</f>
        <v/>
      </c>
      <c r="E325" s="3" t="n">
        <v>206.56</v>
      </c>
      <c r="F325" s="4" t="n">
        <v>10</v>
      </c>
      <c r="G325" t="inlineStr">
        <is>
          <t>Ontario Tennis Association</t>
        </is>
      </c>
      <c r="H325" t="inlineStr">
        <is>
          <t>Parkside Tennis Club</t>
        </is>
      </c>
      <c r="I325" t="n">
        <v>30.9</v>
      </c>
      <c r="J325" s="4" t="n">
        <v>38</v>
      </c>
      <c r="K325" t="inlineStr">
        <is>
          <t>27 / 11</t>
        </is>
      </c>
      <c r="L325" t="inlineStr">
        <is>
          <t>11 / 4</t>
        </is>
      </c>
      <c r="M325" s="5" t="n">
        <v>0.71</v>
      </c>
      <c r="N325" s="5" t="n">
        <v>0.73</v>
      </c>
    </row>
    <row r="326">
      <c r="A326" t="n">
        <v>325</v>
      </c>
      <c r="B326" t="n">
        <v>2014</v>
      </c>
      <c r="C326" t="inlineStr">
        <is>
          <t>Alexandra Strgacic</t>
        </is>
      </c>
      <c r="D326">
        <f>HYPERLINK("https://ota.tournamentsoftware.com/player-profile/C809B120-C1B7-4F85-B411-257E3DC9B63B", "Link")</f>
        <v/>
      </c>
      <c r="E326" s="3" t="n">
        <v>205.183</v>
      </c>
      <c r="F326" s="4" t="n">
        <v>8</v>
      </c>
      <c r="G326" t="inlineStr">
        <is>
          <t>Ontario Tennis Association</t>
        </is>
      </c>
      <c r="H326" t="inlineStr">
        <is>
          <t>Advantage Tennis International at Veneto</t>
        </is>
      </c>
      <c r="I326" t="n">
        <v>33.5</v>
      </c>
      <c r="J326" s="4" t="n">
        <v>165</v>
      </c>
      <c r="K326" t="inlineStr">
        <is>
          <t>96 / 69</t>
        </is>
      </c>
      <c r="L326" t="inlineStr">
        <is>
          <t>3 / 5</t>
        </is>
      </c>
      <c r="M326" s="5" t="n">
        <v>0.58</v>
      </c>
      <c r="N326" s="5" t="n">
        <v>0.38</v>
      </c>
    </row>
    <row r="327">
      <c r="A327" t="n">
        <v>326</v>
      </c>
      <c r="B327" t="n">
        <v>2014</v>
      </c>
      <c r="C327" t="inlineStr">
        <is>
          <t>Freya Jiaxin He</t>
        </is>
      </c>
      <c r="D327">
        <f>HYPERLINK("https://ota.tournamentsoftware.com/player-profile/8C1C07F2-C769-4A85-8385-40B14C9CD709", "Link")</f>
        <v/>
      </c>
      <c r="E327" s="3" t="n">
        <v>203.592</v>
      </c>
      <c r="F327" s="4" t="n">
        <v>6</v>
      </c>
      <c r="G327" t="inlineStr">
        <is>
          <t>Tennis Prince Edward Island</t>
        </is>
      </c>
      <c r="H327" t="inlineStr">
        <is>
          <t>Charlottetown Recreation Tennis Group</t>
        </is>
      </c>
      <c r="I327" t="n">
        <v>32</v>
      </c>
      <c r="J327" s="4" t="n">
        <v>102</v>
      </c>
      <c r="K327" t="inlineStr">
        <is>
          <t>56 / 46</t>
        </is>
      </c>
      <c r="L327" t="inlineStr">
        <is>
          <t>17 / 7</t>
        </is>
      </c>
      <c r="M327" s="5" t="n">
        <v>0.55</v>
      </c>
      <c r="N327" s="5" t="n">
        <v>0.71</v>
      </c>
    </row>
    <row r="328">
      <c r="A328" t="n">
        <v>327</v>
      </c>
      <c r="B328" t="n">
        <v>2012</v>
      </c>
      <c r="C328" t="inlineStr">
        <is>
          <t>Victoria Trempe</t>
        </is>
      </c>
      <c r="D328">
        <f>HYPERLINK("https://ota.tournamentsoftware.com/player-profile/90EB2857-D907-47BD-ABB6-AAED21876912", "Link")</f>
        <v/>
      </c>
      <c r="E328" s="3" t="n">
        <v>203.573</v>
      </c>
      <c r="F328" s="4" t="n">
        <v>8</v>
      </c>
      <c r="G328" t="inlineStr">
        <is>
          <t>Tennis Québec</t>
        </is>
      </c>
      <c r="H328" t="inlineStr">
        <is>
          <t>Club Sportif Côte-de-Liesse</t>
        </is>
      </c>
      <c r="I328" t="n">
        <v>34</v>
      </c>
      <c r="J328" s="4" t="n">
        <v>122</v>
      </c>
      <c r="K328" t="inlineStr">
        <is>
          <t>45 / 77</t>
        </is>
      </c>
      <c r="L328" t="inlineStr">
        <is>
          <t>2 / 4</t>
        </is>
      </c>
      <c r="M328" s="5" t="n">
        <v>0.37</v>
      </c>
      <c r="N328" s="5" t="n">
        <v>0.33</v>
      </c>
    </row>
    <row r="329">
      <c r="A329" t="n">
        <v>328</v>
      </c>
      <c r="B329" t="n">
        <v>2014</v>
      </c>
      <c r="C329" t="inlineStr">
        <is>
          <t>Mila Alexandra Voros</t>
        </is>
      </c>
      <c r="D329">
        <f>HYPERLINK("https://ota.tournamentsoftware.com/player-profile/96155B79-5199-481D-8AF1-A174FA860401", "Link")</f>
        <v/>
      </c>
      <c r="E329" s="3" t="n">
        <v>203.548</v>
      </c>
      <c r="F329" s="4" t="n">
        <v>15</v>
      </c>
      <c r="G329" t="inlineStr">
        <is>
          <t>Ontario Tennis Association</t>
        </is>
      </c>
      <c r="H329" t="inlineStr">
        <is>
          <t>GSM Tennis Club</t>
        </is>
      </c>
      <c r="I329" t="n">
        <v>34.9</v>
      </c>
      <c r="J329" s="4" t="n">
        <v>134</v>
      </c>
      <c r="K329" t="inlineStr">
        <is>
          <t>58 / 76</t>
        </is>
      </c>
      <c r="L329" t="inlineStr">
        <is>
          <t>7 / 13</t>
        </is>
      </c>
      <c r="M329" s="5" t="n">
        <v>0.43</v>
      </c>
      <c r="N329" s="5" t="n">
        <v>0.35</v>
      </c>
    </row>
    <row r="330">
      <c r="A330" t="n">
        <v>329</v>
      </c>
      <c r="B330" t="n">
        <v>2015</v>
      </c>
      <c r="C330" t="inlineStr">
        <is>
          <t>Hannah D'Souza</t>
        </is>
      </c>
      <c r="D330">
        <f>HYPERLINK("https://ota.tournamentsoftware.com/player-profile/6516E6BE-4D11-4CDB-8F62-FFE106E8A899", "Link")</f>
        <v/>
      </c>
      <c r="E330" s="3" t="n">
        <v>202.773</v>
      </c>
      <c r="F330" s="4" t="n">
        <v>28</v>
      </c>
      <c r="G330" t="inlineStr">
        <is>
          <t>Ontario Tennis Association</t>
        </is>
      </c>
      <c r="H330" t="inlineStr">
        <is>
          <t>No Club</t>
        </is>
      </c>
      <c r="I330" t="n">
        <v>34.6</v>
      </c>
      <c r="J330" s="4" t="n">
        <v>150</v>
      </c>
      <c r="K330" t="inlineStr">
        <is>
          <t>59 / 91</t>
        </is>
      </c>
      <c r="L330" t="inlineStr">
        <is>
          <t>15 / 22</t>
        </is>
      </c>
      <c r="M330" s="5" t="n">
        <v>0.39</v>
      </c>
      <c r="N330" s="5" t="n">
        <v>0.41</v>
      </c>
    </row>
    <row r="331">
      <c r="A331" t="n">
        <v>330</v>
      </c>
      <c r="B331" t="n">
        <v>2012</v>
      </c>
      <c r="C331" t="inlineStr">
        <is>
          <t>Harsimran Kaur Sandhu</t>
        </is>
      </c>
      <c r="D331">
        <f>HYPERLINK("https://ota.tournamentsoftware.com/player-profile/10345BBC-2CC8-4DA1-AA88-2730495B6CB8", "Link")</f>
        <v/>
      </c>
      <c r="E331" s="3" t="n">
        <v>201.384</v>
      </c>
      <c r="F331" s="4" t="n">
        <v>23</v>
      </c>
      <c r="G331" t="inlineStr">
        <is>
          <t>Ontario Tennis Association</t>
        </is>
      </c>
      <c r="H331" t="inlineStr">
        <is>
          <t>Premier Racquet Clubs – Mississauga</t>
        </is>
      </c>
      <c r="I331" t="inlineStr">
        <is>
          <t>unavailable</t>
        </is>
      </c>
      <c r="J331" s="4" t="n">
        <v>98</v>
      </c>
      <c r="K331" t="inlineStr">
        <is>
          <t>43 / 55</t>
        </is>
      </c>
      <c r="L331" t="inlineStr">
        <is>
          <t>18 / 16</t>
        </is>
      </c>
      <c r="M331" s="5" t="n">
        <v>0.44</v>
      </c>
      <c r="N331" s="5" t="n">
        <v>0.53</v>
      </c>
    </row>
    <row r="332">
      <c r="A332" t="n">
        <v>331</v>
      </c>
      <c r="B332" t="n">
        <v>2015</v>
      </c>
      <c r="C332" t="inlineStr">
        <is>
          <t>Kayla Chevez</t>
        </is>
      </c>
      <c r="D332">
        <f>HYPERLINK("https://ota.tournamentsoftware.com/player-profile/EE941149-B269-44AA-A65B-D00099EE4086", "Link")</f>
        <v/>
      </c>
      <c r="E332" s="3" t="n">
        <v>201.354</v>
      </c>
      <c r="F332" s="4" t="n">
        <v>26</v>
      </c>
      <c r="G332" t="inlineStr">
        <is>
          <t>Tennis Québec</t>
        </is>
      </c>
      <c r="H332" t="inlineStr">
        <is>
          <t>Tennis Montréal Excellence</t>
        </is>
      </c>
      <c r="I332" t="n">
        <v>34.5</v>
      </c>
      <c r="J332" s="4" t="n">
        <v>140</v>
      </c>
      <c r="K332" t="inlineStr">
        <is>
          <t>69 / 71</t>
        </is>
      </c>
      <c r="L332" t="inlineStr">
        <is>
          <t>18 / 20</t>
        </is>
      </c>
      <c r="M332" s="5" t="n">
        <v>0.49</v>
      </c>
      <c r="N332" s="5" t="n">
        <v>0.47</v>
      </c>
    </row>
    <row r="333">
      <c r="A333" t="n">
        <v>332</v>
      </c>
      <c r="B333" t="n">
        <v>2014</v>
      </c>
      <c r="C333" t="inlineStr">
        <is>
          <t>Lana Kasumovic</t>
        </is>
      </c>
      <c r="D333">
        <f>HYPERLINK("https://ota.tournamentsoftware.com/player-profile/7F2BA85F-A3DF-40B8-9457-1DD55A7C11FB", "Link")</f>
        <v/>
      </c>
      <c r="E333" s="3" t="n">
        <v>200.268</v>
      </c>
      <c r="F333" s="4" t="n">
        <v>24</v>
      </c>
      <c r="G333" t="inlineStr">
        <is>
          <t>Ontario Tennis Association</t>
        </is>
      </c>
      <c r="H333" t="inlineStr">
        <is>
          <t>Rideau Sports Centre</t>
        </is>
      </c>
      <c r="I333" t="n">
        <v>34.1</v>
      </c>
      <c r="J333" s="4" t="n">
        <v>141</v>
      </c>
      <c r="K333" t="inlineStr">
        <is>
          <t>47 / 94</t>
        </is>
      </c>
      <c r="L333" t="inlineStr">
        <is>
          <t>21 / 19</t>
        </is>
      </c>
      <c r="M333" s="5" t="n">
        <v>0.33</v>
      </c>
      <c r="N333" s="5" t="n">
        <v>0.53</v>
      </c>
    </row>
    <row r="334">
      <c r="A334" t="n">
        <v>333</v>
      </c>
      <c r="B334" t="n">
        <v>2016</v>
      </c>
      <c r="C334" t="inlineStr">
        <is>
          <t>Minna TAN</t>
        </is>
      </c>
      <c r="D334">
        <f>HYPERLINK("https://ota.tournamentsoftware.com/player-profile/4830D271-776A-41F3-B5D9-B5D2EC272CB4", "Link")</f>
        <v/>
      </c>
      <c r="E334" s="3" t="n">
        <v>199.43</v>
      </c>
      <c r="F334" s="4" t="n">
        <v>9</v>
      </c>
      <c r="G334" t="inlineStr">
        <is>
          <t>Tennis Québec</t>
        </is>
      </c>
      <c r="H334" t="inlineStr">
        <is>
          <t>Tennis Ile- des- Soeurs</t>
        </is>
      </c>
      <c r="I334" t="n">
        <v>32.9</v>
      </c>
      <c r="J334" s="4" t="n">
        <v>81</v>
      </c>
      <c r="K334" t="inlineStr">
        <is>
          <t>49 / 32</t>
        </is>
      </c>
      <c r="L334" t="inlineStr">
        <is>
          <t>18 / 7</t>
        </is>
      </c>
      <c r="M334" s="5" t="n">
        <v>0.6</v>
      </c>
      <c r="N334" s="5" t="n">
        <v>0.72</v>
      </c>
    </row>
    <row r="335">
      <c r="A335" t="n">
        <v>334</v>
      </c>
      <c r="B335" t="n">
        <v>2013</v>
      </c>
      <c r="C335" t="inlineStr">
        <is>
          <t>Ana Sofia Prieto Echandia</t>
        </is>
      </c>
      <c r="D335">
        <f>HYPERLINK("https://ota.tournamentsoftware.com/player-profile/0A98F660-17C5-4374-B63C-9B5B0E183AF0", "Link")</f>
        <v/>
      </c>
      <c r="E335" s="3" t="n">
        <v>198.964</v>
      </c>
      <c r="F335" s="4" t="n">
        <v>8</v>
      </c>
      <c r="G335" t="inlineStr">
        <is>
          <t>Tennis Québec</t>
        </is>
      </c>
      <c r="H335" t="inlineStr">
        <is>
          <t>Tennis Ile- des- Soeurs</t>
        </is>
      </c>
      <c r="I335" t="n">
        <v>33.9</v>
      </c>
      <c r="J335" s="4" t="n">
        <v>33</v>
      </c>
      <c r="K335" t="inlineStr">
        <is>
          <t>19 / 14</t>
        </is>
      </c>
      <c r="L335" t="inlineStr">
        <is>
          <t>2 / 6</t>
        </is>
      </c>
      <c r="M335" s="5" t="n">
        <v>0.58</v>
      </c>
      <c r="N335" s="5" t="n">
        <v>0.25</v>
      </c>
    </row>
    <row r="336">
      <c r="A336" t="n">
        <v>335</v>
      </c>
      <c r="B336" t="n">
        <v>2014</v>
      </c>
      <c r="C336" t="inlineStr">
        <is>
          <t>Mariah Jorge-Eman</t>
        </is>
      </c>
      <c r="D336">
        <f>HYPERLINK("https://ota.tournamentsoftware.com/player-profile/B6887B12-5A2B-48B9-8A94-164305BBBBBE", "Link")</f>
        <v/>
      </c>
      <c r="E336" s="3" t="n">
        <v>198.746</v>
      </c>
      <c r="F336" s="4" t="n">
        <v>22</v>
      </c>
      <c r="G336" t="inlineStr">
        <is>
          <t>Ontario Tennis Association</t>
        </is>
      </c>
      <c r="H336" t="inlineStr">
        <is>
          <t>Premier Racquet Clubs – Mississauga</t>
        </is>
      </c>
      <c r="I336" t="n">
        <v>33.6</v>
      </c>
      <c r="J336" s="4" t="n">
        <v>102</v>
      </c>
      <c r="K336" t="inlineStr">
        <is>
          <t>48 / 54</t>
        </is>
      </c>
      <c r="L336" t="inlineStr">
        <is>
          <t>15 / 14</t>
        </is>
      </c>
      <c r="M336" s="5" t="n">
        <v>0.47</v>
      </c>
      <c r="N336" s="5" t="n">
        <v>0.52</v>
      </c>
    </row>
    <row r="337">
      <c r="A337" t="n">
        <v>336</v>
      </c>
      <c r="B337" t="n">
        <v>2016</v>
      </c>
      <c r="C337" t="inlineStr">
        <is>
          <t>Victoria Chang</t>
        </is>
      </c>
      <c r="D337">
        <f>HYPERLINK("https://ota.tournamentsoftware.com/player-profile/A391B4A7-44C6-4D9F-9A04-161A8B22E0C3", "Link")</f>
        <v/>
      </c>
      <c r="E337" s="3" t="n">
        <v>198.093</v>
      </c>
      <c r="F337" s="4" t="n">
        <v>14</v>
      </c>
      <c r="G337" t="inlineStr">
        <is>
          <t>Ontario Tennis Association</t>
        </is>
      </c>
      <c r="H337" t="inlineStr">
        <is>
          <t>Richmond Hill Country Club</t>
        </is>
      </c>
      <c r="I337" t="n">
        <v>32.2</v>
      </c>
      <c r="J337" s="4" t="n">
        <v>106</v>
      </c>
      <c r="K337" t="inlineStr">
        <is>
          <t>80 / 26</t>
        </is>
      </c>
      <c r="L337" t="inlineStr">
        <is>
          <t>32 / 10</t>
        </is>
      </c>
      <c r="M337" s="5" t="n">
        <v>0.75</v>
      </c>
      <c r="N337" s="5" t="n">
        <v>0.76</v>
      </c>
    </row>
    <row r="338">
      <c r="A338" t="n">
        <v>337</v>
      </c>
      <c r="B338" t="n">
        <v>2013</v>
      </c>
      <c r="C338" t="inlineStr">
        <is>
          <t>Eliza Willow Nguyen</t>
        </is>
      </c>
      <c r="D338">
        <f>HYPERLINK("https://ota.tournamentsoftware.com/player-profile/1A3AE60F-B4FB-4C4C-AE09-5D730884AC0A", "Link")</f>
        <v/>
      </c>
      <c r="E338" s="3" t="n">
        <v>198.067</v>
      </c>
      <c r="F338" s="4" t="n">
        <v>12</v>
      </c>
      <c r="G338" t="inlineStr">
        <is>
          <t>Tennis Alberta</t>
        </is>
      </c>
      <c r="H338" t="inlineStr">
        <is>
          <t>Saville Community Sports Centre</t>
        </is>
      </c>
      <c r="I338" t="n">
        <v>33.1</v>
      </c>
      <c r="J338" s="4" t="n">
        <v>143</v>
      </c>
      <c r="K338" t="inlineStr">
        <is>
          <t>66 / 77</t>
        </is>
      </c>
      <c r="L338" t="inlineStr">
        <is>
          <t>10 / 13</t>
        </is>
      </c>
      <c r="M338" s="5" t="n">
        <v>0.46</v>
      </c>
      <c r="N338" s="5" t="n">
        <v>0.43</v>
      </c>
    </row>
    <row r="339">
      <c r="A339" t="n">
        <v>338</v>
      </c>
      <c r="B339" t="n">
        <v>2014</v>
      </c>
      <c r="C339" t="inlineStr">
        <is>
          <t>Ella Meng</t>
        </is>
      </c>
      <c r="D339">
        <f>HYPERLINK("https://ota.tournamentsoftware.com/player-profile/B7EC0DBA-A6B8-49FA-A398-63ABEF8384E7", "Link")</f>
        <v/>
      </c>
      <c r="E339" s="3" t="n">
        <v>194.534</v>
      </c>
      <c r="F339" s="4" t="n">
        <v>12</v>
      </c>
      <c r="G339" t="inlineStr">
        <is>
          <t>Ontario Tennis Association</t>
        </is>
      </c>
      <c r="H339" t="inlineStr">
        <is>
          <t>Marilyn Redvers Tennis Club</t>
        </is>
      </c>
      <c r="I339" t="n">
        <v>34</v>
      </c>
      <c r="J339" s="4" t="n">
        <v>84</v>
      </c>
      <c r="K339" t="inlineStr">
        <is>
          <t>30 / 54</t>
        </is>
      </c>
      <c r="L339" t="inlineStr">
        <is>
          <t>11 / 12</t>
        </is>
      </c>
      <c r="M339" s="5" t="n">
        <v>0.36</v>
      </c>
      <c r="N339" s="5" t="n">
        <v>0.48</v>
      </c>
    </row>
    <row r="340">
      <c r="A340" t="n">
        <v>339</v>
      </c>
      <c r="B340" t="n">
        <v>2012</v>
      </c>
      <c r="C340" t="inlineStr">
        <is>
          <t>Carys Miles</t>
        </is>
      </c>
      <c r="D340">
        <f>HYPERLINK("https://ota.tournamentsoftware.com/player-profile/7FCFD8F6-5B52-4825-B8AA-B72BF77A3298", "Link")</f>
        <v/>
      </c>
      <c r="E340" s="3" t="n">
        <v>194.325</v>
      </c>
      <c r="F340" s="4" t="n">
        <v>15</v>
      </c>
      <c r="G340" t="inlineStr">
        <is>
          <t>Tennis Alberta</t>
        </is>
      </c>
      <c r="H340" t="inlineStr">
        <is>
          <t>Osten &amp; Victor Alberta Tennis Centre</t>
        </is>
      </c>
      <c r="I340" t="n">
        <v>31.1</v>
      </c>
      <c r="J340" s="4" t="n">
        <v>200</v>
      </c>
      <c r="K340" t="inlineStr">
        <is>
          <t>98 / 102</t>
        </is>
      </c>
      <c r="L340" t="inlineStr">
        <is>
          <t>4 / 9</t>
        </is>
      </c>
      <c r="M340" s="5" t="n">
        <v>0.49</v>
      </c>
      <c r="N340" s="5" t="n">
        <v>0.31</v>
      </c>
    </row>
    <row r="341">
      <c r="A341" t="n">
        <v>340</v>
      </c>
      <c r="B341" t="n">
        <v>2015</v>
      </c>
      <c r="C341" t="inlineStr">
        <is>
          <t>Emma Echeverri Vujicic</t>
        </is>
      </c>
      <c r="D341">
        <f>HYPERLINK("https://ota.tournamentsoftware.com/player-profile/644C3F8A-163C-4BEA-8EBD-9263F89347F9", "Link")</f>
        <v/>
      </c>
      <c r="E341" s="3" t="n">
        <v>194.237</v>
      </c>
      <c r="F341" s="4" t="n">
        <v>21</v>
      </c>
      <c r="G341" t="inlineStr">
        <is>
          <t>Ontario Tennis Association</t>
        </is>
      </c>
      <c r="H341" t="inlineStr">
        <is>
          <t>Mayfair West Fitness &amp; Racquet Club</t>
        </is>
      </c>
      <c r="I341" t="n">
        <v>33.8</v>
      </c>
      <c r="J341" s="4" t="n">
        <v>130</v>
      </c>
      <c r="K341" t="inlineStr">
        <is>
          <t>63 / 67</t>
        </is>
      </c>
      <c r="L341" t="inlineStr">
        <is>
          <t>24 / 13</t>
        </is>
      </c>
      <c r="M341" s="5" t="n">
        <v>0.48</v>
      </c>
      <c r="N341" s="5" t="n">
        <v>0.65</v>
      </c>
    </row>
    <row r="342">
      <c r="A342" t="n">
        <v>341</v>
      </c>
      <c r="B342" t="n">
        <v>2012</v>
      </c>
      <c r="C342" t="inlineStr">
        <is>
          <t>Gabrielle Siewe Meliatou</t>
        </is>
      </c>
      <c r="D342">
        <f>HYPERLINK("https://ota.tournamentsoftware.com/player-profile/7E53A46A-6CF0-4DB8-9382-FCE1966714A8", "Link")</f>
        <v/>
      </c>
      <c r="E342" s="3" t="n">
        <v>192.866</v>
      </c>
      <c r="F342" s="4" t="n">
        <v>19</v>
      </c>
      <c r="G342" t="inlineStr">
        <is>
          <t>Tennis Québec</t>
        </is>
      </c>
      <c r="H342" t="inlineStr">
        <is>
          <t>SANI Sport</t>
        </is>
      </c>
      <c r="I342" t="n">
        <v>35.5</v>
      </c>
      <c r="J342" s="4" t="n">
        <v>78</v>
      </c>
      <c r="K342" t="inlineStr">
        <is>
          <t>24 / 54</t>
        </is>
      </c>
      <c r="L342" t="inlineStr">
        <is>
          <t>5 / 11</t>
        </is>
      </c>
      <c r="M342" s="5" t="n">
        <v>0.31</v>
      </c>
      <c r="N342" s="5" t="n">
        <v>0.31</v>
      </c>
    </row>
    <row r="343">
      <c r="A343" t="n">
        <v>342</v>
      </c>
      <c r="B343" t="n">
        <v>2015</v>
      </c>
      <c r="C343" t="inlineStr">
        <is>
          <t>Olivia Ormandy</t>
        </is>
      </c>
      <c r="D343">
        <f>HYPERLINK("https://ota.tournamentsoftware.com/player-profile/C2722647-7EFC-4E85-B2ED-55E77949843B", "Link")</f>
        <v/>
      </c>
      <c r="E343" s="3" t="n">
        <v>190.2</v>
      </c>
      <c r="F343" s="4" t="n">
        <v>29</v>
      </c>
      <c r="G343" t="inlineStr">
        <is>
          <t>Tennis Québec</t>
        </is>
      </c>
      <c r="H343" t="inlineStr">
        <is>
          <t>Tennis Interclub Piedmont</t>
        </is>
      </c>
      <c r="I343" t="n">
        <v>33.2</v>
      </c>
      <c r="J343" s="4" t="n">
        <v>190</v>
      </c>
      <c r="K343" t="inlineStr">
        <is>
          <t>92 / 98</t>
        </is>
      </c>
      <c r="L343" t="inlineStr">
        <is>
          <t>20 / 24</t>
        </is>
      </c>
      <c r="M343" s="5" t="n">
        <v>0.48</v>
      </c>
      <c r="N343" s="5" t="n">
        <v>0.45</v>
      </c>
    </row>
    <row r="344">
      <c r="A344" t="n">
        <v>343</v>
      </c>
      <c r="B344" t="n">
        <v>2012</v>
      </c>
      <c r="C344" t="inlineStr">
        <is>
          <t>Sabrina Sajjad</t>
        </is>
      </c>
      <c r="D344">
        <f>HYPERLINK("https://ota.tournamentsoftware.com/player-profile/6C7EB560-0C6C-49E6-9B42-49009727ED3D", "Link")</f>
        <v/>
      </c>
      <c r="E344" s="3" t="n">
        <v>189.48</v>
      </c>
      <c r="F344" s="4" t="n">
        <v>15</v>
      </c>
      <c r="G344" t="inlineStr">
        <is>
          <t>Ontario Tennis Association</t>
        </is>
      </c>
      <c r="H344" t="inlineStr">
        <is>
          <t>No Club</t>
        </is>
      </c>
      <c r="I344" t="n">
        <v>33.8</v>
      </c>
      <c r="J344" s="4" t="n">
        <v>67</v>
      </c>
      <c r="K344" t="inlineStr">
        <is>
          <t>35 / 32</t>
        </is>
      </c>
      <c r="L344" t="inlineStr">
        <is>
          <t>8 / 8</t>
        </is>
      </c>
      <c r="M344" s="5" t="n">
        <v>0.52</v>
      </c>
      <c r="N344" s="5" t="n">
        <v>0.5</v>
      </c>
    </row>
    <row r="345">
      <c r="A345" t="n">
        <v>344</v>
      </c>
      <c r="B345" t="n">
        <v>2014</v>
      </c>
      <c r="C345" t="inlineStr">
        <is>
          <t>Payton Isabelle JOHNSTON</t>
        </is>
      </c>
      <c r="D345">
        <f>HYPERLINK("https://ota.tournamentsoftware.com/player-profile/30639279-6EB4-43A0-806A-9F7E6209EBA5", "Link")</f>
        <v/>
      </c>
      <c r="E345" s="3" t="n">
        <v>189.449</v>
      </c>
      <c r="F345" s="4" t="n">
        <v>12</v>
      </c>
      <c r="G345" t="inlineStr">
        <is>
          <t>Tennis Nova Scotia</t>
        </is>
      </c>
      <c r="H345" t="inlineStr">
        <is>
          <t>Gordon Hughes Tennis Club</t>
        </is>
      </c>
      <c r="I345" t="n">
        <v>34.3</v>
      </c>
      <c r="J345" s="4" t="n">
        <v>93</v>
      </c>
      <c r="K345" t="inlineStr">
        <is>
          <t>47 / 46</t>
        </is>
      </c>
      <c r="L345" t="inlineStr">
        <is>
          <t>16 / 20</t>
        </is>
      </c>
      <c r="M345" s="5" t="n">
        <v>0.51</v>
      </c>
      <c r="N345" s="5" t="n">
        <v>0.44</v>
      </c>
    </row>
    <row r="346">
      <c r="A346" t="n">
        <v>345</v>
      </c>
      <c r="B346" t="n">
        <v>2013</v>
      </c>
      <c r="C346" t="inlineStr">
        <is>
          <t>Ophélia Carbonneau</t>
        </is>
      </c>
      <c r="D346">
        <f>HYPERLINK("https://ota.tournamentsoftware.com/player-profile/8B592B8F-8B82-48EF-9CDD-0CBA40EBB412", "Link")</f>
        <v/>
      </c>
      <c r="E346" s="3" t="n">
        <v>188.358</v>
      </c>
      <c r="F346" s="4" t="n">
        <v>16</v>
      </c>
      <c r="G346" t="inlineStr">
        <is>
          <t>Tennis Québec</t>
        </is>
      </c>
      <c r="H346" t="inlineStr">
        <is>
          <t>Tennis Interclub Piedmont</t>
        </is>
      </c>
      <c r="I346" t="n">
        <v>36.4</v>
      </c>
      <c r="J346" s="4" t="n">
        <v>105</v>
      </c>
      <c r="K346" t="inlineStr">
        <is>
          <t>30 / 75</t>
        </is>
      </c>
      <c r="L346" t="inlineStr">
        <is>
          <t>6 / 12</t>
        </is>
      </c>
      <c r="M346" s="5" t="n">
        <v>0.29</v>
      </c>
      <c r="N346" s="5" t="n">
        <v>0.33</v>
      </c>
    </row>
    <row r="347">
      <c r="A347" t="n">
        <v>346</v>
      </c>
      <c r="B347" t="n">
        <v>2016</v>
      </c>
      <c r="C347" t="inlineStr">
        <is>
          <t>Emily Zheng</t>
        </is>
      </c>
      <c r="D347">
        <f>HYPERLINK("https://ota.tournamentsoftware.com/player-profile/6AB11A61-4852-4958-84E1-2773676D29C2", "Link")</f>
        <v/>
      </c>
      <c r="E347" s="3" t="n">
        <v>187.89</v>
      </c>
      <c r="F347" s="4" t="n">
        <v>29</v>
      </c>
      <c r="G347" t="inlineStr">
        <is>
          <t>Ontario Tennis Association</t>
        </is>
      </c>
      <c r="H347" t="inlineStr">
        <is>
          <t>Toronto Cricket Skating &amp; Curling</t>
        </is>
      </c>
      <c r="I347" t="n">
        <v>32.8</v>
      </c>
      <c r="J347" s="4" t="n">
        <v>106</v>
      </c>
      <c r="K347" t="inlineStr">
        <is>
          <t>43 / 63</t>
        </is>
      </c>
      <c r="L347" t="inlineStr">
        <is>
          <t>22 / 13</t>
        </is>
      </c>
      <c r="M347" s="5" t="n">
        <v>0.41</v>
      </c>
      <c r="N347" s="5" t="n">
        <v>0.63</v>
      </c>
    </row>
    <row r="348">
      <c r="A348" t="n">
        <v>347</v>
      </c>
      <c r="B348" t="n">
        <v>2012</v>
      </c>
      <c r="C348" t="inlineStr">
        <is>
          <t>Ruoyu Wang</t>
        </is>
      </c>
      <c r="D348">
        <f>HYPERLINK("https://ota.tournamentsoftware.com/player-profile/BF1A51BB-FF4F-417F-AE41-0914B75C7FF1", "Link")</f>
        <v/>
      </c>
      <c r="E348" s="3" t="n">
        <v>187.562</v>
      </c>
      <c r="F348" s="4" t="n">
        <v>12</v>
      </c>
      <c r="G348" t="inlineStr">
        <is>
          <t>Tennis Québec</t>
        </is>
      </c>
      <c r="H348" t="inlineStr">
        <is>
          <t>Tennis 13</t>
        </is>
      </c>
      <c r="I348" t="inlineStr">
        <is>
          <t>unavailable</t>
        </is>
      </c>
      <c r="J348" s="4" t="n">
        <v>19</v>
      </c>
      <c r="K348" t="inlineStr">
        <is>
          <t>5 / 14</t>
        </is>
      </c>
      <c r="L348" t="inlineStr">
        <is>
          <t>4 / 8</t>
        </is>
      </c>
      <c r="M348" s="5" t="n">
        <v>0.26</v>
      </c>
      <c r="N348" s="5" t="n">
        <v>0.33</v>
      </c>
    </row>
    <row r="349">
      <c r="A349" t="n">
        <v>348</v>
      </c>
      <c r="B349" t="n">
        <v>2012</v>
      </c>
      <c r="C349" t="inlineStr">
        <is>
          <t>Angelica Rose Spyrka</t>
        </is>
      </c>
      <c r="D349">
        <f>HYPERLINK("https://ota.tournamentsoftware.com/player-profile/7A8F99DB-3ADA-4FDB-AC08-5095AAF01985", "Link")</f>
        <v/>
      </c>
      <c r="E349" s="3" t="n">
        <v>186.118</v>
      </c>
      <c r="F349" s="4" t="n">
        <v>16</v>
      </c>
      <c r="G349" t="inlineStr">
        <is>
          <t>British Columbia</t>
        </is>
      </c>
      <c r="H349" t="inlineStr">
        <is>
          <t>Vanguard Tennis Academy</t>
        </is>
      </c>
      <c r="I349" t="n">
        <v>33.3</v>
      </c>
      <c r="J349" s="4" t="n">
        <v>74</v>
      </c>
      <c r="K349" t="inlineStr">
        <is>
          <t>32 / 42</t>
        </is>
      </c>
      <c r="L349" t="inlineStr">
        <is>
          <t>6 / 10</t>
        </is>
      </c>
      <c r="M349" s="5" t="n">
        <v>0.43</v>
      </c>
      <c r="N349" s="5" t="n">
        <v>0.38</v>
      </c>
    </row>
    <row r="350">
      <c r="A350" t="n">
        <v>349</v>
      </c>
      <c r="B350" t="n">
        <v>2013</v>
      </c>
      <c r="C350" t="inlineStr">
        <is>
          <t>Alysha Alexis</t>
        </is>
      </c>
      <c r="D350">
        <f>HYPERLINK("https://ota.tournamentsoftware.com/player-profile/42191CE6-0E1E-460D-80E0-9A7FF78DA6C6", "Link")</f>
        <v/>
      </c>
      <c r="E350" s="3" t="n">
        <v>185.03</v>
      </c>
      <c r="F350" s="4" t="n">
        <v>19</v>
      </c>
      <c r="G350" t="inlineStr">
        <is>
          <t>Tennis Québec</t>
        </is>
      </c>
      <c r="H350" t="inlineStr">
        <is>
          <t>Académie Tennis Momentum (club extérieur)</t>
        </is>
      </c>
      <c r="I350" t="n">
        <v>33.9</v>
      </c>
      <c r="J350" s="4" t="n">
        <v>68</v>
      </c>
      <c r="K350" t="inlineStr">
        <is>
          <t>32 / 36</t>
        </is>
      </c>
      <c r="L350" t="inlineStr">
        <is>
          <t>12 / 12</t>
        </is>
      </c>
      <c r="M350" s="5" t="n">
        <v>0.47</v>
      </c>
      <c r="N350" s="5" t="n">
        <v>0.5</v>
      </c>
    </row>
    <row r="351">
      <c r="A351" t="n">
        <v>350</v>
      </c>
      <c r="B351" t="n">
        <v>2014</v>
      </c>
      <c r="C351" t="inlineStr">
        <is>
          <t>Amelia Rogette Hinnawi</t>
        </is>
      </c>
      <c r="D351">
        <f>HYPERLINK("https://ota.tournamentsoftware.com/player-profile/1DADE780-E571-45F1-BC6D-21B72637C0B7", "Link")</f>
        <v/>
      </c>
      <c r="E351" s="3" t="n">
        <v>184.213</v>
      </c>
      <c r="F351" s="4" t="n">
        <v>23</v>
      </c>
      <c r="G351" t="inlineStr">
        <is>
          <t>Tennis Québec</t>
        </is>
      </c>
      <c r="H351" t="inlineStr">
        <is>
          <t>Tennis Ile- des- Soeurs</t>
        </is>
      </c>
      <c r="I351" t="inlineStr">
        <is>
          <t>unavailable</t>
        </is>
      </c>
      <c r="J351" s="4" t="n">
        <v>135</v>
      </c>
      <c r="K351" t="inlineStr">
        <is>
          <t>42 / 93</t>
        </is>
      </c>
      <c r="L351" t="inlineStr">
        <is>
          <t>12 / 21</t>
        </is>
      </c>
      <c r="M351" s="5" t="n">
        <v>0.31</v>
      </c>
      <c r="N351" s="5" t="n">
        <v>0.36</v>
      </c>
    </row>
    <row r="352">
      <c r="A352" t="n">
        <v>351</v>
      </c>
      <c r="B352" t="n">
        <v>2013</v>
      </c>
      <c r="C352" t="inlineStr">
        <is>
          <t>Victoria Pellerin</t>
        </is>
      </c>
      <c r="D352">
        <f>HYPERLINK("https://ota.tournamentsoftware.com/player-profile/097573BE-64EA-4951-9B1B-3779B5938722", "Link")</f>
        <v/>
      </c>
      <c r="E352" s="3" t="n">
        <v>181.263</v>
      </c>
      <c r="F352" s="4" t="n">
        <v>16</v>
      </c>
      <c r="G352" t="inlineStr">
        <is>
          <t>Tennis Québec</t>
        </is>
      </c>
      <c r="H352" t="inlineStr">
        <is>
          <t>Centre récréatif de Repentigny / Académie Tennis Momentum</t>
        </is>
      </c>
      <c r="I352" t="n">
        <v>36.6</v>
      </c>
      <c r="J352" s="4" t="n">
        <v>56</v>
      </c>
      <c r="K352" t="inlineStr">
        <is>
          <t>16 / 40</t>
        </is>
      </c>
      <c r="L352" t="inlineStr">
        <is>
          <t>4 / 12</t>
        </is>
      </c>
      <c r="M352" s="5" t="n">
        <v>0.29</v>
      </c>
      <c r="N352" s="5" t="n">
        <v>0.25</v>
      </c>
    </row>
    <row r="353">
      <c r="A353" t="n">
        <v>352</v>
      </c>
      <c r="B353" t="n">
        <v>2013</v>
      </c>
      <c r="C353" t="inlineStr">
        <is>
          <t>Sophie Pothel</t>
        </is>
      </c>
      <c r="D353">
        <f>HYPERLINK("https://ota.tournamentsoftware.com/player-profile/21DD6509-0C4D-4711-BEB0-DC2D198520FD", "Link")</f>
        <v/>
      </c>
      <c r="E353" s="3" t="n">
        <v>179.691</v>
      </c>
      <c r="F353" s="4" t="n">
        <v>13</v>
      </c>
      <c r="G353" t="inlineStr">
        <is>
          <t>Tennis Québec</t>
        </is>
      </c>
      <c r="H353" t="inlineStr">
        <is>
          <t>Tennis Ile- des- Soeurs</t>
        </is>
      </c>
      <c r="I353" t="inlineStr">
        <is>
          <t>unavailable</t>
        </is>
      </c>
      <c r="J353" s="4" t="n">
        <v>51</v>
      </c>
      <c r="K353" t="inlineStr">
        <is>
          <t>7 / 44</t>
        </is>
      </c>
      <c r="L353" t="inlineStr">
        <is>
          <t>2 / 12</t>
        </is>
      </c>
      <c r="M353" s="5" t="n">
        <v>0.14</v>
      </c>
      <c r="N353" s="5" t="n">
        <v>0.14</v>
      </c>
    </row>
    <row r="354">
      <c r="A354" t="n">
        <v>353</v>
      </c>
      <c r="B354" t="n">
        <v>2015</v>
      </c>
      <c r="C354" t="inlineStr">
        <is>
          <t>Jesi Myra Kumaran</t>
        </is>
      </c>
      <c r="D354">
        <f>HYPERLINK("https://ota.tournamentsoftware.com/player-profile/8DE19A2A-095B-4432-92FE-7CA64D28B7F1", "Link")</f>
        <v/>
      </c>
      <c r="E354" s="3" t="n">
        <v>179.454</v>
      </c>
      <c r="F354" s="4" t="n">
        <v>34</v>
      </c>
      <c r="G354" t="inlineStr">
        <is>
          <t>Ontario Tennis Association</t>
        </is>
      </c>
      <c r="H354" t="inlineStr">
        <is>
          <t>Valan Tennis Academy</t>
        </is>
      </c>
      <c r="I354" t="n">
        <v>36.7</v>
      </c>
      <c r="J354" s="4" t="n">
        <v>196</v>
      </c>
      <c r="K354" t="inlineStr">
        <is>
          <t>69 / 127</t>
        </is>
      </c>
      <c r="L354" t="inlineStr">
        <is>
          <t>15 / 30</t>
        </is>
      </c>
      <c r="M354" s="5" t="n">
        <v>0.35</v>
      </c>
      <c r="N354" s="5" t="n">
        <v>0.33</v>
      </c>
    </row>
    <row r="355">
      <c r="A355" t="n">
        <v>354</v>
      </c>
      <c r="B355" t="n">
        <v>2015</v>
      </c>
      <c r="C355" t="inlineStr">
        <is>
          <t>Brielle York</t>
        </is>
      </c>
      <c r="D355">
        <f>HYPERLINK("https://ota.tournamentsoftware.com/player-profile/C0B1A514-EDF7-4907-9E4D-D3B8C705EB1D", "Link")</f>
        <v/>
      </c>
      <c r="E355" s="3" t="n">
        <v>177.941</v>
      </c>
      <c r="F355" s="4" t="n">
        <v>16</v>
      </c>
      <c r="G355" t="inlineStr">
        <is>
          <t>Tennis Alberta</t>
        </is>
      </c>
      <c r="H355" t="inlineStr">
        <is>
          <t>Aforza</t>
        </is>
      </c>
      <c r="I355" t="n">
        <v>36.3</v>
      </c>
      <c r="J355" s="4" t="n">
        <v>144</v>
      </c>
      <c r="K355" t="inlineStr">
        <is>
          <t>68 / 76</t>
        </is>
      </c>
      <c r="L355" t="inlineStr">
        <is>
          <t>13 / 21</t>
        </is>
      </c>
      <c r="M355" s="5" t="n">
        <v>0.47</v>
      </c>
      <c r="N355" s="5" t="n">
        <v>0.38</v>
      </c>
    </row>
    <row r="356">
      <c r="A356" t="n">
        <v>355</v>
      </c>
      <c r="B356" t="n">
        <v>2012</v>
      </c>
      <c r="C356" t="inlineStr">
        <is>
          <t>Charlianne Grace Kiss</t>
        </is>
      </c>
      <c r="D356">
        <f>HYPERLINK("https://ota.tournamentsoftware.com/player-profile/09C918D2-187B-42AF-836D-E31A35062CB3", "Link")</f>
        <v/>
      </c>
      <c r="E356" s="3" t="n">
        <v>176.12</v>
      </c>
      <c r="F356" s="4" t="n">
        <v>10</v>
      </c>
      <c r="G356" t="inlineStr">
        <is>
          <t>Tennis Alberta</t>
        </is>
      </c>
      <c r="H356" t="inlineStr">
        <is>
          <t>Saville Community Sports Centre</t>
        </is>
      </c>
      <c r="I356" t="n">
        <v>35.9</v>
      </c>
      <c r="J356" s="4" t="n">
        <v>72</v>
      </c>
      <c r="K356" t="inlineStr">
        <is>
          <t>27 / 45</t>
        </is>
      </c>
      <c r="L356" t="inlineStr">
        <is>
          <t>9 / 15</t>
        </is>
      </c>
      <c r="M356" s="5" t="n">
        <v>0.38</v>
      </c>
      <c r="N356" s="5" t="n">
        <v>0.38</v>
      </c>
    </row>
    <row r="357">
      <c r="A357" t="n">
        <v>356</v>
      </c>
      <c r="B357" t="n">
        <v>2015</v>
      </c>
      <c r="C357" t="inlineStr">
        <is>
          <t>Kynarra Tayt Burthwright</t>
        </is>
      </c>
      <c r="D357">
        <f>HYPERLINK("https://ota.tournamentsoftware.com/player-profile/54340729-CFE8-4AE6-B072-4BD29664CBEC", "Link")</f>
        <v/>
      </c>
      <c r="E357" s="3" t="n">
        <v>175.793</v>
      </c>
      <c r="F357" s="4" t="n">
        <v>19</v>
      </c>
      <c r="G357" t="inlineStr">
        <is>
          <t>Ontario Tennis Association</t>
        </is>
      </c>
      <c r="H357" t="inlineStr">
        <is>
          <t>Newmarket Community Tennis Club</t>
        </is>
      </c>
      <c r="I357" t="n">
        <v>35.5</v>
      </c>
      <c r="J357" s="4" t="n">
        <v>116</v>
      </c>
      <c r="K357" t="inlineStr">
        <is>
          <t>60 / 56</t>
        </is>
      </c>
      <c r="L357" t="inlineStr">
        <is>
          <t>23 / 23</t>
        </is>
      </c>
      <c r="M357" s="5" t="n">
        <v>0.52</v>
      </c>
      <c r="N357" s="5" t="n">
        <v>0.5</v>
      </c>
    </row>
    <row r="358">
      <c r="A358" t="n">
        <v>357</v>
      </c>
      <c r="B358" t="n">
        <v>2014</v>
      </c>
      <c r="C358" t="inlineStr">
        <is>
          <t>Nadia Stuparyk</t>
        </is>
      </c>
      <c r="D358">
        <f>HYPERLINK("https://ota.tournamentsoftware.com/player-profile/05ABA68F-2EB2-4BFB-B6CA-677BDD1DCDCA", "Link")</f>
        <v/>
      </c>
      <c r="E358" s="3" t="n">
        <v>173.522</v>
      </c>
      <c r="F358" s="4" t="n">
        <v>34</v>
      </c>
      <c r="G358" t="inlineStr">
        <is>
          <t>Ontario Tennis Association</t>
        </is>
      </c>
      <c r="H358" t="inlineStr">
        <is>
          <t>Parkside Tennis Club</t>
        </is>
      </c>
      <c r="I358" t="n">
        <v>33</v>
      </c>
      <c r="J358" s="4" t="n">
        <v>181</v>
      </c>
      <c r="K358" t="inlineStr">
        <is>
          <t>86 / 95</t>
        </is>
      </c>
      <c r="L358" t="inlineStr">
        <is>
          <t>21 / 19</t>
        </is>
      </c>
      <c r="M358" s="5" t="n">
        <v>0.48</v>
      </c>
      <c r="N358" s="5" t="n">
        <v>0.53</v>
      </c>
    </row>
    <row r="359">
      <c r="A359" t="n">
        <v>358</v>
      </c>
      <c r="B359" t="n">
        <v>2015</v>
      </c>
      <c r="C359" t="inlineStr">
        <is>
          <t>Isla J Green</t>
        </is>
      </c>
      <c r="D359">
        <f>HYPERLINK("https://ota.tournamentsoftware.com/player-profile/B2E098BE-DB7E-4756-BD31-93298500E09D", "Link")</f>
        <v/>
      </c>
      <c r="E359" s="3" t="n">
        <v>173.154</v>
      </c>
      <c r="F359" s="4" t="n">
        <v>22</v>
      </c>
      <c r="G359" t="inlineStr">
        <is>
          <t>Ontario Tennis Association</t>
        </is>
      </c>
      <c r="H359" t="inlineStr">
        <is>
          <t>Advantage Tennis International at Veneto</t>
        </is>
      </c>
      <c r="I359" t="n">
        <v>31.9</v>
      </c>
      <c r="J359" s="4" t="n">
        <v>233</v>
      </c>
      <c r="K359" t="inlineStr">
        <is>
          <t>156 / 77</t>
        </is>
      </c>
      <c r="L359" t="inlineStr">
        <is>
          <t>29 / 14</t>
        </is>
      </c>
      <c r="M359" s="5" t="n">
        <v>0.67</v>
      </c>
      <c r="N359" s="5" t="n">
        <v>0.67</v>
      </c>
    </row>
    <row r="360">
      <c r="A360" t="n">
        <v>359</v>
      </c>
      <c r="B360" t="n">
        <v>2012</v>
      </c>
      <c r="C360" t="inlineStr">
        <is>
          <t>Riley Lynn Banath</t>
        </is>
      </c>
      <c r="D360">
        <f>HYPERLINK("https://ota.tournamentsoftware.com/player-profile/4B613A1C-293C-4701-B6BA-BEC5F8EBDA29", "Link")</f>
        <v/>
      </c>
      <c r="E360" s="3" t="n">
        <v>173.105</v>
      </c>
      <c r="F360" s="4" t="n">
        <v>13</v>
      </c>
      <c r="G360" t="inlineStr">
        <is>
          <t>British Columbia</t>
        </is>
      </c>
      <c r="H360" t="inlineStr">
        <is>
          <t>Arbutus Club</t>
        </is>
      </c>
      <c r="I360" t="n">
        <v>37.4</v>
      </c>
      <c r="J360" s="4" t="n">
        <v>44</v>
      </c>
      <c r="K360" t="inlineStr">
        <is>
          <t>9 / 35</t>
        </is>
      </c>
      <c r="L360" t="inlineStr">
        <is>
          <t>5 / 20</t>
        </is>
      </c>
      <c r="M360" s="5" t="n">
        <v>0.2</v>
      </c>
      <c r="N360" s="5" t="n">
        <v>0.2</v>
      </c>
    </row>
    <row r="361">
      <c r="A361" t="n">
        <v>360</v>
      </c>
      <c r="B361" t="n">
        <v>2012</v>
      </c>
      <c r="C361" t="inlineStr">
        <is>
          <t>Amelia Jee</t>
        </is>
      </c>
      <c r="D361">
        <f>HYPERLINK("https://ota.tournamentsoftware.com/player-profile/485EA829-3893-4703-AF9A-1CF8D304CE5D", "Link")</f>
        <v/>
      </c>
      <c r="E361" s="3" t="n">
        <v>173.084</v>
      </c>
      <c r="F361" s="4" t="n">
        <v>13</v>
      </c>
      <c r="G361" t="inlineStr">
        <is>
          <t>Ontario Tennis Association</t>
        </is>
      </c>
      <c r="H361" t="inlineStr">
        <is>
          <t>Toronto Cricket Skating &amp; Curling</t>
        </is>
      </c>
      <c r="I361" t="n">
        <v>32.8</v>
      </c>
      <c r="J361" s="4" t="n">
        <v>123</v>
      </c>
      <c r="K361" t="inlineStr">
        <is>
          <t>52 / 71</t>
        </is>
      </c>
      <c r="L361" t="inlineStr">
        <is>
          <t>10 / 12</t>
        </is>
      </c>
      <c r="M361" s="5" t="n">
        <v>0.42</v>
      </c>
      <c r="N361" s="5" t="n">
        <v>0.45</v>
      </c>
    </row>
    <row r="362">
      <c r="A362" t="n">
        <v>361</v>
      </c>
      <c r="B362" t="n">
        <v>2016</v>
      </c>
      <c r="C362" t="inlineStr">
        <is>
          <t>Tanishka Varishtha Tripathi</t>
        </is>
      </c>
      <c r="D362">
        <f>HYPERLINK("https://ota.tournamentsoftware.com/player-profile/C966D3AB-F944-4405-A712-C5FA591776A1", "Link")</f>
        <v/>
      </c>
      <c r="E362" s="3" t="n">
        <v>172.289</v>
      </c>
      <c r="F362" s="4" t="n">
        <v>12</v>
      </c>
      <c r="G362" t="inlineStr">
        <is>
          <t>Ontario Tennis Association</t>
        </is>
      </c>
      <c r="H362" t="inlineStr">
        <is>
          <t>Tennis Outaouais Performance (TOP) ON</t>
        </is>
      </c>
      <c r="I362" t="n">
        <v>32.8</v>
      </c>
      <c r="J362" s="4" t="n">
        <v>136</v>
      </c>
      <c r="K362" t="inlineStr">
        <is>
          <t>97 / 39</t>
        </is>
      </c>
      <c r="L362" t="inlineStr">
        <is>
          <t>20 / 12</t>
        </is>
      </c>
      <c r="M362" s="5" t="n">
        <v>0.71</v>
      </c>
      <c r="N362" s="5" t="n">
        <v>0.62</v>
      </c>
    </row>
    <row r="363">
      <c r="A363" t="n">
        <v>362</v>
      </c>
      <c r="B363" t="n">
        <v>2013</v>
      </c>
      <c r="C363" t="inlineStr">
        <is>
          <t>Alice Laganière</t>
        </is>
      </c>
      <c r="D363">
        <f>HYPERLINK("https://ota.tournamentsoftware.com/player-profile/C9532D29-EE9A-4084-ACB5-2DBCAD4DF862", "Link")</f>
        <v/>
      </c>
      <c r="E363" s="3" t="n">
        <v>171.17</v>
      </c>
      <c r="F363" s="4" t="n">
        <v>10</v>
      </c>
      <c r="G363" t="inlineStr">
        <is>
          <t>Tennis Québec</t>
        </is>
      </c>
      <c r="H363" t="inlineStr">
        <is>
          <t>Club de tennis intérieur Saguenay / École de tennis Delisle-Poirel</t>
        </is>
      </c>
      <c r="I363" t="n">
        <v>35.4</v>
      </c>
      <c r="J363" s="4" t="n">
        <v>39</v>
      </c>
      <c r="K363" t="inlineStr">
        <is>
          <t>13 / 26</t>
        </is>
      </c>
      <c r="L363" t="inlineStr">
        <is>
          <t>1 / 6</t>
        </is>
      </c>
      <c r="M363" s="5" t="n">
        <v>0.33</v>
      </c>
      <c r="N363" s="5" t="n">
        <v>0.14</v>
      </c>
    </row>
    <row r="364">
      <c r="A364" t="n">
        <v>363</v>
      </c>
      <c r="B364" t="n">
        <v>2015</v>
      </c>
      <c r="C364" t="inlineStr">
        <is>
          <t>Ruichu Rachel Piao</t>
        </is>
      </c>
      <c r="D364">
        <f>HYPERLINK("https://ota.tournamentsoftware.com/player-profile/13F65932-C96D-4F89-B571-4AA7315B2EEB", "Link")</f>
        <v/>
      </c>
      <c r="E364" s="3" t="n">
        <v>170.967</v>
      </c>
      <c r="F364" s="4" t="n">
        <v>14</v>
      </c>
      <c r="G364" t="inlineStr">
        <is>
          <t>Tennis Québec</t>
        </is>
      </c>
      <c r="H364" t="inlineStr">
        <is>
          <t>Tennis Ile- des- Soeurs</t>
        </is>
      </c>
      <c r="I364" t="inlineStr">
        <is>
          <t>unavailable</t>
        </is>
      </c>
      <c r="J364" s="4" t="n">
        <v>74</v>
      </c>
      <c r="K364" t="inlineStr">
        <is>
          <t>34 / 40</t>
        </is>
      </c>
      <c r="L364" t="inlineStr">
        <is>
          <t>7 / 12</t>
        </is>
      </c>
      <c r="M364" s="5" t="n">
        <v>0.46</v>
      </c>
      <c r="N364" s="5" t="n">
        <v>0.37</v>
      </c>
    </row>
    <row r="365">
      <c r="A365" t="n">
        <v>364</v>
      </c>
      <c r="B365" t="n">
        <v>2016</v>
      </c>
      <c r="C365" t="inlineStr">
        <is>
          <t>Dorothy Ning</t>
        </is>
      </c>
      <c r="D365">
        <f>HYPERLINK("https://ota.tournamentsoftware.com/player-profile/15BEDAE4-AB73-4AE9-B466-BA81BCA77DB1", "Link")</f>
        <v/>
      </c>
      <c r="E365" s="3" t="n">
        <v>170.72</v>
      </c>
      <c r="F365" s="4" t="n">
        <v>21</v>
      </c>
      <c r="G365" t="inlineStr">
        <is>
          <t>Ontario Tennis Association</t>
        </is>
      </c>
      <c r="H365" t="inlineStr">
        <is>
          <t>Toronto Tennis Academy</t>
        </is>
      </c>
      <c r="I365" t="inlineStr">
        <is>
          <t>unavailable</t>
        </is>
      </c>
      <c r="J365" s="4" t="n">
        <v>149</v>
      </c>
      <c r="K365" t="inlineStr">
        <is>
          <t>80 / 69</t>
        </is>
      </c>
      <c r="L365" t="inlineStr">
        <is>
          <t>21 / 14</t>
        </is>
      </c>
      <c r="M365" s="5" t="n">
        <v>0.54</v>
      </c>
      <c r="N365" s="5" t="n">
        <v>0.6</v>
      </c>
    </row>
    <row r="366">
      <c r="A366" t="n">
        <v>365</v>
      </c>
      <c r="B366" t="n">
        <v>2015</v>
      </c>
      <c r="C366" t="inlineStr">
        <is>
          <t>Adelaide Mossop</t>
        </is>
      </c>
      <c r="D366">
        <f>HYPERLINK("https://ota.tournamentsoftware.com/player-profile/0BA4F4DB-3133-41DE-9EE3-39EB4A609399", "Link")</f>
        <v/>
      </c>
      <c r="E366" s="3" t="n">
        <v>170.614</v>
      </c>
      <c r="F366" s="4" t="n">
        <v>12</v>
      </c>
      <c r="G366" t="inlineStr">
        <is>
          <t>Tennis Nova Scotia</t>
        </is>
      </c>
      <c r="H366" t="inlineStr">
        <is>
          <t>Atlantic Tennis Centre</t>
        </is>
      </c>
      <c r="I366" t="n">
        <v>35.9</v>
      </c>
      <c r="J366" s="4" t="n">
        <v>162</v>
      </c>
      <c r="K366" t="inlineStr">
        <is>
          <t>65 / 97</t>
        </is>
      </c>
      <c r="L366" t="inlineStr">
        <is>
          <t>14 / 24</t>
        </is>
      </c>
      <c r="M366" s="5" t="n">
        <v>0.4</v>
      </c>
      <c r="N366" s="5" t="n">
        <v>0.37</v>
      </c>
    </row>
    <row r="367">
      <c r="A367" t="n">
        <v>366</v>
      </c>
      <c r="B367" t="n">
        <v>2013</v>
      </c>
      <c r="C367" t="inlineStr">
        <is>
          <t>Nisa Karim</t>
        </is>
      </c>
      <c r="D367">
        <f>HYPERLINK("https://ota.tournamentsoftware.com/player-profile/11CB5752-5D45-47AB-82AD-AC3D554873E5", "Link")</f>
        <v/>
      </c>
      <c r="E367" s="3" t="n">
        <v>168.671</v>
      </c>
      <c r="F367" s="4" t="n">
        <v>15</v>
      </c>
      <c r="G367" t="inlineStr">
        <is>
          <t>British Columbia</t>
        </is>
      </c>
      <c r="H367" t="inlineStr">
        <is>
          <t>Arbutus Club</t>
        </is>
      </c>
      <c r="I367" t="n">
        <v>34.3</v>
      </c>
      <c r="J367" s="4" t="n">
        <v>90</v>
      </c>
      <c r="K367" t="inlineStr">
        <is>
          <t>48 / 42</t>
        </is>
      </c>
      <c r="L367" t="inlineStr">
        <is>
          <t>14 / 16</t>
        </is>
      </c>
      <c r="M367" s="5" t="n">
        <v>0.53</v>
      </c>
      <c r="N367" s="5" t="n">
        <v>0.47</v>
      </c>
    </row>
    <row r="368">
      <c r="A368" t="n">
        <v>367</v>
      </c>
      <c r="B368" t="n">
        <v>2012</v>
      </c>
      <c r="C368" t="inlineStr">
        <is>
          <t>Mavis Li</t>
        </is>
      </c>
      <c r="D368">
        <f>HYPERLINK("https://ota.tournamentsoftware.com/player-profile/FC8D1AE6-D9A0-409A-A095-1B2C12EDB359", "Link")</f>
        <v/>
      </c>
      <c r="E368" s="3" t="n">
        <v>168.577</v>
      </c>
      <c r="F368" s="4" t="n">
        <v>20</v>
      </c>
      <c r="G368" t="inlineStr">
        <is>
          <t>Ontario Tennis Association</t>
        </is>
      </c>
      <c r="H368" t="inlineStr">
        <is>
          <t>Blackmore Tennis Club</t>
        </is>
      </c>
      <c r="I368" t="n">
        <v>36.5</v>
      </c>
      <c r="J368" s="4" t="n">
        <v>61</v>
      </c>
      <c r="K368" t="inlineStr">
        <is>
          <t>22 / 39</t>
        </is>
      </c>
      <c r="L368" t="inlineStr">
        <is>
          <t>7 / 22</t>
        </is>
      </c>
      <c r="M368" s="5" t="n">
        <v>0.36</v>
      </c>
      <c r="N368" s="5" t="n">
        <v>0.24</v>
      </c>
    </row>
    <row r="369">
      <c r="A369" t="n">
        <v>368</v>
      </c>
      <c r="B369" t="n">
        <v>2012</v>
      </c>
      <c r="C369" t="inlineStr">
        <is>
          <t>Sophia Hamel</t>
        </is>
      </c>
      <c r="D369">
        <f>HYPERLINK("https://ota.tournamentsoftware.com/player-profile/D6C2A4EC-5F86-459B-A81E-7C31F47AD78D", "Link")</f>
        <v/>
      </c>
      <c r="E369" s="3" t="n">
        <v>168.019</v>
      </c>
      <c r="F369" s="4" t="n">
        <v>10</v>
      </c>
      <c r="G369" t="inlineStr">
        <is>
          <t>Tennis Québec</t>
        </is>
      </c>
      <c r="H369" t="inlineStr">
        <is>
          <t>Rouge et Or - Université Laval</t>
        </is>
      </c>
      <c r="I369" t="n">
        <v>35</v>
      </c>
      <c r="J369" s="4" t="n">
        <v>71</v>
      </c>
      <c r="K369" t="inlineStr">
        <is>
          <t>15 / 56</t>
        </is>
      </c>
      <c r="L369" t="inlineStr">
        <is>
          <t>6 / 11</t>
        </is>
      </c>
      <c r="M369" s="5" t="n">
        <v>0.21</v>
      </c>
      <c r="N369" s="5" t="n">
        <v>0.35</v>
      </c>
    </row>
    <row r="370">
      <c r="A370" t="n">
        <v>369</v>
      </c>
      <c r="B370" t="n">
        <v>2015</v>
      </c>
      <c r="C370" t="inlineStr">
        <is>
          <t>Nora Firoozi</t>
        </is>
      </c>
      <c r="D370">
        <f>HYPERLINK("https://ota.tournamentsoftware.com/player-profile/328F4CA8-B72D-4F94-9BB6-3F666B5E0706", "Link")</f>
        <v/>
      </c>
      <c r="E370" s="3" t="n">
        <v>167.643</v>
      </c>
      <c r="F370" s="4" t="n">
        <v>18</v>
      </c>
      <c r="G370" t="inlineStr">
        <is>
          <t>British Columbia</t>
        </is>
      </c>
      <c r="H370" t="inlineStr">
        <is>
          <t>North Vancouver Tennis Centre</t>
        </is>
      </c>
      <c r="I370" t="n">
        <v>33.5</v>
      </c>
      <c r="J370" s="4" t="n">
        <v>165</v>
      </c>
      <c r="K370" t="inlineStr">
        <is>
          <t>81 / 84</t>
        </is>
      </c>
      <c r="L370" t="inlineStr">
        <is>
          <t>15 / 18</t>
        </is>
      </c>
      <c r="M370" s="5" t="n">
        <v>0.49</v>
      </c>
      <c r="N370" s="5" t="n">
        <v>0.45</v>
      </c>
    </row>
    <row r="371">
      <c r="A371" t="n">
        <v>370</v>
      </c>
      <c r="B371" t="n">
        <v>2014</v>
      </c>
      <c r="C371" t="inlineStr">
        <is>
          <t>Hunter Anne Wilkinson</t>
        </is>
      </c>
      <c r="D371">
        <f>HYPERLINK("https://ota.tournamentsoftware.com/player-profile/EB893DF0-DCAD-49C8-BAB9-0D044090A656", "Link")</f>
        <v/>
      </c>
      <c r="E371" s="3" t="n">
        <v>167.587</v>
      </c>
      <c r="F371" s="4" t="n">
        <v>20</v>
      </c>
      <c r="G371" t="inlineStr">
        <is>
          <t>Ontario Tennis Association</t>
        </is>
      </c>
      <c r="H371" t="inlineStr">
        <is>
          <t>GSM Tennis Club</t>
        </is>
      </c>
      <c r="I371" t="n">
        <v>34.2</v>
      </c>
      <c r="J371" s="4" t="n">
        <v>182</v>
      </c>
      <c r="K371" t="inlineStr">
        <is>
          <t>87 / 95</t>
        </is>
      </c>
      <c r="L371" t="inlineStr">
        <is>
          <t>10 / 12</t>
        </is>
      </c>
      <c r="M371" s="5" t="n">
        <v>0.48</v>
      </c>
      <c r="N371" s="5" t="n">
        <v>0.45</v>
      </c>
    </row>
    <row r="372">
      <c r="A372" t="n">
        <v>371</v>
      </c>
      <c r="B372" t="n">
        <v>2012</v>
      </c>
      <c r="C372" t="inlineStr">
        <is>
          <t>Naomi Lucy McCrank</t>
        </is>
      </c>
      <c r="D372">
        <f>HYPERLINK("https://ota.tournamentsoftware.com/player-profile/68E80EA0-3999-4449-8E0B-83CC30E1EF77", "Link")</f>
        <v/>
      </c>
      <c r="E372" s="3" t="n">
        <v>166.417</v>
      </c>
      <c r="F372" s="4" t="n">
        <v>15</v>
      </c>
      <c r="G372" t="inlineStr">
        <is>
          <t>Tennis Alberta</t>
        </is>
      </c>
      <c r="H372" t="inlineStr">
        <is>
          <t>Aforza</t>
        </is>
      </c>
      <c r="I372" t="n">
        <v>33.5</v>
      </c>
      <c r="J372" s="4" t="n">
        <v>80</v>
      </c>
      <c r="K372" t="inlineStr">
        <is>
          <t>24 / 56</t>
        </is>
      </c>
      <c r="L372" t="inlineStr">
        <is>
          <t>8 / 11</t>
        </is>
      </c>
      <c r="M372" s="5" t="n">
        <v>0.3</v>
      </c>
      <c r="N372" s="5" t="n">
        <v>0.42</v>
      </c>
    </row>
    <row r="373">
      <c r="A373" t="n">
        <v>372</v>
      </c>
      <c r="B373" t="n">
        <v>2014</v>
      </c>
      <c r="C373" t="inlineStr">
        <is>
          <t>Sahana Bath</t>
        </is>
      </c>
      <c r="D373">
        <f>HYPERLINK("https://ota.tournamentsoftware.com/player-profile/25E19F82-227F-4B69-8295-16AA8F4F207F", "Link")</f>
        <v/>
      </c>
      <c r="E373" s="3" t="n">
        <v>166.164</v>
      </c>
      <c r="F373" s="4" t="n">
        <v>22</v>
      </c>
      <c r="G373" t="inlineStr">
        <is>
          <t>British Columbia</t>
        </is>
      </c>
      <c r="H373" t="inlineStr">
        <is>
          <t>The Tennis Centre</t>
        </is>
      </c>
      <c r="I373" t="n">
        <v>32.4</v>
      </c>
      <c r="J373" s="4" t="n">
        <v>169</v>
      </c>
      <c r="K373" t="inlineStr">
        <is>
          <t>97 / 72</t>
        </is>
      </c>
      <c r="L373" t="inlineStr">
        <is>
          <t>42 / 19</t>
        </is>
      </c>
      <c r="M373" s="5" t="n">
        <v>0.57</v>
      </c>
      <c r="N373" s="5" t="n">
        <v>0.6899999999999999</v>
      </c>
    </row>
    <row r="374">
      <c r="A374" t="n">
        <v>373</v>
      </c>
      <c r="B374" t="n">
        <v>2014</v>
      </c>
      <c r="C374" t="inlineStr">
        <is>
          <t>Grace Li</t>
        </is>
      </c>
      <c r="D374">
        <f>HYPERLINK("https://ota.tournamentsoftware.com/player-profile/5B95D38D-7E3D-4B41-B418-6B2307ED0863", "Link")</f>
        <v/>
      </c>
      <c r="E374" s="3" t="n">
        <v>166.105</v>
      </c>
      <c r="F374" s="4" t="n">
        <v>19</v>
      </c>
      <c r="G374" t="inlineStr">
        <is>
          <t>Tennis Québec</t>
        </is>
      </c>
      <c r="H374" t="inlineStr">
        <is>
          <t>Tennis 13</t>
        </is>
      </c>
      <c r="I374" t="n">
        <v>35.1</v>
      </c>
      <c r="J374" s="4" t="n">
        <v>165</v>
      </c>
      <c r="K374" t="inlineStr">
        <is>
          <t>71 / 94</t>
        </is>
      </c>
      <c r="L374" t="inlineStr">
        <is>
          <t>7 / 13</t>
        </is>
      </c>
      <c r="M374" s="5" t="n">
        <v>0.43</v>
      </c>
      <c r="N374" s="5" t="n">
        <v>0.35</v>
      </c>
    </row>
    <row r="375">
      <c r="A375" t="n">
        <v>374</v>
      </c>
      <c r="B375" t="n">
        <v>2012</v>
      </c>
      <c r="C375" t="inlineStr">
        <is>
          <t>Sophia Zhang</t>
        </is>
      </c>
      <c r="D375">
        <f>HYPERLINK("https://ota.tournamentsoftware.com/player-profile/2BBD611B-69D1-4A97-AAC3-1D897498B21A", "Link")</f>
        <v/>
      </c>
      <c r="E375" s="3" t="n">
        <v>160.591</v>
      </c>
      <c r="F375" s="4" t="n">
        <v>11</v>
      </c>
      <c r="G375" t="inlineStr">
        <is>
          <t>Ontario Tennis Association</t>
        </is>
      </c>
      <c r="H375" t="inlineStr">
        <is>
          <t>Burlington Tennis Club</t>
        </is>
      </c>
      <c r="I375" t="inlineStr">
        <is>
          <t>unavailable</t>
        </is>
      </c>
      <c r="J375" s="4" t="n">
        <v>38</v>
      </c>
      <c r="K375" t="inlineStr">
        <is>
          <t>17 / 21</t>
        </is>
      </c>
      <c r="L375" t="inlineStr">
        <is>
          <t>11 / 10</t>
        </is>
      </c>
      <c r="M375" s="5" t="n">
        <v>0.45</v>
      </c>
      <c r="N375" s="5" t="n">
        <v>0.52</v>
      </c>
    </row>
    <row r="376">
      <c r="A376" t="n">
        <v>375</v>
      </c>
      <c r="B376" t="n">
        <v>2014</v>
      </c>
      <c r="C376" t="inlineStr">
        <is>
          <t>Eve Martel</t>
        </is>
      </c>
      <c r="D376">
        <f>HYPERLINK("https://ota.tournamentsoftware.com/player-profile/590DE091-4FC9-494D-A8AC-45DB223E71D8", "Link")</f>
        <v/>
      </c>
      <c r="E376" s="3" t="n">
        <v>160.307</v>
      </c>
      <c r="F376" s="4" t="n">
        <v>21</v>
      </c>
      <c r="G376" t="inlineStr">
        <is>
          <t>Tennis Québec</t>
        </is>
      </c>
      <c r="H376" t="inlineStr">
        <is>
          <t>Club Avantage Multi-sports / Académie de tennis Hérisset Bordeleau</t>
        </is>
      </c>
      <c r="I376" t="inlineStr">
        <is>
          <t>unavailable</t>
        </is>
      </c>
      <c r="J376" s="4" t="n">
        <v>127</v>
      </c>
      <c r="K376" t="inlineStr">
        <is>
          <t>41 / 86</t>
        </is>
      </c>
      <c r="L376" t="inlineStr">
        <is>
          <t>12 / 14</t>
        </is>
      </c>
      <c r="M376" s="5" t="n">
        <v>0.32</v>
      </c>
      <c r="N376" s="5" t="n">
        <v>0.46</v>
      </c>
    </row>
    <row r="377">
      <c r="A377" t="n">
        <v>376</v>
      </c>
      <c r="B377" t="n">
        <v>2013</v>
      </c>
      <c r="C377" t="inlineStr">
        <is>
          <t>Jaheema Jajah Joseph</t>
        </is>
      </c>
      <c r="D377">
        <f>HYPERLINK("https://ota.tournamentsoftware.com/player-profile/2C08ABD4-0853-4E02-96D6-4CBDA8251E2A", "Link")</f>
        <v/>
      </c>
      <c r="E377" s="3" t="n">
        <v>157.451</v>
      </c>
      <c r="F377" s="4" t="n">
        <v>20</v>
      </c>
      <c r="G377" t="inlineStr">
        <is>
          <t>Tennis Québec</t>
        </is>
      </c>
      <c r="H377" t="inlineStr">
        <is>
          <t>Tennis Montréal</t>
        </is>
      </c>
      <c r="I377" t="n">
        <v>36.9</v>
      </c>
      <c r="J377" s="4" t="n">
        <v>93</v>
      </c>
      <c r="K377" t="inlineStr">
        <is>
          <t>38 / 55</t>
        </is>
      </c>
      <c r="L377" t="inlineStr">
        <is>
          <t>6 / 15</t>
        </is>
      </c>
      <c r="M377" s="5" t="n">
        <v>0.41</v>
      </c>
      <c r="N377" s="5" t="n">
        <v>0.29</v>
      </c>
    </row>
    <row r="378">
      <c r="A378" t="n">
        <v>377</v>
      </c>
      <c r="B378" t="n">
        <v>2017</v>
      </c>
      <c r="C378" t="inlineStr">
        <is>
          <t>Yuetwing, Doris Li</t>
        </is>
      </c>
      <c r="D378">
        <f>HYPERLINK("https://ota.tournamentsoftware.com/player-profile/C901A65F-E3DE-47DE-A4BC-21149FEBA20C", "Link")</f>
        <v/>
      </c>
      <c r="E378" s="3" t="n">
        <v>157.026</v>
      </c>
      <c r="F378" s="4" t="n">
        <v>4</v>
      </c>
      <c r="G378" t="inlineStr">
        <is>
          <t>Ontario Tennis Association</t>
        </is>
      </c>
      <c r="H378" t="inlineStr">
        <is>
          <t>No Club</t>
        </is>
      </c>
      <c r="I378" t="n">
        <v>32.4</v>
      </c>
      <c r="J378" s="4" t="n">
        <v>15</v>
      </c>
      <c r="K378" t="inlineStr">
        <is>
          <t>14 / 1</t>
        </is>
      </c>
      <c r="L378" t="inlineStr">
        <is>
          <t>10 / 1</t>
        </is>
      </c>
      <c r="M378" s="5" t="n">
        <v>0.93</v>
      </c>
      <c r="N378" s="5" t="n">
        <v>0.91</v>
      </c>
    </row>
    <row r="379">
      <c r="A379" t="n">
        <v>378</v>
      </c>
      <c r="B379" t="n">
        <v>2015</v>
      </c>
      <c r="C379" t="inlineStr">
        <is>
          <t>Mikaëlla Jean-Bart</t>
        </is>
      </c>
      <c r="D379">
        <f>HYPERLINK("https://ota.tournamentsoftware.com/player-profile/5309814B-24E5-4F46-920F-74FD0DAF8C7D", "Link")</f>
        <v/>
      </c>
      <c r="E379" s="3" t="n">
        <v>156.089</v>
      </c>
      <c r="F379" s="4" t="n">
        <v>14</v>
      </c>
      <c r="G379" t="inlineStr">
        <is>
          <t>Tennis Québec</t>
        </is>
      </c>
      <c r="H379" t="inlineStr">
        <is>
          <t>Centre récréatif de Repentigny / Académie Tennis Momentum</t>
        </is>
      </c>
      <c r="I379" t="n">
        <v>34.2</v>
      </c>
      <c r="J379" s="4" t="n">
        <v>72</v>
      </c>
      <c r="K379" t="inlineStr">
        <is>
          <t>29 / 43</t>
        </is>
      </c>
      <c r="L379" t="inlineStr">
        <is>
          <t>12 / 15</t>
        </is>
      </c>
      <c r="M379" s="5" t="n">
        <v>0.4</v>
      </c>
      <c r="N379" s="5" t="n">
        <v>0.44</v>
      </c>
    </row>
    <row r="380">
      <c r="A380" t="n">
        <v>379</v>
      </c>
      <c r="B380" t="n">
        <v>2013</v>
      </c>
      <c r="C380" t="inlineStr">
        <is>
          <t>Gabrielle Pompa</t>
        </is>
      </c>
      <c r="D380">
        <f>HYPERLINK("https://ota.tournamentsoftware.com/player-profile/668A29C0-962F-4DAD-B317-933787C09DCF", "Link")</f>
        <v/>
      </c>
      <c r="E380" s="3" t="n">
        <v>153.753</v>
      </c>
      <c r="F380" s="4" t="n">
        <v>7</v>
      </c>
      <c r="G380" t="inlineStr">
        <is>
          <t>Tennis Alberta</t>
        </is>
      </c>
      <c r="H380" t="inlineStr">
        <is>
          <t>Aforza</t>
        </is>
      </c>
      <c r="I380" t="n">
        <v>29.2</v>
      </c>
      <c r="J380" s="4" t="n">
        <v>162</v>
      </c>
      <c r="K380" t="inlineStr">
        <is>
          <t>111 / 51</t>
        </is>
      </c>
      <c r="L380" t="inlineStr">
        <is>
          <t>6 / 4</t>
        </is>
      </c>
      <c r="M380" s="5" t="n">
        <v>0.6899999999999999</v>
      </c>
      <c r="N380" s="5" t="n">
        <v>0.6</v>
      </c>
    </row>
    <row r="381">
      <c r="A381" t="n">
        <v>380</v>
      </c>
      <c r="B381" t="n">
        <v>2014</v>
      </c>
      <c r="C381" t="inlineStr">
        <is>
          <t>Andrea Robles Sgambatti</t>
        </is>
      </c>
      <c r="D381">
        <f>HYPERLINK("https://ota.tournamentsoftware.com/player-profile/842B5763-8026-4DFF-BD28-4FA110C3A345", "Link")</f>
        <v/>
      </c>
      <c r="E381" s="3" t="n">
        <v>152.162</v>
      </c>
      <c r="F381" s="4" t="n">
        <v>17</v>
      </c>
      <c r="G381" t="inlineStr">
        <is>
          <t>Tennis Alberta</t>
        </is>
      </c>
      <c r="H381" t="inlineStr">
        <is>
          <t>Osten &amp; Victor Alberta Tennis Centre</t>
        </is>
      </c>
      <c r="I381" t="n">
        <v>34.2</v>
      </c>
      <c r="J381" s="4" t="n">
        <v>150</v>
      </c>
      <c r="K381" t="inlineStr">
        <is>
          <t>62 / 88</t>
        </is>
      </c>
      <c r="L381" t="inlineStr">
        <is>
          <t>13 / 20</t>
        </is>
      </c>
      <c r="M381" s="5" t="n">
        <v>0.41</v>
      </c>
      <c r="N381" s="5" t="n">
        <v>0.39</v>
      </c>
    </row>
    <row r="382">
      <c r="A382" t="n">
        <v>381</v>
      </c>
      <c r="B382" t="n">
        <v>2014</v>
      </c>
      <c r="C382" t="inlineStr">
        <is>
          <t>Grace Wu</t>
        </is>
      </c>
      <c r="D382">
        <f>HYPERLINK("https://ota.tournamentsoftware.com/player-profile/0E55C3D7-7F72-4CDB-9BC3-2D90797931A5", "Link")</f>
        <v/>
      </c>
      <c r="E382" s="3" t="n">
        <v>151.73</v>
      </c>
      <c r="F382" s="4" t="n">
        <v>9</v>
      </c>
      <c r="G382" t="inlineStr">
        <is>
          <t>British Columbia</t>
        </is>
      </c>
      <c r="H382" t="inlineStr">
        <is>
          <t>The Tennis Centre</t>
        </is>
      </c>
      <c r="I382" t="n">
        <v>32.1</v>
      </c>
      <c r="J382" s="4" t="n">
        <v>96</v>
      </c>
      <c r="K382" t="inlineStr">
        <is>
          <t>63 / 33</t>
        </is>
      </c>
      <c r="L382" t="inlineStr">
        <is>
          <t>3 / 4</t>
        </is>
      </c>
      <c r="M382" s="5" t="n">
        <v>0.66</v>
      </c>
      <c r="N382" s="5" t="n">
        <v>0.43</v>
      </c>
    </row>
    <row r="383">
      <c r="A383" t="n">
        <v>382</v>
      </c>
      <c r="B383" t="n">
        <v>2017</v>
      </c>
      <c r="C383" t="inlineStr">
        <is>
          <t>Ella Nicolaeva</t>
        </is>
      </c>
      <c r="D383">
        <f>HYPERLINK("https://ota.tournamentsoftware.com/player-profile/7A11DAF6-4353-49AB-8591-07AB86D11272", "Link")</f>
        <v/>
      </c>
      <c r="E383" s="3" t="n">
        <v>150.858</v>
      </c>
      <c r="F383" s="4" t="n">
        <v>34</v>
      </c>
      <c r="G383" t="inlineStr">
        <is>
          <t>Ontario Tennis Association</t>
        </is>
      </c>
      <c r="H383" t="inlineStr">
        <is>
          <t>Valan Tennis Academy</t>
        </is>
      </c>
      <c r="I383" t="n">
        <v>34.1</v>
      </c>
      <c r="J383" s="4" t="n">
        <v>181</v>
      </c>
      <c r="K383" t="inlineStr">
        <is>
          <t>127 / 54</t>
        </is>
      </c>
      <c r="L383" t="inlineStr">
        <is>
          <t>38 / 24</t>
        </is>
      </c>
      <c r="M383" s="5" t="n">
        <v>0.7</v>
      </c>
      <c r="N383" s="5" t="n">
        <v>0.61</v>
      </c>
    </row>
    <row r="384">
      <c r="A384" t="n">
        <v>383</v>
      </c>
      <c r="B384" t="n">
        <v>2013</v>
      </c>
      <c r="C384" t="inlineStr">
        <is>
          <t>Aarushi Pal</t>
        </is>
      </c>
      <c r="D384">
        <f>HYPERLINK("https://ota.tournamentsoftware.com/player-profile/F5E1E459-0A97-4C1F-8F37-D8CEF64DA1FA", "Link")</f>
        <v/>
      </c>
      <c r="E384" s="3" t="n">
        <v>149.571</v>
      </c>
      <c r="F384" s="4" t="n">
        <v>14</v>
      </c>
      <c r="G384" t="inlineStr">
        <is>
          <t>Tennis Alberta</t>
        </is>
      </c>
      <c r="H384" t="inlineStr">
        <is>
          <t>Osten &amp; Victor Alberta Tennis Centre</t>
        </is>
      </c>
      <c r="I384" t="n">
        <v>33.8</v>
      </c>
      <c r="J384" s="4" t="n">
        <v>165</v>
      </c>
      <c r="K384" t="inlineStr">
        <is>
          <t>81 / 84</t>
        </is>
      </c>
      <c r="L384" t="inlineStr">
        <is>
          <t>5 / 12</t>
        </is>
      </c>
      <c r="M384" s="5" t="n">
        <v>0.49</v>
      </c>
      <c r="N384" s="5" t="n">
        <v>0.29</v>
      </c>
    </row>
    <row r="385">
      <c r="A385" t="n">
        <v>384</v>
      </c>
      <c r="B385" t="n">
        <v>2013</v>
      </c>
      <c r="C385" t="inlineStr">
        <is>
          <t>Kate Penalba</t>
        </is>
      </c>
      <c r="D385">
        <f>HYPERLINK("https://ota.tournamentsoftware.com/player-profile/C3F08CFB-765E-4234-8D01-16CB3E717037", "Link")</f>
        <v/>
      </c>
      <c r="E385" s="3" t="n">
        <v>148.763</v>
      </c>
      <c r="F385" s="4" t="n">
        <v>14</v>
      </c>
      <c r="G385" t="inlineStr">
        <is>
          <t>Ontario Tennis Association</t>
        </is>
      </c>
      <c r="H385" t="inlineStr">
        <is>
          <t>Henry Farm Tennis Club</t>
        </is>
      </c>
      <c r="I385" t="n">
        <v>34.9</v>
      </c>
      <c r="J385" s="4" t="n">
        <v>123</v>
      </c>
      <c r="K385" t="inlineStr">
        <is>
          <t>50 / 73</t>
        </is>
      </c>
      <c r="L385" t="inlineStr">
        <is>
          <t>8 / 14</t>
        </is>
      </c>
      <c r="M385" s="5" t="n">
        <v>0.41</v>
      </c>
      <c r="N385" s="5" t="n">
        <v>0.36</v>
      </c>
    </row>
    <row r="386">
      <c r="A386" t="n">
        <v>385</v>
      </c>
      <c r="B386" t="n">
        <v>2012</v>
      </c>
      <c r="C386" t="inlineStr">
        <is>
          <t>Aila Olivia Brimacombe</t>
        </is>
      </c>
      <c r="D386">
        <f>HYPERLINK("https://ota.tournamentsoftware.com/player-profile/665F5A6C-3B65-4541-A5CF-6A84DC235104", "Link")</f>
        <v/>
      </c>
      <c r="E386" s="3" t="n">
        <v>147.688</v>
      </c>
      <c r="F386" s="4" t="n">
        <v>23</v>
      </c>
      <c r="G386" t="inlineStr">
        <is>
          <t>British Columbia</t>
        </is>
      </c>
      <c r="H386" t="inlineStr">
        <is>
          <t>West Vancouver Tennis Club</t>
        </is>
      </c>
      <c r="I386" t="n">
        <v>35.6</v>
      </c>
      <c r="J386" s="4" t="n">
        <v>115</v>
      </c>
      <c r="K386" t="inlineStr">
        <is>
          <t>19 / 96</t>
        </is>
      </c>
      <c r="L386" t="inlineStr">
        <is>
          <t>9 / 31</t>
        </is>
      </c>
      <c r="M386" s="5" t="n">
        <v>0.17</v>
      </c>
      <c r="N386" s="5" t="n">
        <v>0.23</v>
      </c>
    </row>
    <row r="387">
      <c r="A387" t="n">
        <v>386</v>
      </c>
      <c r="B387" t="n">
        <v>2013</v>
      </c>
      <c r="C387" t="inlineStr">
        <is>
          <t>Renée Jugalbot</t>
        </is>
      </c>
      <c r="D387">
        <f>HYPERLINK("https://ota.tournamentsoftware.com/player-profile/A487A79B-AB42-4314-BD75-6EFD99F64BC7", "Link")</f>
        <v/>
      </c>
      <c r="E387" s="3" t="n">
        <v>147.673</v>
      </c>
      <c r="F387" s="4" t="n">
        <v>25</v>
      </c>
      <c r="G387" t="inlineStr">
        <is>
          <t>Ontario Tennis Association</t>
        </is>
      </c>
      <c r="H387" t="inlineStr">
        <is>
          <t>Rosedale Tennis Club (Hamilton)</t>
        </is>
      </c>
      <c r="I387" t="n">
        <v>36.4</v>
      </c>
      <c r="J387" s="4" t="n">
        <v>80</v>
      </c>
      <c r="K387" t="inlineStr">
        <is>
          <t>31 / 49</t>
        </is>
      </c>
      <c r="L387" t="inlineStr">
        <is>
          <t>13 / 22</t>
        </is>
      </c>
      <c r="M387" s="5" t="n">
        <v>0.39</v>
      </c>
      <c r="N387" s="5" t="n">
        <v>0.37</v>
      </c>
    </row>
    <row r="388">
      <c r="A388" t="n">
        <v>387</v>
      </c>
      <c r="B388" t="n">
        <v>2015</v>
      </c>
      <c r="C388" t="inlineStr">
        <is>
          <t>Stefaniia Grimailo</t>
        </is>
      </c>
      <c r="D388">
        <f>HYPERLINK("https://ota.tournamentsoftware.com/player-profile/63AAF188-F773-4BFA-B6C2-97B1DFB9AF3A", "Link")</f>
        <v/>
      </c>
      <c r="E388" s="3" t="n">
        <v>147.389</v>
      </c>
      <c r="F388" s="4" t="n">
        <v>9</v>
      </c>
      <c r="G388" t="inlineStr">
        <is>
          <t>Tennis Manitoba</t>
        </is>
      </c>
      <c r="H388" t="inlineStr">
        <is>
          <t>Winnipeg Winter Club</t>
        </is>
      </c>
      <c r="I388" t="n">
        <v>38.6</v>
      </c>
      <c r="J388" s="4" t="n">
        <v>64</v>
      </c>
      <c r="K388" t="inlineStr">
        <is>
          <t>9 / 55</t>
        </is>
      </c>
      <c r="L388" t="inlineStr">
        <is>
          <t>2 / 25</t>
        </is>
      </c>
      <c r="M388" s="5" t="n">
        <v>0.14</v>
      </c>
      <c r="N388" s="5" t="n">
        <v>0.07000000000000001</v>
      </c>
    </row>
    <row r="389">
      <c r="A389" t="n">
        <v>388</v>
      </c>
      <c r="B389" t="n">
        <v>2012</v>
      </c>
      <c r="C389" t="inlineStr">
        <is>
          <t>Gaëlle Jodoin</t>
        </is>
      </c>
      <c r="D389">
        <f>HYPERLINK("https://ota.tournamentsoftware.com/player-profile/A3792AFC-E32E-4258-8FA9-9240021C6401", "Link")</f>
        <v/>
      </c>
      <c r="E389" s="3" t="n">
        <v>147.089</v>
      </c>
      <c r="F389" s="4" t="n">
        <v>5</v>
      </c>
      <c r="G389" t="inlineStr">
        <is>
          <t>Tennis Québec</t>
        </is>
      </c>
      <c r="H389" t="inlineStr">
        <is>
          <t>Tennis 13</t>
        </is>
      </c>
      <c r="I389" t="n">
        <v>38.5</v>
      </c>
      <c r="J389" s="4" t="n">
        <v>87</v>
      </c>
      <c r="K389" t="inlineStr">
        <is>
          <t>14 / 73</t>
        </is>
      </c>
      <c r="L389" t="inlineStr">
        <is>
          <t>0 / 3</t>
        </is>
      </c>
      <c r="M389" s="5" t="n">
        <v>0.16</v>
      </c>
      <c r="N389" s="5" t="n">
        <v>0</v>
      </c>
    </row>
    <row r="390">
      <c r="A390" t="n">
        <v>389</v>
      </c>
      <c r="B390" t="n">
        <v>2012</v>
      </c>
      <c r="C390" t="inlineStr">
        <is>
          <t>Chloe Park</t>
        </is>
      </c>
      <c r="D390">
        <f>HYPERLINK("https://ota.tournamentsoftware.com/player-profile/FD8FB9A4-F5D9-4A90-AA66-D8E6FC3D3BC5", "Link")</f>
        <v/>
      </c>
      <c r="E390" s="3" t="n">
        <v>146.362</v>
      </c>
      <c r="F390" s="4" t="n">
        <v>4</v>
      </c>
      <c r="G390" t="inlineStr">
        <is>
          <t>Tennis Prince Edward Island</t>
        </is>
      </c>
      <c r="H390" t="inlineStr">
        <is>
          <t>No Club</t>
        </is>
      </c>
      <c r="I390" t="n">
        <v>36.6</v>
      </c>
      <c r="J390" s="4" t="n">
        <v>48</v>
      </c>
      <c r="K390" t="inlineStr">
        <is>
          <t>9 / 39</t>
        </is>
      </c>
      <c r="L390" t="inlineStr">
        <is>
          <t>4 / 8</t>
        </is>
      </c>
      <c r="M390" s="5" t="n">
        <v>0.19</v>
      </c>
      <c r="N390" s="5" t="n">
        <v>0.33</v>
      </c>
    </row>
    <row r="391">
      <c r="A391" t="n">
        <v>390</v>
      </c>
      <c r="B391" t="n">
        <v>2015</v>
      </c>
      <c r="C391" t="inlineStr">
        <is>
          <t>Emma Lucenti</t>
        </is>
      </c>
      <c r="D391">
        <f>HYPERLINK("https://ota.tournamentsoftware.com/player-profile/F174A813-5F1A-4B24-BDFF-B6E6160FE2EB", "Link")</f>
        <v/>
      </c>
      <c r="E391" s="3" t="n">
        <v>146.068</v>
      </c>
      <c r="F391" s="4" t="n">
        <v>10</v>
      </c>
      <c r="G391" t="inlineStr">
        <is>
          <t>Ontario Tennis Association</t>
        </is>
      </c>
      <c r="H391" t="inlineStr">
        <is>
          <t>SmartVMC Racquetsports by ACE</t>
        </is>
      </c>
      <c r="I391" t="n">
        <v>35.7</v>
      </c>
      <c r="J391" s="4" t="n">
        <v>81</v>
      </c>
      <c r="K391" t="inlineStr">
        <is>
          <t>28 / 53</t>
        </is>
      </c>
      <c r="L391" t="inlineStr">
        <is>
          <t>7 / 11</t>
        </is>
      </c>
      <c r="M391" s="5" t="n">
        <v>0.35</v>
      </c>
      <c r="N391" s="5" t="n">
        <v>0.39</v>
      </c>
    </row>
    <row r="392">
      <c r="A392" t="n">
        <v>391</v>
      </c>
      <c r="B392" t="n">
        <v>2015</v>
      </c>
      <c r="C392" t="inlineStr">
        <is>
          <t>Elaina York</t>
        </is>
      </c>
      <c r="D392">
        <f>HYPERLINK("https://ota.tournamentsoftware.com/player-profile/7D4D2F10-C754-4560-B490-903FD1C70ADE", "Link")</f>
        <v/>
      </c>
      <c r="E392" s="3" t="n">
        <v>145.952</v>
      </c>
      <c r="F392" s="4" t="n">
        <v>16</v>
      </c>
      <c r="G392" t="inlineStr">
        <is>
          <t>Tennis Alberta</t>
        </is>
      </c>
      <c r="H392" t="inlineStr">
        <is>
          <t>Aforza</t>
        </is>
      </c>
      <c r="I392" t="n">
        <v>34.9</v>
      </c>
      <c r="J392" s="4" t="n">
        <v>149</v>
      </c>
      <c r="K392" t="inlineStr">
        <is>
          <t>61 / 88</t>
        </is>
      </c>
      <c r="L392" t="inlineStr">
        <is>
          <t>15 / 23</t>
        </is>
      </c>
      <c r="M392" s="5" t="n">
        <v>0.41</v>
      </c>
      <c r="N392" s="5" t="n">
        <v>0.39</v>
      </c>
    </row>
    <row r="393">
      <c r="A393" t="n">
        <v>392</v>
      </c>
      <c r="B393" t="n">
        <v>2014</v>
      </c>
      <c r="C393" t="inlineStr">
        <is>
          <t>Sofia Zhuchenko</t>
        </is>
      </c>
      <c r="D393">
        <f>HYPERLINK("https://ota.tournamentsoftware.com/player-profile/F633DD21-A0C3-4CAC-B560-7222D07936B7", "Link")</f>
        <v/>
      </c>
      <c r="E393" s="3" t="n">
        <v>145.261</v>
      </c>
      <c r="F393" s="4" t="n">
        <v>15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33.5</v>
      </c>
      <c r="J393" s="4" t="n">
        <v>111</v>
      </c>
      <c r="K393" t="inlineStr">
        <is>
          <t>43 / 68</t>
        </is>
      </c>
      <c r="L393" t="inlineStr">
        <is>
          <t>13 / 18</t>
        </is>
      </c>
      <c r="M393" s="5" t="n">
        <v>0.39</v>
      </c>
      <c r="N393" s="5" t="n">
        <v>0.42</v>
      </c>
    </row>
    <row r="394">
      <c r="A394" t="n">
        <v>393</v>
      </c>
      <c r="B394" t="n">
        <v>2013</v>
      </c>
      <c r="C394" t="inlineStr">
        <is>
          <t>Diya Vasudeva</t>
        </is>
      </c>
      <c r="D394">
        <f>HYPERLINK("https://ota.tournamentsoftware.com/player-profile/81C22EEF-F10A-4447-AF45-2B9B6D1A7F5B", "Link")</f>
        <v/>
      </c>
      <c r="E394" s="3" t="n">
        <v>145.02</v>
      </c>
      <c r="F394" s="4" t="n">
        <v>6</v>
      </c>
      <c r="G394" t="inlineStr">
        <is>
          <t>Ontario Tennis Association</t>
        </is>
      </c>
      <c r="H394" t="inlineStr">
        <is>
          <t>ACE Tennis - Burlington</t>
        </is>
      </c>
      <c r="I394" t="n">
        <v>36.3</v>
      </c>
      <c r="J394" s="4" t="n">
        <v>96</v>
      </c>
      <c r="K394" t="inlineStr">
        <is>
          <t>33 / 63</t>
        </is>
      </c>
      <c r="L394" t="inlineStr">
        <is>
          <t>4 / 8</t>
        </is>
      </c>
      <c r="M394" s="5" t="n">
        <v>0.34</v>
      </c>
      <c r="N394" s="5" t="n">
        <v>0.33</v>
      </c>
    </row>
    <row r="395">
      <c r="A395" t="n">
        <v>394</v>
      </c>
      <c r="B395" t="n">
        <v>2014</v>
      </c>
      <c r="C395" t="inlineStr">
        <is>
          <t>Kira Wong</t>
        </is>
      </c>
      <c r="D395">
        <f>HYPERLINK("https://ota.tournamentsoftware.com/player-profile/E305B648-4548-45A0-B043-623E1473C7E5", "Link")</f>
        <v/>
      </c>
      <c r="E395" s="3" t="n">
        <v>144.621</v>
      </c>
      <c r="F395" s="4" t="n">
        <v>24</v>
      </c>
      <c r="G395" t="inlineStr">
        <is>
          <t>Tennis Alberta</t>
        </is>
      </c>
      <c r="H395" t="inlineStr">
        <is>
          <t>Aforza</t>
        </is>
      </c>
      <c r="I395" t="n">
        <v>35.2</v>
      </c>
      <c r="J395" s="4" t="n">
        <v>130</v>
      </c>
      <c r="K395" t="inlineStr">
        <is>
          <t>48 / 82</t>
        </is>
      </c>
      <c r="L395" t="inlineStr">
        <is>
          <t>24 / 28</t>
        </is>
      </c>
      <c r="M395" s="5" t="n">
        <v>0.37</v>
      </c>
      <c r="N395" s="5" t="n">
        <v>0.46</v>
      </c>
    </row>
    <row r="396">
      <c r="A396" t="n">
        <v>395</v>
      </c>
      <c r="B396" t="n">
        <v>2012</v>
      </c>
      <c r="C396" t="inlineStr">
        <is>
          <t>Xinyi Zhang</t>
        </is>
      </c>
      <c r="D396">
        <f>HYPERLINK("https://ota.tournamentsoftware.com/player-profile/BCC8B346-C184-4803-9CC2-592D143B667B", "Link")</f>
        <v/>
      </c>
      <c r="E396" s="3" t="n">
        <v>144.06</v>
      </c>
      <c r="F396" s="4" t="n">
        <v>15</v>
      </c>
      <c r="G396" t="inlineStr">
        <is>
          <t>Ontario Tennis Association</t>
        </is>
      </c>
      <c r="H396" t="inlineStr">
        <is>
          <t>Marilyn Redvers Tennis Club</t>
        </is>
      </c>
      <c r="I396" t="n">
        <v>34.3</v>
      </c>
      <c r="J396" s="4" t="n">
        <v>45</v>
      </c>
      <c r="K396" t="inlineStr">
        <is>
          <t>23 / 22</t>
        </is>
      </c>
      <c r="L396" t="inlineStr">
        <is>
          <t>12 / 14</t>
        </is>
      </c>
      <c r="M396" s="5" t="n">
        <v>0.51</v>
      </c>
      <c r="N396" s="5" t="n">
        <v>0.46</v>
      </c>
    </row>
    <row r="397">
      <c r="A397" t="n">
        <v>396</v>
      </c>
      <c r="B397" t="n">
        <v>2015</v>
      </c>
      <c r="C397" t="inlineStr">
        <is>
          <t>Vera Toptounov</t>
        </is>
      </c>
      <c r="D397">
        <f>HYPERLINK("https://ota.tournamentsoftware.com/player-profile/6AC05446-ED22-406D-9460-F30F3FC8B16B", "Link")</f>
        <v/>
      </c>
      <c r="E397" s="3" t="n">
        <v>144.013</v>
      </c>
      <c r="F397" s="4" t="n">
        <v>18</v>
      </c>
      <c r="G397" t="inlineStr">
        <is>
          <t>Ontario Tennis Association</t>
        </is>
      </c>
      <c r="H397" t="inlineStr">
        <is>
          <t>SmartVMC Racquetsports by ACE</t>
        </is>
      </c>
      <c r="I397" t="n">
        <v>35.6</v>
      </c>
      <c r="J397" s="4" t="n">
        <v>105</v>
      </c>
      <c r="K397" t="inlineStr">
        <is>
          <t>46 / 59</t>
        </is>
      </c>
      <c r="L397" t="inlineStr">
        <is>
          <t>12 / 15</t>
        </is>
      </c>
      <c r="M397" s="5" t="n">
        <v>0.44</v>
      </c>
      <c r="N397" s="5" t="n">
        <v>0.44</v>
      </c>
    </row>
    <row r="398">
      <c r="A398" t="n">
        <v>397</v>
      </c>
      <c r="B398" t="n">
        <v>2015</v>
      </c>
      <c r="C398" t="inlineStr">
        <is>
          <t>Theia Zhang</t>
        </is>
      </c>
      <c r="D398">
        <f>HYPERLINK("https://ota.tournamentsoftware.com/player-profile/8628DB3F-1A24-45E1-A1F1-727AFFD593DD", "Link")</f>
        <v/>
      </c>
      <c r="E398" s="3" t="n">
        <v>142.594</v>
      </c>
      <c r="F398" s="4" t="n">
        <v>11</v>
      </c>
      <c r="G398" t="inlineStr">
        <is>
          <t>Ontario Tennis Association</t>
        </is>
      </c>
      <c r="H398" t="inlineStr">
        <is>
          <t>Premier Racquet Clubs – Mississauga</t>
        </is>
      </c>
      <c r="I398" t="n">
        <v>35.8</v>
      </c>
      <c r="J398" s="4" t="n">
        <v>102</v>
      </c>
      <c r="K398" t="inlineStr">
        <is>
          <t>48 / 54</t>
        </is>
      </c>
      <c r="L398" t="inlineStr">
        <is>
          <t>1 / 6</t>
        </is>
      </c>
      <c r="M398" s="5" t="n">
        <v>0.47</v>
      </c>
      <c r="N398" s="5" t="n">
        <v>0.14</v>
      </c>
    </row>
    <row r="399">
      <c r="A399" t="n">
        <v>398</v>
      </c>
      <c r="B399" t="n">
        <v>2012</v>
      </c>
      <c r="C399" t="inlineStr">
        <is>
          <t>Naomi Brown</t>
        </is>
      </c>
      <c r="D399">
        <f>HYPERLINK("https://ota.tournamentsoftware.com/player-profile/3302BB60-F05F-49BC-8E90-BE5B9A063576", "Link")</f>
        <v/>
      </c>
      <c r="E399" s="3" t="n">
        <v>141.455</v>
      </c>
      <c r="F399" s="4" t="n">
        <v>6</v>
      </c>
      <c r="G399" t="inlineStr">
        <is>
          <t>Ontario Tennis Association</t>
        </is>
      </c>
      <c r="H399" t="inlineStr">
        <is>
          <t>Milton Tennis Club</t>
        </is>
      </c>
      <c r="I399" t="inlineStr">
        <is>
          <t>unavailable</t>
        </is>
      </c>
      <c r="J399" s="4" t="n">
        <v>75</v>
      </c>
      <c r="K399" t="inlineStr">
        <is>
          <t>33 / 42</t>
        </is>
      </c>
      <c r="L399" t="inlineStr">
        <is>
          <t>5 / 4</t>
        </is>
      </c>
      <c r="M399" s="5" t="n">
        <v>0.44</v>
      </c>
      <c r="N399" s="5" t="n">
        <v>0.5600000000000001</v>
      </c>
    </row>
    <row r="400">
      <c r="A400" t="n">
        <v>399</v>
      </c>
      <c r="B400" t="n">
        <v>2017</v>
      </c>
      <c r="C400" t="inlineStr">
        <is>
          <t>Nalayah Smith</t>
        </is>
      </c>
      <c r="D400">
        <f>HYPERLINK("https://ota.tournamentsoftware.com/player-profile/6F913BA8-58BB-4BEE-9CA1-8E064E1332B8", "Link")</f>
        <v/>
      </c>
      <c r="E400" s="3" t="n">
        <v>141.168</v>
      </c>
      <c r="F400" s="4" t="n">
        <v>16</v>
      </c>
      <c r="G400" t="inlineStr">
        <is>
          <t>Ontario Tennis Association</t>
        </is>
      </c>
      <c r="H400" t="inlineStr">
        <is>
          <t>SmartVMC Racquetsports by ACE</t>
        </is>
      </c>
      <c r="I400" t="n">
        <v>34.3</v>
      </c>
      <c r="J400" s="4" t="n">
        <v>125</v>
      </c>
      <c r="K400" t="inlineStr">
        <is>
          <t>78 / 47</t>
        </is>
      </c>
      <c r="L400" t="inlineStr">
        <is>
          <t>23 / 14</t>
        </is>
      </c>
      <c r="M400" s="5" t="n">
        <v>0.62</v>
      </c>
      <c r="N400" s="5" t="n">
        <v>0.62</v>
      </c>
    </row>
    <row r="401">
      <c r="A401" t="n">
        <v>400</v>
      </c>
      <c r="B401" t="n">
        <v>2012</v>
      </c>
      <c r="C401" t="inlineStr">
        <is>
          <t>Emily Zhang</t>
        </is>
      </c>
      <c r="D401">
        <f>HYPERLINK("https://ota.tournamentsoftware.com/player-profile/927E8E34-8FE2-4B37-81C7-621F5326585C", "Link")</f>
        <v/>
      </c>
      <c r="E401" s="3" t="n">
        <v>139.787</v>
      </c>
      <c r="F401" s="4" t="n">
        <v>10</v>
      </c>
      <c r="G401" t="inlineStr">
        <is>
          <t>Ontario Tennis Association</t>
        </is>
      </c>
      <c r="H401" t="inlineStr">
        <is>
          <t>Blackmore Tennis Club</t>
        </is>
      </c>
      <c r="I401" t="inlineStr">
        <is>
          <t>unavailable</t>
        </is>
      </c>
      <c r="J401" s="4" t="n">
        <v>48</v>
      </c>
      <c r="K401" t="inlineStr">
        <is>
          <t>10 / 38</t>
        </is>
      </c>
      <c r="L401" t="inlineStr">
        <is>
          <t>1 / 3</t>
        </is>
      </c>
      <c r="M401" s="5" t="n">
        <v>0.21</v>
      </c>
      <c r="N401" s="5" t="n">
        <v>0.25</v>
      </c>
    </row>
    <row r="402">
      <c r="A402" t="n">
        <v>401</v>
      </c>
      <c r="B402" t="n">
        <v>2012</v>
      </c>
      <c r="C402" t="inlineStr">
        <is>
          <t>Spencer Xie</t>
        </is>
      </c>
      <c r="D402">
        <f>HYPERLINK("https://ota.tournamentsoftware.com/player-profile/E8C882F3-740E-4E76-A249-7FC036AFD1F8", "Link")</f>
        <v/>
      </c>
      <c r="E402" s="3" t="n">
        <v>138.244</v>
      </c>
      <c r="F402" s="4" t="n">
        <v>13</v>
      </c>
      <c r="G402" t="inlineStr">
        <is>
          <t>Ontario Tennis Association</t>
        </is>
      </c>
      <c r="H402" t="inlineStr">
        <is>
          <t>Granite Club</t>
        </is>
      </c>
      <c r="I402" t="n">
        <v>35.2</v>
      </c>
      <c r="J402" s="4" t="n">
        <v>71</v>
      </c>
      <c r="K402" t="inlineStr">
        <is>
          <t>19 / 52</t>
        </is>
      </c>
      <c r="L402" t="inlineStr">
        <is>
          <t>6 / 13</t>
        </is>
      </c>
      <c r="M402" s="5" t="n">
        <v>0.27</v>
      </c>
      <c r="N402" s="5" t="n">
        <v>0.32</v>
      </c>
    </row>
    <row r="403">
      <c r="A403" t="n">
        <v>402</v>
      </c>
      <c r="B403" t="n">
        <v>2016</v>
      </c>
      <c r="C403" t="inlineStr">
        <is>
          <t>Milana Piazza</t>
        </is>
      </c>
      <c r="D403">
        <f>HYPERLINK("https://ota.tournamentsoftware.com/player-profile/4CDBB0C3-0D8B-4D7B-873C-3CEC65600FA0", "Link")</f>
        <v/>
      </c>
      <c r="E403" s="3" t="n">
        <v>135.567</v>
      </c>
      <c r="F403" s="4" t="n">
        <v>11</v>
      </c>
      <c r="G403" t="inlineStr">
        <is>
          <t>Tennis Québec</t>
        </is>
      </c>
      <c r="H403" t="inlineStr">
        <is>
          <t>Tennis 13</t>
        </is>
      </c>
      <c r="I403" t="n">
        <v>33.4</v>
      </c>
      <c r="J403" s="4" t="n">
        <v>90</v>
      </c>
      <c r="K403" t="inlineStr">
        <is>
          <t>54 / 36</t>
        </is>
      </c>
      <c r="L403" t="inlineStr">
        <is>
          <t>21 / 8</t>
        </is>
      </c>
      <c r="M403" s="5" t="n">
        <v>0.6</v>
      </c>
      <c r="N403" s="5" t="n">
        <v>0.72</v>
      </c>
    </row>
    <row r="404">
      <c r="A404" t="n">
        <v>403</v>
      </c>
      <c r="B404" t="n">
        <v>2013</v>
      </c>
      <c r="C404" t="inlineStr">
        <is>
          <t>Audrey Ziqi Liu</t>
        </is>
      </c>
      <c r="D404">
        <f>HYPERLINK("https://ota.tournamentsoftware.com/player-profile/C2E6156A-D7ED-45A1-B728-0FA7A8D2D6A1", "Link")</f>
        <v/>
      </c>
      <c r="E404" s="3" t="n">
        <v>134.423</v>
      </c>
      <c r="F404" s="4" t="n">
        <v>9</v>
      </c>
      <c r="G404" t="inlineStr">
        <is>
          <t>British Columbia</t>
        </is>
      </c>
      <c r="H404" t="inlineStr">
        <is>
          <t>UBC Tennis Centre</t>
        </is>
      </c>
      <c r="I404" t="n">
        <v>35.4</v>
      </c>
      <c r="J404" s="4" t="n">
        <v>23</v>
      </c>
      <c r="K404" t="inlineStr">
        <is>
          <t>7 / 16</t>
        </is>
      </c>
      <c r="L404" t="inlineStr">
        <is>
          <t>6 / 14</t>
        </is>
      </c>
      <c r="M404" s="5" t="n">
        <v>0.3</v>
      </c>
      <c r="N404" s="5" t="n">
        <v>0.3</v>
      </c>
    </row>
    <row r="405">
      <c r="A405" t="n">
        <v>404</v>
      </c>
      <c r="B405" t="n">
        <v>2014</v>
      </c>
      <c r="C405" t="inlineStr">
        <is>
          <t>Melissa Yi Nuo Yang</t>
        </is>
      </c>
      <c r="D405">
        <f>HYPERLINK("https://ota.tournamentsoftware.com/player-profile/870FB276-B8EA-4586-B0F5-B2318D4B1CD6", "Link")</f>
        <v/>
      </c>
      <c r="E405" s="3" t="n">
        <v>134.37</v>
      </c>
      <c r="F405" s="4" t="n">
        <v>18</v>
      </c>
      <c r="G405" t="inlineStr">
        <is>
          <t>Tennis Québec</t>
        </is>
      </c>
      <c r="H405" t="inlineStr">
        <is>
          <t>Club Sportif Côte-de-Liesse</t>
        </is>
      </c>
      <c r="I405" t="n">
        <v>33.2</v>
      </c>
      <c r="J405" s="4" t="n">
        <v>83</v>
      </c>
      <c r="K405" t="inlineStr">
        <is>
          <t>41 / 42</t>
        </is>
      </c>
      <c r="L405" t="inlineStr">
        <is>
          <t>21 / 11</t>
        </is>
      </c>
      <c r="M405" s="5" t="n">
        <v>0.49</v>
      </c>
      <c r="N405" s="5" t="n">
        <v>0.66</v>
      </c>
    </row>
    <row r="406">
      <c r="A406" t="n">
        <v>405</v>
      </c>
      <c r="B406" t="n">
        <v>2015</v>
      </c>
      <c r="C406" t="inlineStr">
        <is>
          <t>Anya De Lain</t>
        </is>
      </c>
      <c r="D406">
        <f>HYPERLINK("https://ota.tournamentsoftware.com/player-profile/563B79E2-A8FE-4D68-B224-8FB6861F2D7F", "Link")</f>
        <v/>
      </c>
      <c r="E406" s="3" t="n">
        <v>134.241</v>
      </c>
      <c r="F406" s="4" t="n">
        <v>13</v>
      </c>
      <c r="G406" t="inlineStr">
        <is>
          <t>Tennis Québec</t>
        </is>
      </c>
      <c r="H406" t="inlineStr">
        <is>
          <t>EB Tennis inc.</t>
        </is>
      </c>
      <c r="I406" t="n">
        <v>39.7</v>
      </c>
      <c r="J406" s="4" t="n">
        <v>88</v>
      </c>
      <c r="K406" t="inlineStr">
        <is>
          <t>16 / 72</t>
        </is>
      </c>
      <c r="L406" t="inlineStr">
        <is>
          <t>2 / 16</t>
        </is>
      </c>
      <c r="M406" s="5" t="n">
        <v>0.18</v>
      </c>
      <c r="N406" s="5" t="n">
        <v>0.11</v>
      </c>
    </row>
    <row r="407">
      <c r="A407" t="n">
        <v>406</v>
      </c>
      <c r="B407" t="n">
        <v>2015</v>
      </c>
      <c r="C407" t="inlineStr">
        <is>
          <t>Blake Badger</t>
        </is>
      </c>
      <c r="D407">
        <f>HYPERLINK("https://ota.tournamentsoftware.com/player-profile/33B72483-1E5D-4043-8C06-81F76F0504E6", "Link")</f>
        <v/>
      </c>
      <c r="E407" s="3" t="n">
        <v>133.817</v>
      </c>
      <c r="F407" s="4" t="n">
        <v>4</v>
      </c>
      <c r="G407" t="inlineStr">
        <is>
          <t>Tennis Saskatchewan</t>
        </is>
      </c>
      <c r="H407" t="inlineStr">
        <is>
          <t>Lakeshore Tennis Club</t>
        </is>
      </c>
      <c r="I407" t="n">
        <v>38.3</v>
      </c>
      <c r="J407" s="4" t="n">
        <v>63</v>
      </c>
      <c r="K407" t="inlineStr">
        <is>
          <t>20 / 43</t>
        </is>
      </c>
      <c r="L407" t="inlineStr">
        <is>
          <t>2 / 7</t>
        </is>
      </c>
      <c r="M407" s="5" t="n">
        <v>0.32</v>
      </c>
      <c r="N407" s="5" t="n">
        <v>0.22</v>
      </c>
    </row>
    <row r="408">
      <c r="A408" t="n">
        <v>407</v>
      </c>
      <c r="B408" t="n">
        <v>2012</v>
      </c>
      <c r="C408" t="inlineStr">
        <is>
          <t>Selena Wazelle</t>
        </is>
      </c>
      <c r="D408">
        <f>HYPERLINK("https://ota.tournamentsoftware.com/player-profile/B596341F-BD27-43AF-8888-AAD072F39AFB", "Link")</f>
        <v/>
      </c>
      <c r="E408" s="3" t="n">
        <v>133.704</v>
      </c>
      <c r="F408" s="4" t="n">
        <v>4</v>
      </c>
      <c r="G408" t="inlineStr">
        <is>
          <t>British Columbia</t>
        </is>
      </c>
      <c r="H408" t="inlineStr">
        <is>
          <t>No Club</t>
        </is>
      </c>
      <c r="I408" t="n">
        <v>30.1</v>
      </c>
      <c r="J408" s="4" t="n">
        <v>159</v>
      </c>
      <c r="K408" t="inlineStr">
        <is>
          <t>89 / 70</t>
        </is>
      </c>
      <c r="L408" t="inlineStr">
        <is>
          <t>0 / 0</t>
        </is>
      </c>
      <c r="M408" s="5" t="n">
        <v>0.5600000000000001</v>
      </c>
      <c r="N408" s="5" t="n">
        <v>0</v>
      </c>
    </row>
    <row r="409">
      <c r="A409" t="n">
        <v>408</v>
      </c>
      <c r="B409" t="n">
        <v>2014</v>
      </c>
      <c r="C409" t="inlineStr">
        <is>
          <t>Jaynaëlle Isaac</t>
        </is>
      </c>
      <c r="D409">
        <f>HYPERLINK("https://ota.tournamentsoftware.com/player-profile/6748F07C-41D2-4D26-87D9-8636B60DC389", "Link")</f>
        <v/>
      </c>
      <c r="E409" s="3" t="n">
        <v>132.874</v>
      </c>
      <c r="F409" s="4" t="n">
        <v>11</v>
      </c>
      <c r="G409" t="inlineStr">
        <is>
          <t>Tennis Québec</t>
        </is>
      </c>
      <c r="H409" t="inlineStr">
        <is>
          <t>No Club</t>
        </is>
      </c>
      <c r="I409" t="n">
        <v>32.4</v>
      </c>
      <c r="J409" s="4" t="n">
        <v>124</v>
      </c>
      <c r="K409" t="inlineStr">
        <is>
          <t>49 / 75</t>
        </is>
      </c>
      <c r="L409" t="inlineStr">
        <is>
          <t>9 / 11</t>
        </is>
      </c>
      <c r="M409" s="5" t="n">
        <v>0.4</v>
      </c>
      <c r="N409" s="5" t="n">
        <v>0.45</v>
      </c>
    </row>
    <row r="410">
      <c r="A410" t="n">
        <v>409</v>
      </c>
      <c r="B410" t="n">
        <v>2013</v>
      </c>
      <c r="C410" t="inlineStr">
        <is>
          <t>Olivia Xing</t>
        </is>
      </c>
      <c r="D410">
        <f>HYPERLINK("https://ota.tournamentsoftware.com/player-profile/03475BC0-CC60-490A-8E94-0D82D43C8EDC", "Link")</f>
        <v/>
      </c>
      <c r="E410" s="3" t="n">
        <v>132.497</v>
      </c>
      <c r="F410" s="4" t="n">
        <v>17</v>
      </c>
      <c r="G410" t="inlineStr">
        <is>
          <t>British Columbia</t>
        </is>
      </c>
      <c r="H410" t="inlineStr">
        <is>
          <t>Vancouver Lawn Tennis and Badminton Club</t>
        </is>
      </c>
      <c r="I410" t="inlineStr">
        <is>
          <t>unavailable</t>
        </is>
      </c>
      <c r="J410" s="4" t="n">
        <v>117</v>
      </c>
      <c r="K410" t="inlineStr">
        <is>
          <t>57 / 60</t>
        </is>
      </c>
      <c r="L410" t="inlineStr">
        <is>
          <t>10 / 13</t>
        </is>
      </c>
      <c r="M410" s="5" t="n">
        <v>0.49</v>
      </c>
      <c r="N410" s="5" t="n">
        <v>0.43</v>
      </c>
    </row>
    <row r="411">
      <c r="A411" t="n">
        <v>410</v>
      </c>
      <c r="B411" t="n">
        <v>2015</v>
      </c>
      <c r="C411" t="inlineStr">
        <is>
          <t>Athisayah Viji</t>
        </is>
      </c>
      <c r="D411">
        <f>HYPERLINK("https://ota.tournamentsoftware.com/player-profile/C8684F68-4EF9-414D-BDA9-FC73111C2DB8", "Link")</f>
        <v/>
      </c>
      <c r="E411" s="3" t="n">
        <v>131.362</v>
      </c>
      <c r="F411" s="4" t="n">
        <v>18</v>
      </c>
      <c r="G411" t="inlineStr">
        <is>
          <t>British Columbia</t>
        </is>
      </c>
      <c r="H411" t="inlineStr">
        <is>
          <t>The Tennis Centre</t>
        </is>
      </c>
      <c r="I411" t="n">
        <v>31.6</v>
      </c>
      <c r="J411" s="4" t="n">
        <v>118</v>
      </c>
      <c r="K411" t="inlineStr">
        <is>
          <t>70 / 48</t>
        </is>
      </c>
      <c r="L411" t="inlineStr">
        <is>
          <t>30 / 13</t>
        </is>
      </c>
      <c r="M411" s="5" t="n">
        <v>0.59</v>
      </c>
      <c r="N411" s="5" t="n">
        <v>0.7</v>
      </c>
    </row>
    <row r="412">
      <c r="A412" t="n">
        <v>411</v>
      </c>
      <c r="B412" t="n">
        <v>2014</v>
      </c>
      <c r="C412" t="inlineStr">
        <is>
          <t>Olivia Weiwei Kong</t>
        </is>
      </c>
      <c r="D412">
        <f>HYPERLINK("https://ota.tournamentsoftware.com/player-profile/D959AEB1-2F72-4DC3-9FC0-C7595A80CDA0", "Link")</f>
        <v/>
      </c>
      <c r="E412" s="3" t="n">
        <v>130.887</v>
      </c>
      <c r="F412" s="4" t="n">
        <v>6</v>
      </c>
      <c r="G412" t="inlineStr">
        <is>
          <t>Tennis Saskatchewan</t>
        </is>
      </c>
      <c r="H412" t="inlineStr">
        <is>
          <t>Lakeshore Tennis Club</t>
        </is>
      </c>
      <c r="I412" t="n">
        <v>37.1</v>
      </c>
      <c r="J412" s="4" t="n">
        <v>89</v>
      </c>
      <c r="K412" t="inlineStr">
        <is>
          <t>22 / 67</t>
        </is>
      </c>
      <c r="L412" t="inlineStr">
        <is>
          <t>3 / 10</t>
        </is>
      </c>
      <c r="M412" s="5" t="n">
        <v>0.25</v>
      </c>
      <c r="N412" s="5" t="n">
        <v>0.23</v>
      </c>
    </row>
    <row r="413">
      <c r="A413" t="n">
        <v>412</v>
      </c>
      <c r="B413" t="n">
        <v>2012</v>
      </c>
      <c r="C413" t="inlineStr">
        <is>
          <t>Eliana Yiannacouras</t>
        </is>
      </c>
      <c r="D413">
        <f>HYPERLINK("https://ota.tournamentsoftware.com/player-profile/B77AA2DD-5FF4-4B16-8ABD-E6ED22D4B5E1", "Link")</f>
        <v/>
      </c>
      <c r="E413" s="3" t="n">
        <v>130.395</v>
      </c>
      <c r="F413" s="4" t="n">
        <v>13</v>
      </c>
      <c r="G413" t="inlineStr">
        <is>
          <t>Ontario Tennis Association</t>
        </is>
      </c>
      <c r="H413" t="inlineStr">
        <is>
          <t>The Supreme Court Tennis Club</t>
        </is>
      </c>
      <c r="I413" t="n">
        <v>35</v>
      </c>
      <c r="J413" s="4" t="n">
        <v>95</v>
      </c>
      <c r="K413" t="inlineStr">
        <is>
          <t>24 / 71</t>
        </is>
      </c>
      <c r="L413" t="inlineStr">
        <is>
          <t>5 / 8</t>
        </is>
      </c>
      <c r="M413" s="5" t="n">
        <v>0.25</v>
      </c>
      <c r="N413" s="5" t="n">
        <v>0.38</v>
      </c>
    </row>
    <row r="414">
      <c r="A414" t="n">
        <v>413</v>
      </c>
      <c r="B414" t="n">
        <v>2013</v>
      </c>
      <c r="C414" t="inlineStr">
        <is>
          <t>Alyxandra Grace Bellot Wildeman</t>
        </is>
      </c>
      <c r="D414">
        <f>HYPERLINK("https://ota.tournamentsoftware.com/player-profile/E2171261-67FD-4CFA-B4F2-64D9B979CCE5", "Link")</f>
        <v/>
      </c>
      <c r="E414" s="3" t="n">
        <v>129.593</v>
      </c>
      <c r="F414" s="4" t="n">
        <v>12</v>
      </c>
      <c r="G414" t="inlineStr">
        <is>
          <t>British Columbia</t>
        </is>
      </c>
      <c r="H414" t="inlineStr">
        <is>
          <t>Vanguard Tennis Academy</t>
        </is>
      </c>
      <c r="I414" t="n">
        <v>34.2</v>
      </c>
      <c r="J414" s="4" t="n">
        <v>120</v>
      </c>
      <c r="K414" t="inlineStr">
        <is>
          <t>53 / 67</t>
        </is>
      </c>
      <c r="L414" t="inlineStr">
        <is>
          <t>9 / 9</t>
        </is>
      </c>
      <c r="M414" s="5" t="n">
        <v>0.44</v>
      </c>
      <c r="N414" s="5" t="n">
        <v>0.5</v>
      </c>
    </row>
    <row r="415">
      <c r="A415" t="n">
        <v>414</v>
      </c>
      <c r="B415" t="n">
        <v>2014</v>
      </c>
      <c r="C415" t="inlineStr">
        <is>
          <t>Scarlett Hannah Yip</t>
        </is>
      </c>
      <c r="D415">
        <f>HYPERLINK("https://ota.tournamentsoftware.com/player-profile/D01B38C8-E207-4D1F-B33D-970B1F8BDC78", "Link")</f>
        <v/>
      </c>
      <c r="E415" s="3" t="n">
        <v>128.523</v>
      </c>
      <c r="F415" s="4" t="n">
        <v>12</v>
      </c>
      <c r="G415" t="inlineStr">
        <is>
          <t>Tennis Alberta</t>
        </is>
      </c>
      <c r="H415" t="inlineStr">
        <is>
          <t>Osten &amp; Victor Alberta Tennis Centre</t>
        </is>
      </c>
      <c r="I415" t="n">
        <v>33.7</v>
      </c>
      <c r="J415" s="4" t="n">
        <v>146</v>
      </c>
      <c r="K415" t="inlineStr">
        <is>
          <t>65 / 81</t>
        </is>
      </c>
      <c r="L415" t="inlineStr">
        <is>
          <t>6 / 8</t>
        </is>
      </c>
      <c r="M415" s="5" t="n">
        <v>0.45</v>
      </c>
      <c r="N415" s="5" t="n">
        <v>0.43</v>
      </c>
    </row>
    <row r="416">
      <c r="A416" t="n">
        <v>415</v>
      </c>
      <c r="B416" t="n">
        <v>2014</v>
      </c>
      <c r="C416" t="inlineStr">
        <is>
          <t>Afsoune Wassel</t>
        </is>
      </c>
      <c r="D416">
        <f>HYPERLINK("https://ota.tournamentsoftware.com/player-profile/72D5D7A1-94DE-47DF-B01E-F83205C53092", "Link")</f>
        <v/>
      </c>
      <c r="E416" s="3" t="n">
        <v>128.099</v>
      </c>
      <c r="F416" s="4" t="n">
        <v>22</v>
      </c>
      <c r="G416" t="inlineStr">
        <is>
          <t>Tennis Québec</t>
        </is>
      </c>
      <c r="H416" t="inlineStr">
        <is>
          <t>SANI Sport</t>
        </is>
      </c>
      <c r="I416" t="n">
        <v>34.7</v>
      </c>
      <c r="J416" s="4" t="n">
        <v>118</v>
      </c>
      <c r="K416" t="inlineStr">
        <is>
          <t>59 / 59</t>
        </is>
      </c>
      <c r="L416" t="inlineStr">
        <is>
          <t>7 / 13</t>
        </is>
      </c>
      <c r="M416" s="5" t="n">
        <v>0.5</v>
      </c>
      <c r="N416" s="5" t="n">
        <v>0.35</v>
      </c>
    </row>
    <row r="417">
      <c r="A417" t="n">
        <v>416</v>
      </c>
      <c r="B417" t="n">
        <v>2014</v>
      </c>
      <c r="C417" t="inlineStr">
        <is>
          <t>Mikayla Avani Mahanandan</t>
        </is>
      </c>
      <c r="D417">
        <f>HYPERLINK("https://ota.tournamentsoftware.com/player-profile/DAFD5F0F-733D-4242-B572-5905268B6041", "Link")</f>
        <v/>
      </c>
      <c r="E417" s="3" t="n">
        <v>127.05</v>
      </c>
      <c r="F417" s="4" t="n">
        <v>21</v>
      </c>
      <c r="G417" t="inlineStr">
        <is>
          <t>Ontario Tennis Association</t>
        </is>
      </c>
      <c r="H417" t="inlineStr">
        <is>
          <t>Premier Racquet Clubs – Mississauga</t>
        </is>
      </c>
      <c r="I417" t="inlineStr">
        <is>
          <t>unavailable</t>
        </is>
      </c>
      <c r="J417" s="4" t="n">
        <v>105</v>
      </c>
      <c r="K417" t="inlineStr">
        <is>
          <t>36 / 69</t>
        </is>
      </c>
      <c r="L417" t="inlineStr">
        <is>
          <t>12 / 20</t>
        </is>
      </c>
      <c r="M417" s="5" t="n">
        <v>0.34</v>
      </c>
      <c r="N417" s="5" t="n">
        <v>0.38</v>
      </c>
    </row>
    <row r="418">
      <c r="A418" t="n">
        <v>417</v>
      </c>
      <c r="B418" t="n">
        <v>2014</v>
      </c>
      <c r="C418" t="inlineStr">
        <is>
          <t>Rain Yu Chan</t>
        </is>
      </c>
      <c r="D418">
        <f>HYPERLINK("https://ota.tournamentsoftware.com/player-profile/BF26AD2D-BAAC-4E82-A862-14039C1584F2", "Link")</f>
        <v/>
      </c>
      <c r="E418" s="3" t="n">
        <v>125.263</v>
      </c>
      <c r="F418" s="4" t="n">
        <v>32</v>
      </c>
      <c r="G418" t="inlineStr">
        <is>
          <t>British Columbia</t>
        </is>
      </c>
      <c r="H418" t="inlineStr">
        <is>
          <t>Burnaby Tennis Club</t>
        </is>
      </c>
      <c r="I418" t="inlineStr">
        <is>
          <t>unavailable</t>
        </is>
      </c>
      <c r="J418" s="4" t="n">
        <v>199</v>
      </c>
      <c r="K418" t="inlineStr">
        <is>
          <t>93 / 106</t>
        </is>
      </c>
      <c r="L418" t="inlineStr">
        <is>
          <t>27 / 29</t>
        </is>
      </c>
      <c r="M418" s="5" t="n">
        <v>0.47</v>
      </c>
      <c r="N418" s="5" t="n">
        <v>0.48</v>
      </c>
    </row>
    <row r="419">
      <c r="A419" t="n">
        <v>418</v>
      </c>
      <c r="B419" t="n">
        <v>2015</v>
      </c>
      <c r="C419" t="inlineStr">
        <is>
          <t>Xinyue Grace zhu</t>
        </is>
      </c>
      <c r="D419">
        <f>HYPERLINK("https://ota.tournamentsoftware.com/player-profile/9C1D6B37-A27B-4B15-8F8F-72E6D4418B50", "Link")</f>
        <v/>
      </c>
      <c r="E419" s="3" t="n">
        <v>124.998</v>
      </c>
      <c r="F419" s="4" t="n">
        <v>13</v>
      </c>
      <c r="G419" t="inlineStr">
        <is>
          <t>British Columbia</t>
        </is>
      </c>
      <c r="H419" t="inlineStr">
        <is>
          <t>North Vancouver Tennis Centre</t>
        </is>
      </c>
      <c r="I419" t="inlineStr">
        <is>
          <t>unavailable</t>
        </is>
      </c>
      <c r="J419" s="4" t="n">
        <v>184</v>
      </c>
      <c r="K419" t="inlineStr">
        <is>
          <t>111 / 73</t>
        </is>
      </c>
      <c r="L419" t="inlineStr">
        <is>
          <t>12 / 10</t>
        </is>
      </c>
      <c r="M419" s="5" t="n">
        <v>0.6</v>
      </c>
      <c r="N419" s="5" t="n">
        <v>0.55</v>
      </c>
    </row>
    <row r="420">
      <c r="A420" t="n">
        <v>419</v>
      </c>
      <c r="B420" t="n">
        <v>2013</v>
      </c>
      <c r="C420" t="inlineStr">
        <is>
          <t>Ella Iva Mavretic</t>
        </is>
      </c>
      <c r="D420">
        <f>HYPERLINK("https://ota.tournamentsoftware.com/player-profile/CF99D041-FAEF-47A9-BBE6-3D6335355408", "Link")</f>
        <v/>
      </c>
      <c r="E420" s="3" t="n">
        <v>123.973</v>
      </c>
      <c r="F420" s="4" t="n">
        <v>11</v>
      </c>
      <c r="G420" t="inlineStr">
        <is>
          <t>Ontario Tennis Association</t>
        </is>
      </c>
      <c r="H420" t="inlineStr">
        <is>
          <t>Pinafore Park</t>
        </is>
      </c>
      <c r="I420" t="n">
        <v>35.2</v>
      </c>
      <c r="J420" s="4" t="n">
        <v>196</v>
      </c>
      <c r="K420" t="inlineStr">
        <is>
          <t>87 / 109</t>
        </is>
      </c>
      <c r="L420" t="inlineStr">
        <is>
          <t>3 / 5</t>
        </is>
      </c>
      <c r="M420" s="5" t="n">
        <v>0.44</v>
      </c>
      <c r="N420" s="5" t="n">
        <v>0.38</v>
      </c>
    </row>
    <row r="421">
      <c r="A421" t="n">
        <v>420</v>
      </c>
      <c r="B421" t="n">
        <v>2015</v>
      </c>
      <c r="C421" t="inlineStr">
        <is>
          <t>Chloe Zhiyan Bai</t>
        </is>
      </c>
      <c r="D421">
        <f>HYPERLINK("https://ota.tournamentsoftware.com/player-profile/D190414C-9B0E-4001-86BC-CD88F7FCF827", "Link")</f>
        <v/>
      </c>
      <c r="E421" s="3" t="n">
        <v>123.895</v>
      </c>
      <c r="F421" s="4" t="n">
        <v>26</v>
      </c>
      <c r="G421" t="inlineStr">
        <is>
          <t>British Columbia</t>
        </is>
      </c>
      <c r="H421" t="inlineStr">
        <is>
          <t>Tennis BC Hub @ Richmond</t>
        </is>
      </c>
      <c r="I421" t="inlineStr">
        <is>
          <t>unavailable</t>
        </is>
      </c>
      <c r="J421" s="4" t="n">
        <v>170</v>
      </c>
      <c r="K421" t="inlineStr">
        <is>
          <t>78 / 92</t>
        </is>
      </c>
      <c r="L421" t="inlineStr">
        <is>
          <t>25 / 19</t>
        </is>
      </c>
      <c r="M421" s="5" t="n">
        <v>0.46</v>
      </c>
      <c r="N421" s="5" t="n">
        <v>0.57</v>
      </c>
    </row>
    <row r="422">
      <c r="A422" t="n">
        <v>421</v>
      </c>
      <c r="B422" t="n">
        <v>2014</v>
      </c>
      <c r="C422" t="inlineStr">
        <is>
          <t>Olivia Lee</t>
        </is>
      </c>
      <c r="D422">
        <f>HYPERLINK("https://ota.tournamentsoftware.com/player-profile/DEF89846-A0EF-4373-B8DC-8305F756E612", "Link")</f>
        <v/>
      </c>
      <c r="E422" s="3" t="n">
        <v>122.446</v>
      </c>
      <c r="F422" s="4" t="n">
        <v>26</v>
      </c>
      <c r="G422" t="inlineStr">
        <is>
          <t>Tennis Québec</t>
        </is>
      </c>
      <c r="H422" t="inlineStr">
        <is>
          <t>SANI Sport</t>
        </is>
      </c>
      <c r="I422" t="n">
        <v>36.4</v>
      </c>
      <c r="J422" s="4" t="n">
        <v>110</v>
      </c>
      <c r="K422" t="inlineStr">
        <is>
          <t>41 / 69</t>
        </is>
      </c>
      <c r="L422" t="inlineStr">
        <is>
          <t>11 / 21</t>
        </is>
      </c>
      <c r="M422" s="5" t="n">
        <v>0.37</v>
      </c>
      <c r="N422" s="5" t="n">
        <v>0.34</v>
      </c>
    </row>
    <row r="423">
      <c r="A423" t="n">
        <v>422</v>
      </c>
      <c r="B423" t="n">
        <v>2012</v>
      </c>
      <c r="C423" t="inlineStr">
        <is>
          <t>Isabella Sofia Zrnic</t>
        </is>
      </c>
      <c r="D423">
        <f>HYPERLINK("https://ota.tournamentsoftware.com/player-profile/C8963CF4-1E95-43AF-B92C-08778B2BA616", "Link")</f>
        <v/>
      </c>
      <c r="E423" s="3" t="n">
        <v>122.414</v>
      </c>
      <c r="F423" s="4" t="n">
        <v>14</v>
      </c>
      <c r="G423" t="inlineStr">
        <is>
          <t>Ontario Tennis Association</t>
        </is>
      </c>
      <c r="H423" t="inlineStr">
        <is>
          <t>Lawrence Park Tennis Club</t>
        </is>
      </c>
      <c r="I423" t="n">
        <v>35.4</v>
      </c>
      <c r="J423" s="4" t="n">
        <v>66</v>
      </c>
      <c r="K423" t="inlineStr">
        <is>
          <t>27 / 39</t>
        </is>
      </c>
      <c r="L423" t="inlineStr">
        <is>
          <t>6 / 9</t>
        </is>
      </c>
      <c r="M423" s="5" t="n">
        <v>0.41</v>
      </c>
      <c r="N423" s="5" t="n">
        <v>0.4</v>
      </c>
    </row>
    <row r="424">
      <c r="A424" t="n">
        <v>423</v>
      </c>
      <c r="B424" t="n">
        <v>2013</v>
      </c>
      <c r="C424" t="inlineStr">
        <is>
          <t>Mathilda Adaline Manning</t>
        </is>
      </c>
      <c r="D424">
        <f>HYPERLINK("https://ota.tournamentsoftware.com/player-profile/68249616-27A6-4807-9978-802C0CDC784E", "Link")</f>
        <v/>
      </c>
      <c r="E424" s="3" t="n">
        <v>120.16</v>
      </c>
      <c r="F424" s="4" t="n">
        <v>6</v>
      </c>
      <c r="G424" t="inlineStr">
        <is>
          <t>Ontario Tennis Association</t>
        </is>
      </c>
      <c r="H424" t="inlineStr">
        <is>
          <t>Niagara Academy of Tennis</t>
        </is>
      </c>
      <c r="I424" t="n">
        <v>29.2</v>
      </c>
      <c r="J424" s="4" t="n">
        <v>12</v>
      </c>
      <c r="K424" t="inlineStr">
        <is>
          <t>8 / 4</t>
        </is>
      </c>
      <c r="L424" t="inlineStr">
        <is>
          <t>0 / 0</t>
        </is>
      </c>
      <c r="M424" s="5" t="n">
        <v>0.67</v>
      </c>
      <c r="N424" s="5" t="n">
        <v>0</v>
      </c>
    </row>
    <row r="425">
      <c r="A425" t="n">
        <v>424</v>
      </c>
      <c r="B425" t="n">
        <v>2013</v>
      </c>
      <c r="C425" t="inlineStr">
        <is>
          <t>Ellie Patricia Wilson</t>
        </is>
      </c>
      <c r="D425">
        <f>HYPERLINK("https://ota.tournamentsoftware.com/player-profile/CB4D2A63-DEA3-4EB8-9085-4317BC39804E", "Link")</f>
        <v/>
      </c>
      <c r="E425" s="3" t="n">
        <v>119.767</v>
      </c>
      <c r="F425" s="4" t="n">
        <v>11</v>
      </c>
      <c r="G425" t="inlineStr">
        <is>
          <t>Ontario Tennis Association</t>
        </is>
      </c>
      <c r="H425" t="inlineStr">
        <is>
          <t>Milton Tennis Club</t>
        </is>
      </c>
      <c r="I425" t="n">
        <v>34.4</v>
      </c>
      <c r="J425" s="4" t="n">
        <v>64</v>
      </c>
      <c r="K425" t="inlineStr">
        <is>
          <t>23 / 41</t>
        </is>
      </c>
      <c r="L425" t="inlineStr">
        <is>
          <t>2 / 4</t>
        </is>
      </c>
      <c r="M425" s="5" t="n">
        <v>0.36</v>
      </c>
      <c r="N425" s="5" t="n">
        <v>0.33</v>
      </c>
    </row>
    <row r="426">
      <c r="A426" t="n">
        <v>425</v>
      </c>
      <c r="B426" t="n">
        <v>2015</v>
      </c>
      <c r="C426" t="inlineStr">
        <is>
          <t>Isla Suokas</t>
        </is>
      </c>
      <c r="D426">
        <f>HYPERLINK("https://ota.tournamentsoftware.com/player-profile/4CF0CDA6-2600-4F1B-8775-31212B766E74", "Link")</f>
        <v/>
      </c>
      <c r="E426" s="3" t="n">
        <v>118.8</v>
      </c>
      <c r="F426" s="4" t="n">
        <v>19</v>
      </c>
      <c r="G426" t="inlineStr">
        <is>
          <t>Ontario Tennis Association</t>
        </is>
      </c>
      <c r="H426" t="inlineStr">
        <is>
          <t>Boulevard Club</t>
        </is>
      </c>
      <c r="I426" t="n">
        <v>34.9</v>
      </c>
      <c r="J426" s="4" t="n">
        <v>95</v>
      </c>
      <c r="K426" t="inlineStr">
        <is>
          <t>57 / 38</t>
        </is>
      </c>
      <c r="L426" t="inlineStr">
        <is>
          <t>22 / 15</t>
        </is>
      </c>
      <c r="M426" s="5" t="n">
        <v>0.6</v>
      </c>
      <c r="N426" s="5" t="n">
        <v>0.59</v>
      </c>
    </row>
    <row r="427">
      <c r="A427" t="n">
        <v>426</v>
      </c>
      <c r="B427" t="n">
        <v>2012</v>
      </c>
      <c r="C427" t="inlineStr">
        <is>
          <t>Myra Chowdhary</t>
        </is>
      </c>
      <c r="D427">
        <f>HYPERLINK("https://ota.tournamentsoftware.com/player-profile/CE7139B1-580D-4EF4-A747-D0E1E897EAFB", "Link")</f>
        <v/>
      </c>
      <c r="E427" s="3" t="n">
        <v>118.026</v>
      </c>
      <c r="F427" s="4" t="n">
        <v>8</v>
      </c>
      <c r="G427" t="inlineStr">
        <is>
          <t>Ontario Tennis Association</t>
        </is>
      </c>
      <c r="H427" t="inlineStr">
        <is>
          <t>Youngs Sportsplex</t>
        </is>
      </c>
      <c r="I427" t="n">
        <v>38.8</v>
      </c>
      <c r="J427" s="4" t="n">
        <v>38</v>
      </c>
      <c r="K427" t="inlineStr">
        <is>
          <t>12 / 26</t>
        </is>
      </c>
      <c r="L427" t="inlineStr">
        <is>
          <t>4 / 10</t>
        </is>
      </c>
      <c r="M427" s="5" t="n">
        <v>0.32</v>
      </c>
      <c r="N427" s="5" t="n">
        <v>0.29</v>
      </c>
    </row>
    <row r="428">
      <c r="A428" t="n">
        <v>427</v>
      </c>
      <c r="B428" t="n">
        <v>2013</v>
      </c>
      <c r="C428" t="inlineStr">
        <is>
          <t>Zaria Antonella Tambini</t>
        </is>
      </c>
      <c r="D428">
        <f>HYPERLINK("https://ota.tournamentsoftware.com/player-profile/92DDE685-2967-4CDD-8CA6-2827E6AC3AEB", "Link")</f>
        <v/>
      </c>
      <c r="E428" s="3" t="n">
        <v>117.899</v>
      </c>
      <c r="F428" s="4" t="n">
        <v>5</v>
      </c>
      <c r="G428" t="inlineStr">
        <is>
          <t>Ontario Tennis Association</t>
        </is>
      </c>
      <c r="H428" t="inlineStr">
        <is>
          <t>Headwaters Racquet Club</t>
        </is>
      </c>
      <c r="I428" t="n">
        <v>38</v>
      </c>
      <c r="J428" s="4" t="n">
        <v>22</v>
      </c>
      <c r="K428" t="inlineStr">
        <is>
          <t>10 / 12</t>
        </is>
      </c>
      <c r="L428" t="inlineStr">
        <is>
          <t>5 / 10</t>
        </is>
      </c>
      <c r="M428" s="5" t="n">
        <v>0.45</v>
      </c>
      <c r="N428" s="5" t="n">
        <v>0.33</v>
      </c>
    </row>
    <row r="429">
      <c r="A429" t="n">
        <v>428</v>
      </c>
      <c r="B429" t="n">
        <v>2015</v>
      </c>
      <c r="C429" t="inlineStr">
        <is>
          <t>Grace Raymond</t>
        </is>
      </c>
      <c r="D429">
        <f>HYPERLINK("https://ota.tournamentsoftware.com/player-profile/879338D5-D59E-4EA6-A8E9-135220F52905", "Link")</f>
        <v/>
      </c>
      <c r="E429" s="3" t="n">
        <v>117.654</v>
      </c>
      <c r="F429" s="4" t="n">
        <v>14</v>
      </c>
      <c r="G429" t="inlineStr">
        <is>
          <t>Tennis Alberta</t>
        </is>
      </c>
      <c r="H429" t="inlineStr">
        <is>
          <t>Osten &amp; Victor Alberta Tennis Centre</t>
        </is>
      </c>
      <c r="I429" t="n">
        <v>35.7</v>
      </c>
      <c r="J429" s="4" t="n">
        <v>69</v>
      </c>
      <c r="K429" t="inlineStr">
        <is>
          <t>30 / 39</t>
        </is>
      </c>
      <c r="L429" t="inlineStr">
        <is>
          <t>5 / 10</t>
        </is>
      </c>
      <c r="M429" s="5" t="n">
        <v>0.43</v>
      </c>
      <c r="N429" s="5" t="n">
        <v>0.33</v>
      </c>
    </row>
    <row r="430">
      <c r="A430" t="n">
        <v>429</v>
      </c>
      <c r="B430" t="n">
        <v>2015</v>
      </c>
      <c r="C430" t="inlineStr">
        <is>
          <t>Emma Plugaru</t>
        </is>
      </c>
      <c r="D430">
        <f>HYPERLINK("https://ota.tournamentsoftware.com/player-profile/A8C9C47A-4B9A-43CD-97A6-5516A6BAA15D", "Link")</f>
        <v/>
      </c>
      <c r="E430" s="3" t="n">
        <v>117.51</v>
      </c>
      <c r="F430" s="4" t="n">
        <v>16</v>
      </c>
      <c r="G430" t="inlineStr">
        <is>
          <t>Tennis Québec</t>
        </is>
      </c>
      <c r="H430" t="inlineStr">
        <is>
          <t>Tennis 13</t>
        </is>
      </c>
      <c r="I430" t="n">
        <v>33.6</v>
      </c>
      <c r="J430" s="4" t="n">
        <v>131</v>
      </c>
      <c r="K430" t="inlineStr">
        <is>
          <t>72 / 59</t>
        </is>
      </c>
      <c r="L430" t="inlineStr">
        <is>
          <t>19 / 10</t>
        </is>
      </c>
      <c r="M430" s="5" t="n">
        <v>0.55</v>
      </c>
      <c r="N430" s="5" t="n">
        <v>0.66</v>
      </c>
    </row>
    <row r="431">
      <c r="A431" t="n">
        <v>430</v>
      </c>
      <c r="B431" t="n">
        <v>2013</v>
      </c>
      <c r="C431" t="inlineStr">
        <is>
          <t>Adriana Juliana Tambini</t>
        </is>
      </c>
      <c r="D431">
        <f>HYPERLINK("https://ota.tournamentsoftware.com/player-profile/7D7985A7-C189-4AE6-9641-F7EA5AE89364", "Link")</f>
        <v/>
      </c>
      <c r="E431" s="3" t="n">
        <v>116.516</v>
      </c>
      <c r="F431" s="4" t="n">
        <v>5</v>
      </c>
      <c r="G431" t="inlineStr">
        <is>
          <t>Ontario Tennis Association</t>
        </is>
      </c>
      <c r="H431" t="inlineStr">
        <is>
          <t>Headwaters Racquet Club</t>
        </is>
      </c>
      <c r="I431" t="n">
        <v>38.5</v>
      </c>
      <c r="J431" s="4" t="n">
        <v>20</v>
      </c>
      <c r="K431" t="inlineStr">
        <is>
          <t>11 / 9</t>
        </is>
      </c>
      <c r="L431" t="inlineStr">
        <is>
          <t>6 / 8</t>
        </is>
      </c>
      <c r="M431" s="5" t="n">
        <v>0.55</v>
      </c>
      <c r="N431" s="5" t="n">
        <v>0.43</v>
      </c>
    </row>
    <row r="432">
      <c r="A432" t="n">
        <v>431</v>
      </c>
      <c r="B432" t="n">
        <v>2015</v>
      </c>
      <c r="C432" t="inlineStr">
        <is>
          <t>Sofia Bulynko</t>
        </is>
      </c>
      <c r="D432">
        <f>HYPERLINK("https://ota.tournamentsoftware.com/player-profile/88C213E0-0960-44DC-B9B0-66B1ADEE699B", "Link")</f>
        <v/>
      </c>
      <c r="E432" s="3" t="n">
        <v>116.274</v>
      </c>
      <c r="F432" s="4" t="n">
        <v>10</v>
      </c>
      <c r="G432" t="inlineStr">
        <is>
          <t>Ontario Tennis Association</t>
        </is>
      </c>
      <c r="H432" t="inlineStr">
        <is>
          <t>National Tennis School</t>
        </is>
      </c>
      <c r="I432" t="n">
        <v>35.5</v>
      </c>
      <c r="J432" s="4" t="n">
        <v>53</v>
      </c>
      <c r="K432" t="inlineStr">
        <is>
          <t>27 / 26</t>
        </is>
      </c>
      <c r="L432" t="inlineStr">
        <is>
          <t>10 / 9</t>
        </is>
      </c>
      <c r="M432" s="5" t="n">
        <v>0.51</v>
      </c>
      <c r="N432" s="5" t="n">
        <v>0.53</v>
      </c>
    </row>
    <row r="433">
      <c r="A433" t="n">
        <v>432</v>
      </c>
      <c r="B433" t="n">
        <v>2015</v>
      </c>
      <c r="C433" t="inlineStr">
        <is>
          <t>Mia Pan</t>
        </is>
      </c>
      <c r="D433">
        <f>HYPERLINK("https://ota.tournamentsoftware.com/player-profile/AC58096C-5119-4221-95E0-C06E89FC8EFF", "Link")</f>
        <v/>
      </c>
      <c r="E433" s="3" t="n">
        <v>116.01</v>
      </c>
      <c r="F433" s="4" t="n">
        <v>16</v>
      </c>
      <c r="G433" t="inlineStr">
        <is>
          <t>British Columbia</t>
        </is>
      </c>
      <c r="H433" t="inlineStr">
        <is>
          <t>Vanguard Tennis Academy</t>
        </is>
      </c>
      <c r="I433" t="inlineStr">
        <is>
          <t>unavailable</t>
        </is>
      </c>
      <c r="J433" s="4" t="n">
        <v>121</v>
      </c>
      <c r="K433" t="inlineStr">
        <is>
          <t>69 / 52</t>
        </is>
      </c>
      <c r="L433" t="inlineStr">
        <is>
          <t>25 / 18</t>
        </is>
      </c>
      <c r="M433" s="5" t="n">
        <v>0.57</v>
      </c>
      <c r="N433" s="5" t="n">
        <v>0.58</v>
      </c>
    </row>
    <row r="434">
      <c r="A434" t="n">
        <v>433</v>
      </c>
      <c r="B434" t="n">
        <v>2012</v>
      </c>
      <c r="C434" t="inlineStr">
        <is>
          <t>Daniella Maria SAUCEDO</t>
        </is>
      </c>
      <c r="D434">
        <f>HYPERLINK("https://ota.tournamentsoftware.com/player-profile/45A852A0-99BB-4449-9FC4-8CAEBA4B404C", "Link")</f>
        <v/>
      </c>
      <c r="E434" s="3" t="n">
        <v>115.56</v>
      </c>
      <c r="F434" s="4" t="n">
        <v>7</v>
      </c>
      <c r="G434" t="inlineStr">
        <is>
          <t>Ontario Tennis Association</t>
        </is>
      </c>
      <c r="H434" t="inlineStr">
        <is>
          <t>City of Oakville</t>
        </is>
      </c>
      <c r="I434" t="inlineStr">
        <is>
          <t>unavailable</t>
        </is>
      </c>
      <c r="J434" s="4" t="n">
        <v>137</v>
      </c>
      <c r="K434" t="inlineStr">
        <is>
          <t>72 / 65</t>
        </is>
      </c>
      <c r="L434" t="inlineStr">
        <is>
          <t>0 / 0</t>
        </is>
      </c>
      <c r="M434" s="5" t="n">
        <v>0.53</v>
      </c>
      <c r="N434" s="5" t="n">
        <v>0</v>
      </c>
    </row>
    <row r="435">
      <c r="A435" t="n">
        <v>434</v>
      </c>
      <c r="B435" t="n">
        <v>2013</v>
      </c>
      <c r="C435" t="inlineStr">
        <is>
          <t>Murphy Mofei Gao</t>
        </is>
      </c>
      <c r="D435">
        <f>HYPERLINK("https://ota.tournamentsoftware.com/player-profile/64A4B4DB-7753-451A-A411-16FC49084860", "Link")</f>
        <v/>
      </c>
      <c r="E435" s="3" t="n">
        <v>115.547</v>
      </c>
      <c r="F435" s="4" t="n">
        <v>17</v>
      </c>
      <c r="G435" t="inlineStr">
        <is>
          <t>British Columbia</t>
        </is>
      </c>
      <c r="H435" t="inlineStr">
        <is>
          <t>No Club</t>
        </is>
      </c>
      <c r="I435" t="n">
        <v>37.4</v>
      </c>
      <c r="J435" s="4" t="n">
        <v>138</v>
      </c>
      <c r="K435" t="inlineStr">
        <is>
          <t>18 / 120</t>
        </is>
      </c>
      <c r="L435" t="inlineStr">
        <is>
          <t>3 / 24</t>
        </is>
      </c>
      <c r="M435" s="5" t="n">
        <v>0.13</v>
      </c>
      <c r="N435" s="5" t="n">
        <v>0.11</v>
      </c>
    </row>
    <row r="436">
      <c r="A436" t="n">
        <v>435</v>
      </c>
      <c r="B436" t="n">
        <v>2013</v>
      </c>
      <c r="C436" t="inlineStr">
        <is>
          <t>LEAH SHOJAIE</t>
        </is>
      </c>
      <c r="D436">
        <f>HYPERLINK("https://ota.tournamentsoftware.com/player-profile/A1DEEE7E-F9FE-4AA1-9DCF-5A3FDD2E189E", "Link")</f>
        <v/>
      </c>
      <c r="E436" s="3" t="n">
        <v>114.984</v>
      </c>
      <c r="F436" s="4" t="n">
        <v>9</v>
      </c>
      <c r="G436" t="inlineStr">
        <is>
          <t>Ontario Tennis Association</t>
        </is>
      </c>
      <c r="H436" t="inlineStr">
        <is>
          <t>Valan Tennis Academy</t>
        </is>
      </c>
      <c r="I436" t="n">
        <v>37.2</v>
      </c>
      <c r="J436" s="4" t="n">
        <v>15</v>
      </c>
      <c r="K436" t="inlineStr">
        <is>
          <t>4 / 11</t>
        </is>
      </c>
      <c r="L436" t="inlineStr">
        <is>
          <t>4 / 11</t>
        </is>
      </c>
      <c r="M436" s="5" t="n">
        <v>0.27</v>
      </c>
      <c r="N436" s="5" t="n">
        <v>0.27</v>
      </c>
    </row>
    <row r="437">
      <c r="A437" t="n">
        <v>436</v>
      </c>
      <c r="B437" t="n">
        <v>2015</v>
      </c>
      <c r="C437" t="inlineStr">
        <is>
          <t>Juliet Lauture</t>
        </is>
      </c>
      <c r="D437">
        <f>HYPERLINK("https://ota.tournamentsoftware.com/player-profile/70FC879C-9BB0-4123-BE70-BCB588C22C80", "Link")</f>
        <v/>
      </c>
      <c r="E437" s="3" t="n">
        <v>114.228</v>
      </c>
      <c r="F437" s="4" t="n">
        <v>23</v>
      </c>
      <c r="G437" t="inlineStr">
        <is>
          <t>Tennis Québec</t>
        </is>
      </c>
      <c r="H437" t="inlineStr">
        <is>
          <t>Club Sportif Côte-de-Liesse</t>
        </is>
      </c>
      <c r="I437" t="n">
        <v>35.6</v>
      </c>
      <c r="J437" s="4" t="n">
        <v>106</v>
      </c>
      <c r="K437" t="inlineStr">
        <is>
          <t>59 / 47</t>
        </is>
      </c>
      <c r="L437" t="inlineStr">
        <is>
          <t>20 / 19</t>
        </is>
      </c>
      <c r="M437" s="5" t="n">
        <v>0.5600000000000001</v>
      </c>
      <c r="N437" s="5" t="n">
        <v>0.51</v>
      </c>
    </row>
    <row r="438">
      <c r="A438" t="n">
        <v>437</v>
      </c>
      <c r="B438" t="n">
        <v>2016</v>
      </c>
      <c r="C438" t="inlineStr">
        <is>
          <t>Amaranna Ugwunze</t>
        </is>
      </c>
      <c r="D438">
        <f>HYPERLINK("https://ota.tournamentsoftware.com/player-profile/2C6CBEBE-C5D2-4EC5-B283-CB703335834E", "Link")</f>
        <v/>
      </c>
      <c r="E438" s="3" t="n">
        <v>114.104</v>
      </c>
      <c r="F438" s="4" t="n">
        <v>16</v>
      </c>
      <c r="G438" t="inlineStr">
        <is>
          <t>Ontario Tennis Association</t>
        </is>
      </c>
      <c r="H438" t="inlineStr">
        <is>
          <t>Ontario Racquet Club</t>
        </is>
      </c>
      <c r="I438" t="n">
        <v>34.8</v>
      </c>
      <c r="J438" s="4" t="n">
        <v>86</v>
      </c>
      <c r="K438" t="inlineStr">
        <is>
          <t>44 / 42</t>
        </is>
      </c>
      <c r="L438" t="inlineStr">
        <is>
          <t>20 / 14</t>
        </is>
      </c>
      <c r="M438" s="5" t="n">
        <v>0.51</v>
      </c>
      <c r="N438" s="5" t="n">
        <v>0.59</v>
      </c>
    </row>
    <row r="439">
      <c r="A439" t="n">
        <v>438</v>
      </c>
      <c r="B439" t="n">
        <v>2012</v>
      </c>
      <c r="C439" t="inlineStr">
        <is>
          <t>Zeyu (Anne) Xu</t>
        </is>
      </c>
      <c r="D439">
        <f>HYPERLINK("https://ota.tournamentsoftware.com/player-profile/7D4E0E2F-DC2C-4911-BF16-A07E84364BB7", "Link")</f>
        <v/>
      </c>
      <c r="E439" s="3" t="n">
        <v>113.598</v>
      </c>
      <c r="F439" s="4" t="n">
        <v>10</v>
      </c>
      <c r="G439" t="inlineStr">
        <is>
          <t>British Columbia</t>
        </is>
      </c>
      <c r="H439" t="inlineStr">
        <is>
          <t>Tennis BC Hub @ Richmond</t>
        </is>
      </c>
      <c r="I439" t="n">
        <v>34.6</v>
      </c>
      <c r="J439" s="4" t="n">
        <v>109</v>
      </c>
      <c r="K439" t="inlineStr">
        <is>
          <t>26 / 83</t>
        </is>
      </c>
      <c r="L439" t="inlineStr">
        <is>
          <t>4 / 13</t>
        </is>
      </c>
      <c r="M439" s="5" t="n">
        <v>0.24</v>
      </c>
      <c r="N439" s="5" t="n">
        <v>0.24</v>
      </c>
    </row>
    <row r="440">
      <c r="A440" t="n">
        <v>439</v>
      </c>
      <c r="B440" t="n">
        <v>2015</v>
      </c>
      <c r="C440" t="inlineStr">
        <is>
          <t>Misia Ania Pietras</t>
        </is>
      </c>
      <c r="D440">
        <f>HYPERLINK("https://ota.tournamentsoftware.com/player-profile/81A2D044-B79D-4C29-B0B3-9E7AF48F2811", "Link")</f>
        <v/>
      </c>
      <c r="E440" s="3" t="n">
        <v>113.264</v>
      </c>
      <c r="F440" s="4" t="n">
        <v>15</v>
      </c>
      <c r="G440" t="inlineStr">
        <is>
          <t>Ontario Tennis Association</t>
        </is>
      </c>
      <c r="H440" t="inlineStr">
        <is>
          <t>The Tennis School</t>
        </is>
      </c>
      <c r="I440" t="n">
        <v>35.2</v>
      </c>
      <c r="J440" s="4" t="n">
        <v>56</v>
      </c>
      <c r="K440" t="inlineStr">
        <is>
          <t>32 / 24</t>
        </is>
      </c>
      <c r="L440" t="inlineStr">
        <is>
          <t>15 / 9</t>
        </is>
      </c>
      <c r="M440" s="5" t="n">
        <v>0.57</v>
      </c>
      <c r="N440" s="5" t="n">
        <v>0.62</v>
      </c>
    </row>
    <row r="441">
      <c r="A441" t="n">
        <v>440</v>
      </c>
      <c r="B441" t="n">
        <v>2013</v>
      </c>
      <c r="C441" t="inlineStr">
        <is>
          <t>Stella Marion Thoms</t>
        </is>
      </c>
      <c r="D441">
        <f>HYPERLINK("https://ota.tournamentsoftware.com/player-profile/26731833-04E0-4736-BC60-733715112E5E", "Link")</f>
        <v/>
      </c>
      <c r="E441" s="3" t="n">
        <v>113.237</v>
      </c>
      <c r="F441" s="4" t="n">
        <v>7</v>
      </c>
      <c r="G441" t="inlineStr">
        <is>
          <t>Tennis Newfoundland &amp; Labrador</t>
        </is>
      </c>
      <c r="H441" t="inlineStr">
        <is>
          <t>Riverdale Tennis Club</t>
        </is>
      </c>
      <c r="I441" t="n">
        <v>34.7</v>
      </c>
      <c r="J441" s="4" t="n">
        <v>44</v>
      </c>
      <c r="K441" t="inlineStr">
        <is>
          <t>25 / 19</t>
        </is>
      </c>
      <c r="L441" t="inlineStr">
        <is>
          <t>5 / 7</t>
        </is>
      </c>
      <c r="M441" s="5" t="n">
        <v>0.57</v>
      </c>
      <c r="N441" s="5" t="n">
        <v>0.42</v>
      </c>
    </row>
    <row r="442">
      <c r="A442" t="n">
        <v>441</v>
      </c>
      <c r="B442" t="n">
        <v>2014</v>
      </c>
      <c r="C442" t="inlineStr">
        <is>
          <t>Maxine Andrea Subsuban</t>
        </is>
      </c>
      <c r="D442">
        <f>HYPERLINK("https://ota.tournamentsoftware.com/player-profile/330D8089-39D5-4A22-8596-8BAAF8D4E02E", "Link")</f>
        <v/>
      </c>
      <c r="E442" s="3" t="n">
        <v>112.585</v>
      </c>
      <c r="F442" s="4" t="n">
        <v>10</v>
      </c>
      <c r="G442" t="inlineStr">
        <is>
          <t>Tennis Alberta</t>
        </is>
      </c>
      <c r="H442" t="inlineStr">
        <is>
          <t>Osten &amp; Victor Alberta Tennis Centre</t>
        </is>
      </c>
      <c r="I442" t="inlineStr">
        <is>
          <t>unavailable</t>
        </is>
      </c>
      <c r="J442" s="4" t="n">
        <v>103</v>
      </c>
      <c r="K442" t="inlineStr">
        <is>
          <t>42 / 61</t>
        </is>
      </c>
      <c r="L442" t="inlineStr">
        <is>
          <t>8 / 10</t>
        </is>
      </c>
      <c r="M442" s="5" t="n">
        <v>0.41</v>
      </c>
      <c r="N442" s="5" t="n">
        <v>0.44</v>
      </c>
    </row>
    <row r="443">
      <c r="A443" t="n">
        <v>442</v>
      </c>
      <c r="B443" t="n">
        <v>2014</v>
      </c>
      <c r="C443" t="inlineStr">
        <is>
          <t>Sonia Leung</t>
        </is>
      </c>
      <c r="D443">
        <f>HYPERLINK("https://ota.tournamentsoftware.com/player-profile/CCA302B0-3E0B-42DA-BCF9-B1A9AF0035E5", "Link")</f>
        <v/>
      </c>
      <c r="E443" s="3" t="n">
        <v>112.32</v>
      </c>
      <c r="F443" s="4" t="n">
        <v>16</v>
      </c>
      <c r="G443" t="inlineStr">
        <is>
          <t>Ontario Tennis Association</t>
        </is>
      </c>
      <c r="H443" t="inlineStr">
        <is>
          <t>Toronto Tennis Academy</t>
        </is>
      </c>
      <c r="I443" t="n">
        <v>35</v>
      </c>
      <c r="J443" s="4" t="n">
        <v>58</v>
      </c>
      <c r="K443" t="inlineStr">
        <is>
          <t>27 / 31</t>
        </is>
      </c>
      <c r="L443" t="inlineStr">
        <is>
          <t>18 / 11</t>
        </is>
      </c>
      <c r="M443" s="5" t="n">
        <v>0.47</v>
      </c>
      <c r="N443" s="5" t="n">
        <v>0.62</v>
      </c>
    </row>
    <row r="444">
      <c r="A444" t="n">
        <v>443</v>
      </c>
      <c r="B444" t="n">
        <v>2015</v>
      </c>
      <c r="C444" t="inlineStr">
        <is>
          <t>Arianna Marquez</t>
        </is>
      </c>
      <c r="D444">
        <f>HYPERLINK("https://ota.tournamentsoftware.com/player-profile/ABB23AE3-6EC2-498B-AA4D-BB89BCBF0088", "Link")</f>
        <v/>
      </c>
      <c r="E444" s="3" t="n">
        <v>112.229</v>
      </c>
      <c r="F444" s="4" t="n">
        <v>16</v>
      </c>
      <c r="G444" t="inlineStr">
        <is>
          <t>Tennis Alberta</t>
        </is>
      </c>
      <c r="H444" t="inlineStr">
        <is>
          <t>Saville Community Sports Centre</t>
        </is>
      </c>
      <c r="I444" t="n">
        <v>33.6</v>
      </c>
      <c r="J444" s="4" t="n">
        <v>141</v>
      </c>
      <c r="K444" t="inlineStr">
        <is>
          <t>90 / 51</t>
        </is>
      </c>
      <c r="L444" t="inlineStr">
        <is>
          <t>14 / 17</t>
        </is>
      </c>
      <c r="M444" s="5" t="n">
        <v>0.64</v>
      </c>
      <c r="N444" s="5" t="n">
        <v>0.45</v>
      </c>
    </row>
    <row r="445">
      <c r="A445" t="n">
        <v>444</v>
      </c>
      <c r="B445" t="n">
        <v>2015</v>
      </c>
      <c r="C445" t="inlineStr">
        <is>
          <t>Allison Penev</t>
        </is>
      </c>
      <c r="D445">
        <f>HYPERLINK("https://ota.tournamentsoftware.com/player-profile/C34C7D86-0233-454A-9C07-62AD41AF32CE", "Link")</f>
        <v/>
      </c>
      <c r="E445" s="3" t="n">
        <v>112.122</v>
      </c>
      <c r="F445" s="4" t="n">
        <v>19</v>
      </c>
      <c r="G445" t="inlineStr">
        <is>
          <t>Tennis Québec</t>
        </is>
      </c>
      <c r="H445" t="inlineStr">
        <is>
          <t>Carrefour Multisports</t>
        </is>
      </c>
      <c r="I445" t="n">
        <v>36.3</v>
      </c>
      <c r="J445" s="4" t="n">
        <v>150</v>
      </c>
      <c r="K445" t="inlineStr">
        <is>
          <t>64 / 86</t>
        </is>
      </c>
      <c r="L445" t="inlineStr">
        <is>
          <t>6 / 16</t>
        </is>
      </c>
      <c r="M445" s="5" t="n">
        <v>0.43</v>
      </c>
      <c r="N445" s="5" t="n">
        <v>0.27</v>
      </c>
    </row>
    <row r="446">
      <c r="A446" t="n">
        <v>445</v>
      </c>
      <c r="B446" t="n">
        <v>2013</v>
      </c>
      <c r="C446" t="inlineStr">
        <is>
          <t>Darcia Rabezandriny</t>
        </is>
      </c>
      <c r="D446">
        <f>HYPERLINK("https://ota.tournamentsoftware.com/player-profile/52069260-9644-4FA6-A8E4-10B4E037765E", "Link")</f>
        <v/>
      </c>
      <c r="E446" s="3" t="n">
        <v>110.988</v>
      </c>
      <c r="F446" s="4" t="n">
        <v>9</v>
      </c>
      <c r="G446" t="inlineStr">
        <is>
          <t>Tennis Québec</t>
        </is>
      </c>
      <c r="H446" t="inlineStr">
        <is>
          <t>AA Autre club</t>
        </is>
      </c>
      <c r="I446" t="n">
        <v>34.6</v>
      </c>
      <c r="J446" s="4" t="n">
        <v>157</v>
      </c>
      <c r="K446" t="inlineStr">
        <is>
          <t>82 / 75</t>
        </is>
      </c>
      <c r="L446" t="inlineStr">
        <is>
          <t>7 / 8</t>
        </is>
      </c>
      <c r="M446" s="5" t="n">
        <v>0.52</v>
      </c>
      <c r="N446" s="5" t="n">
        <v>0.47</v>
      </c>
    </row>
    <row r="447">
      <c r="A447" t="n">
        <v>446</v>
      </c>
      <c r="B447" t="n">
        <v>2014</v>
      </c>
      <c r="C447" t="inlineStr">
        <is>
          <t>Audrey JIA</t>
        </is>
      </c>
      <c r="D447">
        <f>HYPERLINK("https://ota.tournamentsoftware.com/player-profile/3F7A519A-489C-490B-9AA2-F4FCBBCA474F", "Link")</f>
        <v/>
      </c>
      <c r="E447" s="3" t="n">
        <v>110.649</v>
      </c>
      <c r="F447" s="4" t="n">
        <v>16</v>
      </c>
      <c r="G447" t="inlineStr">
        <is>
          <t>Ontario Tennis Association</t>
        </is>
      </c>
      <c r="H447" t="inlineStr">
        <is>
          <t>Newmarket Community Tennis Club</t>
        </is>
      </c>
      <c r="I447" t="inlineStr">
        <is>
          <t>unavailable</t>
        </is>
      </c>
      <c r="J447" s="4" t="n">
        <v>85</v>
      </c>
      <c r="K447" t="inlineStr">
        <is>
          <t>46 / 39</t>
        </is>
      </c>
      <c r="L447" t="inlineStr">
        <is>
          <t>29 / 12</t>
        </is>
      </c>
      <c r="M447" s="5" t="n">
        <v>0.54</v>
      </c>
      <c r="N447" s="5" t="n">
        <v>0.71</v>
      </c>
    </row>
    <row r="448">
      <c r="A448" t="n">
        <v>447</v>
      </c>
      <c r="B448" t="n">
        <v>2014</v>
      </c>
      <c r="C448" t="inlineStr">
        <is>
          <t>Gabriella Geronimo</t>
        </is>
      </c>
      <c r="D448">
        <f>HYPERLINK("https://ota.tournamentsoftware.com/player-profile/E075895A-C22F-4FDB-9A95-CCD353169906", "Link")</f>
        <v/>
      </c>
      <c r="E448" s="3" t="n">
        <v>110.432</v>
      </c>
      <c r="F448" s="4" t="n">
        <v>9</v>
      </c>
      <c r="G448" t="inlineStr">
        <is>
          <t>Ontario Tennis Association</t>
        </is>
      </c>
      <c r="H448" t="inlineStr">
        <is>
          <t>Albion Gardens Tennis Club</t>
        </is>
      </c>
      <c r="I448" t="n">
        <v>33.8</v>
      </c>
      <c r="J448" s="4" t="n">
        <v>200</v>
      </c>
      <c r="K448" t="inlineStr">
        <is>
          <t>113 / 87</t>
        </is>
      </c>
      <c r="L448" t="inlineStr">
        <is>
          <t>5 / 1</t>
        </is>
      </c>
      <c r="M448" s="5" t="n">
        <v>0.5600000000000001</v>
      </c>
      <c r="N448" s="5" t="n">
        <v>0.83</v>
      </c>
    </row>
    <row r="449">
      <c r="A449" t="n">
        <v>448</v>
      </c>
      <c r="B449" t="n">
        <v>2013</v>
      </c>
      <c r="C449" t="inlineStr">
        <is>
          <t>LeeZann Lai</t>
        </is>
      </c>
      <c r="D449">
        <f>HYPERLINK("https://ota.tournamentsoftware.com/player-profile/F653FB3B-D606-4799-98B3-B9B8F7D1D120", "Link")</f>
        <v/>
      </c>
      <c r="E449" s="3" t="n">
        <v>110.16</v>
      </c>
      <c r="F449" s="4" t="n">
        <v>14</v>
      </c>
      <c r="G449" t="inlineStr">
        <is>
          <t>Ontario Tennis Association</t>
        </is>
      </c>
      <c r="H449" t="inlineStr">
        <is>
          <t>Don Mills Tennis Club</t>
        </is>
      </c>
      <c r="I449" t="n">
        <v>34.6</v>
      </c>
      <c r="J449" s="4" t="n">
        <v>53</v>
      </c>
      <c r="K449" t="inlineStr">
        <is>
          <t>22 / 31</t>
        </is>
      </c>
      <c r="L449" t="inlineStr">
        <is>
          <t>6 / 11</t>
        </is>
      </c>
      <c r="M449" s="5" t="n">
        <v>0.42</v>
      </c>
      <c r="N449" s="5" t="n">
        <v>0.35</v>
      </c>
    </row>
    <row r="450">
      <c r="A450" t="n">
        <v>449</v>
      </c>
      <c r="B450" t="n">
        <v>2015</v>
      </c>
      <c r="C450" t="inlineStr">
        <is>
          <t>Namasya Nakul</t>
        </is>
      </c>
      <c r="D450">
        <f>HYPERLINK("https://ota.tournamentsoftware.com/player-profile/30AB6566-4805-4DA5-90A9-E6D59F3D0D64", "Link")</f>
        <v/>
      </c>
      <c r="E450" s="3" t="n">
        <v>109.619</v>
      </c>
      <c r="F450" s="4" t="n">
        <v>18</v>
      </c>
      <c r="G450" t="inlineStr">
        <is>
          <t>British Columbia</t>
        </is>
      </c>
      <c r="H450" t="inlineStr">
        <is>
          <t>Richmond Country Club</t>
        </is>
      </c>
      <c r="I450" t="n">
        <v>33.2</v>
      </c>
      <c r="J450" s="4" t="n">
        <v>115</v>
      </c>
      <c r="K450" t="inlineStr">
        <is>
          <t>62 / 53</t>
        </is>
      </c>
      <c r="L450" t="inlineStr">
        <is>
          <t>22 / 17</t>
        </is>
      </c>
      <c r="M450" s="5" t="n">
        <v>0.54</v>
      </c>
      <c r="N450" s="5" t="n">
        <v>0.5600000000000001</v>
      </c>
    </row>
    <row r="451">
      <c r="A451" t="n">
        <v>450</v>
      </c>
      <c r="B451" t="n">
        <v>2014</v>
      </c>
      <c r="C451" t="inlineStr">
        <is>
          <t>Ranica Li</t>
        </is>
      </c>
      <c r="D451">
        <f>HYPERLINK("https://ota.tournamentsoftware.com/player-profile/5C189397-D536-4086-AA1D-1AD29C093438", "Link")</f>
        <v/>
      </c>
      <c r="E451" s="3" t="n">
        <v>109.291</v>
      </c>
      <c r="F451" s="4" t="n">
        <v>17</v>
      </c>
      <c r="G451" t="inlineStr">
        <is>
          <t>British Columbia</t>
        </is>
      </c>
      <c r="H451" t="inlineStr">
        <is>
          <t>The Tennis Centre</t>
        </is>
      </c>
      <c r="I451" t="n">
        <v>32.7</v>
      </c>
      <c r="J451" s="4" t="n">
        <v>83</v>
      </c>
      <c r="K451" t="inlineStr">
        <is>
          <t>47 / 36</t>
        </is>
      </c>
      <c r="L451" t="inlineStr">
        <is>
          <t>23 / 13</t>
        </is>
      </c>
      <c r="M451" s="5" t="n">
        <v>0.57</v>
      </c>
      <c r="N451" s="5" t="n">
        <v>0.64</v>
      </c>
    </row>
    <row r="452">
      <c r="A452" t="n">
        <v>451</v>
      </c>
      <c r="B452" t="n">
        <v>2012</v>
      </c>
      <c r="C452" t="inlineStr">
        <is>
          <t>Rachael Qing Xu</t>
        </is>
      </c>
      <c r="D452">
        <f>HYPERLINK("https://ota.tournamentsoftware.com/player-profile/EF0FB6C4-F27A-45FB-BD75-3C3F4D9EF188", "Link")</f>
        <v/>
      </c>
      <c r="E452" s="3" t="n">
        <v>108.876</v>
      </c>
      <c r="F452" s="4" t="n">
        <v>2</v>
      </c>
      <c r="G452" t="inlineStr">
        <is>
          <t>Ontario Tennis Association</t>
        </is>
      </c>
      <c r="H452" t="inlineStr">
        <is>
          <t>Rosedale Tennis Club (Hamilton)</t>
        </is>
      </c>
      <c r="I452" t="n">
        <v>37.2</v>
      </c>
      <c r="J452" s="4" t="n">
        <v>55</v>
      </c>
      <c r="K452" t="inlineStr">
        <is>
          <t>20 / 35</t>
        </is>
      </c>
      <c r="L452" t="inlineStr">
        <is>
          <t>0 / 0</t>
        </is>
      </c>
      <c r="M452" s="5" t="n">
        <v>0.36</v>
      </c>
      <c r="N452" s="5" t="n">
        <v>0</v>
      </c>
    </row>
    <row r="453">
      <c r="A453" t="n">
        <v>452</v>
      </c>
      <c r="B453" t="n">
        <v>2014</v>
      </c>
      <c r="C453" t="inlineStr">
        <is>
          <t>SHANAYA CHAUDHARY</t>
        </is>
      </c>
      <c r="D453">
        <f>HYPERLINK("https://ota.tournamentsoftware.com/player-profile/72814258-2663-4B9E-9EB1-0A804D79578E", "Link")</f>
        <v/>
      </c>
      <c r="E453" s="3" t="n">
        <v>107.581</v>
      </c>
      <c r="F453" s="4" t="n">
        <v>8</v>
      </c>
      <c r="G453" t="inlineStr">
        <is>
          <t>Ontario Tennis Association</t>
        </is>
      </c>
      <c r="H453" t="inlineStr">
        <is>
          <t>Waterloo Tennis Club</t>
        </is>
      </c>
      <c r="I453" t="inlineStr">
        <is>
          <t>unavailable</t>
        </is>
      </c>
      <c r="J453" s="4" t="n">
        <v>20</v>
      </c>
      <c r="K453" t="inlineStr">
        <is>
          <t>13 / 7</t>
        </is>
      </c>
      <c r="L453" t="inlineStr">
        <is>
          <t>9 / 4</t>
        </is>
      </c>
      <c r="M453" s="5" t="n">
        <v>0.65</v>
      </c>
      <c r="N453" s="5" t="n">
        <v>0.6899999999999999</v>
      </c>
    </row>
    <row r="454">
      <c r="A454" t="n">
        <v>453</v>
      </c>
      <c r="B454" t="n">
        <v>2014</v>
      </c>
      <c r="C454" t="inlineStr">
        <is>
          <t>Emily Ke</t>
        </is>
      </c>
      <c r="D454">
        <f>HYPERLINK("https://ota.tournamentsoftware.com/player-profile/D0843107-5FBA-4EB4-8781-B60B5E7E1319", "Link")</f>
        <v/>
      </c>
      <c r="E454" s="3" t="n">
        <v>107.414</v>
      </c>
      <c r="F454" s="4" t="n">
        <v>15</v>
      </c>
      <c r="G454" t="inlineStr">
        <is>
          <t>Ontario Tennis Association</t>
        </is>
      </c>
      <c r="H454" t="inlineStr">
        <is>
          <t>Mayfair East Racquet Club</t>
        </is>
      </c>
      <c r="I454" t="n">
        <v>36.2</v>
      </c>
      <c r="J454" s="4" t="n">
        <v>106</v>
      </c>
      <c r="K454" t="inlineStr">
        <is>
          <t>36 / 70</t>
        </is>
      </c>
      <c r="L454" t="inlineStr">
        <is>
          <t>2 / 6</t>
        </is>
      </c>
      <c r="M454" s="5" t="n">
        <v>0.34</v>
      </c>
      <c r="N454" s="5" t="n">
        <v>0.25</v>
      </c>
    </row>
    <row r="455">
      <c r="A455" t="n">
        <v>454</v>
      </c>
      <c r="B455" t="n">
        <v>2012</v>
      </c>
      <c r="C455" t="inlineStr">
        <is>
          <t>Clémence Martin</t>
        </is>
      </c>
      <c r="D455">
        <f>HYPERLINK("https://ota.tournamentsoftware.com/player-profile/CF2B02DD-EFB8-49FD-8774-B98F78A30C1A", "Link")</f>
        <v/>
      </c>
      <c r="E455" s="3" t="n">
        <v>107.179</v>
      </c>
      <c r="F455" s="4" t="n">
        <v>4</v>
      </c>
      <c r="G455" t="inlineStr">
        <is>
          <t>Tennis Québec</t>
        </is>
      </c>
      <c r="H455" t="inlineStr">
        <is>
          <t>Centre sportif Sport Scène / Élite Tennis Académie</t>
        </is>
      </c>
      <c r="I455" t="n">
        <v>34.6</v>
      </c>
      <c r="J455" s="4" t="n">
        <v>29</v>
      </c>
      <c r="K455" t="inlineStr">
        <is>
          <t>15 / 14</t>
        </is>
      </c>
      <c r="L455" t="inlineStr">
        <is>
          <t>1 / 4</t>
        </is>
      </c>
      <c r="M455" s="5" t="n">
        <v>0.52</v>
      </c>
      <c r="N455" s="5" t="n">
        <v>0.2</v>
      </c>
    </row>
    <row r="456">
      <c r="A456" t="n">
        <v>455</v>
      </c>
      <c r="B456" t="n">
        <v>2014</v>
      </c>
      <c r="C456" t="inlineStr">
        <is>
          <t>Bella Beiqi Zhao</t>
        </is>
      </c>
      <c r="D456">
        <f>HYPERLINK("https://ota.tournamentsoftware.com/player-profile/440C1FD3-B189-4153-99D4-C9B6B43D7D03", "Link")</f>
        <v/>
      </c>
      <c r="E456" s="3" t="n">
        <v>105.824</v>
      </c>
      <c r="F456" s="4" t="n">
        <v>27</v>
      </c>
      <c r="G456" t="inlineStr">
        <is>
          <t>British Columbia</t>
        </is>
      </c>
      <c r="H456" t="inlineStr">
        <is>
          <t>No Club</t>
        </is>
      </c>
      <c r="I456" t="n">
        <v>32.8</v>
      </c>
      <c r="J456" s="4" t="n">
        <v>202</v>
      </c>
      <c r="K456" t="inlineStr">
        <is>
          <t>81 / 121</t>
        </is>
      </c>
      <c r="L456" t="inlineStr">
        <is>
          <t>19 / 21</t>
        </is>
      </c>
      <c r="M456" s="5" t="n">
        <v>0.4</v>
      </c>
      <c r="N456" s="5" t="n">
        <v>0.47</v>
      </c>
    </row>
    <row r="457">
      <c r="A457" t="n">
        <v>456</v>
      </c>
      <c r="B457" t="n">
        <v>2014</v>
      </c>
      <c r="C457" t="inlineStr">
        <is>
          <t>Abigail Curilscaia</t>
        </is>
      </c>
      <c r="D457">
        <f>HYPERLINK("https://ota.tournamentsoftware.com/player-profile/275CB740-D9DB-4B51-8864-93A2F0D91A3B", "Link")</f>
        <v/>
      </c>
      <c r="E457" s="3" t="n">
        <v>105.422</v>
      </c>
      <c r="F457" s="4" t="n">
        <v>13</v>
      </c>
      <c r="G457" t="inlineStr">
        <is>
          <t>Tennis Alberta</t>
        </is>
      </c>
      <c r="H457" t="inlineStr">
        <is>
          <t>Aforza</t>
        </is>
      </c>
      <c r="I457" t="n">
        <v>32</v>
      </c>
      <c r="J457" s="4" t="n">
        <v>91</v>
      </c>
      <c r="K457" t="inlineStr">
        <is>
          <t>40 / 51</t>
        </is>
      </c>
      <c r="L457" t="inlineStr">
        <is>
          <t>17 / 10</t>
        </is>
      </c>
      <c r="M457" s="5" t="n">
        <v>0.44</v>
      </c>
      <c r="N457" s="5" t="n">
        <v>0.63</v>
      </c>
    </row>
    <row r="458">
      <c r="A458" t="n">
        <v>457</v>
      </c>
      <c r="B458" t="n">
        <v>2013</v>
      </c>
      <c r="C458" t="inlineStr">
        <is>
          <t>Sofia Anne Brunetto</t>
        </is>
      </c>
      <c r="D458">
        <f>HYPERLINK("https://ota.tournamentsoftware.com/player-profile/C2843F1F-C701-4853-A79C-051450F19D77", "Link")</f>
        <v/>
      </c>
      <c r="E458" s="3" t="n">
        <v>104.939</v>
      </c>
      <c r="F458" s="4" t="n">
        <v>7</v>
      </c>
      <c r="G458" t="inlineStr">
        <is>
          <t>Ontario Tennis Association</t>
        </is>
      </c>
      <c r="H458" t="inlineStr">
        <is>
          <t>Zekelman Tennis Centre</t>
        </is>
      </c>
      <c r="I458" t="n">
        <v>33.3</v>
      </c>
      <c r="J458" s="4" t="n">
        <v>19</v>
      </c>
      <c r="K458" t="inlineStr">
        <is>
          <t>8 / 11</t>
        </is>
      </c>
      <c r="L458" t="inlineStr">
        <is>
          <t>3 / 6</t>
        </is>
      </c>
      <c r="M458" s="5" t="n">
        <v>0.42</v>
      </c>
      <c r="N458" s="5" t="n">
        <v>0.33</v>
      </c>
    </row>
    <row r="459">
      <c r="A459" t="n">
        <v>458</v>
      </c>
      <c r="B459" t="n">
        <v>2016</v>
      </c>
      <c r="C459" t="inlineStr">
        <is>
          <t>Paulina Mangal</t>
        </is>
      </c>
      <c r="D459">
        <f>HYPERLINK("https://ota.tournamentsoftware.com/player-profile/ADDD5986-263D-4338-B6C0-6F72A2AC55F7", "Link")</f>
        <v/>
      </c>
      <c r="E459" s="3" t="n">
        <v>103.426</v>
      </c>
      <c r="F459" s="4" t="n">
        <v>20</v>
      </c>
      <c r="G459" t="inlineStr">
        <is>
          <t>Ontario Tennis Association</t>
        </is>
      </c>
      <c r="H459" t="inlineStr">
        <is>
          <t>Premier Racquet Clubs – Mississauga</t>
        </is>
      </c>
      <c r="I459" t="n">
        <v>36.2</v>
      </c>
      <c r="J459" s="4" t="n">
        <v>173</v>
      </c>
      <c r="K459" t="inlineStr">
        <is>
          <t>73 / 100</t>
        </is>
      </c>
      <c r="L459" t="inlineStr">
        <is>
          <t>14 / 15</t>
        </is>
      </c>
      <c r="M459" s="5" t="n">
        <v>0.42</v>
      </c>
      <c r="N459" s="5" t="n">
        <v>0.48</v>
      </c>
    </row>
    <row r="460">
      <c r="A460" t="n">
        <v>459</v>
      </c>
      <c r="B460" t="n">
        <v>2015</v>
      </c>
      <c r="C460" t="inlineStr">
        <is>
          <t>Anna Guzina-McLeod</t>
        </is>
      </c>
      <c r="D460">
        <f>HYPERLINK("https://ota.tournamentsoftware.com/player-profile/55F5BC4F-092C-4C72-BFDC-3F60E618D778", "Link")</f>
        <v/>
      </c>
      <c r="E460" s="3" t="n">
        <v>103.216</v>
      </c>
      <c r="F460" s="4" t="n">
        <v>16</v>
      </c>
      <c r="G460" t="inlineStr">
        <is>
          <t>Ontario Tennis Association</t>
        </is>
      </c>
      <c r="H460" t="inlineStr">
        <is>
          <t>Rideau Sports Centre</t>
        </is>
      </c>
      <c r="I460" t="inlineStr">
        <is>
          <t>unavailable</t>
        </is>
      </c>
      <c r="J460" s="4" t="n">
        <v>113</v>
      </c>
      <c r="K460" t="inlineStr">
        <is>
          <t>66 / 47</t>
        </is>
      </c>
      <c r="L460" t="inlineStr">
        <is>
          <t>10 / 14</t>
        </is>
      </c>
      <c r="M460" s="5" t="n">
        <v>0.58</v>
      </c>
      <c r="N460" s="5" t="n">
        <v>0.42</v>
      </c>
    </row>
    <row r="461">
      <c r="A461" t="n">
        <v>460</v>
      </c>
      <c r="B461" t="n">
        <v>2013</v>
      </c>
      <c r="C461" t="inlineStr">
        <is>
          <t>Khaliya Karim</t>
        </is>
      </c>
      <c r="D461">
        <f>HYPERLINK("https://ota.tournamentsoftware.com/player-profile/3982667F-BB84-4AC0-B470-E67D90581DB9", "Link")</f>
        <v/>
      </c>
      <c r="E461" s="3" t="n">
        <v>102.585</v>
      </c>
      <c r="F461" s="4" t="n">
        <v>17</v>
      </c>
      <c r="G461" t="inlineStr">
        <is>
          <t>British Columbia</t>
        </is>
      </c>
      <c r="H461" t="inlineStr">
        <is>
          <t>Arbutus Club</t>
        </is>
      </c>
      <c r="I461" t="n">
        <v>35.5</v>
      </c>
      <c r="J461" s="4" t="n">
        <v>84</v>
      </c>
      <c r="K461" t="inlineStr">
        <is>
          <t>16 / 68</t>
        </is>
      </c>
      <c r="L461" t="inlineStr">
        <is>
          <t>12 / 21</t>
        </is>
      </c>
      <c r="M461" s="5" t="n">
        <v>0.19</v>
      </c>
      <c r="N461" s="5" t="n">
        <v>0.36</v>
      </c>
    </row>
    <row r="462">
      <c r="A462" t="n">
        <v>461</v>
      </c>
      <c r="B462" t="n">
        <v>2014</v>
      </c>
      <c r="C462" t="inlineStr">
        <is>
          <t>Ananya Rao</t>
        </is>
      </c>
      <c r="D462">
        <f>HYPERLINK("https://ota.tournamentsoftware.com/player-profile/D12578BD-BDAF-471D-B53C-09B281C916CB", "Link")</f>
        <v/>
      </c>
      <c r="E462" s="3" t="n">
        <v>102.512</v>
      </c>
      <c r="F462" s="4" t="n">
        <v>16</v>
      </c>
      <c r="G462" t="inlineStr">
        <is>
          <t>Ontario Tennis Association</t>
        </is>
      </c>
      <c r="H462" t="inlineStr">
        <is>
          <t>Carleton Tennis Centre</t>
        </is>
      </c>
      <c r="I462" t="n">
        <v>36.8</v>
      </c>
      <c r="J462" s="4" t="n">
        <v>93</v>
      </c>
      <c r="K462" t="inlineStr">
        <is>
          <t>29 / 64</t>
        </is>
      </c>
      <c r="L462" t="inlineStr">
        <is>
          <t>6 / 9</t>
        </is>
      </c>
      <c r="M462" s="5" t="n">
        <v>0.31</v>
      </c>
      <c r="N462" s="5" t="n">
        <v>0.4</v>
      </c>
    </row>
    <row r="463">
      <c r="A463" t="n">
        <v>462</v>
      </c>
      <c r="B463" t="n">
        <v>2014</v>
      </c>
      <c r="C463" t="inlineStr">
        <is>
          <t>Scarlett Habeebkutty</t>
        </is>
      </c>
      <c r="D463">
        <f>HYPERLINK("https://ota.tournamentsoftware.com/player-profile/B3E7011D-10BF-4CEB-9D49-F24BAE1BE1A2", "Link")</f>
        <v/>
      </c>
      <c r="E463" s="3" t="n">
        <v>102.277</v>
      </c>
      <c r="F463" s="4" t="n">
        <v>5</v>
      </c>
      <c r="G463" t="inlineStr">
        <is>
          <t>Tennis Saskatchewan</t>
        </is>
      </c>
      <c r="H463" t="inlineStr">
        <is>
          <t>Lakeshore Tennis Club</t>
        </is>
      </c>
      <c r="I463" t="n">
        <v>40</v>
      </c>
      <c r="J463" s="4" t="n">
        <v>14</v>
      </c>
      <c r="K463" t="inlineStr">
        <is>
          <t>0 / 14</t>
        </is>
      </c>
      <c r="L463" t="inlineStr">
        <is>
          <t>0 / 14</t>
        </is>
      </c>
      <c r="M463" s="5" t="n">
        <v>0</v>
      </c>
      <c r="N463" s="5" t="n">
        <v>0</v>
      </c>
    </row>
    <row r="464">
      <c r="A464" t="n">
        <v>463</v>
      </c>
      <c r="B464" t="n">
        <v>2015</v>
      </c>
      <c r="C464" t="inlineStr">
        <is>
          <t>Sofia Nasrallah</t>
        </is>
      </c>
      <c r="D464">
        <f>HYPERLINK("https://ota.tournamentsoftware.com/player-profile/FAA88C80-170D-40C3-8A88-6B81077D1F02", "Link")</f>
        <v/>
      </c>
      <c r="E464" s="3" t="n">
        <v>102.129</v>
      </c>
      <c r="F464" s="4" t="n">
        <v>23</v>
      </c>
      <c r="G464" t="inlineStr">
        <is>
          <t>Tennis Québec</t>
        </is>
      </c>
      <c r="H464" t="inlineStr">
        <is>
          <t>Carrefour Multisports</t>
        </is>
      </c>
      <c r="I464" t="n">
        <v>36.8</v>
      </c>
      <c r="J464" s="4" t="n">
        <v>154</v>
      </c>
      <c r="K464" t="inlineStr">
        <is>
          <t>52 / 102</t>
        </is>
      </c>
      <c r="L464" t="inlineStr">
        <is>
          <t>9 / 19</t>
        </is>
      </c>
      <c r="M464" s="5" t="n">
        <v>0.34</v>
      </c>
      <c r="N464" s="5" t="n">
        <v>0.32</v>
      </c>
    </row>
    <row r="465">
      <c r="A465" t="n">
        <v>464</v>
      </c>
      <c r="B465" t="n">
        <v>2013</v>
      </c>
      <c r="C465" t="inlineStr">
        <is>
          <t>Aditi Varma</t>
        </is>
      </c>
      <c r="D465">
        <f>HYPERLINK("https://ota.tournamentsoftware.com/player-profile/EE1E4950-6BCE-4CAA-921A-C5201D737DFF", "Link")</f>
        <v/>
      </c>
      <c r="E465" s="3" t="n">
        <v>101.941</v>
      </c>
      <c r="F465" s="4" t="n">
        <v>10</v>
      </c>
      <c r="G465" t="inlineStr">
        <is>
          <t>Ontario Tennis Association</t>
        </is>
      </c>
      <c r="H465" t="inlineStr">
        <is>
          <t>Ontario Racquet Club</t>
        </is>
      </c>
      <c r="I465" t="n">
        <v>34.9</v>
      </c>
      <c r="J465" s="4" t="n">
        <v>87</v>
      </c>
      <c r="K465" t="inlineStr">
        <is>
          <t>26 / 61</t>
        </is>
      </c>
      <c r="L465" t="inlineStr">
        <is>
          <t>2 / 5</t>
        </is>
      </c>
      <c r="M465" s="5" t="n">
        <v>0.3</v>
      </c>
      <c r="N465" s="5" t="n">
        <v>0.29</v>
      </c>
    </row>
    <row r="466">
      <c r="A466" t="n">
        <v>465</v>
      </c>
      <c r="B466" t="n">
        <v>2012</v>
      </c>
      <c r="C466" t="inlineStr">
        <is>
          <t>aashka vishal devaiya</t>
        </is>
      </c>
      <c r="D466">
        <f>HYPERLINK("https://ota.tournamentsoftware.com/player-profile/99C1CB63-E70E-4FB5-A115-3A252251FA67", "Link")</f>
        <v/>
      </c>
      <c r="E466" s="3" t="n">
        <v>100.829</v>
      </c>
      <c r="F466" s="4" t="n">
        <v>1</v>
      </c>
      <c r="G466" t="inlineStr">
        <is>
          <t>British Columbia</t>
        </is>
      </c>
      <c r="H466" t="inlineStr">
        <is>
          <t>No Club</t>
        </is>
      </c>
      <c r="I466" t="inlineStr">
        <is>
          <t>unavailable</t>
        </is>
      </c>
      <c r="J466" s="4" t="n">
        <v>3</v>
      </c>
      <c r="K466" t="inlineStr">
        <is>
          <t>2 / 1</t>
        </is>
      </c>
      <c r="L466" t="inlineStr">
        <is>
          <t>2 / 1</t>
        </is>
      </c>
      <c r="M466" s="5" t="n">
        <v>0.67</v>
      </c>
      <c r="N466" s="5" t="n">
        <v>0.67</v>
      </c>
    </row>
    <row r="467">
      <c r="A467" t="n">
        <v>466</v>
      </c>
      <c r="B467" t="n">
        <v>2012</v>
      </c>
      <c r="C467" t="inlineStr">
        <is>
          <t>Emma Fedeyko</t>
        </is>
      </c>
      <c r="D467">
        <f>HYPERLINK("https://ota.tournamentsoftware.com/player-profile/62E06657-0480-40D7-B491-B99DA20E11DF", "Link")</f>
        <v/>
      </c>
      <c r="E467" s="3" t="n">
        <v>99.619</v>
      </c>
      <c r="F467" s="4" t="n">
        <v>8</v>
      </c>
      <c r="G467" t="inlineStr">
        <is>
          <t>Ontario Tennis Association</t>
        </is>
      </c>
      <c r="H467" t="inlineStr">
        <is>
          <t>Ontario Racquet Club</t>
        </is>
      </c>
      <c r="I467" t="n">
        <v>35.5</v>
      </c>
      <c r="J467" s="4" t="n">
        <v>52</v>
      </c>
      <c r="K467" t="inlineStr">
        <is>
          <t>19 / 33</t>
        </is>
      </c>
      <c r="L467" t="inlineStr">
        <is>
          <t>3 / 5</t>
        </is>
      </c>
      <c r="M467" s="5" t="n">
        <v>0.37</v>
      </c>
      <c r="N467" s="5" t="n">
        <v>0.38</v>
      </c>
    </row>
    <row r="468">
      <c r="A468" t="n">
        <v>467</v>
      </c>
      <c r="B468" t="n">
        <v>2013</v>
      </c>
      <c r="C468" t="inlineStr">
        <is>
          <t>Isabelle Duvinage</t>
        </is>
      </c>
      <c r="D468">
        <f>HYPERLINK("https://ota.tournamentsoftware.com/player-profile/7B9DB032-AD8C-41C5-A138-CF844016B7C1", "Link")</f>
        <v/>
      </c>
      <c r="E468" s="3" t="n">
        <v>99.39100000000001</v>
      </c>
      <c r="F468" s="4" t="n">
        <v>5</v>
      </c>
      <c r="G468" t="inlineStr">
        <is>
          <t>Ontario Tennis Association</t>
        </is>
      </c>
      <c r="H468" t="inlineStr">
        <is>
          <t>Kew Gardens Tennis Club</t>
        </is>
      </c>
      <c r="I468" t="n">
        <v>37.9</v>
      </c>
      <c r="J468" s="4" t="n">
        <v>37</v>
      </c>
      <c r="K468" t="inlineStr">
        <is>
          <t>12 / 25</t>
        </is>
      </c>
      <c r="L468" t="inlineStr">
        <is>
          <t>1 / 5</t>
        </is>
      </c>
      <c r="M468" s="5" t="n">
        <v>0.32</v>
      </c>
      <c r="N468" s="5" t="n">
        <v>0.17</v>
      </c>
    </row>
    <row r="469">
      <c r="A469" t="n">
        <v>468</v>
      </c>
      <c r="B469" t="n">
        <v>2015</v>
      </c>
      <c r="C469" t="inlineStr">
        <is>
          <t>Serena Wepadam CHONGATERA</t>
        </is>
      </c>
      <c r="D469">
        <f>HYPERLINK("https://ota.tournamentsoftware.com/player-profile/32A446CD-0BF6-43CA-BCC5-9AE4AEDFD5BE", "Link")</f>
        <v/>
      </c>
      <c r="E469" s="3" t="n">
        <v>99.379</v>
      </c>
      <c r="F469" s="4" t="n">
        <v>5</v>
      </c>
      <c r="G469" t="inlineStr">
        <is>
          <t>Tennis Nova Scotia</t>
        </is>
      </c>
      <c r="H469" t="inlineStr">
        <is>
          <t>HEADSTART</t>
        </is>
      </c>
      <c r="I469" t="n">
        <v>36.8</v>
      </c>
      <c r="J469" s="4" t="n">
        <v>20</v>
      </c>
      <c r="K469" t="inlineStr">
        <is>
          <t>8 / 12</t>
        </is>
      </c>
      <c r="L469" t="inlineStr">
        <is>
          <t>3 / 8</t>
        </is>
      </c>
      <c r="M469" s="5" t="n">
        <v>0.4</v>
      </c>
      <c r="N469" s="5" t="n">
        <v>0.27</v>
      </c>
    </row>
    <row r="470">
      <c r="A470" t="n">
        <v>469</v>
      </c>
      <c r="B470" t="n">
        <v>2014</v>
      </c>
      <c r="C470" t="inlineStr">
        <is>
          <t>Chloe Esther Yeung</t>
        </is>
      </c>
      <c r="D470">
        <f>HYPERLINK("https://ota.tournamentsoftware.com/player-profile/A0100B59-21FE-4244-87C6-16B2DE0DBB96", "Link")</f>
        <v/>
      </c>
      <c r="E470" s="3" t="n">
        <v>99.27800000000001</v>
      </c>
      <c r="F470" s="4" t="n">
        <v>14</v>
      </c>
      <c r="G470" t="inlineStr">
        <is>
          <t>Ontario Tennis Association</t>
        </is>
      </c>
      <c r="H470" t="inlineStr">
        <is>
          <t>Mayfair East Racquet Club</t>
        </is>
      </c>
      <c r="I470" t="n">
        <v>36.6</v>
      </c>
      <c r="J470" s="4" t="n">
        <v>106</v>
      </c>
      <c r="K470" t="inlineStr">
        <is>
          <t>45 / 61</t>
        </is>
      </c>
      <c r="L470" t="inlineStr">
        <is>
          <t>3 / 9</t>
        </is>
      </c>
      <c r="M470" s="5" t="n">
        <v>0.42</v>
      </c>
      <c r="N470" s="5" t="n">
        <v>0.25</v>
      </c>
    </row>
    <row r="471">
      <c r="A471" t="n">
        <v>470</v>
      </c>
      <c r="B471" t="n">
        <v>2013</v>
      </c>
      <c r="C471" t="inlineStr">
        <is>
          <t>Eva Eile</t>
        </is>
      </c>
      <c r="D471">
        <f>HYPERLINK("https://ota.tournamentsoftware.com/player-profile/EE5E7036-3979-48DF-A095-8C40584653EF", "Link")</f>
        <v/>
      </c>
      <c r="E471" s="3" t="n">
        <v>98.694</v>
      </c>
      <c r="F471" s="4" t="n">
        <v>12</v>
      </c>
      <c r="G471" t="inlineStr">
        <is>
          <t>Tennis Québec</t>
        </is>
      </c>
      <c r="H471" t="inlineStr">
        <is>
          <t>Midtown Le Sporting Club Sanctuaire</t>
        </is>
      </c>
      <c r="I471" t="n">
        <v>39</v>
      </c>
      <c r="J471" s="4" t="n">
        <v>21</v>
      </c>
      <c r="K471" t="inlineStr">
        <is>
          <t>3 / 18</t>
        </is>
      </c>
      <c r="L471" t="inlineStr">
        <is>
          <t>0 / 7</t>
        </is>
      </c>
      <c r="M471" s="5" t="n">
        <v>0.14</v>
      </c>
      <c r="N471" s="5" t="n">
        <v>0</v>
      </c>
    </row>
    <row r="472">
      <c r="A472" t="n">
        <v>471</v>
      </c>
      <c r="B472" t="n">
        <v>2012</v>
      </c>
      <c r="C472" t="inlineStr">
        <is>
          <t>Emily Lyn</t>
        </is>
      </c>
      <c r="D472">
        <f>HYPERLINK("https://ota.tournamentsoftware.com/player-profile/952E408B-05E4-4A69-8AAE-E4D164512A9E", "Link")</f>
        <v/>
      </c>
      <c r="E472" s="3" t="n">
        <v>98.52</v>
      </c>
      <c r="F472" s="4" t="n">
        <v>9</v>
      </c>
      <c r="G472" t="inlineStr">
        <is>
          <t>Ontario Tennis Association</t>
        </is>
      </c>
      <c r="H472" t="inlineStr">
        <is>
          <t>Markham Tennis Club</t>
        </is>
      </c>
      <c r="I472" t="n">
        <v>36</v>
      </c>
      <c r="J472" s="4" t="n">
        <v>103</v>
      </c>
      <c r="K472" t="inlineStr">
        <is>
          <t>61 / 42</t>
        </is>
      </c>
      <c r="L472" t="inlineStr">
        <is>
          <t>5 / 6</t>
        </is>
      </c>
      <c r="M472" s="5" t="n">
        <v>0.59</v>
      </c>
      <c r="N472" s="5" t="n">
        <v>0.45</v>
      </c>
    </row>
    <row r="473">
      <c r="A473" t="n">
        <v>472</v>
      </c>
      <c r="B473" t="n">
        <v>2014</v>
      </c>
      <c r="C473" t="inlineStr">
        <is>
          <t>Avril Kymber Lin</t>
        </is>
      </c>
      <c r="D473">
        <f>HYPERLINK("https://ota.tournamentsoftware.com/player-profile/6CFCC91C-A66C-46B5-8430-D2D78CE3EE4B", "Link")</f>
        <v/>
      </c>
      <c r="E473" s="3" t="n">
        <v>98.492</v>
      </c>
      <c r="F473" s="4" t="n">
        <v>13</v>
      </c>
      <c r="G473" t="inlineStr">
        <is>
          <t>Tennis Alberta</t>
        </is>
      </c>
      <c r="H473" t="inlineStr">
        <is>
          <t>Brookside Court &amp; Wellness</t>
        </is>
      </c>
      <c r="I473" t="inlineStr">
        <is>
          <t>unavailable</t>
        </is>
      </c>
      <c r="J473" s="4" t="n">
        <v>101</v>
      </c>
      <c r="K473" t="inlineStr">
        <is>
          <t>40 / 61</t>
        </is>
      </c>
      <c r="L473" t="inlineStr">
        <is>
          <t>10 / 16</t>
        </is>
      </c>
      <c r="M473" s="5" t="n">
        <v>0.4</v>
      </c>
      <c r="N473" s="5" t="n">
        <v>0.38</v>
      </c>
    </row>
    <row r="474">
      <c r="A474" t="n">
        <v>473</v>
      </c>
      <c r="B474" t="n">
        <v>2015</v>
      </c>
      <c r="C474" t="inlineStr">
        <is>
          <t>Mila Venturelli</t>
        </is>
      </c>
      <c r="D474">
        <f>HYPERLINK("https://ota.tournamentsoftware.com/player-profile/BCA3B83C-81C0-4469-B3DA-4E3234E6CA0A", "Link")</f>
        <v/>
      </c>
      <c r="E474" s="3" t="n">
        <v>98.126</v>
      </c>
      <c r="F474" s="4" t="n">
        <v>19</v>
      </c>
      <c r="G474" t="inlineStr">
        <is>
          <t>Tennis Québec</t>
        </is>
      </c>
      <c r="H474" t="inlineStr">
        <is>
          <t>Tennis 13</t>
        </is>
      </c>
      <c r="I474" t="n">
        <v>36.9</v>
      </c>
      <c r="J474" s="4" t="n">
        <v>86</v>
      </c>
      <c r="K474" t="inlineStr">
        <is>
          <t>35 / 51</t>
        </is>
      </c>
      <c r="L474" t="inlineStr">
        <is>
          <t>7 / 14</t>
        </is>
      </c>
      <c r="M474" s="5" t="n">
        <v>0.41</v>
      </c>
      <c r="N474" s="5" t="n">
        <v>0.33</v>
      </c>
    </row>
    <row r="475">
      <c r="A475" t="n">
        <v>474</v>
      </c>
      <c r="B475" t="n">
        <v>2012</v>
      </c>
      <c r="C475" t="inlineStr">
        <is>
          <t>Alice Le</t>
        </is>
      </c>
      <c r="D475">
        <f>HYPERLINK("https://ota.tournamentsoftware.com/player-profile/762C717D-CB5B-4A61-877E-C235D5E4911F", "Link")</f>
        <v/>
      </c>
      <c r="E475" s="3" t="n">
        <v>98.04000000000001</v>
      </c>
      <c r="F475" s="4" t="n">
        <v>4</v>
      </c>
      <c r="G475" t="inlineStr">
        <is>
          <t>British Columbia</t>
        </is>
      </c>
      <c r="H475" t="inlineStr">
        <is>
          <t>City of Vancouver</t>
        </is>
      </c>
      <c r="I475" t="inlineStr">
        <is>
          <t>unavailable</t>
        </is>
      </c>
      <c r="J475" s="4" t="n">
        <v>10</v>
      </c>
      <c r="K475" t="inlineStr">
        <is>
          <t>7 / 3</t>
        </is>
      </c>
      <c r="L475" t="inlineStr">
        <is>
          <t>1 / 1</t>
        </is>
      </c>
      <c r="M475" s="5" t="n">
        <v>0.7</v>
      </c>
      <c r="N475" s="5" t="n">
        <v>0.5</v>
      </c>
    </row>
    <row r="476">
      <c r="A476" t="n">
        <v>475</v>
      </c>
      <c r="B476" t="n">
        <v>2013</v>
      </c>
      <c r="C476" t="inlineStr">
        <is>
          <t>Zoé Pilon</t>
        </is>
      </c>
      <c r="D476">
        <f>HYPERLINK("https://ota.tournamentsoftware.com/player-profile/5CF92DF6-CB3B-4E9E-9D03-B9CC6481DEBA", "Link")</f>
        <v/>
      </c>
      <c r="E476" s="3" t="n">
        <v>97.13500000000001</v>
      </c>
      <c r="F476" s="4" t="n">
        <v>10</v>
      </c>
      <c r="G476" t="inlineStr">
        <is>
          <t>Tennis Québec</t>
        </is>
      </c>
      <c r="H476" t="inlineStr">
        <is>
          <t>Tennis Interclub Piedmont</t>
        </is>
      </c>
      <c r="I476" t="n">
        <v>37.8</v>
      </c>
      <c r="J476" s="4" t="n">
        <v>19</v>
      </c>
      <c r="K476" t="inlineStr">
        <is>
          <t>6 / 13</t>
        </is>
      </c>
      <c r="L476" t="inlineStr">
        <is>
          <t>2 / 10</t>
        </is>
      </c>
      <c r="M476" s="5" t="n">
        <v>0.32</v>
      </c>
      <c r="N476" s="5" t="n">
        <v>0.17</v>
      </c>
    </row>
    <row r="477">
      <c r="A477" t="n">
        <v>476</v>
      </c>
      <c r="B477" t="n">
        <v>2015</v>
      </c>
      <c r="C477" t="inlineStr">
        <is>
          <t>Violet Ton-That</t>
        </is>
      </c>
      <c r="D477">
        <f>HYPERLINK("https://ota.tournamentsoftware.com/player-profile/2832D590-1D78-4B7F-B573-E2D932040ADB", "Link")</f>
        <v/>
      </c>
      <c r="E477" s="3" t="n">
        <v>96.917</v>
      </c>
      <c r="F477" s="4" t="n">
        <v>12</v>
      </c>
      <c r="G477" t="inlineStr">
        <is>
          <t>Tennis Québec</t>
        </is>
      </c>
      <c r="H477" t="inlineStr">
        <is>
          <t>Tennis Montréal Excellence</t>
        </is>
      </c>
      <c r="I477" t="n">
        <v>35.7</v>
      </c>
      <c r="J477" s="4" t="n">
        <v>63</v>
      </c>
      <c r="K477" t="inlineStr">
        <is>
          <t>29 / 34</t>
        </is>
      </c>
      <c r="L477" t="inlineStr">
        <is>
          <t>8 / 10</t>
        </is>
      </c>
      <c r="M477" s="5" t="n">
        <v>0.46</v>
      </c>
      <c r="N477" s="5" t="n">
        <v>0.44</v>
      </c>
    </row>
    <row r="478">
      <c r="A478" t="n">
        <v>477</v>
      </c>
      <c r="B478" t="n">
        <v>2014</v>
      </c>
      <c r="C478" t="inlineStr">
        <is>
          <t>Zoey Folashakin</t>
        </is>
      </c>
      <c r="D478">
        <f>HYPERLINK("https://ota.tournamentsoftware.com/player-profile/3301B942-3C8E-4FE4-9470-6F68EC47669D", "Link")</f>
        <v/>
      </c>
      <c r="E478" s="3" t="n">
        <v>95.544</v>
      </c>
      <c r="F478" s="4" t="n">
        <v>23</v>
      </c>
      <c r="G478" t="inlineStr">
        <is>
          <t>Ontario Tennis Association</t>
        </is>
      </c>
      <c r="H478" t="inlineStr">
        <is>
          <t>Joshua Creek Golf &amp; Tennis</t>
        </is>
      </c>
      <c r="I478" t="n">
        <v>36.6</v>
      </c>
      <c r="J478" s="4" t="n">
        <v>68</v>
      </c>
      <c r="K478" t="inlineStr">
        <is>
          <t>15 / 53</t>
        </is>
      </c>
      <c r="L478" t="inlineStr">
        <is>
          <t>11 / 14</t>
        </is>
      </c>
      <c r="M478" s="5" t="n">
        <v>0.22</v>
      </c>
      <c r="N478" s="5" t="n">
        <v>0.44</v>
      </c>
    </row>
    <row r="479">
      <c r="A479" t="n">
        <v>478</v>
      </c>
      <c r="B479" t="n">
        <v>2015</v>
      </c>
      <c r="C479" t="inlineStr">
        <is>
          <t>Kaliya Summer Miserre-Garrecht</t>
        </is>
      </c>
      <c r="D479">
        <f>HYPERLINK("https://ota.tournamentsoftware.com/player-profile/C178309B-9B10-4C79-99B5-DD8E37FCC1EF", "Link")</f>
        <v/>
      </c>
      <c r="E479" s="3" t="n">
        <v>94.80200000000001</v>
      </c>
      <c r="F479" s="4" t="n">
        <v>23</v>
      </c>
      <c r="G479" t="inlineStr">
        <is>
          <t>British Columbia</t>
        </is>
      </c>
      <c r="H479" t="inlineStr">
        <is>
          <t>Vanguard Tennis Academy</t>
        </is>
      </c>
      <c r="I479" t="n">
        <v>36.4</v>
      </c>
      <c r="J479" s="4" t="n">
        <v>138</v>
      </c>
      <c r="K479" t="inlineStr">
        <is>
          <t>60 / 78</t>
        </is>
      </c>
      <c r="L479" t="inlineStr">
        <is>
          <t>15 / 25</t>
        </is>
      </c>
      <c r="M479" s="5" t="n">
        <v>0.43</v>
      </c>
      <c r="N479" s="5" t="n">
        <v>0.38</v>
      </c>
    </row>
    <row r="480">
      <c r="A480" t="n">
        <v>479</v>
      </c>
      <c r="B480" t="n">
        <v>2012</v>
      </c>
      <c r="C480" t="inlineStr">
        <is>
          <t>Karolina Klepinin</t>
        </is>
      </c>
      <c r="D480">
        <f>HYPERLINK("https://ota.tournamentsoftware.com/player-profile/A0474BDB-A63B-423A-90FB-FAAA726E2052", "Link")</f>
        <v/>
      </c>
      <c r="E480" s="3" t="n">
        <v>94.729</v>
      </c>
      <c r="F480" s="4" t="n">
        <v>6</v>
      </c>
      <c r="G480" t="inlineStr">
        <is>
          <t>Ontario Tennis Association</t>
        </is>
      </c>
      <c r="H480" t="inlineStr">
        <is>
          <t>ON North Central No Club</t>
        </is>
      </c>
      <c r="I480" t="n">
        <v>36.4</v>
      </c>
      <c r="J480" s="4" t="n">
        <v>52</v>
      </c>
      <c r="K480" t="inlineStr">
        <is>
          <t>14 / 38</t>
        </is>
      </c>
      <c r="L480" t="inlineStr">
        <is>
          <t>3 / 7</t>
        </is>
      </c>
      <c r="M480" s="5" t="n">
        <v>0.27</v>
      </c>
      <c r="N480" s="5" t="n">
        <v>0.3</v>
      </c>
    </row>
    <row r="481">
      <c r="A481" t="n">
        <v>480</v>
      </c>
      <c r="B481" t="n">
        <v>2013</v>
      </c>
      <c r="C481" t="inlineStr">
        <is>
          <t>Chelsea Yuxin Lan</t>
        </is>
      </c>
      <c r="D481">
        <f>HYPERLINK("https://ota.tournamentsoftware.com/player-profile/D861FE8B-CCB2-4222-BA9C-EBD5C1FECE32", "Link")</f>
        <v/>
      </c>
      <c r="E481" s="3" t="n">
        <v>94.627</v>
      </c>
      <c r="F481" s="4" t="n">
        <v>15</v>
      </c>
      <c r="G481" t="inlineStr">
        <is>
          <t>British Columbia</t>
        </is>
      </c>
      <c r="H481" t="inlineStr">
        <is>
          <t>Hollyburn Country Club</t>
        </is>
      </c>
      <c r="I481" t="inlineStr">
        <is>
          <t>unavailable</t>
        </is>
      </c>
      <c r="J481" s="4" t="n">
        <v>115</v>
      </c>
      <c r="K481" t="inlineStr">
        <is>
          <t>34 / 81</t>
        </is>
      </c>
      <c r="L481" t="inlineStr">
        <is>
          <t>2 / 18</t>
        </is>
      </c>
      <c r="M481" s="5" t="n">
        <v>0.3</v>
      </c>
      <c r="N481" s="5" t="n">
        <v>0.1</v>
      </c>
    </row>
    <row r="482">
      <c r="A482" t="n">
        <v>481</v>
      </c>
      <c r="B482" t="n">
        <v>2012</v>
      </c>
      <c r="C482" t="inlineStr">
        <is>
          <t>Alyssa Grace Clouden</t>
        </is>
      </c>
      <c r="D482">
        <f>HYPERLINK("https://ota.tournamentsoftware.com/player-profile/85FC5E76-6ACD-4520-94D0-C05BABDC2184", "Link")</f>
        <v/>
      </c>
      <c r="E482" s="3" t="n">
        <v>94.176</v>
      </c>
      <c r="F482" s="4" t="n">
        <v>13</v>
      </c>
      <c r="G482" t="inlineStr">
        <is>
          <t>Ontario Tennis Association</t>
        </is>
      </c>
      <c r="H482" t="inlineStr">
        <is>
          <t>Headwaters Racquet Club</t>
        </is>
      </c>
      <c r="I482" t="n">
        <v>36.7</v>
      </c>
      <c r="J482" s="4" t="n">
        <v>49</v>
      </c>
      <c r="K482" t="inlineStr">
        <is>
          <t>21 / 28</t>
        </is>
      </c>
      <c r="L482" t="inlineStr">
        <is>
          <t>6 / 12</t>
        </is>
      </c>
      <c r="M482" s="5" t="n">
        <v>0.43</v>
      </c>
      <c r="N482" s="5" t="n">
        <v>0.33</v>
      </c>
    </row>
    <row r="483">
      <c r="A483" t="n">
        <v>482</v>
      </c>
      <c r="B483" t="n">
        <v>2012</v>
      </c>
      <c r="C483" t="inlineStr">
        <is>
          <t>Tiana Amede-Bramwell</t>
        </is>
      </c>
      <c r="D483">
        <f>HYPERLINK("https://ota.tournamentsoftware.com/player-profile/BC31A25D-C48C-47FD-A0A3-D600EA315675", "Link")</f>
        <v/>
      </c>
      <c r="E483" s="3" t="n">
        <v>93.628</v>
      </c>
      <c r="F483" s="4" t="n">
        <v>10</v>
      </c>
      <c r="G483" t="inlineStr">
        <is>
          <t>Ontario Tennis Association</t>
        </is>
      </c>
      <c r="H483" t="inlineStr">
        <is>
          <t>Credit Valley Tennis Club</t>
        </is>
      </c>
      <c r="I483" t="n">
        <v>39.4</v>
      </c>
      <c r="J483" s="4" t="n">
        <v>39</v>
      </c>
      <c r="K483" t="inlineStr">
        <is>
          <t>8 / 31</t>
        </is>
      </c>
      <c r="L483" t="inlineStr">
        <is>
          <t>8 / 28</t>
        </is>
      </c>
      <c r="M483" s="5" t="n">
        <v>0.21</v>
      </c>
      <c r="N483" s="5" t="n">
        <v>0.22</v>
      </c>
    </row>
    <row r="484">
      <c r="A484" t="n">
        <v>483</v>
      </c>
      <c r="B484" t="n">
        <v>2016</v>
      </c>
      <c r="C484" t="inlineStr">
        <is>
          <t>Chenlin Wang</t>
        </is>
      </c>
      <c r="D484">
        <f>HYPERLINK("https://ota.tournamentsoftware.com/player-profile/9F8A5A74-B5B7-41F1-A513-DA87D68CAFFE", "Link")</f>
        <v/>
      </c>
      <c r="E484" s="3" t="n">
        <v>93.203</v>
      </c>
      <c r="F484" s="4" t="n">
        <v>28</v>
      </c>
      <c r="G484" t="inlineStr">
        <is>
          <t>British Columbia</t>
        </is>
      </c>
      <c r="H484" t="inlineStr">
        <is>
          <t>UBC Tennis Centre</t>
        </is>
      </c>
      <c r="I484" t="inlineStr">
        <is>
          <t>unavailable</t>
        </is>
      </c>
      <c r="J484" s="4" t="n">
        <v>153</v>
      </c>
      <c r="K484" t="inlineStr">
        <is>
          <t>84 / 69</t>
        </is>
      </c>
      <c r="L484" t="inlineStr">
        <is>
          <t>32 / 20</t>
        </is>
      </c>
      <c r="M484" s="5" t="n">
        <v>0.55</v>
      </c>
      <c r="N484" s="5" t="n">
        <v>0.62</v>
      </c>
    </row>
    <row r="485">
      <c r="A485" t="n">
        <v>484</v>
      </c>
      <c r="B485" t="n">
        <v>2014</v>
      </c>
      <c r="C485" t="inlineStr">
        <is>
          <t>cataleya florina zadarojnea</t>
        </is>
      </c>
      <c r="D485">
        <f>HYPERLINK("https://ota.tournamentsoftware.com/player-profile/EAEB7B00-5E1C-47F6-8FF3-1537E07A8B59", "Link")</f>
        <v/>
      </c>
      <c r="E485" s="3" t="n">
        <v>92.57599999999999</v>
      </c>
      <c r="F485" s="4" t="n">
        <v>24</v>
      </c>
      <c r="G485" t="inlineStr">
        <is>
          <t>Ontario Tennis Association</t>
        </is>
      </c>
      <c r="H485" t="inlineStr">
        <is>
          <t>Premier Racquet Clubs – Mississauga</t>
        </is>
      </c>
      <c r="I485" t="n">
        <v>36.9</v>
      </c>
      <c r="J485" s="4" t="n">
        <v>35</v>
      </c>
      <c r="K485" t="inlineStr">
        <is>
          <t>11 / 24</t>
        </is>
      </c>
      <c r="L485" t="inlineStr">
        <is>
          <t>7 / 17</t>
        </is>
      </c>
      <c r="M485" s="5" t="n">
        <v>0.31</v>
      </c>
      <c r="N485" s="5" t="n">
        <v>0.29</v>
      </c>
    </row>
    <row r="486">
      <c r="A486" t="n">
        <v>485</v>
      </c>
      <c r="B486" t="n">
        <v>2016</v>
      </c>
      <c r="C486" t="inlineStr">
        <is>
          <t>Eva Yanakieva</t>
        </is>
      </c>
      <c r="D486">
        <f>HYPERLINK("https://ota.tournamentsoftware.com/player-profile/7FBBEC05-D20C-448B-93F1-1F8C6BA80758", "Link")</f>
        <v/>
      </c>
      <c r="E486" s="3" t="n">
        <v>91.93300000000001</v>
      </c>
      <c r="F486" s="4" t="n">
        <v>18</v>
      </c>
      <c r="G486" t="inlineStr">
        <is>
          <t>Tennis Québec</t>
        </is>
      </c>
      <c r="H486" t="inlineStr">
        <is>
          <t>Tennis Montréal Excellence</t>
        </is>
      </c>
      <c r="I486" t="n">
        <v>35.9</v>
      </c>
      <c r="J486" s="4" t="n">
        <v>171</v>
      </c>
      <c r="K486" t="inlineStr">
        <is>
          <t>82 / 89</t>
        </is>
      </c>
      <c r="L486" t="inlineStr">
        <is>
          <t>21 / 21</t>
        </is>
      </c>
      <c r="M486" s="5" t="n">
        <v>0.48</v>
      </c>
      <c r="N486" s="5" t="n">
        <v>0.5</v>
      </c>
    </row>
    <row r="487">
      <c r="A487" t="n">
        <v>486</v>
      </c>
      <c r="B487" t="n">
        <v>2014</v>
      </c>
      <c r="C487" t="inlineStr">
        <is>
          <t>Maylis Ilmane</t>
        </is>
      </c>
      <c r="D487">
        <f>HYPERLINK("https://ota.tournamentsoftware.com/player-profile/8AD3E1E2-82F0-490F-B772-6E9AA24959CC", "Link")</f>
        <v/>
      </c>
      <c r="E487" s="3" t="n">
        <v>90.08799999999999</v>
      </c>
      <c r="F487" s="4" t="n">
        <v>10</v>
      </c>
      <c r="G487" t="inlineStr">
        <is>
          <t>Tennis Québec</t>
        </is>
      </c>
      <c r="H487" t="inlineStr">
        <is>
          <t>Centre récréatif de Repentigny / Académie Tennis Momentum</t>
        </is>
      </c>
      <c r="I487" t="n">
        <v>35.4</v>
      </c>
      <c r="J487" s="4" t="n">
        <v>60</v>
      </c>
      <c r="K487" t="inlineStr">
        <is>
          <t>25 / 35</t>
        </is>
      </c>
      <c r="L487" t="inlineStr">
        <is>
          <t>7 / 6</t>
        </is>
      </c>
      <c r="M487" s="5" t="n">
        <v>0.42</v>
      </c>
      <c r="N487" s="5" t="n">
        <v>0.54</v>
      </c>
    </row>
    <row r="488">
      <c r="A488" t="n">
        <v>487</v>
      </c>
      <c r="B488" t="n">
        <v>2015</v>
      </c>
      <c r="C488" t="inlineStr">
        <is>
          <t>Larissa Bulynko</t>
        </is>
      </c>
      <c r="D488">
        <f>HYPERLINK("https://ota.tournamentsoftware.com/player-profile/387B3C19-006B-446B-A1CE-226F349C0C24", "Link")</f>
        <v/>
      </c>
      <c r="E488" s="3" t="n">
        <v>89.874</v>
      </c>
      <c r="F488" s="4" t="n">
        <v>11</v>
      </c>
      <c r="G488" t="inlineStr">
        <is>
          <t>Ontario Tennis Association</t>
        </is>
      </c>
      <c r="H488" t="inlineStr">
        <is>
          <t>National Tennis School</t>
        </is>
      </c>
      <c r="I488" t="n">
        <v>37.2</v>
      </c>
      <c r="J488" s="4" t="n">
        <v>54</v>
      </c>
      <c r="K488" t="inlineStr">
        <is>
          <t>21 / 33</t>
        </is>
      </c>
      <c r="L488" t="inlineStr">
        <is>
          <t>6 / 10</t>
        </is>
      </c>
      <c r="M488" s="5" t="n">
        <v>0.39</v>
      </c>
      <c r="N488" s="5" t="n">
        <v>0.38</v>
      </c>
    </row>
    <row r="489">
      <c r="A489" t="n">
        <v>488</v>
      </c>
      <c r="B489" t="n">
        <v>2015</v>
      </c>
      <c r="C489" t="inlineStr">
        <is>
          <t>Joey Wu</t>
        </is>
      </c>
      <c r="D489">
        <f>HYPERLINK("https://ota.tournamentsoftware.com/player-profile/5271198B-7814-4938-9A9E-61E10CC7CCA6", "Link")</f>
        <v/>
      </c>
      <c r="E489" s="3" t="n">
        <v>89.84</v>
      </c>
      <c r="F489" s="4" t="n">
        <v>25</v>
      </c>
      <c r="G489" t="inlineStr">
        <is>
          <t>British Columbia</t>
        </is>
      </c>
      <c r="H489" t="inlineStr">
        <is>
          <t>City of Richmond</t>
        </is>
      </c>
      <c r="I489" t="inlineStr">
        <is>
          <t>unavailable</t>
        </is>
      </c>
      <c r="J489" s="4" t="n">
        <v>117</v>
      </c>
      <c r="K489" t="inlineStr">
        <is>
          <t>70 / 47</t>
        </is>
      </c>
      <c r="L489" t="inlineStr">
        <is>
          <t>15 / 23</t>
        </is>
      </c>
      <c r="M489" s="5" t="n">
        <v>0.6</v>
      </c>
      <c r="N489" s="5" t="n">
        <v>0.39</v>
      </c>
    </row>
    <row r="490">
      <c r="A490" t="n">
        <v>489</v>
      </c>
      <c r="B490" t="n">
        <v>2014</v>
      </c>
      <c r="C490" t="inlineStr">
        <is>
          <t>myra Malik</t>
        </is>
      </c>
      <c r="D490">
        <f>HYPERLINK("https://ota.tournamentsoftware.com/player-profile/B5B677E5-44EA-48DD-95B7-05BF38E3758B", "Link")</f>
        <v/>
      </c>
      <c r="E490" s="3" t="n">
        <v>89.604</v>
      </c>
      <c r="F490" s="4" t="n">
        <v>24</v>
      </c>
      <c r="G490" t="inlineStr">
        <is>
          <t>British Columbia</t>
        </is>
      </c>
      <c r="H490" t="inlineStr">
        <is>
          <t>The Tennis Centre</t>
        </is>
      </c>
      <c r="I490" t="n">
        <v>34.3</v>
      </c>
      <c r="J490" s="4" t="n">
        <v>60</v>
      </c>
      <c r="K490" t="inlineStr">
        <is>
          <t>26 / 34</t>
        </is>
      </c>
      <c r="L490" t="inlineStr">
        <is>
          <t>19 / 20</t>
        </is>
      </c>
      <c r="M490" s="5" t="n">
        <v>0.43</v>
      </c>
      <c r="N490" s="5" t="n">
        <v>0.49</v>
      </c>
    </row>
    <row r="491">
      <c r="A491" t="n">
        <v>490</v>
      </c>
      <c r="B491" t="n">
        <v>2014</v>
      </c>
      <c r="C491" t="inlineStr">
        <is>
          <t>Olivia Hesse</t>
        </is>
      </c>
      <c r="D491">
        <f>HYPERLINK("https://ota.tournamentsoftware.com/player-profile/18AF6D11-FB26-470D-81A9-00DC98F16884", "Link")</f>
        <v/>
      </c>
      <c r="E491" s="3" t="n">
        <v>89.529</v>
      </c>
      <c r="F491" s="4" t="n">
        <v>10</v>
      </c>
      <c r="G491" t="inlineStr">
        <is>
          <t>Ontario Tennis Association</t>
        </is>
      </c>
      <c r="H491" t="inlineStr">
        <is>
          <t>Boulevard Club</t>
        </is>
      </c>
      <c r="I491" t="n">
        <v>36.1</v>
      </c>
      <c r="J491" s="4" t="n">
        <v>65</v>
      </c>
      <c r="K491" t="inlineStr">
        <is>
          <t>26 / 39</t>
        </is>
      </c>
      <c r="L491" t="inlineStr">
        <is>
          <t>8 / 10</t>
        </is>
      </c>
      <c r="M491" s="5" t="n">
        <v>0.4</v>
      </c>
      <c r="N491" s="5" t="n">
        <v>0.44</v>
      </c>
    </row>
    <row r="492">
      <c r="A492" t="n">
        <v>491</v>
      </c>
      <c r="B492" t="n">
        <v>2017</v>
      </c>
      <c r="C492" t="inlineStr">
        <is>
          <t>Amelia Alhakim</t>
        </is>
      </c>
      <c r="D492">
        <f>HYPERLINK("https://ota.tournamentsoftware.com/player-profile/0B954ECB-D503-4C36-BD94-6D389AF0D202", "Link")</f>
        <v/>
      </c>
      <c r="E492" s="3" t="n">
        <v>88.76000000000001</v>
      </c>
      <c r="F492" s="4" t="n">
        <v>12</v>
      </c>
      <c r="G492" t="inlineStr">
        <is>
          <t>Ontario Tennis Association</t>
        </is>
      </c>
      <c r="H492" t="inlineStr">
        <is>
          <t>Zekelman Tennis Centre</t>
        </is>
      </c>
      <c r="I492" t="n">
        <v>34.7</v>
      </c>
      <c r="J492" s="4" t="n">
        <v>38</v>
      </c>
      <c r="K492" t="inlineStr">
        <is>
          <t>21 / 17</t>
        </is>
      </c>
      <c r="L492" t="inlineStr">
        <is>
          <t>17 / 12</t>
        </is>
      </c>
      <c r="M492" s="5" t="n">
        <v>0.55</v>
      </c>
      <c r="N492" s="5" t="n">
        <v>0.59</v>
      </c>
    </row>
    <row r="493">
      <c r="A493" t="n">
        <v>492</v>
      </c>
      <c r="B493" t="n">
        <v>2015</v>
      </c>
      <c r="C493" t="inlineStr">
        <is>
          <t>Maranata Okubazgi</t>
        </is>
      </c>
      <c r="D493">
        <f>HYPERLINK("https://ota.tournamentsoftware.com/player-profile/D41680BB-0D07-401E-A1E3-7ECB40E4830A", "Link")</f>
        <v/>
      </c>
      <c r="E493" s="3" t="n">
        <v>87.59999999999999</v>
      </c>
      <c r="F493" s="4" t="n">
        <v>13</v>
      </c>
      <c r="G493" t="inlineStr">
        <is>
          <t>Ontario Tennis Association</t>
        </is>
      </c>
      <c r="H493" t="inlineStr">
        <is>
          <t>The Tennis School</t>
        </is>
      </c>
      <c r="I493" t="n">
        <v>34.9</v>
      </c>
      <c r="J493" s="4" t="n">
        <v>91</v>
      </c>
      <c r="K493" t="inlineStr">
        <is>
          <t>53 / 38</t>
        </is>
      </c>
      <c r="L493" t="inlineStr">
        <is>
          <t>14 / 10</t>
        </is>
      </c>
      <c r="M493" s="5" t="n">
        <v>0.58</v>
      </c>
      <c r="N493" s="5" t="n">
        <v>0.58</v>
      </c>
    </row>
    <row r="494">
      <c r="A494" t="n">
        <v>493</v>
      </c>
      <c r="B494" t="n">
        <v>2013</v>
      </c>
      <c r="C494" t="inlineStr">
        <is>
          <t>Kaylie Kam</t>
        </is>
      </c>
      <c r="D494">
        <f>HYPERLINK("https://ota.tournamentsoftware.com/player-profile/29B7928E-12B2-4691-8B4A-1DE557B4F068", "Link")</f>
        <v/>
      </c>
      <c r="E494" s="3" t="n">
        <v>87.569</v>
      </c>
      <c r="F494" s="4" t="n">
        <v>13</v>
      </c>
      <c r="G494" t="inlineStr">
        <is>
          <t>Ontario Tennis Association</t>
        </is>
      </c>
      <c r="H494" t="inlineStr">
        <is>
          <t>Blackmore Tennis Club</t>
        </is>
      </c>
      <c r="I494" t="n">
        <v>34.2</v>
      </c>
      <c r="J494" s="4" t="n">
        <v>56</v>
      </c>
      <c r="K494" t="inlineStr">
        <is>
          <t>37 / 19</t>
        </is>
      </c>
      <c r="L494" t="inlineStr">
        <is>
          <t>11 / 11</t>
        </is>
      </c>
      <c r="M494" s="5" t="n">
        <v>0.66</v>
      </c>
      <c r="N494" s="5" t="n">
        <v>0.5</v>
      </c>
    </row>
    <row r="495">
      <c r="A495" t="n">
        <v>494</v>
      </c>
      <c r="B495" t="n">
        <v>2013</v>
      </c>
      <c r="C495" t="inlineStr">
        <is>
          <t>Presley Pellegrino</t>
        </is>
      </c>
      <c r="D495">
        <f>HYPERLINK("https://ota.tournamentsoftware.com/player-profile/A7978533-179E-4FC4-8D48-C160FA6FF2E3", "Link")</f>
        <v/>
      </c>
      <c r="E495" s="3" t="n">
        <v>86.958</v>
      </c>
      <c r="F495" s="4" t="n">
        <v>5</v>
      </c>
      <c r="G495" t="inlineStr">
        <is>
          <t>Ontario Tennis Association</t>
        </is>
      </c>
      <c r="H495" t="inlineStr">
        <is>
          <t>No Club</t>
        </is>
      </c>
      <c r="I495" t="n">
        <v>35.1</v>
      </c>
      <c r="J495" s="4" t="n">
        <v>97</v>
      </c>
      <c r="K495" t="inlineStr">
        <is>
          <t>40 / 57</t>
        </is>
      </c>
      <c r="L495" t="inlineStr">
        <is>
          <t>2 / 2</t>
        </is>
      </c>
      <c r="M495" s="5" t="n">
        <v>0.41</v>
      </c>
      <c r="N495" s="5" t="n">
        <v>0.5</v>
      </c>
    </row>
    <row r="496">
      <c r="A496" t="n">
        <v>495</v>
      </c>
      <c r="B496" t="n">
        <v>2015</v>
      </c>
      <c r="C496" t="inlineStr">
        <is>
          <t>Olivia An Yi Ta</t>
        </is>
      </c>
      <c r="D496">
        <f>HYPERLINK("https://ota.tournamentsoftware.com/player-profile/F718058C-465B-4AEB-BACA-80FE5B3917B6", "Link")</f>
        <v/>
      </c>
      <c r="E496" s="3" t="n">
        <v>85.59099999999999</v>
      </c>
      <c r="F496" s="4" t="n">
        <v>13</v>
      </c>
      <c r="G496" t="inlineStr">
        <is>
          <t>Ontario Tennis Association</t>
        </is>
      </c>
      <c r="H496" t="inlineStr">
        <is>
          <t>Lambton Golf &amp; Country Club</t>
        </is>
      </c>
      <c r="I496" t="inlineStr">
        <is>
          <t>unavailable</t>
        </is>
      </c>
      <c r="J496" s="4" t="n">
        <v>62</v>
      </c>
      <c r="K496" t="inlineStr">
        <is>
          <t>15 / 47</t>
        </is>
      </c>
      <c r="L496" t="inlineStr">
        <is>
          <t>6 / 9</t>
        </is>
      </c>
      <c r="M496" s="5" t="n">
        <v>0.24</v>
      </c>
      <c r="N496" s="5" t="n">
        <v>0.4</v>
      </c>
    </row>
    <row r="497">
      <c r="A497" t="n">
        <v>496</v>
      </c>
      <c r="B497" t="n">
        <v>2016</v>
      </c>
      <c r="C497" t="inlineStr">
        <is>
          <t>Kassidy, Chin Yau Lau</t>
        </is>
      </c>
      <c r="D497">
        <f>HYPERLINK("https://ota.tournamentsoftware.com/player-profile/725BC980-EB67-418A-9A78-144DF7D7CE7E", "Link")</f>
        <v/>
      </c>
      <c r="E497" s="3" t="n">
        <v>84.072</v>
      </c>
      <c r="F497" s="4" t="n">
        <v>16</v>
      </c>
      <c r="G497" t="inlineStr">
        <is>
          <t>Ontario Tennis Association</t>
        </is>
      </c>
      <c r="H497" t="inlineStr">
        <is>
          <t>No Club</t>
        </is>
      </c>
      <c r="I497" t="n">
        <v>35.8</v>
      </c>
      <c r="J497" s="4" t="n">
        <v>41</v>
      </c>
      <c r="K497" t="inlineStr">
        <is>
          <t>24 / 17</t>
        </is>
      </c>
      <c r="L497" t="inlineStr">
        <is>
          <t>24 / 17</t>
        </is>
      </c>
      <c r="M497" s="5" t="n">
        <v>0.59</v>
      </c>
      <c r="N497" s="5" t="n">
        <v>0.59</v>
      </c>
    </row>
    <row r="498">
      <c r="A498" t="n">
        <v>497</v>
      </c>
      <c r="B498" t="n">
        <v>2013</v>
      </c>
      <c r="C498" t="inlineStr">
        <is>
          <t>Avonlyn Long</t>
        </is>
      </c>
      <c r="D498">
        <f>HYPERLINK("https://ota.tournamentsoftware.com/player-profile/750061EB-6049-44F3-9B6E-4DE9428D7158", "Link")</f>
        <v/>
      </c>
      <c r="E498" s="3" t="n">
        <v>83.592</v>
      </c>
      <c r="F498" s="4" t="n">
        <v>3</v>
      </c>
      <c r="G498" t="inlineStr">
        <is>
          <t>Ontario Tennis Association</t>
        </is>
      </c>
      <c r="H498" t="inlineStr">
        <is>
          <t>Carleton Tennis Centre</t>
        </is>
      </c>
      <c r="I498" t="n">
        <v>39</v>
      </c>
      <c r="J498" s="4" t="n">
        <v>12</v>
      </c>
      <c r="K498" t="inlineStr">
        <is>
          <t>1 / 11</t>
        </is>
      </c>
      <c r="L498" t="inlineStr">
        <is>
          <t>1 / 3</t>
        </is>
      </c>
      <c r="M498" s="5" t="n">
        <v>0.08</v>
      </c>
      <c r="N498" s="5" t="n">
        <v>0.25</v>
      </c>
    </row>
    <row r="499">
      <c r="A499" t="n">
        <v>498</v>
      </c>
      <c r="B499" t="n">
        <v>2016</v>
      </c>
      <c r="C499" t="inlineStr">
        <is>
          <t>Lydia Yinuo Xu</t>
        </is>
      </c>
      <c r="D499">
        <f>HYPERLINK("https://ota.tournamentsoftware.com/player-profile/515F94D6-B979-4BBE-98E6-48CFEF4CE395", "Link")</f>
        <v/>
      </c>
      <c r="E499" s="3" t="n">
        <v>83.28</v>
      </c>
      <c r="F499" s="4" t="n">
        <v>10</v>
      </c>
      <c r="G499" t="inlineStr">
        <is>
          <t>Ontario Tennis Association</t>
        </is>
      </c>
      <c r="H499" t="inlineStr">
        <is>
          <t>Joshua Creek Golf &amp; Tennis</t>
        </is>
      </c>
      <c r="I499" t="n">
        <v>34.8</v>
      </c>
      <c r="J499" s="4" t="n">
        <v>151</v>
      </c>
      <c r="K499" t="inlineStr">
        <is>
          <t>70 / 81</t>
        </is>
      </c>
      <c r="L499" t="inlineStr">
        <is>
          <t>24 / 11</t>
        </is>
      </c>
      <c r="M499" s="5" t="n">
        <v>0.46</v>
      </c>
      <c r="N499" s="5" t="n">
        <v>0.6899999999999999</v>
      </c>
    </row>
    <row r="500">
      <c r="A500" t="n">
        <v>499</v>
      </c>
      <c r="B500" t="n">
        <v>2013</v>
      </c>
      <c r="C500" t="inlineStr">
        <is>
          <t>Helena Nastic</t>
        </is>
      </c>
      <c r="D500">
        <f>HYPERLINK("https://ota.tournamentsoftware.com/player-profile/384CD39C-50E9-4DF1-B1AD-85571147C1F9", "Link")</f>
        <v/>
      </c>
      <c r="E500" s="3" t="n">
        <v>83.06399999999999</v>
      </c>
      <c r="F500" s="4" t="n">
        <v>8</v>
      </c>
      <c r="G500" t="inlineStr">
        <is>
          <t>Ontario Tennis Association</t>
        </is>
      </c>
      <c r="H500" t="inlineStr">
        <is>
          <t>Royal City Tennis Club</t>
        </is>
      </c>
      <c r="I500" t="inlineStr">
        <is>
          <t>unavailable</t>
        </is>
      </c>
      <c r="J500" s="4" t="n">
        <v>38</v>
      </c>
      <c r="K500" t="inlineStr">
        <is>
          <t>19 / 19</t>
        </is>
      </c>
      <c r="L500" t="inlineStr">
        <is>
          <t>0 / 5</t>
        </is>
      </c>
      <c r="M500" s="5" t="n">
        <v>0.5</v>
      </c>
      <c r="N500" s="5" t="n">
        <v>0</v>
      </c>
    </row>
    <row r="501">
      <c r="A501" t="n">
        <v>500</v>
      </c>
      <c r="B501" t="n">
        <v>2013</v>
      </c>
      <c r="C501" t="inlineStr">
        <is>
          <t>Emilia Sofia Urkedal</t>
        </is>
      </c>
      <c r="D501">
        <f>HYPERLINK("https://ota.tournamentsoftware.com/player-profile/381713CB-202F-43FD-B96F-4B364BE2EE52", "Link")</f>
        <v/>
      </c>
      <c r="E501" s="3" t="n">
        <v>81.57299999999999</v>
      </c>
      <c r="F501" s="4" t="n">
        <v>8</v>
      </c>
      <c r="G501" t="inlineStr">
        <is>
          <t>Ontario Tennis Association</t>
        </is>
      </c>
      <c r="H501" t="inlineStr">
        <is>
          <t>Greenhills Golf Club</t>
        </is>
      </c>
      <c r="I501" t="n">
        <v>37</v>
      </c>
      <c r="J501" s="4" t="n">
        <v>69</v>
      </c>
      <c r="K501" t="inlineStr">
        <is>
          <t>17 / 52</t>
        </is>
      </c>
      <c r="L501" t="inlineStr">
        <is>
          <t>4 / 7</t>
        </is>
      </c>
      <c r="M501" s="5" t="n">
        <v>0.25</v>
      </c>
      <c r="N501" s="5" t="n">
        <v>0.36</v>
      </c>
    </row>
    <row r="502">
      <c r="A502" t="n">
        <v>501</v>
      </c>
      <c r="B502" t="n">
        <v>2015</v>
      </c>
      <c r="C502" t="inlineStr">
        <is>
          <t>Ellieann Jean Baker</t>
        </is>
      </c>
      <c r="D502">
        <f>HYPERLINK("https://ota.tournamentsoftware.com/player-profile/059CF7FD-B4FA-4522-AF55-9B2138153D9C", "Link")</f>
        <v/>
      </c>
      <c r="E502" s="3" t="n">
        <v>81.10299999999999</v>
      </c>
      <c r="F502" s="4" t="n">
        <v>9</v>
      </c>
      <c r="G502" t="inlineStr">
        <is>
          <t>Tennis Alberta</t>
        </is>
      </c>
      <c r="H502" t="inlineStr">
        <is>
          <t>Aforza</t>
        </is>
      </c>
      <c r="I502" t="n">
        <v>36.8</v>
      </c>
      <c r="J502" s="4" t="n">
        <v>109</v>
      </c>
      <c r="K502" t="inlineStr">
        <is>
          <t>45 / 64</t>
        </is>
      </c>
      <c r="L502" t="inlineStr">
        <is>
          <t>4 / 11</t>
        </is>
      </c>
      <c r="M502" s="5" t="n">
        <v>0.41</v>
      </c>
      <c r="N502" s="5" t="n">
        <v>0.27</v>
      </c>
    </row>
    <row r="503">
      <c r="A503" t="n">
        <v>502</v>
      </c>
      <c r="B503" t="n">
        <v>2013</v>
      </c>
      <c r="C503" t="inlineStr">
        <is>
          <t>Victoria maya Carinci</t>
        </is>
      </c>
      <c r="D503">
        <f>HYPERLINK("https://ota.tournamentsoftware.com/player-profile/767AAF86-8D36-4699-8113-86AA6DA60CE4", "Link")</f>
        <v/>
      </c>
      <c r="E503" s="3" t="n">
        <v>80.878</v>
      </c>
      <c r="F503" s="4" t="n">
        <v>12</v>
      </c>
      <c r="G503" t="inlineStr">
        <is>
          <t>Ontario Tennis Association</t>
        </is>
      </c>
      <c r="H503" t="inlineStr">
        <is>
          <t>Concord Tennis Academy</t>
        </is>
      </c>
      <c r="I503" t="n">
        <v>39.5</v>
      </c>
      <c r="J503" s="4" t="n">
        <v>38</v>
      </c>
      <c r="K503" t="inlineStr">
        <is>
          <t>8 / 30</t>
        </is>
      </c>
      <c r="L503" t="inlineStr">
        <is>
          <t>0 / 9</t>
        </is>
      </c>
      <c r="M503" s="5" t="n">
        <v>0.21</v>
      </c>
      <c r="N503" s="5" t="n">
        <v>0</v>
      </c>
    </row>
    <row r="504">
      <c r="A504" t="n">
        <v>503</v>
      </c>
      <c r="B504" t="n">
        <v>2015</v>
      </c>
      <c r="C504" t="inlineStr">
        <is>
          <t>Doreen Bowen Mao</t>
        </is>
      </c>
      <c r="D504">
        <f>HYPERLINK("https://ota.tournamentsoftware.com/player-profile/24478EB2-203F-4DE3-92C9-B16D9A60F77F", "Link")</f>
        <v/>
      </c>
      <c r="E504" s="3" t="n">
        <v>80.43600000000001</v>
      </c>
      <c r="F504" s="4" t="n">
        <v>15</v>
      </c>
      <c r="G504" t="inlineStr">
        <is>
          <t>Ontario Tennis Association</t>
        </is>
      </c>
      <c r="H504" t="inlineStr">
        <is>
          <t>Joshua Creek Golf &amp; Tennis</t>
        </is>
      </c>
      <c r="I504" t="n">
        <v>37.2</v>
      </c>
      <c r="J504" s="4" t="n">
        <v>79</v>
      </c>
      <c r="K504" t="inlineStr">
        <is>
          <t>33 / 46</t>
        </is>
      </c>
      <c r="L504" t="inlineStr">
        <is>
          <t>18 / 21</t>
        </is>
      </c>
      <c r="M504" s="5" t="n">
        <v>0.42</v>
      </c>
      <c r="N504" s="5" t="n">
        <v>0.46</v>
      </c>
    </row>
    <row r="505">
      <c r="A505" t="n">
        <v>504</v>
      </c>
      <c r="B505" t="n">
        <v>2013</v>
      </c>
      <c r="C505" t="inlineStr">
        <is>
          <t>Avery Hao</t>
        </is>
      </c>
      <c r="D505">
        <f>HYPERLINK("https://ota.tournamentsoftware.com/player-profile/4D297E0A-97AD-4487-A64F-403E8B3ACA30", "Link")</f>
        <v/>
      </c>
      <c r="E505" s="3" t="n">
        <v>80.40000000000001</v>
      </c>
      <c r="F505" s="4" t="n">
        <v>4</v>
      </c>
      <c r="G505" t="inlineStr">
        <is>
          <t>Ontario Tennis Association</t>
        </is>
      </c>
      <c r="H505" t="inlineStr">
        <is>
          <t>Elmridge Tennis Club</t>
        </is>
      </c>
      <c r="I505" t="n">
        <v>39.3</v>
      </c>
      <c r="J505" s="4" t="n">
        <v>14</v>
      </c>
      <c r="K505" t="inlineStr">
        <is>
          <t>4 / 10</t>
        </is>
      </c>
      <c r="L505" t="inlineStr">
        <is>
          <t>0 / 4</t>
        </is>
      </c>
      <c r="M505" s="5" t="n">
        <v>0.29</v>
      </c>
      <c r="N505" s="5" t="n">
        <v>0</v>
      </c>
    </row>
    <row r="506">
      <c r="A506" t="n">
        <v>505</v>
      </c>
      <c r="B506" t="n">
        <v>2015</v>
      </c>
      <c r="C506" t="inlineStr">
        <is>
          <t>Savannah Billings</t>
        </is>
      </c>
      <c r="D506">
        <f>HYPERLINK("https://ota.tournamentsoftware.com/player-profile/3C86C2A1-7881-4E07-A889-C842F4C67652", "Link")</f>
        <v/>
      </c>
      <c r="E506" s="3" t="n">
        <v>79.464</v>
      </c>
      <c r="F506" s="4" t="n">
        <v>5</v>
      </c>
      <c r="G506" t="inlineStr">
        <is>
          <t>Tennis Québec</t>
        </is>
      </c>
      <c r="H506" t="inlineStr">
        <is>
          <t>Club Avantage Multi-sports / Académie de tennis Hérisset Bordeleau</t>
        </is>
      </c>
      <c r="I506" t="n">
        <v>30.4</v>
      </c>
      <c r="J506" s="4" t="n">
        <v>13</v>
      </c>
      <c r="K506" t="inlineStr">
        <is>
          <t>8 / 5</t>
        </is>
      </c>
      <c r="L506" t="inlineStr">
        <is>
          <t>8 / 3</t>
        </is>
      </c>
      <c r="M506" s="5" t="n">
        <v>0.62</v>
      </c>
      <c r="N506" s="5" t="n">
        <v>0.73</v>
      </c>
    </row>
    <row r="507">
      <c r="A507" t="n">
        <v>506</v>
      </c>
      <c r="B507" t="n">
        <v>2015</v>
      </c>
      <c r="C507" t="inlineStr">
        <is>
          <t>Mia Gidaro</t>
        </is>
      </c>
      <c r="D507">
        <f>HYPERLINK("https://ota.tournamentsoftware.com/player-profile/17357D82-FEBE-483D-8054-F1F6B85AD8A5", "Link")</f>
        <v/>
      </c>
      <c r="E507" s="3" t="n">
        <v>79.46299999999999</v>
      </c>
      <c r="F507" s="4" t="n">
        <v>12</v>
      </c>
      <c r="G507" t="inlineStr">
        <is>
          <t>Ontario Tennis Association</t>
        </is>
      </c>
      <c r="H507" t="inlineStr">
        <is>
          <t>Baby Point Tennis Club</t>
        </is>
      </c>
      <c r="I507" t="n">
        <v>37.1</v>
      </c>
      <c r="J507" s="4" t="n">
        <v>61</v>
      </c>
      <c r="K507" t="inlineStr">
        <is>
          <t>24 / 37</t>
        </is>
      </c>
      <c r="L507" t="inlineStr">
        <is>
          <t>3 / 7</t>
        </is>
      </c>
      <c r="M507" s="5" t="n">
        <v>0.39</v>
      </c>
      <c r="N507" s="5" t="n">
        <v>0.3</v>
      </c>
    </row>
    <row r="508">
      <c r="A508" t="n">
        <v>507</v>
      </c>
      <c r="B508" t="n">
        <v>2012</v>
      </c>
      <c r="C508" t="inlineStr">
        <is>
          <t>Aaisha Rathod</t>
        </is>
      </c>
      <c r="D508">
        <f>HYPERLINK("https://ota.tournamentsoftware.com/player-profile/3CFF2AC0-C5A1-461F-91D3-0CD8EAFC5609", "Link")</f>
        <v/>
      </c>
      <c r="E508" s="3" t="n">
        <v>78.871</v>
      </c>
      <c r="F508" s="4" t="n">
        <v>13</v>
      </c>
      <c r="G508" t="inlineStr">
        <is>
          <t>Ontario Tennis Association</t>
        </is>
      </c>
      <c r="H508" t="inlineStr">
        <is>
          <t>Premier Racquet Clubs – Mississauga</t>
        </is>
      </c>
      <c r="I508" t="n">
        <v>39.4</v>
      </c>
      <c r="J508" s="4" t="n">
        <v>74</v>
      </c>
      <c r="K508" t="inlineStr">
        <is>
          <t>3 / 71</t>
        </is>
      </c>
      <c r="L508" t="inlineStr">
        <is>
          <t>1 / 8</t>
        </is>
      </c>
      <c r="M508" s="5" t="n">
        <v>0.04</v>
      </c>
      <c r="N508" s="5" t="n">
        <v>0.11</v>
      </c>
    </row>
    <row r="509">
      <c r="A509" t="n">
        <v>508</v>
      </c>
      <c r="B509" t="n">
        <v>2014</v>
      </c>
      <c r="C509" t="inlineStr">
        <is>
          <t>Aditri Mundhra</t>
        </is>
      </c>
      <c r="D509">
        <f>HYPERLINK("https://ota.tournamentsoftware.com/player-profile/C7A9A9F1-2DF6-42CD-AA71-F15C9BFFA6EB", "Link")</f>
        <v/>
      </c>
      <c r="E509" s="3" t="n">
        <v>78.45099999999999</v>
      </c>
      <c r="F509" s="4" t="n">
        <v>16</v>
      </c>
      <c r="G509" t="inlineStr">
        <is>
          <t>British Columbia</t>
        </is>
      </c>
      <c r="H509" t="inlineStr">
        <is>
          <t>The Tennis Centre</t>
        </is>
      </c>
      <c r="I509" t="n">
        <v>34.9</v>
      </c>
      <c r="J509" s="4" t="n">
        <v>47</v>
      </c>
      <c r="K509" t="inlineStr">
        <is>
          <t>18 / 29</t>
        </is>
      </c>
      <c r="L509" t="inlineStr">
        <is>
          <t>14 / 16</t>
        </is>
      </c>
      <c r="M509" s="5" t="n">
        <v>0.38</v>
      </c>
      <c r="N509" s="5" t="n">
        <v>0.47</v>
      </c>
    </row>
    <row r="510">
      <c r="A510" t="n">
        <v>509</v>
      </c>
      <c r="B510" t="n">
        <v>2013</v>
      </c>
      <c r="C510" t="inlineStr">
        <is>
          <t>Lolia Abdrabou</t>
        </is>
      </c>
      <c r="D510">
        <f>HYPERLINK("https://ota.tournamentsoftware.com/player-profile/02101E1E-CCDA-437A-A3E7-8CBDBA76F674", "Link")</f>
        <v/>
      </c>
      <c r="E510" s="3" t="n">
        <v>77.999</v>
      </c>
      <c r="F510" s="4" t="n">
        <v>5</v>
      </c>
      <c r="G510" t="inlineStr">
        <is>
          <t>Tennis Nova Scotia</t>
        </is>
      </c>
      <c r="H510" t="inlineStr">
        <is>
          <t>HEADSTART</t>
        </is>
      </c>
      <c r="I510" t="n">
        <v>35.6</v>
      </c>
      <c r="J510" s="4" t="n">
        <v>22</v>
      </c>
      <c r="K510" t="inlineStr">
        <is>
          <t>13 / 9</t>
        </is>
      </c>
      <c r="L510" t="inlineStr">
        <is>
          <t>2 / 4</t>
        </is>
      </c>
      <c r="M510" s="5" t="n">
        <v>0.59</v>
      </c>
      <c r="N510" s="5" t="n">
        <v>0.33</v>
      </c>
    </row>
    <row r="511">
      <c r="A511" t="n">
        <v>510</v>
      </c>
      <c r="B511" t="n">
        <v>2014</v>
      </c>
      <c r="C511" t="inlineStr">
        <is>
          <t>Yue Zhang</t>
        </is>
      </c>
      <c r="D511">
        <f>HYPERLINK("https://ota.tournamentsoftware.com/player-profile/85239D79-7080-4052-A527-EE7F087184E4", "Link")</f>
        <v/>
      </c>
      <c r="E511" s="3" t="n">
        <v>76.623</v>
      </c>
      <c r="F511" s="4" t="n">
        <v>6</v>
      </c>
      <c r="G511" t="inlineStr">
        <is>
          <t>Tennis Nova Scotia</t>
        </is>
      </c>
      <c r="H511" t="inlineStr">
        <is>
          <t>Atlantic Tennis Centre</t>
        </is>
      </c>
      <c r="I511" t="n">
        <v>38.1</v>
      </c>
      <c r="J511" s="4" t="n">
        <v>36</v>
      </c>
      <c r="K511" t="inlineStr">
        <is>
          <t>14 / 22</t>
        </is>
      </c>
      <c r="L511" t="inlineStr">
        <is>
          <t>5 / 11</t>
        </is>
      </c>
      <c r="M511" s="5" t="n">
        <v>0.39</v>
      </c>
      <c r="N511" s="5" t="n">
        <v>0.31</v>
      </c>
    </row>
    <row r="512">
      <c r="A512" t="n">
        <v>511</v>
      </c>
      <c r="B512" t="n">
        <v>2015</v>
      </c>
      <c r="C512" t="inlineStr">
        <is>
          <t>Abigail Csima</t>
        </is>
      </c>
      <c r="D512">
        <f>HYPERLINK("https://ota.tournamentsoftware.com/player-profile/6F3C1A53-8070-482F-B046-BE875C66F4B8", "Link")</f>
        <v/>
      </c>
      <c r="E512" s="3" t="n">
        <v>75.93600000000001</v>
      </c>
      <c r="F512" s="4" t="n">
        <v>13</v>
      </c>
      <c r="G512" t="inlineStr">
        <is>
          <t>Ontario Tennis Association</t>
        </is>
      </c>
      <c r="H512" t="inlineStr">
        <is>
          <t>Waterloo Tennis Club</t>
        </is>
      </c>
      <c r="I512" t="n">
        <v>39.5</v>
      </c>
      <c r="J512" s="4" t="n">
        <v>58</v>
      </c>
      <c r="K512" t="inlineStr">
        <is>
          <t>12 / 46</t>
        </is>
      </c>
      <c r="L512" t="inlineStr">
        <is>
          <t>3 / 12</t>
        </is>
      </c>
      <c r="M512" s="5" t="n">
        <v>0.21</v>
      </c>
      <c r="N512" s="5" t="n">
        <v>0.2</v>
      </c>
    </row>
    <row r="513">
      <c r="A513" t="n">
        <v>512</v>
      </c>
      <c r="B513" t="n">
        <v>2013</v>
      </c>
      <c r="C513" t="inlineStr">
        <is>
          <t>Zean Whyte Omayan Gerongco</t>
        </is>
      </c>
      <c r="D513">
        <f>HYPERLINK("https://ota.tournamentsoftware.com/player-profile/95E8FC8D-AC41-4C9F-8192-23788254309B", "Link")</f>
        <v/>
      </c>
      <c r="E513" s="3" t="n">
        <v>74.577</v>
      </c>
      <c r="F513" s="4" t="n">
        <v>5</v>
      </c>
      <c r="G513" t="inlineStr">
        <is>
          <t>Ontario Tennis Association</t>
        </is>
      </c>
      <c r="H513" t="inlineStr">
        <is>
          <t>Fountainhead Tennis Club</t>
        </is>
      </c>
      <c r="I513" t="n">
        <v>32.8</v>
      </c>
      <c r="J513" s="4" t="n">
        <v>167</v>
      </c>
      <c r="K513" t="inlineStr">
        <is>
          <t>95 / 72</t>
        </is>
      </c>
      <c r="L513" t="inlineStr">
        <is>
          <t>0 / 0</t>
        </is>
      </c>
      <c r="M513" s="5" t="n">
        <v>0.57</v>
      </c>
      <c r="N513" s="5" t="n">
        <v>0</v>
      </c>
    </row>
    <row r="514">
      <c r="A514" t="n">
        <v>513</v>
      </c>
      <c r="B514" t="n">
        <v>2015</v>
      </c>
      <c r="C514" t="inlineStr">
        <is>
          <t>zhiyi li</t>
        </is>
      </c>
      <c r="D514">
        <f>HYPERLINK("https://ota.tournamentsoftware.com/player-profile/262E56E9-3220-45C2-961D-ACE763C5C345", "Link")</f>
        <v/>
      </c>
      <c r="E514" s="3" t="n">
        <v>74.52</v>
      </c>
      <c r="F514" s="4" t="n">
        <v>10</v>
      </c>
      <c r="G514" t="inlineStr">
        <is>
          <t>Ontario Tennis Association</t>
        </is>
      </c>
      <c r="H514" t="inlineStr">
        <is>
          <t>Rideau Sports Centre</t>
        </is>
      </c>
      <c r="I514" t="n">
        <v>35.8</v>
      </c>
      <c r="J514" s="4" t="n">
        <v>83</v>
      </c>
      <c r="K514" t="inlineStr">
        <is>
          <t>44 / 39</t>
        </is>
      </c>
      <c r="L514" t="inlineStr">
        <is>
          <t>8 / 9</t>
        </is>
      </c>
      <c r="M514" s="5" t="n">
        <v>0.53</v>
      </c>
      <c r="N514" s="5" t="n">
        <v>0.47</v>
      </c>
    </row>
    <row r="515">
      <c r="A515" t="n">
        <v>514</v>
      </c>
      <c r="B515" t="n">
        <v>2014</v>
      </c>
      <c r="C515" t="inlineStr">
        <is>
          <t>Ava Amiripour</t>
        </is>
      </c>
      <c r="D515">
        <f>HYPERLINK("https://ota.tournamentsoftware.com/player-profile/C08AB363-A302-4023-8D6D-B732D837DADF", "Link")</f>
        <v/>
      </c>
      <c r="E515" s="3" t="n">
        <v>74.288</v>
      </c>
      <c r="F515" s="4" t="n">
        <v>4</v>
      </c>
      <c r="G515" t="inlineStr">
        <is>
          <t>Ontario Tennis Association</t>
        </is>
      </c>
      <c r="H515" t="inlineStr">
        <is>
          <t>No Club</t>
        </is>
      </c>
      <c r="I515" t="n">
        <v>37.7</v>
      </c>
      <c r="J515" s="4" t="n">
        <v>7</v>
      </c>
      <c r="K515" t="inlineStr">
        <is>
          <t>1 / 6</t>
        </is>
      </c>
      <c r="L515" t="inlineStr">
        <is>
          <t>1 / 5</t>
        </is>
      </c>
      <c r="M515" s="5" t="n">
        <v>0.14</v>
      </c>
      <c r="N515" s="5" t="n">
        <v>0.17</v>
      </c>
    </row>
    <row r="516">
      <c r="A516" t="n">
        <v>515</v>
      </c>
      <c r="B516" t="n">
        <v>2013</v>
      </c>
      <c r="C516" t="inlineStr">
        <is>
          <t>Emma Victoria Chan</t>
        </is>
      </c>
      <c r="D516">
        <f>HYPERLINK("https://ota.tournamentsoftware.com/player-profile/29822B25-6004-4E31-822F-CF8FF1CD9AB7", "Link")</f>
        <v/>
      </c>
      <c r="E516" s="3" t="n">
        <v>74.184</v>
      </c>
      <c r="F516" s="4" t="n">
        <v>8</v>
      </c>
      <c r="G516" t="inlineStr">
        <is>
          <t>Ontario Tennis Association</t>
        </is>
      </c>
      <c r="H516" t="inlineStr">
        <is>
          <t>Joshua Creek Golf &amp; Tennis</t>
        </is>
      </c>
      <c r="I516" t="n">
        <v>36.4</v>
      </c>
      <c r="J516" s="4" t="n">
        <v>64</v>
      </c>
      <c r="K516" t="inlineStr">
        <is>
          <t>40 / 24</t>
        </is>
      </c>
      <c r="L516" t="inlineStr">
        <is>
          <t>12 / 4</t>
        </is>
      </c>
      <c r="M516" s="5" t="n">
        <v>0.62</v>
      </c>
      <c r="N516" s="5" t="n">
        <v>0.75</v>
      </c>
    </row>
    <row r="517">
      <c r="A517" t="n">
        <v>516</v>
      </c>
      <c r="B517" t="n">
        <v>2016</v>
      </c>
      <c r="C517" t="inlineStr">
        <is>
          <t>Grace SHI</t>
        </is>
      </c>
      <c r="D517">
        <f>HYPERLINK("https://ota.tournamentsoftware.com/player-profile/71A1D6E1-33D1-46A0-AF21-F397AE1BA314", "Link")</f>
        <v/>
      </c>
      <c r="E517" s="3" t="n">
        <v>70.416</v>
      </c>
      <c r="F517" s="4" t="n">
        <v>10</v>
      </c>
      <c r="G517" t="inlineStr">
        <is>
          <t>British Columbia</t>
        </is>
      </c>
      <c r="H517" t="inlineStr">
        <is>
          <t>No Club</t>
        </is>
      </c>
      <c r="I517" t="n">
        <v>38.4</v>
      </c>
      <c r="J517" s="4" t="n">
        <v>48</v>
      </c>
      <c r="K517" t="inlineStr">
        <is>
          <t>16 / 32</t>
        </is>
      </c>
      <c r="L517" t="inlineStr">
        <is>
          <t>9 / 13</t>
        </is>
      </c>
      <c r="M517" s="5" t="n">
        <v>0.33</v>
      </c>
      <c r="N517" s="5" t="n">
        <v>0.41</v>
      </c>
    </row>
    <row r="518">
      <c r="A518" t="n">
        <v>517</v>
      </c>
      <c r="B518" t="n">
        <v>2013</v>
      </c>
      <c r="C518" t="inlineStr">
        <is>
          <t>Lydia Squires-Sturge</t>
        </is>
      </c>
      <c r="D518">
        <f>HYPERLINK("https://ota.tournamentsoftware.com/player-profile/AD6D5BEF-6293-4DE8-BF13-52E1A33EF28B", "Link")</f>
        <v/>
      </c>
      <c r="E518" s="3" t="n">
        <v>69.855</v>
      </c>
      <c r="F518" s="4" t="n">
        <v>5</v>
      </c>
      <c r="G518" t="inlineStr">
        <is>
          <t>Tennis Newfoundland &amp; Labrador</t>
        </is>
      </c>
      <c r="H518" t="inlineStr">
        <is>
          <t>Mount Pearl Tennis Club</t>
        </is>
      </c>
      <c r="I518" t="inlineStr">
        <is>
          <t>unavailable</t>
        </is>
      </c>
      <c r="J518" s="4" t="n">
        <v>23</v>
      </c>
      <c r="K518" t="inlineStr">
        <is>
          <t>7 / 16</t>
        </is>
      </c>
      <c r="L518" t="inlineStr">
        <is>
          <t>0 / 4</t>
        </is>
      </c>
      <c r="M518" s="5" t="n">
        <v>0.3</v>
      </c>
      <c r="N518" s="5" t="n">
        <v>0</v>
      </c>
    </row>
    <row r="519">
      <c r="A519" t="n">
        <v>518</v>
      </c>
      <c r="B519" t="n">
        <v>2013</v>
      </c>
      <c r="C519" t="inlineStr">
        <is>
          <t>Lilya Youssef</t>
        </is>
      </c>
      <c r="D519">
        <f>HYPERLINK("https://ota.tournamentsoftware.com/player-profile/E4A52F0A-7400-4236-ACEF-6680D7FB1262", "Link")</f>
        <v/>
      </c>
      <c r="E519" s="3" t="n">
        <v>69.61</v>
      </c>
      <c r="F519" s="4" t="n">
        <v>3</v>
      </c>
      <c r="G519" t="inlineStr">
        <is>
          <t>Tennis Québec</t>
        </is>
      </c>
      <c r="H519" t="inlineStr">
        <is>
          <t>Tennis 13</t>
        </is>
      </c>
      <c r="I519" t="inlineStr">
        <is>
          <t>unavailable</t>
        </is>
      </c>
      <c r="J519" s="4" t="n">
        <v>10</v>
      </c>
      <c r="K519" t="inlineStr">
        <is>
          <t>5 / 5</t>
        </is>
      </c>
      <c r="L519" t="inlineStr">
        <is>
          <t>5 / 5</t>
        </is>
      </c>
      <c r="M519" s="5" t="n">
        <v>0.5</v>
      </c>
      <c r="N519" s="5" t="n">
        <v>0.5</v>
      </c>
    </row>
    <row r="520">
      <c r="A520" t="n">
        <v>519</v>
      </c>
      <c r="B520" t="n">
        <v>2015</v>
      </c>
      <c r="C520" t="inlineStr">
        <is>
          <t>Cara Tereza Nyakahuma</t>
        </is>
      </c>
      <c r="D520">
        <f>HYPERLINK("https://ota.tournamentsoftware.com/player-profile/AFC2100D-E6CB-4B13-AD01-0EBC56083397", "Link")</f>
        <v/>
      </c>
      <c r="E520" s="3" t="n">
        <v>69.328</v>
      </c>
      <c r="F520" s="4" t="n">
        <v>7</v>
      </c>
      <c r="G520" t="inlineStr">
        <is>
          <t>Ontario Tennis Association</t>
        </is>
      </c>
      <c r="H520" t="inlineStr">
        <is>
          <t>Intercounty Tennis Association</t>
        </is>
      </c>
      <c r="I520" t="inlineStr">
        <is>
          <t>unavailable</t>
        </is>
      </c>
      <c r="J520" s="4" t="n">
        <v>142</v>
      </c>
      <c r="K520" t="inlineStr">
        <is>
          <t>90 / 52</t>
        </is>
      </c>
      <c r="L520" t="inlineStr">
        <is>
          <t>7 / 3</t>
        </is>
      </c>
      <c r="M520" s="5" t="n">
        <v>0.63</v>
      </c>
      <c r="N520" s="5" t="n">
        <v>0.7</v>
      </c>
    </row>
    <row r="521">
      <c r="A521" t="n">
        <v>520</v>
      </c>
      <c r="B521" t="n">
        <v>2015</v>
      </c>
      <c r="C521" t="inlineStr">
        <is>
          <t>Emilia Ho</t>
        </is>
      </c>
      <c r="D521">
        <f>HYPERLINK("https://ota.tournamentsoftware.com/player-profile/91D4EC27-5C11-4119-B45C-F3809BFF1CF1", "Link")</f>
        <v/>
      </c>
      <c r="E521" s="3" t="n">
        <v>69.21299999999999</v>
      </c>
      <c r="F521" s="4" t="n">
        <v>17</v>
      </c>
      <c r="G521" t="inlineStr">
        <is>
          <t>Tennis Alberta</t>
        </is>
      </c>
      <c r="H521" t="inlineStr">
        <is>
          <t>Osten &amp; Victor Alberta Tennis Centre</t>
        </is>
      </c>
      <c r="I521" t="n">
        <v>34.6</v>
      </c>
      <c r="J521" s="4" t="n">
        <v>135</v>
      </c>
      <c r="K521" t="inlineStr">
        <is>
          <t>70 / 65</t>
        </is>
      </c>
      <c r="L521" t="inlineStr">
        <is>
          <t>16 / 17</t>
        </is>
      </c>
      <c r="M521" s="5" t="n">
        <v>0.52</v>
      </c>
      <c r="N521" s="5" t="n">
        <v>0.48</v>
      </c>
    </row>
    <row r="522">
      <c r="A522" t="n">
        <v>521</v>
      </c>
      <c r="B522" t="n">
        <v>2016</v>
      </c>
      <c r="C522" t="inlineStr">
        <is>
          <t>Evelyn May</t>
        </is>
      </c>
      <c r="D522">
        <f>HYPERLINK("https://ota.tournamentsoftware.com/player-profile/ABFB9C06-ABE9-4B21-BF57-67179CC1CD5D", "Link")</f>
        <v/>
      </c>
      <c r="E522" s="3" t="n">
        <v>68.914</v>
      </c>
      <c r="F522" s="4" t="n">
        <v>13</v>
      </c>
      <c r="G522" t="inlineStr">
        <is>
          <t>Tennis Québec</t>
        </is>
      </c>
      <c r="H522" t="inlineStr">
        <is>
          <t>Tennis 13 / Académie Ménard et associé</t>
        </is>
      </c>
      <c r="I522" t="n">
        <v>34</v>
      </c>
      <c r="J522" s="4" t="n">
        <v>178</v>
      </c>
      <c r="K522" t="inlineStr">
        <is>
          <t>110 / 68</t>
        </is>
      </c>
      <c r="L522" t="inlineStr">
        <is>
          <t>13 / 12</t>
        </is>
      </c>
      <c r="M522" s="5" t="n">
        <v>0.62</v>
      </c>
      <c r="N522" s="5" t="n">
        <v>0.52</v>
      </c>
    </row>
    <row r="523">
      <c r="A523" t="n">
        <v>522</v>
      </c>
      <c r="B523" t="n">
        <v>2014</v>
      </c>
      <c r="C523" t="inlineStr">
        <is>
          <t>Alexis Sokol</t>
        </is>
      </c>
      <c r="D523">
        <f>HYPERLINK("https://ota.tournamentsoftware.com/player-profile/8337D953-FBB9-45F2-B72A-FF18B572FA6A", "Link")</f>
        <v/>
      </c>
      <c r="E523" s="3" t="n">
        <v>68.806</v>
      </c>
      <c r="F523" s="4" t="n">
        <v>9</v>
      </c>
      <c r="G523" t="inlineStr">
        <is>
          <t>Tennis Alberta</t>
        </is>
      </c>
      <c r="H523" t="inlineStr">
        <is>
          <t>Saville Community Sports Centre</t>
        </is>
      </c>
      <c r="I523" t="n">
        <v>36.5</v>
      </c>
      <c r="J523" s="4" t="n">
        <v>21</v>
      </c>
      <c r="K523" t="inlineStr">
        <is>
          <t>8 / 13</t>
        </is>
      </c>
      <c r="L523" t="inlineStr">
        <is>
          <t>6 / 9</t>
        </is>
      </c>
      <c r="M523" s="5" t="n">
        <v>0.38</v>
      </c>
      <c r="N523" s="5" t="n">
        <v>0.4</v>
      </c>
    </row>
    <row r="524">
      <c r="A524" t="n">
        <v>523</v>
      </c>
      <c r="B524" t="n">
        <v>2014</v>
      </c>
      <c r="C524" t="inlineStr">
        <is>
          <t>Kaitlynn Xie</t>
        </is>
      </c>
      <c r="D524">
        <f>HYPERLINK("https://ota.tournamentsoftware.com/player-profile/25655CF4-99DC-4E1E-BE40-C11FF6785117", "Link")</f>
        <v/>
      </c>
      <c r="E524" s="3" t="n">
        <v>68.715</v>
      </c>
      <c r="F524" s="4" t="n">
        <v>8</v>
      </c>
      <c r="G524" t="inlineStr">
        <is>
          <t>Tennis Alberta</t>
        </is>
      </c>
      <c r="H524" t="inlineStr">
        <is>
          <t>Saville Community Sports Centre</t>
        </is>
      </c>
      <c r="I524" t="n">
        <v>34.2</v>
      </c>
      <c r="J524" s="4" t="n">
        <v>57</v>
      </c>
      <c r="K524" t="inlineStr">
        <is>
          <t>19 / 38</t>
        </is>
      </c>
      <c r="L524" t="inlineStr">
        <is>
          <t>7 / 12</t>
        </is>
      </c>
      <c r="M524" s="5" t="n">
        <v>0.33</v>
      </c>
      <c r="N524" s="5" t="n">
        <v>0.37</v>
      </c>
    </row>
    <row r="525">
      <c r="A525" t="n">
        <v>524</v>
      </c>
      <c r="B525" t="n">
        <v>2014</v>
      </c>
      <c r="C525" t="inlineStr">
        <is>
          <t>Sareen Kaur Hehar</t>
        </is>
      </c>
      <c r="D525">
        <f>HYPERLINK("https://ota.tournamentsoftware.com/player-profile/07D185FB-AE5B-444B-BAE8-058B536108E2", "Link")</f>
        <v/>
      </c>
      <c r="E525" s="3" t="n">
        <v>67.908</v>
      </c>
      <c r="F525" s="4" t="n">
        <v>13</v>
      </c>
      <c r="G525" t="inlineStr">
        <is>
          <t>British Columbia</t>
        </is>
      </c>
      <c r="H525" t="inlineStr">
        <is>
          <t>No Club</t>
        </is>
      </c>
      <c r="I525" t="n">
        <v>35.7</v>
      </c>
      <c r="J525" s="4" t="n">
        <v>197</v>
      </c>
      <c r="K525" t="inlineStr">
        <is>
          <t>75 / 122</t>
        </is>
      </c>
      <c r="L525" t="inlineStr">
        <is>
          <t>5 / 10</t>
        </is>
      </c>
      <c r="M525" s="5" t="n">
        <v>0.38</v>
      </c>
      <c r="N525" s="5" t="n">
        <v>0.33</v>
      </c>
    </row>
    <row r="526">
      <c r="A526" t="n">
        <v>525</v>
      </c>
      <c r="B526" t="n">
        <v>2014</v>
      </c>
      <c r="C526" t="inlineStr">
        <is>
          <t>Mioara Oulima Bouyela</t>
        </is>
      </c>
      <c r="D526">
        <f>HYPERLINK("https://ota.tournamentsoftware.com/player-profile/44DDF62F-2675-4E36-B215-8515347ABD9E", "Link")</f>
        <v/>
      </c>
      <c r="E526" s="3" t="n">
        <v>67.357</v>
      </c>
      <c r="F526" s="4" t="n">
        <v>14</v>
      </c>
      <c r="G526" t="inlineStr">
        <is>
          <t>Tennis Québec</t>
        </is>
      </c>
      <c r="H526" t="inlineStr">
        <is>
          <t>Tennis 13</t>
        </is>
      </c>
      <c r="I526" t="n">
        <v>37.9</v>
      </c>
      <c r="J526" s="4" t="n">
        <v>81</v>
      </c>
      <c r="K526" t="inlineStr">
        <is>
          <t>33 / 48</t>
        </is>
      </c>
      <c r="L526" t="inlineStr">
        <is>
          <t>9 / 12</t>
        </is>
      </c>
      <c r="M526" s="5" t="n">
        <v>0.41</v>
      </c>
      <c r="N526" s="5" t="n">
        <v>0.43</v>
      </c>
    </row>
    <row r="527">
      <c r="A527" t="n">
        <v>526</v>
      </c>
      <c r="B527" t="n">
        <v>2013</v>
      </c>
      <c r="C527" t="inlineStr">
        <is>
          <t>Camélia Duong</t>
        </is>
      </c>
      <c r="D527">
        <f>HYPERLINK("https://ota.tournamentsoftware.com/player-profile/86B52BC3-1BF6-4334-8E35-8F6D2AF1C95B", "Link")</f>
        <v/>
      </c>
      <c r="E527" s="3" t="n">
        <v>67.227</v>
      </c>
      <c r="F527" s="4" t="n">
        <v>11</v>
      </c>
      <c r="G527" t="inlineStr">
        <is>
          <t>Tennis Québec</t>
        </is>
      </c>
      <c r="H527" t="inlineStr">
        <is>
          <t>Tennis Ile- des- Soeurs</t>
        </is>
      </c>
      <c r="I527" t="n">
        <v>38.3</v>
      </c>
      <c r="J527" s="4" t="n">
        <v>58</v>
      </c>
      <c r="K527" t="inlineStr">
        <is>
          <t>9 / 49</t>
        </is>
      </c>
      <c r="L527" t="inlineStr">
        <is>
          <t>1 / 6</t>
        </is>
      </c>
      <c r="M527" s="5" t="n">
        <v>0.16</v>
      </c>
      <c r="N527" s="5" t="n">
        <v>0.14</v>
      </c>
    </row>
    <row r="528">
      <c r="A528" t="n">
        <v>527</v>
      </c>
      <c r="B528" t="n">
        <v>2014</v>
      </c>
      <c r="C528" t="inlineStr">
        <is>
          <t>Melissa Elena Rusu</t>
        </is>
      </c>
      <c r="D528">
        <f>HYPERLINK("https://ota.tournamentsoftware.com/player-profile/9F55033D-1DF5-465D-A3A2-401E58DF9FEB", "Link")</f>
        <v/>
      </c>
      <c r="E528" s="3" t="n">
        <v>67.018</v>
      </c>
      <c r="F528" s="4" t="n">
        <v>15</v>
      </c>
      <c r="G528" t="inlineStr">
        <is>
          <t>Tennis Québec</t>
        </is>
      </c>
      <c r="H528" t="inlineStr">
        <is>
          <t>Carrefour Multisports - Haute Performance</t>
        </is>
      </c>
      <c r="I528" t="n">
        <v>37.7</v>
      </c>
      <c r="J528" s="4" t="n">
        <v>55</v>
      </c>
      <c r="K528" t="inlineStr">
        <is>
          <t>18 / 37</t>
        </is>
      </c>
      <c r="L528" t="inlineStr">
        <is>
          <t>3 / 14</t>
        </is>
      </c>
      <c r="M528" s="5" t="n">
        <v>0.33</v>
      </c>
      <c r="N528" s="5" t="n">
        <v>0.18</v>
      </c>
    </row>
    <row r="529">
      <c r="A529" t="n">
        <v>528</v>
      </c>
      <c r="B529" t="n">
        <v>2017</v>
      </c>
      <c r="C529" t="inlineStr">
        <is>
          <t>Siena Yang-frome</t>
        </is>
      </c>
      <c r="D529">
        <f>HYPERLINK("https://ota.tournamentsoftware.com/player-profile/07E78FFD-E9BB-462A-8A5B-4456E8FEB96D", "Link")</f>
        <v/>
      </c>
      <c r="E529" s="3" t="n">
        <v>66.974</v>
      </c>
      <c r="F529" s="4" t="n">
        <v>10</v>
      </c>
      <c r="G529" t="inlineStr">
        <is>
          <t>Ontario Tennis Association</t>
        </is>
      </c>
      <c r="H529" t="inlineStr">
        <is>
          <t>ACE Tennis - Burlington</t>
        </is>
      </c>
      <c r="I529" t="n">
        <v>36.4</v>
      </c>
      <c r="J529" s="4" t="n">
        <v>81</v>
      </c>
      <c r="K529" t="inlineStr">
        <is>
          <t>47 / 34</t>
        </is>
      </c>
      <c r="L529" t="inlineStr">
        <is>
          <t>9 / 11</t>
        </is>
      </c>
      <c r="M529" s="5" t="n">
        <v>0.58</v>
      </c>
      <c r="N529" s="5" t="n">
        <v>0.45</v>
      </c>
    </row>
    <row r="530">
      <c r="A530" t="n">
        <v>529</v>
      </c>
      <c r="B530" t="n">
        <v>2012</v>
      </c>
      <c r="C530" t="inlineStr">
        <is>
          <t>Daisy Brown</t>
        </is>
      </c>
      <c r="D530">
        <f>HYPERLINK("https://ota.tournamentsoftware.com/player-profile/9CF1A8A4-6BA5-46C8-92F4-3E802A738811", "Link")</f>
        <v/>
      </c>
      <c r="E530" s="3" t="n">
        <v>66.343</v>
      </c>
      <c r="F530" s="4" t="n">
        <v>6</v>
      </c>
      <c r="G530" t="inlineStr">
        <is>
          <t>British Columbia</t>
        </is>
      </c>
      <c r="H530" t="inlineStr">
        <is>
          <t>Oak Bay Recreation Centre</t>
        </is>
      </c>
      <c r="I530" t="n">
        <v>35.4</v>
      </c>
      <c r="J530" s="4" t="n">
        <v>59</v>
      </c>
      <c r="K530" t="inlineStr">
        <is>
          <t>33 / 26</t>
        </is>
      </c>
      <c r="L530" t="inlineStr">
        <is>
          <t>3 / 4</t>
        </is>
      </c>
      <c r="M530" s="5" t="n">
        <v>0.5600000000000001</v>
      </c>
      <c r="N530" s="5" t="n">
        <v>0.43</v>
      </c>
    </row>
    <row r="531">
      <c r="A531" t="n">
        <v>530</v>
      </c>
      <c r="B531" t="n">
        <v>2015</v>
      </c>
      <c r="C531" t="inlineStr">
        <is>
          <t>Brielle Ramirez Balos</t>
        </is>
      </c>
      <c r="D531">
        <f>HYPERLINK("https://ota.tournamentsoftware.com/player-profile/2F36BC35-A108-44F9-B705-6F2246749033", "Link")</f>
        <v/>
      </c>
      <c r="E531" s="3" t="n">
        <v>66.29000000000001</v>
      </c>
      <c r="F531" s="4" t="n">
        <v>9</v>
      </c>
      <c r="G531" t="inlineStr">
        <is>
          <t>Tennis Alberta</t>
        </is>
      </c>
      <c r="H531" t="inlineStr">
        <is>
          <t>Saville Community Sports Centre</t>
        </is>
      </c>
      <c r="I531" t="inlineStr">
        <is>
          <t>unavailable</t>
        </is>
      </c>
      <c r="J531" s="4" t="n">
        <v>65</v>
      </c>
      <c r="K531" t="inlineStr">
        <is>
          <t>37 / 28</t>
        </is>
      </c>
      <c r="L531" t="inlineStr">
        <is>
          <t>15 / 9</t>
        </is>
      </c>
      <c r="M531" s="5" t="n">
        <v>0.57</v>
      </c>
      <c r="N531" s="5" t="n">
        <v>0.62</v>
      </c>
    </row>
    <row r="532">
      <c r="A532" t="n">
        <v>531</v>
      </c>
      <c r="B532" t="n">
        <v>2014</v>
      </c>
      <c r="C532" t="inlineStr">
        <is>
          <t>Clarice de Azevedo Guedes</t>
        </is>
      </c>
      <c r="D532">
        <f>HYPERLINK("https://ota.tournamentsoftware.com/player-profile/027DF0F1-69E8-4220-8263-B26C4D1AFC70", "Link")</f>
        <v/>
      </c>
      <c r="E532" s="3" t="n">
        <v>66.087</v>
      </c>
      <c r="F532" s="4" t="n">
        <v>14</v>
      </c>
      <c r="G532" t="inlineStr">
        <is>
          <t>Tennis Québec</t>
        </is>
      </c>
      <c r="H532" t="inlineStr">
        <is>
          <t>Tennis 13</t>
        </is>
      </c>
      <c r="I532" t="inlineStr">
        <is>
          <t>unavailable</t>
        </is>
      </c>
      <c r="J532" s="4" t="n">
        <v>61</v>
      </c>
      <c r="K532" t="inlineStr">
        <is>
          <t>24 / 37</t>
        </is>
      </c>
      <c r="L532" t="inlineStr">
        <is>
          <t>10 / 11</t>
        </is>
      </c>
      <c r="M532" s="5" t="n">
        <v>0.39</v>
      </c>
      <c r="N532" s="5" t="n">
        <v>0.48</v>
      </c>
    </row>
    <row r="533">
      <c r="A533" t="n">
        <v>532</v>
      </c>
      <c r="B533" t="n">
        <v>2017</v>
      </c>
      <c r="C533" t="inlineStr">
        <is>
          <t>Chen Xi Zhou Kong</t>
        </is>
      </c>
      <c r="D533">
        <f>HYPERLINK("https://ota.tournamentsoftware.com/player-profile/E5CD94C9-63F9-419B-A6E9-CCB6DEF8B502", "Link")</f>
        <v/>
      </c>
      <c r="E533" s="3" t="n">
        <v>66</v>
      </c>
      <c r="F533" s="4" t="n">
        <v>20</v>
      </c>
      <c r="G533" t="inlineStr">
        <is>
          <t>Tennis Québec</t>
        </is>
      </c>
      <c r="H533" t="inlineStr">
        <is>
          <t>Académie Tennis Momentum (club extérieur)</t>
        </is>
      </c>
      <c r="I533" t="inlineStr">
        <is>
          <t>unavailable</t>
        </is>
      </c>
      <c r="J533" s="4" t="n">
        <v>113</v>
      </c>
      <c r="K533" t="inlineStr">
        <is>
          <t>52 / 61</t>
        </is>
      </c>
      <c r="L533" t="inlineStr">
        <is>
          <t>35 / 34</t>
        </is>
      </c>
      <c r="M533" s="5" t="n">
        <v>0.46</v>
      </c>
      <c r="N533" s="5" t="n">
        <v>0.51</v>
      </c>
    </row>
    <row r="534">
      <c r="A534" t="n">
        <v>533</v>
      </c>
      <c r="B534" t="n">
        <v>2015</v>
      </c>
      <c r="C534" t="inlineStr">
        <is>
          <t>Myra Shukla</t>
        </is>
      </c>
      <c r="D534">
        <f>HYPERLINK("https://ota.tournamentsoftware.com/player-profile/2F4B1A1D-35AC-45A0-9F5D-6D5533376D9A", "Link")</f>
        <v/>
      </c>
      <c r="E534" s="3" t="n">
        <v>65.806</v>
      </c>
      <c r="F534" s="4" t="n">
        <v>5</v>
      </c>
      <c r="G534" t="inlineStr">
        <is>
          <t>Ontario Tennis Association</t>
        </is>
      </c>
      <c r="H534" t="inlineStr">
        <is>
          <t>Veneto Tennis Club</t>
        </is>
      </c>
      <c r="I534" t="n">
        <v>36.4</v>
      </c>
      <c r="J534" s="4" t="n">
        <v>81</v>
      </c>
      <c r="K534" t="inlineStr">
        <is>
          <t>34 / 47</t>
        </is>
      </c>
      <c r="L534" t="inlineStr">
        <is>
          <t>1 / 4</t>
        </is>
      </c>
      <c r="M534" s="5" t="n">
        <v>0.42</v>
      </c>
      <c r="N534" s="5" t="n">
        <v>0.2</v>
      </c>
    </row>
    <row r="535">
      <c r="A535" t="n">
        <v>534</v>
      </c>
      <c r="B535" t="n">
        <v>2012</v>
      </c>
      <c r="C535" t="inlineStr">
        <is>
          <t>Diya Anand</t>
        </is>
      </c>
      <c r="D535">
        <f>HYPERLINK("https://ota.tournamentsoftware.com/player-profile/3939C1EF-E95B-4DD4-9208-81F6E4D5387F", "Link")</f>
        <v/>
      </c>
      <c r="E535" s="3" t="n">
        <v>65.70999999999999</v>
      </c>
      <c r="F535" s="4" t="n">
        <v>5</v>
      </c>
      <c r="G535" t="inlineStr">
        <is>
          <t>Ontario Tennis Association</t>
        </is>
      </c>
      <c r="H535" t="inlineStr">
        <is>
          <t>Rosedale Tennis Club (Hamilton)</t>
        </is>
      </c>
      <c r="I535" t="inlineStr">
        <is>
          <t>unavailable</t>
        </is>
      </c>
      <c r="J535" s="4" t="n">
        <v>20</v>
      </c>
      <c r="K535" t="inlineStr">
        <is>
          <t>4 / 16</t>
        </is>
      </c>
      <c r="L535" t="inlineStr">
        <is>
          <t>1 / 6</t>
        </is>
      </c>
      <c r="M535" s="5" t="n">
        <v>0.2</v>
      </c>
      <c r="N535" s="5" t="n">
        <v>0.14</v>
      </c>
    </row>
    <row r="536">
      <c r="A536" t="n">
        <v>535</v>
      </c>
      <c r="B536" t="n">
        <v>2015</v>
      </c>
      <c r="C536" t="inlineStr">
        <is>
          <t>Mataya Victoria Jan</t>
        </is>
      </c>
      <c r="D536">
        <f>HYPERLINK("https://ota.tournamentsoftware.com/player-profile/52A288CA-2524-4398-A498-9546CE531A78", "Link")</f>
        <v/>
      </c>
      <c r="E536" s="3" t="n">
        <v>65.431</v>
      </c>
      <c r="F536" s="4" t="n">
        <v>7</v>
      </c>
      <c r="G536" t="inlineStr">
        <is>
          <t>Ontario Tennis Association</t>
        </is>
      </c>
      <c r="H536" t="inlineStr">
        <is>
          <t>Tennis Centre West Ottawa</t>
        </is>
      </c>
      <c r="I536" t="n">
        <v>39.8</v>
      </c>
      <c r="J536" s="4" t="n">
        <v>12</v>
      </c>
      <c r="K536" t="inlineStr">
        <is>
          <t>0 / 12</t>
        </is>
      </c>
      <c r="L536" t="inlineStr">
        <is>
          <t>0 / 7</t>
        </is>
      </c>
      <c r="M536" s="5" t="n">
        <v>0</v>
      </c>
      <c r="N536" s="5" t="n">
        <v>0</v>
      </c>
    </row>
    <row r="537">
      <c r="A537" t="n">
        <v>536</v>
      </c>
      <c r="B537" t="n">
        <v>2013</v>
      </c>
      <c r="C537" t="inlineStr">
        <is>
          <t>Robyn Abigail Allen</t>
        </is>
      </c>
      <c r="D537">
        <f>HYPERLINK("https://ota.tournamentsoftware.com/player-profile/248A3F67-26CE-43CB-A1BB-A426F8AC9211", "Link")</f>
        <v/>
      </c>
      <c r="E537" s="3" t="n">
        <v>65.42700000000001</v>
      </c>
      <c r="F537" s="4" t="n">
        <v>4</v>
      </c>
      <c r="G537" t="inlineStr">
        <is>
          <t>Ontario Tennis Association</t>
        </is>
      </c>
      <c r="H537" t="inlineStr">
        <is>
          <t>Waterloo Tennis Club</t>
        </is>
      </c>
      <c r="I537" t="inlineStr">
        <is>
          <t>unavailable</t>
        </is>
      </c>
      <c r="J537" s="4" t="n">
        <v>24</v>
      </c>
      <c r="K537" t="inlineStr">
        <is>
          <t>5 / 19</t>
        </is>
      </c>
      <c r="L537" t="inlineStr">
        <is>
          <t>2 / 12</t>
        </is>
      </c>
      <c r="M537" s="5" t="n">
        <v>0.21</v>
      </c>
      <c r="N537" s="5" t="n">
        <v>0.14</v>
      </c>
    </row>
    <row r="538">
      <c r="A538" t="n">
        <v>537</v>
      </c>
      <c r="B538" t="n">
        <v>2015</v>
      </c>
      <c r="C538" t="inlineStr">
        <is>
          <t>Clara Surprenant</t>
        </is>
      </c>
      <c r="D538">
        <f>HYPERLINK("https://ota.tournamentsoftware.com/player-profile/82684D26-C7AE-41C6-893D-5E94585A41D7", "Link")</f>
        <v/>
      </c>
      <c r="E538" s="3" t="n">
        <v>65.02500000000001</v>
      </c>
      <c r="F538" s="4" t="n">
        <v>7</v>
      </c>
      <c r="G538" t="inlineStr">
        <is>
          <t>Tennis Québec</t>
        </is>
      </c>
      <c r="H538" t="inlineStr">
        <is>
          <t>SANI Sport</t>
        </is>
      </c>
      <c r="I538" t="n">
        <v>36.6</v>
      </c>
      <c r="J538" s="4" t="n">
        <v>85</v>
      </c>
      <c r="K538" t="inlineStr">
        <is>
          <t>40 / 45</t>
        </is>
      </c>
      <c r="L538" t="inlineStr">
        <is>
          <t>2 / 4</t>
        </is>
      </c>
      <c r="M538" s="5" t="n">
        <v>0.47</v>
      </c>
      <c r="N538" s="5" t="n">
        <v>0.33</v>
      </c>
    </row>
    <row r="539">
      <c r="A539" t="n">
        <v>538</v>
      </c>
      <c r="B539" t="n">
        <v>2015</v>
      </c>
      <c r="C539" t="inlineStr">
        <is>
          <t>Alexandria Gianvito</t>
        </is>
      </c>
      <c r="D539">
        <f>HYPERLINK("https://ota.tournamentsoftware.com/player-profile/4A4D327B-3019-4349-8F36-0769D584A4FA", "Link")</f>
        <v/>
      </c>
      <c r="E539" s="3" t="n">
        <v>64.84999999999999</v>
      </c>
      <c r="F539" s="4" t="n">
        <v>6</v>
      </c>
      <c r="G539" t="inlineStr">
        <is>
          <t>Tennis Québec</t>
        </is>
      </c>
      <c r="H539" t="inlineStr">
        <is>
          <t>No Club</t>
        </is>
      </c>
      <c r="I539" t="inlineStr">
        <is>
          <t>unavailable</t>
        </is>
      </c>
      <c r="J539" s="4" t="n">
        <v>50</v>
      </c>
      <c r="K539" t="inlineStr">
        <is>
          <t>13 / 37</t>
        </is>
      </c>
      <c r="L539" t="inlineStr">
        <is>
          <t>1 / 5</t>
        </is>
      </c>
      <c r="M539" s="5" t="n">
        <v>0.26</v>
      </c>
      <c r="N539" s="5" t="n">
        <v>0.17</v>
      </c>
    </row>
    <row r="540">
      <c r="A540" t="n">
        <v>539</v>
      </c>
      <c r="B540" t="n">
        <v>2012</v>
      </c>
      <c r="C540" t="inlineStr">
        <is>
          <t>Jemima Edwards</t>
        </is>
      </c>
      <c r="D540">
        <f>HYPERLINK("https://ota.tournamentsoftware.com/player-profile/89C8AA4C-1698-4049-8B88-9B77FC5C4B9B", "Link")</f>
        <v/>
      </c>
      <c r="E540" s="3" t="n">
        <v>64</v>
      </c>
      <c r="F540" s="4" t="n">
        <v>2</v>
      </c>
      <c r="G540" t="inlineStr">
        <is>
          <t>Ontario Tennis Association</t>
        </is>
      </c>
      <c r="H540" t="inlineStr">
        <is>
          <t>Rideau Sports Centre</t>
        </is>
      </c>
      <c r="I540" t="n">
        <v>32.5</v>
      </c>
      <c r="J540" s="4" t="n">
        <v>77</v>
      </c>
      <c r="K540" t="inlineStr">
        <is>
          <t>39 / 38</t>
        </is>
      </c>
      <c r="L540" t="inlineStr">
        <is>
          <t>3 / 1</t>
        </is>
      </c>
      <c r="M540" s="5" t="n">
        <v>0.51</v>
      </c>
      <c r="N540" s="5" t="n">
        <v>0.75</v>
      </c>
    </row>
    <row r="541">
      <c r="A541" t="n">
        <v>540</v>
      </c>
      <c r="B541" t="n">
        <v>2013</v>
      </c>
      <c r="C541" t="inlineStr">
        <is>
          <t>Audrey Humeniuk</t>
        </is>
      </c>
      <c r="D541">
        <f>HYPERLINK("https://ota.tournamentsoftware.com/player-profile/468D56FB-0ABD-4840-82FB-F2B1EB075075", "Link")</f>
        <v/>
      </c>
      <c r="E541" s="3" t="n">
        <v>63.86</v>
      </c>
      <c r="F541" s="4" t="n">
        <v>4</v>
      </c>
      <c r="G541" t="inlineStr">
        <is>
          <t>Ontario Tennis Association</t>
        </is>
      </c>
      <c r="H541" t="inlineStr">
        <is>
          <t>Tennis Centre West Ottawa</t>
        </is>
      </c>
      <c r="I541" t="n">
        <v>39.9</v>
      </c>
      <c r="J541" s="4" t="n">
        <v>8</v>
      </c>
      <c r="K541" t="inlineStr">
        <is>
          <t>1 / 7</t>
        </is>
      </c>
      <c r="L541" t="inlineStr">
        <is>
          <t>0 / 3</t>
        </is>
      </c>
      <c r="M541" s="5" t="n">
        <v>0.12</v>
      </c>
      <c r="N541" s="5" t="n">
        <v>0</v>
      </c>
    </row>
    <row r="542">
      <c r="A542" t="n">
        <v>541</v>
      </c>
      <c r="B542" t="n">
        <v>2013</v>
      </c>
      <c r="C542" t="inlineStr">
        <is>
          <t>Deborah Zhao</t>
        </is>
      </c>
      <c r="D542">
        <f>HYPERLINK("https://ota.tournamentsoftware.com/player-profile/F6904719-B024-412B-8805-0CEB145651FD", "Link")</f>
        <v/>
      </c>
      <c r="E542" s="3" t="n">
        <v>63.288</v>
      </c>
      <c r="F542" s="4" t="n">
        <v>3</v>
      </c>
      <c r="G542" t="inlineStr">
        <is>
          <t>Tennis Prince Edward Island</t>
        </is>
      </c>
      <c r="H542" t="inlineStr">
        <is>
          <t>Charlottetown Recreation Tennis Group</t>
        </is>
      </c>
      <c r="I542" t="n">
        <v>36.6</v>
      </c>
      <c r="J542" s="4" t="n">
        <v>136</v>
      </c>
      <c r="K542" t="inlineStr">
        <is>
          <t>65 / 71</t>
        </is>
      </c>
      <c r="L542" t="inlineStr">
        <is>
          <t>3 / 7</t>
        </is>
      </c>
      <c r="M542" s="5" t="n">
        <v>0.48</v>
      </c>
      <c r="N542" s="5" t="n">
        <v>0.3</v>
      </c>
    </row>
    <row r="543">
      <c r="A543" t="n">
        <v>542</v>
      </c>
      <c r="B543" t="n">
        <v>2015</v>
      </c>
      <c r="C543" t="inlineStr">
        <is>
          <t>Aayushi Gautam</t>
        </is>
      </c>
      <c r="D543">
        <f>HYPERLINK("https://ota.tournamentsoftware.com/player-profile/A24CEE26-7629-46B9-89B0-12B054D2DFB9", "Link")</f>
        <v/>
      </c>
      <c r="E543" s="3" t="n">
        <v>63.275</v>
      </c>
      <c r="F543" s="4" t="n">
        <v>13</v>
      </c>
      <c r="G543" t="inlineStr">
        <is>
          <t>Tennis Alberta</t>
        </is>
      </c>
      <c r="H543" t="inlineStr">
        <is>
          <t>Saville Community Sports Centre</t>
        </is>
      </c>
      <c r="I543" t="n">
        <v>33.6</v>
      </c>
      <c r="J543" s="4" t="n">
        <v>152</v>
      </c>
      <c r="K543" t="inlineStr">
        <is>
          <t>90 / 62</t>
        </is>
      </c>
      <c r="L543" t="inlineStr">
        <is>
          <t>16 / 8</t>
        </is>
      </c>
      <c r="M543" s="5" t="n">
        <v>0.59</v>
      </c>
      <c r="N543" s="5" t="n">
        <v>0.67</v>
      </c>
    </row>
    <row r="544">
      <c r="A544" t="n">
        <v>543</v>
      </c>
      <c r="B544" t="n">
        <v>2012</v>
      </c>
      <c r="C544" t="inlineStr">
        <is>
          <t>kate zixi ye</t>
        </is>
      </c>
      <c r="D544">
        <f>HYPERLINK("https://ota.tournamentsoftware.com/player-profile/0A8F7797-88F4-49C6-8F3D-6079B8242406", "Link")</f>
        <v/>
      </c>
      <c r="E544" s="3" t="n">
        <v>62.909</v>
      </c>
      <c r="F544" s="4" t="n">
        <v>5</v>
      </c>
      <c r="G544" t="inlineStr">
        <is>
          <t>Ontario Tennis Association</t>
        </is>
      </c>
      <c r="H544" t="inlineStr">
        <is>
          <t>No Club</t>
        </is>
      </c>
      <c r="I544" t="n">
        <v>37.9</v>
      </c>
      <c r="J544" s="4" t="n">
        <v>11</v>
      </c>
      <c r="K544" t="inlineStr">
        <is>
          <t>2 / 9</t>
        </is>
      </c>
      <c r="L544" t="inlineStr">
        <is>
          <t>1 / 4</t>
        </is>
      </c>
      <c r="M544" s="5" t="n">
        <v>0.18</v>
      </c>
      <c r="N544" s="5" t="n">
        <v>0.2</v>
      </c>
    </row>
    <row r="545">
      <c r="A545" t="n">
        <v>544</v>
      </c>
      <c r="B545" t="n">
        <v>2013</v>
      </c>
      <c r="C545" t="inlineStr">
        <is>
          <t>Vina BLANCHARD</t>
        </is>
      </c>
      <c r="D545">
        <f>HYPERLINK("https://ota.tournamentsoftware.com/player-profile/B5AD0E2A-4843-4177-AD96-5A3203B5C718", "Link")</f>
        <v/>
      </c>
      <c r="E545" s="3" t="n">
        <v>62.695</v>
      </c>
      <c r="F545" s="4" t="n">
        <v>6</v>
      </c>
      <c r="G545" t="inlineStr">
        <is>
          <t>Ontario Tennis Association</t>
        </is>
      </c>
      <c r="H545" t="inlineStr">
        <is>
          <t>Ontario Racquet Club</t>
        </is>
      </c>
      <c r="I545" t="inlineStr">
        <is>
          <t>unavailable</t>
        </is>
      </c>
      <c r="J545" s="4" t="n">
        <v>25</v>
      </c>
      <c r="K545" t="inlineStr">
        <is>
          <t>11 / 14</t>
        </is>
      </c>
      <c r="L545" t="inlineStr">
        <is>
          <t>2 / 8</t>
        </is>
      </c>
      <c r="M545" s="5" t="n">
        <v>0.44</v>
      </c>
      <c r="N545" s="5" t="n">
        <v>0.2</v>
      </c>
    </row>
    <row r="546">
      <c r="A546" t="n">
        <v>545</v>
      </c>
      <c r="B546" t="n">
        <v>2012</v>
      </c>
      <c r="C546" t="inlineStr">
        <is>
          <t>Hannah Ines Fischer-Kandelas</t>
        </is>
      </c>
      <c r="D546">
        <f>HYPERLINK("https://ota.tournamentsoftware.com/player-profile/672C977E-EE19-4DD0-AE73-F6FCDD2EE1E1", "Link")</f>
        <v/>
      </c>
      <c r="E546" s="3" t="n">
        <v>62.453</v>
      </c>
      <c r="F546" s="4" t="n">
        <v>4</v>
      </c>
      <c r="G546" t="inlineStr">
        <is>
          <t>Ontario Tennis Association</t>
        </is>
      </c>
      <c r="H546" t="inlineStr">
        <is>
          <t>Wychwood Tennis Club</t>
        </is>
      </c>
      <c r="I546" t="n">
        <v>39.1</v>
      </c>
      <c r="J546" s="4" t="n">
        <v>22</v>
      </c>
      <c r="K546" t="inlineStr">
        <is>
          <t>9 / 13</t>
        </is>
      </c>
      <c r="L546" t="inlineStr">
        <is>
          <t>2 / 7</t>
        </is>
      </c>
      <c r="M546" s="5" t="n">
        <v>0.41</v>
      </c>
      <c r="N546" s="5" t="n">
        <v>0.22</v>
      </c>
    </row>
    <row r="547">
      <c r="A547" t="n">
        <v>546</v>
      </c>
      <c r="B547" t="n">
        <v>2014</v>
      </c>
      <c r="C547" t="inlineStr">
        <is>
          <t>Chloe Huang</t>
        </is>
      </c>
      <c r="D547">
        <f>HYPERLINK("https://ota.tournamentsoftware.com/player-profile/F00195EB-06BF-48AD-9E24-7FA037871F13", "Link")</f>
        <v/>
      </c>
      <c r="E547" s="3" t="n">
        <v>62.111</v>
      </c>
      <c r="F547" s="4" t="n">
        <v>3</v>
      </c>
      <c r="G547" t="inlineStr">
        <is>
          <t>Ontario Tennis Association</t>
        </is>
      </c>
      <c r="H547" t="inlineStr">
        <is>
          <t>Richmond Hill Country Club</t>
        </is>
      </c>
      <c r="I547" t="n">
        <v>38.8</v>
      </c>
      <c r="J547" s="4" t="n">
        <v>54</v>
      </c>
      <c r="K547" t="inlineStr">
        <is>
          <t>20 / 34</t>
        </is>
      </c>
      <c r="L547" t="inlineStr">
        <is>
          <t>0 / 3</t>
        </is>
      </c>
      <c r="M547" s="5" t="n">
        <v>0.37</v>
      </c>
      <c r="N547" s="5" t="n">
        <v>0</v>
      </c>
    </row>
    <row r="548">
      <c r="A548" t="n">
        <v>547</v>
      </c>
      <c r="B548" t="n">
        <v>2012</v>
      </c>
      <c r="C548" t="inlineStr">
        <is>
          <t>Alice Zhang</t>
        </is>
      </c>
      <c r="D548">
        <f>HYPERLINK("https://ota.tournamentsoftware.com/player-profile/D65C72B6-843B-48BF-A073-AE5080F1EA2D", "Link")</f>
        <v/>
      </c>
      <c r="E548" s="3" t="n">
        <v>61.807</v>
      </c>
      <c r="F548" s="4" t="n">
        <v>4</v>
      </c>
      <c r="G548" t="inlineStr">
        <is>
          <t>Ontario Tennis Association</t>
        </is>
      </c>
      <c r="H548" t="inlineStr">
        <is>
          <t>ACE Tennis - Burlington</t>
        </is>
      </c>
      <c r="I548" t="n">
        <v>37.2</v>
      </c>
      <c r="J548" s="4" t="n">
        <v>10</v>
      </c>
      <c r="K548" t="inlineStr">
        <is>
          <t>2 / 8</t>
        </is>
      </c>
      <c r="L548" t="inlineStr">
        <is>
          <t>2 / 6</t>
        </is>
      </c>
      <c r="M548" s="5" t="n">
        <v>0.2</v>
      </c>
      <c r="N548" s="5" t="n">
        <v>0.25</v>
      </c>
    </row>
    <row r="549">
      <c r="A549" t="n">
        <v>548</v>
      </c>
      <c r="B549" t="n">
        <v>2014</v>
      </c>
      <c r="C549" t="inlineStr">
        <is>
          <t>Minnie Jinwen Xu</t>
        </is>
      </c>
      <c r="D549">
        <f>HYPERLINK("https://ota.tournamentsoftware.com/player-profile/617AABE9-B600-4656-9194-77743DDDC351", "Link")</f>
        <v/>
      </c>
      <c r="E549" s="3" t="n">
        <v>60.335</v>
      </c>
      <c r="F549" s="4" t="n">
        <v>11</v>
      </c>
      <c r="G549" t="inlineStr">
        <is>
          <t>British Columbia</t>
        </is>
      </c>
      <c r="H549" t="inlineStr">
        <is>
          <t>The Tennis Centre</t>
        </is>
      </c>
      <c r="I549" t="n">
        <v>35.2</v>
      </c>
      <c r="J549" s="4" t="n">
        <v>126</v>
      </c>
      <c r="K549" t="inlineStr">
        <is>
          <t>66 / 60</t>
        </is>
      </c>
      <c r="L549" t="inlineStr">
        <is>
          <t>12 / 11</t>
        </is>
      </c>
      <c r="M549" s="5" t="n">
        <v>0.52</v>
      </c>
      <c r="N549" s="5" t="n">
        <v>0.52</v>
      </c>
    </row>
    <row r="550">
      <c r="A550" t="n">
        <v>549</v>
      </c>
      <c r="B550" t="n">
        <v>2016</v>
      </c>
      <c r="C550" t="inlineStr">
        <is>
          <t>LUXI YANG</t>
        </is>
      </c>
      <c r="D550">
        <f>HYPERLINK("https://ota.tournamentsoftware.com/player-profile/00CB777C-F17D-4A37-8393-1F4E5A4F3C39", "Link")</f>
        <v/>
      </c>
      <c r="E550" s="3" t="n">
        <v>60.216</v>
      </c>
      <c r="F550" s="4" t="n">
        <v>8</v>
      </c>
      <c r="G550" t="inlineStr">
        <is>
          <t>British Columbia</t>
        </is>
      </c>
      <c r="H550" t="inlineStr">
        <is>
          <t>The Tennis Centre</t>
        </is>
      </c>
      <c r="I550" t="n">
        <v>33.2</v>
      </c>
      <c r="J550" s="4" t="n">
        <v>74</v>
      </c>
      <c r="K550" t="inlineStr">
        <is>
          <t>58 / 16</t>
        </is>
      </c>
      <c r="L550" t="inlineStr">
        <is>
          <t>21 / 6</t>
        </is>
      </c>
      <c r="M550" s="5" t="n">
        <v>0.78</v>
      </c>
      <c r="N550" s="5" t="n">
        <v>0.78</v>
      </c>
    </row>
    <row r="551">
      <c r="A551" t="n">
        <v>550</v>
      </c>
      <c r="B551" t="n">
        <v>2014</v>
      </c>
      <c r="C551" t="inlineStr">
        <is>
          <t>Bo Brisson</t>
        </is>
      </c>
      <c r="D551">
        <f>HYPERLINK("https://ota.tournamentsoftware.com/player-profile/836F9923-C4A5-42E1-8BF0-0788DAB02146", "Link")</f>
        <v/>
      </c>
      <c r="E551" s="3" t="n">
        <v>59.608</v>
      </c>
      <c r="F551" s="4" t="n">
        <v>6</v>
      </c>
      <c r="G551" t="inlineStr">
        <is>
          <t>Ontario Tennis Association</t>
        </is>
      </c>
      <c r="H551" t="inlineStr">
        <is>
          <t>GSM Tennis Club</t>
        </is>
      </c>
      <c r="I551" t="inlineStr">
        <is>
          <t>unavailable</t>
        </is>
      </c>
      <c r="J551" s="4" t="n">
        <v>117</v>
      </c>
      <c r="K551" t="inlineStr">
        <is>
          <t>38 / 79</t>
        </is>
      </c>
      <c r="L551" t="inlineStr">
        <is>
          <t>4 / 3</t>
        </is>
      </c>
      <c r="M551" s="5" t="n">
        <v>0.32</v>
      </c>
      <c r="N551" s="5" t="n">
        <v>0.57</v>
      </c>
    </row>
    <row r="552">
      <c r="A552" t="n">
        <v>551</v>
      </c>
      <c r="B552" t="n">
        <v>2014</v>
      </c>
      <c r="C552" t="inlineStr">
        <is>
          <t>Tara Nastic</t>
        </is>
      </c>
      <c r="D552">
        <f>HYPERLINK("https://ota.tournamentsoftware.com/player-profile/43FF8AFD-A54E-4011-88C7-132B60B568E8", "Link")</f>
        <v/>
      </c>
      <c r="E552" s="3" t="n">
        <v>59.373</v>
      </c>
      <c r="F552" s="4" t="n">
        <v>5</v>
      </c>
      <c r="G552" t="inlineStr">
        <is>
          <t>Ontario Tennis Association</t>
        </is>
      </c>
      <c r="H552" t="inlineStr">
        <is>
          <t>Royal City Tennis Club</t>
        </is>
      </c>
      <c r="I552" t="inlineStr">
        <is>
          <t>unavailable</t>
        </is>
      </c>
      <c r="J552" s="4" t="n">
        <v>19</v>
      </c>
      <c r="K552" t="inlineStr">
        <is>
          <t>4 / 15</t>
        </is>
      </c>
      <c r="L552" t="inlineStr">
        <is>
          <t>1 / 3</t>
        </is>
      </c>
      <c r="M552" s="5" t="n">
        <v>0.21</v>
      </c>
      <c r="N552" s="5" t="n">
        <v>0.25</v>
      </c>
    </row>
    <row r="553">
      <c r="A553" t="n">
        <v>552</v>
      </c>
      <c r="B553" t="n">
        <v>2013</v>
      </c>
      <c r="C553" t="inlineStr">
        <is>
          <t>Noa Anne Broere</t>
        </is>
      </c>
      <c r="D553">
        <f>HYPERLINK("https://ota.tournamentsoftware.com/player-profile/A5724AD9-99FF-4D46-A565-ED1BBCAE83F4", "Link")</f>
        <v/>
      </c>
      <c r="E553" s="3" t="n">
        <v>59.291</v>
      </c>
      <c r="F553" s="4" t="n">
        <v>17</v>
      </c>
      <c r="G553" t="inlineStr">
        <is>
          <t>British Columbia</t>
        </is>
      </c>
      <c r="H553" t="inlineStr">
        <is>
          <t>Vancouver Lawn Tennis and Badminton Club</t>
        </is>
      </c>
      <c r="I553" t="n">
        <v>35</v>
      </c>
      <c r="J553" s="4" t="n">
        <v>75</v>
      </c>
      <c r="K553" t="inlineStr">
        <is>
          <t>30 / 45</t>
        </is>
      </c>
      <c r="L553" t="inlineStr">
        <is>
          <t>9 / 14</t>
        </is>
      </c>
      <c r="M553" s="5" t="n">
        <v>0.4</v>
      </c>
      <c r="N553" s="5" t="n">
        <v>0.39</v>
      </c>
    </row>
    <row r="554">
      <c r="A554" t="n">
        <v>553</v>
      </c>
      <c r="B554" t="n">
        <v>2014</v>
      </c>
      <c r="C554" t="inlineStr">
        <is>
          <t>Victoria Guiral</t>
        </is>
      </c>
      <c r="D554">
        <f>HYPERLINK("https://ota.tournamentsoftware.com/player-profile/1DC3BD6C-A3EA-46CB-A6B3-CB5D3D2F1E7D", "Link")</f>
        <v/>
      </c>
      <c r="E554" s="3" t="n">
        <v>59.121</v>
      </c>
      <c r="F554" s="4" t="n">
        <v>4</v>
      </c>
      <c r="G554" t="inlineStr">
        <is>
          <t>Tennis Québec</t>
        </is>
      </c>
      <c r="H554" t="inlineStr">
        <is>
          <t>Tennis Interclub Piedmont</t>
        </is>
      </c>
      <c r="I554" t="n">
        <v>38.8</v>
      </c>
      <c r="J554" s="4" t="n">
        <v>18</v>
      </c>
      <c r="K554" t="inlineStr">
        <is>
          <t>6 / 12</t>
        </is>
      </c>
      <c r="L554" t="inlineStr">
        <is>
          <t>1 / 5</t>
        </is>
      </c>
      <c r="M554" s="5" t="n">
        <v>0.33</v>
      </c>
      <c r="N554" s="5" t="n">
        <v>0.17</v>
      </c>
    </row>
    <row r="555">
      <c r="A555" t="n">
        <v>554</v>
      </c>
      <c r="B555" t="n">
        <v>2015</v>
      </c>
      <c r="C555" t="inlineStr">
        <is>
          <t>Aria MARTIN</t>
        </is>
      </c>
      <c r="D555">
        <f>HYPERLINK("https://ota.tournamentsoftware.com/player-profile/220708AF-B049-4C3B-83FA-C1AAC60269C5", "Link")</f>
        <v/>
      </c>
      <c r="E555" s="3" t="n">
        <v>58.434</v>
      </c>
      <c r="F555" s="4" t="n">
        <v>16</v>
      </c>
      <c r="G555" t="inlineStr">
        <is>
          <t>British Columbia</t>
        </is>
      </c>
      <c r="H555" t="inlineStr">
        <is>
          <t>Vancouver Lawn Tennis and Badminton Club</t>
        </is>
      </c>
      <c r="I555" t="n">
        <v>35.2</v>
      </c>
      <c r="J555" s="4" t="n">
        <v>133</v>
      </c>
      <c r="K555" t="inlineStr">
        <is>
          <t>53 / 80</t>
        </is>
      </c>
      <c r="L555" t="inlineStr">
        <is>
          <t>24 / 17</t>
        </is>
      </c>
      <c r="M555" s="5" t="n">
        <v>0.4</v>
      </c>
      <c r="N555" s="5" t="n">
        <v>0.59</v>
      </c>
    </row>
    <row r="556">
      <c r="A556" t="n">
        <v>555</v>
      </c>
      <c r="B556" t="n">
        <v>2015</v>
      </c>
      <c r="C556" t="inlineStr">
        <is>
          <t>Ava Gracia Hurley</t>
        </is>
      </c>
      <c r="D556">
        <f>HYPERLINK("https://ota.tournamentsoftware.com/player-profile/DC3D1043-9FBA-467F-8103-AE9D0DEEF066", "Link")</f>
        <v/>
      </c>
      <c r="E556" s="3" t="n">
        <v>58.41</v>
      </c>
      <c r="F556" s="4" t="n">
        <v>10</v>
      </c>
      <c r="G556" t="inlineStr">
        <is>
          <t>Ontario Tennis Association</t>
        </is>
      </c>
      <c r="H556" t="inlineStr">
        <is>
          <t>Manotick Tennis Club</t>
        </is>
      </c>
      <c r="I556" t="inlineStr">
        <is>
          <t>unavailable</t>
        </is>
      </c>
      <c r="J556" s="4" t="n">
        <v>32</v>
      </c>
      <c r="K556" t="inlineStr">
        <is>
          <t>13 / 19</t>
        </is>
      </c>
      <c r="L556" t="inlineStr">
        <is>
          <t>5 / 8</t>
        </is>
      </c>
      <c r="M556" s="5" t="n">
        <v>0.41</v>
      </c>
      <c r="N556" s="5" t="n">
        <v>0.38</v>
      </c>
    </row>
    <row r="557">
      <c r="A557" t="n">
        <v>556</v>
      </c>
      <c r="B557" t="n">
        <v>2014</v>
      </c>
      <c r="C557" t="inlineStr">
        <is>
          <t>Sarah Huang</t>
        </is>
      </c>
      <c r="D557">
        <f>HYPERLINK("https://ota.tournamentsoftware.com/player-profile/535A9ABE-481C-45C4-9357-B8FD9305232E", "Link")</f>
        <v/>
      </c>
      <c r="E557" s="3" t="n">
        <v>58.362</v>
      </c>
      <c r="F557" s="4" t="n">
        <v>14</v>
      </c>
      <c r="G557" t="inlineStr">
        <is>
          <t>Ontario Tennis Association</t>
        </is>
      </c>
      <c r="H557" t="inlineStr">
        <is>
          <t>Premier Racquet Club</t>
        </is>
      </c>
      <c r="I557" t="n">
        <v>37</v>
      </c>
      <c r="J557" s="4" t="n">
        <v>108</v>
      </c>
      <c r="K557" t="inlineStr">
        <is>
          <t>35 / 73</t>
        </is>
      </c>
      <c r="L557" t="inlineStr">
        <is>
          <t>1 / 6</t>
        </is>
      </c>
      <c r="M557" s="5" t="n">
        <v>0.32</v>
      </c>
      <c r="N557" s="5" t="n">
        <v>0.14</v>
      </c>
    </row>
    <row r="558">
      <c r="A558" t="n">
        <v>557</v>
      </c>
      <c r="B558" t="n">
        <v>2014</v>
      </c>
      <c r="C558" t="inlineStr">
        <is>
          <t>Hui-Xin Chen</t>
        </is>
      </c>
      <c r="D558">
        <f>HYPERLINK("https://ota.tournamentsoftware.com/player-profile/755E1358-E624-498A-A129-DA058D259A1E", "Link")</f>
        <v/>
      </c>
      <c r="E558" s="3" t="n">
        <v>58.236</v>
      </c>
      <c r="F558" s="4" t="n">
        <v>9</v>
      </c>
      <c r="G558" t="inlineStr">
        <is>
          <t>British Columbia</t>
        </is>
      </c>
      <c r="H558" t="inlineStr">
        <is>
          <t>No Club</t>
        </is>
      </c>
      <c r="I558" t="inlineStr">
        <is>
          <t>unavailable</t>
        </is>
      </c>
      <c r="J558" s="4" t="n">
        <v>102</v>
      </c>
      <c r="K558" t="inlineStr">
        <is>
          <t>35 / 67</t>
        </is>
      </c>
      <c r="L558" t="inlineStr">
        <is>
          <t>12 / 10</t>
        </is>
      </c>
      <c r="M558" s="5" t="n">
        <v>0.34</v>
      </c>
      <c r="N558" s="5" t="n">
        <v>0.55</v>
      </c>
    </row>
    <row r="559">
      <c r="A559" t="n">
        <v>558</v>
      </c>
      <c r="B559" t="n">
        <v>2015</v>
      </c>
      <c r="C559" t="inlineStr">
        <is>
          <t>Maeva Kaur Dhillon</t>
        </is>
      </c>
      <c r="D559">
        <f>HYPERLINK("https://ota.tournamentsoftware.com/player-profile/1E3A662C-1993-423F-99BB-0CD2F93CC62A", "Link")</f>
        <v/>
      </c>
      <c r="E559" s="3" t="n">
        <v>58.125</v>
      </c>
      <c r="F559" s="4" t="n">
        <v>10</v>
      </c>
      <c r="G559" t="inlineStr">
        <is>
          <t>Tennis Alberta</t>
        </is>
      </c>
      <c r="H559" t="inlineStr">
        <is>
          <t>Saville Community Sports Centre</t>
        </is>
      </c>
      <c r="I559" t="n">
        <v>37.4</v>
      </c>
      <c r="J559" s="4" t="n">
        <v>74</v>
      </c>
      <c r="K559" t="inlineStr">
        <is>
          <t>22 / 52</t>
        </is>
      </c>
      <c r="L559" t="inlineStr">
        <is>
          <t>5 / 9</t>
        </is>
      </c>
      <c r="M559" s="5" t="n">
        <v>0.3</v>
      </c>
      <c r="N559" s="5" t="n">
        <v>0.36</v>
      </c>
    </row>
    <row r="560">
      <c r="A560" t="n">
        <v>559</v>
      </c>
      <c r="B560" t="n">
        <v>2013</v>
      </c>
      <c r="C560" t="inlineStr">
        <is>
          <t>Gabrielle Galgay</t>
        </is>
      </c>
      <c r="D560">
        <f>HYPERLINK("https://ota.tournamentsoftware.com/player-profile/1A26365B-FAA0-4130-8F92-B67D497E82D9", "Link")</f>
        <v/>
      </c>
      <c r="E560" s="3" t="n">
        <v>57.069</v>
      </c>
      <c r="F560" s="4" t="n">
        <v>4</v>
      </c>
      <c r="G560" t="inlineStr">
        <is>
          <t>Ontario Tennis Association</t>
        </is>
      </c>
      <c r="H560" t="inlineStr">
        <is>
          <t>No Club</t>
        </is>
      </c>
      <c r="I560" t="n">
        <v>34.3</v>
      </c>
      <c r="J560" s="4" t="n">
        <v>10</v>
      </c>
      <c r="K560" t="inlineStr">
        <is>
          <t>4 / 6</t>
        </is>
      </c>
      <c r="L560" t="inlineStr">
        <is>
          <t>1 / 3</t>
        </is>
      </c>
      <c r="M560" s="5" t="n">
        <v>0.4</v>
      </c>
      <c r="N560" s="5" t="n">
        <v>0.25</v>
      </c>
    </row>
    <row r="561">
      <c r="A561" t="n">
        <v>560</v>
      </c>
      <c r="B561" t="n">
        <v>2013</v>
      </c>
      <c r="C561" t="inlineStr">
        <is>
          <t>Grace Christina Lawrence</t>
        </is>
      </c>
      <c r="D561">
        <f>HYPERLINK("https://ota.tournamentsoftware.com/player-profile/9FEF2F9B-F202-41CF-8B36-42B1520055E0", "Link")</f>
        <v/>
      </c>
      <c r="E561" s="3" t="n">
        <v>57.027</v>
      </c>
      <c r="F561" s="4" t="n">
        <v>11</v>
      </c>
      <c r="G561" t="inlineStr">
        <is>
          <t>Ontario Tennis Association</t>
        </is>
      </c>
      <c r="H561" t="inlineStr">
        <is>
          <t>Toronto Lawn Tennis Club</t>
        </is>
      </c>
      <c r="I561" t="n">
        <v>35.9</v>
      </c>
      <c r="J561" s="4" t="n">
        <v>107</v>
      </c>
      <c r="K561" t="inlineStr">
        <is>
          <t>48 / 59</t>
        </is>
      </c>
      <c r="L561" t="inlineStr">
        <is>
          <t>4 / 4</t>
        </is>
      </c>
      <c r="M561" s="5" t="n">
        <v>0.45</v>
      </c>
      <c r="N561" s="5" t="n">
        <v>0.5</v>
      </c>
    </row>
    <row r="562">
      <c r="A562" t="n">
        <v>561</v>
      </c>
      <c r="B562" t="n">
        <v>2012</v>
      </c>
      <c r="C562" t="inlineStr">
        <is>
          <t>Chloe Teng</t>
        </is>
      </c>
      <c r="D562">
        <f>HYPERLINK("https://ota.tournamentsoftware.com/player-profile/F5AC5875-4E89-4D3E-BF17-24986F702240", "Link")</f>
        <v/>
      </c>
      <c r="E562" s="3" t="n">
        <v>56.222</v>
      </c>
      <c r="F562" s="4" t="n">
        <v>10</v>
      </c>
      <c r="G562" t="inlineStr">
        <is>
          <t>Ontario Tennis Association</t>
        </is>
      </c>
      <c r="H562" t="inlineStr">
        <is>
          <t>Tennis Clubs of Canada</t>
        </is>
      </c>
      <c r="I562" t="n">
        <v>37.8</v>
      </c>
      <c r="J562" s="4" t="n">
        <v>37</v>
      </c>
      <c r="K562" t="inlineStr">
        <is>
          <t>10 / 27</t>
        </is>
      </c>
      <c r="L562" t="inlineStr">
        <is>
          <t>7 / 16</t>
        </is>
      </c>
      <c r="M562" s="5" t="n">
        <v>0.27</v>
      </c>
      <c r="N562" s="5" t="n">
        <v>0.3</v>
      </c>
    </row>
    <row r="563">
      <c r="A563" t="n">
        <v>562</v>
      </c>
      <c r="B563" t="n">
        <v>2013</v>
      </c>
      <c r="C563" t="inlineStr">
        <is>
          <t>Quinn Pfaff</t>
        </is>
      </c>
      <c r="D563">
        <f>HYPERLINK("https://ota.tournamentsoftware.com/player-profile/4EE4E18D-7D9C-41F4-B172-783EBB13EF00", "Link")</f>
        <v/>
      </c>
      <c r="E563" s="3" t="n">
        <v>56.091</v>
      </c>
      <c r="F563" s="4" t="n">
        <v>3</v>
      </c>
      <c r="G563" t="inlineStr">
        <is>
          <t>Ontario Tennis Association</t>
        </is>
      </c>
      <c r="H563" t="inlineStr">
        <is>
          <t>Maitland Country Club</t>
        </is>
      </c>
      <c r="I563" t="n">
        <v>37.3</v>
      </c>
      <c r="J563" s="4" t="n">
        <v>3</v>
      </c>
      <c r="K563" t="inlineStr">
        <is>
          <t>0 / 3</t>
        </is>
      </c>
      <c r="L563" t="inlineStr">
        <is>
          <t>0 / 2</t>
        </is>
      </c>
      <c r="M563" s="5" t="n">
        <v>0</v>
      </c>
      <c r="N563" s="5" t="n">
        <v>0</v>
      </c>
    </row>
    <row r="564">
      <c r="A564" t="n">
        <v>563</v>
      </c>
      <c r="B564" t="n">
        <v>2015</v>
      </c>
      <c r="C564" t="inlineStr">
        <is>
          <t>Ella Bloom Chulak</t>
        </is>
      </c>
      <c r="D564">
        <f>HYPERLINK("https://ota.tournamentsoftware.com/player-profile/3DBBE08D-DBAA-43E3-BCD3-2820667C7A24", "Link")</f>
        <v/>
      </c>
      <c r="E564" s="3" t="n">
        <v>55.96</v>
      </c>
      <c r="F564" s="4" t="n">
        <v>10</v>
      </c>
      <c r="G564" t="inlineStr">
        <is>
          <t>Ontario Tennis Association</t>
        </is>
      </c>
      <c r="H564" t="inlineStr">
        <is>
          <t>Richmondhill Golf &amp; Country Club</t>
        </is>
      </c>
      <c r="I564" t="n">
        <v>35.7</v>
      </c>
      <c r="J564" s="4" t="n">
        <v>82</v>
      </c>
      <c r="K564" t="inlineStr">
        <is>
          <t>33 / 49</t>
        </is>
      </c>
      <c r="L564" t="inlineStr">
        <is>
          <t>9 / 7</t>
        </is>
      </c>
      <c r="M564" s="5" t="n">
        <v>0.4</v>
      </c>
      <c r="N564" s="5" t="n">
        <v>0.5600000000000001</v>
      </c>
    </row>
    <row r="565">
      <c r="A565" t="n">
        <v>564</v>
      </c>
      <c r="B565" t="n">
        <v>2015</v>
      </c>
      <c r="C565" t="inlineStr">
        <is>
          <t>Madeleine Penelope Haun</t>
        </is>
      </c>
      <c r="D565">
        <f>HYPERLINK("https://ota.tournamentsoftware.com/player-profile/6F8A0525-0D8F-4263-8F76-0B8CF4B34D42", "Link")</f>
        <v/>
      </c>
      <c r="E565" s="3" t="n">
        <v>55.31</v>
      </c>
      <c r="F565" s="4" t="n">
        <v>10</v>
      </c>
      <c r="G565" t="inlineStr">
        <is>
          <t>Tennis Alberta</t>
        </is>
      </c>
      <c r="H565" t="inlineStr">
        <is>
          <t>Osten &amp; Victor Alberta Tennis Centre</t>
        </is>
      </c>
      <c r="I565" t="n">
        <v>37.3</v>
      </c>
      <c r="J565" s="4" t="n">
        <v>152</v>
      </c>
      <c r="K565" t="inlineStr">
        <is>
          <t>82 / 70</t>
        </is>
      </c>
      <c r="L565" t="inlineStr">
        <is>
          <t>5 / 8</t>
        </is>
      </c>
      <c r="M565" s="5" t="n">
        <v>0.54</v>
      </c>
      <c r="N565" s="5" t="n">
        <v>0.38</v>
      </c>
    </row>
    <row r="566">
      <c r="A566" t="n">
        <v>565</v>
      </c>
      <c r="B566" t="n">
        <v>2012</v>
      </c>
      <c r="C566" t="inlineStr">
        <is>
          <t>Karmi Singh</t>
        </is>
      </c>
      <c r="D566">
        <f>HYPERLINK("https://ota.tournamentsoftware.com/player-profile/B68DC1C1-BC37-443E-AB03-601E1E7E72A2", "Link")</f>
        <v/>
      </c>
      <c r="E566" s="3" t="n">
        <v>54.499</v>
      </c>
      <c r="F566" s="4" t="n">
        <v>4</v>
      </c>
      <c r="G566" t="inlineStr">
        <is>
          <t>Ontario Tennis Association</t>
        </is>
      </c>
      <c r="H566" t="inlineStr">
        <is>
          <t>Ontario Racquet Club</t>
        </is>
      </c>
      <c r="I566" t="inlineStr">
        <is>
          <t>unavailable</t>
        </is>
      </c>
      <c r="J566" s="4" t="n">
        <v>59</v>
      </c>
      <c r="K566" t="inlineStr">
        <is>
          <t>26 / 33</t>
        </is>
      </c>
      <c r="L566" t="inlineStr">
        <is>
          <t>1 / 5</t>
        </is>
      </c>
      <c r="M566" s="5" t="n">
        <v>0.44</v>
      </c>
      <c r="N566" s="5" t="n">
        <v>0.17</v>
      </c>
    </row>
    <row r="567">
      <c r="A567" t="n">
        <v>566</v>
      </c>
      <c r="B567" t="n">
        <v>2012</v>
      </c>
      <c r="C567" t="inlineStr">
        <is>
          <t>ONYEKACHUKWU MAGDALENE OGBATUE</t>
        </is>
      </c>
      <c r="D567">
        <f>HYPERLINK("https://ota.tournamentsoftware.com/player-profile/34FAC6AA-945B-40B3-BDE9-3F8B4198659B", "Link")</f>
        <v/>
      </c>
      <c r="E567" s="3" t="n">
        <v>54.418</v>
      </c>
      <c r="F567" s="4" t="n">
        <v>4</v>
      </c>
      <c r="G567" t="inlineStr">
        <is>
          <t>Ontario Tennis Association</t>
        </is>
      </c>
      <c r="H567" t="inlineStr">
        <is>
          <t>Matchpoint Tennis</t>
        </is>
      </c>
      <c r="I567" t="n">
        <v>35.5</v>
      </c>
      <c r="J567" s="4" t="n">
        <v>13</v>
      </c>
      <c r="K567" t="inlineStr">
        <is>
          <t>8 / 5</t>
        </is>
      </c>
      <c r="L567" t="inlineStr">
        <is>
          <t>8 / 5</t>
        </is>
      </c>
      <c r="M567" s="5" t="n">
        <v>0.62</v>
      </c>
      <c r="N567" s="5" t="n">
        <v>0.62</v>
      </c>
    </row>
    <row r="568">
      <c r="A568" t="n">
        <v>567</v>
      </c>
      <c r="B568" t="n">
        <v>2016</v>
      </c>
      <c r="C568" t="inlineStr">
        <is>
          <t>Vianna Mostashari</t>
        </is>
      </c>
      <c r="D568">
        <f>HYPERLINK("https://ota.tournamentsoftware.com/player-profile/670B74EC-3F81-45DD-8F9B-AEE768B61639", "Link")</f>
        <v/>
      </c>
      <c r="E568" s="3" t="n">
        <v>53.984</v>
      </c>
      <c r="F568" s="4" t="n">
        <v>10</v>
      </c>
      <c r="G568" t="inlineStr">
        <is>
          <t>British Columbia</t>
        </is>
      </c>
      <c r="H568" t="inlineStr">
        <is>
          <t>North Vancouver Tennis Centre</t>
        </is>
      </c>
      <c r="I568" t="n">
        <v>35.9</v>
      </c>
      <c r="J568" s="4" t="n">
        <v>154</v>
      </c>
      <c r="K568" t="inlineStr">
        <is>
          <t>86 / 68</t>
        </is>
      </c>
      <c r="L568" t="inlineStr">
        <is>
          <t>6 / 15</t>
        </is>
      </c>
      <c r="M568" s="5" t="n">
        <v>0.5600000000000001</v>
      </c>
      <c r="N568" s="5" t="n">
        <v>0.29</v>
      </c>
    </row>
    <row r="569">
      <c r="A569" t="n">
        <v>568</v>
      </c>
      <c r="B569" t="n">
        <v>2016</v>
      </c>
      <c r="C569" t="inlineStr">
        <is>
          <t>Hayley Bryce</t>
        </is>
      </c>
      <c r="D569">
        <f>HYPERLINK("https://ota.tournamentsoftware.com/player-profile/B433F420-A779-4270-B32A-8DE5FF43BD05", "Link")</f>
        <v/>
      </c>
      <c r="E569" s="3" t="n">
        <v>53.731</v>
      </c>
      <c r="F569" s="4" t="n">
        <v>10</v>
      </c>
      <c r="G569" t="inlineStr">
        <is>
          <t>Ontario Tennis Association</t>
        </is>
      </c>
      <c r="H569" t="inlineStr">
        <is>
          <t>SmartVMC Racquetsports by ACE</t>
        </is>
      </c>
      <c r="I569" t="inlineStr">
        <is>
          <t>unavailable</t>
        </is>
      </c>
      <c r="J569" s="4" t="n">
        <v>73</v>
      </c>
      <c r="K569" t="inlineStr">
        <is>
          <t>33 / 40</t>
        </is>
      </c>
      <c r="L569" t="inlineStr">
        <is>
          <t>16 / 18</t>
        </is>
      </c>
      <c r="M569" s="5" t="n">
        <v>0.45</v>
      </c>
      <c r="N569" s="5" t="n">
        <v>0.47</v>
      </c>
    </row>
    <row r="570">
      <c r="A570" t="n">
        <v>569</v>
      </c>
      <c r="B570" t="n">
        <v>2016</v>
      </c>
      <c r="C570" t="inlineStr">
        <is>
          <t>Saanvi Sharma</t>
        </is>
      </c>
      <c r="D570">
        <f>HYPERLINK("https://ota.tournamentsoftware.com/player-profile/CE1D7CD8-1C3C-4F68-B568-48AC24E75437", "Link")</f>
        <v/>
      </c>
      <c r="E570" s="3" t="n">
        <v>53.28</v>
      </c>
      <c r="F570" s="4" t="n">
        <v>4</v>
      </c>
      <c r="G570" t="inlineStr">
        <is>
          <t>Tennis Québec</t>
        </is>
      </c>
      <c r="H570" t="inlineStr">
        <is>
          <t>Tennis Ile- des- Soeurs</t>
        </is>
      </c>
      <c r="I570" t="n">
        <v>37</v>
      </c>
      <c r="J570" s="4" t="n">
        <v>88</v>
      </c>
      <c r="K570" t="inlineStr">
        <is>
          <t>43 / 45</t>
        </is>
      </c>
      <c r="L570" t="inlineStr">
        <is>
          <t>12 / 8</t>
        </is>
      </c>
      <c r="M570" s="5" t="n">
        <v>0.49</v>
      </c>
      <c r="N570" s="5" t="n">
        <v>0.6</v>
      </c>
    </row>
    <row r="571">
      <c r="A571" t="n">
        <v>570</v>
      </c>
      <c r="B571" t="n">
        <v>2014</v>
      </c>
      <c r="C571" t="inlineStr">
        <is>
          <t>Julia Jzmati</t>
        </is>
      </c>
      <c r="D571">
        <f>HYPERLINK("https://ota.tournamentsoftware.com/player-profile/2AADF196-C892-43B1-9128-5338F8D87E95", "Link")</f>
        <v/>
      </c>
      <c r="E571" s="3" t="n">
        <v>52.454</v>
      </c>
      <c r="F571" s="4" t="n">
        <v>11</v>
      </c>
      <c r="G571" t="inlineStr">
        <is>
          <t>Ontario Tennis Association</t>
        </is>
      </c>
      <c r="H571" t="inlineStr">
        <is>
          <t>Rideau Sports Centre</t>
        </is>
      </c>
      <c r="I571" t="n">
        <v>39.5</v>
      </c>
      <c r="J571" s="4" t="n">
        <v>29</v>
      </c>
      <c r="K571" t="inlineStr">
        <is>
          <t>5 / 24</t>
        </is>
      </c>
      <c r="L571" t="inlineStr">
        <is>
          <t>1 / 9</t>
        </is>
      </c>
      <c r="M571" s="5" t="n">
        <v>0.17</v>
      </c>
      <c r="N571" s="5" t="n">
        <v>0.1</v>
      </c>
    </row>
    <row r="572">
      <c r="A572" t="n">
        <v>571</v>
      </c>
      <c r="B572" t="n">
        <v>2015</v>
      </c>
      <c r="C572" t="inlineStr">
        <is>
          <t>Dania Ahmed</t>
        </is>
      </c>
      <c r="D572">
        <f>HYPERLINK("https://ota.tournamentsoftware.com/player-profile/3A4EF5D7-2C40-4E2A-A979-D3231C03A93C", "Link")</f>
        <v/>
      </c>
      <c r="E572" s="3" t="n">
        <v>51.709</v>
      </c>
      <c r="F572" s="4" t="n">
        <v>11</v>
      </c>
      <c r="G572" t="inlineStr">
        <is>
          <t>Ontario Tennis Association</t>
        </is>
      </c>
      <c r="H572" t="inlineStr">
        <is>
          <t>Waterloo Tennis Club</t>
        </is>
      </c>
      <c r="I572" t="n">
        <v>37</v>
      </c>
      <c r="J572" s="4" t="n">
        <v>83</v>
      </c>
      <c r="K572" t="inlineStr">
        <is>
          <t>50 / 33</t>
        </is>
      </c>
      <c r="L572" t="inlineStr">
        <is>
          <t>3 / 8</t>
        </is>
      </c>
      <c r="M572" s="5" t="n">
        <v>0.6</v>
      </c>
      <c r="N572" s="5" t="n">
        <v>0.27</v>
      </c>
    </row>
    <row r="573">
      <c r="A573" t="n">
        <v>572</v>
      </c>
      <c r="B573" t="n">
        <v>2015</v>
      </c>
      <c r="C573" t="inlineStr">
        <is>
          <t>Karina Lee Griffin</t>
        </is>
      </c>
      <c r="D573">
        <f>HYPERLINK("https://ota.tournamentsoftware.com/player-profile/51794C7A-992F-4A4D-9983-0483174644A1", "Link")</f>
        <v/>
      </c>
      <c r="E573" s="3" t="n">
        <v>51.11</v>
      </c>
      <c r="F573" s="4" t="n">
        <v>16</v>
      </c>
      <c r="G573" t="inlineStr">
        <is>
          <t>British Columbia</t>
        </is>
      </c>
      <c r="H573" t="inlineStr">
        <is>
          <t>North Vancouver Tennis Centre</t>
        </is>
      </c>
      <c r="I573" t="n">
        <v>35.8</v>
      </c>
      <c r="J573" s="4" t="n">
        <v>148</v>
      </c>
      <c r="K573" t="inlineStr">
        <is>
          <t>69 / 79</t>
        </is>
      </c>
      <c r="L573" t="inlineStr">
        <is>
          <t>8 / 17</t>
        </is>
      </c>
      <c r="M573" s="5" t="n">
        <v>0.47</v>
      </c>
      <c r="N573" s="5" t="n">
        <v>0.32</v>
      </c>
    </row>
    <row r="574">
      <c r="A574" t="n">
        <v>573</v>
      </c>
      <c r="B574" t="n">
        <v>2014</v>
      </c>
      <c r="C574" t="inlineStr">
        <is>
          <t>Ann Ha</t>
        </is>
      </c>
      <c r="D574">
        <f>HYPERLINK("https://ota.tournamentsoftware.com/player-profile/139E73DD-882F-4509-9B0C-BB790DA8399D", "Link")</f>
        <v/>
      </c>
      <c r="E574" s="3" t="n">
        <v>50.846</v>
      </c>
      <c r="F574" s="4" t="n">
        <v>3</v>
      </c>
      <c r="G574" t="inlineStr">
        <is>
          <t>Tennis Saskatchewan</t>
        </is>
      </c>
      <c r="H574" t="inlineStr">
        <is>
          <t>Lakewood Indoor Tennis Centre</t>
        </is>
      </c>
      <c r="I574" t="inlineStr">
        <is>
          <t>unavailable</t>
        </is>
      </c>
      <c r="J574" s="4" t="n">
        <v>9</v>
      </c>
      <c r="K574" t="inlineStr">
        <is>
          <t>1 / 8</t>
        </is>
      </c>
      <c r="L574" t="inlineStr">
        <is>
          <t>1 / 8</t>
        </is>
      </c>
      <c r="M574" s="5" t="n">
        <v>0.11</v>
      </c>
      <c r="N574" s="5" t="n">
        <v>0.11</v>
      </c>
    </row>
    <row r="575">
      <c r="A575" t="n">
        <v>574</v>
      </c>
      <c r="B575" t="n">
        <v>2012</v>
      </c>
      <c r="C575" t="inlineStr">
        <is>
          <t>Elise Chan</t>
        </is>
      </c>
      <c r="D575">
        <f>HYPERLINK("https://ota.tournamentsoftware.com/player-profile/74C14A51-A560-4368-85E6-96F13264726F", "Link")</f>
        <v/>
      </c>
      <c r="E575" s="3" t="n">
        <v>50.266</v>
      </c>
      <c r="F575" s="4" t="n">
        <v>4</v>
      </c>
      <c r="G575" t="inlineStr">
        <is>
          <t>Ontario Tennis Association</t>
        </is>
      </c>
      <c r="H575" t="inlineStr">
        <is>
          <t>Rideau Sports Centre</t>
        </is>
      </c>
      <c r="I575" t="n">
        <v>38.4</v>
      </c>
      <c r="J575" s="4" t="n">
        <v>3</v>
      </c>
      <c r="K575" t="inlineStr">
        <is>
          <t>0 / 3</t>
        </is>
      </c>
      <c r="L575" t="inlineStr">
        <is>
          <t>0 / 3</t>
        </is>
      </c>
      <c r="M575" s="5" t="n">
        <v>0</v>
      </c>
      <c r="N575" s="5" t="n">
        <v>0</v>
      </c>
    </row>
    <row r="576">
      <c r="A576" t="n">
        <v>575</v>
      </c>
      <c r="B576" t="n">
        <v>2014</v>
      </c>
      <c r="C576" t="inlineStr">
        <is>
          <t>Sofia Morisette</t>
        </is>
      </c>
      <c r="D576">
        <f>HYPERLINK("https://ota.tournamentsoftware.com/player-profile/F99611AC-3485-4574-897D-68151916B40D", "Link")</f>
        <v/>
      </c>
      <c r="E576" s="3" t="n">
        <v>50.011</v>
      </c>
      <c r="F576" s="4" t="n">
        <v>4</v>
      </c>
      <c r="G576" t="inlineStr">
        <is>
          <t>British Columbia</t>
        </is>
      </c>
      <c r="H576" t="inlineStr">
        <is>
          <t>Tennis BC Hub @ Richmond</t>
        </is>
      </c>
      <c r="I576" t="n">
        <v>35.8</v>
      </c>
      <c r="J576" s="4" t="n">
        <v>128</v>
      </c>
      <c r="K576" t="inlineStr">
        <is>
          <t>51 / 77</t>
        </is>
      </c>
      <c r="L576" t="inlineStr">
        <is>
          <t>2 / 6</t>
        </is>
      </c>
      <c r="M576" s="5" t="n">
        <v>0.4</v>
      </c>
      <c r="N576" s="5" t="n">
        <v>0.25</v>
      </c>
    </row>
    <row r="577">
      <c r="A577" t="n">
        <v>576</v>
      </c>
      <c r="B577" t="n">
        <v>2014</v>
      </c>
      <c r="C577" t="inlineStr">
        <is>
          <t>Emma Ghantous</t>
        </is>
      </c>
      <c r="D577">
        <f>HYPERLINK("https://ota.tournamentsoftware.com/player-profile/0EA6BF71-F3BF-4EA7-95F6-B80CD551F4FB", "Link")</f>
        <v/>
      </c>
      <c r="E577" s="3" t="n">
        <v>49.68</v>
      </c>
      <c r="F577" s="4" t="n">
        <v>2</v>
      </c>
      <c r="G577" t="inlineStr">
        <is>
          <t>Tennis Québec</t>
        </is>
      </c>
      <c r="H577" t="inlineStr">
        <is>
          <t>Tennis 13</t>
        </is>
      </c>
      <c r="I577" t="n">
        <v>33.4</v>
      </c>
      <c r="J577" s="4" t="n">
        <v>126</v>
      </c>
      <c r="K577" t="inlineStr">
        <is>
          <t>77 / 49</t>
        </is>
      </c>
      <c r="L577" t="inlineStr">
        <is>
          <t>0 / 0</t>
        </is>
      </c>
      <c r="M577" s="5" t="n">
        <v>0.61</v>
      </c>
      <c r="N577" s="5" t="n">
        <v>0</v>
      </c>
    </row>
    <row r="578">
      <c r="A578" t="n">
        <v>577</v>
      </c>
      <c r="B578" t="n">
        <v>2015</v>
      </c>
      <c r="C578" t="inlineStr">
        <is>
          <t>Sofia Kiselenko</t>
        </is>
      </c>
      <c r="D578">
        <f>HYPERLINK("https://ota.tournamentsoftware.com/player-profile/8164E8EB-17A8-4270-A12B-31EFF18C9343", "Link")</f>
        <v/>
      </c>
      <c r="E578" s="3" t="n">
        <v>49.342</v>
      </c>
      <c r="F578" s="4" t="n">
        <v>15</v>
      </c>
      <c r="G578" t="inlineStr">
        <is>
          <t>Tennis Alberta</t>
        </is>
      </c>
      <c r="H578" t="inlineStr">
        <is>
          <t>Osten &amp; Victor Alberta Tennis Centre</t>
        </is>
      </c>
      <c r="I578" t="n">
        <v>37.3</v>
      </c>
      <c r="J578" s="4" t="n">
        <v>130</v>
      </c>
      <c r="K578" t="inlineStr">
        <is>
          <t>42 / 88</t>
        </is>
      </c>
      <c r="L578" t="inlineStr">
        <is>
          <t>10 / 14</t>
        </is>
      </c>
      <c r="M578" s="5" t="n">
        <v>0.32</v>
      </c>
      <c r="N578" s="5" t="n">
        <v>0.42</v>
      </c>
    </row>
    <row r="579">
      <c r="A579" t="n">
        <v>578</v>
      </c>
      <c r="B579" t="n">
        <v>2017</v>
      </c>
      <c r="C579" t="inlineStr">
        <is>
          <t>Vivian Spurrell</t>
        </is>
      </c>
      <c r="D579">
        <f>HYPERLINK("https://ota.tournamentsoftware.com/player-profile/9CFE670B-9D8C-4BC2-8DDB-1C78F17AE1FF", "Link")</f>
        <v/>
      </c>
      <c r="E579" s="3" t="n">
        <v>49.126</v>
      </c>
      <c r="F579" s="4" t="n">
        <v>3</v>
      </c>
      <c r="G579" t="inlineStr">
        <is>
          <t>Tennis Newfoundland &amp; Labrador</t>
        </is>
      </c>
      <c r="H579" t="inlineStr">
        <is>
          <t>Greenbelt Tennis Club</t>
        </is>
      </c>
      <c r="I579" t="inlineStr">
        <is>
          <t>unavailable</t>
        </is>
      </c>
      <c r="J579" s="4" t="n">
        <v>20</v>
      </c>
      <c r="K579" t="inlineStr">
        <is>
          <t>15 / 5</t>
        </is>
      </c>
      <c r="L579" t="inlineStr">
        <is>
          <t>11 / 3</t>
        </is>
      </c>
      <c r="M579" s="5" t="n">
        <v>0.75</v>
      </c>
      <c r="N579" s="5" t="n">
        <v>0.79</v>
      </c>
    </row>
    <row r="580">
      <c r="A580" t="n">
        <v>579</v>
      </c>
      <c r="B580" t="n">
        <v>2014</v>
      </c>
      <c r="C580" t="inlineStr">
        <is>
          <t>Mathilde Langis</t>
        </is>
      </c>
      <c r="D580">
        <f>HYPERLINK("https://ota.tournamentsoftware.com/player-profile/39929D79-FF7E-4461-9561-38C5D88AE666", "Link")</f>
        <v/>
      </c>
      <c r="E580" s="3" t="n">
        <v>48.716</v>
      </c>
      <c r="F580" s="4" t="n">
        <v>5</v>
      </c>
      <c r="G580" t="inlineStr">
        <is>
          <t>Tennis Québec</t>
        </is>
      </c>
      <c r="H580" t="inlineStr">
        <is>
          <t>Académie de tennis UNI(T)</t>
        </is>
      </c>
      <c r="I580" t="n">
        <v>36.2</v>
      </c>
      <c r="J580" s="4" t="n">
        <v>72</v>
      </c>
      <c r="K580" t="inlineStr">
        <is>
          <t>31 / 41</t>
        </is>
      </c>
      <c r="L580" t="inlineStr">
        <is>
          <t>1 / 2</t>
        </is>
      </c>
      <c r="M580" s="5" t="n">
        <v>0.43</v>
      </c>
      <c r="N580" s="5" t="n">
        <v>0.33</v>
      </c>
    </row>
    <row r="581">
      <c r="A581" t="n">
        <v>580</v>
      </c>
      <c r="B581" t="n">
        <v>2015</v>
      </c>
      <c r="C581" t="inlineStr">
        <is>
          <t>Aubrey Baldinelli</t>
        </is>
      </c>
      <c r="D581">
        <f>HYPERLINK("https://ota.tournamentsoftware.com/player-profile/4C52D449-95CA-49A9-B524-B01117EAD86C", "Link")</f>
        <v/>
      </c>
      <c r="E581" s="3" t="n">
        <v>48.55</v>
      </c>
      <c r="F581" s="4" t="n">
        <v>10</v>
      </c>
      <c r="G581" t="inlineStr">
        <is>
          <t>Ontario Tennis Association</t>
        </is>
      </c>
      <c r="H581" t="inlineStr">
        <is>
          <t>Youngs Sportsplex</t>
        </is>
      </c>
      <c r="I581" t="n">
        <v>37.3</v>
      </c>
      <c r="J581" s="4" t="n">
        <v>43</v>
      </c>
      <c r="K581" t="inlineStr">
        <is>
          <t>22 / 21</t>
        </is>
      </c>
      <c r="L581" t="inlineStr">
        <is>
          <t>5 / 13</t>
        </is>
      </c>
      <c r="M581" s="5" t="n">
        <v>0.51</v>
      </c>
      <c r="N581" s="5" t="n">
        <v>0.28</v>
      </c>
    </row>
    <row r="582">
      <c r="A582" t="n">
        <v>581</v>
      </c>
      <c r="B582" t="n">
        <v>2015</v>
      </c>
      <c r="C582" t="inlineStr">
        <is>
          <t>Miadel Flores</t>
        </is>
      </c>
      <c r="D582">
        <f>HYPERLINK("https://ota.tournamentsoftware.com/player-profile/19F5DCB9-D4C1-477E-9443-DA276E9A30BC", "Link")</f>
        <v/>
      </c>
      <c r="E582" s="3" t="n">
        <v>48.438</v>
      </c>
      <c r="F582" s="4" t="n">
        <v>4</v>
      </c>
      <c r="G582" t="inlineStr">
        <is>
          <t>Tennis Québec</t>
        </is>
      </c>
      <c r="H582" t="inlineStr">
        <is>
          <t>No Club</t>
        </is>
      </c>
      <c r="I582" t="n">
        <v>40</v>
      </c>
      <c r="J582" s="4" t="n">
        <v>5</v>
      </c>
      <c r="K582" t="inlineStr">
        <is>
          <t>1 / 4</t>
        </is>
      </c>
      <c r="L582" t="inlineStr">
        <is>
          <t>1 / 4</t>
        </is>
      </c>
      <c r="M582" s="5" t="n">
        <v>0.2</v>
      </c>
      <c r="N582" s="5" t="n">
        <v>0.2</v>
      </c>
    </row>
    <row r="583">
      <c r="A583" t="n">
        <v>582</v>
      </c>
      <c r="B583" t="n">
        <v>2014</v>
      </c>
      <c r="C583" t="inlineStr">
        <is>
          <t>Tess Marie Trenholm</t>
        </is>
      </c>
      <c r="D583">
        <f>HYPERLINK("https://ota.tournamentsoftware.com/player-profile/37DD9223-BE00-45F7-9DE9-3EA92F74CD7B", "Link")</f>
        <v/>
      </c>
      <c r="E583" s="3" t="n">
        <v>48.421</v>
      </c>
      <c r="F583" s="4" t="n">
        <v>16</v>
      </c>
      <c r="G583" t="inlineStr">
        <is>
          <t>Ontario Tennis Association</t>
        </is>
      </c>
      <c r="H583" t="inlineStr">
        <is>
          <t>Ontario Racquet Club</t>
        </is>
      </c>
      <c r="I583" t="n">
        <v>38.7</v>
      </c>
      <c r="J583" s="4" t="n">
        <v>92</v>
      </c>
      <c r="K583" t="inlineStr">
        <is>
          <t>25 / 67</t>
        </is>
      </c>
      <c r="L583" t="inlineStr">
        <is>
          <t>6 / 12</t>
        </is>
      </c>
      <c r="M583" s="5" t="n">
        <v>0.27</v>
      </c>
      <c r="N583" s="5" t="n">
        <v>0.33</v>
      </c>
    </row>
    <row r="584">
      <c r="A584" t="n">
        <v>583</v>
      </c>
      <c r="B584" t="n">
        <v>2012</v>
      </c>
      <c r="C584" t="inlineStr">
        <is>
          <t>Allison Wu</t>
        </is>
      </c>
      <c r="D584">
        <f>HYPERLINK("https://ota.tournamentsoftware.com/player-profile/5B6A5CCB-4E85-427C-99E0-E2078ED2493C", "Link")</f>
        <v/>
      </c>
      <c r="E584" s="3" t="n">
        <v>48.368</v>
      </c>
      <c r="F584" s="4" t="n">
        <v>5</v>
      </c>
      <c r="G584" t="inlineStr">
        <is>
          <t>British Columbia</t>
        </is>
      </c>
      <c r="H584" t="inlineStr">
        <is>
          <t>Coquitlam Tennis Club</t>
        </is>
      </c>
      <c r="I584" t="n">
        <v>39.4</v>
      </c>
      <c r="J584" s="4" t="n">
        <v>54</v>
      </c>
      <c r="K584" t="inlineStr">
        <is>
          <t>9 / 45</t>
        </is>
      </c>
      <c r="L584" t="inlineStr">
        <is>
          <t>0 / 4</t>
        </is>
      </c>
      <c r="M584" s="5" t="n">
        <v>0.17</v>
      </c>
      <c r="N584" s="5" t="n">
        <v>0</v>
      </c>
    </row>
    <row r="585">
      <c r="A585" t="n">
        <v>584</v>
      </c>
      <c r="B585" t="n">
        <v>2013</v>
      </c>
      <c r="C585" t="inlineStr">
        <is>
          <t>Gloria Yang</t>
        </is>
      </c>
      <c r="D585">
        <f>HYPERLINK("https://ota.tournamentsoftware.com/player-profile/93D03535-4A4B-4898-A531-8F0DB9BA8BD8", "Link")</f>
        <v/>
      </c>
      <c r="E585" s="3" t="n">
        <v>48.153</v>
      </c>
      <c r="F585" s="4" t="n">
        <v>2</v>
      </c>
      <c r="G585" t="inlineStr">
        <is>
          <t>Tennis Prince Edward Island</t>
        </is>
      </c>
      <c r="H585" t="inlineStr">
        <is>
          <t>Royalty Racquet Centre</t>
        </is>
      </c>
      <c r="I585" t="inlineStr">
        <is>
          <t>unavailable</t>
        </is>
      </c>
      <c r="J585" s="4" t="n">
        <v>19</v>
      </c>
      <c r="K585" t="inlineStr">
        <is>
          <t>7 / 12</t>
        </is>
      </c>
      <c r="L585" t="inlineStr">
        <is>
          <t>3 / 8</t>
        </is>
      </c>
      <c r="M585" s="5" t="n">
        <v>0.37</v>
      </c>
      <c r="N585" s="5" t="n">
        <v>0.27</v>
      </c>
    </row>
    <row r="586">
      <c r="A586" t="n">
        <v>585</v>
      </c>
      <c r="B586" t="n">
        <v>2015</v>
      </c>
      <c r="C586" t="inlineStr">
        <is>
          <t>Scarlett Chan</t>
        </is>
      </c>
      <c r="D586">
        <f>HYPERLINK("https://ota.tournamentsoftware.com/player-profile/FC173056-E1A0-4194-9722-D15B8524262F", "Link")</f>
        <v/>
      </c>
      <c r="E586" s="3" t="n">
        <v>48.124</v>
      </c>
      <c r="F586" s="4" t="n">
        <v>5</v>
      </c>
      <c r="G586" t="inlineStr">
        <is>
          <t>Ontario Tennis Association</t>
        </is>
      </c>
      <c r="H586" t="inlineStr">
        <is>
          <t>Mayfair East Racquet Club</t>
        </is>
      </c>
      <c r="I586" t="n">
        <v>37.1</v>
      </c>
      <c r="J586" s="4" t="n">
        <v>79</v>
      </c>
      <c r="K586" t="inlineStr">
        <is>
          <t>47 / 32</t>
        </is>
      </c>
      <c r="L586" t="inlineStr">
        <is>
          <t>3 / 6</t>
        </is>
      </c>
      <c r="M586" s="5" t="n">
        <v>0.59</v>
      </c>
      <c r="N586" s="5" t="n">
        <v>0.33</v>
      </c>
    </row>
    <row r="587">
      <c r="A587" t="n">
        <v>586</v>
      </c>
      <c r="B587" t="n">
        <v>2012</v>
      </c>
      <c r="C587" t="inlineStr">
        <is>
          <t>Nora Skogen</t>
        </is>
      </c>
      <c r="D587">
        <f>HYPERLINK("https://ota.tournamentsoftware.com/player-profile/84E488EE-ABCE-4936-AC77-DCF33DA7BE52", "Link")</f>
        <v/>
      </c>
      <c r="E587" s="3" t="n">
        <v>47.579</v>
      </c>
      <c r="F587" s="4" t="n">
        <v>2</v>
      </c>
      <c r="G587" t="inlineStr">
        <is>
          <t>British Columbia</t>
        </is>
      </c>
      <c r="H587" t="inlineStr">
        <is>
          <t>Hollyburn Country Club</t>
        </is>
      </c>
      <c r="I587" t="n">
        <v>32.3</v>
      </c>
      <c r="J587" s="4" t="n">
        <v>164</v>
      </c>
      <c r="K587" t="inlineStr">
        <is>
          <t>79 / 85</t>
        </is>
      </c>
      <c r="L587" t="inlineStr">
        <is>
          <t>1 / 1</t>
        </is>
      </c>
      <c r="M587" s="5" t="n">
        <v>0.48</v>
      </c>
      <c r="N587" s="5" t="n">
        <v>0.5</v>
      </c>
    </row>
    <row r="588">
      <c r="A588" t="n">
        <v>587</v>
      </c>
      <c r="B588" t="n">
        <v>2013</v>
      </c>
      <c r="C588" t="inlineStr">
        <is>
          <t>Julia Anne Kennedy</t>
        </is>
      </c>
      <c r="D588">
        <f>HYPERLINK("https://ota.tournamentsoftware.com/player-profile/82DF6D3D-A382-4764-B57C-0EA44A762022", "Link")</f>
        <v/>
      </c>
      <c r="E588" s="3" t="n">
        <v>47</v>
      </c>
      <c r="F588" s="4" t="n">
        <v>3</v>
      </c>
      <c r="G588" t="inlineStr">
        <is>
          <t>Ontario Tennis Association</t>
        </is>
      </c>
      <c r="H588" t="inlineStr">
        <is>
          <t>SmartVMC Racquetsports by ACE</t>
        </is>
      </c>
      <c r="I588" t="n">
        <v>33</v>
      </c>
      <c r="J588" s="4" t="n">
        <v>141</v>
      </c>
      <c r="K588" t="inlineStr">
        <is>
          <t>66 / 75</t>
        </is>
      </c>
      <c r="L588" t="inlineStr">
        <is>
          <t>0 / 0</t>
        </is>
      </c>
      <c r="M588" s="5" t="n">
        <v>0.47</v>
      </c>
      <c r="N588" s="5" t="n">
        <v>0</v>
      </c>
    </row>
    <row r="589">
      <c r="A589" t="n">
        <v>588</v>
      </c>
      <c r="B589" t="n">
        <v>2013</v>
      </c>
      <c r="C589" t="inlineStr">
        <is>
          <t>Noa Margaux Dery</t>
        </is>
      </c>
      <c r="D589">
        <f>HYPERLINK("https://ota.tournamentsoftware.com/player-profile/2BE09915-8A78-4187-839F-E3A10E233213", "Link")</f>
        <v/>
      </c>
      <c r="E589" s="3" t="n">
        <v>45.437</v>
      </c>
      <c r="F589" s="4" t="n">
        <v>7</v>
      </c>
      <c r="G589" t="inlineStr">
        <is>
          <t>Tennis Québec</t>
        </is>
      </c>
      <c r="H589" t="inlineStr">
        <is>
          <t>Club Sportif Côte-de-Liesse</t>
        </is>
      </c>
      <c r="I589" t="n">
        <v>37.3</v>
      </c>
      <c r="J589" s="4" t="n">
        <v>30</v>
      </c>
      <c r="K589" t="inlineStr">
        <is>
          <t>9 / 21</t>
        </is>
      </c>
      <c r="L589" t="inlineStr">
        <is>
          <t>2 / 2</t>
        </is>
      </c>
      <c r="M589" s="5" t="n">
        <v>0.3</v>
      </c>
      <c r="N589" s="5" t="n">
        <v>0.5</v>
      </c>
    </row>
    <row r="590">
      <c r="A590" t="n">
        <v>589</v>
      </c>
      <c r="B590" t="n">
        <v>2014</v>
      </c>
      <c r="C590" t="inlineStr">
        <is>
          <t>Charlotte Adeline Ratchford</t>
        </is>
      </c>
      <c r="D590">
        <f>HYPERLINK("https://ota.tournamentsoftware.com/player-profile/552DF1FC-65F6-48FE-8B31-884C1DC273DB", "Link")</f>
        <v/>
      </c>
      <c r="E590" s="3" t="n">
        <v>45.3</v>
      </c>
      <c r="F590" s="4" t="n">
        <v>14</v>
      </c>
      <c r="G590" t="inlineStr">
        <is>
          <t>British Columbia</t>
        </is>
      </c>
      <c r="H590" t="inlineStr">
        <is>
          <t>Jericho Tennis Club</t>
        </is>
      </c>
      <c r="I590" t="n">
        <v>37.1</v>
      </c>
      <c r="J590" s="4" t="n">
        <v>39</v>
      </c>
      <c r="K590" t="inlineStr">
        <is>
          <t>12 / 27</t>
        </is>
      </c>
      <c r="L590" t="inlineStr">
        <is>
          <t>10 / 22</t>
        </is>
      </c>
      <c r="M590" s="5" t="n">
        <v>0.31</v>
      </c>
      <c r="N590" s="5" t="n">
        <v>0.31</v>
      </c>
    </row>
    <row r="591">
      <c r="A591" t="n">
        <v>590</v>
      </c>
      <c r="B591" t="n">
        <v>2015</v>
      </c>
      <c r="C591" t="inlineStr">
        <is>
          <t>Kinsley Jade Lin</t>
        </is>
      </c>
      <c r="D591">
        <f>HYPERLINK("https://ota.tournamentsoftware.com/player-profile/1FF4FA2D-412B-4E4A-AE72-948C7BC68D73", "Link")</f>
        <v/>
      </c>
      <c r="E591" s="3" t="n">
        <v>44.956</v>
      </c>
      <c r="F591" s="4" t="n">
        <v>9</v>
      </c>
      <c r="G591" t="inlineStr">
        <is>
          <t>Ontario Tennis Association</t>
        </is>
      </c>
      <c r="H591" t="inlineStr">
        <is>
          <t>The Tennis School</t>
        </is>
      </c>
      <c r="I591" t="n">
        <v>37</v>
      </c>
      <c r="J591" s="4" t="n">
        <v>90</v>
      </c>
      <c r="K591" t="inlineStr">
        <is>
          <t>40 / 50</t>
        </is>
      </c>
      <c r="L591" t="inlineStr">
        <is>
          <t>5 / 7</t>
        </is>
      </c>
      <c r="M591" s="5" t="n">
        <v>0.44</v>
      </c>
      <c r="N591" s="5" t="n">
        <v>0.42</v>
      </c>
    </row>
    <row r="592">
      <c r="A592" t="n">
        <v>591</v>
      </c>
      <c r="B592" t="n">
        <v>2015</v>
      </c>
      <c r="C592" t="inlineStr">
        <is>
          <t>LILLIAN LI</t>
        </is>
      </c>
      <c r="D592">
        <f>HYPERLINK("https://ota.tournamentsoftware.com/player-profile/6381808D-332A-4694-9A60-DD4214A2A2F0", "Link")</f>
        <v/>
      </c>
      <c r="E592" s="3" t="n">
        <v>44.713</v>
      </c>
      <c r="F592" s="4" t="n">
        <v>8</v>
      </c>
      <c r="G592" t="inlineStr">
        <is>
          <t>Ontario Tennis Association</t>
        </is>
      </c>
      <c r="H592" t="inlineStr">
        <is>
          <t>Rideau Sports Centre</t>
        </is>
      </c>
      <c r="I592" t="n">
        <v>39.7</v>
      </c>
      <c r="J592" s="4" t="n">
        <v>19</v>
      </c>
      <c r="K592" t="inlineStr">
        <is>
          <t>4 / 15</t>
        </is>
      </c>
      <c r="L592" t="inlineStr">
        <is>
          <t>0 / 8</t>
        </is>
      </c>
      <c r="M592" s="5" t="n">
        <v>0.21</v>
      </c>
      <c r="N592" s="5" t="n">
        <v>0</v>
      </c>
    </row>
    <row r="593">
      <c r="A593" t="n">
        <v>592</v>
      </c>
      <c r="B593" t="n">
        <v>2015</v>
      </c>
      <c r="C593" t="inlineStr">
        <is>
          <t>Alexia Lionis</t>
        </is>
      </c>
      <c r="D593">
        <f>HYPERLINK("https://ota.tournamentsoftware.com/player-profile/C2079715-4A8A-4F16-A5F2-10633FCB08AA", "Link")</f>
        <v/>
      </c>
      <c r="E593" s="3" t="n">
        <v>44.665</v>
      </c>
      <c r="F593" s="4" t="n">
        <v>5</v>
      </c>
      <c r="G593" t="inlineStr">
        <is>
          <t>Ontario Tennis Association</t>
        </is>
      </c>
      <c r="H593" t="inlineStr">
        <is>
          <t>Ontario Racquet Club</t>
        </is>
      </c>
      <c r="I593" t="inlineStr">
        <is>
          <t>unavailable</t>
        </is>
      </c>
      <c r="J593" s="4" t="n">
        <v>76</v>
      </c>
      <c r="K593" t="inlineStr">
        <is>
          <t>34 / 42</t>
        </is>
      </c>
      <c r="L593" t="inlineStr">
        <is>
          <t>5 / 8</t>
        </is>
      </c>
      <c r="M593" s="5" t="n">
        <v>0.45</v>
      </c>
      <c r="N593" s="5" t="n">
        <v>0.38</v>
      </c>
    </row>
    <row r="594">
      <c r="A594" t="n">
        <v>593</v>
      </c>
      <c r="B594" t="n">
        <v>2016</v>
      </c>
      <c r="C594" t="inlineStr">
        <is>
          <t>Ziqi Yu</t>
        </is>
      </c>
      <c r="D594">
        <f>HYPERLINK("https://ota.tournamentsoftware.com/player-profile/89FEB2A7-669B-4D40-A67D-54016F42DA82", "Link")</f>
        <v/>
      </c>
      <c r="E594" s="3" t="n">
        <v>44.539</v>
      </c>
      <c r="F594" s="4" t="n">
        <v>12</v>
      </c>
      <c r="G594" t="inlineStr">
        <is>
          <t>Ontario Tennis Association</t>
        </is>
      </c>
      <c r="H594" t="inlineStr">
        <is>
          <t>Blackmore Tennis Club</t>
        </is>
      </c>
      <c r="I594" t="n">
        <v>35</v>
      </c>
      <c r="J594" s="4" t="n">
        <v>91</v>
      </c>
      <c r="K594" t="inlineStr">
        <is>
          <t>59 / 32</t>
        </is>
      </c>
      <c r="L594" t="inlineStr">
        <is>
          <t>23 / 13</t>
        </is>
      </c>
      <c r="M594" s="5" t="n">
        <v>0.65</v>
      </c>
      <c r="N594" s="5" t="n">
        <v>0.64</v>
      </c>
    </row>
    <row r="595">
      <c r="A595" t="n">
        <v>594</v>
      </c>
      <c r="B595" t="n">
        <v>2012</v>
      </c>
      <c r="C595" t="inlineStr">
        <is>
          <t>Hannah Cai</t>
        </is>
      </c>
      <c r="D595">
        <f>HYPERLINK("https://ota.tournamentsoftware.com/player-profile/1BCCF189-E78D-4ACB-8654-DA280CB1EBBA", "Link")</f>
        <v/>
      </c>
      <c r="E595" s="3" t="n">
        <v>43.56</v>
      </c>
      <c r="F595" s="4" t="n">
        <v>1</v>
      </c>
      <c r="G595" t="inlineStr">
        <is>
          <t>Ontario Tennis Association</t>
        </is>
      </c>
      <c r="H595" t="inlineStr">
        <is>
          <t>Advantage Tennis International at Veneto</t>
        </is>
      </c>
      <c r="I595" t="inlineStr">
        <is>
          <t>unavailable</t>
        </is>
      </c>
      <c r="J595" s="4" t="n">
        <v>79</v>
      </c>
      <c r="K595" t="inlineStr">
        <is>
          <t>25 / 54</t>
        </is>
      </c>
      <c r="L595" t="inlineStr">
        <is>
          <t>0 / 0</t>
        </is>
      </c>
      <c r="M595" s="5" t="n">
        <v>0.32</v>
      </c>
      <c r="N595" s="5" t="n">
        <v>0</v>
      </c>
    </row>
    <row r="596">
      <c r="A596" t="n">
        <v>595</v>
      </c>
      <c r="B596" t="n">
        <v>2013</v>
      </c>
      <c r="C596" t="inlineStr">
        <is>
          <t>Emma Isabella Lamacchia</t>
        </is>
      </c>
      <c r="D596">
        <f>HYPERLINK("https://ota.tournamentsoftware.com/player-profile/13408327-82EC-4D4E-B3D1-9FA084C53782", "Link")</f>
        <v/>
      </c>
      <c r="E596" s="3" t="n">
        <v>43.33</v>
      </c>
      <c r="F596" s="4" t="n">
        <v>3</v>
      </c>
      <c r="G596" t="inlineStr">
        <is>
          <t>Ontario Tennis Association</t>
        </is>
      </c>
      <c r="H596" t="inlineStr">
        <is>
          <t>Advantage Tennis International at Veneto</t>
        </is>
      </c>
      <c r="I596" t="n">
        <v>39.9</v>
      </c>
      <c r="J596" s="4" t="n">
        <v>19</v>
      </c>
      <c r="K596" t="inlineStr">
        <is>
          <t>2 / 17</t>
        </is>
      </c>
      <c r="L596" t="inlineStr">
        <is>
          <t>2 / 17</t>
        </is>
      </c>
      <c r="M596" s="5" t="n">
        <v>0.11</v>
      </c>
      <c r="N596" s="5" t="n">
        <v>0.11</v>
      </c>
    </row>
    <row r="597">
      <c r="A597" t="n">
        <v>596</v>
      </c>
      <c r="B597" t="n">
        <v>2013</v>
      </c>
      <c r="C597" t="inlineStr">
        <is>
          <t>Julia Soldatov</t>
        </is>
      </c>
      <c r="D597">
        <f>HYPERLINK("https://ota.tournamentsoftware.com/player-profile/9CDD8F0E-2B06-4818-8B32-A0ED95A9E6DF", "Link")</f>
        <v/>
      </c>
      <c r="E597" s="3" t="n">
        <v>43.295</v>
      </c>
      <c r="F597" s="4" t="n">
        <v>4</v>
      </c>
      <c r="G597" t="inlineStr">
        <is>
          <t>Ontario Tennis Association</t>
        </is>
      </c>
      <c r="H597" t="inlineStr">
        <is>
          <t>Newmarket Community Tennis Club</t>
        </is>
      </c>
      <c r="I597" t="n">
        <v>39</v>
      </c>
      <c r="J597" s="4" t="n">
        <v>18</v>
      </c>
      <c r="K597" t="inlineStr">
        <is>
          <t>5 / 13</t>
        </is>
      </c>
      <c r="L597" t="inlineStr">
        <is>
          <t>5 / 13</t>
        </is>
      </c>
      <c r="M597" s="5" t="n">
        <v>0.28</v>
      </c>
      <c r="N597" s="5" t="n">
        <v>0.28</v>
      </c>
    </row>
    <row r="598">
      <c r="A598" t="n">
        <v>597</v>
      </c>
      <c r="B598" t="n">
        <v>2012</v>
      </c>
      <c r="C598" t="inlineStr">
        <is>
          <t>Valeria Taborda - Valverde</t>
        </is>
      </c>
      <c r="D598">
        <f>HYPERLINK("https://ota.tournamentsoftware.com/player-profile/E0201B38-AEE1-4BAC-B0FB-FA389A1FFEA8", "Link")</f>
        <v/>
      </c>
      <c r="E598" s="3" t="n">
        <v>43.272</v>
      </c>
      <c r="F598" s="4" t="n">
        <v>2</v>
      </c>
      <c r="G598" t="inlineStr">
        <is>
          <t>Ontario Tennis Association</t>
        </is>
      </c>
      <c r="H598" t="inlineStr">
        <is>
          <t>Port Hope Racquet Club</t>
        </is>
      </c>
      <c r="I598" t="inlineStr">
        <is>
          <t>unavailable</t>
        </is>
      </c>
      <c r="J598" s="4" t="n">
        <v>35</v>
      </c>
      <c r="K598" t="inlineStr">
        <is>
          <t>13 / 22</t>
        </is>
      </c>
      <c r="L598" t="inlineStr">
        <is>
          <t>1 / 1</t>
        </is>
      </c>
      <c r="M598" s="5" t="n">
        <v>0.37</v>
      </c>
      <c r="N598" s="5" t="n">
        <v>0.5</v>
      </c>
    </row>
    <row r="599">
      <c r="A599" t="n">
        <v>598</v>
      </c>
      <c r="B599" t="n">
        <v>2012</v>
      </c>
      <c r="C599" t="inlineStr">
        <is>
          <t>Aurélie Houde</t>
        </is>
      </c>
      <c r="D599">
        <f>HYPERLINK("https://ota.tournamentsoftware.com/player-profile/F697AB49-11E9-42EF-B0E6-5DF0E77AF99C", "Link")</f>
        <v/>
      </c>
      <c r="E599" s="3" t="n">
        <v>43.226</v>
      </c>
      <c r="F599" s="4" t="n">
        <v>5</v>
      </c>
      <c r="G599" t="inlineStr">
        <is>
          <t>Tennis Québec</t>
        </is>
      </c>
      <c r="H599" t="inlineStr">
        <is>
          <t>Association de tennis de Drummondville</t>
        </is>
      </c>
      <c r="I599" t="n">
        <v>39.7</v>
      </c>
      <c r="J599" s="4" t="n">
        <v>22</v>
      </c>
      <c r="K599" t="inlineStr">
        <is>
          <t>1 / 21</t>
        </is>
      </c>
      <c r="L599" t="inlineStr">
        <is>
          <t>0 / 3</t>
        </is>
      </c>
      <c r="M599" s="5" t="n">
        <v>0.05</v>
      </c>
      <c r="N599" s="5" t="n">
        <v>0</v>
      </c>
    </row>
    <row r="600">
      <c r="A600" t="n">
        <v>599</v>
      </c>
      <c r="B600" t="n">
        <v>2014</v>
      </c>
      <c r="C600" t="inlineStr">
        <is>
          <t>Victoria Kycia Block</t>
        </is>
      </c>
      <c r="D600">
        <f>HYPERLINK("https://ota.tournamentsoftware.com/player-profile/1F978CA6-97AC-4A84-BBEB-B431DDD9A28B", "Link")</f>
        <v/>
      </c>
      <c r="E600" s="3" t="n">
        <v>43.159</v>
      </c>
      <c r="F600" s="4" t="n">
        <v>10</v>
      </c>
      <c r="G600" t="inlineStr">
        <is>
          <t>Tennis Alberta</t>
        </is>
      </c>
      <c r="H600" t="inlineStr">
        <is>
          <t>Saville Community Sports Centre</t>
        </is>
      </c>
      <c r="I600" t="n">
        <v>37</v>
      </c>
      <c r="J600" s="4" t="n">
        <v>41</v>
      </c>
      <c r="K600" t="inlineStr">
        <is>
          <t>10 / 31</t>
        </is>
      </c>
      <c r="L600" t="inlineStr">
        <is>
          <t>3 / 8</t>
        </is>
      </c>
      <c r="M600" s="5" t="n">
        <v>0.24</v>
      </c>
      <c r="N600" s="5" t="n">
        <v>0.27</v>
      </c>
    </row>
    <row r="601">
      <c r="A601" t="n">
        <v>600</v>
      </c>
      <c r="B601" t="n">
        <v>2016</v>
      </c>
      <c r="C601" t="inlineStr">
        <is>
          <t>Xirui Ding</t>
        </is>
      </c>
      <c r="D601">
        <f>HYPERLINK("https://ota.tournamentsoftware.com/player-profile/6DC46DF7-2964-4ED2-9C01-D39C773C942F", "Link")</f>
        <v/>
      </c>
      <c r="E601" s="3" t="n">
        <v>42.48</v>
      </c>
      <c r="F601" s="4" t="n">
        <v>4</v>
      </c>
      <c r="G601" t="inlineStr">
        <is>
          <t>Ontario Tennis Association</t>
        </is>
      </c>
      <c r="H601" t="inlineStr">
        <is>
          <t>Valan Tennis Academy</t>
        </is>
      </c>
      <c r="I601" t="n">
        <v>36.7</v>
      </c>
      <c r="J601" s="4" t="n">
        <v>90</v>
      </c>
      <c r="K601" t="inlineStr">
        <is>
          <t>56 / 34</t>
        </is>
      </c>
      <c r="L601" t="inlineStr">
        <is>
          <t>51 / 25</t>
        </is>
      </c>
      <c r="M601" s="5" t="n">
        <v>0.62</v>
      </c>
      <c r="N601" s="5" t="n">
        <v>0.67</v>
      </c>
    </row>
    <row r="602">
      <c r="A602" t="n">
        <v>601</v>
      </c>
      <c r="B602" t="n">
        <v>2014</v>
      </c>
      <c r="C602" t="inlineStr">
        <is>
          <t>Ann-Mayelle Veillard</t>
        </is>
      </c>
      <c r="D602">
        <f>HYPERLINK("https://ota.tournamentsoftware.com/player-profile/C734CB2A-2E7E-46C5-B1F0-69D754EF8527", "Link")</f>
        <v/>
      </c>
      <c r="E602" s="3" t="n">
        <v>42.328</v>
      </c>
      <c r="F602" s="4" t="n">
        <v>11</v>
      </c>
      <c r="G602" t="inlineStr">
        <is>
          <t>Tennis Québec</t>
        </is>
      </c>
      <c r="H602" t="inlineStr">
        <is>
          <t>No Club</t>
        </is>
      </c>
      <c r="I602" t="inlineStr">
        <is>
          <t>unavailable</t>
        </is>
      </c>
      <c r="J602" s="4" t="n">
        <v>22</v>
      </c>
      <c r="K602" t="inlineStr">
        <is>
          <t>10 / 12</t>
        </is>
      </c>
      <c r="L602" t="inlineStr">
        <is>
          <t>10 / 12</t>
        </is>
      </c>
      <c r="M602" s="5" t="n">
        <v>0.45</v>
      </c>
      <c r="N602" s="5" t="n">
        <v>0.45</v>
      </c>
    </row>
    <row r="603">
      <c r="A603" t="n">
        <v>602</v>
      </c>
      <c r="B603" t="n">
        <v>2012</v>
      </c>
      <c r="C603" t="inlineStr">
        <is>
          <t>Mackenzie Quek</t>
        </is>
      </c>
      <c r="D603">
        <f>HYPERLINK("https://ota.tournamentsoftware.com/player-profile/51407A91-7051-4BC3-B583-F0DC1E06E113", "Link")</f>
        <v/>
      </c>
      <c r="E603" s="3" t="n">
        <v>42.274</v>
      </c>
      <c r="F603" s="4" t="n">
        <v>4</v>
      </c>
      <c r="G603" t="inlineStr">
        <is>
          <t>Ontario Tennis Association</t>
        </is>
      </c>
      <c r="H603" t="inlineStr">
        <is>
          <t>Concord Tennis Academy</t>
        </is>
      </c>
      <c r="I603" t="inlineStr">
        <is>
          <t>unavailable</t>
        </is>
      </c>
      <c r="J603" s="4" t="n">
        <v>13</v>
      </c>
      <c r="K603" t="inlineStr">
        <is>
          <t>3 / 10</t>
        </is>
      </c>
      <c r="L603" t="inlineStr">
        <is>
          <t>3 / 10</t>
        </is>
      </c>
      <c r="M603" s="5" t="n">
        <v>0.23</v>
      </c>
      <c r="N603" s="5" t="n">
        <v>0.23</v>
      </c>
    </row>
    <row r="604">
      <c r="A604" t="n">
        <v>603</v>
      </c>
      <c r="B604" t="n">
        <v>2015</v>
      </c>
      <c r="C604" t="inlineStr">
        <is>
          <t>Mia Kojic</t>
        </is>
      </c>
      <c r="D604">
        <f>HYPERLINK("https://ota.tournamentsoftware.com/player-profile/1573DFB3-8189-4CE9-AAAC-9ADF1738AD9C", "Link")</f>
        <v/>
      </c>
      <c r="E604" s="3" t="n">
        <v>41.917</v>
      </c>
      <c r="F604" s="4" t="n">
        <v>7</v>
      </c>
      <c r="G604" t="inlineStr">
        <is>
          <t>Ontario Tennis Association</t>
        </is>
      </c>
      <c r="H604" t="inlineStr">
        <is>
          <t>Ontario Racquet Club</t>
        </is>
      </c>
      <c r="I604" t="n">
        <v>36.7</v>
      </c>
      <c r="J604" s="4" t="n">
        <v>95</v>
      </c>
      <c r="K604" t="inlineStr">
        <is>
          <t>41 / 54</t>
        </is>
      </c>
      <c r="L604" t="inlineStr">
        <is>
          <t>5 / 9</t>
        </is>
      </c>
      <c r="M604" s="5" t="n">
        <v>0.43</v>
      </c>
      <c r="N604" s="5" t="n">
        <v>0.36</v>
      </c>
    </row>
    <row r="605">
      <c r="A605" t="n">
        <v>604</v>
      </c>
      <c r="B605" t="n">
        <v>2014</v>
      </c>
      <c r="C605" t="inlineStr">
        <is>
          <t>Chloe Leblond</t>
        </is>
      </c>
      <c r="D605">
        <f>HYPERLINK("https://ota.tournamentsoftware.com/player-profile/B25C8E1B-DD5B-45CB-A94E-27B9E436CCF5", "Link")</f>
        <v/>
      </c>
      <c r="E605" s="3" t="n">
        <v>41.903</v>
      </c>
      <c r="F605" s="4" t="n">
        <v>5</v>
      </c>
      <c r="G605" t="inlineStr">
        <is>
          <t>Ontario Tennis Association</t>
        </is>
      </c>
      <c r="H605" t="inlineStr">
        <is>
          <t>Tam Heather Tennis Club</t>
        </is>
      </c>
      <c r="I605" t="inlineStr">
        <is>
          <t>unavailable</t>
        </is>
      </c>
      <c r="J605" s="4" t="n">
        <v>59</v>
      </c>
      <c r="K605" t="inlineStr">
        <is>
          <t>31 / 28</t>
        </is>
      </c>
      <c r="L605" t="inlineStr">
        <is>
          <t>6 / 4</t>
        </is>
      </c>
      <c r="M605" s="5" t="n">
        <v>0.53</v>
      </c>
      <c r="N605" s="5" t="n">
        <v>0.6</v>
      </c>
    </row>
    <row r="606">
      <c r="A606" t="n">
        <v>605</v>
      </c>
      <c r="B606" t="n">
        <v>2014</v>
      </c>
      <c r="C606" t="inlineStr">
        <is>
          <t>Melina Ioannidis</t>
        </is>
      </c>
      <c r="D606">
        <f>HYPERLINK("https://ota.tournamentsoftware.com/player-profile/7105A5E6-611D-4531-9016-F7FBEE3F6368", "Link")</f>
        <v/>
      </c>
      <c r="E606" s="3" t="n">
        <v>41.56</v>
      </c>
      <c r="F606" s="4" t="n">
        <v>6</v>
      </c>
      <c r="G606" t="inlineStr">
        <is>
          <t>Ontario Tennis Association</t>
        </is>
      </c>
      <c r="H606" t="inlineStr">
        <is>
          <t>Aurora Community Tennis Club</t>
        </is>
      </c>
      <c r="I606" t="n">
        <v>37</v>
      </c>
      <c r="J606" s="4" t="n">
        <v>61</v>
      </c>
      <c r="K606" t="inlineStr">
        <is>
          <t>34 / 27</t>
        </is>
      </c>
      <c r="L606" t="inlineStr">
        <is>
          <t>4 / 5</t>
        </is>
      </c>
      <c r="M606" s="5" t="n">
        <v>0.5600000000000001</v>
      </c>
      <c r="N606" s="5" t="n">
        <v>0.44</v>
      </c>
    </row>
    <row r="607">
      <c r="A607" t="n">
        <v>606</v>
      </c>
      <c r="B607" t="n">
        <v>2015</v>
      </c>
      <c r="C607" t="inlineStr">
        <is>
          <t>Juliette Tremblay</t>
        </is>
      </c>
      <c r="D607">
        <f>HYPERLINK("https://ota.tournamentsoftware.com/player-profile/94E82DA2-01EF-471F-BB0F-8CEAA1C42076", "Link")</f>
        <v/>
      </c>
      <c r="E607" s="3" t="n">
        <v>41.328</v>
      </c>
      <c r="F607" s="4" t="n">
        <v>9</v>
      </c>
      <c r="G607" t="inlineStr">
        <is>
          <t>Tennis Québec</t>
        </is>
      </c>
      <c r="H607" t="inlineStr">
        <is>
          <t>Tennis Outaouais Performance (TOP)</t>
        </is>
      </c>
      <c r="I607" t="n">
        <v>37.6</v>
      </c>
      <c r="J607" s="4" t="n">
        <v>52</v>
      </c>
      <c r="K607" t="inlineStr">
        <is>
          <t>16 / 36</t>
        </is>
      </c>
      <c r="L607" t="inlineStr">
        <is>
          <t>5 / 11</t>
        </is>
      </c>
      <c r="M607" s="5" t="n">
        <v>0.31</v>
      </c>
      <c r="N607" s="5" t="n">
        <v>0.31</v>
      </c>
    </row>
    <row r="608">
      <c r="A608" t="n">
        <v>607</v>
      </c>
      <c r="B608" t="n">
        <v>2014</v>
      </c>
      <c r="C608" t="inlineStr">
        <is>
          <t>Alena Sui</t>
        </is>
      </c>
      <c r="D608">
        <f>HYPERLINK("https://ota.tournamentsoftware.com/player-profile/92B690E9-D6C6-410C-A457-5AC3927E933A", "Link")</f>
        <v/>
      </c>
      <c r="E608" s="3" t="n">
        <v>41.268</v>
      </c>
      <c r="F608" s="4" t="n">
        <v>11</v>
      </c>
      <c r="G608" t="inlineStr">
        <is>
          <t>British Columbia</t>
        </is>
      </c>
      <c r="H608" t="inlineStr">
        <is>
          <t>No Club</t>
        </is>
      </c>
      <c r="I608" t="n">
        <v>38.4</v>
      </c>
      <c r="J608" s="4" t="n">
        <v>77</v>
      </c>
      <c r="K608" t="inlineStr">
        <is>
          <t>35 / 42</t>
        </is>
      </c>
      <c r="L608" t="inlineStr">
        <is>
          <t>15 / 20</t>
        </is>
      </c>
      <c r="M608" s="5" t="n">
        <v>0.45</v>
      </c>
      <c r="N608" s="5" t="n">
        <v>0.43</v>
      </c>
    </row>
    <row r="609">
      <c r="A609" t="n">
        <v>608</v>
      </c>
      <c r="B609" t="n">
        <v>2015</v>
      </c>
      <c r="C609" t="inlineStr">
        <is>
          <t>Lillian Tooryani</t>
        </is>
      </c>
      <c r="D609">
        <f>HYPERLINK("https://ota.tournamentsoftware.com/player-profile/B149ED5D-E26B-4577-8AAB-620DB4A7A85F", "Link")</f>
        <v/>
      </c>
      <c r="E609" s="3" t="n">
        <v>41.04</v>
      </c>
      <c r="F609" s="4" t="n">
        <v>10</v>
      </c>
      <c r="G609" t="inlineStr">
        <is>
          <t>Ontario Tennis Association</t>
        </is>
      </c>
      <c r="H609" t="inlineStr">
        <is>
          <t>Mayfair West Fitness &amp; Racquet Club</t>
        </is>
      </c>
      <c r="I609" t="n">
        <v>37.2</v>
      </c>
      <c r="J609" s="4" t="n">
        <v>40</v>
      </c>
      <c r="K609" t="inlineStr">
        <is>
          <t>16 / 24</t>
        </is>
      </c>
      <c r="L609" t="inlineStr">
        <is>
          <t>13 / 11</t>
        </is>
      </c>
      <c r="M609" s="5" t="n">
        <v>0.4</v>
      </c>
      <c r="N609" s="5" t="n">
        <v>0.54</v>
      </c>
    </row>
    <row r="610">
      <c r="A610" t="n">
        <v>609</v>
      </c>
      <c r="B610" t="n">
        <v>2014</v>
      </c>
      <c r="C610" t="inlineStr">
        <is>
          <t>Shaghun Dhillon</t>
        </is>
      </c>
      <c r="D610">
        <f>HYPERLINK("https://ota.tournamentsoftware.com/player-profile/97B5DEDE-AA93-468B-902A-462AB9B42432", "Link")</f>
        <v/>
      </c>
      <c r="E610" s="3" t="n">
        <v>40.727</v>
      </c>
      <c r="F610" s="4" t="n">
        <v>8</v>
      </c>
      <c r="G610" t="inlineStr">
        <is>
          <t>Ontario Tennis Association</t>
        </is>
      </c>
      <c r="H610" t="inlineStr">
        <is>
          <t>Premier Racquet Club</t>
        </is>
      </c>
      <c r="I610" t="n">
        <v>36.8</v>
      </c>
      <c r="J610" s="4" t="n">
        <v>49</v>
      </c>
      <c r="K610" t="inlineStr">
        <is>
          <t>28 / 21</t>
        </is>
      </c>
      <c r="L610" t="inlineStr">
        <is>
          <t>22 / 15</t>
        </is>
      </c>
      <c r="M610" s="5" t="n">
        <v>0.57</v>
      </c>
      <c r="N610" s="5" t="n">
        <v>0.59</v>
      </c>
    </row>
    <row r="611">
      <c r="A611" t="n">
        <v>610</v>
      </c>
      <c r="B611" t="n">
        <v>2015</v>
      </c>
      <c r="C611" t="inlineStr">
        <is>
          <t>ALICE Wan yee Wong</t>
        </is>
      </c>
      <c r="D611">
        <f>HYPERLINK("https://ota.tournamentsoftware.com/player-profile/1B8AB01B-692B-4E5E-B513-A24155329374", "Link")</f>
        <v/>
      </c>
      <c r="E611" s="3" t="n">
        <v>40.564</v>
      </c>
      <c r="F611" s="4" t="n">
        <v>12</v>
      </c>
      <c r="G611" t="inlineStr">
        <is>
          <t>British Columbia</t>
        </is>
      </c>
      <c r="H611" t="inlineStr">
        <is>
          <t>The Tennis Centre</t>
        </is>
      </c>
      <c r="I611" t="n">
        <v>35</v>
      </c>
      <c r="J611" s="4" t="n">
        <v>118</v>
      </c>
      <c r="K611" t="inlineStr">
        <is>
          <t>56 / 62</t>
        </is>
      </c>
      <c r="L611" t="inlineStr">
        <is>
          <t>16 / 13</t>
        </is>
      </c>
      <c r="M611" s="5" t="n">
        <v>0.47</v>
      </c>
      <c r="N611" s="5" t="n">
        <v>0.55</v>
      </c>
    </row>
    <row r="612">
      <c r="A612" t="n">
        <v>611</v>
      </c>
      <c r="B612" t="n">
        <v>2016</v>
      </c>
      <c r="C612" t="inlineStr">
        <is>
          <t>Anne Cherednychenko</t>
        </is>
      </c>
      <c r="D612">
        <f>HYPERLINK("https://ota.tournamentsoftware.com/player-profile/8FB2FF81-D0FE-4491-B99E-18BAAFE1E3CD", "Link")</f>
        <v/>
      </c>
      <c r="E612" s="3" t="n">
        <v>40.335</v>
      </c>
      <c r="F612" s="4" t="n">
        <v>8</v>
      </c>
      <c r="G612" t="inlineStr">
        <is>
          <t>Tennis Québec</t>
        </is>
      </c>
      <c r="H612" t="inlineStr">
        <is>
          <t>No Club</t>
        </is>
      </c>
      <c r="I612" t="n">
        <v>35.8</v>
      </c>
      <c r="J612" s="4" t="n">
        <v>62</v>
      </c>
      <c r="K612" t="inlineStr">
        <is>
          <t>37 / 25</t>
        </is>
      </c>
      <c r="L612" t="inlineStr">
        <is>
          <t>13 / 11</t>
        </is>
      </c>
      <c r="M612" s="5" t="n">
        <v>0.6</v>
      </c>
      <c r="N612" s="5" t="n">
        <v>0.54</v>
      </c>
    </row>
    <row r="613">
      <c r="A613" t="n">
        <v>612</v>
      </c>
      <c r="B613" t="n">
        <v>2014</v>
      </c>
      <c r="C613" t="inlineStr">
        <is>
          <t>Laura Gyori</t>
        </is>
      </c>
      <c r="D613">
        <f>HYPERLINK("https://ota.tournamentsoftware.com/player-profile/5A55107A-8C3C-4255-8453-79017D4120E3", "Link")</f>
        <v/>
      </c>
      <c r="E613" s="3" t="n">
        <v>39.952</v>
      </c>
      <c r="F613" s="4" t="n">
        <v>4</v>
      </c>
      <c r="G613" t="inlineStr">
        <is>
          <t>Ontario Tennis Association</t>
        </is>
      </c>
      <c r="H613" t="inlineStr">
        <is>
          <t>Rideau Sports Centre</t>
        </is>
      </c>
      <c r="I613" t="inlineStr">
        <is>
          <t>unavailable</t>
        </is>
      </c>
      <c r="J613" s="4" t="n">
        <v>15</v>
      </c>
      <c r="K613" t="inlineStr">
        <is>
          <t>4 / 11</t>
        </is>
      </c>
      <c r="L613" t="inlineStr">
        <is>
          <t>2 / 4</t>
        </is>
      </c>
      <c r="M613" s="5" t="n">
        <v>0.27</v>
      </c>
      <c r="N613" s="5" t="n">
        <v>0.33</v>
      </c>
    </row>
    <row r="614">
      <c r="A614" t="n">
        <v>613</v>
      </c>
      <c r="B614" t="n">
        <v>2017</v>
      </c>
      <c r="C614" t="inlineStr">
        <is>
          <t>Arianna Fernanda Chacon</t>
        </is>
      </c>
      <c r="D614">
        <f>HYPERLINK("https://ota.tournamentsoftware.com/player-profile/3B36D99D-C9E7-48A2-BC06-6AD3725AC12E", "Link")</f>
        <v/>
      </c>
      <c r="E614" s="3" t="n">
        <v>38.712</v>
      </c>
      <c r="F614" s="4" t="n">
        <v>12</v>
      </c>
      <c r="G614" t="inlineStr">
        <is>
          <t>Tennis Alberta</t>
        </is>
      </c>
      <c r="H614" t="inlineStr">
        <is>
          <t>Aforza</t>
        </is>
      </c>
      <c r="I614" t="n">
        <v>35.3</v>
      </c>
      <c r="J614" s="4" t="n">
        <v>191</v>
      </c>
      <c r="K614" t="inlineStr">
        <is>
          <t>98 / 93</t>
        </is>
      </c>
      <c r="L614" t="inlineStr">
        <is>
          <t>25 / 17</t>
        </is>
      </c>
      <c r="M614" s="5" t="n">
        <v>0.51</v>
      </c>
      <c r="N614" s="5" t="n">
        <v>0.6</v>
      </c>
    </row>
    <row r="615">
      <c r="A615" t="n">
        <v>614</v>
      </c>
      <c r="B615" t="n">
        <v>2013</v>
      </c>
      <c r="C615" t="inlineStr">
        <is>
          <t>Kate Lalli</t>
        </is>
      </c>
      <c r="D615">
        <f>HYPERLINK("https://ota.tournamentsoftware.com/player-profile/37A0CF8B-C4DF-49F1-946F-E349A3E42015", "Link")</f>
        <v/>
      </c>
      <c r="E615" s="3" t="n">
        <v>38.609</v>
      </c>
      <c r="F615" s="4" t="n">
        <v>4</v>
      </c>
      <c r="G615" t="inlineStr">
        <is>
          <t>Tennis Québec</t>
        </is>
      </c>
      <c r="H615" t="inlineStr">
        <is>
          <t>No Club</t>
        </is>
      </c>
      <c r="I615" t="n">
        <v>37.6</v>
      </c>
      <c r="J615" s="4" t="n">
        <v>15</v>
      </c>
      <c r="K615" t="inlineStr">
        <is>
          <t>4 / 11</t>
        </is>
      </c>
      <c r="L615" t="inlineStr">
        <is>
          <t>1 / 6</t>
        </is>
      </c>
      <c r="M615" s="5" t="n">
        <v>0.27</v>
      </c>
      <c r="N615" s="5" t="n">
        <v>0.14</v>
      </c>
    </row>
    <row r="616">
      <c r="A616" t="n">
        <v>615</v>
      </c>
      <c r="B616" t="n">
        <v>2016</v>
      </c>
      <c r="C616" t="inlineStr">
        <is>
          <t>Olivia Yueer Hao</t>
        </is>
      </c>
      <c r="D616">
        <f>HYPERLINK("https://ota.tournamentsoftware.com/player-profile/61C0E090-4E32-499F-86FE-FFD674DD6128", "Link")</f>
        <v/>
      </c>
      <c r="E616" s="3" t="n">
        <v>38.377</v>
      </c>
      <c r="F616" s="4" t="n">
        <v>6</v>
      </c>
      <c r="G616" t="inlineStr">
        <is>
          <t>Ontario Tennis Association</t>
        </is>
      </c>
      <c r="H616" t="inlineStr">
        <is>
          <t>Valan Tennis Academy</t>
        </is>
      </c>
      <c r="I616" t="n">
        <v>37.5</v>
      </c>
      <c r="J616" s="4" t="n">
        <v>66</v>
      </c>
      <c r="K616" t="inlineStr">
        <is>
          <t>31 / 35</t>
        </is>
      </c>
      <c r="L616" t="inlineStr">
        <is>
          <t>27 / 20</t>
        </is>
      </c>
      <c r="M616" s="5" t="n">
        <v>0.47</v>
      </c>
      <c r="N616" s="5" t="n">
        <v>0.57</v>
      </c>
    </row>
    <row r="617">
      <c r="A617" t="n">
        <v>616</v>
      </c>
      <c r="B617" t="n">
        <v>2012</v>
      </c>
      <c r="C617" t="inlineStr">
        <is>
          <t>LUCY HA</t>
        </is>
      </c>
      <c r="D617">
        <f>HYPERLINK("https://ota.tournamentsoftware.com/player-profile/5289FB1D-8B94-446A-83C5-187068CE2F5D", "Link")</f>
        <v/>
      </c>
      <c r="E617" s="3" t="n">
        <v>38.367</v>
      </c>
      <c r="F617" s="4" t="n">
        <v>4</v>
      </c>
      <c r="G617" t="inlineStr">
        <is>
          <t>British Columbia</t>
        </is>
      </c>
      <c r="H617" t="inlineStr">
        <is>
          <t>Tennis BC Hub @ Richmond</t>
        </is>
      </c>
      <c r="I617" t="n">
        <v>37.7</v>
      </c>
      <c r="J617" s="4" t="n">
        <v>28</v>
      </c>
      <c r="K617" t="inlineStr">
        <is>
          <t>4 / 24</t>
        </is>
      </c>
      <c r="L617" t="inlineStr">
        <is>
          <t>0 / 2</t>
        </is>
      </c>
      <c r="M617" s="5" t="n">
        <v>0.14</v>
      </c>
      <c r="N617" s="5" t="n">
        <v>0</v>
      </c>
    </row>
    <row r="618">
      <c r="A618" t="n">
        <v>617</v>
      </c>
      <c r="B618" t="n">
        <v>2013</v>
      </c>
      <c r="C618" t="inlineStr">
        <is>
          <t>Yu Nohara</t>
        </is>
      </c>
      <c r="D618">
        <f>HYPERLINK("https://ota.tournamentsoftware.com/player-profile/4AB57DE3-C832-4B9F-8F8F-AECBF5EE5A81", "Link")</f>
        <v/>
      </c>
      <c r="E618" s="3" t="n">
        <v>38.216</v>
      </c>
      <c r="F618" s="4" t="n">
        <v>4</v>
      </c>
      <c r="G618" t="inlineStr">
        <is>
          <t>British Columbia</t>
        </is>
      </c>
      <c r="H618" t="inlineStr">
        <is>
          <t>Tennis for Life</t>
        </is>
      </c>
      <c r="I618" t="n">
        <v>37.5</v>
      </c>
      <c r="J618" s="4" t="n">
        <v>20</v>
      </c>
      <c r="K618" t="inlineStr">
        <is>
          <t>9 / 11</t>
        </is>
      </c>
      <c r="L618" t="inlineStr">
        <is>
          <t>1 / 3</t>
        </is>
      </c>
      <c r="M618" s="5" t="n">
        <v>0.45</v>
      </c>
      <c r="N618" s="5" t="n">
        <v>0.25</v>
      </c>
    </row>
    <row r="619">
      <c r="A619" t="n">
        <v>618</v>
      </c>
      <c r="B619" t="n">
        <v>2013</v>
      </c>
      <c r="C619" t="inlineStr">
        <is>
          <t>Daniella Adekoya</t>
        </is>
      </c>
      <c r="D619">
        <f>HYPERLINK("https://ota.tournamentsoftware.com/player-profile/1AE7E627-3ED1-4E93-9C7E-52183DBA7410", "Link")</f>
        <v/>
      </c>
      <c r="E619" s="3" t="n">
        <v>38.016</v>
      </c>
      <c r="F619" s="4" t="n">
        <v>3</v>
      </c>
      <c r="G619" t="inlineStr">
        <is>
          <t>Ontario Tennis Association</t>
        </is>
      </c>
      <c r="H619" t="inlineStr">
        <is>
          <t>Rideau Sports Centre</t>
        </is>
      </c>
      <c r="I619" t="n">
        <v>37.1</v>
      </c>
      <c r="J619" s="4" t="n">
        <v>25</v>
      </c>
      <c r="K619" t="inlineStr">
        <is>
          <t>7 / 18</t>
        </is>
      </c>
      <c r="L619" t="inlineStr">
        <is>
          <t>0 / 1</t>
        </is>
      </c>
      <c r="M619" s="5" t="n">
        <v>0.28</v>
      </c>
      <c r="N619" s="5" t="n">
        <v>0</v>
      </c>
    </row>
    <row r="620">
      <c r="A620" t="n">
        <v>619</v>
      </c>
      <c r="B620" t="n">
        <v>2017</v>
      </c>
      <c r="C620" t="inlineStr">
        <is>
          <t>Aria Bloom</t>
        </is>
      </c>
      <c r="D620">
        <f>HYPERLINK("https://ota.tournamentsoftware.com/player-profile/7C30BE00-7F15-42B9-BA96-B3B2895898A0", "Link")</f>
        <v/>
      </c>
      <c r="E620" s="3" t="n">
        <v>38.002</v>
      </c>
      <c r="F620" s="4" t="n">
        <v>5</v>
      </c>
      <c r="G620" t="inlineStr">
        <is>
          <t>Tennis Alberta</t>
        </is>
      </c>
      <c r="H620" t="inlineStr">
        <is>
          <t>Osten &amp; Victor Alberta Tennis Centre</t>
        </is>
      </c>
      <c r="I620" t="n">
        <v>33.9</v>
      </c>
      <c r="J620" s="4" t="n">
        <v>112</v>
      </c>
      <c r="K620" t="inlineStr">
        <is>
          <t>84 / 28</t>
        </is>
      </c>
      <c r="L620" t="inlineStr">
        <is>
          <t>30 / 5</t>
        </is>
      </c>
      <c r="M620" s="5" t="n">
        <v>0.75</v>
      </c>
      <c r="N620" s="5" t="n">
        <v>0.86</v>
      </c>
    </row>
    <row r="621">
      <c r="A621" t="n">
        <v>620</v>
      </c>
      <c r="B621" t="n">
        <v>2012</v>
      </c>
      <c r="C621" t="inlineStr">
        <is>
          <t>Juanita Valeria Ruiz</t>
        </is>
      </c>
      <c r="D621">
        <f>HYPERLINK("https://ota.tournamentsoftware.com/player-profile/60CB93B1-F620-4737-8F49-B06F794F4103", "Link")</f>
        <v/>
      </c>
      <c r="E621" s="3" t="n">
        <v>37.961</v>
      </c>
      <c r="F621" s="4" t="n">
        <v>3</v>
      </c>
      <c r="G621" t="inlineStr">
        <is>
          <t>Ontario Tennis Association</t>
        </is>
      </c>
      <c r="H621" t="inlineStr">
        <is>
          <t>No Club</t>
        </is>
      </c>
      <c r="I621" t="inlineStr">
        <is>
          <t>unavailable</t>
        </is>
      </c>
      <c r="J621" s="4" t="n">
        <v>69</v>
      </c>
      <c r="K621" t="inlineStr">
        <is>
          <t>26 / 43</t>
        </is>
      </c>
      <c r="L621" t="inlineStr">
        <is>
          <t>0 / 0</t>
        </is>
      </c>
      <c r="M621" s="5" t="n">
        <v>0.38</v>
      </c>
      <c r="N621" s="5" t="n">
        <v>0</v>
      </c>
    </row>
    <row r="622">
      <c r="A622" t="n">
        <v>621</v>
      </c>
      <c r="B622" t="n">
        <v>2015</v>
      </c>
      <c r="C622" t="inlineStr">
        <is>
          <t>Anna Bella Grozdanovski</t>
        </is>
      </c>
      <c r="D622">
        <f>HYPERLINK("https://ota.tournamentsoftware.com/player-profile/C1BD78E7-5BB0-4BD0-9D53-DA02A232F8A0", "Link")</f>
        <v/>
      </c>
      <c r="E622" s="3" t="n">
        <v>37.548</v>
      </c>
      <c r="F622" s="4" t="n">
        <v>4</v>
      </c>
      <c r="G622" t="inlineStr">
        <is>
          <t>Ontario Tennis Association</t>
        </is>
      </c>
      <c r="H622" t="inlineStr">
        <is>
          <t>No Club</t>
        </is>
      </c>
      <c r="I622" t="n">
        <v>37.6</v>
      </c>
      <c r="J622" s="4" t="n">
        <v>36</v>
      </c>
      <c r="K622" t="inlineStr">
        <is>
          <t>17 / 19</t>
        </is>
      </c>
      <c r="L622" t="inlineStr">
        <is>
          <t>8 / 4</t>
        </is>
      </c>
      <c r="M622" s="5" t="n">
        <v>0.47</v>
      </c>
      <c r="N622" s="5" t="n">
        <v>0.67</v>
      </c>
    </row>
    <row r="623">
      <c r="A623" t="n">
        <v>622</v>
      </c>
      <c r="B623" t="n">
        <v>2013</v>
      </c>
      <c r="C623" t="inlineStr">
        <is>
          <t>Alexa Ardeleanu</t>
        </is>
      </c>
      <c r="D623">
        <f>HYPERLINK("https://ota.tournamentsoftware.com/player-profile/109D0444-3430-4CBD-A2CA-522592228926", "Link")</f>
        <v/>
      </c>
      <c r="E623" s="3" t="n">
        <v>37.397</v>
      </c>
      <c r="F623" s="4" t="n">
        <v>3</v>
      </c>
      <c r="G623" t="inlineStr">
        <is>
          <t>Ontario Tennis Association</t>
        </is>
      </c>
      <c r="H623" t="inlineStr">
        <is>
          <t>No Club</t>
        </is>
      </c>
      <c r="I623" t="n">
        <v>37.8</v>
      </c>
      <c r="J623" s="4" t="n">
        <v>5</v>
      </c>
      <c r="K623" t="inlineStr">
        <is>
          <t>1 / 4</t>
        </is>
      </c>
      <c r="L623" t="inlineStr">
        <is>
          <t>1 / 4</t>
        </is>
      </c>
      <c r="M623" s="5" t="n">
        <v>0.2</v>
      </c>
      <c r="N623" s="5" t="n">
        <v>0.2</v>
      </c>
    </row>
    <row r="624">
      <c r="A624" t="n">
        <v>623</v>
      </c>
      <c r="B624" t="n">
        <v>2016</v>
      </c>
      <c r="C624" t="inlineStr">
        <is>
          <t>Abigail Jianing Zhou</t>
        </is>
      </c>
      <c r="D624">
        <f>HYPERLINK("https://ota.tournamentsoftware.com/player-profile/E53B2389-2E47-459E-9543-5DBB506C324A", "Link")</f>
        <v/>
      </c>
      <c r="E624" s="3" t="n">
        <v>36.381</v>
      </c>
      <c r="F624" s="4" t="n">
        <v>12</v>
      </c>
      <c r="G624" t="inlineStr">
        <is>
          <t>Ontario Tennis Association</t>
        </is>
      </c>
      <c r="H624" t="inlineStr">
        <is>
          <t>Joshua Creek Golf &amp; Tennis</t>
        </is>
      </c>
      <c r="I624" t="n">
        <v>38</v>
      </c>
      <c r="J624" s="4" t="n">
        <v>147</v>
      </c>
      <c r="K624" t="inlineStr">
        <is>
          <t>59 / 88</t>
        </is>
      </c>
      <c r="L624" t="inlineStr">
        <is>
          <t>21 / 23</t>
        </is>
      </c>
      <c r="M624" s="5" t="n">
        <v>0.4</v>
      </c>
      <c r="N624" s="5" t="n">
        <v>0.48</v>
      </c>
    </row>
    <row r="625">
      <c r="A625" t="n">
        <v>624</v>
      </c>
      <c r="B625" t="n">
        <v>2014</v>
      </c>
      <c r="C625" t="inlineStr">
        <is>
          <t>Violette Hébert</t>
        </is>
      </c>
      <c r="D625">
        <f>HYPERLINK("https://ota.tournamentsoftware.com/player-profile/53615BF8-C3DB-4C99-8745-F5A7E4DC7C2E", "Link")</f>
        <v/>
      </c>
      <c r="E625" s="3" t="n">
        <v>36.239</v>
      </c>
      <c r="F625" s="4" t="n">
        <v>10</v>
      </c>
      <c r="G625" t="inlineStr">
        <is>
          <t>Tennis Québec</t>
        </is>
      </c>
      <c r="H625" t="inlineStr">
        <is>
          <t>EB Tennis inc.</t>
        </is>
      </c>
      <c r="I625" t="n">
        <v>38.5</v>
      </c>
      <c r="J625" s="4" t="n">
        <v>46</v>
      </c>
      <c r="K625" t="inlineStr">
        <is>
          <t>14 / 32</t>
        </is>
      </c>
      <c r="L625" t="inlineStr">
        <is>
          <t>4 / 10</t>
        </is>
      </c>
      <c r="M625" s="5" t="n">
        <v>0.3</v>
      </c>
      <c r="N625" s="5" t="n">
        <v>0.29</v>
      </c>
    </row>
    <row r="626">
      <c r="A626" t="n">
        <v>625</v>
      </c>
      <c r="B626" t="n">
        <v>2015</v>
      </c>
      <c r="C626" t="inlineStr">
        <is>
          <t>Sloane Burdick</t>
        </is>
      </c>
      <c r="D626">
        <f>HYPERLINK("https://ota.tournamentsoftware.com/player-profile/B4ED1890-6E53-4FCC-9711-828BDD90CD1F", "Link")</f>
        <v/>
      </c>
      <c r="E626" s="3" t="n">
        <v>36.168</v>
      </c>
      <c r="F626" s="4" t="n">
        <v>8</v>
      </c>
      <c r="G626" t="inlineStr">
        <is>
          <t>British Columbia</t>
        </is>
      </c>
      <c r="H626" t="inlineStr">
        <is>
          <t>Vanguard Tennis Academy</t>
        </is>
      </c>
      <c r="I626" t="n">
        <v>36.8</v>
      </c>
      <c r="J626" s="4" t="n">
        <v>71</v>
      </c>
      <c r="K626" t="inlineStr">
        <is>
          <t>35 / 36</t>
        </is>
      </c>
      <c r="L626" t="inlineStr">
        <is>
          <t>8 / 9</t>
        </is>
      </c>
      <c r="M626" s="5" t="n">
        <v>0.49</v>
      </c>
      <c r="N626" s="5" t="n">
        <v>0.47</v>
      </c>
    </row>
    <row r="627">
      <c r="A627" t="n">
        <v>626</v>
      </c>
      <c r="B627" t="n">
        <v>2015</v>
      </c>
      <c r="C627" t="inlineStr">
        <is>
          <t>Kenza Rachel Moulayess</t>
        </is>
      </c>
      <c r="D627">
        <f>HYPERLINK("https://ota.tournamentsoftware.com/player-profile/4C943CCE-9912-41DA-95F0-D98F8E86E816", "Link")</f>
        <v/>
      </c>
      <c r="E627" s="3" t="n">
        <v>35.856</v>
      </c>
      <c r="F627" s="4" t="n">
        <v>2</v>
      </c>
      <c r="G627" t="inlineStr">
        <is>
          <t>Tennis Québec</t>
        </is>
      </c>
      <c r="H627" t="inlineStr">
        <is>
          <t>Club Avantage Multi-sports / Académie de tennis Hérisset Bordeleau</t>
        </is>
      </c>
      <c r="I627" t="n">
        <v>33.2</v>
      </c>
      <c r="J627" s="4" t="n">
        <v>26</v>
      </c>
      <c r="K627" t="inlineStr">
        <is>
          <t>19 / 7</t>
        </is>
      </c>
      <c r="L627" t="inlineStr">
        <is>
          <t>0 / 0</t>
        </is>
      </c>
      <c r="M627" s="5" t="n">
        <v>0.73</v>
      </c>
      <c r="N627" s="5" t="n">
        <v>0</v>
      </c>
    </row>
    <row r="628">
      <c r="A628" t="n">
        <v>627</v>
      </c>
      <c r="B628" t="n">
        <v>2016</v>
      </c>
      <c r="C628" t="inlineStr">
        <is>
          <t>Kiara Krishnan</t>
        </is>
      </c>
      <c r="D628">
        <f>HYPERLINK("https://ota.tournamentsoftware.com/player-profile/50D3305E-63D5-4EFB-B53F-B64E463DE26E", "Link")</f>
        <v/>
      </c>
      <c r="E628" s="3" t="n">
        <v>35.737</v>
      </c>
      <c r="F628" s="4" t="n">
        <v>26</v>
      </c>
      <c r="G628" t="inlineStr">
        <is>
          <t>Ontario Tennis Association</t>
        </is>
      </c>
      <c r="H628" t="inlineStr">
        <is>
          <t>Toronto Tennis Academy</t>
        </is>
      </c>
      <c r="I628" t="n">
        <v>38.3</v>
      </c>
      <c r="J628" s="4" t="n">
        <v>244</v>
      </c>
      <c r="K628" t="inlineStr">
        <is>
          <t>96 / 148</t>
        </is>
      </c>
      <c r="L628" t="inlineStr">
        <is>
          <t>9 / 31</t>
        </is>
      </c>
      <c r="M628" s="5" t="n">
        <v>0.39</v>
      </c>
      <c r="N628" s="5" t="n">
        <v>0.23</v>
      </c>
    </row>
    <row r="629">
      <c r="A629" t="n">
        <v>628</v>
      </c>
      <c r="B629" t="n">
        <v>2015</v>
      </c>
      <c r="C629" t="inlineStr">
        <is>
          <t>Victoria Guo</t>
        </is>
      </c>
      <c r="D629">
        <f>HYPERLINK("https://ota.tournamentsoftware.com/player-profile/54FA7561-0327-4A42-A5FE-A5519116069C", "Link")</f>
        <v/>
      </c>
      <c r="E629" s="3" t="n">
        <v>35.632</v>
      </c>
      <c r="F629" s="4" t="n">
        <v>4</v>
      </c>
      <c r="G629" t="inlineStr">
        <is>
          <t>Ontario Tennis Association</t>
        </is>
      </c>
      <c r="H629" t="inlineStr">
        <is>
          <t>Craig Henry</t>
        </is>
      </c>
      <c r="I629" t="n">
        <v>39.3</v>
      </c>
      <c r="J629" s="4" t="n">
        <v>27</v>
      </c>
      <c r="K629" t="inlineStr">
        <is>
          <t>10 / 17</t>
        </is>
      </c>
      <c r="L629" t="inlineStr">
        <is>
          <t>1 / 4</t>
        </is>
      </c>
      <c r="M629" s="5" t="n">
        <v>0.37</v>
      </c>
      <c r="N629" s="5" t="n">
        <v>0.2</v>
      </c>
    </row>
    <row r="630">
      <c r="A630" t="n">
        <v>629</v>
      </c>
      <c r="B630" t="n">
        <v>2013</v>
      </c>
      <c r="C630" t="inlineStr">
        <is>
          <t>Mehak Garg</t>
        </is>
      </c>
      <c r="D630">
        <f>HYPERLINK("https://ota.tournamentsoftware.com/player-profile/2FA47597-FC2B-4F26-80C4-912C2FC70064", "Link")</f>
        <v/>
      </c>
      <c r="E630" s="3" t="n">
        <v>35.51</v>
      </c>
      <c r="F630" s="4" t="n">
        <v>1</v>
      </c>
      <c r="G630" t="inlineStr">
        <is>
          <t>Tennis Saskatchewan</t>
        </is>
      </c>
      <c r="H630" t="inlineStr">
        <is>
          <t>Lakewood Indoor Tennis Centre</t>
        </is>
      </c>
      <c r="I630" t="n">
        <v>36.7</v>
      </c>
      <c r="J630" s="4" t="n">
        <v>9</v>
      </c>
      <c r="K630" t="inlineStr">
        <is>
          <t>3 / 6</t>
        </is>
      </c>
      <c r="L630" t="inlineStr">
        <is>
          <t>3 / 6</t>
        </is>
      </c>
      <c r="M630" s="5" t="n">
        <v>0.33</v>
      </c>
      <c r="N630" s="5" t="n">
        <v>0.33</v>
      </c>
    </row>
    <row r="631">
      <c r="A631" t="n">
        <v>630</v>
      </c>
      <c r="B631" t="n">
        <v>2013</v>
      </c>
      <c r="C631" t="inlineStr">
        <is>
          <t>Anika Surtani</t>
        </is>
      </c>
      <c r="D631">
        <f>HYPERLINK("https://ota.tournamentsoftware.com/player-profile/8434E356-BD3E-4FDA-9513-46F335FD471C", "Link")</f>
        <v/>
      </c>
      <c r="E631" s="3" t="n">
        <v>35.236</v>
      </c>
      <c r="F631" s="4" t="n">
        <v>5</v>
      </c>
      <c r="G631" t="inlineStr">
        <is>
          <t>Ontario Tennis Association</t>
        </is>
      </c>
      <c r="H631" t="inlineStr">
        <is>
          <t>Boulevard Club</t>
        </is>
      </c>
      <c r="I631" t="inlineStr">
        <is>
          <t>unavailable</t>
        </is>
      </c>
      <c r="J631" s="4" t="n">
        <v>16</v>
      </c>
      <c r="K631" t="inlineStr">
        <is>
          <t>4 / 12</t>
        </is>
      </c>
      <c r="L631" t="inlineStr">
        <is>
          <t>2 / 4</t>
        </is>
      </c>
      <c r="M631" s="5" t="n">
        <v>0.25</v>
      </c>
      <c r="N631" s="5" t="n">
        <v>0.33</v>
      </c>
    </row>
    <row r="632">
      <c r="A632" t="n">
        <v>631</v>
      </c>
      <c r="B632" t="n">
        <v>2015</v>
      </c>
      <c r="C632" t="inlineStr">
        <is>
          <t>Nya BLANCHARD</t>
        </is>
      </c>
      <c r="D632">
        <f>HYPERLINK("https://ota.tournamentsoftware.com/player-profile/E8E00722-2274-4657-BCF4-B20EEBB0EB21", "Link")</f>
        <v/>
      </c>
      <c r="E632" s="3" t="n">
        <v>34.903</v>
      </c>
      <c r="F632" s="4" t="n">
        <v>6</v>
      </c>
      <c r="G632" t="inlineStr">
        <is>
          <t>Ontario Tennis Association</t>
        </is>
      </c>
      <c r="H632" t="inlineStr">
        <is>
          <t>Ontario Racquet Club</t>
        </is>
      </c>
      <c r="I632" t="n">
        <v>35.7</v>
      </c>
      <c r="J632" s="4" t="n">
        <v>41</v>
      </c>
      <c r="K632" t="inlineStr">
        <is>
          <t>23 / 18</t>
        </is>
      </c>
      <c r="L632" t="inlineStr">
        <is>
          <t>8 / 7</t>
        </is>
      </c>
      <c r="M632" s="5" t="n">
        <v>0.5600000000000001</v>
      </c>
      <c r="N632" s="5" t="n">
        <v>0.53</v>
      </c>
    </row>
    <row r="633">
      <c r="A633" t="n">
        <v>632</v>
      </c>
      <c r="B633" t="n">
        <v>2012</v>
      </c>
      <c r="C633" t="inlineStr">
        <is>
          <t>Capri Metelitsa</t>
        </is>
      </c>
      <c r="D633">
        <f>HYPERLINK("https://ota.tournamentsoftware.com/player-profile/AD54A68E-D415-4925-B832-8287172FB727", "Link")</f>
        <v/>
      </c>
      <c r="E633" s="3" t="n">
        <v>34.735</v>
      </c>
      <c r="F633" s="4" t="n">
        <v>10</v>
      </c>
      <c r="G633" t="inlineStr">
        <is>
          <t>Tennis Alberta</t>
        </is>
      </c>
      <c r="H633" t="inlineStr">
        <is>
          <t>Aforza</t>
        </is>
      </c>
      <c r="I633" t="n">
        <v>36.4</v>
      </c>
      <c r="J633" s="4" t="n">
        <v>50</v>
      </c>
      <c r="K633" t="inlineStr">
        <is>
          <t>23 / 27</t>
        </is>
      </c>
      <c r="L633" t="inlineStr">
        <is>
          <t>2 / 8</t>
        </is>
      </c>
      <c r="M633" s="5" t="n">
        <v>0.46</v>
      </c>
      <c r="N633" s="5" t="n">
        <v>0.2</v>
      </c>
    </row>
    <row r="634">
      <c r="A634" t="n">
        <v>633</v>
      </c>
      <c r="B634" t="n">
        <v>2015</v>
      </c>
      <c r="C634" t="inlineStr">
        <is>
          <t>Asena Kiamil</t>
        </is>
      </c>
      <c r="D634">
        <f>HYPERLINK("https://ota.tournamentsoftware.com/player-profile/E9A72281-6B76-4B36-9040-E802436447FA", "Link")</f>
        <v/>
      </c>
      <c r="E634" s="3" t="n">
        <v>34.373</v>
      </c>
      <c r="F634" s="4" t="n">
        <v>6</v>
      </c>
      <c r="G634" t="inlineStr">
        <is>
          <t>Ontario Tennis Association</t>
        </is>
      </c>
      <c r="H634" t="inlineStr">
        <is>
          <t>Royal City Tennis Club</t>
        </is>
      </c>
      <c r="I634" t="n">
        <v>37.7</v>
      </c>
      <c r="J634" s="4" t="n">
        <v>84</v>
      </c>
      <c r="K634" t="inlineStr">
        <is>
          <t>45 / 39</t>
        </is>
      </c>
      <c r="L634" t="inlineStr">
        <is>
          <t>3 / 5</t>
        </is>
      </c>
      <c r="M634" s="5" t="n">
        <v>0.54</v>
      </c>
      <c r="N634" s="5" t="n">
        <v>0.38</v>
      </c>
    </row>
    <row r="635">
      <c r="A635" t="n">
        <v>634</v>
      </c>
      <c r="B635" t="n">
        <v>2013</v>
      </c>
      <c r="C635" t="inlineStr">
        <is>
          <t>Lingxi Sun</t>
        </is>
      </c>
      <c r="D635">
        <f>HYPERLINK("https://ota.tournamentsoftware.com/player-profile/09E8E557-02B1-46EF-87E8-A28C42A56E9D", "Link")</f>
        <v/>
      </c>
      <c r="E635" s="3" t="n">
        <v>34.041</v>
      </c>
      <c r="F635" s="4" t="n">
        <v>4</v>
      </c>
      <c r="G635" t="inlineStr">
        <is>
          <t>British Columbia</t>
        </is>
      </c>
      <c r="H635" t="inlineStr">
        <is>
          <t>UBC Tennis Centre</t>
        </is>
      </c>
      <c r="I635" t="n">
        <v>32.4</v>
      </c>
      <c r="J635" s="4" t="n">
        <v>39</v>
      </c>
      <c r="K635" t="inlineStr">
        <is>
          <t>23 / 16</t>
        </is>
      </c>
      <c r="L635" t="inlineStr">
        <is>
          <t>0 / 0</t>
        </is>
      </c>
      <c r="M635" s="5" t="n">
        <v>0.59</v>
      </c>
      <c r="N635" s="5" t="n">
        <v>0</v>
      </c>
    </row>
    <row r="636">
      <c r="A636" t="n">
        <v>635</v>
      </c>
      <c r="B636" t="n">
        <v>2015</v>
      </c>
      <c r="C636" t="inlineStr">
        <is>
          <t>Olivia Mary Hipwell</t>
        </is>
      </c>
      <c r="D636">
        <f>HYPERLINK("https://ota.tournamentsoftware.com/player-profile/1595D3E6-D4CF-4ADE-B136-FD5AC473C7F7", "Link")</f>
        <v/>
      </c>
      <c r="E636" s="3" t="n">
        <v>33.917</v>
      </c>
      <c r="F636" s="4" t="n">
        <v>7</v>
      </c>
      <c r="G636" t="inlineStr">
        <is>
          <t>Ontario Tennis Association</t>
        </is>
      </c>
      <c r="H636" t="inlineStr">
        <is>
          <t>Ontario Racquet Club</t>
        </is>
      </c>
      <c r="I636" t="inlineStr">
        <is>
          <t>unavailable</t>
        </is>
      </c>
      <c r="J636" s="4" t="n">
        <v>79</v>
      </c>
      <c r="K636" t="inlineStr">
        <is>
          <t>28 / 51</t>
        </is>
      </c>
      <c r="L636" t="inlineStr">
        <is>
          <t>4 / 9</t>
        </is>
      </c>
      <c r="M636" s="5" t="n">
        <v>0.35</v>
      </c>
      <c r="N636" s="5" t="n">
        <v>0.31</v>
      </c>
    </row>
    <row r="637">
      <c r="A637" t="n">
        <v>636</v>
      </c>
      <c r="B637" t="n">
        <v>2014</v>
      </c>
      <c r="C637" t="inlineStr">
        <is>
          <t>Georgena Banquicio</t>
        </is>
      </c>
      <c r="D637">
        <f>HYPERLINK("https://ota.tournamentsoftware.com/player-profile/AB3893CF-B68D-4258-893E-E7C3FB601465", "Link")</f>
        <v/>
      </c>
      <c r="E637" s="3" t="n">
        <v>33.663</v>
      </c>
      <c r="F637" s="4" t="n">
        <v>5</v>
      </c>
      <c r="G637" t="inlineStr">
        <is>
          <t>Tennis New Brunswick</t>
        </is>
      </c>
      <c r="H637" t="inlineStr">
        <is>
          <t>Abony Family Tennis Center</t>
        </is>
      </c>
      <c r="I637" t="n">
        <v>37.4</v>
      </c>
      <c r="J637" s="4" t="n">
        <v>72</v>
      </c>
      <c r="K637" t="inlineStr">
        <is>
          <t>34 / 38</t>
        </is>
      </c>
      <c r="L637" t="inlineStr">
        <is>
          <t>2 / 6</t>
        </is>
      </c>
      <c r="M637" s="5" t="n">
        <v>0.47</v>
      </c>
      <c r="N637" s="5" t="n">
        <v>0.25</v>
      </c>
    </row>
    <row r="638">
      <c r="A638" t="n">
        <v>637</v>
      </c>
      <c r="B638" t="n">
        <v>2013</v>
      </c>
      <c r="C638" t="inlineStr">
        <is>
          <t>SOPHIA MARIA TRULESCU</t>
        </is>
      </c>
      <c r="D638">
        <f>HYPERLINK("https://ota.tournamentsoftware.com/player-profile/A41CCD9F-8BEB-4085-842F-8E5A7DA612FF", "Link")</f>
        <v/>
      </c>
      <c r="E638" s="3" t="n">
        <v>33.35</v>
      </c>
      <c r="F638" s="4" t="n">
        <v>2</v>
      </c>
      <c r="G638" t="inlineStr">
        <is>
          <t>Ontario Tennis Association</t>
        </is>
      </c>
      <c r="H638" t="inlineStr">
        <is>
          <t>Rosedale Tennis Club (Hamilton)</t>
        </is>
      </c>
      <c r="I638" t="n">
        <v>34.4</v>
      </c>
      <c r="J638" s="4" t="n">
        <v>55</v>
      </c>
      <c r="K638" t="inlineStr">
        <is>
          <t>41 / 14</t>
        </is>
      </c>
      <c r="L638" t="inlineStr">
        <is>
          <t>4 / 2</t>
        </is>
      </c>
      <c r="M638" s="5" t="n">
        <v>0.75</v>
      </c>
      <c r="N638" s="5" t="n">
        <v>0.67</v>
      </c>
    </row>
    <row r="639">
      <c r="A639" t="n">
        <v>638</v>
      </c>
      <c r="B639" t="n">
        <v>2014</v>
      </c>
      <c r="C639" t="inlineStr">
        <is>
          <t>Victoria Dorvius</t>
        </is>
      </c>
      <c r="D639">
        <f>HYPERLINK("https://ota.tournamentsoftware.com/player-profile/0742AD15-E29E-4761-9ABC-EF929E7499C5", "Link")</f>
        <v/>
      </c>
      <c r="E639" s="3" t="n">
        <v>33.305</v>
      </c>
      <c r="F639" s="4" t="n">
        <v>4</v>
      </c>
      <c r="G639" t="inlineStr">
        <is>
          <t>Tennis Québec</t>
        </is>
      </c>
      <c r="H639" t="inlineStr">
        <is>
          <t>No Club</t>
        </is>
      </c>
      <c r="I639" t="n">
        <v>40</v>
      </c>
      <c r="J639" s="4" t="n">
        <v>8</v>
      </c>
      <c r="K639" t="inlineStr">
        <is>
          <t>0 / 8</t>
        </is>
      </c>
      <c r="L639" t="inlineStr">
        <is>
          <t>0 / 3</t>
        </is>
      </c>
      <c r="M639" s="5" t="n">
        <v>0</v>
      </c>
      <c r="N639" s="5" t="n">
        <v>0</v>
      </c>
    </row>
    <row r="640">
      <c r="A640" t="n">
        <v>639</v>
      </c>
      <c r="B640" t="n">
        <v>2015</v>
      </c>
      <c r="C640" t="inlineStr">
        <is>
          <t>Enlin Fan</t>
        </is>
      </c>
      <c r="D640">
        <f>HYPERLINK("https://ota.tournamentsoftware.com/player-profile/0F38D490-CA76-4A12-BE87-0BAC308EDC74", "Link")</f>
        <v/>
      </c>
      <c r="E640" s="3" t="n">
        <v>32.538</v>
      </c>
      <c r="F640" s="4" t="n">
        <v>6</v>
      </c>
      <c r="G640" t="inlineStr">
        <is>
          <t>British Columbia</t>
        </is>
      </c>
      <c r="H640" t="inlineStr">
        <is>
          <t>The Tennis Centre</t>
        </is>
      </c>
      <c r="I640" t="inlineStr">
        <is>
          <t>unavailable</t>
        </is>
      </c>
      <c r="J640" s="4" t="n">
        <v>93</v>
      </c>
      <c r="K640" t="inlineStr">
        <is>
          <t>42 / 51</t>
        </is>
      </c>
      <c r="L640" t="inlineStr">
        <is>
          <t>7 / 6</t>
        </is>
      </c>
      <c r="M640" s="5" t="n">
        <v>0.45</v>
      </c>
      <c r="N640" s="5" t="n">
        <v>0.54</v>
      </c>
    </row>
    <row r="641">
      <c r="A641" t="n">
        <v>640</v>
      </c>
      <c r="B641" t="n">
        <v>2015</v>
      </c>
      <c r="C641" t="inlineStr">
        <is>
          <t>GAURI BHARDWAJ</t>
        </is>
      </c>
      <c r="D641">
        <f>HYPERLINK("https://ota.tournamentsoftware.com/player-profile/7D0915D9-E26B-4DD0-AA8A-90DD2833C0F8", "Link")</f>
        <v/>
      </c>
      <c r="E641" s="3" t="n">
        <v>32.49</v>
      </c>
      <c r="F641" s="4" t="n">
        <v>6</v>
      </c>
      <c r="G641" t="inlineStr">
        <is>
          <t>Ontario Tennis Association</t>
        </is>
      </c>
      <c r="H641" t="inlineStr">
        <is>
          <t>Premier Racquet Clubs – Mississauga</t>
        </is>
      </c>
      <c r="I641" t="n">
        <v>37.6</v>
      </c>
      <c r="J641" s="4" t="n">
        <v>105</v>
      </c>
      <c r="K641" t="inlineStr">
        <is>
          <t>38 / 67</t>
        </is>
      </c>
      <c r="L641" t="inlineStr">
        <is>
          <t>3 / 3</t>
        </is>
      </c>
      <c r="M641" s="5" t="n">
        <v>0.36</v>
      </c>
      <c r="N641" s="5" t="n">
        <v>0.5</v>
      </c>
    </row>
    <row r="642">
      <c r="A642" t="n">
        <v>641</v>
      </c>
      <c r="B642" t="n">
        <v>2013</v>
      </c>
      <c r="C642" t="inlineStr">
        <is>
          <t>Mengge(Maya) Xu</t>
        </is>
      </c>
      <c r="D642">
        <f>HYPERLINK("https://ota.tournamentsoftware.com/player-profile/9CD6D408-1A72-4E0B-A9C9-DD675B785873", "Link")</f>
        <v/>
      </c>
      <c r="E642" s="3" t="n">
        <v>32.309</v>
      </c>
      <c r="F642" s="4" t="n">
        <v>6</v>
      </c>
      <c r="G642" t="inlineStr">
        <is>
          <t>Ontario Tennis Association</t>
        </is>
      </c>
      <c r="H642" t="inlineStr">
        <is>
          <t>Markham Tennis Club</t>
        </is>
      </c>
      <c r="I642" t="n">
        <v>40</v>
      </c>
      <c r="J642" s="4" t="n">
        <v>22</v>
      </c>
      <c r="K642" t="inlineStr">
        <is>
          <t>7 / 15</t>
        </is>
      </c>
      <c r="L642" t="inlineStr">
        <is>
          <t>2 / 3</t>
        </is>
      </c>
      <c r="M642" s="5" t="n">
        <v>0.32</v>
      </c>
      <c r="N642" s="5" t="n">
        <v>0.4</v>
      </c>
    </row>
    <row r="643">
      <c r="A643" t="n">
        <v>642</v>
      </c>
      <c r="B643" t="n">
        <v>2015</v>
      </c>
      <c r="C643" t="inlineStr">
        <is>
          <t>Piper Harrison</t>
        </is>
      </c>
      <c r="D643">
        <f>HYPERLINK("https://ota.tournamentsoftware.com/player-profile/8FD01254-4DB3-4BFF-A784-65DB87717C42", "Link")</f>
        <v/>
      </c>
      <c r="E643" s="3" t="n">
        <v>31.992</v>
      </c>
      <c r="F643" s="4" t="n">
        <v>7</v>
      </c>
      <c r="G643" t="inlineStr">
        <is>
          <t>Ontario Tennis Association</t>
        </is>
      </c>
      <c r="H643" t="inlineStr">
        <is>
          <t>Boulevard Club</t>
        </is>
      </c>
      <c r="I643" t="n">
        <v>38.6</v>
      </c>
      <c r="J643" s="4" t="n">
        <v>56</v>
      </c>
      <c r="K643" t="inlineStr">
        <is>
          <t>18 / 38</t>
        </is>
      </c>
      <c r="L643" t="inlineStr">
        <is>
          <t>6 / 10</t>
        </is>
      </c>
      <c r="M643" s="5" t="n">
        <v>0.32</v>
      </c>
      <c r="N643" s="5" t="n">
        <v>0.38</v>
      </c>
    </row>
    <row r="644">
      <c r="A644" t="n">
        <v>643</v>
      </c>
      <c r="B644" t="n">
        <v>2012</v>
      </c>
      <c r="C644" t="inlineStr">
        <is>
          <t>Rosalie Lanthier</t>
        </is>
      </c>
      <c r="D644">
        <f>HYPERLINK("https://ota.tournamentsoftware.com/player-profile/7853B67E-AF4D-4FFF-9839-6455ACC0C941", "Link")</f>
        <v/>
      </c>
      <c r="E644" s="3" t="n">
        <v>31.759</v>
      </c>
      <c r="F644" s="4" t="n">
        <v>5</v>
      </c>
      <c r="G644" t="inlineStr">
        <is>
          <t>Tennis Québec</t>
        </is>
      </c>
      <c r="H644" t="inlineStr">
        <is>
          <t>EB Tennis inc.</t>
        </is>
      </c>
      <c r="I644" t="n">
        <v>40</v>
      </c>
      <c r="J644" s="4" t="n">
        <v>15</v>
      </c>
      <c r="K644" t="inlineStr">
        <is>
          <t>1 / 14</t>
        </is>
      </c>
      <c r="L644" t="inlineStr">
        <is>
          <t>0 / 4</t>
        </is>
      </c>
      <c r="M644" s="5" t="n">
        <v>0.07000000000000001</v>
      </c>
      <c r="N644" s="5" t="n">
        <v>0</v>
      </c>
    </row>
    <row r="645">
      <c r="A645" t="n">
        <v>644</v>
      </c>
      <c r="B645" t="n">
        <v>2014</v>
      </c>
      <c r="C645" t="inlineStr">
        <is>
          <t>Sophie Vivienne Ma</t>
        </is>
      </c>
      <c r="D645">
        <f>HYPERLINK("https://ota.tournamentsoftware.com/player-profile/5BFCC3E7-799D-4957-B35C-26164F771CAB", "Link")</f>
        <v/>
      </c>
      <c r="E645" s="3" t="n">
        <v>31.429</v>
      </c>
      <c r="F645" s="4" t="n">
        <v>7</v>
      </c>
      <c r="G645" t="inlineStr">
        <is>
          <t>Ontario Tennis Association</t>
        </is>
      </c>
      <c r="H645" t="inlineStr">
        <is>
          <t>NYTA Winter Tennis Club</t>
        </is>
      </c>
      <c r="I645" t="n">
        <v>39.1</v>
      </c>
      <c r="J645" s="4" t="n">
        <v>50</v>
      </c>
      <c r="K645" t="inlineStr">
        <is>
          <t>16 / 34</t>
        </is>
      </c>
      <c r="L645" t="inlineStr">
        <is>
          <t>1 / 7</t>
        </is>
      </c>
      <c r="M645" s="5" t="n">
        <v>0.32</v>
      </c>
      <c r="N645" s="5" t="n">
        <v>0.12</v>
      </c>
    </row>
    <row r="646">
      <c r="A646" t="n">
        <v>645</v>
      </c>
      <c r="B646" t="n">
        <v>2016</v>
      </c>
      <c r="C646" t="inlineStr">
        <is>
          <t>Talia Petrovski</t>
        </is>
      </c>
      <c r="D646">
        <f>HYPERLINK("https://ota.tournamentsoftware.com/player-profile/85787F1F-708B-4576-AEFA-F82C6105B16E", "Link")</f>
        <v/>
      </c>
      <c r="E646" s="3" t="n">
        <v>31.234</v>
      </c>
      <c r="F646" s="4" t="n">
        <v>16</v>
      </c>
      <c r="G646" t="inlineStr">
        <is>
          <t>British Columbia</t>
        </is>
      </c>
      <c r="H646" t="inlineStr">
        <is>
          <t>Tennis for Life</t>
        </is>
      </c>
      <c r="I646" t="n">
        <v>36</v>
      </c>
      <c r="J646" s="4" t="n">
        <v>137</v>
      </c>
      <c r="K646" t="inlineStr">
        <is>
          <t>77 / 60</t>
        </is>
      </c>
      <c r="L646" t="inlineStr">
        <is>
          <t>47 / 22</t>
        </is>
      </c>
      <c r="M646" s="5" t="n">
        <v>0.5600000000000001</v>
      </c>
      <c r="N646" s="5" t="n">
        <v>0.68</v>
      </c>
    </row>
    <row r="647">
      <c r="A647" t="n">
        <v>646</v>
      </c>
      <c r="B647" t="n">
        <v>2016</v>
      </c>
      <c r="C647" t="inlineStr">
        <is>
          <t>Lily Chen</t>
        </is>
      </c>
      <c r="D647">
        <f>HYPERLINK("https://ota.tournamentsoftware.com/player-profile/A6A0EB19-7DDD-4B25-B81C-FCA911081AB5", "Link")</f>
        <v/>
      </c>
      <c r="E647" s="3" t="n">
        <v>31.117</v>
      </c>
      <c r="F647" s="4" t="n">
        <v>15</v>
      </c>
      <c r="G647" t="inlineStr">
        <is>
          <t>British Columbia</t>
        </is>
      </c>
      <c r="H647" t="inlineStr">
        <is>
          <t>No Club</t>
        </is>
      </c>
      <c r="I647" t="n">
        <v>36.2</v>
      </c>
      <c r="J647" s="4" t="n">
        <v>100</v>
      </c>
      <c r="K647" t="inlineStr">
        <is>
          <t>39 / 61</t>
        </is>
      </c>
      <c r="L647" t="inlineStr">
        <is>
          <t>12 / 18</t>
        </is>
      </c>
      <c r="M647" s="5" t="n">
        <v>0.39</v>
      </c>
      <c r="N647" s="5" t="n">
        <v>0.4</v>
      </c>
    </row>
    <row r="648">
      <c r="A648" t="n">
        <v>647</v>
      </c>
      <c r="B648" t="n">
        <v>2014</v>
      </c>
      <c r="C648" t="inlineStr">
        <is>
          <t>Ignatia Walsh</t>
        </is>
      </c>
      <c r="D648">
        <f>HYPERLINK("https://ota.tournamentsoftware.com/player-profile/AEC8F080-693E-4608-867A-22E590A9E567", "Link")</f>
        <v/>
      </c>
      <c r="E648" s="3" t="n">
        <v>30.526</v>
      </c>
      <c r="F648" s="4" t="n">
        <v>14</v>
      </c>
      <c r="G648" t="inlineStr">
        <is>
          <t>Ontario Tennis Association</t>
        </is>
      </c>
      <c r="H648" t="inlineStr">
        <is>
          <t>Premier Racquet Clubs – Mississauga</t>
        </is>
      </c>
      <c r="I648" t="inlineStr">
        <is>
          <t>unavailable</t>
        </is>
      </c>
      <c r="J648" s="4" t="n">
        <v>53</v>
      </c>
      <c r="K648" t="inlineStr">
        <is>
          <t>13 / 40</t>
        </is>
      </c>
      <c r="L648" t="inlineStr">
        <is>
          <t>6 / 16</t>
        </is>
      </c>
      <c r="M648" s="5" t="n">
        <v>0.25</v>
      </c>
      <c r="N648" s="5" t="n">
        <v>0.27</v>
      </c>
    </row>
    <row r="649">
      <c r="A649" t="n">
        <v>648</v>
      </c>
      <c r="B649" t="n">
        <v>2015</v>
      </c>
      <c r="C649" t="inlineStr">
        <is>
          <t>Ziba Forooghian</t>
        </is>
      </c>
      <c r="D649">
        <f>HYPERLINK("https://ota.tournamentsoftware.com/player-profile/F7878057-CB20-46E1-B220-553040C8AC48", "Link")</f>
        <v/>
      </c>
      <c r="E649" s="3" t="n">
        <v>30.012</v>
      </c>
      <c r="F649" s="4" t="n">
        <v>16</v>
      </c>
      <c r="G649" t="inlineStr">
        <is>
          <t>British Columbia</t>
        </is>
      </c>
      <c r="H649" t="inlineStr">
        <is>
          <t>Arbutus Club</t>
        </is>
      </c>
      <c r="I649" t="n">
        <v>37.5</v>
      </c>
      <c r="J649" s="4" t="n">
        <v>73</v>
      </c>
      <c r="K649" t="inlineStr">
        <is>
          <t>22 / 51</t>
        </is>
      </c>
      <c r="L649" t="inlineStr">
        <is>
          <t>9 / 28</t>
        </is>
      </c>
      <c r="M649" s="5" t="n">
        <v>0.3</v>
      </c>
      <c r="N649" s="5" t="n">
        <v>0.24</v>
      </c>
    </row>
    <row r="650">
      <c r="A650" t="n">
        <v>649</v>
      </c>
      <c r="B650" t="n">
        <v>2015</v>
      </c>
      <c r="C650" t="inlineStr">
        <is>
          <t>Allegra Gill</t>
        </is>
      </c>
      <c r="D650">
        <f>HYPERLINK("https://ota.tournamentsoftware.com/player-profile/74E5B02E-036C-4D6F-B122-5C8FEF79A927", "Link")</f>
        <v/>
      </c>
      <c r="E650" s="3" t="n">
        <v>29.923</v>
      </c>
      <c r="F650" s="4" t="n">
        <v>4</v>
      </c>
      <c r="G650" t="inlineStr">
        <is>
          <t>Ontario Tennis Association</t>
        </is>
      </c>
      <c r="H650" t="inlineStr">
        <is>
          <t>Zekelman Tennis Centre</t>
        </is>
      </c>
      <c r="I650" t="n">
        <v>39.5</v>
      </c>
      <c r="J650" s="4" t="n">
        <v>90</v>
      </c>
      <c r="K650" t="inlineStr">
        <is>
          <t>14 / 76</t>
        </is>
      </c>
      <c r="L650" t="inlineStr">
        <is>
          <t>7 / 14</t>
        </is>
      </c>
      <c r="M650" s="5" t="n">
        <v>0.16</v>
      </c>
      <c r="N650" s="5" t="n">
        <v>0.33</v>
      </c>
    </row>
    <row r="651">
      <c r="A651" t="n">
        <v>650</v>
      </c>
      <c r="B651" t="n">
        <v>2013</v>
      </c>
      <c r="C651" t="inlineStr">
        <is>
          <t>Naia Luke</t>
        </is>
      </c>
      <c r="D651">
        <f>HYPERLINK("https://ota.tournamentsoftware.com/player-profile/E8620DEC-5B72-4D85-9171-1F914B105E62", "Link")</f>
        <v/>
      </c>
      <c r="E651" s="3" t="n">
        <v>29.894</v>
      </c>
      <c r="F651" s="4" t="n">
        <v>4</v>
      </c>
      <c r="G651" t="inlineStr">
        <is>
          <t>British Columbia</t>
        </is>
      </c>
      <c r="H651" t="inlineStr">
        <is>
          <t>Jericho Tennis Club</t>
        </is>
      </c>
      <c r="I651" t="n">
        <v>39.5</v>
      </c>
      <c r="J651" s="4" t="n">
        <v>39</v>
      </c>
      <c r="K651" t="inlineStr">
        <is>
          <t>9 / 30</t>
        </is>
      </c>
      <c r="L651" t="inlineStr">
        <is>
          <t>0 / 5</t>
        </is>
      </c>
      <c r="M651" s="5" t="n">
        <v>0.23</v>
      </c>
      <c r="N651" s="5" t="n">
        <v>0</v>
      </c>
    </row>
    <row r="652">
      <c r="A652" t="n">
        <v>651</v>
      </c>
      <c r="B652" t="n">
        <v>2016</v>
      </c>
      <c r="C652" t="inlineStr">
        <is>
          <t>Eliana Gamboa Puentevella</t>
        </is>
      </c>
      <c r="D652">
        <f>HYPERLINK("https://ota.tournamentsoftware.com/player-profile/F092EBD2-5997-4E03-AED5-C7E2E614192B", "Link")</f>
        <v/>
      </c>
      <c r="E652" s="3" t="n">
        <v>29.689</v>
      </c>
      <c r="F652" s="4" t="n">
        <v>9</v>
      </c>
      <c r="G652" t="inlineStr">
        <is>
          <t>British Columbia</t>
        </is>
      </c>
      <c r="H652" t="inlineStr">
        <is>
          <t>Suncoast Racquet Club</t>
        </is>
      </c>
      <c r="I652" t="n">
        <v>37.2</v>
      </c>
      <c r="J652" s="4" t="n">
        <v>120</v>
      </c>
      <c r="K652" t="inlineStr">
        <is>
          <t>57 / 63</t>
        </is>
      </c>
      <c r="L652" t="inlineStr">
        <is>
          <t>27 / 19</t>
        </is>
      </c>
      <c r="M652" s="5" t="n">
        <v>0.47</v>
      </c>
      <c r="N652" s="5" t="n">
        <v>0.59</v>
      </c>
    </row>
    <row r="653">
      <c r="A653" t="n">
        <v>652</v>
      </c>
      <c r="B653" t="n">
        <v>2016</v>
      </c>
      <c r="C653" t="inlineStr">
        <is>
          <t>Chloe Garikimukkula</t>
        </is>
      </c>
      <c r="D653">
        <f>HYPERLINK("https://ota.tournamentsoftware.com/player-profile/8B630DA5-F61E-4159-9316-7EA463790908", "Link")</f>
        <v/>
      </c>
      <c r="E653" s="3" t="n">
        <v>29.448</v>
      </c>
      <c r="F653" s="4" t="n">
        <v>8</v>
      </c>
      <c r="G653" t="inlineStr">
        <is>
          <t>Ontario Tennis Association</t>
        </is>
      </c>
      <c r="H653" t="inlineStr">
        <is>
          <t>Burlington Tennis Club</t>
        </is>
      </c>
      <c r="I653" t="n">
        <v>36.9</v>
      </c>
      <c r="J653" s="4" t="n">
        <v>96</v>
      </c>
      <c r="K653" t="inlineStr">
        <is>
          <t>57 / 39</t>
        </is>
      </c>
      <c r="L653" t="inlineStr">
        <is>
          <t>38 / 24</t>
        </is>
      </c>
      <c r="M653" s="5" t="n">
        <v>0.59</v>
      </c>
      <c r="N653" s="5" t="n">
        <v>0.61</v>
      </c>
    </row>
    <row r="654">
      <c r="A654" t="n">
        <v>653</v>
      </c>
      <c r="B654" t="n">
        <v>2012</v>
      </c>
      <c r="C654" t="inlineStr">
        <is>
          <t>Remy Quinn Durocher</t>
        </is>
      </c>
      <c r="D654">
        <f>HYPERLINK("https://ota.tournamentsoftware.com/player-profile/64BF8C80-3EDB-464A-896D-5D47CC387451", "Link")</f>
        <v/>
      </c>
      <c r="E654" s="3" t="n">
        <v>29.376</v>
      </c>
      <c r="F654" s="4" t="n">
        <v>1</v>
      </c>
      <c r="G654" t="inlineStr">
        <is>
          <t>Tennis Prince Edward Island</t>
        </is>
      </c>
      <c r="H654" t="inlineStr">
        <is>
          <t>Stratford Tennis Club</t>
        </is>
      </c>
      <c r="I654" t="n">
        <v>40</v>
      </c>
      <c r="J654" s="4" t="n">
        <v>8</v>
      </c>
      <c r="K654" t="inlineStr">
        <is>
          <t>1 / 7</t>
        </is>
      </c>
      <c r="L654" t="inlineStr">
        <is>
          <t>0 / 2</t>
        </is>
      </c>
      <c r="M654" s="5" t="n">
        <v>0.12</v>
      </c>
      <c r="N654" s="5" t="n">
        <v>0</v>
      </c>
    </row>
    <row r="655">
      <c r="A655" t="n">
        <v>654</v>
      </c>
      <c r="B655" t="n">
        <v>2013</v>
      </c>
      <c r="C655" t="inlineStr">
        <is>
          <t>Brooklyn Desjardins</t>
        </is>
      </c>
      <c r="D655">
        <f>HYPERLINK("https://ota.tournamentsoftware.com/player-profile/EDCAF363-81B5-4378-83DC-E36CD3ACC539", "Link")</f>
        <v/>
      </c>
      <c r="E655" s="3" t="n">
        <v>29.163</v>
      </c>
      <c r="F655" s="4" t="n">
        <v>4</v>
      </c>
      <c r="G655" t="inlineStr">
        <is>
          <t>Tennis Québec</t>
        </is>
      </c>
      <c r="H655" t="inlineStr">
        <is>
          <t>Club Sportif Côte-de-Liesse</t>
        </is>
      </c>
      <c r="I655" t="n">
        <v>37.7</v>
      </c>
      <c r="J655" s="4" t="n">
        <v>49</v>
      </c>
      <c r="K655" t="inlineStr">
        <is>
          <t>19 / 30</t>
        </is>
      </c>
      <c r="L655" t="inlineStr">
        <is>
          <t>0 / 0</t>
        </is>
      </c>
      <c r="M655" s="5" t="n">
        <v>0.39</v>
      </c>
      <c r="N655" s="5" t="n">
        <v>0</v>
      </c>
    </row>
    <row r="656">
      <c r="A656" t="n">
        <v>655</v>
      </c>
      <c r="B656" t="n">
        <v>2016</v>
      </c>
      <c r="C656" t="inlineStr">
        <is>
          <t>Madison Dionne</t>
        </is>
      </c>
      <c r="D656">
        <f>HYPERLINK("https://ota.tournamentsoftware.com/player-profile/E7A43ABD-96E4-46C3-84A5-BAF14D846E4C", "Link")</f>
        <v/>
      </c>
      <c r="E656" s="3" t="n">
        <v>29.157</v>
      </c>
      <c r="F656" s="4" t="n">
        <v>6</v>
      </c>
      <c r="G656" t="inlineStr">
        <is>
          <t>Ontario Tennis Association</t>
        </is>
      </c>
      <c r="H656" t="inlineStr">
        <is>
          <t>Ontario Racquet Club</t>
        </is>
      </c>
      <c r="I656" t="n">
        <v>37.3</v>
      </c>
      <c r="J656" s="4" t="n">
        <v>94</v>
      </c>
      <c r="K656" t="inlineStr">
        <is>
          <t>28 / 66</t>
        </is>
      </c>
      <c r="L656" t="inlineStr">
        <is>
          <t>12 / 12</t>
        </is>
      </c>
      <c r="M656" s="5" t="n">
        <v>0.3</v>
      </c>
      <c r="N656" s="5" t="n">
        <v>0.5</v>
      </c>
    </row>
    <row r="657">
      <c r="A657" t="n">
        <v>656</v>
      </c>
      <c r="B657" t="n">
        <v>2015</v>
      </c>
      <c r="C657" t="inlineStr">
        <is>
          <t>Iris RuiYing Cen</t>
        </is>
      </c>
      <c r="D657">
        <f>HYPERLINK("https://ota.tournamentsoftware.com/player-profile/D53FD847-C5AE-41A6-BFB8-EE8B251EDFBF", "Link")</f>
        <v/>
      </c>
      <c r="E657" s="3" t="n">
        <v>29.111</v>
      </c>
      <c r="F657" s="4" t="n">
        <v>7</v>
      </c>
      <c r="G657" t="inlineStr">
        <is>
          <t>Ontario Tennis Association</t>
        </is>
      </c>
      <c r="H657" t="inlineStr">
        <is>
          <t>Meadowvale West Tennis Club</t>
        </is>
      </c>
      <c r="I657" t="n">
        <v>38.1</v>
      </c>
      <c r="J657" s="4" t="n">
        <v>77</v>
      </c>
      <c r="K657" t="inlineStr">
        <is>
          <t>20 / 57</t>
        </is>
      </c>
      <c r="L657" t="inlineStr">
        <is>
          <t>2 / 4</t>
        </is>
      </c>
      <c r="M657" s="5" t="n">
        <v>0.26</v>
      </c>
      <c r="N657" s="5" t="n">
        <v>0.33</v>
      </c>
    </row>
    <row r="658">
      <c r="A658" t="n">
        <v>657</v>
      </c>
      <c r="B658" t="n">
        <v>2013</v>
      </c>
      <c r="C658" t="inlineStr">
        <is>
          <t>TIFFANY ZHENG</t>
        </is>
      </c>
      <c r="D658">
        <f>HYPERLINK("https://ota.tournamentsoftware.com/player-profile/59B34621-D499-450A-BDB3-B38C363BEAD1", "Link")</f>
        <v/>
      </c>
      <c r="E658" s="3" t="n">
        <v>28.481</v>
      </c>
      <c r="F658" s="4" t="n">
        <v>1</v>
      </c>
      <c r="G658" t="inlineStr">
        <is>
          <t>Ontario Tennis Association</t>
        </is>
      </c>
      <c r="H658" t="inlineStr">
        <is>
          <t>Carleton Tennis Centre</t>
        </is>
      </c>
      <c r="I658" t="n">
        <v>34</v>
      </c>
      <c r="J658" s="4" t="n">
        <v>1</v>
      </c>
      <c r="K658" t="inlineStr">
        <is>
          <t>1 / 0</t>
        </is>
      </c>
      <c r="L658" t="inlineStr">
        <is>
          <t>1 / 0</t>
        </is>
      </c>
      <c r="M658" s="5" t="n">
        <v>1</v>
      </c>
      <c r="N658" s="5" t="n">
        <v>1</v>
      </c>
    </row>
    <row r="659">
      <c r="A659" t="n">
        <v>658</v>
      </c>
      <c r="B659" t="n">
        <v>2013</v>
      </c>
      <c r="C659" t="inlineStr">
        <is>
          <t>Meryem Besri Besri</t>
        </is>
      </c>
      <c r="D659">
        <f>HYPERLINK("https://ota.tournamentsoftware.com/player-profile/24E638E5-93ED-46F3-95E6-F944EA4EAAE7", "Link")</f>
        <v/>
      </c>
      <c r="E659" s="3" t="n">
        <v>28.425</v>
      </c>
      <c r="F659" s="4" t="n">
        <v>3</v>
      </c>
      <c r="G659" t="inlineStr">
        <is>
          <t>Tennis Alberta</t>
        </is>
      </c>
      <c r="H659" t="inlineStr">
        <is>
          <t>Calgary - Public</t>
        </is>
      </c>
      <c r="I659" t="n">
        <v>32</v>
      </c>
      <c r="J659" s="4" t="n">
        <v>6</v>
      </c>
      <c r="K659" t="inlineStr">
        <is>
          <t>3 / 3</t>
        </is>
      </c>
      <c r="L659" t="inlineStr">
        <is>
          <t>3 / 3</t>
        </is>
      </c>
      <c r="M659" s="5" t="n">
        <v>0.5</v>
      </c>
      <c r="N659" s="5" t="n">
        <v>0.5</v>
      </c>
    </row>
    <row r="660">
      <c r="A660" t="n">
        <v>659</v>
      </c>
      <c r="B660" t="n">
        <v>2016</v>
      </c>
      <c r="C660" t="inlineStr">
        <is>
          <t>Flora Ziyue Wang</t>
        </is>
      </c>
      <c r="D660">
        <f>HYPERLINK("https://ota.tournamentsoftware.com/player-profile/65435931-BBD0-46BD-839E-4188787640BE", "Link")</f>
        <v/>
      </c>
      <c r="E660" s="3" t="n">
        <v>28.368</v>
      </c>
      <c r="F660" s="4" t="n">
        <v>6</v>
      </c>
      <c r="G660" t="inlineStr">
        <is>
          <t>Ontario Tennis Association</t>
        </is>
      </c>
      <c r="H660" t="inlineStr">
        <is>
          <t>Unionville Tennis Club</t>
        </is>
      </c>
      <c r="I660" t="n">
        <v>35.1</v>
      </c>
      <c r="J660" s="4" t="n">
        <v>81</v>
      </c>
      <c r="K660" t="inlineStr">
        <is>
          <t>42 / 39</t>
        </is>
      </c>
      <c r="L660" t="inlineStr">
        <is>
          <t>15 / 8</t>
        </is>
      </c>
      <c r="M660" s="5" t="n">
        <v>0.52</v>
      </c>
      <c r="N660" s="5" t="n">
        <v>0.65</v>
      </c>
    </row>
    <row r="661">
      <c r="A661" t="n">
        <v>660</v>
      </c>
      <c r="B661" t="n">
        <v>2016</v>
      </c>
      <c r="C661" t="inlineStr">
        <is>
          <t>Ama Marie Elvira Kouadio</t>
        </is>
      </c>
      <c r="D661">
        <f>HYPERLINK("https://ota.tournamentsoftware.com/player-profile/25362040-6649-44FF-A97B-DDFA8FFF0B73", "Link")</f>
        <v/>
      </c>
      <c r="E661" s="3" t="n">
        <v>27.991</v>
      </c>
      <c r="F661" s="4" t="n">
        <v>3</v>
      </c>
      <c r="G661" t="inlineStr">
        <is>
          <t>Tennis Québec</t>
        </is>
      </c>
      <c r="H661" t="inlineStr">
        <is>
          <t>Carrefour Multisports</t>
        </is>
      </c>
      <c r="I661" t="n">
        <v>34.4</v>
      </c>
      <c r="J661" s="4" t="n">
        <v>65</v>
      </c>
      <c r="K661" t="inlineStr">
        <is>
          <t>41 / 24</t>
        </is>
      </c>
      <c r="L661" t="inlineStr">
        <is>
          <t>5 / 4</t>
        </is>
      </c>
      <c r="M661" s="5" t="n">
        <v>0.63</v>
      </c>
      <c r="N661" s="5" t="n">
        <v>0.5600000000000001</v>
      </c>
    </row>
    <row r="662">
      <c r="A662" t="n">
        <v>661</v>
      </c>
      <c r="B662" t="n">
        <v>2013</v>
      </c>
      <c r="C662" t="inlineStr">
        <is>
          <t>Phoebe Xu</t>
        </is>
      </c>
      <c r="D662">
        <f>HYPERLINK("https://ota.tournamentsoftware.com/player-profile/278C7B40-F6F9-4402-A8BF-F8069FAF9612", "Link")</f>
        <v/>
      </c>
      <c r="E662" s="3" t="n">
        <v>27.864</v>
      </c>
      <c r="F662" s="4" t="n">
        <v>2</v>
      </c>
      <c r="G662" t="inlineStr">
        <is>
          <t>Ontario Tennis Association</t>
        </is>
      </c>
      <c r="H662" t="inlineStr">
        <is>
          <t>Sandy Beach Tennis Club</t>
        </is>
      </c>
      <c r="I662" t="n">
        <v>32</v>
      </c>
      <c r="J662" s="4" t="n">
        <v>89</v>
      </c>
      <c r="K662" t="inlineStr">
        <is>
          <t>50 / 39</t>
        </is>
      </c>
      <c r="L662" t="inlineStr">
        <is>
          <t>1 / 1</t>
        </is>
      </c>
      <c r="M662" s="5" t="n">
        <v>0.5600000000000001</v>
      </c>
      <c r="N662" s="5" t="n">
        <v>0.5</v>
      </c>
    </row>
    <row r="663">
      <c r="A663" t="n">
        <v>662</v>
      </c>
      <c r="B663" t="n">
        <v>2013</v>
      </c>
      <c r="C663" t="inlineStr">
        <is>
          <t>Hengxi Celine Du</t>
        </is>
      </c>
      <c r="D663">
        <f>HYPERLINK("https://ota.tournamentsoftware.com/player-profile/7011B5E4-06D4-4830-95A3-18CF46BE4ED0", "Link")</f>
        <v/>
      </c>
      <c r="E663" s="3" t="n">
        <v>27.72</v>
      </c>
      <c r="F663" s="4" t="n">
        <v>1</v>
      </c>
      <c r="G663" t="inlineStr">
        <is>
          <t>Ontario Tennis Association</t>
        </is>
      </c>
      <c r="H663" t="inlineStr">
        <is>
          <t>Premier Racquet Clubs – Mississauga</t>
        </is>
      </c>
      <c r="I663" t="inlineStr">
        <is>
          <t>unavailable</t>
        </is>
      </c>
      <c r="J663" s="4" t="n">
        <v>19</v>
      </c>
      <c r="K663" t="inlineStr">
        <is>
          <t>6 / 13</t>
        </is>
      </c>
      <c r="L663" t="inlineStr">
        <is>
          <t>5 / 6</t>
        </is>
      </c>
      <c r="M663" s="5" t="n">
        <v>0.32</v>
      </c>
      <c r="N663" s="5" t="n">
        <v>0.45</v>
      </c>
    </row>
    <row r="664">
      <c r="A664" t="n">
        <v>663</v>
      </c>
      <c r="B664" t="n">
        <v>2015</v>
      </c>
      <c r="C664" t="inlineStr">
        <is>
          <t>Parine Jani</t>
        </is>
      </c>
      <c r="D664">
        <f>HYPERLINK("https://ota.tournamentsoftware.com/player-profile/DEF6C92A-14C0-4DEB-A4E3-22B40C75E14A", "Link")</f>
        <v/>
      </c>
      <c r="E664" s="3" t="n">
        <v>27.46</v>
      </c>
      <c r="F664" s="4" t="n">
        <v>4</v>
      </c>
      <c r="G664" t="inlineStr">
        <is>
          <t>Ontario Tennis Association</t>
        </is>
      </c>
      <c r="H664" t="inlineStr">
        <is>
          <t>Unionville Tennis Club</t>
        </is>
      </c>
      <c r="I664" t="n">
        <v>40</v>
      </c>
      <c r="J664" s="4" t="n">
        <v>42</v>
      </c>
      <c r="K664" t="inlineStr">
        <is>
          <t>7 / 35</t>
        </is>
      </c>
      <c r="L664" t="inlineStr">
        <is>
          <t>1 / 10</t>
        </is>
      </c>
      <c r="M664" s="5" t="n">
        <v>0.17</v>
      </c>
      <c r="N664" s="5" t="n">
        <v>0.09</v>
      </c>
    </row>
    <row r="665">
      <c r="A665" t="n">
        <v>664</v>
      </c>
      <c r="B665" t="n">
        <v>2012</v>
      </c>
      <c r="C665" t="inlineStr">
        <is>
          <t>Emma Gao</t>
        </is>
      </c>
      <c r="D665">
        <f>HYPERLINK("https://ota.tournamentsoftware.com/player-profile/C88BC343-3DFB-493C-85F2-14F8A90F6D68", "Link")</f>
        <v/>
      </c>
      <c r="E665" s="3" t="n">
        <v>27.439</v>
      </c>
      <c r="F665" s="4" t="n">
        <v>3</v>
      </c>
      <c r="G665" t="inlineStr">
        <is>
          <t>British Columbia</t>
        </is>
      </c>
      <c r="H665" t="inlineStr">
        <is>
          <t>Tennis for Life</t>
        </is>
      </c>
      <c r="I665" t="inlineStr">
        <is>
          <t>unavailable</t>
        </is>
      </c>
      <c r="J665" s="4" t="n">
        <v>33</v>
      </c>
      <c r="K665" t="inlineStr">
        <is>
          <t>9 / 24</t>
        </is>
      </c>
      <c r="L665" t="inlineStr">
        <is>
          <t>0 / 5</t>
        </is>
      </c>
      <c r="M665" s="5" t="n">
        <v>0.27</v>
      </c>
      <c r="N665" s="5" t="n">
        <v>0</v>
      </c>
    </row>
    <row r="666">
      <c r="A666" t="n">
        <v>665</v>
      </c>
      <c r="B666" t="n">
        <v>2012</v>
      </c>
      <c r="C666" t="inlineStr">
        <is>
          <t>Adelaide Morgan</t>
        </is>
      </c>
      <c r="D666">
        <f>HYPERLINK("https://ota.tournamentsoftware.com/player-profile/349677AB-87B2-407B-BDFF-04EE8550EE87", "Link")</f>
        <v/>
      </c>
      <c r="E666" s="3" t="n">
        <v>27.259</v>
      </c>
      <c r="F666" s="4" t="n">
        <v>2</v>
      </c>
      <c r="G666" t="inlineStr">
        <is>
          <t>Ontario Tennis Association</t>
        </is>
      </c>
      <c r="H666" t="inlineStr">
        <is>
          <t>Eglinton Flats Winter Tennis Club</t>
        </is>
      </c>
      <c r="I666" t="inlineStr">
        <is>
          <t>unavailable</t>
        </is>
      </c>
      <c r="J666" s="4" t="n">
        <v>15</v>
      </c>
      <c r="K666" t="inlineStr">
        <is>
          <t>5 / 10</t>
        </is>
      </c>
      <c r="L666" t="inlineStr">
        <is>
          <t>0 / 4</t>
        </is>
      </c>
      <c r="M666" s="5" t="n">
        <v>0.33</v>
      </c>
      <c r="N666" s="5" t="n">
        <v>0</v>
      </c>
    </row>
    <row r="667">
      <c r="A667" t="n">
        <v>666</v>
      </c>
      <c r="B667" t="n">
        <v>2012</v>
      </c>
      <c r="C667" t="inlineStr">
        <is>
          <t>Tallulah Oakes</t>
        </is>
      </c>
      <c r="D667">
        <f>HYPERLINK("https://ota.tournamentsoftware.com/player-profile/B5372F0A-C15A-4DDD-A97C-9E3BACE4A05E", "Link")</f>
        <v/>
      </c>
      <c r="E667" s="3" t="n">
        <v>26.613</v>
      </c>
      <c r="F667" s="4" t="n">
        <v>2</v>
      </c>
      <c r="G667" t="inlineStr">
        <is>
          <t>British Columbia</t>
        </is>
      </c>
      <c r="H667" t="inlineStr">
        <is>
          <t>Hollyburn Country Club</t>
        </is>
      </c>
      <c r="I667" t="n">
        <v>35.3</v>
      </c>
      <c r="J667" s="4" t="n">
        <v>72</v>
      </c>
      <c r="K667" t="inlineStr">
        <is>
          <t>27 / 45</t>
        </is>
      </c>
      <c r="L667" t="inlineStr">
        <is>
          <t>1 / 2</t>
        </is>
      </c>
      <c r="M667" s="5" t="n">
        <v>0.38</v>
      </c>
      <c r="N667" s="5" t="n">
        <v>0.33</v>
      </c>
    </row>
    <row r="668">
      <c r="A668" t="n">
        <v>667</v>
      </c>
      <c r="B668" t="n">
        <v>2012</v>
      </c>
      <c r="C668" t="inlineStr">
        <is>
          <t>Kira Karstoff</t>
        </is>
      </c>
      <c r="D668">
        <f>HYPERLINK("https://ota.tournamentsoftware.com/player-profile/1755679B-A50B-4F8F-B603-0578043F7638", "Link")</f>
        <v/>
      </c>
      <c r="E668" s="3" t="n">
        <v>26.611</v>
      </c>
      <c r="F668" s="4" t="n">
        <v>2</v>
      </c>
      <c r="G668" t="inlineStr">
        <is>
          <t>Ontario Tennis Association</t>
        </is>
      </c>
      <c r="H668" t="inlineStr">
        <is>
          <t>Toronto Cricket Skating &amp; Curling</t>
        </is>
      </c>
      <c r="I668" t="inlineStr">
        <is>
          <t>unavailable</t>
        </is>
      </c>
      <c r="J668" s="4" t="n">
        <v>48</v>
      </c>
      <c r="K668" t="inlineStr">
        <is>
          <t>21 / 27</t>
        </is>
      </c>
      <c r="L668" t="inlineStr">
        <is>
          <t>2 / 4</t>
        </is>
      </c>
      <c r="M668" s="5" t="n">
        <v>0.44</v>
      </c>
      <c r="N668" s="5" t="n">
        <v>0.33</v>
      </c>
    </row>
    <row r="669">
      <c r="A669" t="n">
        <v>668</v>
      </c>
      <c r="B669" t="n">
        <v>2013</v>
      </c>
      <c r="C669" t="inlineStr">
        <is>
          <t>Mayssa Maddouri</t>
        </is>
      </c>
      <c r="D669">
        <f>HYPERLINK("https://ota.tournamentsoftware.com/player-profile/911D4DB6-C985-4A43-8264-359A0386F2C5", "Link")</f>
        <v/>
      </c>
      <c r="E669" s="3" t="n">
        <v>26.568</v>
      </c>
      <c r="F669" s="4" t="n">
        <v>2</v>
      </c>
      <c r="G669" t="inlineStr">
        <is>
          <t>Tennis Québec</t>
        </is>
      </c>
      <c r="H669" t="inlineStr">
        <is>
          <t>EB Tennis inc.</t>
        </is>
      </c>
      <c r="I669" t="inlineStr">
        <is>
          <t>unavailable</t>
        </is>
      </c>
      <c r="J669" s="4" t="n">
        <v>3</v>
      </c>
      <c r="K669" t="inlineStr">
        <is>
          <t>0 / 3</t>
        </is>
      </c>
      <c r="L669" t="inlineStr">
        <is>
          <t>0 / 3</t>
        </is>
      </c>
      <c r="M669" s="5" t="n">
        <v>0</v>
      </c>
      <c r="N669" s="5" t="n">
        <v>0</v>
      </c>
    </row>
    <row r="670">
      <c r="A670" t="n">
        <v>669</v>
      </c>
      <c r="B670" t="n">
        <v>2012</v>
      </c>
      <c r="C670" t="inlineStr">
        <is>
          <t>Erica Amy Els</t>
        </is>
      </c>
      <c r="D670">
        <f>HYPERLINK("https://ota.tournamentsoftware.com/player-profile/2D6CC49A-BAE5-4768-9244-8FB4F1D2CABC", "Link")</f>
        <v/>
      </c>
      <c r="E670" s="3" t="n">
        <v>26.417</v>
      </c>
      <c r="F670" s="4" t="n">
        <v>5</v>
      </c>
      <c r="G670" t="inlineStr">
        <is>
          <t>Tennis Alberta</t>
        </is>
      </c>
      <c r="H670" t="inlineStr">
        <is>
          <t>No Club</t>
        </is>
      </c>
      <c r="I670" t="n">
        <v>39.2</v>
      </c>
      <c r="J670" s="4" t="n">
        <v>9</v>
      </c>
      <c r="K670" t="inlineStr">
        <is>
          <t>1 / 8</t>
        </is>
      </c>
      <c r="L670" t="inlineStr">
        <is>
          <t>1 / 8</t>
        </is>
      </c>
      <c r="M670" s="5" t="n">
        <v>0.11</v>
      </c>
      <c r="N670" s="5" t="n">
        <v>0.11</v>
      </c>
    </row>
    <row r="671">
      <c r="A671" t="n">
        <v>670</v>
      </c>
      <c r="B671" t="n">
        <v>2014</v>
      </c>
      <c r="C671" t="inlineStr">
        <is>
          <t>Audrey Lu</t>
        </is>
      </c>
      <c r="D671">
        <f>HYPERLINK("https://ota.tournamentsoftware.com/player-profile/01588371-7322-467B-AA75-DDD8230D1899", "Link")</f>
        <v/>
      </c>
      <c r="E671" s="3" t="n">
        <v>26.154</v>
      </c>
      <c r="F671" s="4" t="n">
        <v>6</v>
      </c>
      <c r="G671" t="inlineStr">
        <is>
          <t>Ontario Tennis Association</t>
        </is>
      </c>
      <c r="H671" t="inlineStr">
        <is>
          <t>Toronto Cricket Skating &amp; Curling</t>
        </is>
      </c>
      <c r="I671" t="inlineStr">
        <is>
          <t>unavailable</t>
        </is>
      </c>
      <c r="J671" s="4" t="n">
        <v>24</v>
      </c>
      <c r="K671" t="inlineStr">
        <is>
          <t>10 / 14</t>
        </is>
      </c>
      <c r="L671" t="inlineStr">
        <is>
          <t>10 / 11</t>
        </is>
      </c>
      <c r="M671" s="5" t="n">
        <v>0.42</v>
      </c>
      <c r="N671" s="5" t="n">
        <v>0.48</v>
      </c>
    </row>
    <row r="672">
      <c r="A672" t="n">
        <v>671</v>
      </c>
      <c r="B672" t="n">
        <v>2017</v>
      </c>
      <c r="C672" t="inlineStr">
        <is>
          <t>Anastasia Savtchenko</t>
        </is>
      </c>
      <c r="D672">
        <f>HYPERLINK("https://ota.tournamentsoftware.com/player-profile/FF881545-63C4-4D7F-B9E4-0A8D65FB9607", "Link")</f>
        <v/>
      </c>
      <c r="E672" s="3" t="n">
        <v>25.92</v>
      </c>
      <c r="F672" s="4" t="n">
        <v>5</v>
      </c>
      <c r="G672" t="inlineStr">
        <is>
          <t>Ontario Tennis Association</t>
        </is>
      </c>
      <c r="H672" t="inlineStr">
        <is>
          <t>Valan Tennis Academy</t>
        </is>
      </c>
      <c r="I672" t="inlineStr">
        <is>
          <t>unavailable</t>
        </is>
      </c>
      <c r="J672" s="4" t="n">
        <v>91</v>
      </c>
      <c r="K672" t="inlineStr">
        <is>
          <t>51 / 40</t>
        </is>
      </c>
      <c r="L672" t="inlineStr">
        <is>
          <t>15 / 11</t>
        </is>
      </c>
      <c r="M672" s="5" t="n">
        <v>0.5600000000000001</v>
      </c>
      <c r="N672" s="5" t="n">
        <v>0.58</v>
      </c>
    </row>
    <row r="673">
      <c r="A673" t="n">
        <v>672</v>
      </c>
      <c r="B673" t="n">
        <v>2015</v>
      </c>
      <c r="C673" t="inlineStr">
        <is>
          <t>Charlotte Harvey</t>
        </is>
      </c>
      <c r="D673">
        <f>HYPERLINK("https://ota.tournamentsoftware.com/player-profile/222A5F1C-DAD0-4E2A-B035-6A15561C1E0A", "Link")</f>
        <v/>
      </c>
      <c r="E673" s="3" t="n">
        <v>25.848</v>
      </c>
      <c r="F673" s="4" t="n">
        <v>3</v>
      </c>
      <c r="G673" t="inlineStr">
        <is>
          <t>Tennis Québec</t>
        </is>
      </c>
      <c r="H673" t="inlineStr">
        <is>
          <t>Les Tennis de Rimouski (intérieur)</t>
        </is>
      </c>
      <c r="I673" t="n">
        <v>36.8</v>
      </c>
      <c r="J673" s="4" t="n">
        <v>11</v>
      </c>
      <c r="K673" t="inlineStr">
        <is>
          <t>6 / 5</t>
        </is>
      </c>
      <c r="L673" t="inlineStr">
        <is>
          <t>4 / 4</t>
        </is>
      </c>
      <c r="M673" s="5" t="n">
        <v>0.55</v>
      </c>
      <c r="N673" s="5" t="n">
        <v>0.5</v>
      </c>
    </row>
    <row r="674">
      <c r="A674" t="n">
        <v>673</v>
      </c>
      <c r="B674" t="n">
        <v>2012</v>
      </c>
      <c r="C674" t="inlineStr">
        <is>
          <t>Harper Van Beveren</t>
        </is>
      </c>
      <c r="D674">
        <f>HYPERLINK("https://ota.tournamentsoftware.com/player-profile/5981FBA6-1FF9-4CF8-8DE2-DDB8BFEA4094", "Link")</f>
        <v/>
      </c>
      <c r="E674" s="3" t="n">
        <v>25.531</v>
      </c>
      <c r="F674" s="4" t="n">
        <v>2</v>
      </c>
      <c r="G674" t="inlineStr">
        <is>
          <t>Ontario Tennis Association</t>
        </is>
      </c>
      <c r="H674" t="inlineStr">
        <is>
          <t>Rosedale Tennis Club (Hamilton)</t>
        </is>
      </c>
      <c r="I674" t="inlineStr">
        <is>
          <t>unavailable</t>
        </is>
      </c>
      <c r="J674" s="4" t="n">
        <v>16</v>
      </c>
      <c r="K674" t="inlineStr">
        <is>
          <t>5 / 11</t>
        </is>
      </c>
      <c r="L674" t="inlineStr">
        <is>
          <t>1 / 1</t>
        </is>
      </c>
      <c r="M674" s="5" t="n">
        <v>0.31</v>
      </c>
      <c r="N674" s="5" t="n">
        <v>0.5</v>
      </c>
    </row>
    <row r="675">
      <c r="A675" t="n">
        <v>674</v>
      </c>
      <c r="B675" t="n">
        <v>2013</v>
      </c>
      <c r="C675" t="inlineStr">
        <is>
          <t>Robin Lee</t>
        </is>
      </c>
      <c r="D675">
        <f>HYPERLINK("https://ota.tournamentsoftware.com/player-profile/0DB12770-F2FF-469C-87ED-5B5A242C6A08", "Link")</f>
        <v/>
      </c>
      <c r="E675" s="3" t="n">
        <v>25.431</v>
      </c>
      <c r="F675" s="4" t="n">
        <v>5</v>
      </c>
      <c r="G675" t="inlineStr">
        <is>
          <t>Ontario Tennis Association</t>
        </is>
      </c>
      <c r="H675" t="inlineStr">
        <is>
          <t>No Club</t>
        </is>
      </c>
      <c r="I675" t="n">
        <v>39.2</v>
      </c>
      <c r="J675" s="4" t="n">
        <v>58</v>
      </c>
      <c r="K675" t="inlineStr">
        <is>
          <t>11 / 47</t>
        </is>
      </c>
      <c r="L675" t="inlineStr">
        <is>
          <t>0 / 0</t>
        </is>
      </c>
      <c r="M675" s="5" t="n">
        <v>0.19</v>
      </c>
      <c r="N675" s="5" t="n">
        <v>0</v>
      </c>
    </row>
    <row r="676">
      <c r="A676" t="n">
        <v>675</v>
      </c>
      <c r="B676" t="n">
        <v>2014</v>
      </c>
      <c r="C676" t="inlineStr">
        <is>
          <t>Mia Krusarovski</t>
        </is>
      </c>
      <c r="D676">
        <f>HYPERLINK("https://ota.tournamentsoftware.com/player-profile/BE8F67EB-3C85-4EE8-8915-58C34DCD86C7", "Link")</f>
        <v/>
      </c>
      <c r="E676" s="3" t="n">
        <v>25.17</v>
      </c>
      <c r="F676" s="4" t="n">
        <v>3</v>
      </c>
      <c r="G676" t="inlineStr">
        <is>
          <t>Ontario Tennis Association</t>
        </is>
      </c>
      <c r="H676" t="inlineStr">
        <is>
          <t>Zekelman Tennis Centre</t>
        </is>
      </c>
      <c r="I676" t="n">
        <v>34.8</v>
      </c>
      <c r="J676" s="4" t="n">
        <v>16</v>
      </c>
      <c r="K676" t="inlineStr">
        <is>
          <t>5 / 11</t>
        </is>
      </c>
      <c r="L676" t="inlineStr">
        <is>
          <t>4 / 2</t>
        </is>
      </c>
      <c r="M676" s="5" t="n">
        <v>0.31</v>
      </c>
      <c r="N676" s="5" t="n">
        <v>0.67</v>
      </c>
    </row>
    <row r="677">
      <c r="A677" t="n">
        <v>676</v>
      </c>
      <c r="B677" t="n">
        <v>2015</v>
      </c>
      <c r="C677" t="inlineStr">
        <is>
          <t>Isadora Xu</t>
        </is>
      </c>
      <c r="D677">
        <f>HYPERLINK("https://ota.tournamentsoftware.com/player-profile/78173253-32AB-4E0D-8618-AEF874C973EC", "Link")</f>
        <v/>
      </c>
      <c r="E677" s="3" t="n">
        <v>25.059</v>
      </c>
      <c r="F677" s="4" t="n">
        <v>10</v>
      </c>
      <c r="G677" t="inlineStr">
        <is>
          <t>British Columbia</t>
        </is>
      </c>
      <c r="H677" t="inlineStr">
        <is>
          <t>Arbutus Club</t>
        </is>
      </c>
      <c r="I677" t="n">
        <v>39</v>
      </c>
      <c r="J677" s="4" t="n">
        <v>44</v>
      </c>
      <c r="K677" t="inlineStr">
        <is>
          <t>19 / 25</t>
        </is>
      </c>
      <c r="L677" t="inlineStr">
        <is>
          <t>15 / 19</t>
        </is>
      </c>
      <c r="M677" s="5" t="n">
        <v>0.43</v>
      </c>
      <c r="N677" s="5" t="n">
        <v>0.44</v>
      </c>
    </row>
    <row r="678">
      <c r="A678" t="n">
        <v>677</v>
      </c>
      <c r="B678" t="n">
        <v>2014</v>
      </c>
      <c r="C678" t="inlineStr">
        <is>
          <t>Adrianna Rajchel</t>
        </is>
      </c>
      <c r="D678">
        <f>HYPERLINK("https://ota.tournamentsoftware.com/player-profile/CF345FA9-9F2F-4BDB-8B66-131A15D8B231", "Link")</f>
        <v/>
      </c>
      <c r="E678" s="3" t="n">
        <v>24.832</v>
      </c>
      <c r="F678" s="4" t="n">
        <v>3</v>
      </c>
      <c r="G678" t="inlineStr">
        <is>
          <t>Ontario Tennis Association</t>
        </is>
      </c>
      <c r="H678" t="inlineStr">
        <is>
          <t>Carleton Tennis Centre</t>
        </is>
      </c>
      <c r="I678" t="n">
        <v>38.5</v>
      </c>
      <c r="J678" s="4" t="n">
        <v>15</v>
      </c>
      <c r="K678" t="inlineStr">
        <is>
          <t>4 / 11</t>
        </is>
      </c>
      <c r="L678" t="inlineStr">
        <is>
          <t>1 / 3</t>
        </is>
      </c>
      <c r="M678" s="5" t="n">
        <v>0.27</v>
      </c>
      <c r="N678" s="5" t="n">
        <v>0.25</v>
      </c>
    </row>
    <row r="679">
      <c r="A679" t="n">
        <v>678</v>
      </c>
      <c r="B679" t="n">
        <v>2013</v>
      </c>
      <c r="C679" t="inlineStr">
        <is>
          <t>Caroline Chuyi Wang</t>
        </is>
      </c>
      <c r="D679">
        <f>HYPERLINK("https://ota.tournamentsoftware.com/player-profile/3F052198-DCE4-4852-8FA0-B0793E67B6FC", "Link")</f>
        <v/>
      </c>
      <c r="E679" s="3" t="n">
        <v>24.728</v>
      </c>
      <c r="F679" s="4" t="n">
        <v>3</v>
      </c>
      <c r="G679" t="inlineStr">
        <is>
          <t>British Columbia</t>
        </is>
      </c>
      <c r="H679" t="inlineStr">
        <is>
          <t>Richmond Country Club</t>
        </is>
      </c>
      <c r="I679" t="n">
        <v>38.3</v>
      </c>
      <c r="J679" s="4" t="n">
        <v>19</v>
      </c>
      <c r="K679" t="inlineStr">
        <is>
          <t>6 / 13</t>
        </is>
      </c>
      <c r="L679" t="inlineStr">
        <is>
          <t>6 / 13</t>
        </is>
      </c>
      <c r="M679" s="5" t="n">
        <v>0.32</v>
      </c>
      <c r="N679" s="5" t="n">
        <v>0.32</v>
      </c>
    </row>
    <row r="680">
      <c r="A680" t="n">
        <v>679</v>
      </c>
      <c r="B680" t="n">
        <v>2016</v>
      </c>
      <c r="C680" t="inlineStr">
        <is>
          <t>Jessie DONG</t>
        </is>
      </c>
      <c r="D680">
        <f>HYPERLINK("https://ota.tournamentsoftware.com/player-profile/DD46DDC2-A0FA-4A57-9C2B-207D02D3DFB6", "Link")</f>
        <v/>
      </c>
      <c r="E680" s="3" t="n">
        <v>24.6</v>
      </c>
      <c r="F680" s="4" t="n">
        <v>4</v>
      </c>
      <c r="G680" t="inlineStr">
        <is>
          <t>Ontario Tennis Association</t>
        </is>
      </c>
      <c r="H680" t="inlineStr">
        <is>
          <t>Burlington Hall Sporting Club</t>
        </is>
      </c>
      <c r="I680" t="n">
        <v>38.3</v>
      </c>
      <c r="J680" s="4" t="n">
        <v>50</v>
      </c>
      <c r="K680" t="inlineStr">
        <is>
          <t>22 / 28</t>
        </is>
      </c>
      <c r="L680" t="inlineStr">
        <is>
          <t>22 / 28</t>
        </is>
      </c>
      <c r="M680" s="5" t="n">
        <v>0.44</v>
      </c>
      <c r="N680" s="5" t="n">
        <v>0.44</v>
      </c>
    </row>
    <row r="681">
      <c r="A681" t="n">
        <v>680</v>
      </c>
      <c r="B681" t="n">
        <v>2012</v>
      </c>
      <c r="C681" t="inlineStr">
        <is>
          <t>Naomi Lau</t>
        </is>
      </c>
      <c r="D681">
        <f>HYPERLINK("https://ota.tournamentsoftware.com/player-profile/0A97F4BF-4260-46FD-AB50-BFA06A31A239", "Link")</f>
        <v/>
      </c>
      <c r="E681" s="3" t="n">
        <v>24.089</v>
      </c>
      <c r="F681" s="4" t="n">
        <v>2</v>
      </c>
      <c r="G681" t="inlineStr">
        <is>
          <t>Ontario Tennis Association</t>
        </is>
      </c>
      <c r="H681" t="inlineStr">
        <is>
          <t>Central Tennis Club</t>
        </is>
      </c>
      <c r="I681" t="n">
        <v>37.2</v>
      </c>
      <c r="J681" s="4" t="n">
        <v>32</v>
      </c>
      <c r="K681" t="inlineStr">
        <is>
          <t>12 / 20</t>
        </is>
      </c>
      <c r="L681" t="inlineStr">
        <is>
          <t>6 / 6</t>
        </is>
      </c>
      <c r="M681" s="5" t="n">
        <v>0.38</v>
      </c>
      <c r="N681" s="5" t="n">
        <v>0.5</v>
      </c>
    </row>
    <row r="682">
      <c r="A682" t="n">
        <v>681</v>
      </c>
      <c r="B682" t="n">
        <v>2015</v>
      </c>
      <c r="C682" t="inlineStr">
        <is>
          <t>Diana Troitska</t>
        </is>
      </c>
      <c r="D682">
        <f>HYPERLINK("https://ota.tournamentsoftware.com/player-profile/6F22C01B-A1B6-4624-8606-C4D0FEB24026", "Link")</f>
        <v/>
      </c>
      <c r="E682" s="3" t="n">
        <v>23.546</v>
      </c>
      <c r="F682" s="4" t="n">
        <v>2</v>
      </c>
      <c r="G682" t="inlineStr">
        <is>
          <t>Tennis Québec</t>
        </is>
      </c>
      <c r="H682" t="inlineStr">
        <is>
          <t>No Club</t>
        </is>
      </c>
      <c r="I682" t="inlineStr">
        <is>
          <t>unavailable</t>
        </is>
      </c>
      <c r="J682" s="4" t="n">
        <v>13</v>
      </c>
      <c r="K682" t="inlineStr">
        <is>
          <t>2 / 11</t>
        </is>
      </c>
      <c r="L682" t="inlineStr">
        <is>
          <t>0 / 1</t>
        </is>
      </c>
      <c r="M682" s="5" t="n">
        <v>0.15</v>
      </c>
      <c r="N682" s="5" t="n">
        <v>0</v>
      </c>
    </row>
    <row r="683">
      <c r="A683" t="n">
        <v>682</v>
      </c>
      <c r="B683" t="n">
        <v>2012</v>
      </c>
      <c r="C683" t="inlineStr">
        <is>
          <t>Nika Yaghoubi</t>
        </is>
      </c>
      <c r="D683">
        <f>HYPERLINK("https://ota.tournamentsoftware.com/player-profile/D6970753-702D-4123-8798-708EAC6B7E32", "Link")</f>
        <v/>
      </c>
      <c r="E683" s="3" t="n">
        <v>23.448</v>
      </c>
      <c r="F683" s="4" t="n">
        <v>2</v>
      </c>
      <c r="G683" t="inlineStr">
        <is>
          <t>Tennis Alberta</t>
        </is>
      </c>
      <c r="H683" t="inlineStr">
        <is>
          <t>Saville Community Sports Centre</t>
        </is>
      </c>
      <c r="I683" t="n">
        <v>35.1</v>
      </c>
      <c r="J683" s="4" t="n">
        <v>12</v>
      </c>
      <c r="K683" t="inlineStr">
        <is>
          <t>6 / 6</t>
        </is>
      </c>
      <c r="L683" t="inlineStr">
        <is>
          <t>6 / 6</t>
        </is>
      </c>
      <c r="M683" s="5" t="n">
        <v>0.5</v>
      </c>
      <c r="N683" s="5" t="n">
        <v>0.5</v>
      </c>
    </row>
    <row r="684">
      <c r="A684" t="n">
        <v>683</v>
      </c>
      <c r="B684" t="n">
        <v>2015</v>
      </c>
      <c r="C684" t="inlineStr">
        <is>
          <t>Cassia Contreras</t>
        </is>
      </c>
      <c r="D684">
        <f>HYPERLINK("https://ota.tournamentsoftware.com/player-profile/84692E6B-274F-4FC9-9179-D4BC6F34FCEE", "Link")</f>
        <v/>
      </c>
      <c r="E684" s="3" t="n">
        <v>23.208</v>
      </c>
      <c r="F684" s="4" t="n">
        <v>4</v>
      </c>
      <c r="G684" t="inlineStr">
        <is>
          <t>Ontario Tennis Association</t>
        </is>
      </c>
      <c r="H684" t="inlineStr">
        <is>
          <t>Toronto Tennis Academy</t>
        </is>
      </c>
      <c r="I684" t="inlineStr">
        <is>
          <t>unavailable</t>
        </is>
      </c>
      <c r="J684" s="4" t="n">
        <v>50</v>
      </c>
      <c r="K684" t="inlineStr">
        <is>
          <t>18 / 32</t>
        </is>
      </c>
      <c r="L684" t="inlineStr">
        <is>
          <t>5 / 7</t>
        </is>
      </c>
      <c r="M684" s="5" t="n">
        <v>0.36</v>
      </c>
      <c r="N684" s="5" t="n">
        <v>0.42</v>
      </c>
    </row>
    <row r="685">
      <c r="A685" t="n">
        <v>684</v>
      </c>
      <c r="B685" t="n">
        <v>2015</v>
      </c>
      <c r="C685" t="inlineStr">
        <is>
          <t>Margot Couture</t>
        </is>
      </c>
      <c r="D685">
        <f>HYPERLINK("https://ota.tournamentsoftware.com/player-profile/7DE265DB-E3E6-4C4E-90BD-199DB99DCAEB", "Link")</f>
        <v/>
      </c>
      <c r="E685" s="3" t="n">
        <v>23.186</v>
      </c>
      <c r="F685" s="4" t="n">
        <v>5</v>
      </c>
      <c r="G685" t="inlineStr">
        <is>
          <t>Tennis Québec</t>
        </is>
      </c>
      <c r="H685" t="inlineStr">
        <is>
          <t>SANI Sport</t>
        </is>
      </c>
      <c r="I685" t="n">
        <v>38.1</v>
      </c>
      <c r="J685" s="4" t="n">
        <v>27</v>
      </c>
      <c r="K685" t="inlineStr">
        <is>
          <t>7 / 20</t>
        </is>
      </c>
      <c r="L685" t="inlineStr">
        <is>
          <t>2 / 5</t>
        </is>
      </c>
      <c r="M685" s="5" t="n">
        <v>0.26</v>
      </c>
      <c r="N685" s="5" t="n">
        <v>0.29</v>
      </c>
    </row>
    <row r="686">
      <c r="A686" t="n">
        <v>685</v>
      </c>
      <c r="B686" t="n">
        <v>2015</v>
      </c>
      <c r="C686" t="inlineStr">
        <is>
          <t>Eliana Green</t>
        </is>
      </c>
      <c r="D686">
        <f>HYPERLINK("https://ota.tournamentsoftware.com/player-profile/6AF8FC12-BD58-4E7C-B446-1CAAB9ADE85D", "Link")</f>
        <v/>
      </c>
      <c r="E686" s="3" t="n">
        <v>23.112</v>
      </c>
      <c r="F686" s="4" t="n">
        <v>1</v>
      </c>
      <c r="G686" t="inlineStr">
        <is>
          <t>Tennis Saskatchewan</t>
        </is>
      </c>
      <c r="H686" t="inlineStr">
        <is>
          <t>Lakeshore Tennis Club</t>
        </is>
      </c>
      <c r="I686" t="n">
        <v>36.7</v>
      </c>
      <c r="J686" s="4" t="n">
        <v>30</v>
      </c>
      <c r="K686" t="inlineStr">
        <is>
          <t>5 / 25</t>
        </is>
      </c>
      <c r="L686" t="inlineStr">
        <is>
          <t>2 / 2</t>
        </is>
      </c>
      <c r="M686" s="5" t="n">
        <v>0.17</v>
      </c>
      <c r="N686" s="5" t="n">
        <v>0.5</v>
      </c>
    </row>
    <row r="687">
      <c r="A687" t="n">
        <v>686</v>
      </c>
      <c r="B687" t="n">
        <v>2014</v>
      </c>
      <c r="C687" t="inlineStr">
        <is>
          <t>Dina Chakri</t>
        </is>
      </c>
      <c r="D687">
        <f>HYPERLINK("https://ota.tournamentsoftware.com/player-profile/8824FD85-93E3-4F7D-8968-FC836D77769D", "Link")</f>
        <v/>
      </c>
      <c r="E687" s="3" t="n">
        <v>22.953</v>
      </c>
      <c r="F687" s="4" t="n">
        <v>7</v>
      </c>
      <c r="G687" t="inlineStr">
        <is>
          <t>Tennis Québec</t>
        </is>
      </c>
      <c r="H687" t="inlineStr">
        <is>
          <t>Tennis 13</t>
        </is>
      </c>
      <c r="I687" t="n">
        <v>38.9</v>
      </c>
      <c r="J687" s="4" t="n">
        <v>10</v>
      </c>
      <c r="K687" t="inlineStr">
        <is>
          <t>2 / 8</t>
        </is>
      </c>
      <c r="L687" t="inlineStr">
        <is>
          <t>2 / 8</t>
        </is>
      </c>
      <c r="M687" s="5" t="n">
        <v>0.2</v>
      </c>
      <c r="N687" s="5" t="n">
        <v>0.2</v>
      </c>
    </row>
    <row r="688">
      <c r="A688" t="n">
        <v>687</v>
      </c>
      <c r="B688" t="n">
        <v>2013</v>
      </c>
      <c r="C688" t="inlineStr">
        <is>
          <t>Kashvi Chaudhary</t>
        </is>
      </c>
      <c r="D688">
        <f>HYPERLINK("https://ota.tournamentsoftware.com/player-profile/0597AAB7-43E9-42CF-B00B-4928F8A2A1CD", "Link")</f>
        <v/>
      </c>
      <c r="E688" s="3" t="n">
        <v>22.919</v>
      </c>
      <c r="F688" s="4" t="n">
        <v>4</v>
      </c>
      <c r="G688" t="inlineStr">
        <is>
          <t>Ontario Tennis Association</t>
        </is>
      </c>
      <c r="H688" t="inlineStr">
        <is>
          <t>Brampton Tennis Club</t>
        </is>
      </c>
      <c r="I688" t="n">
        <v>39.9</v>
      </c>
      <c r="J688" s="4" t="n">
        <v>14</v>
      </c>
      <c r="K688" t="inlineStr">
        <is>
          <t>2 / 12</t>
        </is>
      </c>
      <c r="L688" t="inlineStr">
        <is>
          <t>0 / 0</t>
        </is>
      </c>
      <c r="M688" s="5" t="n">
        <v>0.14</v>
      </c>
      <c r="N688" s="5" t="n">
        <v>0</v>
      </c>
    </row>
    <row r="689">
      <c r="A689" t="n">
        <v>688</v>
      </c>
      <c r="B689" t="n">
        <v>2014</v>
      </c>
      <c r="C689" t="inlineStr">
        <is>
          <t>Jasmine El Ouadi</t>
        </is>
      </c>
      <c r="D689">
        <f>HYPERLINK("https://ota.tournamentsoftware.com/player-profile/FBECFAB6-3ABF-4F1B-AD1C-230CB79A1119", "Link")</f>
        <v/>
      </c>
      <c r="E689" s="3" t="n">
        <v>22.903</v>
      </c>
      <c r="F689" s="4" t="n">
        <v>6</v>
      </c>
      <c r="G689" t="inlineStr">
        <is>
          <t>Tennis Alberta</t>
        </is>
      </c>
      <c r="H689" t="inlineStr">
        <is>
          <t>Calgary - Public</t>
        </is>
      </c>
      <c r="I689" t="n">
        <v>40</v>
      </c>
      <c r="J689" s="4" t="n">
        <v>11</v>
      </c>
      <c r="K689" t="inlineStr">
        <is>
          <t>0 / 11</t>
        </is>
      </c>
      <c r="L689" t="inlineStr">
        <is>
          <t>0 / 3</t>
        </is>
      </c>
      <c r="M689" s="5" t="n">
        <v>0</v>
      </c>
      <c r="N689" s="5" t="n">
        <v>0</v>
      </c>
    </row>
    <row r="690">
      <c r="A690" t="n">
        <v>689</v>
      </c>
      <c r="B690" t="n">
        <v>2016</v>
      </c>
      <c r="C690" t="inlineStr">
        <is>
          <t>Emma Yu</t>
        </is>
      </c>
      <c r="D690">
        <f>HYPERLINK("https://ota.tournamentsoftware.com/player-profile/08E91FF6-D5E8-42FC-9B0D-2002B0263706", "Link")</f>
        <v/>
      </c>
      <c r="E690" s="3" t="n">
        <v>22.896</v>
      </c>
      <c r="F690" s="4" t="n">
        <v>4</v>
      </c>
      <c r="G690" t="inlineStr">
        <is>
          <t>Tennis Nova Scotia</t>
        </is>
      </c>
      <c r="H690" t="inlineStr">
        <is>
          <t>Atlantic Tennis Centre</t>
        </is>
      </c>
      <c r="I690" t="n">
        <v>36.2</v>
      </c>
      <c r="J690" s="4" t="n">
        <v>35</v>
      </c>
      <c r="K690" t="inlineStr">
        <is>
          <t>19 / 16</t>
        </is>
      </c>
      <c r="L690" t="inlineStr">
        <is>
          <t>11 / 5</t>
        </is>
      </c>
      <c r="M690" s="5" t="n">
        <v>0.54</v>
      </c>
      <c r="N690" s="5" t="n">
        <v>0.6899999999999999</v>
      </c>
    </row>
    <row r="691">
      <c r="A691" t="n">
        <v>690</v>
      </c>
      <c r="B691" t="n">
        <v>2013</v>
      </c>
      <c r="C691" t="inlineStr">
        <is>
          <t>Mariya Fedchyshyna</t>
        </is>
      </c>
      <c r="D691">
        <f>HYPERLINK("https://ota.tournamentsoftware.com/player-profile/5A64317A-A412-4DEB-A68D-94CE45EAE2DD", "Link")</f>
        <v/>
      </c>
      <c r="E691" s="3" t="n">
        <v>22.696</v>
      </c>
      <c r="F691" s="4" t="n">
        <v>2</v>
      </c>
      <c r="G691" t="inlineStr">
        <is>
          <t>British Columbia</t>
        </is>
      </c>
      <c r="H691" t="inlineStr">
        <is>
          <t>Oak Bay Recreation Centre</t>
        </is>
      </c>
      <c r="I691" t="inlineStr">
        <is>
          <t>unavailable</t>
        </is>
      </c>
      <c r="J691" s="4" t="n">
        <v>7</v>
      </c>
      <c r="K691" t="inlineStr">
        <is>
          <t>1 / 6</t>
        </is>
      </c>
      <c r="L691" t="inlineStr">
        <is>
          <t>1 / 4</t>
        </is>
      </c>
      <c r="M691" s="5" t="n">
        <v>0.14</v>
      </c>
      <c r="N691" s="5" t="n">
        <v>0.2</v>
      </c>
    </row>
    <row r="692">
      <c r="A692" t="n">
        <v>691</v>
      </c>
      <c r="B692" t="n">
        <v>2015</v>
      </c>
      <c r="C692" t="inlineStr">
        <is>
          <t>Laila Hilmi</t>
        </is>
      </c>
      <c r="D692">
        <f>HYPERLINK("https://ota.tournamentsoftware.com/player-profile/73A707F1-78B1-45FE-A608-D2E6AA82EA8F", "Link")</f>
        <v/>
      </c>
      <c r="E692" s="3" t="n">
        <v>22.595</v>
      </c>
      <c r="F692" s="4" t="n">
        <v>3</v>
      </c>
      <c r="G692" t="inlineStr">
        <is>
          <t>Tennis Québec</t>
        </is>
      </c>
      <c r="H692" t="inlineStr">
        <is>
          <t>Tennis Montréal Excellence</t>
        </is>
      </c>
      <c r="I692" t="inlineStr">
        <is>
          <t>unavailable</t>
        </is>
      </c>
      <c r="J692" s="4" t="n">
        <v>46</v>
      </c>
      <c r="K692" t="inlineStr">
        <is>
          <t>13 / 33</t>
        </is>
      </c>
      <c r="L692" t="inlineStr">
        <is>
          <t>4 / 3</t>
        </is>
      </c>
      <c r="M692" s="5" t="n">
        <v>0.28</v>
      </c>
      <c r="N692" s="5" t="n">
        <v>0.57</v>
      </c>
    </row>
    <row r="693">
      <c r="A693" t="n">
        <v>692</v>
      </c>
      <c r="B693" t="n">
        <v>2012</v>
      </c>
      <c r="C693" t="inlineStr">
        <is>
          <t>Ruike Ni</t>
        </is>
      </c>
      <c r="D693">
        <f>HYPERLINK("https://ota.tournamentsoftware.com/player-profile/862000EB-CE8E-4CA2-BA1E-5441407CA2E5", "Link")</f>
        <v/>
      </c>
      <c r="E693" s="3" t="n">
        <v>22.464</v>
      </c>
      <c r="F693" s="4" t="n">
        <v>2</v>
      </c>
      <c r="G693" t="inlineStr">
        <is>
          <t>British Columbia</t>
        </is>
      </c>
      <c r="H693" t="inlineStr">
        <is>
          <t>Tennis for Life</t>
        </is>
      </c>
      <c r="I693" t="n">
        <v>38.4</v>
      </c>
      <c r="J693" s="4" t="n">
        <v>7</v>
      </c>
      <c r="K693" t="inlineStr">
        <is>
          <t>2 / 5</t>
        </is>
      </c>
      <c r="L693" t="inlineStr">
        <is>
          <t>0 / 2</t>
        </is>
      </c>
      <c r="M693" s="5" t="n">
        <v>0.29</v>
      </c>
      <c r="N693" s="5" t="n">
        <v>0</v>
      </c>
    </row>
    <row r="694">
      <c r="A694" t="n">
        <v>693</v>
      </c>
      <c r="B694" t="n">
        <v>2014</v>
      </c>
      <c r="C694" t="inlineStr">
        <is>
          <t>Baani Kaur Saini</t>
        </is>
      </c>
      <c r="D694">
        <f>HYPERLINK("https://ota.tournamentsoftware.com/player-profile/F8A85050-87CB-4D78-BB4D-4D11F0D18229", "Link")</f>
        <v/>
      </c>
      <c r="E694" s="3" t="n">
        <v>22.434</v>
      </c>
      <c r="F694" s="4" t="n">
        <v>3</v>
      </c>
      <c r="G694" t="inlineStr">
        <is>
          <t>Ontario Tennis Association</t>
        </is>
      </c>
      <c r="H694" t="inlineStr">
        <is>
          <t>Bramalea Tennis Club</t>
        </is>
      </c>
      <c r="I694" t="n">
        <v>39.2</v>
      </c>
      <c r="J694" s="4" t="n">
        <v>5</v>
      </c>
      <c r="K694" t="inlineStr">
        <is>
          <t>0 / 5</t>
        </is>
      </c>
      <c r="L694" t="inlineStr">
        <is>
          <t>0 / 0</t>
        </is>
      </c>
      <c r="M694" s="5" t="n">
        <v>0</v>
      </c>
      <c r="N694" s="5" t="n">
        <v>0</v>
      </c>
    </row>
    <row r="695">
      <c r="A695" t="n">
        <v>694</v>
      </c>
      <c r="B695" t="n">
        <v>2014</v>
      </c>
      <c r="C695" t="inlineStr">
        <is>
          <t>Ariella Naomi Shegelman</t>
        </is>
      </c>
      <c r="D695">
        <f>HYPERLINK("https://ota.tournamentsoftware.com/player-profile/F4A076BF-B4C6-4301-B22A-3E13FD483AD5", "Link")</f>
        <v/>
      </c>
      <c r="E695" s="3" t="n">
        <v>22.405</v>
      </c>
      <c r="F695" s="4" t="n">
        <v>3</v>
      </c>
      <c r="G695" t="inlineStr">
        <is>
          <t>Ontario Tennis Association</t>
        </is>
      </c>
      <c r="H695" t="inlineStr">
        <is>
          <t>Concord Tennis Academy</t>
        </is>
      </c>
      <c r="I695" t="n">
        <v>35.9</v>
      </c>
      <c r="J695" s="4" t="n">
        <v>28</v>
      </c>
      <c r="K695" t="inlineStr">
        <is>
          <t>14 / 14</t>
        </is>
      </c>
      <c r="L695" t="inlineStr">
        <is>
          <t>4 / 4</t>
        </is>
      </c>
      <c r="M695" s="5" t="n">
        <v>0.5</v>
      </c>
      <c r="N695" s="5" t="n">
        <v>0.5</v>
      </c>
    </row>
    <row r="696">
      <c r="A696" t="n">
        <v>695</v>
      </c>
      <c r="B696" t="n">
        <v>2014</v>
      </c>
      <c r="C696" t="inlineStr">
        <is>
          <t>Mila Khayretdinova</t>
        </is>
      </c>
      <c r="D696">
        <f>HYPERLINK("https://ota.tournamentsoftware.com/player-profile/04DE0A72-CDB6-4637-88E8-378348327654", "Link")</f>
        <v/>
      </c>
      <c r="E696" s="3" t="n">
        <v>22.302</v>
      </c>
      <c r="F696" s="4" t="n">
        <v>6</v>
      </c>
      <c r="G696" t="inlineStr">
        <is>
          <t>Tennis Québec</t>
        </is>
      </c>
      <c r="H696" t="inlineStr">
        <is>
          <t>No Club</t>
        </is>
      </c>
      <c r="I696" t="n">
        <v>39.2</v>
      </c>
      <c r="J696" s="4" t="n">
        <v>40</v>
      </c>
      <c r="K696" t="inlineStr">
        <is>
          <t>3 / 37</t>
        </is>
      </c>
      <c r="L696" t="inlineStr">
        <is>
          <t>3 / 5</t>
        </is>
      </c>
      <c r="M696" s="5" t="n">
        <v>0.07000000000000001</v>
      </c>
      <c r="N696" s="5" t="n">
        <v>0.38</v>
      </c>
    </row>
    <row r="697">
      <c r="A697" t="n">
        <v>696</v>
      </c>
      <c r="B697" t="n">
        <v>2014</v>
      </c>
      <c r="C697" t="inlineStr">
        <is>
          <t>Mila Phoebe Madrid</t>
        </is>
      </c>
      <c r="D697">
        <f>HYPERLINK("https://ota.tournamentsoftware.com/player-profile/3994748B-2ED2-4F57-8907-B1AE9B874F9B", "Link")</f>
        <v/>
      </c>
      <c r="E697" s="3" t="n">
        <v>21.888</v>
      </c>
      <c r="F697" s="4" t="n">
        <v>2</v>
      </c>
      <c r="G697" t="inlineStr">
        <is>
          <t>Ontario Tennis Association</t>
        </is>
      </c>
      <c r="H697" t="inlineStr">
        <is>
          <t>Newmarket Winter Tennis Club</t>
        </is>
      </c>
      <c r="I697" t="inlineStr">
        <is>
          <t>unavailable</t>
        </is>
      </c>
      <c r="J697" s="4" t="n">
        <v>44</v>
      </c>
      <c r="K697" t="inlineStr">
        <is>
          <t>15 / 29</t>
        </is>
      </c>
      <c r="L697" t="inlineStr">
        <is>
          <t>8 / 3</t>
        </is>
      </c>
      <c r="M697" s="5" t="n">
        <v>0.34</v>
      </c>
      <c r="N697" s="5" t="n">
        <v>0.73</v>
      </c>
    </row>
    <row r="698">
      <c r="A698" t="n">
        <v>697</v>
      </c>
      <c r="B698" t="n">
        <v>2015</v>
      </c>
      <c r="C698" t="inlineStr">
        <is>
          <t>Milana Maor</t>
        </is>
      </c>
      <c r="D698">
        <f>HYPERLINK("https://ota.tournamentsoftware.com/player-profile/EFC2E194-22E1-4017-A2E8-0B41E7DB9101", "Link")</f>
        <v/>
      </c>
      <c r="E698" s="3" t="n">
        <v>21.692</v>
      </c>
      <c r="F698" s="4" t="n">
        <v>5</v>
      </c>
      <c r="G698" t="inlineStr">
        <is>
          <t>Ontario Tennis Association</t>
        </is>
      </c>
      <c r="H698" t="inlineStr">
        <is>
          <t>No Club</t>
        </is>
      </c>
      <c r="I698" t="n">
        <v>38</v>
      </c>
      <c r="J698" s="4" t="n">
        <v>50</v>
      </c>
      <c r="K698" t="inlineStr">
        <is>
          <t>20 / 30</t>
        </is>
      </c>
      <c r="L698" t="inlineStr">
        <is>
          <t>3 / 11</t>
        </is>
      </c>
      <c r="M698" s="5" t="n">
        <v>0.4</v>
      </c>
      <c r="N698" s="5" t="n">
        <v>0.21</v>
      </c>
    </row>
    <row r="699">
      <c r="A699" t="n">
        <v>698</v>
      </c>
      <c r="B699" t="n">
        <v>2014</v>
      </c>
      <c r="C699" t="inlineStr">
        <is>
          <t>Camila Danielle Arias</t>
        </is>
      </c>
      <c r="D699">
        <f>HYPERLINK("https://ota.tournamentsoftware.com/player-profile/7E2B5B8F-95C7-4374-8F7F-D60E81CAB657", "Link")</f>
        <v/>
      </c>
      <c r="E699" s="3" t="n">
        <v>21.537</v>
      </c>
      <c r="F699" s="4" t="n">
        <v>6</v>
      </c>
      <c r="G699" t="inlineStr">
        <is>
          <t>Tennis Québec</t>
        </is>
      </c>
      <c r="H699" t="inlineStr">
        <is>
          <t>SANI Sport</t>
        </is>
      </c>
      <c r="I699" t="inlineStr">
        <is>
          <t>unavailable</t>
        </is>
      </c>
      <c r="J699" s="4" t="n">
        <v>40</v>
      </c>
      <c r="K699" t="inlineStr">
        <is>
          <t>13 / 27</t>
        </is>
      </c>
      <c r="L699" t="inlineStr">
        <is>
          <t>4 / 4</t>
        </is>
      </c>
      <c r="M699" s="5" t="n">
        <v>0.33</v>
      </c>
      <c r="N699" s="5" t="n">
        <v>0.5</v>
      </c>
    </row>
    <row r="700">
      <c r="A700" t="n">
        <v>699</v>
      </c>
      <c r="B700" t="n">
        <v>2015</v>
      </c>
      <c r="C700" t="inlineStr">
        <is>
          <t>Élisa Deschatelets</t>
        </is>
      </c>
      <c r="D700">
        <f>HYPERLINK("https://ota.tournamentsoftware.com/player-profile/C5ECD0AF-5510-44E4-897A-6A3A4D73CDEF", "Link")</f>
        <v/>
      </c>
      <c r="E700" s="3" t="n">
        <v>21.501</v>
      </c>
      <c r="F700" s="4" t="n">
        <v>4</v>
      </c>
      <c r="G700" t="inlineStr">
        <is>
          <t>Tennis Québec</t>
        </is>
      </c>
      <c r="H700" t="inlineStr">
        <is>
          <t>Centre Récréatif Rock Forest / École Tennestrie</t>
        </is>
      </c>
      <c r="I700" t="n">
        <v>40</v>
      </c>
      <c r="J700" s="4" t="n">
        <v>25</v>
      </c>
      <c r="K700" t="inlineStr">
        <is>
          <t>4 / 21</t>
        </is>
      </c>
      <c r="L700" t="inlineStr">
        <is>
          <t>0 / 7</t>
        </is>
      </c>
      <c r="M700" s="5" t="n">
        <v>0.16</v>
      </c>
      <c r="N700" s="5" t="n">
        <v>0</v>
      </c>
    </row>
    <row r="701">
      <c r="A701" t="n">
        <v>700</v>
      </c>
      <c r="B701" t="n">
        <v>2015</v>
      </c>
      <c r="C701" t="inlineStr">
        <is>
          <t>Tara Sepahsalari</t>
        </is>
      </c>
      <c r="D701">
        <f>HYPERLINK("https://ota.tournamentsoftware.com/player-profile/EB26731B-07C8-4C3E-8214-7DD265D4A843", "Link")</f>
        <v/>
      </c>
      <c r="E701" s="3" t="n">
        <v>21.226</v>
      </c>
      <c r="F701" s="4" t="n">
        <v>5</v>
      </c>
      <c r="G701" t="inlineStr">
        <is>
          <t>Tennis Québec</t>
        </is>
      </c>
      <c r="H701" t="inlineStr">
        <is>
          <t>EB Tennis inc.</t>
        </is>
      </c>
      <c r="I701" t="n">
        <v>40</v>
      </c>
      <c r="J701" s="4" t="n">
        <v>33</v>
      </c>
      <c r="K701" t="inlineStr">
        <is>
          <t>5 / 28</t>
        </is>
      </c>
      <c r="L701" t="inlineStr">
        <is>
          <t>1 / 8</t>
        </is>
      </c>
      <c r="M701" s="5" t="n">
        <v>0.15</v>
      </c>
      <c r="N701" s="5" t="n">
        <v>0.11</v>
      </c>
    </row>
    <row r="702">
      <c r="A702" t="n">
        <v>701</v>
      </c>
      <c r="B702" t="n">
        <v>2013</v>
      </c>
      <c r="C702" t="inlineStr">
        <is>
          <t>Aura Hayer</t>
        </is>
      </c>
      <c r="D702">
        <f>HYPERLINK("https://ota.tournamentsoftware.com/player-profile/969F22DA-6980-4E13-BAE2-6BD2D0C08F88", "Link")</f>
        <v/>
      </c>
      <c r="E702" s="3" t="n">
        <v>20.931</v>
      </c>
      <c r="F702" s="4" t="n">
        <v>4</v>
      </c>
      <c r="G702" t="inlineStr">
        <is>
          <t>British Columbia</t>
        </is>
      </c>
      <c r="H702" t="inlineStr">
        <is>
          <t>Sunshine Hills Tennis Club</t>
        </is>
      </c>
      <c r="I702" t="n">
        <v>38.5</v>
      </c>
      <c r="J702" s="4" t="n">
        <v>103</v>
      </c>
      <c r="K702" t="inlineStr">
        <is>
          <t>32 / 71</t>
        </is>
      </c>
      <c r="L702" t="inlineStr">
        <is>
          <t>2 / 5</t>
        </is>
      </c>
      <c r="M702" s="5" t="n">
        <v>0.31</v>
      </c>
      <c r="N702" s="5" t="n">
        <v>0.29</v>
      </c>
    </row>
    <row r="703">
      <c r="A703" t="n">
        <v>702</v>
      </c>
      <c r="B703" t="n">
        <v>2014</v>
      </c>
      <c r="C703" t="inlineStr">
        <is>
          <t>Mila Levac</t>
        </is>
      </c>
      <c r="D703">
        <f>HYPERLINK("https://ota.tournamentsoftware.com/player-profile/7F793D8E-41D7-4B70-87B7-9D30B32ED35F", "Link")</f>
        <v/>
      </c>
      <c r="E703" s="3" t="n">
        <v>20.827</v>
      </c>
      <c r="F703" s="4" t="n">
        <v>3</v>
      </c>
      <c r="G703" t="inlineStr">
        <is>
          <t>Ontario Tennis Association</t>
        </is>
      </c>
      <c r="H703" t="inlineStr">
        <is>
          <t>Rideau Sports Centre</t>
        </is>
      </c>
      <c r="I703" t="n">
        <v>39.2</v>
      </c>
      <c r="J703" s="4" t="n">
        <v>74</v>
      </c>
      <c r="K703" t="inlineStr">
        <is>
          <t>13 / 61</t>
        </is>
      </c>
      <c r="L703" t="inlineStr">
        <is>
          <t>0 / 3</t>
        </is>
      </c>
      <c r="M703" s="5" t="n">
        <v>0.18</v>
      </c>
      <c r="N703" s="5" t="n">
        <v>0</v>
      </c>
    </row>
    <row r="704">
      <c r="A704" t="n">
        <v>703</v>
      </c>
      <c r="B704" t="n">
        <v>2014</v>
      </c>
      <c r="C704" t="inlineStr">
        <is>
          <t>Adele Cui</t>
        </is>
      </c>
      <c r="D704">
        <f>HYPERLINK("https://ota.tournamentsoftware.com/player-profile/E096F094-0386-4439-807E-E147F97C754F", "Link")</f>
        <v/>
      </c>
      <c r="E704" s="3" t="n">
        <v>20.768</v>
      </c>
      <c r="F704" s="4" t="n">
        <v>6</v>
      </c>
      <c r="G704" t="inlineStr">
        <is>
          <t>British Columbia</t>
        </is>
      </c>
      <c r="H704" t="inlineStr">
        <is>
          <t>UBC Tennis Centre</t>
        </is>
      </c>
      <c r="I704" t="n">
        <v>35.8</v>
      </c>
      <c r="J704" s="4" t="n">
        <v>80</v>
      </c>
      <c r="K704" t="inlineStr">
        <is>
          <t>46 / 34</t>
        </is>
      </c>
      <c r="L704" t="inlineStr">
        <is>
          <t>1 / 4</t>
        </is>
      </c>
      <c r="M704" s="5" t="n">
        <v>0.57</v>
      </c>
      <c r="N704" s="5" t="n">
        <v>0.2</v>
      </c>
    </row>
    <row r="705">
      <c r="A705" t="n">
        <v>704</v>
      </c>
      <c r="B705" t="n">
        <v>2013</v>
      </c>
      <c r="C705" t="inlineStr">
        <is>
          <t>Vedika P Sant</t>
        </is>
      </c>
      <c r="D705">
        <f>HYPERLINK("https://ota.tournamentsoftware.com/player-profile/37441797-5F95-4518-997F-3F1602AC6E85", "Link")</f>
        <v/>
      </c>
      <c r="E705" s="3" t="n">
        <v>20.667</v>
      </c>
      <c r="F705" s="4" t="n">
        <v>1</v>
      </c>
      <c r="G705" t="inlineStr">
        <is>
          <t>Ontario Tennis Association</t>
        </is>
      </c>
      <c r="H705" t="inlineStr">
        <is>
          <t>Martingrove Tennis Club</t>
        </is>
      </c>
      <c r="I705" t="inlineStr">
        <is>
          <t>unavailable</t>
        </is>
      </c>
      <c r="J705" s="4" t="n">
        <v>8</v>
      </c>
      <c r="K705" t="inlineStr">
        <is>
          <t>2 / 6</t>
        </is>
      </c>
      <c r="L705" t="inlineStr">
        <is>
          <t>0 / 1</t>
        </is>
      </c>
      <c r="M705" s="5" t="n">
        <v>0.25</v>
      </c>
      <c r="N705" s="5" t="n">
        <v>0</v>
      </c>
    </row>
    <row r="706">
      <c r="A706" t="n">
        <v>705</v>
      </c>
      <c r="B706" t="n">
        <v>2013</v>
      </c>
      <c r="C706" t="inlineStr">
        <is>
          <t>Rebecca Maria Marcu</t>
        </is>
      </c>
      <c r="D706">
        <f>HYPERLINK("https://ota.tournamentsoftware.com/player-profile/1A9DB997-6193-4975-8534-F68D4F83BF32", "Link")</f>
        <v/>
      </c>
      <c r="E706" s="3" t="n">
        <v>20.131</v>
      </c>
      <c r="F706" s="4" t="n">
        <v>2</v>
      </c>
      <c r="G706" t="inlineStr">
        <is>
          <t>Ontario Tennis Association</t>
        </is>
      </c>
      <c r="H706" t="inlineStr">
        <is>
          <t>National Capital Tennis Association</t>
        </is>
      </c>
      <c r="I706" t="inlineStr">
        <is>
          <t>unavailable</t>
        </is>
      </c>
      <c r="J706" s="4" t="n">
        <v>4</v>
      </c>
      <c r="K706" t="inlineStr">
        <is>
          <t>1 / 3</t>
        </is>
      </c>
      <c r="L706" t="inlineStr">
        <is>
          <t>0 / 2</t>
        </is>
      </c>
      <c r="M706" s="5" t="n">
        <v>0.25</v>
      </c>
      <c r="N706" s="5" t="n">
        <v>0</v>
      </c>
    </row>
    <row r="707">
      <c r="A707" t="n">
        <v>706</v>
      </c>
      <c r="B707" t="n">
        <v>2014</v>
      </c>
      <c r="C707" t="inlineStr">
        <is>
          <t>Cheryl Elizabeth Ong</t>
        </is>
      </c>
      <c r="D707">
        <f>HYPERLINK("https://ota.tournamentsoftware.com/player-profile/11AC4E6A-0B03-4BB4-ACB7-333E7FD9064F", "Link")</f>
        <v/>
      </c>
      <c r="E707" s="3" t="n">
        <v>20.052</v>
      </c>
      <c r="F707" s="4" t="n">
        <v>9</v>
      </c>
      <c r="G707" t="inlineStr">
        <is>
          <t>British Columbia</t>
        </is>
      </c>
      <c r="H707" t="inlineStr">
        <is>
          <t>Tennis for Life</t>
        </is>
      </c>
      <c r="I707" t="inlineStr">
        <is>
          <t>unavailable</t>
        </is>
      </c>
      <c r="J707" s="4" t="n">
        <v>38</v>
      </c>
      <c r="K707" t="inlineStr">
        <is>
          <t>11 / 27</t>
        </is>
      </c>
      <c r="L707" t="inlineStr">
        <is>
          <t>7 / 11</t>
        </is>
      </c>
      <c r="M707" s="5" t="n">
        <v>0.29</v>
      </c>
      <c r="N707" s="5" t="n">
        <v>0.39</v>
      </c>
    </row>
    <row r="708">
      <c r="A708" t="n">
        <v>707</v>
      </c>
      <c r="B708" t="n">
        <v>2012</v>
      </c>
      <c r="C708" t="inlineStr">
        <is>
          <t>Emily Chai</t>
        </is>
      </c>
      <c r="D708">
        <f>HYPERLINK("https://ota.tournamentsoftware.com/player-profile/0DE38792-F237-4087-A5C1-369B6A3E0088", "Link")</f>
        <v/>
      </c>
      <c r="E708" s="3" t="n">
        <v>19.958</v>
      </c>
      <c r="F708" s="4" t="n">
        <v>2</v>
      </c>
      <c r="G708" t="inlineStr">
        <is>
          <t>Ontario Tennis Association</t>
        </is>
      </c>
      <c r="H708" t="inlineStr">
        <is>
          <t>ON Tennis Toronto No Club</t>
        </is>
      </c>
      <c r="I708" t="n">
        <v>38.4</v>
      </c>
      <c r="J708" s="4" t="n">
        <v>7</v>
      </c>
      <c r="K708" t="inlineStr">
        <is>
          <t>1 / 6</t>
        </is>
      </c>
      <c r="L708" t="inlineStr">
        <is>
          <t>1 / 6</t>
        </is>
      </c>
      <c r="M708" s="5" t="n">
        <v>0.14</v>
      </c>
      <c r="N708" s="5" t="n">
        <v>0.14</v>
      </c>
    </row>
    <row r="709">
      <c r="A709" t="n">
        <v>708</v>
      </c>
      <c r="B709" t="n">
        <v>2012</v>
      </c>
      <c r="C709" t="inlineStr">
        <is>
          <t>Yulli Anne Tsang</t>
        </is>
      </c>
      <c r="D709">
        <f>HYPERLINK("https://ota.tournamentsoftware.com/player-profile/E8CCFA74-9017-45A2-B403-724A9977CD1E", "Link")</f>
        <v/>
      </c>
      <c r="E709" s="3" t="n">
        <v>19.768</v>
      </c>
      <c r="F709" s="4" t="n">
        <v>5</v>
      </c>
      <c r="G709" t="inlineStr">
        <is>
          <t>Tennis Alberta</t>
        </is>
      </c>
      <c r="H709" t="inlineStr">
        <is>
          <t>Derrick Golf &amp; Winter Club</t>
        </is>
      </c>
      <c r="I709" t="n">
        <v>35.9</v>
      </c>
      <c r="J709" s="4" t="n">
        <v>28</v>
      </c>
      <c r="K709" t="inlineStr">
        <is>
          <t>9 / 19</t>
        </is>
      </c>
      <c r="L709" t="inlineStr">
        <is>
          <t>4 / 8</t>
        </is>
      </c>
      <c r="M709" s="5" t="n">
        <v>0.32</v>
      </c>
      <c r="N709" s="5" t="n">
        <v>0.33</v>
      </c>
    </row>
    <row r="710">
      <c r="A710" t="n">
        <v>709</v>
      </c>
      <c r="B710" t="n">
        <v>2014</v>
      </c>
      <c r="C710" t="inlineStr">
        <is>
          <t>Mia Baker</t>
        </is>
      </c>
      <c r="D710">
        <f>HYPERLINK("https://ota.tournamentsoftware.com/player-profile/ABFF2DBE-5CD7-451A-B77E-526F2DB67DA2", "Link")</f>
        <v/>
      </c>
      <c r="E710" s="3" t="n">
        <v>19.715</v>
      </c>
      <c r="F710" s="4" t="n">
        <v>10</v>
      </c>
      <c r="G710" t="inlineStr">
        <is>
          <t>Tennis Québec</t>
        </is>
      </c>
      <c r="H710" t="inlineStr">
        <is>
          <t>SANI Sport</t>
        </is>
      </c>
      <c r="I710" t="n">
        <v>40</v>
      </c>
      <c r="J710" s="4" t="n">
        <v>57</v>
      </c>
      <c r="K710" t="inlineStr">
        <is>
          <t>2 / 55</t>
        </is>
      </c>
      <c r="L710" t="inlineStr">
        <is>
          <t>0 / 10</t>
        </is>
      </c>
      <c r="M710" s="5" t="n">
        <v>0.04</v>
      </c>
      <c r="N710" s="5" t="n">
        <v>0</v>
      </c>
    </row>
    <row r="711">
      <c r="A711" t="n">
        <v>710</v>
      </c>
      <c r="B711" t="n">
        <v>2014</v>
      </c>
      <c r="C711" t="inlineStr">
        <is>
          <t>Mia Mengchen Sun</t>
        </is>
      </c>
      <c r="D711">
        <f>HYPERLINK("https://ota.tournamentsoftware.com/player-profile/BFD3D157-D2B6-45BF-BE92-CACB69CCC59C", "Link")</f>
        <v/>
      </c>
      <c r="E711" s="3" t="n">
        <v>19.626</v>
      </c>
      <c r="F711" s="4" t="n">
        <v>5</v>
      </c>
      <c r="G711" t="inlineStr">
        <is>
          <t>Ontario Tennis Association</t>
        </is>
      </c>
      <c r="H711" t="inlineStr">
        <is>
          <t>Markham Tennis Club</t>
        </is>
      </c>
      <c r="I711" t="n">
        <v>37.9</v>
      </c>
      <c r="J711" s="4" t="n">
        <v>51</v>
      </c>
      <c r="K711" t="inlineStr">
        <is>
          <t>32 / 19</t>
        </is>
      </c>
      <c r="L711" t="inlineStr">
        <is>
          <t>0 / 0</t>
        </is>
      </c>
      <c r="M711" s="5" t="n">
        <v>0.63</v>
      </c>
      <c r="N711" s="5" t="n">
        <v>0</v>
      </c>
    </row>
    <row r="712">
      <c r="A712" t="n">
        <v>711</v>
      </c>
      <c r="B712" t="n">
        <v>2013</v>
      </c>
      <c r="C712" t="inlineStr">
        <is>
          <t>Nimesha Singh</t>
        </is>
      </c>
      <c r="D712">
        <f>HYPERLINK("https://ota.tournamentsoftware.com/player-profile/8C91735C-DF4B-4994-88A2-155C813C74CC", "Link")</f>
        <v/>
      </c>
      <c r="E712" s="3" t="n">
        <v>19.44</v>
      </c>
      <c r="F712" s="4" t="n">
        <v>2</v>
      </c>
      <c r="G712" t="inlineStr">
        <is>
          <t>Tennis Nova Scotia</t>
        </is>
      </c>
      <c r="H712" t="inlineStr">
        <is>
          <t>Atlantic Tennis Centre</t>
        </is>
      </c>
      <c r="I712" t="n">
        <v>28.1</v>
      </c>
      <c r="J712" s="4" t="n">
        <v>196</v>
      </c>
      <c r="K712" t="inlineStr">
        <is>
          <t>96 / 100</t>
        </is>
      </c>
      <c r="L712" t="inlineStr">
        <is>
          <t>0 / 0</t>
        </is>
      </c>
      <c r="M712" s="5" t="n">
        <v>0.49</v>
      </c>
      <c r="N712" s="5" t="n">
        <v>0</v>
      </c>
    </row>
    <row r="713">
      <c r="A713" t="n">
        <v>712</v>
      </c>
      <c r="B713" t="n">
        <v>2012</v>
      </c>
      <c r="C713" t="inlineStr">
        <is>
          <t>Leah Lalonde</t>
        </is>
      </c>
      <c r="D713">
        <f>HYPERLINK("https://ota.tournamentsoftware.com/player-profile/00453502-5F0D-45E9-960B-731844BB2EE7", "Link")</f>
        <v/>
      </c>
      <c r="E713" s="3" t="n">
        <v>19.385</v>
      </c>
      <c r="F713" s="4" t="n">
        <v>1</v>
      </c>
      <c r="G713" t="inlineStr">
        <is>
          <t>Ontario Tennis Association</t>
        </is>
      </c>
      <c r="H713" t="inlineStr">
        <is>
          <t>North Bay Tennis Club</t>
        </is>
      </c>
      <c r="I713" t="inlineStr">
        <is>
          <t>unavailable</t>
        </is>
      </c>
      <c r="J713" s="4" t="n">
        <v>79</v>
      </c>
      <c r="K713" t="inlineStr">
        <is>
          <t>47 / 32</t>
        </is>
      </c>
      <c r="L713" t="inlineStr">
        <is>
          <t>0 / 0</t>
        </is>
      </c>
      <c r="M713" s="5" t="n">
        <v>0.59</v>
      </c>
      <c r="N713" s="5" t="n">
        <v>0</v>
      </c>
    </row>
    <row r="714">
      <c r="A714" t="n">
        <v>713</v>
      </c>
      <c r="B714" t="n">
        <v>2014</v>
      </c>
      <c r="C714" t="inlineStr">
        <is>
          <t>Camilia Aroub</t>
        </is>
      </c>
      <c r="D714">
        <f>HYPERLINK("https://ota.tournamentsoftware.com/player-profile/7CE0472D-53F2-438D-B060-8BB037C14F01", "Link")</f>
        <v/>
      </c>
      <c r="E714" s="3" t="n">
        <v>18.866</v>
      </c>
      <c r="F714" s="4" t="n">
        <v>8</v>
      </c>
      <c r="G714" t="inlineStr">
        <is>
          <t>Tennis Québec</t>
        </is>
      </c>
      <c r="H714" t="inlineStr">
        <is>
          <t>Club Sportif Côte-de-Liesse</t>
        </is>
      </c>
      <c r="I714" t="n">
        <v>40</v>
      </c>
      <c r="J714" s="4" t="n">
        <v>16</v>
      </c>
      <c r="K714" t="inlineStr">
        <is>
          <t>2 / 14</t>
        </is>
      </c>
      <c r="L714" t="inlineStr">
        <is>
          <t>2 / 11</t>
        </is>
      </c>
      <c r="M714" s="5" t="n">
        <v>0.12</v>
      </c>
      <c r="N714" s="5" t="n">
        <v>0.15</v>
      </c>
    </row>
    <row r="715">
      <c r="A715" t="n">
        <v>714</v>
      </c>
      <c r="B715" t="n">
        <v>2014</v>
      </c>
      <c r="C715" t="inlineStr">
        <is>
          <t>Olivia V. Jin</t>
        </is>
      </c>
      <c r="D715">
        <f>HYPERLINK("https://ota.tournamentsoftware.com/player-profile/88713252-C9AF-4DC4-B40D-11479A26EE47", "Link")</f>
        <v/>
      </c>
      <c r="E715" s="3" t="n">
        <v>18.821</v>
      </c>
      <c r="F715" s="4" t="n">
        <v>8</v>
      </c>
      <c r="G715" t="inlineStr">
        <is>
          <t>British Columbia</t>
        </is>
      </c>
      <c r="H715" t="inlineStr">
        <is>
          <t>Hollyburn Country Club</t>
        </is>
      </c>
      <c r="I715" t="n">
        <v>35.6</v>
      </c>
      <c r="J715" s="4" t="n">
        <v>85</v>
      </c>
      <c r="K715" t="inlineStr">
        <is>
          <t>26 / 59</t>
        </is>
      </c>
      <c r="L715" t="inlineStr">
        <is>
          <t>6 / 2</t>
        </is>
      </c>
      <c r="M715" s="5" t="n">
        <v>0.31</v>
      </c>
      <c r="N715" s="5" t="n">
        <v>0.75</v>
      </c>
    </row>
    <row r="716">
      <c r="A716" t="n">
        <v>715</v>
      </c>
      <c r="B716" t="n">
        <v>2014</v>
      </c>
      <c r="C716" t="inlineStr">
        <is>
          <t>kunyou Guan</t>
        </is>
      </c>
      <c r="D716">
        <f>HYPERLINK("https://ota.tournamentsoftware.com/player-profile/1F3E9C6C-8AD9-4B0B-B88C-410B372DBAF5", "Link")</f>
        <v/>
      </c>
      <c r="E716" s="3" t="n">
        <v>18.787</v>
      </c>
      <c r="F716" s="4" t="n">
        <v>5</v>
      </c>
      <c r="G716" t="inlineStr">
        <is>
          <t>Ontario Tennis Association</t>
        </is>
      </c>
      <c r="H716" t="inlineStr">
        <is>
          <t>Mayfair West Fitness &amp; Racquet Club</t>
        </is>
      </c>
      <c r="I716" t="n">
        <v>38.3</v>
      </c>
      <c r="J716" s="4" t="n">
        <v>34</v>
      </c>
      <c r="K716" t="inlineStr">
        <is>
          <t>17 / 17</t>
        </is>
      </c>
      <c r="L716" t="inlineStr">
        <is>
          <t>4 / 6</t>
        </is>
      </c>
      <c r="M716" s="5" t="n">
        <v>0.5</v>
      </c>
      <c r="N716" s="5" t="n">
        <v>0.4</v>
      </c>
    </row>
    <row r="717">
      <c r="A717" t="n">
        <v>716</v>
      </c>
      <c r="B717" t="n">
        <v>2012</v>
      </c>
      <c r="C717" t="inlineStr">
        <is>
          <t>Maddy Frances Hughes</t>
        </is>
      </c>
      <c r="D717">
        <f>HYPERLINK("https://ota.tournamentsoftware.com/player-profile/78566C46-653E-4667-ADCE-638FA56C318F", "Link")</f>
        <v/>
      </c>
      <c r="E717" s="3" t="n">
        <v>18.771</v>
      </c>
      <c r="F717" s="4" t="n">
        <v>2</v>
      </c>
      <c r="G717" t="inlineStr">
        <is>
          <t>Ontario Tennis Association</t>
        </is>
      </c>
      <c r="H717" t="inlineStr">
        <is>
          <t>Boulevard Club</t>
        </is>
      </c>
      <c r="I717" t="n">
        <v>37.7</v>
      </c>
      <c r="J717" s="4" t="n">
        <v>41</v>
      </c>
      <c r="K717" t="inlineStr">
        <is>
          <t>16 / 25</t>
        </is>
      </c>
      <c r="L717" t="inlineStr">
        <is>
          <t>4 / 7</t>
        </is>
      </c>
      <c r="M717" s="5" t="n">
        <v>0.39</v>
      </c>
      <c r="N717" s="5" t="n">
        <v>0.36</v>
      </c>
    </row>
    <row r="718">
      <c r="A718" t="n">
        <v>717</v>
      </c>
      <c r="B718" t="n">
        <v>2012</v>
      </c>
      <c r="C718" t="inlineStr">
        <is>
          <t>Diya Parkash</t>
        </is>
      </c>
      <c r="D718">
        <f>HYPERLINK("https://ota.tournamentsoftware.com/player-profile/73A3C93B-23D0-4FC2-9B92-CA5DFE4335FD", "Link")</f>
        <v/>
      </c>
      <c r="E718" s="3" t="n">
        <v>18.484</v>
      </c>
      <c r="F718" s="4" t="n">
        <v>1</v>
      </c>
      <c r="G718" t="inlineStr">
        <is>
          <t>Tennis Nova Scotia</t>
        </is>
      </c>
      <c r="H718" t="inlineStr">
        <is>
          <t>HEADSTART</t>
        </is>
      </c>
      <c r="I718" t="n">
        <v>36.8</v>
      </c>
      <c r="J718" s="4" t="n">
        <v>6</v>
      </c>
      <c r="K718" t="inlineStr">
        <is>
          <t>3 / 3</t>
        </is>
      </c>
      <c r="L718" t="inlineStr">
        <is>
          <t>3 / 3</t>
        </is>
      </c>
      <c r="M718" s="5" t="n">
        <v>0.5</v>
      </c>
      <c r="N718" s="5" t="n">
        <v>0.5</v>
      </c>
    </row>
    <row r="719">
      <c r="A719" t="n">
        <v>718</v>
      </c>
      <c r="B719" t="n">
        <v>2013</v>
      </c>
      <c r="C719" t="inlineStr">
        <is>
          <t>Eve Fuemana</t>
        </is>
      </c>
      <c r="D719">
        <f>HYPERLINK("https://ota.tournamentsoftware.com/player-profile/C6B89948-0347-4A82-9588-926B794A08CE", "Link")</f>
        <v/>
      </c>
      <c r="E719" s="3" t="n">
        <v>18.447</v>
      </c>
      <c r="F719" s="4" t="n">
        <v>1</v>
      </c>
      <c r="G719" t="inlineStr">
        <is>
          <t>Ontario Tennis Association</t>
        </is>
      </c>
      <c r="H719" t="inlineStr">
        <is>
          <t>Toronto Tennis City</t>
        </is>
      </c>
      <c r="I719" t="n">
        <v>27.7</v>
      </c>
      <c r="J719" s="4" t="n">
        <v>3</v>
      </c>
      <c r="K719" t="inlineStr">
        <is>
          <t>0 / 3</t>
        </is>
      </c>
      <c r="L719" t="inlineStr">
        <is>
          <t>0 / 1</t>
        </is>
      </c>
      <c r="M719" s="5" t="n">
        <v>0</v>
      </c>
      <c r="N719" s="5" t="n">
        <v>0</v>
      </c>
    </row>
    <row r="720">
      <c r="A720" t="n">
        <v>719</v>
      </c>
      <c r="B720" t="n">
        <v>2014</v>
      </c>
      <c r="C720" t="inlineStr">
        <is>
          <t>Éloïse Renaud</t>
        </is>
      </c>
      <c r="D720">
        <f>HYPERLINK("https://ota.tournamentsoftware.com/player-profile/B18DE2B4-0E8A-4263-8136-FCC7F7A61D01", "Link")</f>
        <v/>
      </c>
      <c r="E720" s="3" t="n">
        <v>18.36</v>
      </c>
      <c r="F720" s="4" t="n">
        <v>4</v>
      </c>
      <c r="G720" t="inlineStr">
        <is>
          <t>Tennis Québec</t>
        </is>
      </c>
      <c r="H720" t="inlineStr">
        <is>
          <t>Tennis 13</t>
        </is>
      </c>
      <c r="I720" t="inlineStr">
        <is>
          <t>unavailable</t>
        </is>
      </c>
      <c r="J720" s="4" t="n">
        <v>8</v>
      </c>
      <c r="K720" t="inlineStr">
        <is>
          <t>4 / 4</t>
        </is>
      </c>
      <c r="L720" t="inlineStr">
        <is>
          <t>1 / 2</t>
        </is>
      </c>
      <c r="M720" s="5" t="n">
        <v>0.5</v>
      </c>
      <c r="N720" s="5" t="n">
        <v>0.33</v>
      </c>
    </row>
    <row r="721">
      <c r="A721" t="n">
        <v>720</v>
      </c>
      <c r="B721" t="n">
        <v>2015</v>
      </c>
      <c r="C721" t="inlineStr">
        <is>
          <t>Simone Tremblay-Roy</t>
        </is>
      </c>
      <c r="D721">
        <f>HYPERLINK("https://ota.tournamentsoftware.com/player-profile/E7E1A20D-ED12-47F1-913D-3022C4BE6070", "Link")</f>
        <v/>
      </c>
      <c r="E721" s="3" t="n">
        <v>18.332</v>
      </c>
      <c r="F721" s="4" t="n">
        <v>2</v>
      </c>
      <c r="G721" t="inlineStr">
        <is>
          <t>Tennis Québec</t>
        </is>
      </c>
      <c r="H721" t="inlineStr">
        <is>
          <t>Club de tennis intérieur Saguenay</t>
        </is>
      </c>
      <c r="I721" t="n">
        <v>37.4</v>
      </c>
      <c r="J721" s="4" t="n">
        <v>7</v>
      </c>
      <c r="K721" t="inlineStr">
        <is>
          <t>4 / 3</t>
        </is>
      </c>
      <c r="L721" t="inlineStr">
        <is>
          <t>1 / 3</t>
        </is>
      </c>
      <c r="M721" s="5" t="n">
        <v>0.57</v>
      </c>
      <c r="N721" s="5" t="n">
        <v>0.25</v>
      </c>
    </row>
    <row r="722">
      <c r="A722" t="n">
        <v>721</v>
      </c>
      <c r="B722" t="n">
        <v>2013</v>
      </c>
      <c r="C722" t="inlineStr">
        <is>
          <t>Blake Beck Sadler</t>
        </is>
      </c>
      <c r="D722">
        <f>HYPERLINK("https://ota.tournamentsoftware.com/player-profile/B44D5381-342B-4AF0-8200-EA0CEE1E54B7", "Link")</f>
        <v/>
      </c>
      <c r="E722" s="3" t="n">
        <v>17.916</v>
      </c>
      <c r="F722" s="4" t="n">
        <v>2</v>
      </c>
      <c r="G722" t="inlineStr">
        <is>
          <t>Ontario Tennis Association</t>
        </is>
      </c>
      <c r="H722" t="inlineStr">
        <is>
          <t>Ontario Racquet Club</t>
        </is>
      </c>
      <c r="I722" t="n">
        <v>35.9</v>
      </c>
      <c r="J722" s="4" t="n">
        <v>22</v>
      </c>
      <c r="K722" t="inlineStr">
        <is>
          <t>12 / 10</t>
        </is>
      </c>
      <c r="L722" t="inlineStr">
        <is>
          <t>1 / 1</t>
        </is>
      </c>
      <c r="M722" s="5" t="n">
        <v>0.55</v>
      </c>
      <c r="N722" s="5" t="n">
        <v>0.5</v>
      </c>
    </row>
    <row r="723">
      <c r="A723" t="n">
        <v>722</v>
      </c>
      <c r="B723" t="n">
        <v>2014</v>
      </c>
      <c r="C723" t="inlineStr">
        <is>
          <t>Sophia Marietta Dee</t>
        </is>
      </c>
      <c r="D723">
        <f>HYPERLINK("https://ota.tournamentsoftware.com/player-profile/C69F5ADB-3749-4D97-A809-250A73BB30C1", "Link")</f>
        <v/>
      </c>
      <c r="E723" s="3" t="n">
        <v>17.903</v>
      </c>
      <c r="F723" s="4" t="n">
        <v>6</v>
      </c>
      <c r="G723" t="inlineStr">
        <is>
          <t>British Columbia</t>
        </is>
      </c>
      <c r="H723" t="inlineStr">
        <is>
          <t>Arbutus Club</t>
        </is>
      </c>
      <c r="I723" t="n">
        <v>36.8</v>
      </c>
      <c r="J723" s="4" t="n">
        <v>40</v>
      </c>
      <c r="K723" t="inlineStr">
        <is>
          <t>14 / 26</t>
        </is>
      </c>
      <c r="L723" t="inlineStr">
        <is>
          <t>5 / 7</t>
        </is>
      </c>
      <c r="M723" s="5" t="n">
        <v>0.35</v>
      </c>
      <c r="N723" s="5" t="n">
        <v>0.42</v>
      </c>
    </row>
    <row r="724">
      <c r="A724" t="n">
        <v>723</v>
      </c>
      <c r="B724" t="n">
        <v>2013</v>
      </c>
      <c r="C724" t="inlineStr">
        <is>
          <t>caitlin wong</t>
        </is>
      </c>
      <c r="D724">
        <f>HYPERLINK("https://ota.tournamentsoftware.com/player-profile/A6697051-116D-4981-AA23-11E1BF963FD3", "Link")</f>
        <v/>
      </c>
      <c r="E724" s="3" t="n">
        <v>17.486</v>
      </c>
      <c r="F724" s="4" t="n">
        <v>2</v>
      </c>
      <c r="G724" t="inlineStr">
        <is>
          <t>Ontario Tennis Association</t>
        </is>
      </c>
      <c r="H724" t="inlineStr">
        <is>
          <t>Blackmore Tennis Club</t>
        </is>
      </c>
      <c r="I724" t="n">
        <v>37.2</v>
      </c>
      <c r="J724" s="4" t="n">
        <v>56</v>
      </c>
      <c r="K724" t="inlineStr">
        <is>
          <t>29 / 27</t>
        </is>
      </c>
      <c r="L724" t="inlineStr">
        <is>
          <t>0 / 0</t>
        </is>
      </c>
      <c r="M724" s="5" t="n">
        <v>0.52</v>
      </c>
      <c r="N724" s="5" t="n">
        <v>0</v>
      </c>
    </row>
    <row r="725">
      <c r="A725" t="n">
        <v>724</v>
      </c>
      <c r="B725" t="n">
        <v>2013</v>
      </c>
      <c r="C725" t="inlineStr">
        <is>
          <t>Lily Pilipowicz</t>
        </is>
      </c>
      <c r="D725">
        <f>HYPERLINK("https://ota.tournamentsoftware.com/player-profile/B42CFB1E-4A07-4108-A904-8512C36C48D8", "Link")</f>
        <v/>
      </c>
      <c r="E725" s="3" t="n">
        <v>17.313</v>
      </c>
      <c r="F725" s="4" t="n">
        <v>4</v>
      </c>
      <c r="G725" t="inlineStr">
        <is>
          <t>Tennis Alberta</t>
        </is>
      </c>
      <c r="H725" t="inlineStr">
        <is>
          <t>Aforza</t>
        </is>
      </c>
      <c r="I725" t="n">
        <v>34</v>
      </c>
      <c r="J725" s="4" t="n">
        <v>40</v>
      </c>
      <c r="K725" t="inlineStr">
        <is>
          <t>19 / 21</t>
        </is>
      </c>
      <c r="L725" t="inlineStr">
        <is>
          <t>0 / 1</t>
        </is>
      </c>
      <c r="M725" s="5" t="n">
        <v>0.47</v>
      </c>
      <c r="N725" s="5" t="n">
        <v>0</v>
      </c>
    </row>
    <row r="726">
      <c r="A726" t="n">
        <v>725</v>
      </c>
      <c r="B726" t="n">
        <v>2014</v>
      </c>
      <c r="C726" t="inlineStr">
        <is>
          <t>Rehmat Kaur Sandhar</t>
        </is>
      </c>
      <c r="D726">
        <f>HYPERLINK("https://ota.tournamentsoftware.com/player-profile/F8357E3D-210F-40E0-BA8A-8FFDBD0DC17E", "Link")</f>
        <v/>
      </c>
      <c r="E726" s="3" t="n">
        <v>17.28</v>
      </c>
      <c r="F726" s="4" t="n">
        <v>2</v>
      </c>
      <c r="G726" t="inlineStr">
        <is>
          <t>Ontario Tennis Association</t>
        </is>
      </c>
      <c r="H726" t="inlineStr">
        <is>
          <t>ON Tennis Toronto No Club</t>
        </is>
      </c>
      <c r="I726" t="n">
        <v>36.7</v>
      </c>
      <c r="J726" s="4" t="n">
        <v>28</v>
      </c>
      <c r="K726" t="inlineStr">
        <is>
          <t>11 / 17</t>
        </is>
      </c>
      <c r="L726" t="inlineStr">
        <is>
          <t>11 / 14</t>
        </is>
      </c>
      <c r="M726" s="5" t="n">
        <v>0.39</v>
      </c>
      <c r="N726" s="5" t="n">
        <v>0.44</v>
      </c>
    </row>
    <row r="727">
      <c r="A727" t="n">
        <v>725</v>
      </c>
      <c r="B727" t="n">
        <v>2016</v>
      </c>
      <c r="C727" t="inlineStr">
        <is>
          <t>Nourine Chebitou</t>
        </is>
      </c>
      <c r="D727">
        <f>HYPERLINK("https://ota.tournamentsoftware.com/player-profile/7B847012-F77E-40EE-A816-39ABE1031DA9", "Link")</f>
        <v/>
      </c>
      <c r="E727" s="3" t="n">
        <v>17.28</v>
      </c>
      <c r="F727" s="4" t="n">
        <v>1</v>
      </c>
      <c r="G727" t="inlineStr">
        <is>
          <t>Tennis Québec</t>
        </is>
      </c>
      <c r="H727" t="inlineStr">
        <is>
          <t>SANI Sport</t>
        </is>
      </c>
      <c r="I727" t="n">
        <v>37.3</v>
      </c>
      <c r="J727" s="4" t="n">
        <v>5</v>
      </c>
      <c r="K727" t="inlineStr">
        <is>
          <t>1 / 4</t>
        </is>
      </c>
      <c r="L727" t="inlineStr">
        <is>
          <t>1 / 1</t>
        </is>
      </c>
      <c r="M727" s="5" t="n">
        <v>0.2</v>
      </c>
      <c r="N727" s="5" t="n">
        <v>0.5</v>
      </c>
    </row>
    <row r="728">
      <c r="A728" t="n">
        <v>727</v>
      </c>
      <c r="B728" t="n">
        <v>2012</v>
      </c>
      <c r="C728" t="inlineStr">
        <is>
          <t>Emily Solc</t>
        </is>
      </c>
      <c r="D728">
        <f>HYPERLINK("https://ota.tournamentsoftware.com/player-profile/0117F9E7-8DFA-459F-859A-F7CFC440388D", "Link")</f>
        <v/>
      </c>
      <c r="E728" s="3" t="n">
        <v>17.16</v>
      </c>
      <c r="F728" s="4" t="n">
        <v>1</v>
      </c>
      <c r="G728" t="inlineStr">
        <is>
          <t>Ontario Tennis Association</t>
        </is>
      </c>
      <c r="H728" t="inlineStr">
        <is>
          <t>Ajax Tennis Club</t>
        </is>
      </c>
      <c r="I728" t="n">
        <v>35.7</v>
      </c>
      <c r="J728" s="4" t="n">
        <v>15</v>
      </c>
      <c r="K728" t="inlineStr">
        <is>
          <t>6 / 9</t>
        </is>
      </c>
      <c r="L728" t="inlineStr">
        <is>
          <t>0 / 0</t>
        </is>
      </c>
      <c r="M728" s="5" t="n">
        <v>0.4</v>
      </c>
      <c r="N728" s="5" t="n">
        <v>0</v>
      </c>
    </row>
    <row r="729">
      <c r="A729" t="n">
        <v>728</v>
      </c>
      <c r="B729" t="n">
        <v>2012</v>
      </c>
      <c r="C729" t="inlineStr">
        <is>
          <t>Elise Weaser</t>
        </is>
      </c>
      <c r="D729">
        <f>HYPERLINK("https://ota.tournamentsoftware.com/player-profile/DA22DB71-D6D8-4605-B329-E9AEA5B14695", "Link")</f>
        <v/>
      </c>
      <c r="E729" s="3" t="n">
        <v>16.632</v>
      </c>
      <c r="F729" s="4" t="n">
        <v>1</v>
      </c>
      <c r="G729" t="inlineStr">
        <is>
          <t>Ontario Tennis Association</t>
        </is>
      </c>
      <c r="H729" t="inlineStr">
        <is>
          <t>Ontario Racquet Club</t>
        </is>
      </c>
      <c r="I729" t="n">
        <v>38</v>
      </c>
      <c r="J729" s="4" t="n">
        <v>28</v>
      </c>
      <c r="K729" t="inlineStr">
        <is>
          <t>6 / 22</t>
        </is>
      </c>
      <c r="L729" t="inlineStr">
        <is>
          <t>1 / 1</t>
        </is>
      </c>
      <c r="M729" s="5" t="n">
        <v>0.21</v>
      </c>
      <c r="N729" s="5" t="n">
        <v>0.5</v>
      </c>
    </row>
    <row r="730">
      <c r="A730" t="n">
        <v>729</v>
      </c>
      <c r="B730" t="n">
        <v>2013</v>
      </c>
      <c r="C730" t="inlineStr">
        <is>
          <t>Vasta Keshavarz</t>
        </is>
      </c>
      <c r="D730">
        <f>HYPERLINK("https://ota.tournamentsoftware.com/player-profile/601A80FC-EABC-4AF6-9B13-BEBCF22814BA", "Link")</f>
        <v/>
      </c>
      <c r="E730" s="3" t="n">
        <v>16.603</v>
      </c>
      <c r="F730" s="4" t="n">
        <v>4</v>
      </c>
      <c r="G730" t="inlineStr">
        <is>
          <t>British Columbia</t>
        </is>
      </c>
      <c r="H730" t="inlineStr">
        <is>
          <t>North Vancouver Tennis Centre</t>
        </is>
      </c>
      <c r="I730" t="inlineStr">
        <is>
          <t>unavailable</t>
        </is>
      </c>
      <c r="J730" s="4" t="n">
        <v>33</v>
      </c>
      <c r="K730" t="inlineStr">
        <is>
          <t>9 / 24</t>
        </is>
      </c>
      <c r="L730" t="inlineStr">
        <is>
          <t>1 / 17</t>
        </is>
      </c>
      <c r="M730" s="5" t="n">
        <v>0.27</v>
      </c>
      <c r="N730" s="5" t="n">
        <v>0.06</v>
      </c>
    </row>
    <row r="731">
      <c r="A731" t="n">
        <v>730</v>
      </c>
      <c r="B731" t="n">
        <v>2015</v>
      </c>
      <c r="C731" t="inlineStr">
        <is>
          <t>Léa Anténor</t>
        </is>
      </c>
      <c r="D731">
        <f>HYPERLINK("https://ota.tournamentsoftware.com/player-profile/C5888674-E1AF-487D-88CD-4864B4B9365E", "Link")</f>
        <v/>
      </c>
      <c r="E731" s="3" t="n">
        <v>16.489</v>
      </c>
      <c r="F731" s="4" t="n">
        <v>3</v>
      </c>
      <c r="G731" t="inlineStr">
        <is>
          <t>Tennis Québec</t>
        </is>
      </c>
      <c r="H731" t="inlineStr">
        <is>
          <t>No Club</t>
        </is>
      </c>
      <c r="I731" t="inlineStr">
        <is>
          <t>unavailable</t>
        </is>
      </c>
      <c r="J731" s="4" t="n">
        <v>2</v>
      </c>
      <c r="K731" t="inlineStr">
        <is>
          <t>0 / 2</t>
        </is>
      </c>
      <c r="L731" t="inlineStr">
        <is>
          <t>0 / 2</t>
        </is>
      </c>
      <c r="M731" s="5" t="n">
        <v>0</v>
      </c>
      <c r="N731" s="5" t="n">
        <v>0</v>
      </c>
    </row>
    <row r="732">
      <c r="A732" t="n">
        <v>731</v>
      </c>
      <c r="B732" t="n">
        <v>2014</v>
      </c>
      <c r="C732" t="inlineStr">
        <is>
          <t>Livia Hu</t>
        </is>
      </c>
      <c r="D732">
        <f>HYPERLINK("https://ota.tournamentsoftware.com/player-profile/F0626954-59DE-45D2-AE30-FCA903A00699", "Link")</f>
        <v/>
      </c>
      <c r="E732" s="3" t="n">
        <v>16.459</v>
      </c>
      <c r="F732" s="4" t="n">
        <v>2</v>
      </c>
      <c r="G732" t="inlineStr">
        <is>
          <t>Tennis Saskatchewan</t>
        </is>
      </c>
      <c r="H732" t="inlineStr">
        <is>
          <t>No Club</t>
        </is>
      </c>
      <c r="I732" t="n">
        <v>31.2</v>
      </c>
      <c r="J732" s="4" t="n">
        <v>36</v>
      </c>
      <c r="K732" t="inlineStr">
        <is>
          <t>21 / 15</t>
        </is>
      </c>
      <c r="L732" t="inlineStr">
        <is>
          <t>3 / 3</t>
        </is>
      </c>
      <c r="M732" s="5" t="n">
        <v>0.58</v>
      </c>
      <c r="N732" s="5" t="n">
        <v>0.5</v>
      </c>
    </row>
    <row r="733">
      <c r="A733" t="n">
        <v>732</v>
      </c>
      <c r="B733" t="n">
        <v>2015</v>
      </c>
      <c r="C733" t="inlineStr">
        <is>
          <t>Margaux Eile</t>
        </is>
      </c>
      <c r="D733">
        <f>HYPERLINK("https://ota.tournamentsoftware.com/player-profile/9023DCCB-FDAB-4759-A4C9-E99C2FD3C6AD", "Link")</f>
        <v/>
      </c>
      <c r="E733" s="3" t="n">
        <v>16.313</v>
      </c>
      <c r="F733" s="4" t="n">
        <v>6</v>
      </c>
      <c r="G733" t="inlineStr">
        <is>
          <t>Tennis Québec</t>
        </is>
      </c>
      <c r="H733" t="inlineStr">
        <is>
          <t>Midtown Le Sporting Club Sanctuaire</t>
        </is>
      </c>
      <c r="I733" t="inlineStr">
        <is>
          <t>unavailable</t>
        </is>
      </c>
      <c r="J733" s="4" t="n">
        <v>25</v>
      </c>
      <c r="K733" t="inlineStr">
        <is>
          <t>2 / 23</t>
        </is>
      </c>
      <c r="L733" t="inlineStr">
        <is>
          <t>0 / 6</t>
        </is>
      </c>
      <c r="M733" s="5" t="n">
        <v>0.08</v>
      </c>
      <c r="N733" s="5" t="n">
        <v>0</v>
      </c>
    </row>
    <row r="734">
      <c r="A734" t="n">
        <v>733</v>
      </c>
      <c r="B734" t="n">
        <v>2013</v>
      </c>
      <c r="C734" t="inlineStr">
        <is>
          <t>Kate Sumner</t>
        </is>
      </c>
      <c r="D734">
        <f>HYPERLINK("https://ota.tournamentsoftware.com/player-profile/42BF9410-8926-4C81-9B50-F1262CEF0360", "Link")</f>
        <v/>
      </c>
      <c r="E734" s="3" t="n">
        <v>16.027</v>
      </c>
      <c r="F734" s="4" t="n">
        <v>3</v>
      </c>
      <c r="G734" t="inlineStr">
        <is>
          <t>Ontario Tennis Association</t>
        </is>
      </c>
      <c r="H734" t="inlineStr">
        <is>
          <t>Toronto Cricket Skating &amp; Curling</t>
        </is>
      </c>
      <c r="I734" t="inlineStr">
        <is>
          <t>unavailable</t>
        </is>
      </c>
      <c r="J734" s="4" t="n">
        <v>33</v>
      </c>
      <c r="K734" t="inlineStr">
        <is>
          <t>11 / 22</t>
        </is>
      </c>
      <c r="L734" t="inlineStr">
        <is>
          <t>1 / 1</t>
        </is>
      </c>
      <c r="M734" s="5" t="n">
        <v>0.33</v>
      </c>
      <c r="N734" s="5" t="n">
        <v>0.5</v>
      </c>
    </row>
    <row r="735">
      <c r="A735" t="n">
        <v>734</v>
      </c>
      <c r="B735" t="n">
        <v>2015</v>
      </c>
      <c r="C735" t="inlineStr">
        <is>
          <t>Isla Cowper</t>
        </is>
      </c>
      <c r="D735">
        <f>HYPERLINK("https://ota.tournamentsoftware.com/player-profile/B4F82BC2-5552-446F-89FC-C5F7C7A674B7", "Link")</f>
        <v/>
      </c>
      <c r="E735" s="3" t="n">
        <v>15.552</v>
      </c>
      <c r="F735" s="4" t="n">
        <v>4</v>
      </c>
      <c r="G735" t="inlineStr">
        <is>
          <t>Ontario Tennis Association</t>
        </is>
      </c>
      <c r="H735" t="inlineStr">
        <is>
          <t>Tam Heather Tennis Club</t>
        </is>
      </c>
      <c r="I735" t="n">
        <v>39.2</v>
      </c>
      <c r="J735" s="4" t="n">
        <v>62</v>
      </c>
      <c r="K735" t="inlineStr">
        <is>
          <t>27 / 35</t>
        </is>
      </c>
      <c r="L735" t="inlineStr">
        <is>
          <t>7 / 11</t>
        </is>
      </c>
      <c r="M735" s="5" t="n">
        <v>0.44</v>
      </c>
      <c r="N735" s="5" t="n">
        <v>0.39</v>
      </c>
    </row>
    <row r="736">
      <c r="A736" t="n">
        <v>735</v>
      </c>
      <c r="B736" t="n">
        <v>2014</v>
      </c>
      <c r="C736" t="inlineStr">
        <is>
          <t>Precious J. Mutiku</t>
        </is>
      </c>
      <c r="D736">
        <f>HYPERLINK("https://ota.tournamentsoftware.com/player-profile/60A61325-C72A-4622-B3AF-5291E7A5657A", "Link")</f>
        <v/>
      </c>
      <c r="E736" s="3" t="n">
        <v>15.059</v>
      </c>
      <c r="F736" s="4" t="n">
        <v>1</v>
      </c>
      <c r="G736" t="inlineStr">
        <is>
          <t>Tennis Manitoba</t>
        </is>
      </c>
      <c r="H736" t="inlineStr">
        <is>
          <t>Taylor Tennis</t>
        </is>
      </c>
      <c r="I736" t="n">
        <v>37</v>
      </c>
      <c r="J736" s="4" t="n">
        <v>3</v>
      </c>
      <c r="K736" t="inlineStr">
        <is>
          <t>1 / 2</t>
        </is>
      </c>
      <c r="L736" t="inlineStr">
        <is>
          <t>0 / 1</t>
        </is>
      </c>
      <c r="M736" s="5" t="n">
        <v>0.33</v>
      </c>
      <c r="N736" s="5" t="n">
        <v>0</v>
      </c>
    </row>
    <row r="737">
      <c r="A737" t="n">
        <v>736</v>
      </c>
      <c r="B737" t="n">
        <v>2016</v>
      </c>
      <c r="C737" t="inlineStr">
        <is>
          <t>Yuetian Caroline Guo</t>
        </is>
      </c>
      <c r="D737">
        <f>HYPERLINK("https://ota.tournamentsoftware.com/player-profile/D9EEB088-31A0-4FD1-A91B-A82319998935", "Link")</f>
        <v/>
      </c>
      <c r="E737" s="3" t="n">
        <v>15.034</v>
      </c>
      <c r="F737" s="4" t="n">
        <v>7</v>
      </c>
      <c r="G737" t="inlineStr">
        <is>
          <t>British Columbia</t>
        </is>
      </c>
      <c r="H737" t="inlineStr">
        <is>
          <t>The Tennis Centre</t>
        </is>
      </c>
      <c r="I737" t="n">
        <v>37.3</v>
      </c>
      <c r="J737" s="4" t="n">
        <v>96</v>
      </c>
      <c r="K737" t="inlineStr">
        <is>
          <t>56 / 40</t>
        </is>
      </c>
      <c r="L737" t="inlineStr">
        <is>
          <t>26 / 14</t>
        </is>
      </c>
      <c r="M737" s="5" t="n">
        <v>0.58</v>
      </c>
      <c r="N737" s="5" t="n">
        <v>0.65</v>
      </c>
    </row>
    <row r="738">
      <c r="A738" t="n">
        <v>737</v>
      </c>
      <c r="B738" t="n">
        <v>2013</v>
      </c>
      <c r="C738" t="inlineStr">
        <is>
          <t>Kensington Gavin</t>
        </is>
      </c>
      <c r="D738">
        <f>HYPERLINK("https://ota.tournamentsoftware.com/player-profile/A4C08F5F-BDB2-4714-9F20-18E924F0B20C", "Link")</f>
        <v/>
      </c>
      <c r="E738" s="3" t="n">
        <v>15</v>
      </c>
      <c r="F738" s="4" t="n">
        <v>2</v>
      </c>
      <c r="G738" t="inlineStr">
        <is>
          <t>British Columbia</t>
        </is>
      </c>
      <c r="H738" t="inlineStr">
        <is>
          <t>No Club</t>
        </is>
      </c>
      <c r="I738" t="n">
        <v>33.1</v>
      </c>
      <c r="J738" s="4" t="n">
        <v>121</v>
      </c>
      <c r="K738" t="inlineStr">
        <is>
          <t>70 / 51</t>
        </is>
      </c>
      <c r="L738" t="inlineStr">
        <is>
          <t>0 / 0</t>
        </is>
      </c>
      <c r="M738" s="5" t="n">
        <v>0.58</v>
      </c>
      <c r="N738" s="5" t="n">
        <v>0</v>
      </c>
    </row>
    <row r="739">
      <c r="A739" t="n">
        <v>738</v>
      </c>
      <c r="B739" t="n">
        <v>2012</v>
      </c>
      <c r="C739" t="inlineStr">
        <is>
          <t>Navia Kaylynn Barlow</t>
        </is>
      </c>
      <c r="D739">
        <f>HYPERLINK("https://ota.tournamentsoftware.com/player-profile/44A25362-E73B-4E09-954B-7A375954482B", "Link")</f>
        <v/>
      </c>
      <c r="E739" s="3" t="n">
        <v>14.647</v>
      </c>
      <c r="F739" s="4" t="n">
        <v>3</v>
      </c>
      <c r="G739" t="inlineStr">
        <is>
          <t>Tennis Alberta</t>
        </is>
      </c>
      <c r="H739" t="inlineStr">
        <is>
          <t>Derrick Golf &amp; Winter Club</t>
        </is>
      </c>
      <c r="I739" t="inlineStr">
        <is>
          <t>unavailable</t>
        </is>
      </c>
      <c r="J739" s="4" t="n">
        <v>6</v>
      </c>
      <c r="K739" t="inlineStr">
        <is>
          <t>2 / 4</t>
        </is>
      </c>
      <c r="L739" t="inlineStr">
        <is>
          <t>2 / 4</t>
        </is>
      </c>
      <c r="M739" s="5" t="n">
        <v>0.33</v>
      </c>
      <c r="N739" s="5" t="n">
        <v>0.33</v>
      </c>
    </row>
    <row r="740">
      <c r="A740" t="n">
        <v>739</v>
      </c>
      <c r="B740" t="n">
        <v>2015</v>
      </c>
      <c r="C740" t="inlineStr">
        <is>
          <t>Mira Akhoundova</t>
        </is>
      </c>
      <c r="D740">
        <f>HYPERLINK("https://ota.tournamentsoftware.com/player-profile/DFAA2C12-ED04-42F9-9711-F91A6745B43A", "Link")</f>
        <v/>
      </c>
      <c r="E740" s="3" t="n">
        <v>14.585</v>
      </c>
      <c r="F740" s="4" t="n">
        <v>3</v>
      </c>
      <c r="G740" t="inlineStr">
        <is>
          <t>Ontario Tennis Association</t>
        </is>
      </c>
      <c r="H740" t="inlineStr">
        <is>
          <t>Marilyn Redvers Tennis Club</t>
        </is>
      </c>
      <c r="I740" t="n">
        <v>40</v>
      </c>
      <c r="J740" s="4" t="n">
        <v>28</v>
      </c>
      <c r="K740" t="inlineStr">
        <is>
          <t>14 / 14</t>
        </is>
      </c>
      <c r="L740" t="inlineStr">
        <is>
          <t>5 / 9</t>
        </is>
      </c>
      <c r="M740" s="5" t="n">
        <v>0.5</v>
      </c>
      <c r="N740" s="5" t="n">
        <v>0.36</v>
      </c>
    </row>
    <row r="741">
      <c r="A741" t="n">
        <v>740</v>
      </c>
      <c r="B741" t="n">
        <v>2015</v>
      </c>
      <c r="C741" t="inlineStr">
        <is>
          <t>Nadia Mnyusiwalla</t>
        </is>
      </c>
      <c r="D741">
        <f>HYPERLINK("https://ota.tournamentsoftware.com/player-profile/0DB52458-FB00-472A-BE89-03A77FEBF08E", "Link")</f>
        <v/>
      </c>
      <c r="E741" s="3" t="n">
        <v>14.381</v>
      </c>
      <c r="F741" s="4" t="n">
        <v>3</v>
      </c>
      <c r="G741" t="inlineStr">
        <is>
          <t>Ontario Tennis Association</t>
        </is>
      </c>
      <c r="H741" t="inlineStr">
        <is>
          <t>Waterloo Tennis Club</t>
        </is>
      </c>
      <c r="I741" t="inlineStr">
        <is>
          <t>unavailable</t>
        </is>
      </c>
      <c r="J741" s="4" t="n">
        <v>54</v>
      </c>
      <c r="K741" t="inlineStr">
        <is>
          <t>15 / 39</t>
        </is>
      </c>
      <c r="L741" t="inlineStr">
        <is>
          <t>2 / 14</t>
        </is>
      </c>
      <c r="M741" s="5" t="n">
        <v>0.28</v>
      </c>
      <c r="N741" s="5" t="n">
        <v>0.12</v>
      </c>
    </row>
    <row r="742">
      <c r="A742" t="n">
        <v>741</v>
      </c>
      <c r="B742" t="n">
        <v>2014</v>
      </c>
      <c r="C742" t="inlineStr">
        <is>
          <t>Juliette Viel</t>
        </is>
      </c>
      <c r="D742">
        <f>HYPERLINK("https://ota.tournamentsoftware.com/player-profile/3C42B108-2BA4-41D7-8AE2-19A52170601F", "Link")</f>
        <v/>
      </c>
      <c r="E742" s="3" t="n">
        <v>14.361</v>
      </c>
      <c r="F742" s="4" t="n">
        <v>3</v>
      </c>
      <c r="G742" t="inlineStr">
        <is>
          <t>Tennis Québec</t>
        </is>
      </c>
      <c r="H742" t="inlineStr">
        <is>
          <t>Club de tennis de Rivière-du-Loup</t>
        </is>
      </c>
      <c r="I742" t="n">
        <v>35.1</v>
      </c>
      <c r="J742" s="4" t="n">
        <v>20</v>
      </c>
      <c r="K742" t="inlineStr">
        <is>
          <t>8 / 12</t>
        </is>
      </c>
      <c r="L742" t="inlineStr">
        <is>
          <t>1 / 2</t>
        </is>
      </c>
      <c r="M742" s="5" t="n">
        <v>0.4</v>
      </c>
      <c r="N742" s="5" t="n">
        <v>0.33</v>
      </c>
    </row>
    <row r="743">
      <c r="A743" t="n">
        <v>742</v>
      </c>
      <c r="B743" t="n">
        <v>2014</v>
      </c>
      <c r="C743" t="inlineStr">
        <is>
          <t>Yuxin Bella Cao</t>
        </is>
      </c>
      <c r="D743">
        <f>HYPERLINK("https://ota.tournamentsoftware.com/player-profile/ECABBEB5-67C3-48F1-8CC6-A7628D8721E8", "Link")</f>
        <v/>
      </c>
      <c r="E743" s="3" t="n">
        <v>14.292</v>
      </c>
      <c r="F743" s="4" t="n">
        <v>3</v>
      </c>
      <c r="G743" t="inlineStr">
        <is>
          <t>Ontario Tennis Association</t>
        </is>
      </c>
      <c r="H743" t="inlineStr">
        <is>
          <t>ACE Tennis - Burlington</t>
        </is>
      </c>
      <c r="I743" t="n">
        <v>38.9</v>
      </c>
      <c r="J743" s="4" t="n">
        <v>38</v>
      </c>
      <c r="K743" t="inlineStr">
        <is>
          <t>11 / 27</t>
        </is>
      </c>
      <c r="L743" t="inlineStr">
        <is>
          <t>1 / 1</t>
        </is>
      </c>
      <c r="M743" s="5" t="n">
        <v>0.29</v>
      </c>
      <c r="N743" s="5" t="n">
        <v>0.5</v>
      </c>
    </row>
    <row r="744">
      <c r="A744" t="n">
        <v>743</v>
      </c>
      <c r="B744" t="n">
        <v>2014</v>
      </c>
      <c r="C744" t="inlineStr">
        <is>
          <t>Elise Hiu-Wing Lin</t>
        </is>
      </c>
      <c r="D744">
        <f>HYPERLINK("https://ota.tournamentsoftware.com/player-profile/6079C290-F004-492F-BD70-120B06A08264", "Link")</f>
        <v/>
      </c>
      <c r="E744" s="3" t="n">
        <v>14.283</v>
      </c>
      <c r="F744" s="4" t="n">
        <v>4</v>
      </c>
      <c r="G744" t="inlineStr">
        <is>
          <t>British Columbia</t>
        </is>
      </c>
      <c r="H744" t="inlineStr">
        <is>
          <t>No Club</t>
        </is>
      </c>
      <c r="I744" t="n">
        <v>36.3</v>
      </c>
      <c r="J744" s="4" t="n">
        <v>47</v>
      </c>
      <c r="K744" t="inlineStr">
        <is>
          <t>17 / 30</t>
        </is>
      </c>
      <c r="L744" t="inlineStr">
        <is>
          <t>4 / 5</t>
        </is>
      </c>
      <c r="M744" s="5" t="n">
        <v>0.36</v>
      </c>
      <c r="N744" s="5" t="n">
        <v>0.44</v>
      </c>
    </row>
    <row r="745">
      <c r="A745" t="n">
        <v>744</v>
      </c>
      <c r="B745" t="n">
        <v>2012</v>
      </c>
      <c r="C745" t="inlineStr">
        <is>
          <t>Renee Burton</t>
        </is>
      </c>
      <c r="D745">
        <f>HYPERLINK("https://ota.tournamentsoftware.com/player-profile/88D51E75-4EAF-4390-8A85-9E01D5A7B97C", "Link")</f>
        <v/>
      </c>
      <c r="E745" s="3" t="n">
        <v>14.11</v>
      </c>
      <c r="F745" s="4" t="n">
        <v>1</v>
      </c>
      <c r="G745" t="inlineStr">
        <is>
          <t>Ontario Tennis Association</t>
        </is>
      </c>
      <c r="H745" t="inlineStr">
        <is>
          <t>ACE Tennis - Burlington</t>
        </is>
      </c>
      <c r="I745" t="n">
        <v>35.9</v>
      </c>
      <c r="J745" s="4" t="n">
        <v>13</v>
      </c>
      <c r="K745" t="inlineStr">
        <is>
          <t>9 / 4</t>
        </is>
      </c>
      <c r="L745" t="inlineStr">
        <is>
          <t>9 / 4</t>
        </is>
      </c>
      <c r="M745" s="5" t="n">
        <v>0.6899999999999999</v>
      </c>
      <c r="N745" s="5" t="n">
        <v>0.6899999999999999</v>
      </c>
    </row>
    <row r="746">
      <c r="A746" t="n">
        <v>745</v>
      </c>
      <c r="B746" t="n">
        <v>2015</v>
      </c>
      <c r="C746" t="inlineStr">
        <is>
          <t>Nalla Isabella Lteif</t>
        </is>
      </c>
      <c r="D746">
        <f>HYPERLINK("https://ota.tournamentsoftware.com/player-profile/B0DC1A2D-B87B-4E66-A5EE-9C9F6EC668D4", "Link")</f>
        <v/>
      </c>
      <c r="E746" s="3" t="n">
        <v>13.839</v>
      </c>
      <c r="F746" s="4" t="n">
        <v>3</v>
      </c>
      <c r="G746" t="inlineStr">
        <is>
          <t>Tennis Québec</t>
        </is>
      </c>
      <c r="H746" t="inlineStr">
        <is>
          <t>Carrefour Multisports</t>
        </is>
      </c>
      <c r="I746" t="n">
        <v>39</v>
      </c>
      <c r="J746" s="4" t="n">
        <v>9</v>
      </c>
      <c r="K746" t="inlineStr">
        <is>
          <t>3 / 6</t>
        </is>
      </c>
      <c r="L746" t="inlineStr">
        <is>
          <t>1 / 3</t>
        </is>
      </c>
      <c r="M746" s="5" t="n">
        <v>0.33</v>
      </c>
      <c r="N746" s="5" t="n">
        <v>0.25</v>
      </c>
    </row>
    <row r="747">
      <c r="A747" t="n">
        <v>746</v>
      </c>
      <c r="B747" t="n">
        <v>2016</v>
      </c>
      <c r="C747" t="inlineStr">
        <is>
          <t>Brielle Han</t>
        </is>
      </c>
      <c r="D747">
        <f>HYPERLINK("https://ota.tournamentsoftware.com/player-profile/76F58D78-6F14-462B-9C79-943F718FD16A", "Link")</f>
        <v/>
      </c>
      <c r="E747" s="3" t="n">
        <v>13.725</v>
      </c>
      <c r="F747" s="4" t="n">
        <v>7</v>
      </c>
      <c r="G747" t="inlineStr">
        <is>
          <t>British Columbia</t>
        </is>
      </c>
      <c r="H747" t="inlineStr">
        <is>
          <t>North Vancouver Tennis Centre</t>
        </is>
      </c>
      <c r="I747" t="inlineStr">
        <is>
          <t>unavailable</t>
        </is>
      </c>
      <c r="J747" s="4" t="n">
        <v>195</v>
      </c>
      <c r="K747" t="inlineStr">
        <is>
          <t>66 / 129</t>
        </is>
      </c>
      <c r="L747" t="inlineStr">
        <is>
          <t>18 / 17</t>
        </is>
      </c>
      <c r="M747" s="5" t="n">
        <v>0.34</v>
      </c>
      <c r="N747" s="5" t="n">
        <v>0.51</v>
      </c>
    </row>
    <row r="748">
      <c r="A748" t="n">
        <v>747</v>
      </c>
      <c r="B748" t="n">
        <v>2012</v>
      </c>
      <c r="C748" t="inlineStr">
        <is>
          <t>Julia Michelle Cipriano</t>
        </is>
      </c>
      <c r="D748">
        <f>HYPERLINK("https://ota.tournamentsoftware.com/player-profile/EC29FADF-ECEA-4CC3-AE9B-2987D1E47266", "Link")</f>
        <v/>
      </c>
      <c r="E748" s="3" t="n">
        <v>13.725</v>
      </c>
      <c r="F748" s="4" t="n">
        <v>2</v>
      </c>
      <c r="G748" t="inlineStr">
        <is>
          <t>British Columbia</t>
        </is>
      </c>
      <c r="H748" t="inlineStr">
        <is>
          <t>West Vancouver Tennis Club</t>
        </is>
      </c>
      <c r="I748" t="n">
        <v>37</v>
      </c>
      <c r="J748" s="4" t="n">
        <v>18</v>
      </c>
      <c r="K748" t="inlineStr">
        <is>
          <t>8 / 10</t>
        </is>
      </c>
      <c r="L748" t="inlineStr">
        <is>
          <t>6 / 6</t>
        </is>
      </c>
      <c r="M748" s="5" t="n">
        <v>0.44</v>
      </c>
      <c r="N748" s="5" t="n">
        <v>0.5</v>
      </c>
    </row>
    <row r="749">
      <c r="A749" t="n">
        <v>748</v>
      </c>
      <c r="B749" t="n">
        <v>2013</v>
      </c>
      <c r="C749" t="inlineStr">
        <is>
          <t>Nitya Myneni</t>
        </is>
      </c>
      <c r="D749">
        <f>HYPERLINK("https://ota.tournamentsoftware.com/player-profile/482EDD14-11AD-4221-B031-4CDB8348AC62", "Link")</f>
        <v/>
      </c>
      <c r="E749" s="3" t="n">
        <v>13.478</v>
      </c>
      <c r="F749" s="4" t="n">
        <v>2</v>
      </c>
      <c r="G749" t="inlineStr">
        <is>
          <t>British Columbia</t>
        </is>
      </c>
      <c r="H749" t="inlineStr">
        <is>
          <t>The Tennis Centre</t>
        </is>
      </c>
      <c r="I749" t="n">
        <v>40</v>
      </c>
      <c r="J749" s="4" t="n">
        <v>26</v>
      </c>
      <c r="K749" t="inlineStr">
        <is>
          <t>8 / 18</t>
        </is>
      </c>
      <c r="L749" t="inlineStr">
        <is>
          <t>0 / 4</t>
        </is>
      </c>
      <c r="M749" s="5" t="n">
        <v>0.31</v>
      </c>
      <c r="N749" s="5" t="n">
        <v>0</v>
      </c>
    </row>
    <row r="750">
      <c r="A750" t="n">
        <v>749</v>
      </c>
      <c r="B750" t="n">
        <v>2017</v>
      </c>
      <c r="C750" t="inlineStr">
        <is>
          <t>Safiatou Ntentie Nchange</t>
        </is>
      </c>
      <c r="D750">
        <f>HYPERLINK("https://ota.tournamentsoftware.com/player-profile/5B1E15AE-3503-449A-B482-B98077F40A43", "Link")</f>
        <v/>
      </c>
      <c r="E750" s="3" t="n">
        <v>13.378</v>
      </c>
      <c r="F750" s="4" t="n">
        <v>5</v>
      </c>
      <c r="G750" t="inlineStr">
        <is>
          <t>Tennis Alberta</t>
        </is>
      </c>
      <c r="H750" t="inlineStr">
        <is>
          <t>No Club</t>
        </is>
      </c>
      <c r="I750" t="n">
        <v>36.6</v>
      </c>
      <c r="J750" s="4" t="n">
        <v>34</v>
      </c>
      <c r="K750" t="inlineStr">
        <is>
          <t>24 / 10</t>
        </is>
      </c>
      <c r="L750" t="inlineStr">
        <is>
          <t>20 / 9</t>
        </is>
      </c>
      <c r="M750" s="5" t="n">
        <v>0.71</v>
      </c>
      <c r="N750" s="5" t="n">
        <v>0.6899999999999999</v>
      </c>
    </row>
    <row r="751">
      <c r="A751" t="n">
        <v>750</v>
      </c>
      <c r="B751" t="n">
        <v>2013</v>
      </c>
      <c r="C751" t="inlineStr">
        <is>
          <t>Hailey Johnson</t>
        </is>
      </c>
      <c r="D751">
        <f>HYPERLINK("https://ota.tournamentsoftware.com/player-profile/D4247C6C-DBD8-41D1-867E-D35290341BA8", "Link")</f>
        <v/>
      </c>
      <c r="E751" s="3" t="n">
        <v>13.23</v>
      </c>
      <c r="F751" s="4" t="n">
        <v>2</v>
      </c>
      <c r="G751" t="inlineStr">
        <is>
          <t>British Columbia</t>
        </is>
      </c>
      <c r="H751" t="inlineStr">
        <is>
          <t>Tennis for Life</t>
        </is>
      </c>
      <c r="I751" t="inlineStr">
        <is>
          <t>unavailable</t>
        </is>
      </c>
      <c r="J751" s="4" t="n">
        <v>49</v>
      </c>
      <c r="K751" t="inlineStr">
        <is>
          <t>28 / 21</t>
        </is>
      </c>
      <c r="L751" t="inlineStr">
        <is>
          <t>1 / 1</t>
        </is>
      </c>
      <c r="M751" s="5" t="n">
        <v>0.57</v>
      </c>
      <c r="N751" s="5" t="n">
        <v>0.5</v>
      </c>
    </row>
    <row r="752">
      <c r="A752" t="n">
        <v>751</v>
      </c>
      <c r="B752" t="n">
        <v>2015</v>
      </c>
      <c r="C752" t="inlineStr">
        <is>
          <t>Mila Anglade</t>
        </is>
      </c>
      <c r="D752">
        <f>HYPERLINK("https://ota.tournamentsoftware.com/player-profile/05635752-0D80-4827-BA70-1CECB2BE0528", "Link")</f>
        <v/>
      </c>
      <c r="E752" s="3" t="n">
        <v>13.12</v>
      </c>
      <c r="F752" s="4" t="n">
        <v>3</v>
      </c>
      <c r="G752" t="inlineStr">
        <is>
          <t>Tennis Québec</t>
        </is>
      </c>
      <c r="H752" t="inlineStr">
        <is>
          <t>Carrefour Multisports</t>
        </is>
      </c>
      <c r="I752" t="inlineStr">
        <is>
          <t>unavailable</t>
        </is>
      </c>
      <c r="J752" s="4" t="n">
        <v>59</v>
      </c>
      <c r="K752" t="inlineStr">
        <is>
          <t>35 / 24</t>
        </is>
      </c>
      <c r="L752" t="inlineStr">
        <is>
          <t>4 / 1</t>
        </is>
      </c>
      <c r="M752" s="5" t="n">
        <v>0.59</v>
      </c>
      <c r="N752" s="5" t="n">
        <v>0.8</v>
      </c>
    </row>
    <row r="753">
      <c r="A753" t="n">
        <v>752</v>
      </c>
      <c r="B753" t="n">
        <v>2014</v>
      </c>
      <c r="C753" t="inlineStr">
        <is>
          <t>Olivia Duthoit</t>
        </is>
      </c>
      <c r="D753">
        <f>HYPERLINK("https://ota.tournamentsoftware.com/player-profile/7ADA0A6D-C257-4896-AEB0-8E053AAA4B48", "Link")</f>
        <v/>
      </c>
      <c r="E753" s="3" t="n">
        <v>13.092</v>
      </c>
      <c r="F753" s="4" t="n">
        <v>2</v>
      </c>
      <c r="G753" t="inlineStr">
        <is>
          <t>Tennis Québec</t>
        </is>
      </c>
      <c r="H753" t="inlineStr">
        <is>
          <t>Club Avantage Multi-sports / Académie de tennis Hérisset Bordeleau</t>
        </is>
      </c>
      <c r="I753" t="n">
        <v>36.6</v>
      </c>
      <c r="J753" s="4" t="n">
        <v>18</v>
      </c>
      <c r="K753" t="inlineStr">
        <is>
          <t>3 / 15</t>
        </is>
      </c>
      <c r="L753" t="inlineStr">
        <is>
          <t>2 / 3</t>
        </is>
      </c>
      <c r="M753" s="5" t="n">
        <v>0.17</v>
      </c>
      <c r="N753" s="5" t="n">
        <v>0.4</v>
      </c>
    </row>
    <row r="754">
      <c r="A754" t="n">
        <v>753</v>
      </c>
      <c r="B754" t="n">
        <v>2013</v>
      </c>
      <c r="C754" t="inlineStr">
        <is>
          <t>Addison Gilbertson</t>
        </is>
      </c>
      <c r="D754">
        <f>HYPERLINK("https://ota.tournamentsoftware.com/player-profile/C50AF072-EF16-4516-9D5D-42DF1D345F44", "Link")</f>
        <v/>
      </c>
      <c r="E754" s="3" t="n">
        <v>12.687</v>
      </c>
      <c r="F754" s="4" t="n">
        <v>5</v>
      </c>
      <c r="G754" t="inlineStr">
        <is>
          <t>Tennis Alberta</t>
        </is>
      </c>
      <c r="H754" t="inlineStr">
        <is>
          <t>Royal Glenora Club</t>
        </is>
      </c>
      <c r="I754" t="n">
        <v>38.1</v>
      </c>
      <c r="J754" s="4" t="n">
        <v>48</v>
      </c>
      <c r="K754" t="inlineStr">
        <is>
          <t>18 / 30</t>
        </is>
      </c>
      <c r="L754" t="inlineStr">
        <is>
          <t>1 / 4</t>
        </is>
      </c>
      <c r="M754" s="5" t="n">
        <v>0.38</v>
      </c>
      <c r="N754" s="5" t="n">
        <v>0.2</v>
      </c>
    </row>
    <row r="755">
      <c r="A755" t="n">
        <v>754</v>
      </c>
      <c r="B755" t="n">
        <v>2015</v>
      </c>
      <c r="C755" t="inlineStr">
        <is>
          <t>Mirra Tverskaia</t>
        </is>
      </c>
      <c r="D755">
        <f>HYPERLINK("https://ota.tournamentsoftware.com/player-profile/A09D283B-5C23-4F54-A304-0C0125F7637B", "Link")</f>
        <v/>
      </c>
      <c r="E755" s="3" t="n">
        <v>12.632</v>
      </c>
      <c r="F755" s="4" t="n">
        <v>3</v>
      </c>
      <c r="G755" t="inlineStr">
        <is>
          <t>Tennis Prince Edward Island</t>
        </is>
      </c>
      <c r="H755" t="inlineStr">
        <is>
          <t>Royalty Racquet Centre</t>
        </is>
      </c>
      <c r="I755" t="inlineStr">
        <is>
          <t>unavailable</t>
        </is>
      </c>
      <c r="J755" s="4" t="n">
        <v>39</v>
      </c>
      <c r="K755" t="inlineStr">
        <is>
          <t>14 / 25</t>
        </is>
      </c>
      <c r="L755" t="inlineStr">
        <is>
          <t>0 / 1</t>
        </is>
      </c>
      <c r="M755" s="5" t="n">
        <v>0.36</v>
      </c>
      <c r="N755" s="5" t="n">
        <v>0</v>
      </c>
    </row>
    <row r="756">
      <c r="A756" t="n">
        <v>755</v>
      </c>
      <c r="B756" t="n">
        <v>2015</v>
      </c>
      <c r="C756" t="inlineStr">
        <is>
          <t>Amelia Alexei</t>
        </is>
      </c>
      <c r="D756">
        <f>HYPERLINK("https://ota.tournamentsoftware.com/player-profile/7C4A6760-7216-46E2-B5F7-A7F51935EA6B", "Link")</f>
        <v/>
      </c>
      <c r="E756" s="3" t="n">
        <v>12.6</v>
      </c>
      <c r="F756" s="4" t="n">
        <v>2</v>
      </c>
      <c r="G756" t="inlineStr">
        <is>
          <t>Ontario Tennis Association</t>
        </is>
      </c>
      <c r="H756" t="inlineStr">
        <is>
          <t>Toronto Tennis Academy</t>
        </is>
      </c>
      <c r="I756" t="n">
        <v>37.3</v>
      </c>
      <c r="J756" s="4" t="n">
        <v>95</v>
      </c>
      <c r="K756" t="inlineStr">
        <is>
          <t>63 / 32</t>
        </is>
      </c>
      <c r="L756" t="inlineStr">
        <is>
          <t>0 / 0</t>
        </is>
      </c>
      <c r="M756" s="5" t="n">
        <v>0.66</v>
      </c>
      <c r="N756" s="5" t="n">
        <v>0</v>
      </c>
    </row>
    <row r="757">
      <c r="A757" t="n">
        <v>756</v>
      </c>
      <c r="B757" t="n">
        <v>2015</v>
      </c>
      <c r="C757" t="inlineStr">
        <is>
          <t>Charlotte Huiyan Li</t>
        </is>
      </c>
      <c r="D757">
        <f>HYPERLINK("https://ota.tournamentsoftware.com/player-profile/150EC5E4-980E-4649-9619-E10B11D9BA5E", "Link")</f>
        <v/>
      </c>
      <c r="E757" s="3" t="n">
        <v>12.528</v>
      </c>
      <c r="F757" s="4" t="n">
        <v>3</v>
      </c>
      <c r="G757" t="inlineStr">
        <is>
          <t>British Columbia</t>
        </is>
      </c>
      <c r="H757" t="inlineStr">
        <is>
          <t>Tennis for Life</t>
        </is>
      </c>
      <c r="I757" t="n">
        <v>36.2</v>
      </c>
      <c r="J757" s="4" t="n">
        <v>39</v>
      </c>
      <c r="K757" t="inlineStr">
        <is>
          <t>15 / 24</t>
        </is>
      </c>
      <c r="L757" t="inlineStr">
        <is>
          <t>2 / 2</t>
        </is>
      </c>
      <c r="M757" s="5" t="n">
        <v>0.38</v>
      </c>
      <c r="N757" s="5" t="n">
        <v>0.5</v>
      </c>
    </row>
    <row r="758">
      <c r="A758" t="n">
        <v>757</v>
      </c>
      <c r="B758" t="n">
        <v>2013</v>
      </c>
      <c r="C758" t="inlineStr">
        <is>
          <t>Felicia Mingfei Li</t>
        </is>
      </c>
      <c r="D758">
        <f>HYPERLINK("https://ota.tournamentsoftware.com/player-profile/32F60D7D-3E57-4800-9C5C-282147021863", "Link")</f>
        <v/>
      </c>
      <c r="E758" s="3" t="n">
        <v>12.378</v>
      </c>
      <c r="F758" s="4" t="n">
        <v>3</v>
      </c>
      <c r="G758" t="inlineStr">
        <is>
          <t>Ontario Tennis Association</t>
        </is>
      </c>
      <c r="H758" t="inlineStr">
        <is>
          <t>Marilyn Redvers Tennis Club</t>
        </is>
      </c>
      <c r="I758" t="n">
        <v>39.7</v>
      </c>
      <c r="J758" s="4" t="n">
        <v>31</v>
      </c>
      <c r="K758" t="inlineStr">
        <is>
          <t>9 / 22</t>
        </is>
      </c>
      <c r="L758" t="inlineStr">
        <is>
          <t>0 / 2</t>
        </is>
      </c>
      <c r="M758" s="5" t="n">
        <v>0.29</v>
      </c>
      <c r="N758" s="5" t="n">
        <v>0</v>
      </c>
    </row>
    <row r="759">
      <c r="A759" t="n">
        <v>758</v>
      </c>
      <c r="B759" t="n">
        <v>2012</v>
      </c>
      <c r="C759" t="inlineStr">
        <is>
          <t>Anzhuo Yi</t>
        </is>
      </c>
      <c r="D759">
        <f>HYPERLINK("https://ota.tournamentsoftware.com/player-profile/60444867-D5FF-4226-8841-4058D520099B", "Link")</f>
        <v/>
      </c>
      <c r="E759" s="3" t="n">
        <v>12.336</v>
      </c>
      <c r="F759" s="4" t="n">
        <v>1</v>
      </c>
      <c r="G759" t="inlineStr">
        <is>
          <t>Ontario Tennis Association</t>
        </is>
      </c>
      <c r="H759" t="inlineStr">
        <is>
          <t>Premier Racquet Clubs – Mississauga</t>
        </is>
      </c>
      <c r="I759" t="n">
        <v>37.7</v>
      </c>
      <c r="J759" s="4" t="n">
        <v>8</v>
      </c>
      <c r="K759" t="inlineStr">
        <is>
          <t>2 / 6</t>
        </is>
      </c>
      <c r="L759" t="inlineStr">
        <is>
          <t>2 / 6</t>
        </is>
      </c>
      <c r="M759" s="5" t="n">
        <v>0.25</v>
      </c>
      <c r="N759" s="5" t="n">
        <v>0.25</v>
      </c>
    </row>
    <row r="760">
      <c r="A760" t="n">
        <v>759</v>
      </c>
      <c r="B760" t="n">
        <v>2016</v>
      </c>
      <c r="C760" t="inlineStr">
        <is>
          <t>Eiman Javaid Khan</t>
        </is>
      </c>
      <c r="D760">
        <f>HYPERLINK("https://ota.tournamentsoftware.com/player-profile/417EBA88-24AB-42AB-9421-1764C4FCA777", "Link")</f>
        <v/>
      </c>
      <c r="E760" s="3" t="n">
        <v>12</v>
      </c>
      <c r="F760" s="4" t="n">
        <v>2</v>
      </c>
      <c r="G760" t="inlineStr">
        <is>
          <t>Tennis Newfoundland &amp; Labrador</t>
        </is>
      </c>
      <c r="H760" t="inlineStr">
        <is>
          <t>Greenbelt Tennis Club</t>
        </is>
      </c>
      <c r="I760" t="inlineStr">
        <is>
          <t>unavailable</t>
        </is>
      </c>
      <c r="J760" s="4" t="n">
        <v>14</v>
      </c>
      <c r="K760" t="inlineStr">
        <is>
          <t>4 / 10</t>
        </is>
      </c>
      <c r="L760" t="inlineStr">
        <is>
          <t>3 / 6</t>
        </is>
      </c>
      <c r="M760" s="5" t="n">
        <v>0.29</v>
      </c>
      <c r="N760" s="5" t="n">
        <v>0.33</v>
      </c>
    </row>
    <row r="761">
      <c r="A761" t="n">
        <v>760</v>
      </c>
      <c r="B761" t="n">
        <v>2012</v>
      </c>
      <c r="C761" t="inlineStr">
        <is>
          <t>Belen Aldana</t>
        </is>
      </c>
      <c r="D761">
        <f>HYPERLINK("https://ota.tournamentsoftware.com/player-profile/403664F3-E594-4FFF-BEC0-1AF63F2F73E4", "Link")</f>
        <v/>
      </c>
      <c r="E761" s="3" t="n">
        <v>11.855</v>
      </c>
      <c r="F761" s="4" t="n">
        <v>4</v>
      </c>
      <c r="G761" t="inlineStr">
        <is>
          <t>Tennis Québec</t>
        </is>
      </c>
      <c r="H761" t="inlineStr">
        <is>
          <t>SANI Sport</t>
        </is>
      </c>
      <c r="I761" t="n">
        <v>38.1</v>
      </c>
      <c r="J761" s="4" t="n">
        <v>5</v>
      </c>
      <c r="K761" t="inlineStr">
        <is>
          <t>0 / 5</t>
        </is>
      </c>
      <c r="L761" t="inlineStr">
        <is>
          <t>0 / 5</t>
        </is>
      </c>
      <c r="M761" s="5" t="n">
        <v>0</v>
      </c>
      <c r="N761" s="5" t="n">
        <v>0</v>
      </c>
    </row>
    <row r="762">
      <c r="A762" t="n">
        <v>761</v>
      </c>
      <c r="B762" t="n">
        <v>2014</v>
      </c>
      <c r="C762" t="inlineStr">
        <is>
          <t>Kayla Caden</t>
        </is>
      </c>
      <c r="D762">
        <f>HYPERLINK("https://ota.tournamentsoftware.com/player-profile/EB31E71A-90E6-4B10-9538-33BC7B66EA6E", "Link")</f>
        <v/>
      </c>
      <c r="E762" s="3" t="n">
        <v>11.809</v>
      </c>
      <c r="F762" s="4" t="n">
        <v>3</v>
      </c>
      <c r="G762" t="inlineStr">
        <is>
          <t>Tennis Québec</t>
        </is>
      </c>
      <c r="H762" t="inlineStr">
        <is>
          <t>Club de tennis St-Lambert</t>
        </is>
      </c>
      <c r="I762" t="n">
        <v>38.1</v>
      </c>
      <c r="J762" s="4" t="n">
        <v>11</v>
      </c>
      <c r="K762" t="inlineStr">
        <is>
          <t>4 / 7</t>
        </is>
      </c>
      <c r="L762" t="inlineStr">
        <is>
          <t>2 / 3</t>
        </is>
      </c>
      <c r="M762" s="5" t="n">
        <v>0.36</v>
      </c>
      <c r="N762" s="5" t="n">
        <v>0.4</v>
      </c>
    </row>
    <row r="763">
      <c r="A763" t="n">
        <v>762</v>
      </c>
      <c r="B763" t="n">
        <v>2012</v>
      </c>
      <c r="C763" t="inlineStr">
        <is>
          <t>Angel Wen</t>
        </is>
      </c>
      <c r="D763">
        <f>HYPERLINK("https://ota.tournamentsoftware.com/player-profile/2BF37F0F-B2BA-4533-859D-5AFB82154AAC", "Link")</f>
        <v/>
      </c>
      <c r="E763" s="3" t="n">
        <v>11.664</v>
      </c>
      <c r="F763" s="4" t="n">
        <v>1</v>
      </c>
      <c r="G763" t="inlineStr">
        <is>
          <t>Tennis Nova Scotia</t>
        </is>
      </c>
      <c r="H763" t="inlineStr">
        <is>
          <t>Atlantic Tennis Centre</t>
        </is>
      </c>
      <c r="I763" t="n">
        <v>36.8</v>
      </c>
      <c r="J763" s="4" t="n">
        <v>2</v>
      </c>
      <c r="K763" t="inlineStr">
        <is>
          <t>0 / 2</t>
        </is>
      </c>
      <c r="L763" t="inlineStr">
        <is>
          <t>0 / 0</t>
        </is>
      </c>
      <c r="M763" s="5" t="n">
        <v>0</v>
      </c>
      <c r="N763" s="5" t="n">
        <v>0</v>
      </c>
    </row>
    <row r="764">
      <c r="A764" t="n">
        <v>763</v>
      </c>
      <c r="B764" t="n">
        <v>2013</v>
      </c>
      <c r="C764" t="inlineStr">
        <is>
          <t>Giselle Christine Lambert</t>
        </is>
      </c>
      <c r="D764">
        <f>HYPERLINK("https://ota.tournamentsoftware.com/player-profile/2E2CA1C3-86CC-418F-BF1B-9B9E4D99F292", "Link")</f>
        <v/>
      </c>
      <c r="E764" s="3" t="n">
        <v>11.48</v>
      </c>
      <c r="F764" s="4" t="n">
        <v>2</v>
      </c>
      <c r="G764" t="inlineStr">
        <is>
          <t>British Columbia</t>
        </is>
      </c>
      <c r="H764" t="inlineStr">
        <is>
          <t>Hollyburn Country Club</t>
        </is>
      </c>
      <c r="I764" t="n">
        <v>36.9</v>
      </c>
      <c r="J764" s="4" t="n">
        <v>44</v>
      </c>
      <c r="K764" t="inlineStr">
        <is>
          <t>10 / 34</t>
        </is>
      </c>
      <c r="L764" t="inlineStr">
        <is>
          <t>0 / 0</t>
        </is>
      </c>
      <c r="M764" s="5" t="n">
        <v>0.23</v>
      </c>
      <c r="N764" s="5" t="n">
        <v>0</v>
      </c>
    </row>
    <row r="765">
      <c r="A765" t="n">
        <v>764</v>
      </c>
      <c r="B765" t="n">
        <v>2016</v>
      </c>
      <c r="C765" t="inlineStr">
        <is>
          <t>Harper Whitehead</t>
        </is>
      </c>
      <c r="D765">
        <f>HYPERLINK("https://ota.tournamentsoftware.com/player-profile/11F4D113-D7D4-48BC-9EC5-3040B116C96D", "Link")</f>
        <v/>
      </c>
      <c r="E765" s="3" t="n">
        <v>11.448</v>
      </c>
      <c r="F765" s="4" t="n">
        <v>9</v>
      </c>
      <c r="G765" t="inlineStr">
        <is>
          <t>Tennis Nova Scotia</t>
        </is>
      </c>
      <c r="H765" t="inlineStr">
        <is>
          <t>Atlantic Tennis Centre</t>
        </is>
      </c>
      <c r="I765" t="n">
        <v>38</v>
      </c>
      <c r="J765" s="4" t="n">
        <v>76</v>
      </c>
      <c r="K765" t="inlineStr">
        <is>
          <t>34 / 42</t>
        </is>
      </c>
      <c r="L765" t="inlineStr">
        <is>
          <t>9 / 12</t>
        </is>
      </c>
      <c r="M765" s="5" t="n">
        <v>0.45</v>
      </c>
      <c r="N765" s="5" t="n">
        <v>0.43</v>
      </c>
    </row>
    <row r="766">
      <c r="A766" t="n">
        <v>764</v>
      </c>
      <c r="B766" t="n">
        <v>2015</v>
      </c>
      <c r="C766" t="inlineStr">
        <is>
          <t>Daisy Dai</t>
        </is>
      </c>
      <c r="D766">
        <f>HYPERLINK("https://ota.tournamentsoftware.com/player-profile/C64DEFB9-4BBC-4AA1-8CC8-9020440935AB", "Link")</f>
        <v/>
      </c>
      <c r="E766" s="3" t="n">
        <v>11.448</v>
      </c>
      <c r="F766" s="4" t="n">
        <v>1</v>
      </c>
      <c r="G766" t="inlineStr">
        <is>
          <t>Tennis Nova Scotia</t>
        </is>
      </c>
      <c r="H766" t="inlineStr">
        <is>
          <t>Atlantic Tennis Centre</t>
        </is>
      </c>
      <c r="I766" t="n">
        <v>35.3</v>
      </c>
      <c r="J766" s="4" t="n">
        <v>19</v>
      </c>
      <c r="K766" t="inlineStr">
        <is>
          <t>13 / 6</t>
        </is>
      </c>
      <c r="L766" t="inlineStr">
        <is>
          <t>1 / 1</t>
        </is>
      </c>
      <c r="M766" s="5" t="n">
        <v>0.68</v>
      </c>
      <c r="N766" s="5" t="n">
        <v>0.5</v>
      </c>
    </row>
    <row r="767">
      <c r="A767" t="n">
        <v>766</v>
      </c>
      <c r="B767" t="n">
        <v>2015</v>
      </c>
      <c r="C767" t="inlineStr">
        <is>
          <t>Cléony Le</t>
        </is>
      </c>
      <c r="D767">
        <f>HYPERLINK("https://ota.tournamentsoftware.com/player-profile/D1C4971B-CB54-436E-9303-C69424DC84AC", "Link")</f>
        <v/>
      </c>
      <c r="E767" s="3" t="n">
        <v>11.429</v>
      </c>
      <c r="F767" s="4" t="n">
        <v>1</v>
      </c>
      <c r="G767" t="inlineStr">
        <is>
          <t>Tennis Québec</t>
        </is>
      </c>
      <c r="H767" t="inlineStr">
        <is>
          <t>Centre récréatif de Repentigny / Académie Tennis Momentum</t>
        </is>
      </c>
      <c r="I767" t="n">
        <v>37</v>
      </c>
      <c r="J767" s="4" t="n">
        <v>32</v>
      </c>
      <c r="K767" t="inlineStr">
        <is>
          <t>15 / 17</t>
        </is>
      </c>
      <c r="L767" t="inlineStr">
        <is>
          <t>0 / 1</t>
        </is>
      </c>
      <c r="M767" s="5" t="n">
        <v>0.47</v>
      </c>
      <c r="N767" s="5" t="n">
        <v>0</v>
      </c>
    </row>
    <row r="768">
      <c r="A768" t="n">
        <v>767</v>
      </c>
      <c r="B768" t="n">
        <v>2012</v>
      </c>
      <c r="C768" t="inlineStr">
        <is>
          <t>Charley Burgess</t>
        </is>
      </c>
      <c r="D768">
        <f>HYPERLINK("https://ota.tournamentsoftware.com/player-profile/F7818ED5-A370-4D5D-9CAE-03309F03D5FD", "Link")</f>
        <v/>
      </c>
      <c r="E768" s="3" t="n">
        <v>11.301</v>
      </c>
      <c r="F768" s="4" t="n">
        <v>3</v>
      </c>
      <c r="G768" t="inlineStr">
        <is>
          <t>Tennis Alberta</t>
        </is>
      </c>
      <c r="H768" t="inlineStr">
        <is>
          <t>The Glencoe Club</t>
        </is>
      </c>
      <c r="I768" t="inlineStr">
        <is>
          <t>unavailable</t>
        </is>
      </c>
      <c r="J768" s="4" t="n">
        <v>52</v>
      </c>
      <c r="K768" t="inlineStr">
        <is>
          <t>23 / 29</t>
        </is>
      </c>
      <c r="L768" t="inlineStr">
        <is>
          <t>0 / 0</t>
        </is>
      </c>
      <c r="M768" s="5" t="n">
        <v>0.44</v>
      </c>
      <c r="N768" s="5" t="n">
        <v>0</v>
      </c>
    </row>
    <row r="769">
      <c r="A769" t="n">
        <v>768</v>
      </c>
      <c r="B769" t="n">
        <v>2014</v>
      </c>
      <c r="C769" t="inlineStr">
        <is>
          <t>Neiva George</t>
        </is>
      </c>
      <c r="D769">
        <f>HYPERLINK("https://ota.tournamentsoftware.com/player-profile/1A9BA311-0F1E-40A7-9341-ECED97AEEBBD", "Link")</f>
        <v/>
      </c>
      <c r="E769" s="3" t="n">
        <v>11.286</v>
      </c>
      <c r="F769" s="4" t="n">
        <v>2</v>
      </c>
      <c r="G769" t="inlineStr">
        <is>
          <t>Ontario Tennis Association</t>
        </is>
      </c>
      <c r="H769" t="inlineStr">
        <is>
          <t>Headwaters Racquet Club</t>
        </is>
      </c>
      <c r="I769" t="n">
        <v>36.8</v>
      </c>
      <c r="J769" s="4" t="n">
        <v>45</v>
      </c>
      <c r="K769" t="inlineStr">
        <is>
          <t>23 / 22</t>
        </is>
      </c>
      <c r="L769" t="inlineStr">
        <is>
          <t>7 / 4</t>
        </is>
      </c>
      <c r="M769" s="5" t="n">
        <v>0.51</v>
      </c>
      <c r="N769" s="5" t="n">
        <v>0.64</v>
      </c>
    </row>
    <row r="770">
      <c r="A770" t="n">
        <v>769</v>
      </c>
      <c r="B770" t="n">
        <v>2017</v>
      </c>
      <c r="C770" t="inlineStr">
        <is>
          <t>Erika ko</t>
        </is>
      </c>
      <c r="D770">
        <f>HYPERLINK("https://ota.tournamentsoftware.com/player-profile/63E3DB95-CFC7-47F5-8461-E32C50FD6342", "Link")</f>
        <v/>
      </c>
      <c r="E770" s="3" t="n">
        <v>11.16</v>
      </c>
      <c r="F770" s="4" t="n">
        <v>5</v>
      </c>
      <c r="G770" t="inlineStr">
        <is>
          <t>British Columbia</t>
        </is>
      </c>
      <c r="H770" t="inlineStr">
        <is>
          <t>Richmond Country Club</t>
        </is>
      </c>
      <c r="I770" t="n">
        <v>38.9</v>
      </c>
      <c r="J770" s="4" t="n">
        <v>133</v>
      </c>
      <c r="K770" t="inlineStr">
        <is>
          <t>60 / 73</t>
        </is>
      </c>
      <c r="L770" t="inlineStr">
        <is>
          <t>3 / 7</t>
        </is>
      </c>
      <c r="M770" s="5" t="n">
        <v>0.45</v>
      </c>
      <c r="N770" s="5" t="n">
        <v>0.3</v>
      </c>
    </row>
    <row r="771">
      <c r="A771" t="n">
        <v>770</v>
      </c>
      <c r="B771" t="n">
        <v>2016</v>
      </c>
      <c r="C771" t="inlineStr">
        <is>
          <t>Emma Hao</t>
        </is>
      </c>
      <c r="D771">
        <f>HYPERLINK("https://ota.tournamentsoftware.com/player-profile/144D222A-CD06-4355-817D-B27D5DB62B85", "Link")</f>
        <v/>
      </c>
      <c r="E771" s="3" t="n">
        <v>11.141</v>
      </c>
      <c r="F771" s="4" t="n">
        <v>3</v>
      </c>
      <c r="G771" t="inlineStr">
        <is>
          <t>Ontario Tennis Association</t>
        </is>
      </c>
      <c r="H771" t="inlineStr">
        <is>
          <t>Toronto Tennis City</t>
        </is>
      </c>
      <c r="I771" t="n">
        <v>37.6</v>
      </c>
      <c r="J771" s="4" t="n">
        <v>67</v>
      </c>
      <c r="K771" t="inlineStr">
        <is>
          <t>36 / 31</t>
        </is>
      </c>
      <c r="L771" t="inlineStr">
        <is>
          <t>16 / 7</t>
        </is>
      </c>
      <c r="M771" s="5" t="n">
        <v>0.54</v>
      </c>
      <c r="N771" s="5" t="n">
        <v>0.7</v>
      </c>
    </row>
    <row r="772">
      <c r="A772" t="n">
        <v>771</v>
      </c>
      <c r="B772" t="n">
        <v>2015</v>
      </c>
      <c r="C772" t="inlineStr">
        <is>
          <t>Marissa Grisedale</t>
        </is>
      </c>
      <c r="D772">
        <f>HYPERLINK("https://ota.tournamentsoftware.com/player-profile/FACB5C24-4DB7-463B-A373-69C70E1AC8E4", "Link")</f>
        <v/>
      </c>
      <c r="E772" s="3" t="n">
        <v>11.043</v>
      </c>
      <c r="F772" s="4" t="n">
        <v>3</v>
      </c>
      <c r="G772" t="inlineStr">
        <is>
          <t>British Columbia</t>
        </is>
      </c>
      <c r="H772" t="inlineStr">
        <is>
          <t>Commons Racquet Club at Predator Ridge</t>
        </is>
      </c>
      <c r="I772" t="n">
        <v>37.2</v>
      </c>
      <c r="J772" s="4" t="n">
        <v>40</v>
      </c>
      <c r="K772" t="inlineStr">
        <is>
          <t>20 / 20</t>
        </is>
      </c>
      <c r="L772" t="inlineStr">
        <is>
          <t>3 / 5</t>
        </is>
      </c>
      <c r="M772" s="5" t="n">
        <v>0.5</v>
      </c>
      <c r="N772" s="5" t="n">
        <v>0.38</v>
      </c>
    </row>
    <row r="773">
      <c r="A773" t="n">
        <v>772</v>
      </c>
      <c r="B773" t="n">
        <v>2012</v>
      </c>
      <c r="C773" t="inlineStr">
        <is>
          <t>Jeanne Ricard</t>
        </is>
      </c>
      <c r="D773">
        <f>HYPERLINK("https://ota.tournamentsoftware.com/player-profile/0C0EC550-1536-4AE2-9886-E59F56C6C34D", "Link")</f>
        <v/>
      </c>
      <c r="E773" s="3" t="n">
        <v>10.964</v>
      </c>
      <c r="F773" s="4" t="n">
        <v>2</v>
      </c>
      <c r="G773" t="inlineStr">
        <is>
          <t>Tennis Québec</t>
        </is>
      </c>
      <c r="H773" t="inlineStr">
        <is>
          <t>Académie Tennis Momentum (club extérieur)</t>
        </is>
      </c>
      <c r="I773" t="n">
        <v>39</v>
      </c>
      <c r="J773" s="4" t="n">
        <v>44</v>
      </c>
      <c r="K773" t="inlineStr">
        <is>
          <t>19 / 25</t>
        </is>
      </c>
      <c r="L773" t="inlineStr">
        <is>
          <t>0 / 0</t>
        </is>
      </c>
      <c r="M773" s="5" t="n">
        <v>0.43</v>
      </c>
      <c r="N773" s="5" t="n">
        <v>0</v>
      </c>
    </row>
    <row r="774">
      <c r="A774" t="n">
        <v>773</v>
      </c>
      <c r="B774" t="n">
        <v>2015</v>
      </c>
      <c r="C774" t="inlineStr">
        <is>
          <t>Fabiola Antonella Sanchez Ferreyra</t>
        </is>
      </c>
      <c r="D774">
        <f>HYPERLINK("https://ota.tournamentsoftware.com/player-profile/B37A6388-D965-4303-A37E-1111875A98DF", "Link")</f>
        <v/>
      </c>
      <c r="E774" s="3" t="n">
        <v>10.873</v>
      </c>
      <c r="F774" s="4" t="n">
        <v>1</v>
      </c>
      <c r="G774" t="inlineStr">
        <is>
          <t>Tennis Québec</t>
        </is>
      </c>
      <c r="H774" t="inlineStr">
        <is>
          <t>SANI Sport</t>
        </is>
      </c>
      <c r="I774" t="n">
        <v>39.4</v>
      </c>
      <c r="J774" s="4" t="n">
        <v>12</v>
      </c>
      <c r="K774" t="inlineStr">
        <is>
          <t>7 / 5</t>
        </is>
      </c>
      <c r="L774" t="inlineStr">
        <is>
          <t>0 / 1</t>
        </is>
      </c>
      <c r="M774" s="5" t="n">
        <v>0.58</v>
      </c>
      <c r="N774" s="5" t="n">
        <v>0</v>
      </c>
    </row>
    <row r="775">
      <c r="A775" t="n">
        <v>774</v>
      </c>
      <c r="B775" t="n">
        <v>2012</v>
      </c>
      <c r="C775" t="inlineStr">
        <is>
          <t>Jiayi Emma Wang</t>
        </is>
      </c>
      <c r="D775">
        <f>HYPERLINK("https://ota.tournamentsoftware.com/player-profile/C6ED9D5C-83AD-4AC9-9DCE-1D21A2304573", "Link")</f>
        <v/>
      </c>
      <c r="E775" s="3" t="n">
        <v>10.8</v>
      </c>
      <c r="F775" s="4" t="n">
        <v>1</v>
      </c>
      <c r="G775" t="inlineStr">
        <is>
          <t>British Columbia</t>
        </is>
      </c>
      <c r="H775" t="inlineStr">
        <is>
          <t>No Club</t>
        </is>
      </c>
      <c r="I775" t="inlineStr">
        <is>
          <t>unavailable</t>
        </is>
      </c>
      <c r="J775" s="4" t="n">
        <v>12</v>
      </c>
      <c r="K775" t="inlineStr">
        <is>
          <t>2 / 10</t>
        </is>
      </c>
      <c r="L775" t="inlineStr">
        <is>
          <t>1 / 1</t>
        </is>
      </c>
      <c r="M775" s="5" t="n">
        <v>0.17</v>
      </c>
      <c r="N775" s="5" t="n">
        <v>0.5</v>
      </c>
    </row>
    <row r="776">
      <c r="A776" t="n">
        <v>774</v>
      </c>
      <c r="B776" t="n">
        <v>2015</v>
      </c>
      <c r="C776" t="inlineStr">
        <is>
          <t>Meera Ramanathan</t>
        </is>
      </c>
      <c r="D776">
        <f>HYPERLINK("https://ota.tournamentsoftware.com/player-profile/4BFD1C94-F572-47D9-8892-3117B37D58A1", "Link")</f>
        <v/>
      </c>
      <c r="E776" s="3" t="n">
        <v>10.8</v>
      </c>
      <c r="F776" s="4" t="n">
        <v>1</v>
      </c>
      <c r="G776" t="inlineStr">
        <is>
          <t>Ontario Tennis Association</t>
        </is>
      </c>
      <c r="H776" t="inlineStr">
        <is>
          <t>March Tennis Club</t>
        </is>
      </c>
      <c r="I776" t="n">
        <v>38.1</v>
      </c>
      <c r="J776" s="4" t="n">
        <v>2</v>
      </c>
      <c r="K776" t="inlineStr">
        <is>
          <t>1 / 1</t>
        </is>
      </c>
      <c r="L776" t="inlineStr">
        <is>
          <t>1 / 1</t>
        </is>
      </c>
      <c r="M776" s="5" t="n">
        <v>0.5</v>
      </c>
      <c r="N776" s="5" t="n">
        <v>0.5</v>
      </c>
    </row>
    <row r="777">
      <c r="A777" t="n">
        <v>774</v>
      </c>
      <c r="B777" t="n">
        <v>2015</v>
      </c>
      <c r="C777" t="inlineStr">
        <is>
          <t>Tamara Amad</t>
        </is>
      </c>
      <c r="D777">
        <f>HYPERLINK("https://ota.tournamentsoftware.com/player-profile/4DB13A7D-F9F2-45DD-AAD4-FA9987D24AC9", "Link")</f>
        <v/>
      </c>
      <c r="E777" s="3" t="n">
        <v>10.8</v>
      </c>
      <c r="F777" s="4" t="n">
        <v>1</v>
      </c>
      <c r="G777" t="inlineStr">
        <is>
          <t>Ontario Tennis Association</t>
        </is>
      </c>
      <c r="H777" t="inlineStr">
        <is>
          <t>Ontario Racquet Club</t>
        </is>
      </c>
      <c r="I777" t="inlineStr">
        <is>
          <t>unavailable</t>
        </is>
      </c>
      <c r="J777" s="4" t="n">
        <v>20</v>
      </c>
      <c r="K777" t="inlineStr">
        <is>
          <t>12 / 8</t>
        </is>
      </c>
      <c r="L777" t="inlineStr">
        <is>
          <t>3 / 3</t>
        </is>
      </c>
      <c r="M777" s="5" t="n">
        <v>0.6</v>
      </c>
      <c r="N777" s="5" t="n">
        <v>0.5</v>
      </c>
    </row>
    <row r="778">
      <c r="A778" t="n">
        <v>774</v>
      </c>
      <c r="B778" t="n">
        <v>2016</v>
      </c>
      <c r="C778" t="inlineStr">
        <is>
          <t>Stella Somerville</t>
        </is>
      </c>
      <c r="D778">
        <f>HYPERLINK("https://ota.tournamentsoftware.com/player-profile/87C92774-21A4-4A46-97F9-D656FA91A212", "Link")</f>
        <v/>
      </c>
      <c r="E778" s="3" t="n">
        <v>10.8</v>
      </c>
      <c r="F778" s="4" t="n">
        <v>3</v>
      </c>
      <c r="G778" t="inlineStr">
        <is>
          <t>Ontario Tennis Association</t>
        </is>
      </c>
      <c r="H778" t="inlineStr">
        <is>
          <t>Advantage Tennis International at Veneto</t>
        </is>
      </c>
      <c r="I778" t="n">
        <v>37.4</v>
      </c>
      <c r="J778" s="4" t="n">
        <v>81</v>
      </c>
      <c r="K778" t="inlineStr">
        <is>
          <t>36 / 45</t>
        </is>
      </c>
      <c r="L778" t="inlineStr">
        <is>
          <t>5 / 7</t>
        </is>
      </c>
      <c r="M778" s="5" t="n">
        <v>0.44</v>
      </c>
      <c r="N778" s="5" t="n">
        <v>0.42</v>
      </c>
    </row>
    <row r="779">
      <c r="A779" t="n">
        <v>774</v>
      </c>
      <c r="B779" t="n">
        <v>2016</v>
      </c>
      <c r="C779" t="inlineStr">
        <is>
          <t>Archini Bera</t>
        </is>
      </c>
      <c r="D779">
        <f>HYPERLINK("https://ota.tournamentsoftware.com/player-profile/6FA68B83-6E0E-4A78-81A0-6004576A8E6E", "Link")</f>
        <v/>
      </c>
      <c r="E779" s="3" t="n">
        <v>10.8</v>
      </c>
      <c r="F779" s="4" t="n">
        <v>2</v>
      </c>
      <c r="G779" t="inlineStr">
        <is>
          <t>Ontario Tennis Association</t>
        </is>
      </c>
      <c r="H779" t="inlineStr">
        <is>
          <t>Rideau Sports Centre</t>
        </is>
      </c>
      <c r="I779" t="inlineStr">
        <is>
          <t>unavailable</t>
        </is>
      </c>
      <c r="J779" s="4" t="n">
        <v>46</v>
      </c>
      <c r="K779" t="inlineStr">
        <is>
          <t>27 / 19</t>
        </is>
      </c>
      <c r="L779" t="inlineStr">
        <is>
          <t>24 / 10</t>
        </is>
      </c>
      <c r="M779" s="5" t="n">
        <v>0.59</v>
      </c>
      <c r="N779" s="5" t="n">
        <v>0.71</v>
      </c>
    </row>
    <row r="780">
      <c r="A780" t="n">
        <v>779</v>
      </c>
      <c r="B780" t="n">
        <v>2015</v>
      </c>
      <c r="C780" t="inlineStr">
        <is>
          <t>Hannah Lewis</t>
        </is>
      </c>
      <c r="D780">
        <f>HYPERLINK("https://ota.tournamentsoftware.com/player-profile/B25290C5-DB82-4ED0-843D-33516AFF301F", "Link")</f>
        <v/>
      </c>
      <c r="E780" s="3" t="n">
        <v>10.728</v>
      </c>
      <c r="F780" s="4" t="n">
        <v>2</v>
      </c>
      <c r="G780" t="inlineStr">
        <is>
          <t>Ontario Tennis Association</t>
        </is>
      </c>
      <c r="H780" t="inlineStr">
        <is>
          <t>Tam Heather Tennis Club</t>
        </is>
      </c>
      <c r="I780" t="n">
        <v>37.5</v>
      </c>
      <c r="J780" s="4" t="n">
        <v>32</v>
      </c>
      <c r="K780" t="inlineStr">
        <is>
          <t>7 / 25</t>
        </is>
      </c>
      <c r="L780" t="inlineStr">
        <is>
          <t>6 / 8</t>
        </is>
      </c>
      <c r="M780" s="5" t="n">
        <v>0.22</v>
      </c>
      <c r="N780" s="5" t="n">
        <v>0.43</v>
      </c>
    </row>
    <row r="781">
      <c r="A781" t="n">
        <v>780</v>
      </c>
      <c r="B781" t="n">
        <v>2012</v>
      </c>
      <c r="C781" t="inlineStr">
        <is>
          <t>Sofia Kalchenko</t>
        </is>
      </c>
      <c r="D781">
        <f>HYPERLINK("https://ota.tournamentsoftware.com/player-profile/95371403-EC89-475C-B20A-60F935026FFA", "Link")</f>
        <v/>
      </c>
      <c r="E781" s="3" t="n">
        <v>10.627</v>
      </c>
      <c r="F781" s="4" t="n">
        <v>4</v>
      </c>
      <c r="G781" t="inlineStr">
        <is>
          <t>Tennis Alberta</t>
        </is>
      </c>
      <c r="H781" t="inlineStr">
        <is>
          <t>Aforza</t>
        </is>
      </c>
      <c r="I781" t="inlineStr">
        <is>
          <t>unavailable</t>
        </is>
      </c>
      <c r="J781" s="4" t="n">
        <v>41</v>
      </c>
      <c r="K781" t="inlineStr">
        <is>
          <t>20 / 21</t>
        </is>
      </c>
      <c r="L781" t="inlineStr">
        <is>
          <t>3 / 1</t>
        </is>
      </c>
      <c r="M781" s="5" t="n">
        <v>0.49</v>
      </c>
      <c r="N781" s="5" t="n">
        <v>0.75</v>
      </c>
    </row>
    <row r="782">
      <c r="A782" t="n">
        <v>781</v>
      </c>
      <c r="B782" t="n">
        <v>2015</v>
      </c>
      <c r="C782" t="inlineStr">
        <is>
          <t>Maggie Yang</t>
        </is>
      </c>
      <c r="D782">
        <f>HYPERLINK("https://ota.tournamentsoftware.com/player-profile/1188855E-2EBD-473C-B3CD-74B3CDDF9042", "Link")</f>
        <v/>
      </c>
      <c r="E782" s="3" t="n">
        <v>10.557</v>
      </c>
      <c r="F782" s="4" t="n">
        <v>2</v>
      </c>
      <c r="G782" t="inlineStr">
        <is>
          <t>Ontario Tennis Association</t>
        </is>
      </c>
      <c r="H782" t="inlineStr">
        <is>
          <t>Royal City Tennis Club</t>
        </is>
      </c>
      <c r="I782" t="n">
        <v>36.1</v>
      </c>
      <c r="J782" s="4" t="n">
        <v>27</v>
      </c>
      <c r="K782" t="inlineStr">
        <is>
          <t>10 / 17</t>
        </is>
      </c>
      <c r="L782" t="inlineStr">
        <is>
          <t>1 / 2</t>
        </is>
      </c>
      <c r="M782" s="5" t="n">
        <v>0.37</v>
      </c>
      <c r="N782" s="5" t="n">
        <v>0.33</v>
      </c>
    </row>
    <row r="783">
      <c r="A783" t="n">
        <v>782</v>
      </c>
      <c r="B783" t="n">
        <v>2015</v>
      </c>
      <c r="C783" t="inlineStr">
        <is>
          <t>ALYSSA MA</t>
        </is>
      </c>
      <c r="D783">
        <f>HYPERLINK("https://ota.tournamentsoftware.com/player-profile/7C80CDC4-31A2-4667-A2A3-AE7AD2699300", "Link")</f>
        <v/>
      </c>
      <c r="E783" s="3" t="n">
        <v>10.368</v>
      </c>
      <c r="F783" s="4" t="n">
        <v>2</v>
      </c>
      <c r="G783" t="inlineStr">
        <is>
          <t>Ontario Tennis Association</t>
        </is>
      </c>
      <c r="H783" t="inlineStr">
        <is>
          <t>Blackmore Tennis Club</t>
        </is>
      </c>
      <c r="I783" t="n">
        <v>36.4</v>
      </c>
      <c r="J783" s="4" t="n">
        <v>13</v>
      </c>
      <c r="K783" t="inlineStr">
        <is>
          <t>7 / 6</t>
        </is>
      </c>
      <c r="L783" t="inlineStr">
        <is>
          <t>1 / 3</t>
        </is>
      </c>
      <c r="M783" s="5" t="n">
        <v>0.54</v>
      </c>
      <c r="N783" s="5" t="n">
        <v>0.25</v>
      </c>
    </row>
    <row r="784">
      <c r="A784" t="n">
        <v>782</v>
      </c>
      <c r="B784" t="n">
        <v>2016</v>
      </c>
      <c r="C784" t="inlineStr">
        <is>
          <t>Alice Trépanier</t>
        </is>
      </c>
      <c r="D784">
        <f>HYPERLINK("https://ota.tournamentsoftware.com/player-profile/005FD3B5-057F-4BFE-B6D1-1D3CC87FBA27", "Link")</f>
        <v/>
      </c>
      <c r="E784" s="3" t="n">
        <v>10.368</v>
      </c>
      <c r="F784" s="4" t="n">
        <v>1</v>
      </c>
      <c r="G784" t="inlineStr">
        <is>
          <t>Tennis Québec</t>
        </is>
      </c>
      <c r="H784" t="inlineStr">
        <is>
          <t>Centre Récréatif Rock Forest</t>
        </is>
      </c>
      <c r="I784" t="inlineStr">
        <is>
          <t>unavailable</t>
        </is>
      </c>
      <c r="J784" s="4" t="n">
        <v>28</v>
      </c>
      <c r="K784" t="inlineStr">
        <is>
          <t>13 / 15</t>
        </is>
      </c>
      <c r="L784" t="inlineStr">
        <is>
          <t>9 / 7</t>
        </is>
      </c>
      <c r="M784" s="5" t="n">
        <v>0.46</v>
      </c>
      <c r="N784" s="5" t="n">
        <v>0.5600000000000001</v>
      </c>
    </row>
    <row r="785">
      <c r="A785" t="n">
        <v>782</v>
      </c>
      <c r="B785" t="n">
        <v>2015</v>
      </c>
      <c r="C785" t="inlineStr">
        <is>
          <t>Emmanuelle Farah Kwin Onana</t>
        </is>
      </c>
      <c r="D785">
        <f>HYPERLINK("https://ota.tournamentsoftware.com/player-profile/7931DDBA-D7CA-40E8-97CF-DF1CA8113B24", "Link")</f>
        <v/>
      </c>
      <c r="E785" s="3" t="n">
        <v>10.368</v>
      </c>
      <c r="F785" s="4" t="n">
        <v>1</v>
      </c>
      <c r="G785" t="inlineStr">
        <is>
          <t>Tennis Québec</t>
        </is>
      </c>
      <c r="H785" t="inlineStr">
        <is>
          <t>Club de tennis de Gatineau</t>
        </is>
      </c>
      <c r="I785" t="inlineStr">
        <is>
          <t>unavailable</t>
        </is>
      </c>
      <c r="J785" s="4" t="n">
        <v>13</v>
      </c>
      <c r="K785" t="inlineStr">
        <is>
          <t>6 / 7</t>
        </is>
      </c>
      <c r="L785" t="inlineStr">
        <is>
          <t>0 / 1</t>
        </is>
      </c>
      <c r="M785" s="5" t="n">
        <v>0.46</v>
      </c>
      <c r="N785" s="5" t="n">
        <v>0</v>
      </c>
    </row>
    <row r="786">
      <c r="A786" t="n">
        <v>782</v>
      </c>
      <c r="B786" t="n">
        <v>2016</v>
      </c>
      <c r="C786" t="inlineStr">
        <is>
          <t>Madison Prsa</t>
        </is>
      </c>
      <c r="D786">
        <f>HYPERLINK("https://ota.tournamentsoftware.com/player-profile/E90BB9E9-F58B-415B-8202-1B024EFB9E36", "Link")</f>
        <v/>
      </c>
      <c r="E786" s="3" t="n">
        <v>10.368</v>
      </c>
      <c r="F786" s="4" t="n">
        <v>4</v>
      </c>
      <c r="G786" t="inlineStr">
        <is>
          <t>Ontario Tennis Association</t>
        </is>
      </c>
      <c r="H786" t="inlineStr">
        <is>
          <t>Advantage Tennis International at Veneto</t>
        </is>
      </c>
      <c r="I786" t="n">
        <v>37.5</v>
      </c>
      <c r="J786" s="4" t="n">
        <v>140</v>
      </c>
      <c r="K786" t="inlineStr">
        <is>
          <t>53 / 87</t>
        </is>
      </c>
      <c r="L786" t="inlineStr">
        <is>
          <t>12 / 19</t>
        </is>
      </c>
      <c r="M786" s="5" t="n">
        <v>0.38</v>
      </c>
      <c r="N786" s="5" t="n">
        <v>0.39</v>
      </c>
    </row>
    <row r="787">
      <c r="A787" t="n">
        <v>786</v>
      </c>
      <c r="B787" t="n">
        <v>2014</v>
      </c>
      <c r="C787" t="inlineStr">
        <is>
          <t>Flore Laferrière</t>
        </is>
      </c>
      <c r="D787">
        <f>HYPERLINK("https://ota.tournamentsoftware.com/player-profile/14AB607F-E600-4113-85A8-3FA78DC9A248", "Link")</f>
        <v/>
      </c>
      <c r="E787" s="3" t="n">
        <v>10.149</v>
      </c>
      <c r="F787" s="4" t="n">
        <v>3</v>
      </c>
      <c r="G787" t="inlineStr">
        <is>
          <t>Tennis Québec</t>
        </is>
      </c>
      <c r="H787" t="inlineStr">
        <is>
          <t>Tennis 3R- l’Academie l’échange</t>
        </is>
      </c>
      <c r="I787" t="n">
        <v>39.6</v>
      </c>
      <c r="J787" s="4" t="n">
        <v>8</v>
      </c>
      <c r="K787" t="inlineStr">
        <is>
          <t>1 / 7</t>
        </is>
      </c>
      <c r="L787" t="inlineStr">
        <is>
          <t>0 / 3</t>
        </is>
      </c>
      <c r="M787" s="5" t="n">
        <v>0.12</v>
      </c>
      <c r="N787" s="5" t="n">
        <v>0</v>
      </c>
    </row>
    <row r="788">
      <c r="A788" t="n">
        <v>787</v>
      </c>
      <c r="B788" t="n">
        <v>2015</v>
      </c>
      <c r="C788" t="inlineStr">
        <is>
          <t>Autumn VandeCoevering</t>
        </is>
      </c>
      <c r="D788">
        <f>HYPERLINK("https://ota.tournamentsoftware.com/player-profile/1CD9DDAD-A036-4365-A97E-F88D56D4B94B", "Link")</f>
        <v/>
      </c>
      <c r="E788" s="3" t="n">
        <v>10.146</v>
      </c>
      <c r="F788" s="4" t="n">
        <v>2</v>
      </c>
      <c r="G788" t="inlineStr">
        <is>
          <t>Ontario Tennis Association</t>
        </is>
      </c>
      <c r="H788" t="inlineStr">
        <is>
          <t>Greenhills Golf Club</t>
        </is>
      </c>
      <c r="I788" t="inlineStr">
        <is>
          <t>unavailable</t>
        </is>
      </c>
      <c r="J788" s="4" t="n">
        <v>6</v>
      </c>
      <c r="K788" t="inlineStr">
        <is>
          <t>2 / 4</t>
        </is>
      </c>
      <c r="L788" t="inlineStr">
        <is>
          <t>2 / 4</t>
        </is>
      </c>
      <c r="M788" s="5" t="n">
        <v>0.33</v>
      </c>
      <c r="N788" s="5" t="n">
        <v>0.33</v>
      </c>
    </row>
    <row r="789">
      <c r="A789" t="n">
        <v>788</v>
      </c>
      <c r="B789" t="n">
        <v>2015</v>
      </c>
      <c r="C789" t="inlineStr">
        <is>
          <t>Jaelynn Lumandas</t>
        </is>
      </c>
      <c r="D789">
        <f>HYPERLINK("https://ota.tournamentsoftware.com/player-profile/586CE1E5-E974-4A42-B919-DE1FC94F6144", "Link")</f>
        <v/>
      </c>
      <c r="E789" s="3" t="n">
        <v>10.137</v>
      </c>
      <c r="F789" s="4" t="n">
        <v>3</v>
      </c>
      <c r="G789" t="inlineStr">
        <is>
          <t>Tennis Alberta</t>
        </is>
      </c>
      <c r="H789" t="inlineStr">
        <is>
          <t>Saville Community Sports Centre</t>
        </is>
      </c>
      <c r="I789" t="n">
        <v>40</v>
      </c>
      <c r="J789" s="4" t="n">
        <v>25</v>
      </c>
      <c r="K789" t="inlineStr">
        <is>
          <t>1 / 24</t>
        </is>
      </c>
      <c r="L789" t="inlineStr">
        <is>
          <t>0 / 4</t>
        </is>
      </c>
      <c r="M789" s="5" t="n">
        <v>0.04</v>
      </c>
      <c r="N789" s="5" t="n">
        <v>0</v>
      </c>
    </row>
    <row r="790">
      <c r="A790" t="n">
        <v>789</v>
      </c>
      <c r="B790" t="n">
        <v>2012</v>
      </c>
      <c r="C790" t="inlineStr">
        <is>
          <t>Elise Landry</t>
        </is>
      </c>
      <c r="D790">
        <f>HYPERLINK("https://ota.tournamentsoftware.com/player-profile/E61A7837-F4EB-4DDA-B26F-2D7CE7910B80", "Link")</f>
        <v/>
      </c>
      <c r="E790" s="3" t="n">
        <v>9.978999999999999</v>
      </c>
      <c r="F790" s="4" t="n">
        <v>1</v>
      </c>
      <c r="G790" t="inlineStr">
        <is>
          <t>Ontario Tennis Association</t>
        </is>
      </c>
      <c r="H790" t="inlineStr">
        <is>
          <t>Toronto Tennis City</t>
        </is>
      </c>
      <c r="I790" t="inlineStr">
        <is>
          <t>unavailable</t>
        </is>
      </c>
      <c r="J790" s="4" t="n">
        <v>5</v>
      </c>
      <c r="K790" t="inlineStr">
        <is>
          <t>4 / 1</t>
        </is>
      </c>
      <c r="L790" t="inlineStr">
        <is>
          <t>4 / 1</t>
        </is>
      </c>
      <c r="M790" s="5" t="n">
        <v>0.8</v>
      </c>
      <c r="N790" s="5" t="n">
        <v>0.8</v>
      </c>
    </row>
    <row r="791">
      <c r="A791" t="n">
        <v>790</v>
      </c>
      <c r="B791" t="n">
        <v>2012</v>
      </c>
      <c r="C791" t="inlineStr">
        <is>
          <t>Xiaoyue (Vivian) Zhang</t>
        </is>
      </c>
      <c r="D791">
        <f>HYPERLINK("https://ota.tournamentsoftware.com/player-profile/78AF63B4-51BB-4826-AFEB-269DB17B18ED", "Link")</f>
        <v/>
      </c>
      <c r="E791" s="3" t="n">
        <v>9.720000000000001</v>
      </c>
      <c r="F791" s="4" t="n">
        <v>1</v>
      </c>
      <c r="G791" t="inlineStr">
        <is>
          <t>British Columbia</t>
        </is>
      </c>
      <c r="H791" t="inlineStr">
        <is>
          <t>Coquitlam Tennis Club</t>
        </is>
      </c>
      <c r="I791" t="n">
        <v>37.6</v>
      </c>
      <c r="J791" s="4" t="n">
        <v>4</v>
      </c>
      <c r="K791" t="inlineStr">
        <is>
          <t>1 / 3</t>
        </is>
      </c>
      <c r="L791" t="inlineStr">
        <is>
          <t>0 / 0</t>
        </is>
      </c>
      <c r="M791" s="5" t="n">
        <v>0.25</v>
      </c>
      <c r="N791" s="5" t="n">
        <v>0</v>
      </c>
    </row>
    <row r="792">
      <c r="A792" t="n">
        <v>791</v>
      </c>
      <c r="B792" t="n">
        <v>2013</v>
      </c>
      <c r="C792" t="inlineStr">
        <is>
          <t>Anastasia Gorceac</t>
        </is>
      </c>
      <c r="D792">
        <f>HYPERLINK("https://ota.tournamentsoftware.com/player-profile/34DB6E68-DC2D-46A3-9FCF-82A58A1EDBE3", "Link")</f>
        <v/>
      </c>
      <c r="E792" s="3" t="n">
        <v>9.612</v>
      </c>
      <c r="F792" s="4" t="n">
        <v>2</v>
      </c>
      <c r="G792" t="inlineStr">
        <is>
          <t>Tennis Québec</t>
        </is>
      </c>
      <c r="H792" t="inlineStr">
        <is>
          <t>No Club</t>
        </is>
      </c>
      <c r="I792" t="n">
        <v>37.9</v>
      </c>
      <c r="J792" s="4" t="n">
        <v>8</v>
      </c>
      <c r="K792" t="inlineStr">
        <is>
          <t>4 / 4</t>
        </is>
      </c>
      <c r="L792" t="inlineStr">
        <is>
          <t>0 / 0</t>
        </is>
      </c>
      <c r="M792" s="5" t="n">
        <v>0.5</v>
      </c>
      <c r="N792" s="5" t="n">
        <v>0</v>
      </c>
    </row>
    <row r="793">
      <c r="A793" t="n">
        <v>792</v>
      </c>
      <c r="B793" t="n">
        <v>2015</v>
      </c>
      <c r="C793" t="inlineStr">
        <is>
          <t>Violet Rose Divell</t>
        </is>
      </c>
      <c r="D793">
        <f>HYPERLINK("https://ota.tournamentsoftware.com/player-profile/264EFCE5-2D5B-4014-A1E4-CF0F958237B9", "Link")</f>
        <v/>
      </c>
      <c r="E793" s="3" t="n">
        <v>9.598000000000001</v>
      </c>
      <c r="F793" s="4" t="n">
        <v>3</v>
      </c>
      <c r="G793" t="inlineStr">
        <is>
          <t>Tennis Québec</t>
        </is>
      </c>
      <c r="H793" t="inlineStr">
        <is>
          <t>Académie de tennis UNI(T)</t>
        </is>
      </c>
      <c r="I793" t="n">
        <v>39.4</v>
      </c>
      <c r="J793" s="4" t="n">
        <v>6</v>
      </c>
      <c r="K793" t="inlineStr">
        <is>
          <t>1 / 5</t>
        </is>
      </c>
      <c r="L793" t="inlineStr">
        <is>
          <t>1 / 5</t>
        </is>
      </c>
      <c r="M793" s="5" t="n">
        <v>0.17</v>
      </c>
      <c r="N793" s="5" t="n">
        <v>0.17</v>
      </c>
    </row>
    <row r="794">
      <c r="A794" t="n">
        <v>793</v>
      </c>
      <c r="B794" t="n">
        <v>2013</v>
      </c>
      <c r="C794" t="inlineStr">
        <is>
          <t>Yujin Cao</t>
        </is>
      </c>
      <c r="D794">
        <f>HYPERLINK("https://ota.tournamentsoftware.com/player-profile/8260D181-2742-4015-AD52-73D66B6FD70A", "Link")</f>
        <v/>
      </c>
      <c r="E794" s="3" t="n">
        <v>9.59</v>
      </c>
      <c r="F794" s="4" t="n">
        <v>2</v>
      </c>
      <c r="G794" t="inlineStr">
        <is>
          <t>Tennis Québec</t>
        </is>
      </c>
      <c r="H794" t="inlineStr">
        <is>
          <t>Tennis 13</t>
        </is>
      </c>
      <c r="I794" t="inlineStr">
        <is>
          <t>unavailable</t>
        </is>
      </c>
      <c r="J794" s="4" t="n">
        <v>5</v>
      </c>
      <c r="K794" t="inlineStr">
        <is>
          <t>2 / 3</t>
        </is>
      </c>
      <c r="L794" t="inlineStr">
        <is>
          <t>0 / 1</t>
        </is>
      </c>
      <c r="M794" s="5" t="n">
        <v>0.4</v>
      </c>
      <c r="N794" s="5" t="n">
        <v>0</v>
      </c>
    </row>
    <row r="795">
      <c r="A795" t="n">
        <v>794</v>
      </c>
      <c r="B795" t="n">
        <v>2012</v>
      </c>
      <c r="C795" t="inlineStr">
        <is>
          <t>Eya Louati</t>
        </is>
      </c>
      <c r="D795">
        <f>HYPERLINK("https://ota.tournamentsoftware.com/player-profile/679317D4-2CCC-4345-A8E0-4E4AB637C148", "Link")</f>
        <v/>
      </c>
      <c r="E795" s="3" t="n">
        <v>9.504</v>
      </c>
      <c r="F795" s="4" t="n">
        <v>1</v>
      </c>
      <c r="G795" t="inlineStr">
        <is>
          <t>Tennis Québec</t>
        </is>
      </c>
      <c r="H795" t="inlineStr">
        <is>
          <t>SANI Sport</t>
        </is>
      </c>
      <c r="I795" t="inlineStr">
        <is>
          <t>unavailable</t>
        </is>
      </c>
      <c r="J795" s="4" t="n">
        <v>90</v>
      </c>
      <c r="K795" t="inlineStr">
        <is>
          <t>28 / 62</t>
        </is>
      </c>
      <c r="L795" t="inlineStr">
        <is>
          <t>1 / 2</t>
        </is>
      </c>
      <c r="M795" s="5" t="n">
        <v>0.31</v>
      </c>
      <c r="N795" s="5" t="n">
        <v>0.33</v>
      </c>
    </row>
    <row r="796">
      <c r="A796" t="n">
        <v>795</v>
      </c>
      <c r="B796" t="n">
        <v>2014</v>
      </c>
      <c r="C796" t="inlineStr">
        <is>
          <t>Yingshan Zoey Chen</t>
        </is>
      </c>
      <c r="D796">
        <f>HYPERLINK("https://ota.tournamentsoftware.com/player-profile/A4F9AF2C-7FB4-474F-BA3A-0E1AB32672E3", "Link")</f>
        <v/>
      </c>
      <c r="E796" s="3" t="n">
        <v>9.414999999999999</v>
      </c>
      <c r="F796" s="4" t="n">
        <v>3</v>
      </c>
      <c r="G796" t="inlineStr">
        <is>
          <t>Ontario Tennis Association</t>
        </is>
      </c>
      <c r="H796" t="inlineStr">
        <is>
          <t>Thornhill Country Club</t>
        </is>
      </c>
      <c r="I796" t="n">
        <v>38.5</v>
      </c>
      <c r="J796" s="4" t="n">
        <v>24</v>
      </c>
      <c r="K796" t="inlineStr">
        <is>
          <t>5 / 19</t>
        </is>
      </c>
      <c r="L796" t="inlineStr">
        <is>
          <t>2 / 4</t>
        </is>
      </c>
      <c r="M796" s="5" t="n">
        <v>0.21</v>
      </c>
      <c r="N796" s="5" t="n">
        <v>0.33</v>
      </c>
    </row>
    <row r="797">
      <c r="A797" t="n">
        <v>796</v>
      </c>
      <c r="B797" t="n">
        <v>2013</v>
      </c>
      <c r="C797" t="inlineStr">
        <is>
          <t>Harper Thompson</t>
        </is>
      </c>
      <c r="D797">
        <f>HYPERLINK("https://ota.tournamentsoftware.com/player-profile/D930EA05-6917-4BB8-9AD8-DE7F29C99324", "Link")</f>
        <v/>
      </c>
      <c r="E797" s="3" t="n">
        <v>8.938000000000001</v>
      </c>
      <c r="F797" s="4" t="n">
        <v>3</v>
      </c>
      <c r="G797" t="inlineStr">
        <is>
          <t>Tennis Alberta</t>
        </is>
      </c>
      <c r="H797" t="inlineStr">
        <is>
          <t>The Glencoe Club</t>
        </is>
      </c>
      <c r="I797" t="inlineStr">
        <is>
          <t>unavailable</t>
        </is>
      </c>
      <c r="J797" s="4" t="n">
        <v>44</v>
      </c>
      <c r="K797" t="inlineStr">
        <is>
          <t>2 / 42</t>
        </is>
      </c>
      <c r="L797" t="inlineStr">
        <is>
          <t>0 / 2</t>
        </is>
      </c>
      <c r="M797" s="5" t="n">
        <v>0.05</v>
      </c>
      <c r="N797" s="5" t="n">
        <v>0</v>
      </c>
    </row>
    <row r="798">
      <c r="A798" t="n">
        <v>797</v>
      </c>
      <c r="B798" t="n">
        <v>2014</v>
      </c>
      <c r="C798" t="inlineStr">
        <is>
          <t>Avery Rose Kon</t>
        </is>
      </c>
      <c r="D798">
        <f>HYPERLINK("https://ota.tournamentsoftware.com/player-profile/3F621439-578C-4BDD-A8A2-880ECC795615", "Link")</f>
        <v/>
      </c>
      <c r="E798" s="3" t="n">
        <v>8.888</v>
      </c>
      <c r="F798" s="4" t="n">
        <v>2</v>
      </c>
      <c r="G798" t="inlineStr">
        <is>
          <t>Ontario Tennis Association</t>
        </is>
      </c>
      <c r="H798" t="inlineStr">
        <is>
          <t>Toronto Lawn Tennis Club</t>
        </is>
      </c>
      <c r="I798" t="n">
        <v>36.6</v>
      </c>
      <c r="J798" s="4" t="n">
        <v>8</v>
      </c>
      <c r="K798" t="inlineStr">
        <is>
          <t>1 / 7</t>
        </is>
      </c>
      <c r="L798" t="inlineStr">
        <is>
          <t>0 / 2</t>
        </is>
      </c>
      <c r="M798" s="5" t="n">
        <v>0.12</v>
      </c>
      <c r="N798" s="5" t="n">
        <v>0</v>
      </c>
    </row>
    <row r="799">
      <c r="A799" t="n">
        <v>798</v>
      </c>
      <c r="B799" t="n">
        <v>2014</v>
      </c>
      <c r="C799" t="inlineStr">
        <is>
          <t>Annabelle Zhao</t>
        </is>
      </c>
      <c r="D799">
        <f>HYPERLINK("https://ota.tournamentsoftware.com/player-profile/F9367D16-E3B7-41BB-810F-85E4C6371542", "Link")</f>
        <v/>
      </c>
      <c r="E799" s="3" t="n">
        <v>8.882999999999999</v>
      </c>
      <c r="F799" s="4" t="n">
        <v>3</v>
      </c>
      <c r="G799" t="inlineStr">
        <is>
          <t>British Columbia</t>
        </is>
      </c>
      <c r="H799" t="inlineStr">
        <is>
          <t>The Tennis Centre</t>
        </is>
      </c>
      <c r="I799" t="n">
        <v>39</v>
      </c>
      <c r="J799" s="4" t="n">
        <v>61</v>
      </c>
      <c r="K799" t="inlineStr">
        <is>
          <t>30 / 31</t>
        </is>
      </c>
      <c r="L799" t="inlineStr">
        <is>
          <t>10 / 8</t>
        </is>
      </c>
      <c r="M799" s="5" t="n">
        <v>0.49</v>
      </c>
      <c r="N799" s="5" t="n">
        <v>0.5600000000000001</v>
      </c>
    </row>
    <row r="800">
      <c r="A800" t="n">
        <v>799</v>
      </c>
      <c r="B800" t="n">
        <v>2013</v>
      </c>
      <c r="C800" t="inlineStr">
        <is>
          <t>Juliana Pena</t>
        </is>
      </c>
      <c r="D800">
        <f>HYPERLINK("https://ota.tournamentsoftware.com/player-profile/8F1CA811-953C-4FAC-980B-55D7FE7A6E50", "Link")</f>
        <v/>
      </c>
      <c r="E800" s="3" t="n">
        <v>8.813000000000001</v>
      </c>
      <c r="F800" s="4" t="n">
        <v>2</v>
      </c>
      <c r="G800" t="inlineStr">
        <is>
          <t>Tennis Québec</t>
        </is>
      </c>
      <c r="H800" t="inlineStr">
        <is>
          <t>Tennis Québec (région Montréal Ouest)</t>
        </is>
      </c>
      <c r="I800" t="inlineStr">
        <is>
          <t>unavailable</t>
        </is>
      </c>
      <c r="J800" s="4" t="n">
        <v>10</v>
      </c>
      <c r="K800" t="inlineStr">
        <is>
          <t>3 / 7</t>
        </is>
      </c>
      <c r="L800" t="inlineStr">
        <is>
          <t>0 / 0</t>
        </is>
      </c>
      <c r="M800" s="5" t="n">
        <v>0.3</v>
      </c>
      <c r="N800" s="5" t="n">
        <v>0</v>
      </c>
    </row>
    <row r="801">
      <c r="A801" t="n">
        <v>800</v>
      </c>
      <c r="B801" t="n">
        <v>2014</v>
      </c>
      <c r="C801" t="inlineStr">
        <is>
          <t>Candice Cui</t>
        </is>
      </c>
      <c r="D801">
        <f>HYPERLINK("https://ota.tournamentsoftware.com/player-profile/389A79F0-4AEE-4BAD-A33E-98A21CD35738", "Link")</f>
        <v/>
      </c>
      <c r="E801" s="3" t="n">
        <v>8.640000000000001</v>
      </c>
      <c r="F801" s="4" t="n">
        <v>2</v>
      </c>
      <c r="G801" t="inlineStr">
        <is>
          <t>British Columbia</t>
        </is>
      </c>
      <c r="H801" t="inlineStr">
        <is>
          <t>Okanagan Mission Tennis Club Kelowna</t>
        </is>
      </c>
      <c r="I801" t="inlineStr">
        <is>
          <t>unavailable</t>
        </is>
      </c>
      <c r="J801" s="4" t="n">
        <v>30</v>
      </c>
      <c r="K801" t="inlineStr">
        <is>
          <t>11 / 19</t>
        </is>
      </c>
      <c r="L801" t="inlineStr">
        <is>
          <t>2 / 2</t>
        </is>
      </c>
      <c r="M801" s="5" t="n">
        <v>0.37</v>
      </c>
      <c r="N801" s="5" t="n">
        <v>0.5</v>
      </c>
    </row>
    <row r="802">
      <c r="A802" t="n">
        <v>800</v>
      </c>
      <c r="B802" t="n">
        <v>2015</v>
      </c>
      <c r="C802" t="inlineStr">
        <is>
          <t>Chloe Brown</t>
        </is>
      </c>
      <c r="D802">
        <f>HYPERLINK("https://ota.tournamentsoftware.com/player-profile/E3B2C995-F41E-4C95-81DE-7B219EF03CBD", "Link")</f>
        <v/>
      </c>
      <c r="E802" s="3" t="n">
        <v>8.640000000000001</v>
      </c>
      <c r="F802" s="4" t="n">
        <v>4</v>
      </c>
      <c r="G802" t="inlineStr">
        <is>
          <t>British Columbia</t>
        </is>
      </c>
      <c r="H802" t="inlineStr">
        <is>
          <t>Commons Racquet Club at Predator Ridge</t>
        </is>
      </c>
      <c r="I802" t="n">
        <v>38.5</v>
      </c>
      <c r="J802" s="4" t="n">
        <v>25</v>
      </c>
      <c r="K802" t="inlineStr">
        <is>
          <t>10 / 15</t>
        </is>
      </c>
      <c r="L802" t="inlineStr">
        <is>
          <t>7 / 5</t>
        </is>
      </c>
      <c r="M802" s="5" t="n">
        <v>0.4</v>
      </c>
      <c r="N802" s="5" t="n">
        <v>0.58</v>
      </c>
    </row>
    <row r="803">
      <c r="A803" t="n">
        <v>802</v>
      </c>
      <c r="B803" t="n">
        <v>2014</v>
      </c>
      <c r="C803" t="inlineStr">
        <is>
          <t>Jylian May II Mauricio Luces</t>
        </is>
      </c>
      <c r="D803">
        <f>HYPERLINK("https://ota.tournamentsoftware.com/player-profile/EE4C1547-2DEF-4E96-BA65-F8069863F09D", "Link")</f>
        <v/>
      </c>
      <c r="E803" s="3" t="n">
        <v>8.568</v>
      </c>
      <c r="F803" s="4" t="n">
        <v>6</v>
      </c>
      <c r="G803" t="inlineStr">
        <is>
          <t>Tennis Alberta</t>
        </is>
      </c>
      <c r="H803" t="inlineStr">
        <is>
          <t>Osten &amp; Victor Alberta Tennis Centre</t>
        </is>
      </c>
      <c r="I803" t="inlineStr">
        <is>
          <t>unavailable</t>
        </is>
      </c>
      <c r="J803" s="4" t="n">
        <v>30</v>
      </c>
      <c r="K803" t="inlineStr">
        <is>
          <t>5 / 25</t>
        </is>
      </c>
      <c r="L803" t="inlineStr">
        <is>
          <t>1 / 6</t>
        </is>
      </c>
      <c r="M803" s="5" t="n">
        <v>0.17</v>
      </c>
      <c r="N803" s="5" t="n">
        <v>0.14</v>
      </c>
    </row>
    <row r="804">
      <c r="A804" t="n">
        <v>803</v>
      </c>
      <c r="B804" t="n">
        <v>2012</v>
      </c>
      <c r="C804" t="inlineStr">
        <is>
          <t>Ai-Ni Amelia Cheng</t>
        </is>
      </c>
      <c r="D804">
        <f>HYPERLINK("https://ota.tournamentsoftware.com/player-profile/040F8D36-CAF3-4E90-85FB-8F17F2F92E8F", "Link")</f>
        <v/>
      </c>
      <c r="E804" s="3" t="n">
        <v>8.555</v>
      </c>
      <c r="F804" s="4" t="n">
        <v>1</v>
      </c>
      <c r="G804" t="inlineStr">
        <is>
          <t>Ontario Tennis Association</t>
        </is>
      </c>
      <c r="H804" t="inlineStr">
        <is>
          <t>ON West Central No Club</t>
        </is>
      </c>
      <c r="I804" t="n">
        <v>37.1</v>
      </c>
      <c r="J804" s="4" t="n">
        <v>5</v>
      </c>
      <c r="K804" t="inlineStr">
        <is>
          <t>4 / 1</t>
        </is>
      </c>
      <c r="L804" t="inlineStr">
        <is>
          <t>0 / 0</t>
        </is>
      </c>
      <c r="M804" s="5" t="n">
        <v>0.8</v>
      </c>
      <c r="N804" s="5" t="n">
        <v>0</v>
      </c>
    </row>
    <row r="805">
      <c r="A805" t="n">
        <v>804</v>
      </c>
      <c r="B805" t="n">
        <v>2013</v>
      </c>
      <c r="C805" t="inlineStr">
        <is>
          <t>Nya Robinson</t>
        </is>
      </c>
      <c r="D805">
        <f>HYPERLINK("https://ota.tournamentsoftware.com/player-profile/FCE45E04-6DF1-4A68-89D1-ACB65286BF31", "Link")</f>
        <v/>
      </c>
      <c r="E805" s="3" t="n">
        <v>8.449999999999999</v>
      </c>
      <c r="F805" s="4" t="n">
        <v>5</v>
      </c>
      <c r="G805" t="inlineStr">
        <is>
          <t>Tennis Alberta</t>
        </is>
      </c>
      <c r="H805" t="inlineStr">
        <is>
          <t>Osten &amp; Victor Alberta Tennis Centre</t>
        </is>
      </c>
      <c r="I805" t="n">
        <v>38.1</v>
      </c>
      <c r="J805" s="4" t="n">
        <v>17</v>
      </c>
      <c r="K805" t="inlineStr">
        <is>
          <t>7 / 10</t>
        </is>
      </c>
      <c r="L805" t="inlineStr">
        <is>
          <t>2 / 1</t>
        </is>
      </c>
      <c r="M805" s="5" t="n">
        <v>0.41</v>
      </c>
      <c r="N805" s="5" t="n">
        <v>0.67</v>
      </c>
    </row>
    <row r="806">
      <c r="A806" t="n">
        <v>805</v>
      </c>
      <c r="B806" t="n">
        <v>2013</v>
      </c>
      <c r="C806" t="inlineStr">
        <is>
          <t>KIanna Jia Christianson</t>
        </is>
      </c>
      <c r="D806">
        <f>HYPERLINK("https://ota.tournamentsoftware.com/player-profile/A76E75A0-5CAF-4017-8B3C-2D69366CF0FB", "Link")</f>
        <v/>
      </c>
      <c r="E806" s="3" t="n">
        <v>8.423999999999999</v>
      </c>
      <c r="F806" s="4" t="n">
        <v>1</v>
      </c>
      <c r="G806" t="inlineStr">
        <is>
          <t>British Columbia</t>
        </is>
      </c>
      <c r="H806" t="inlineStr">
        <is>
          <t>City of Burnaby</t>
        </is>
      </c>
      <c r="I806" t="n">
        <v>40</v>
      </c>
      <c r="J806" s="4" t="n">
        <v>10</v>
      </c>
      <c r="K806" t="inlineStr">
        <is>
          <t>5 / 5</t>
        </is>
      </c>
      <c r="L806" t="inlineStr">
        <is>
          <t>2 / 3</t>
        </is>
      </c>
      <c r="M806" s="5" t="n">
        <v>0.5</v>
      </c>
      <c r="N806" s="5" t="n">
        <v>0.4</v>
      </c>
    </row>
    <row r="807">
      <c r="A807" t="n">
        <v>805</v>
      </c>
      <c r="B807" t="n">
        <v>2012</v>
      </c>
      <c r="C807" t="inlineStr">
        <is>
          <t>Elisha Lee</t>
        </is>
      </c>
      <c r="D807">
        <f>HYPERLINK("https://ota.tournamentsoftware.com/player-profile/0D8F1552-F5AE-4BBB-B462-7DFD495EA5D1", "Link")</f>
        <v/>
      </c>
      <c r="E807" s="3" t="n">
        <v>8.423999999999999</v>
      </c>
      <c r="F807" s="4" t="n">
        <v>1</v>
      </c>
      <c r="G807" t="inlineStr">
        <is>
          <t>British Columbia</t>
        </is>
      </c>
      <c r="H807" t="inlineStr">
        <is>
          <t>Great West Fitness and Racquets Club</t>
        </is>
      </c>
      <c r="I807" t="n">
        <v>37.8</v>
      </c>
      <c r="J807" s="4" t="n">
        <v>49</v>
      </c>
      <c r="K807" t="inlineStr">
        <is>
          <t>20 / 29</t>
        </is>
      </c>
      <c r="L807" t="inlineStr">
        <is>
          <t>10 / 12</t>
        </is>
      </c>
      <c r="M807" s="5" t="n">
        <v>0.41</v>
      </c>
      <c r="N807" s="5" t="n">
        <v>0.45</v>
      </c>
    </row>
    <row r="808">
      <c r="A808" t="n">
        <v>807</v>
      </c>
      <c r="B808" t="n">
        <v>2015</v>
      </c>
      <c r="C808" t="inlineStr">
        <is>
          <t>Mila Sofia Galvez Bourgeois-Charbonneau</t>
        </is>
      </c>
      <c r="D808">
        <f>HYPERLINK("https://ota.tournamentsoftware.com/player-profile/4F9CCD8C-A7BD-4FA0-B17A-3689BD230A0C", "Link")</f>
        <v/>
      </c>
      <c r="E808" s="3" t="n">
        <v>8.298</v>
      </c>
      <c r="F808" s="4" t="n">
        <v>2</v>
      </c>
      <c r="G808" t="inlineStr">
        <is>
          <t>Tennis Québec</t>
        </is>
      </c>
      <c r="H808" t="inlineStr">
        <is>
          <t>AA Autre club</t>
        </is>
      </c>
      <c r="I808" t="n">
        <v>37.3</v>
      </c>
      <c r="J808" s="4" t="n">
        <v>10</v>
      </c>
      <c r="K808" t="inlineStr">
        <is>
          <t>5 / 5</t>
        </is>
      </c>
      <c r="L808" t="inlineStr">
        <is>
          <t>5 / 2</t>
        </is>
      </c>
      <c r="M808" s="5" t="n">
        <v>0.5</v>
      </c>
      <c r="N808" s="5" t="n">
        <v>0.71</v>
      </c>
    </row>
    <row r="809">
      <c r="A809" t="n">
        <v>808</v>
      </c>
      <c r="B809" t="n">
        <v>2016</v>
      </c>
      <c r="C809" t="inlineStr">
        <is>
          <t>Scarlett Prsa</t>
        </is>
      </c>
      <c r="D809">
        <f>HYPERLINK("https://ota.tournamentsoftware.com/player-profile/CDBDFDF5-0DDE-4F1C-B33B-F163CF134B52", "Link")</f>
        <v/>
      </c>
      <c r="E809" s="3" t="n">
        <v>8.105</v>
      </c>
      <c r="F809" s="4" t="n">
        <v>4</v>
      </c>
      <c r="G809" t="inlineStr">
        <is>
          <t>Ontario Tennis Association</t>
        </is>
      </c>
      <c r="H809" t="inlineStr">
        <is>
          <t>Advantage Tennis International at Veneto</t>
        </is>
      </c>
      <c r="I809" t="n">
        <v>38.1</v>
      </c>
      <c r="J809" s="4" t="n">
        <v>136</v>
      </c>
      <c r="K809" t="inlineStr">
        <is>
          <t>52 / 84</t>
        </is>
      </c>
      <c r="L809" t="inlineStr">
        <is>
          <t>16 / 18</t>
        </is>
      </c>
      <c r="M809" s="5" t="n">
        <v>0.38</v>
      </c>
      <c r="N809" s="5" t="n">
        <v>0.47</v>
      </c>
    </row>
    <row r="810">
      <c r="A810" t="n">
        <v>809</v>
      </c>
      <c r="B810" t="n">
        <v>2015</v>
      </c>
      <c r="C810" t="inlineStr">
        <is>
          <t>Sofia Belyavskaya</t>
        </is>
      </c>
      <c r="D810">
        <f>HYPERLINK("https://ota.tournamentsoftware.com/player-profile/103C1284-54D3-4E14-8B3B-D860AD353A8C", "Link")</f>
        <v/>
      </c>
      <c r="E810" s="3" t="n">
        <v>8.045999999999999</v>
      </c>
      <c r="F810" s="4" t="n">
        <v>3</v>
      </c>
      <c r="G810" t="inlineStr">
        <is>
          <t>British Columbia</t>
        </is>
      </c>
      <c r="H810" t="inlineStr">
        <is>
          <t>The Tennis Centre</t>
        </is>
      </c>
      <c r="I810" t="n">
        <v>37.2</v>
      </c>
      <c r="J810" s="4" t="n">
        <v>88</v>
      </c>
      <c r="K810" t="inlineStr">
        <is>
          <t>35 / 53</t>
        </is>
      </c>
      <c r="L810" t="inlineStr">
        <is>
          <t>2 / 5</t>
        </is>
      </c>
      <c r="M810" s="5" t="n">
        <v>0.4</v>
      </c>
      <c r="N810" s="5" t="n">
        <v>0.29</v>
      </c>
    </row>
    <row r="811">
      <c r="A811" t="n">
        <v>810</v>
      </c>
      <c r="B811" t="n">
        <v>2014</v>
      </c>
      <c r="C811" t="inlineStr">
        <is>
          <t>Marie Renaud</t>
        </is>
      </c>
      <c r="D811">
        <f>HYPERLINK("https://ota.tournamentsoftware.com/player-profile/9538BC58-3E12-400B-B7A6-AA4E495D60F5", "Link")</f>
        <v/>
      </c>
      <c r="E811" s="3" t="n">
        <v>8.01</v>
      </c>
      <c r="F811" s="4" t="n">
        <v>1</v>
      </c>
      <c r="G811" t="inlineStr">
        <is>
          <t>Tennis Québec</t>
        </is>
      </c>
      <c r="H811" t="inlineStr">
        <is>
          <t>Les Tennis de Rimouski (intérieur)</t>
        </is>
      </c>
      <c r="I811" t="inlineStr">
        <is>
          <t>unavailable</t>
        </is>
      </c>
      <c r="J811" s="4" t="n">
        <v>3</v>
      </c>
      <c r="K811" t="inlineStr">
        <is>
          <t>1 / 2</t>
        </is>
      </c>
      <c r="L811" t="inlineStr">
        <is>
          <t>1 / 2</t>
        </is>
      </c>
      <c r="M811" s="5" t="n">
        <v>0.33</v>
      </c>
      <c r="N811" s="5" t="n">
        <v>0.33</v>
      </c>
    </row>
    <row r="812">
      <c r="A812" t="n">
        <v>810</v>
      </c>
      <c r="B812" t="n">
        <v>2013</v>
      </c>
      <c r="C812" t="inlineStr">
        <is>
          <t>Anaya Mohammed Shurrab</t>
        </is>
      </c>
      <c r="D812">
        <f>HYPERLINK("https://ota.tournamentsoftware.com/player-profile/A4BA7F79-3B20-4355-B83D-7B81774D6C97", "Link")</f>
        <v/>
      </c>
      <c r="E812" s="3" t="n">
        <v>8.01</v>
      </c>
      <c r="F812" s="4" t="n">
        <v>1</v>
      </c>
      <c r="G812" t="inlineStr">
        <is>
          <t>Ontario Tennis Association</t>
        </is>
      </c>
      <c r="H812" t="inlineStr">
        <is>
          <t>Sudbury Indoor Tennis Centre</t>
        </is>
      </c>
      <c r="I812" t="n">
        <v>38.8</v>
      </c>
      <c r="J812" s="4" t="n">
        <v>2</v>
      </c>
      <c r="K812" t="inlineStr">
        <is>
          <t>0 / 2</t>
        </is>
      </c>
      <c r="L812" t="inlineStr">
        <is>
          <t>0 / 0</t>
        </is>
      </c>
      <c r="M812" s="5" t="n">
        <v>0</v>
      </c>
      <c r="N812" s="5" t="n">
        <v>0</v>
      </c>
    </row>
    <row r="813">
      <c r="A813" t="n">
        <v>812</v>
      </c>
      <c r="B813" t="n">
        <v>2015</v>
      </c>
      <c r="C813" t="inlineStr">
        <is>
          <t>Lyskha Ann Louis</t>
        </is>
      </c>
      <c r="D813">
        <f>HYPERLINK("https://ota.tournamentsoftware.com/player-profile/E63460EF-56D0-4F3C-845C-D047E7B9C366", "Link")</f>
        <v/>
      </c>
      <c r="E813" s="3" t="n">
        <v>7.906</v>
      </c>
      <c r="F813" s="4" t="n">
        <v>2</v>
      </c>
      <c r="G813" t="inlineStr">
        <is>
          <t>Tennis Québec</t>
        </is>
      </c>
      <c r="H813" t="inlineStr">
        <is>
          <t>Tennis 13</t>
        </is>
      </c>
      <c r="I813" t="n">
        <v>36.4</v>
      </c>
      <c r="J813" s="4" t="n">
        <v>9</v>
      </c>
      <c r="K813" t="inlineStr">
        <is>
          <t>4 / 5</t>
        </is>
      </c>
      <c r="L813" t="inlineStr">
        <is>
          <t>4 / 2</t>
        </is>
      </c>
      <c r="M813" s="5" t="n">
        <v>0.44</v>
      </c>
      <c r="N813" s="5" t="n">
        <v>0.67</v>
      </c>
    </row>
    <row r="814">
      <c r="A814" t="n">
        <v>813</v>
      </c>
      <c r="B814" t="n">
        <v>2013</v>
      </c>
      <c r="C814" t="inlineStr">
        <is>
          <t>Seher Sharma</t>
        </is>
      </c>
      <c r="D814">
        <f>HYPERLINK("https://ota.tournamentsoftware.com/player-profile/383B0843-9E5F-4A01-8304-C01EA147B7A2", "Link")</f>
        <v/>
      </c>
      <c r="E814" s="3" t="n">
        <v>7.892</v>
      </c>
      <c r="F814" s="4" t="n">
        <v>1</v>
      </c>
      <c r="G814" t="inlineStr">
        <is>
          <t>Ontario Tennis Association</t>
        </is>
      </c>
      <c r="H814" t="inlineStr">
        <is>
          <t>Glendale Tennis Club</t>
        </is>
      </c>
      <c r="I814" t="inlineStr">
        <is>
          <t>unavailable</t>
        </is>
      </c>
      <c r="J814" s="4" t="n">
        <v>15</v>
      </c>
      <c r="K814" t="inlineStr">
        <is>
          <t>4 / 11</t>
        </is>
      </c>
      <c r="L814" t="inlineStr">
        <is>
          <t>0 / 2</t>
        </is>
      </c>
      <c r="M814" s="5" t="n">
        <v>0.27</v>
      </c>
      <c r="N814" s="5" t="n">
        <v>0</v>
      </c>
    </row>
    <row r="815">
      <c r="A815" t="n">
        <v>814</v>
      </c>
      <c r="B815" t="n">
        <v>2016</v>
      </c>
      <c r="C815" t="inlineStr">
        <is>
          <t>Heidi Liu</t>
        </is>
      </c>
      <c r="D815">
        <f>HYPERLINK("https://ota.tournamentsoftware.com/player-profile/E3F0466B-50E4-4105-A35A-1BB6B1C1C09C", "Link")</f>
        <v/>
      </c>
      <c r="E815" s="3" t="n">
        <v>7.803</v>
      </c>
      <c r="F815" s="4" t="n">
        <v>4</v>
      </c>
      <c r="G815" t="inlineStr">
        <is>
          <t>British Columbia</t>
        </is>
      </c>
      <c r="H815" t="inlineStr">
        <is>
          <t>UBC Tennis Centre</t>
        </is>
      </c>
      <c r="I815" t="n">
        <v>38.3</v>
      </c>
      <c r="J815" s="4" t="n">
        <v>72</v>
      </c>
      <c r="K815" t="inlineStr">
        <is>
          <t>42 / 30</t>
        </is>
      </c>
      <c r="L815" t="inlineStr">
        <is>
          <t>19 / 17</t>
        </is>
      </c>
      <c r="M815" s="5" t="n">
        <v>0.58</v>
      </c>
      <c r="N815" s="5" t="n">
        <v>0.53</v>
      </c>
    </row>
    <row r="816">
      <c r="A816" t="n">
        <v>815</v>
      </c>
      <c r="B816" t="n">
        <v>2014</v>
      </c>
      <c r="C816" t="inlineStr">
        <is>
          <t>Gloriana Shiqi Zhang</t>
        </is>
      </c>
      <c r="D816">
        <f>HYPERLINK("https://ota.tournamentsoftware.com/player-profile/2717E828-0882-43B7-ADDB-D078FFA580CF", "Link")</f>
        <v/>
      </c>
      <c r="E816" s="3" t="n">
        <v>7.776</v>
      </c>
      <c r="F816" s="4" t="n">
        <v>2</v>
      </c>
      <c r="G816" t="inlineStr">
        <is>
          <t>British Columbia</t>
        </is>
      </c>
      <c r="H816" t="inlineStr">
        <is>
          <t>Hollyburn Country Club</t>
        </is>
      </c>
      <c r="I816" t="inlineStr">
        <is>
          <t>unavailable</t>
        </is>
      </c>
      <c r="J816" s="4" t="n">
        <v>32</v>
      </c>
      <c r="K816" t="inlineStr">
        <is>
          <t>5 / 27</t>
        </is>
      </c>
      <c r="L816" t="inlineStr">
        <is>
          <t>0 / 0</t>
        </is>
      </c>
      <c r="M816" s="5" t="n">
        <v>0.16</v>
      </c>
      <c r="N816" s="5" t="n">
        <v>0</v>
      </c>
    </row>
    <row r="817">
      <c r="A817" t="n">
        <v>816</v>
      </c>
      <c r="B817" t="n">
        <v>2015</v>
      </c>
      <c r="C817" t="inlineStr">
        <is>
          <t>Dani Banquicio</t>
        </is>
      </c>
      <c r="D817">
        <f>HYPERLINK("https://ota.tournamentsoftware.com/player-profile/46430071-90F3-4471-A44B-9BE4F31E2D72", "Link")</f>
        <v/>
      </c>
      <c r="E817" s="3" t="n">
        <v>7.652</v>
      </c>
      <c r="F817" s="4" t="n">
        <v>2</v>
      </c>
      <c r="G817" t="inlineStr">
        <is>
          <t>Tennis New Brunswick</t>
        </is>
      </c>
      <c r="H817" t="inlineStr">
        <is>
          <t>Abony Family Tennis Center</t>
        </is>
      </c>
      <c r="I817" t="n">
        <v>40</v>
      </c>
      <c r="J817" s="4" t="n">
        <v>54</v>
      </c>
      <c r="K817" t="inlineStr">
        <is>
          <t>17 / 37</t>
        </is>
      </c>
      <c r="L817" t="inlineStr">
        <is>
          <t>3 / 7</t>
        </is>
      </c>
      <c r="M817" s="5" t="n">
        <v>0.31</v>
      </c>
      <c r="N817" s="5" t="n">
        <v>0.3</v>
      </c>
    </row>
    <row r="818">
      <c r="A818" t="n">
        <v>817</v>
      </c>
      <c r="B818" t="n">
        <v>2014</v>
      </c>
      <c r="C818" t="inlineStr">
        <is>
          <t>Audrey Dionne-Chen</t>
        </is>
      </c>
      <c r="D818">
        <f>HYPERLINK("https://ota.tournamentsoftware.com/player-profile/7AE565BD-506E-4133-AA69-F89B361E38C0", "Link")</f>
        <v/>
      </c>
      <c r="E818" s="3" t="n">
        <v>7.552</v>
      </c>
      <c r="F818" s="4" t="n">
        <v>1</v>
      </c>
      <c r="G818" t="inlineStr">
        <is>
          <t>Ontario Tennis Association</t>
        </is>
      </c>
      <c r="H818" t="inlineStr">
        <is>
          <t>Rideau Sports Centre</t>
        </is>
      </c>
      <c r="I818" t="n">
        <v>39.4</v>
      </c>
      <c r="J818" s="4" t="n">
        <v>14</v>
      </c>
      <c r="K818" t="inlineStr">
        <is>
          <t>4 / 10</t>
        </is>
      </c>
      <c r="L818" t="inlineStr">
        <is>
          <t>0 / 1</t>
        </is>
      </c>
      <c r="M818" s="5" t="n">
        <v>0.29</v>
      </c>
      <c r="N818" s="5" t="n">
        <v>0</v>
      </c>
    </row>
    <row r="819">
      <c r="A819" t="n">
        <v>818</v>
      </c>
      <c r="B819" t="n">
        <v>2013</v>
      </c>
      <c r="C819" t="inlineStr">
        <is>
          <t>rafaela pena</t>
        </is>
      </c>
      <c r="D819">
        <f>HYPERLINK("https://ota.tournamentsoftware.com/player-profile/A4EAF82E-5402-4B2B-B03B-0E790D9A9F99", "Link")</f>
        <v/>
      </c>
      <c r="E819" s="3" t="n">
        <v>7.174</v>
      </c>
      <c r="F819" s="4" t="n">
        <v>2</v>
      </c>
      <c r="G819" t="inlineStr">
        <is>
          <t>Tennis Québec</t>
        </is>
      </c>
      <c r="H819" t="inlineStr">
        <is>
          <t>Tennis Québec (région Montréal Ouest)</t>
        </is>
      </c>
      <c r="I819" t="inlineStr">
        <is>
          <t>unavailable</t>
        </is>
      </c>
      <c r="J819" s="4" t="n">
        <v>10</v>
      </c>
      <c r="K819" t="inlineStr">
        <is>
          <t>4 / 6</t>
        </is>
      </c>
      <c r="L819" t="inlineStr">
        <is>
          <t>0 / 0</t>
        </is>
      </c>
      <c r="M819" s="5" t="n">
        <v>0.4</v>
      </c>
      <c r="N819" s="5" t="n">
        <v>0</v>
      </c>
    </row>
    <row r="820">
      <c r="A820" t="n">
        <v>819</v>
      </c>
      <c r="B820" t="n">
        <v>2016</v>
      </c>
      <c r="C820" t="inlineStr">
        <is>
          <t>Joud Marmash</t>
        </is>
      </c>
      <c r="D820">
        <f>HYPERLINK("https://ota.tournamentsoftware.com/player-profile/7F8FB01C-3EB1-48B9-B051-119BB01F4118", "Link")</f>
        <v/>
      </c>
      <c r="E820" s="3" t="n">
        <v>6.84</v>
      </c>
      <c r="F820" s="4" t="n">
        <v>4</v>
      </c>
      <c r="G820" t="inlineStr">
        <is>
          <t>Ontario Tennis Association</t>
        </is>
      </c>
      <c r="H820" t="inlineStr">
        <is>
          <t>Zekelman Tennis Centre</t>
        </is>
      </c>
      <c r="I820" t="n">
        <v>37.7</v>
      </c>
      <c r="J820" s="4" t="n">
        <v>14</v>
      </c>
      <c r="K820" t="inlineStr">
        <is>
          <t>4 / 10</t>
        </is>
      </c>
      <c r="L820" t="inlineStr">
        <is>
          <t>4 / 10</t>
        </is>
      </c>
      <c r="M820" s="5" t="n">
        <v>0.29</v>
      </c>
      <c r="N820" s="5" t="n">
        <v>0.29</v>
      </c>
    </row>
    <row r="821">
      <c r="A821" t="n">
        <v>819</v>
      </c>
      <c r="B821" t="n">
        <v>2017</v>
      </c>
      <c r="C821" t="inlineStr">
        <is>
          <t>Kaja Gacanin</t>
        </is>
      </c>
      <c r="D821">
        <f>HYPERLINK("https://ota.tournamentsoftware.com/player-profile/51158AF8-F463-4974-AE1F-B1924D114B2F", "Link")</f>
        <v/>
      </c>
      <c r="E821" s="3" t="n">
        <v>6.84</v>
      </c>
      <c r="F821" s="4" t="n">
        <v>2</v>
      </c>
      <c r="G821" t="inlineStr">
        <is>
          <t>Ontario Tennis Association</t>
        </is>
      </c>
      <c r="H821" t="inlineStr">
        <is>
          <t>Zekelman Tennis Centre</t>
        </is>
      </c>
      <c r="I821" t="n">
        <v>38.6</v>
      </c>
      <c r="J821" s="4" t="n">
        <v>7</v>
      </c>
      <c r="K821" t="inlineStr">
        <is>
          <t>2 / 5</t>
        </is>
      </c>
      <c r="L821" t="inlineStr">
        <is>
          <t>2 / 5</t>
        </is>
      </c>
      <c r="M821" s="5" t="n">
        <v>0.29</v>
      </c>
      <c r="N821" s="5" t="n">
        <v>0.29</v>
      </c>
    </row>
    <row r="822">
      <c r="A822" t="n">
        <v>821</v>
      </c>
      <c r="B822" t="n">
        <v>2015</v>
      </c>
      <c r="C822" t="inlineStr">
        <is>
          <t>Ruby Mika Szakacs</t>
        </is>
      </c>
      <c r="D822">
        <f>HYPERLINK("https://ota.tournamentsoftware.com/player-profile/200B8C95-20A4-4F60-90C6-7E30A84EAEA7", "Link")</f>
        <v/>
      </c>
      <c r="E822" s="3" t="n">
        <v>6.607</v>
      </c>
      <c r="F822" s="4" t="n">
        <v>2</v>
      </c>
      <c r="G822" t="inlineStr">
        <is>
          <t>Ontario Tennis Association</t>
        </is>
      </c>
      <c r="H822" t="inlineStr">
        <is>
          <t>No Club</t>
        </is>
      </c>
      <c r="I822" t="n">
        <v>39.4</v>
      </c>
      <c r="J822" s="4" t="n">
        <v>55</v>
      </c>
      <c r="K822" t="inlineStr">
        <is>
          <t>28 / 27</t>
        </is>
      </c>
      <c r="L822" t="inlineStr">
        <is>
          <t>0 / 4</t>
        </is>
      </c>
      <c r="M822" s="5" t="n">
        <v>0.51</v>
      </c>
      <c r="N822" s="5" t="n">
        <v>0</v>
      </c>
    </row>
    <row r="823">
      <c r="A823" t="n">
        <v>821</v>
      </c>
      <c r="B823" t="n">
        <v>2014</v>
      </c>
      <c r="C823" t="inlineStr">
        <is>
          <t>Mantian Ellie Ni</t>
        </is>
      </c>
      <c r="D823">
        <f>HYPERLINK("https://ota.tournamentsoftware.com/player-profile/7FD8D72E-3679-4613-A482-A282508BEA32", "Link")</f>
        <v/>
      </c>
      <c r="E823" s="3" t="n">
        <v>6.607</v>
      </c>
      <c r="F823" s="4" t="n">
        <v>2</v>
      </c>
      <c r="G823" t="inlineStr">
        <is>
          <t>Ontario Tennis Association</t>
        </is>
      </c>
      <c r="H823" t="inlineStr">
        <is>
          <t>Premier Racquet Club</t>
        </is>
      </c>
      <c r="I823" t="n">
        <v>39.5</v>
      </c>
      <c r="J823" s="4" t="n">
        <v>23</v>
      </c>
      <c r="K823" t="inlineStr">
        <is>
          <t>7 / 16</t>
        </is>
      </c>
      <c r="L823" t="inlineStr">
        <is>
          <t>3 / 4</t>
        </is>
      </c>
      <c r="M823" s="5" t="n">
        <v>0.3</v>
      </c>
      <c r="N823" s="5" t="n">
        <v>0.43</v>
      </c>
    </row>
    <row r="824">
      <c r="A824" t="n">
        <v>823</v>
      </c>
      <c r="B824" t="n">
        <v>2015</v>
      </c>
      <c r="C824" t="inlineStr">
        <is>
          <t>Ivana Novatus Nguma</t>
        </is>
      </c>
      <c r="D824">
        <f>HYPERLINK("https://ota.tournamentsoftware.com/player-profile/152EACD1-B447-4FFD-B45D-419526079F6E", "Link")</f>
        <v/>
      </c>
      <c r="E824" s="3" t="n">
        <v>6.6</v>
      </c>
      <c r="F824" s="4" t="n">
        <v>1</v>
      </c>
      <c r="G824" t="inlineStr">
        <is>
          <t>Tennis Alberta</t>
        </is>
      </c>
      <c r="H824" t="inlineStr">
        <is>
          <t>Calgary Tennis Society</t>
        </is>
      </c>
      <c r="I824" t="n">
        <v>37.7</v>
      </c>
      <c r="J824" s="4" t="n">
        <v>22</v>
      </c>
      <c r="K824" t="inlineStr">
        <is>
          <t>11 / 11</t>
        </is>
      </c>
      <c r="L824" t="inlineStr">
        <is>
          <t>7 / 3</t>
        </is>
      </c>
      <c r="M824" s="5" t="n">
        <v>0.5</v>
      </c>
      <c r="N824" s="5" t="n">
        <v>0.7</v>
      </c>
    </row>
    <row r="825">
      <c r="A825" t="n">
        <v>824</v>
      </c>
      <c r="B825" t="n">
        <v>2017</v>
      </c>
      <c r="C825" t="inlineStr">
        <is>
          <t>Mackenzie Alexandra Greer</t>
        </is>
      </c>
      <c r="D825">
        <f>HYPERLINK("https://ota.tournamentsoftware.com/player-profile/E975EEBE-CD33-46CE-BFFF-1BB5A6FB8672", "Link")</f>
        <v/>
      </c>
      <c r="E825" s="3" t="n">
        <v>6.48</v>
      </c>
      <c r="F825" s="4" t="n">
        <v>1</v>
      </c>
      <c r="G825" t="inlineStr">
        <is>
          <t>Ontario Tennis Association</t>
        </is>
      </c>
      <c r="H825" t="inlineStr">
        <is>
          <t>Stefanovic Tennis Academy</t>
        </is>
      </c>
      <c r="I825" t="n">
        <v>37.6</v>
      </c>
      <c r="J825" s="4" t="n">
        <v>141</v>
      </c>
      <c r="K825" t="inlineStr">
        <is>
          <t>114 / 27</t>
        </is>
      </c>
      <c r="L825" t="inlineStr">
        <is>
          <t>70 / 9</t>
        </is>
      </c>
      <c r="M825" s="5" t="n">
        <v>0.8100000000000001</v>
      </c>
      <c r="N825" s="5" t="n">
        <v>0.89</v>
      </c>
    </row>
    <row r="826">
      <c r="A826" t="n">
        <v>824</v>
      </c>
      <c r="B826" t="n">
        <v>2016</v>
      </c>
      <c r="C826" t="inlineStr">
        <is>
          <t>Charlotte Gordovin</t>
        </is>
      </c>
      <c r="D826">
        <f>HYPERLINK("https://ota.tournamentsoftware.com/player-profile/961D5F8B-09E8-477B-A5D4-F4815570D913", "Link")</f>
        <v/>
      </c>
      <c r="E826" s="3" t="n">
        <v>6.48</v>
      </c>
      <c r="F826" s="4" t="n">
        <v>1</v>
      </c>
      <c r="G826" t="inlineStr">
        <is>
          <t>Ontario Tennis Association</t>
        </is>
      </c>
      <c r="H826" t="inlineStr">
        <is>
          <t>ON Tennis Toronto No Club</t>
        </is>
      </c>
      <c r="I826" t="inlineStr">
        <is>
          <t>unavailable</t>
        </is>
      </c>
      <c r="J826" s="4" t="n">
        <v>82</v>
      </c>
      <c r="K826" t="inlineStr">
        <is>
          <t>41 / 41</t>
        </is>
      </c>
      <c r="L826" t="inlineStr">
        <is>
          <t>14 / 14</t>
        </is>
      </c>
      <c r="M826" s="5" t="n">
        <v>0.5</v>
      </c>
      <c r="N826" s="5" t="n">
        <v>0.5</v>
      </c>
    </row>
    <row r="827">
      <c r="A827" t="n">
        <v>824</v>
      </c>
      <c r="B827" t="n">
        <v>2014</v>
      </c>
      <c r="C827" t="inlineStr">
        <is>
          <t>Vira Beskupska</t>
        </is>
      </c>
      <c r="D827">
        <f>HYPERLINK("https://ota.tournamentsoftware.com/player-profile/116FA89C-68A6-4FE9-ADC6-34260809351C", "Link")</f>
        <v/>
      </c>
      <c r="E827" s="3" t="n">
        <v>6.48</v>
      </c>
      <c r="F827" s="4" t="n">
        <v>1</v>
      </c>
      <c r="G827" t="inlineStr">
        <is>
          <t>Ontario Tennis Association</t>
        </is>
      </c>
      <c r="H827" t="inlineStr">
        <is>
          <t>National Tennis School</t>
        </is>
      </c>
      <c r="I827" t="inlineStr">
        <is>
          <t>unavailable</t>
        </is>
      </c>
      <c r="J827" s="4" t="n">
        <v>1</v>
      </c>
      <c r="K827" t="inlineStr">
        <is>
          <t>0 / 1</t>
        </is>
      </c>
      <c r="L827" t="inlineStr">
        <is>
          <t>0 / 1</t>
        </is>
      </c>
      <c r="M827" s="5" t="n">
        <v>0</v>
      </c>
      <c r="N827" s="5" t="n">
        <v>0</v>
      </c>
    </row>
    <row r="828">
      <c r="A828" t="n">
        <v>824</v>
      </c>
      <c r="B828" t="n">
        <v>2014</v>
      </c>
      <c r="C828" t="inlineStr">
        <is>
          <t>Saisha Sharma</t>
        </is>
      </c>
      <c r="D828">
        <f>HYPERLINK("https://ota.tournamentsoftware.com/player-profile/4141EEE9-8372-4477-B6C4-DE0E9616249B", "Link")</f>
        <v/>
      </c>
      <c r="E828" s="3" t="n">
        <v>6.48</v>
      </c>
      <c r="F828" s="4" t="n">
        <v>1</v>
      </c>
      <c r="G828" t="inlineStr">
        <is>
          <t>Ontario Tennis Association</t>
        </is>
      </c>
      <c r="H828" t="inlineStr">
        <is>
          <t>Premier Racquet Clubs – Brampton</t>
        </is>
      </c>
      <c r="I828" t="n">
        <v>37.1</v>
      </c>
      <c r="J828" s="4" t="n">
        <v>14</v>
      </c>
      <c r="K828" t="inlineStr">
        <is>
          <t>10 / 4</t>
        </is>
      </c>
      <c r="L828" t="inlineStr">
        <is>
          <t>10 / 4</t>
        </is>
      </c>
      <c r="M828" s="5" t="n">
        <v>0.71</v>
      </c>
      <c r="N828" s="5" t="n">
        <v>0.71</v>
      </c>
    </row>
    <row r="829">
      <c r="A829" t="n">
        <v>824</v>
      </c>
      <c r="B829" t="n">
        <v>2015</v>
      </c>
      <c r="C829" t="inlineStr">
        <is>
          <t>Catherine Qu</t>
        </is>
      </c>
      <c r="D829">
        <f>HYPERLINK("https://ota.tournamentsoftware.com/player-profile/6BFBAA24-1779-441C-B7FC-7EF81219D270", "Link")</f>
        <v/>
      </c>
      <c r="E829" s="3" t="n">
        <v>6.48</v>
      </c>
      <c r="F829" s="4" t="n">
        <v>1</v>
      </c>
      <c r="G829" t="inlineStr">
        <is>
          <t>Ontario Tennis Association</t>
        </is>
      </c>
      <c r="H829" t="inlineStr">
        <is>
          <t>Royal City Tennis Club</t>
        </is>
      </c>
      <c r="I829" t="n">
        <v>36.4</v>
      </c>
      <c r="J829" s="4" t="n">
        <v>19</v>
      </c>
      <c r="K829" t="inlineStr">
        <is>
          <t>3 / 16</t>
        </is>
      </c>
      <c r="L829" t="inlineStr">
        <is>
          <t>1 / 1</t>
        </is>
      </c>
      <c r="M829" s="5" t="n">
        <v>0.16</v>
      </c>
      <c r="N829" s="5" t="n">
        <v>0.5</v>
      </c>
    </row>
    <row r="830">
      <c r="A830" t="n">
        <v>824</v>
      </c>
      <c r="B830" t="n">
        <v>2014</v>
      </c>
      <c r="C830" t="inlineStr">
        <is>
          <t>Elina Chai</t>
        </is>
      </c>
      <c r="D830">
        <f>HYPERLINK("https://ota.tournamentsoftware.com/player-profile/93EB3F3A-118C-460C-AB18-42D8F042E5A9", "Link")</f>
        <v/>
      </c>
      <c r="E830" s="3" t="n">
        <v>6.48</v>
      </c>
      <c r="F830" s="4" t="n">
        <v>1</v>
      </c>
      <c r="G830" t="inlineStr">
        <is>
          <t>Ontario Tennis Association</t>
        </is>
      </c>
      <c r="H830" t="inlineStr">
        <is>
          <t>ACE Tennis - Toronto Tennis City</t>
        </is>
      </c>
      <c r="I830" t="n">
        <v>38.5</v>
      </c>
      <c r="J830" s="4" t="n">
        <v>6</v>
      </c>
      <c r="K830" t="inlineStr">
        <is>
          <t>4 / 2</t>
        </is>
      </c>
      <c r="L830" t="inlineStr">
        <is>
          <t>4 / 2</t>
        </is>
      </c>
      <c r="M830" s="5" t="n">
        <v>0.67</v>
      </c>
      <c r="N830" s="5" t="n">
        <v>0.67</v>
      </c>
    </row>
    <row r="831">
      <c r="A831" t="n">
        <v>824</v>
      </c>
      <c r="B831" t="n">
        <v>2015</v>
      </c>
      <c r="C831" t="inlineStr">
        <is>
          <t>Olive Allen</t>
        </is>
      </c>
      <c r="D831">
        <f>HYPERLINK("https://ota.tournamentsoftware.com/player-profile/B0709DF4-F657-4BE5-870B-1467DB919D18", "Link")</f>
        <v/>
      </c>
      <c r="E831" s="3" t="n">
        <v>6.48</v>
      </c>
      <c r="F831" s="4" t="n">
        <v>2</v>
      </c>
      <c r="G831" t="inlineStr">
        <is>
          <t>British Columbia</t>
        </is>
      </c>
      <c r="H831" t="inlineStr">
        <is>
          <t>Hollyburn Country Club</t>
        </is>
      </c>
      <c r="I831" t="n">
        <v>40</v>
      </c>
      <c r="J831" s="4" t="n">
        <v>35</v>
      </c>
      <c r="K831" t="inlineStr">
        <is>
          <t>12 / 23</t>
        </is>
      </c>
      <c r="L831" t="inlineStr">
        <is>
          <t>3 / 7</t>
        </is>
      </c>
      <c r="M831" s="5" t="n">
        <v>0.34</v>
      </c>
      <c r="N831" s="5" t="n">
        <v>0.3</v>
      </c>
    </row>
    <row r="832">
      <c r="A832" t="n">
        <v>824</v>
      </c>
      <c r="B832" t="n">
        <v>2014</v>
      </c>
      <c r="C832" t="inlineStr">
        <is>
          <t>Mila Isaeva</t>
        </is>
      </c>
      <c r="D832">
        <f>HYPERLINK("https://ota.tournamentsoftware.com/player-profile/318B72C3-8E32-46E5-B532-524E3B59755C", "Link")</f>
        <v/>
      </c>
      <c r="E832" s="3" t="n">
        <v>6.48</v>
      </c>
      <c r="F832" s="4" t="n">
        <v>1</v>
      </c>
      <c r="G832" t="inlineStr">
        <is>
          <t>Ontario Tennis Association</t>
        </is>
      </c>
      <c r="H832" t="inlineStr">
        <is>
          <t>Tam Heather Tennis Club</t>
        </is>
      </c>
      <c r="I832" t="n">
        <v>38.3</v>
      </c>
      <c r="J832" s="4" t="n">
        <v>10</v>
      </c>
      <c r="K832" t="inlineStr">
        <is>
          <t>4 / 6</t>
        </is>
      </c>
      <c r="L832" t="inlineStr">
        <is>
          <t>2 / 3</t>
        </is>
      </c>
      <c r="M832" s="5" t="n">
        <v>0.4</v>
      </c>
      <c r="N832" s="5" t="n">
        <v>0.4</v>
      </c>
    </row>
    <row r="833">
      <c r="A833" t="n">
        <v>832</v>
      </c>
      <c r="B833" t="n">
        <v>2012</v>
      </c>
      <c r="C833" t="inlineStr">
        <is>
          <t>Feiran Zhang</t>
        </is>
      </c>
      <c r="D833">
        <f>HYPERLINK("https://ota.tournamentsoftware.com/player-profile/8FFC114F-FEF3-40BF-AF97-E338D1EA4209", "Link")</f>
        <v/>
      </c>
      <c r="E833" s="3" t="n">
        <v>6.248</v>
      </c>
      <c r="F833" s="4" t="n">
        <v>1</v>
      </c>
      <c r="G833" t="inlineStr">
        <is>
          <t>British Columbia</t>
        </is>
      </c>
      <c r="H833" t="inlineStr">
        <is>
          <t>No Club</t>
        </is>
      </c>
      <c r="I833" t="n">
        <v>38.1</v>
      </c>
      <c r="J833" s="4" t="n">
        <v>14</v>
      </c>
      <c r="K833" t="inlineStr">
        <is>
          <t>5 / 9</t>
        </is>
      </c>
      <c r="L833" t="inlineStr">
        <is>
          <t>2 / 3</t>
        </is>
      </c>
      <c r="M833" s="5" t="n">
        <v>0.36</v>
      </c>
      <c r="N833" s="5" t="n">
        <v>0.4</v>
      </c>
    </row>
    <row r="834">
      <c r="A834" t="n">
        <v>832</v>
      </c>
      <c r="B834" t="n">
        <v>2012</v>
      </c>
      <c r="C834" t="inlineStr">
        <is>
          <t>Huiran Zhang</t>
        </is>
      </c>
      <c r="D834">
        <f>HYPERLINK("https://ota.tournamentsoftware.com/player-profile/1E917C5C-2B33-48E2-908B-A812DD532CD4", "Link")</f>
        <v/>
      </c>
      <c r="E834" s="3" t="n">
        <v>6.248</v>
      </c>
      <c r="F834" s="4" t="n">
        <v>1</v>
      </c>
      <c r="G834" t="inlineStr">
        <is>
          <t>British Columbia</t>
        </is>
      </c>
      <c r="H834" t="inlineStr">
        <is>
          <t>No Club</t>
        </is>
      </c>
      <c r="I834" t="n">
        <v>37.6</v>
      </c>
      <c r="J834" s="4" t="n">
        <v>13</v>
      </c>
      <c r="K834" t="inlineStr">
        <is>
          <t>2 / 11</t>
        </is>
      </c>
      <c r="L834" t="inlineStr">
        <is>
          <t>1 / 4</t>
        </is>
      </c>
      <c r="M834" s="5" t="n">
        <v>0.15</v>
      </c>
      <c r="N834" s="5" t="n">
        <v>0.2</v>
      </c>
    </row>
    <row r="835">
      <c r="A835" t="n">
        <v>834</v>
      </c>
      <c r="B835" t="n">
        <v>2015</v>
      </c>
      <c r="C835" t="inlineStr">
        <is>
          <t>Lydia Hilborn</t>
        </is>
      </c>
      <c r="D835">
        <f>HYPERLINK("https://ota.tournamentsoftware.com/player-profile/30626EFD-AB33-4307-B2FA-1CF205F3C271", "Link")</f>
        <v/>
      </c>
      <c r="E835" s="3" t="n">
        <v>6.23</v>
      </c>
      <c r="F835" s="4" t="n">
        <v>1</v>
      </c>
      <c r="G835" t="inlineStr">
        <is>
          <t>Ontario Tennis Association</t>
        </is>
      </c>
      <c r="H835" t="inlineStr">
        <is>
          <t>Cutten Fields</t>
        </is>
      </c>
      <c r="I835" t="n">
        <v>37.5</v>
      </c>
      <c r="J835" s="4" t="n">
        <v>50</v>
      </c>
      <c r="K835" t="inlineStr">
        <is>
          <t>23 / 27</t>
        </is>
      </c>
      <c r="L835" t="inlineStr">
        <is>
          <t>0 / 0</t>
        </is>
      </c>
      <c r="M835" s="5" t="n">
        <v>0.46</v>
      </c>
      <c r="N835" s="5" t="n">
        <v>0</v>
      </c>
    </row>
    <row r="836">
      <c r="A836" t="n">
        <v>835</v>
      </c>
      <c r="B836" t="n">
        <v>2014</v>
      </c>
      <c r="C836" t="inlineStr">
        <is>
          <t>Madelyn Palsat</t>
        </is>
      </c>
      <c r="D836">
        <f>HYPERLINK("https://ota.tournamentsoftware.com/player-profile/B7A28D92-CC5D-460E-A752-75C63DAB2E9F", "Link")</f>
        <v/>
      </c>
      <c r="E836" s="3" t="n">
        <v>6.221</v>
      </c>
      <c r="F836" s="4" t="n">
        <v>4</v>
      </c>
      <c r="G836" t="inlineStr">
        <is>
          <t>Tennis Alberta</t>
        </is>
      </c>
      <c r="H836" t="inlineStr">
        <is>
          <t>Royal Glenora Club</t>
        </is>
      </c>
      <c r="I836" t="n">
        <v>38</v>
      </c>
      <c r="J836" s="4" t="n">
        <v>12</v>
      </c>
      <c r="K836" t="inlineStr">
        <is>
          <t>5 / 7</t>
        </is>
      </c>
      <c r="L836" t="inlineStr">
        <is>
          <t>5 / 7</t>
        </is>
      </c>
      <c r="M836" s="5" t="n">
        <v>0.42</v>
      </c>
      <c r="N836" s="5" t="n">
        <v>0.42</v>
      </c>
    </row>
    <row r="837">
      <c r="A837" t="n">
        <v>836</v>
      </c>
      <c r="B837" t="n">
        <v>2016</v>
      </c>
      <c r="C837" t="inlineStr">
        <is>
          <t>Samantha Bronwyn Daniell</t>
        </is>
      </c>
      <c r="D837">
        <f>HYPERLINK("https://ota.tournamentsoftware.com/player-profile/7D796AB4-F8DD-43AD-8451-41C0A3E3949A", "Link")</f>
        <v/>
      </c>
      <c r="E837" s="3" t="n">
        <v>6.106</v>
      </c>
      <c r="F837" s="4" t="n">
        <v>6</v>
      </c>
      <c r="G837" t="inlineStr">
        <is>
          <t>British Columbia</t>
        </is>
      </c>
      <c r="H837" t="inlineStr">
        <is>
          <t>The Tennis Centre</t>
        </is>
      </c>
      <c r="I837" t="n">
        <v>37.7</v>
      </c>
      <c r="J837" s="4" t="n">
        <v>121</v>
      </c>
      <c r="K837" t="inlineStr">
        <is>
          <t>61 / 60</t>
        </is>
      </c>
      <c r="L837" t="inlineStr">
        <is>
          <t>29 / 22</t>
        </is>
      </c>
      <c r="M837" s="5" t="n">
        <v>0.5</v>
      </c>
      <c r="N837" s="5" t="n">
        <v>0.57</v>
      </c>
    </row>
    <row r="838">
      <c r="A838" t="n">
        <v>837</v>
      </c>
      <c r="B838" t="n">
        <v>2015</v>
      </c>
      <c r="C838" t="inlineStr">
        <is>
          <t>Allison Zhang</t>
        </is>
      </c>
      <c r="D838">
        <f>HYPERLINK("https://ota.tournamentsoftware.com/player-profile/7EED065B-4139-4D18-B6C0-4800BB20D171", "Link")</f>
        <v/>
      </c>
      <c r="E838" s="3" t="n">
        <v>6</v>
      </c>
      <c r="F838" s="4" t="n">
        <v>1</v>
      </c>
      <c r="G838" t="inlineStr">
        <is>
          <t>Ontario Tennis Association</t>
        </is>
      </c>
      <c r="H838" t="inlineStr">
        <is>
          <t>No Club</t>
        </is>
      </c>
      <c r="I838" t="inlineStr">
        <is>
          <t>unavailable</t>
        </is>
      </c>
      <c r="J838" s="4" t="n">
        <v>23</v>
      </c>
      <c r="K838" t="inlineStr">
        <is>
          <t>4 / 19</t>
        </is>
      </c>
      <c r="L838" t="inlineStr">
        <is>
          <t>0 / 0</t>
        </is>
      </c>
      <c r="M838" s="5" t="n">
        <v>0.17</v>
      </c>
      <c r="N838" s="5" t="n">
        <v>0</v>
      </c>
    </row>
    <row r="839">
      <c r="A839" t="n">
        <v>837</v>
      </c>
      <c r="B839" t="n">
        <v>2014</v>
      </c>
      <c r="C839" t="inlineStr">
        <is>
          <t>Dina Karahotzitis</t>
        </is>
      </c>
      <c r="D839">
        <f>HYPERLINK("https://ota.tournamentsoftware.com/player-profile/741C9055-B842-4064-A339-E591B8FD72C4", "Link")</f>
        <v/>
      </c>
      <c r="E839" s="3" t="n">
        <v>6</v>
      </c>
      <c r="F839" s="4" t="n">
        <v>1</v>
      </c>
      <c r="G839" t="inlineStr">
        <is>
          <t>Ontario Tennis Association</t>
        </is>
      </c>
      <c r="H839" t="inlineStr">
        <is>
          <t>Mayfair West Fitness &amp; Racquet Club</t>
        </is>
      </c>
      <c r="I839" t="n">
        <v>34.9</v>
      </c>
      <c r="J839" s="4" t="n">
        <v>19</v>
      </c>
      <c r="K839" t="inlineStr">
        <is>
          <t>0 / 19</t>
        </is>
      </c>
      <c r="L839" t="inlineStr">
        <is>
          <t>0 / 0</t>
        </is>
      </c>
      <c r="M839" s="5" t="n">
        <v>0</v>
      </c>
      <c r="N839" s="5" t="n">
        <v>0</v>
      </c>
    </row>
    <row r="840">
      <c r="A840" t="n">
        <v>839</v>
      </c>
      <c r="B840" t="n">
        <v>2015</v>
      </c>
      <c r="C840" t="inlineStr">
        <is>
          <t>Vera Nino</t>
        </is>
      </c>
      <c r="D840">
        <f>HYPERLINK("https://ota.tournamentsoftware.com/player-profile/081EF9A9-B991-431D-B2FC-AC8426BD2711", "Link")</f>
        <v/>
      </c>
      <c r="E840" s="3" t="n">
        <v>5.803</v>
      </c>
      <c r="F840" s="4" t="n">
        <v>1</v>
      </c>
      <c r="G840" t="inlineStr">
        <is>
          <t>Ontario Tennis Association</t>
        </is>
      </c>
      <c r="H840" t="inlineStr">
        <is>
          <t>Zekelman Tennis Centre</t>
        </is>
      </c>
      <c r="I840" t="inlineStr">
        <is>
          <t>unavailable</t>
        </is>
      </c>
      <c r="J840" s="4" t="n">
        <v>6</v>
      </c>
      <c r="K840" t="inlineStr">
        <is>
          <t>0 / 6</t>
        </is>
      </c>
      <c r="L840" t="inlineStr">
        <is>
          <t>0 / 6</t>
        </is>
      </c>
      <c r="M840" s="5" t="n">
        <v>0</v>
      </c>
      <c r="N840" s="5" t="n">
        <v>0</v>
      </c>
    </row>
    <row r="841">
      <c r="A841" t="n">
        <v>840</v>
      </c>
      <c r="B841" t="n">
        <v>2013</v>
      </c>
      <c r="C841" t="inlineStr">
        <is>
          <t>Isabella Salum</t>
        </is>
      </c>
      <c r="D841">
        <f>HYPERLINK("https://ota.tournamentsoftware.com/player-profile/AD20BB62-5360-484E-820D-DA1E16118088", "Link")</f>
        <v/>
      </c>
      <c r="E841" s="3" t="n">
        <v>5.497</v>
      </c>
      <c r="F841" s="4" t="n">
        <v>1</v>
      </c>
      <c r="G841" t="inlineStr">
        <is>
          <t>British Columbia</t>
        </is>
      </c>
      <c r="H841" t="inlineStr">
        <is>
          <t>Bear Mountain Tennis Centre</t>
        </is>
      </c>
      <c r="I841" t="inlineStr">
        <is>
          <t>unavailable</t>
        </is>
      </c>
      <c r="J841" s="4" t="n">
        <v>23</v>
      </c>
      <c r="K841" t="inlineStr">
        <is>
          <t>6 / 17</t>
        </is>
      </c>
      <c r="L841" t="inlineStr">
        <is>
          <t>1 / 2</t>
        </is>
      </c>
      <c r="M841" s="5" t="n">
        <v>0.26</v>
      </c>
      <c r="N841" s="5" t="n">
        <v>0.33</v>
      </c>
    </row>
    <row r="842">
      <c r="A842" t="n">
        <v>840</v>
      </c>
      <c r="B842" t="n">
        <v>2014</v>
      </c>
      <c r="C842" t="inlineStr">
        <is>
          <t>Anabelle Duchesne</t>
        </is>
      </c>
      <c r="D842">
        <f>HYPERLINK("https://ota.tournamentsoftware.com/player-profile/3D9B7A28-72A0-4133-925D-142C95DC7FA9", "Link")</f>
        <v/>
      </c>
      <c r="E842" s="3" t="n">
        <v>5.497</v>
      </c>
      <c r="F842" s="4" t="n">
        <v>1</v>
      </c>
      <c r="G842" t="inlineStr">
        <is>
          <t>Tennis Québec</t>
        </is>
      </c>
      <c r="H842" t="inlineStr">
        <is>
          <t>Les Tennis de Rimouski (intérieur)</t>
        </is>
      </c>
      <c r="I842" t="n">
        <v>39.8</v>
      </c>
      <c r="J842" s="4" t="n">
        <v>3</v>
      </c>
      <c r="K842" t="inlineStr">
        <is>
          <t>0 / 3</t>
        </is>
      </c>
      <c r="L842" t="inlineStr">
        <is>
          <t>0 / 3</t>
        </is>
      </c>
      <c r="M842" s="5" t="n">
        <v>0</v>
      </c>
      <c r="N842" s="5" t="n">
        <v>0</v>
      </c>
    </row>
    <row r="843">
      <c r="A843" t="n">
        <v>842</v>
      </c>
      <c r="B843" t="n">
        <v>2013</v>
      </c>
      <c r="C843" t="inlineStr">
        <is>
          <t>Eve Bussière</t>
        </is>
      </c>
      <c r="D843">
        <f>HYPERLINK("https://ota.tournamentsoftware.com/player-profile/01D291A9-D1EC-4A34-907D-E221D9B25023", "Link")</f>
        <v/>
      </c>
      <c r="E843" s="3" t="n">
        <v>5.408</v>
      </c>
      <c r="F843" s="4" t="n">
        <v>2</v>
      </c>
      <c r="G843" t="inlineStr">
        <is>
          <t>Tennis Québec</t>
        </is>
      </c>
      <c r="H843" t="inlineStr">
        <is>
          <t>No Club</t>
        </is>
      </c>
      <c r="I843" t="inlineStr">
        <is>
          <t>unavailable</t>
        </is>
      </c>
      <c r="J843" s="4" t="n">
        <v>10</v>
      </c>
      <c r="K843" t="inlineStr">
        <is>
          <t>2 / 8</t>
        </is>
      </c>
      <c r="L843" t="inlineStr">
        <is>
          <t>0 / 0</t>
        </is>
      </c>
      <c r="M843" s="5" t="n">
        <v>0.2</v>
      </c>
      <c r="N843" s="5" t="n">
        <v>0</v>
      </c>
    </row>
    <row r="844">
      <c r="A844" t="n">
        <v>843</v>
      </c>
      <c r="B844" t="n">
        <v>2012</v>
      </c>
      <c r="C844" t="inlineStr">
        <is>
          <t>Emma Thomson</t>
        </is>
      </c>
      <c r="D844">
        <f>HYPERLINK("https://ota.tournamentsoftware.com/player-profile/EE28DE8E-EE8A-4FBB-885B-733BCB8A08C4", "Link")</f>
        <v/>
      </c>
      <c r="E844" s="3" t="n">
        <v>5.404</v>
      </c>
      <c r="F844" s="4" t="n">
        <v>3</v>
      </c>
      <c r="G844" t="inlineStr">
        <is>
          <t>Tennis Alberta</t>
        </is>
      </c>
      <c r="H844" t="inlineStr">
        <is>
          <t>Osten &amp; Victor Alberta Tennis Centre</t>
        </is>
      </c>
      <c r="I844" t="inlineStr">
        <is>
          <t>unavailable</t>
        </is>
      </c>
      <c r="J844" s="4" t="n">
        <v>6</v>
      </c>
      <c r="K844" t="inlineStr">
        <is>
          <t>1 / 5</t>
        </is>
      </c>
      <c r="L844" t="inlineStr">
        <is>
          <t>1 / 1</t>
        </is>
      </c>
      <c r="M844" s="5" t="n">
        <v>0.17</v>
      </c>
      <c r="N844" s="5" t="n">
        <v>0.5</v>
      </c>
    </row>
    <row r="845">
      <c r="A845" t="n">
        <v>844</v>
      </c>
      <c r="B845" t="n">
        <v>2014</v>
      </c>
      <c r="C845" t="inlineStr">
        <is>
          <t>Abigale Julia Dioszeghy Beatty</t>
        </is>
      </c>
      <c r="D845">
        <f>HYPERLINK("https://ota.tournamentsoftware.com/player-profile/3376BA08-B4B7-40B5-A81E-8F995772526B", "Link")</f>
        <v/>
      </c>
      <c r="E845" s="3" t="n">
        <v>5.314</v>
      </c>
      <c r="F845" s="4" t="n">
        <v>3</v>
      </c>
      <c r="G845" t="inlineStr">
        <is>
          <t>Tennis Alberta</t>
        </is>
      </c>
      <c r="H845" t="inlineStr">
        <is>
          <t>Royal Glenora Club</t>
        </is>
      </c>
      <c r="I845" t="n">
        <v>38.4</v>
      </c>
      <c r="J845" s="4" t="n">
        <v>8</v>
      </c>
      <c r="K845" t="inlineStr">
        <is>
          <t>3 / 5</t>
        </is>
      </c>
      <c r="L845" t="inlineStr">
        <is>
          <t>3 / 5</t>
        </is>
      </c>
      <c r="M845" s="5" t="n">
        <v>0.38</v>
      </c>
      <c r="N845" s="5" t="n">
        <v>0.38</v>
      </c>
    </row>
    <row r="846">
      <c r="A846" t="n">
        <v>845</v>
      </c>
      <c r="B846" t="n">
        <v>2016</v>
      </c>
      <c r="C846" t="inlineStr">
        <is>
          <t>Hazel Geng</t>
        </is>
      </c>
      <c r="D846">
        <f>HYPERLINK("https://ota.tournamentsoftware.com/player-profile/00BB4A74-B4FB-4FAC-B874-79D9E778FAAE", "Link")</f>
        <v/>
      </c>
      <c r="E846" s="3" t="n">
        <v>5.152</v>
      </c>
      <c r="F846" s="4" t="n">
        <v>2</v>
      </c>
      <c r="G846" t="inlineStr">
        <is>
          <t>British Columbia</t>
        </is>
      </c>
      <c r="H846" t="inlineStr">
        <is>
          <t>Vancouver Lawn Tennis and Badminton Club</t>
        </is>
      </c>
      <c r="I846" t="n">
        <v>37.8</v>
      </c>
      <c r="J846" s="4" t="n">
        <v>42</v>
      </c>
      <c r="K846" t="inlineStr">
        <is>
          <t>10 / 32</t>
        </is>
      </c>
      <c r="L846" t="inlineStr">
        <is>
          <t>3 / 4</t>
        </is>
      </c>
      <c r="M846" s="5" t="n">
        <v>0.24</v>
      </c>
      <c r="N846" s="5" t="n">
        <v>0.43</v>
      </c>
    </row>
    <row r="847">
      <c r="A847" t="n">
        <v>846</v>
      </c>
      <c r="B847" t="n">
        <v>2016</v>
      </c>
      <c r="C847" t="inlineStr">
        <is>
          <t>Marusya Bakaeva</t>
        </is>
      </c>
      <c r="D847">
        <f>HYPERLINK("https://ota.tournamentsoftware.com/player-profile/B7C51186-F387-4E99-B849-E8275BB7C0E9", "Link")</f>
        <v/>
      </c>
      <c r="E847" s="3" t="n">
        <v>5.125</v>
      </c>
      <c r="F847" s="4" t="n">
        <v>1</v>
      </c>
      <c r="G847" t="inlineStr">
        <is>
          <t>Ontario Tennis Association</t>
        </is>
      </c>
      <c r="H847" t="inlineStr">
        <is>
          <t>Toronto Tennis City</t>
        </is>
      </c>
      <c r="I847" t="n">
        <v>35.9</v>
      </c>
      <c r="J847" s="4" t="n">
        <v>14</v>
      </c>
      <c r="K847" t="inlineStr">
        <is>
          <t>6 / 8</t>
        </is>
      </c>
      <c r="L847" t="inlineStr">
        <is>
          <t>3 / 4</t>
        </is>
      </c>
      <c r="M847" s="5" t="n">
        <v>0.43</v>
      </c>
      <c r="N847" s="5" t="n">
        <v>0.43</v>
      </c>
    </row>
    <row r="848">
      <c r="A848" t="n">
        <v>846</v>
      </c>
      <c r="B848" t="n">
        <v>2014</v>
      </c>
      <c r="C848" t="inlineStr">
        <is>
          <t>Alexandra Ciacoi-Pop</t>
        </is>
      </c>
      <c r="D848">
        <f>HYPERLINK("https://ota.tournamentsoftware.com/player-profile/4F87B1A1-F52A-4C8C-8C6B-776A59CC6D03", "Link")</f>
        <v/>
      </c>
      <c r="E848" s="3" t="n">
        <v>5.125</v>
      </c>
      <c r="F848" s="4" t="n">
        <v>1</v>
      </c>
      <c r="G848" t="inlineStr">
        <is>
          <t>Ontario Tennis Association</t>
        </is>
      </c>
      <c r="H848" t="inlineStr">
        <is>
          <t>Parkway Valley Tennis Club</t>
        </is>
      </c>
      <c r="I848" t="n">
        <v>38.8</v>
      </c>
      <c r="J848" s="4" t="n">
        <v>28</v>
      </c>
      <c r="K848" t="inlineStr">
        <is>
          <t>11 / 17</t>
        </is>
      </c>
      <c r="L848" t="inlineStr">
        <is>
          <t>7 / 12</t>
        </is>
      </c>
      <c r="M848" s="5" t="n">
        <v>0.39</v>
      </c>
      <c r="N848" s="5" t="n">
        <v>0.37</v>
      </c>
    </row>
    <row r="849">
      <c r="A849" t="n">
        <v>848</v>
      </c>
      <c r="B849" t="n">
        <v>2012</v>
      </c>
      <c r="C849" t="inlineStr">
        <is>
          <t>Frankie Hunsberger</t>
        </is>
      </c>
      <c r="D849">
        <f>HYPERLINK("https://ota.tournamentsoftware.com/player-profile/288F03A3-20CB-46BE-B35D-7428B5B7FA35", "Link")</f>
        <v/>
      </c>
      <c r="E849" s="3" t="n">
        <v>5.054</v>
      </c>
      <c r="F849" s="4" t="n">
        <v>2</v>
      </c>
      <c r="G849" t="inlineStr">
        <is>
          <t>British Columbia</t>
        </is>
      </c>
      <c r="H849" t="inlineStr">
        <is>
          <t>North Shore Winter Club</t>
        </is>
      </c>
      <c r="I849" t="n">
        <v>38.6</v>
      </c>
      <c r="J849" s="4" t="n">
        <v>18</v>
      </c>
      <c r="K849" t="inlineStr">
        <is>
          <t>10 / 8</t>
        </is>
      </c>
      <c r="L849" t="inlineStr">
        <is>
          <t>3 / 2</t>
        </is>
      </c>
      <c r="M849" s="5" t="n">
        <v>0.5600000000000001</v>
      </c>
      <c r="N849" s="5" t="n">
        <v>0.6</v>
      </c>
    </row>
    <row r="850">
      <c r="A850" t="n">
        <v>849</v>
      </c>
      <c r="B850" t="n">
        <v>2014</v>
      </c>
      <c r="C850" t="inlineStr">
        <is>
          <t>Freya Run Rutledge</t>
        </is>
      </c>
      <c r="D850">
        <f>HYPERLINK("https://ota.tournamentsoftware.com/player-profile/76B60137-7272-4F42-A455-109E20840062", "Link")</f>
        <v/>
      </c>
      <c r="E850" s="3" t="n">
        <v>5</v>
      </c>
      <c r="F850" s="4" t="n">
        <v>1</v>
      </c>
      <c r="G850" t="inlineStr">
        <is>
          <t>Ontario Tennis Association</t>
        </is>
      </c>
      <c r="H850" t="inlineStr">
        <is>
          <t>Boulevard Club</t>
        </is>
      </c>
      <c r="I850" t="n">
        <v>34.9</v>
      </c>
      <c r="J850" s="4" t="n">
        <v>14</v>
      </c>
      <c r="K850" t="inlineStr">
        <is>
          <t>0 / 14</t>
        </is>
      </c>
      <c r="L850" t="inlineStr">
        <is>
          <t>0 / 1</t>
        </is>
      </c>
      <c r="M850" s="5" t="n">
        <v>0</v>
      </c>
      <c r="N850" s="5" t="n">
        <v>0</v>
      </c>
    </row>
    <row r="851">
      <c r="A851" t="n">
        <v>849</v>
      </c>
      <c r="B851" t="n">
        <v>2015</v>
      </c>
      <c r="C851" t="inlineStr">
        <is>
          <t>Cynthia Wang</t>
        </is>
      </c>
      <c r="D851">
        <f>HYPERLINK("https://ota.tournamentsoftware.com/player-profile/C8736B80-1071-4F4F-86B0-CA7FB630F618", "Link")</f>
        <v/>
      </c>
      <c r="E851" s="3" t="n">
        <v>5</v>
      </c>
      <c r="F851" s="4" t="n">
        <v>1</v>
      </c>
      <c r="G851" t="inlineStr">
        <is>
          <t>Ontario Tennis Association</t>
        </is>
      </c>
      <c r="H851" t="inlineStr">
        <is>
          <t>SmartVMC Racquetsports by ACE</t>
        </is>
      </c>
      <c r="I851" t="n">
        <v>37.3</v>
      </c>
      <c r="J851" s="4" t="n">
        <v>3</v>
      </c>
      <c r="K851" t="inlineStr">
        <is>
          <t>0 / 3</t>
        </is>
      </c>
      <c r="L851" t="inlineStr">
        <is>
          <t>0 / 0</t>
        </is>
      </c>
      <c r="M851" s="5" t="n">
        <v>0</v>
      </c>
      <c r="N851" s="5" t="n">
        <v>0</v>
      </c>
    </row>
    <row r="852">
      <c r="A852" t="n">
        <v>849</v>
      </c>
      <c r="B852" t="n">
        <v>2013</v>
      </c>
      <c r="C852" t="inlineStr">
        <is>
          <t>Barbara Li</t>
        </is>
      </c>
      <c r="D852">
        <f>HYPERLINK("https://ota.tournamentsoftware.com/player-profile/FFEAFA99-A203-4A57-A5C8-1E0592A53A81", "Link")</f>
        <v/>
      </c>
      <c r="E852" s="3" t="n">
        <v>5</v>
      </c>
      <c r="F852" s="4" t="n">
        <v>1</v>
      </c>
      <c r="G852" t="inlineStr">
        <is>
          <t>British Columbia</t>
        </is>
      </c>
      <c r="H852" t="inlineStr">
        <is>
          <t>Hollyburn Country Club</t>
        </is>
      </c>
      <c r="I852" t="n">
        <v>39.7</v>
      </c>
      <c r="J852" s="4" t="n">
        <v>13</v>
      </c>
      <c r="K852" t="inlineStr">
        <is>
          <t>3 / 10</t>
        </is>
      </c>
      <c r="L852" t="inlineStr">
        <is>
          <t>0 / 0</t>
        </is>
      </c>
      <c r="M852" s="5" t="n">
        <v>0.23</v>
      </c>
      <c r="N852" s="5" t="n">
        <v>0</v>
      </c>
    </row>
    <row r="853">
      <c r="A853" t="n">
        <v>849</v>
      </c>
      <c r="B853" t="n">
        <v>2014</v>
      </c>
      <c r="C853" t="inlineStr">
        <is>
          <t>Mackenzie Lee</t>
        </is>
      </c>
      <c r="D853">
        <f>HYPERLINK("https://ota.tournamentsoftware.com/player-profile/7734E749-B5B7-4067-9AE1-B5CB58EFDC1A", "Link")</f>
        <v/>
      </c>
      <c r="E853" s="3" t="n">
        <v>5</v>
      </c>
      <c r="F853" s="4" t="n">
        <v>1</v>
      </c>
      <c r="G853" t="inlineStr">
        <is>
          <t>Ontario Tennis Association</t>
        </is>
      </c>
      <c r="H853" t="inlineStr">
        <is>
          <t>Toronto Lawn Tennis Club</t>
        </is>
      </c>
      <c r="I853" t="inlineStr">
        <is>
          <t>unavailable</t>
        </is>
      </c>
      <c r="J853" s="4" t="n">
        <v>13</v>
      </c>
      <c r="K853" t="inlineStr">
        <is>
          <t>5 / 8</t>
        </is>
      </c>
      <c r="L853" t="inlineStr">
        <is>
          <t>4 / 3</t>
        </is>
      </c>
      <c r="M853" s="5" t="n">
        <v>0.38</v>
      </c>
      <c r="N853" s="5" t="n">
        <v>0.57</v>
      </c>
    </row>
    <row r="854">
      <c r="A854" t="n">
        <v>853</v>
      </c>
      <c r="B854" t="n">
        <v>2015</v>
      </c>
      <c r="C854" t="inlineStr">
        <is>
          <t>Rowan Ferris</t>
        </is>
      </c>
      <c r="D854">
        <f>HYPERLINK("https://ota.tournamentsoftware.com/player-profile/48292DD6-1A8C-41C7-997E-9A5C5BD68EFF", "Link")</f>
        <v/>
      </c>
      <c r="E854" s="3" t="n">
        <v>4.966</v>
      </c>
      <c r="F854" s="4" t="n">
        <v>1</v>
      </c>
      <c r="G854" t="inlineStr">
        <is>
          <t>Tennis Alberta</t>
        </is>
      </c>
      <c r="H854" t="inlineStr">
        <is>
          <t>Medicine Hat Tennis Club</t>
        </is>
      </c>
      <c r="I854" t="n">
        <v>39.4</v>
      </c>
      <c r="J854" s="4" t="n">
        <v>8</v>
      </c>
      <c r="K854" t="inlineStr">
        <is>
          <t>2 / 6</t>
        </is>
      </c>
      <c r="L854" t="inlineStr">
        <is>
          <t>0 / 2</t>
        </is>
      </c>
      <c r="M854" s="5" t="n">
        <v>0.25</v>
      </c>
      <c r="N854" s="5" t="n">
        <v>0</v>
      </c>
    </row>
    <row r="855">
      <c r="A855" t="n">
        <v>854</v>
      </c>
      <c r="B855" t="n">
        <v>2014</v>
      </c>
      <c r="C855" t="inlineStr">
        <is>
          <t>Alicia Januario</t>
        </is>
      </c>
      <c r="D855">
        <f>HYPERLINK("https://ota.tournamentsoftware.com/player-profile/C042725A-21A9-463F-848F-04CEA3B56FE5", "Link")</f>
        <v/>
      </c>
      <c r="E855" s="3" t="n">
        <v>4.927</v>
      </c>
      <c r="F855" s="4" t="n">
        <v>2</v>
      </c>
      <c r="G855" t="inlineStr">
        <is>
          <t>Tennis Québec</t>
        </is>
      </c>
      <c r="H855" t="inlineStr">
        <is>
          <t>No Club</t>
        </is>
      </c>
      <c r="I855" t="n">
        <v>37.7</v>
      </c>
      <c r="J855" s="4" t="n">
        <v>6</v>
      </c>
      <c r="K855" t="inlineStr">
        <is>
          <t>1 / 5</t>
        </is>
      </c>
      <c r="L855" t="inlineStr">
        <is>
          <t>1 / 5</t>
        </is>
      </c>
      <c r="M855" s="5" t="n">
        <v>0.17</v>
      </c>
      <c r="N855" s="5" t="n">
        <v>0.17</v>
      </c>
    </row>
    <row r="856">
      <c r="A856" t="n">
        <v>855</v>
      </c>
      <c r="B856" t="n">
        <v>2013</v>
      </c>
      <c r="C856" t="inlineStr">
        <is>
          <t>Grâce-David Adzo TRAORÉ</t>
        </is>
      </c>
      <c r="D856">
        <f>HYPERLINK("https://ota.tournamentsoftware.com/player-profile/2A96F5BB-709B-450E-A0CA-0442985A8D03", "Link")</f>
        <v/>
      </c>
      <c r="E856" s="3" t="n">
        <v>4.806</v>
      </c>
      <c r="F856" s="4" t="n">
        <v>1</v>
      </c>
      <c r="G856" t="inlineStr">
        <is>
          <t>Tennis Québec</t>
        </is>
      </c>
      <c r="H856" t="inlineStr">
        <is>
          <t>QC AutreClub</t>
        </is>
      </c>
      <c r="I856" t="inlineStr">
        <is>
          <t>unavailable</t>
        </is>
      </c>
      <c r="J856" s="4" t="n">
        <v>1</v>
      </c>
      <c r="K856" t="inlineStr">
        <is>
          <t>0 / 1</t>
        </is>
      </c>
      <c r="L856" t="inlineStr">
        <is>
          <t>0 / 0</t>
        </is>
      </c>
      <c r="M856" s="5" t="n">
        <v>0</v>
      </c>
      <c r="N856" s="5" t="n">
        <v>0</v>
      </c>
    </row>
    <row r="857">
      <c r="A857" t="n">
        <v>855</v>
      </c>
      <c r="B857" t="n">
        <v>2015</v>
      </c>
      <c r="C857" t="inlineStr">
        <is>
          <t>Isabella Maria Galati</t>
        </is>
      </c>
      <c r="D857">
        <f>HYPERLINK("https://ota.tournamentsoftware.com/player-profile/401ED85D-9EDD-4DED-B064-33902C7F4DF4", "Link")</f>
        <v/>
      </c>
      <c r="E857" s="3" t="n">
        <v>4.806</v>
      </c>
      <c r="F857" s="4" t="n">
        <v>1</v>
      </c>
      <c r="G857" t="inlineStr">
        <is>
          <t>Ontario Tennis Association</t>
        </is>
      </c>
      <c r="H857" t="inlineStr">
        <is>
          <t>Pickering Tennis Academy</t>
        </is>
      </c>
      <c r="I857" t="n">
        <v>38.2</v>
      </c>
      <c r="J857" s="4" t="n">
        <v>22</v>
      </c>
      <c r="K857" t="inlineStr">
        <is>
          <t>10 / 12</t>
        </is>
      </c>
      <c r="L857" t="inlineStr">
        <is>
          <t>4 / 1</t>
        </is>
      </c>
      <c r="M857" s="5" t="n">
        <v>0.45</v>
      </c>
      <c r="N857" s="5" t="n">
        <v>0.8</v>
      </c>
    </row>
    <row r="858">
      <c r="A858" t="n">
        <v>855</v>
      </c>
      <c r="B858" t="n">
        <v>2014</v>
      </c>
      <c r="C858" t="inlineStr">
        <is>
          <t>Hannah Kucherawy</t>
        </is>
      </c>
      <c r="D858">
        <f>HYPERLINK("https://ota.tournamentsoftware.com/player-profile/E2ACD595-E7E5-40E3-935D-57DCECB8E04C", "Link")</f>
        <v/>
      </c>
      <c r="E858" s="3" t="n">
        <v>4.806</v>
      </c>
      <c r="F858" s="4" t="n">
        <v>1</v>
      </c>
      <c r="G858" t="inlineStr">
        <is>
          <t>Ontario Tennis Association</t>
        </is>
      </c>
      <c r="H858" t="inlineStr">
        <is>
          <t>Simcoe Tennis</t>
        </is>
      </c>
      <c r="I858" t="n">
        <v>35.6</v>
      </c>
      <c r="J858" s="4" t="n">
        <v>23</v>
      </c>
      <c r="K858" t="inlineStr">
        <is>
          <t>3 / 20</t>
        </is>
      </c>
      <c r="L858" t="inlineStr">
        <is>
          <t>1 / 1</t>
        </is>
      </c>
      <c r="M858" s="5" t="n">
        <v>0.13</v>
      </c>
      <c r="N858" s="5" t="n">
        <v>0.5</v>
      </c>
    </row>
    <row r="859">
      <c r="A859" t="n">
        <v>855</v>
      </c>
      <c r="B859" t="n">
        <v>2014</v>
      </c>
      <c r="C859" t="inlineStr">
        <is>
          <t>Emma Sun</t>
        </is>
      </c>
      <c r="D859">
        <f>HYPERLINK("https://ota.tournamentsoftware.com/player-profile/872E410F-742F-4F80-9387-6C15C73FE92E", "Link")</f>
        <v/>
      </c>
      <c r="E859" s="3" t="n">
        <v>4.806</v>
      </c>
      <c r="F859" s="4" t="n">
        <v>1</v>
      </c>
      <c r="G859" t="inlineStr">
        <is>
          <t>Ontario Tennis Association</t>
        </is>
      </c>
      <c r="H859" t="inlineStr">
        <is>
          <t>Valan Tennis Academy</t>
        </is>
      </c>
      <c r="I859" t="n">
        <v>38.6</v>
      </c>
      <c r="J859" s="4" t="n">
        <v>18</v>
      </c>
      <c r="K859" t="inlineStr">
        <is>
          <t>10 / 8</t>
        </is>
      </c>
      <c r="L859" t="inlineStr">
        <is>
          <t>1 / 1</t>
        </is>
      </c>
      <c r="M859" s="5" t="n">
        <v>0.5600000000000001</v>
      </c>
      <c r="N859" s="5" t="n">
        <v>0.5</v>
      </c>
    </row>
    <row r="860">
      <c r="A860" t="n">
        <v>855</v>
      </c>
      <c r="B860" t="n">
        <v>2014</v>
      </c>
      <c r="C860" t="inlineStr">
        <is>
          <t>Iris Li</t>
        </is>
      </c>
      <c r="D860">
        <f>HYPERLINK("https://ota.tournamentsoftware.com/player-profile/CC36F5CC-203F-4A28-B27C-068A0E15610C", "Link")</f>
        <v/>
      </c>
      <c r="E860" s="3" t="n">
        <v>4.806</v>
      </c>
      <c r="F860" s="4" t="n">
        <v>2</v>
      </c>
      <c r="G860" t="inlineStr">
        <is>
          <t>British Columbia</t>
        </is>
      </c>
      <c r="H860" t="inlineStr">
        <is>
          <t>Coquitlam Tennis Club</t>
        </is>
      </c>
      <c r="I860" t="n">
        <v>39.6</v>
      </c>
      <c r="J860" s="4" t="n">
        <v>37</v>
      </c>
      <c r="K860" t="inlineStr">
        <is>
          <t>11 / 26</t>
        </is>
      </c>
      <c r="L860" t="inlineStr">
        <is>
          <t>2 / 4</t>
        </is>
      </c>
      <c r="M860" s="5" t="n">
        <v>0.3</v>
      </c>
      <c r="N860" s="5" t="n">
        <v>0.33</v>
      </c>
    </row>
    <row r="861">
      <c r="A861" t="n">
        <v>860</v>
      </c>
      <c r="B861" t="n">
        <v>2012</v>
      </c>
      <c r="C861" t="inlineStr">
        <is>
          <t>Katie Elizabeth Furlan</t>
        </is>
      </c>
      <c r="D861">
        <f>HYPERLINK("https://ota.tournamentsoftware.com/player-profile/CB36C2DA-0DAF-44E4-AE44-0A925ED0DFC0", "Link")</f>
        <v/>
      </c>
      <c r="E861" s="3" t="n">
        <v>4.538</v>
      </c>
      <c r="F861" s="4" t="n">
        <v>4</v>
      </c>
      <c r="G861" t="inlineStr">
        <is>
          <t>Tennis Alberta</t>
        </is>
      </c>
      <c r="H861" t="inlineStr">
        <is>
          <t>The Glencoe Club</t>
        </is>
      </c>
      <c r="I861" t="n">
        <v>38.4</v>
      </c>
      <c r="J861" s="4" t="n">
        <v>25</v>
      </c>
      <c r="K861" t="inlineStr">
        <is>
          <t>6 / 19</t>
        </is>
      </c>
      <c r="L861" t="inlineStr">
        <is>
          <t>0 / 2</t>
        </is>
      </c>
      <c r="M861" s="5" t="n">
        <v>0.24</v>
      </c>
      <c r="N861" s="5" t="n">
        <v>0</v>
      </c>
    </row>
    <row r="862">
      <c r="A862" t="n">
        <v>861</v>
      </c>
      <c r="B862" t="n">
        <v>2014</v>
      </c>
      <c r="C862" t="inlineStr">
        <is>
          <t>Irryssa Kaur Bains</t>
        </is>
      </c>
      <c r="D862">
        <f>HYPERLINK("https://ota.tournamentsoftware.com/player-profile/F89C56EB-E5EA-437F-81C3-207DA0AA59A7", "Link")</f>
        <v/>
      </c>
      <c r="E862" s="3" t="n">
        <v>4.536</v>
      </c>
      <c r="F862" s="4" t="n">
        <v>1</v>
      </c>
      <c r="G862" t="inlineStr">
        <is>
          <t>Tennis Nova Scotia</t>
        </is>
      </c>
      <c r="H862" t="inlineStr">
        <is>
          <t>HEADSTART</t>
        </is>
      </c>
      <c r="I862" t="n">
        <v>39.1</v>
      </c>
      <c r="J862" s="4" t="n">
        <v>8</v>
      </c>
      <c r="K862" t="inlineStr">
        <is>
          <t>5 / 3</t>
        </is>
      </c>
      <c r="L862" t="inlineStr">
        <is>
          <t>3 / 0</t>
        </is>
      </c>
      <c r="M862" s="5" t="n">
        <v>0.62</v>
      </c>
      <c r="N862" s="5" t="n">
        <v>1</v>
      </c>
    </row>
    <row r="863">
      <c r="A863" t="n">
        <v>862</v>
      </c>
      <c r="B863" t="n">
        <v>2012</v>
      </c>
      <c r="C863" t="inlineStr">
        <is>
          <t>Lucia Racquel Deagle</t>
        </is>
      </c>
      <c r="D863">
        <f>HYPERLINK("https://ota.tournamentsoftware.com/player-profile/9262B9F2-035F-451E-8B86-6E98C95AB597", "Link")</f>
        <v/>
      </c>
      <c r="E863" s="3" t="n">
        <v>4.173</v>
      </c>
      <c r="F863" s="4" t="n">
        <v>2</v>
      </c>
      <c r="G863" t="inlineStr">
        <is>
          <t>Tennis Alberta</t>
        </is>
      </c>
      <c r="H863" t="inlineStr">
        <is>
          <t>Aforza</t>
        </is>
      </c>
      <c r="I863" t="n">
        <v>39.2</v>
      </c>
      <c r="J863" s="4" t="n">
        <v>17</v>
      </c>
      <c r="K863" t="inlineStr">
        <is>
          <t>1 / 16</t>
        </is>
      </c>
      <c r="L863" t="inlineStr">
        <is>
          <t>0 / 0</t>
        </is>
      </c>
      <c r="M863" s="5" t="n">
        <v>0.06</v>
      </c>
      <c r="N863" s="5" t="n">
        <v>0</v>
      </c>
    </row>
    <row r="864">
      <c r="A864" t="n">
        <v>863</v>
      </c>
      <c r="B864" t="n">
        <v>2016</v>
      </c>
      <c r="C864" t="inlineStr">
        <is>
          <t>Peiyu(Cici) Li</t>
        </is>
      </c>
      <c r="D864">
        <f>HYPERLINK("https://ota.tournamentsoftware.com/player-profile/C4571297-B444-4579-A011-D24753628021", "Link")</f>
        <v/>
      </c>
      <c r="E864" s="3" t="n">
        <v>4.052</v>
      </c>
      <c r="F864" s="4" t="n">
        <v>6</v>
      </c>
      <c r="G864" t="inlineStr">
        <is>
          <t>Tennis Nova Scotia</t>
        </is>
      </c>
      <c r="H864" t="inlineStr">
        <is>
          <t>Atlantic Tennis Centre</t>
        </is>
      </c>
      <c r="I864" t="n">
        <v>40</v>
      </c>
      <c r="J864" s="4" t="n">
        <v>44</v>
      </c>
      <c r="K864" t="inlineStr">
        <is>
          <t>16 / 28</t>
        </is>
      </c>
      <c r="L864" t="inlineStr">
        <is>
          <t>8 / 18</t>
        </is>
      </c>
      <c r="M864" s="5" t="n">
        <v>0.36</v>
      </c>
      <c r="N864" s="5" t="n">
        <v>0.31</v>
      </c>
    </row>
    <row r="865">
      <c r="A865" t="n">
        <v>864</v>
      </c>
      <c r="B865" t="n">
        <v>2014</v>
      </c>
      <c r="C865" t="inlineStr">
        <is>
          <t>Sophia Jaffer</t>
        </is>
      </c>
      <c r="D865">
        <f>HYPERLINK("https://ota.tournamentsoftware.com/player-profile/264F2E7F-0F8D-4B4E-875F-FAAFDB4E9D43", "Link")</f>
        <v/>
      </c>
      <c r="E865" s="3" t="n">
        <v>4</v>
      </c>
      <c r="F865" s="4" t="n">
        <v>1</v>
      </c>
      <c r="G865" t="inlineStr">
        <is>
          <t>British Columbia</t>
        </is>
      </c>
      <c r="H865" t="inlineStr">
        <is>
          <t>Hollyburn Country Club</t>
        </is>
      </c>
      <c r="I865" t="n">
        <v>38.6</v>
      </c>
      <c r="J865" s="4" t="n">
        <v>14</v>
      </c>
      <c r="K865" t="inlineStr">
        <is>
          <t>3 / 11</t>
        </is>
      </c>
      <c r="L865" t="inlineStr">
        <is>
          <t>3 / 6</t>
        </is>
      </c>
      <c r="M865" s="5" t="n">
        <v>0.21</v>
      </c>
      <c r="N865" s="5" t="n">
        <v>0.33</v>
      </c>
    </row>
    <row r="866">
      <c r="A866" t="n">
        <v>864</v>
      </c>
      <c r="B866" t="n">
        <v>2013</v>
      </c>
      <c r="C866" t="inlineStr">
        <is>
          <t>Xi Niu</t>
        </is>
      </c>
      <c r="D866">
        <f>HYPERLINK("https://ota.tournamentsoftware.com/player-profile/B2759B21-5521-4528-9454-D7FF201653DE", "Link")</f>
        <v/>
      </c>
      <c r="E866" s="3" t="n">
        <v>4</v>
      </c>
      <c r="F866" s="4" t="n">
        <v>1</v>
      </c>
      <c r="G866" t="inlineStr">
        <is>
          <t>British Columbia</t>
        </is>
      </c>
      <c r="H866" t="inlineStr">
        <is>
          <t>No Club</t>
        </is>
      </c>
      <c r="I866" t="inlineStr">
        <is>
          <t>unavailable</t>
        </is>
      </c>
      <c r="J866" s="4" t="n">
        <v>3</v>
      </c>
      <c r="K866" t="inlineStr">
        <is>
          <t>0 / 3</t>
        </is>
      </c>
      <c r="L866" t="inlineStr">
        <is>
          <t>0 / 0</t>
        </is>
      </c>
      <c r="M866" s="5" t="n">
        <v>0</v>
      </c>
      <c r="N866" s="5" t="n">
        <v>0</v>
      </c>
    </row>
    <row r="867">
      <c r="A867" t="n">
        <v>864</v>
      </c>
      <c r="B867" t="n">
        <v>2014</v>
      </c>
      <c r="C867" t="inlineStr">
        <is>
          <t>Sophia Zhao</t>
        </is>
      </c>
      <c r="D867">
        <f>HYPERLINK("https://ota.tournamentsoftware.com/player-profile/388D9D37-AB69-4888-AB07-C709FC6BB450", "Link")</f>
        <v/>
      </c>
      <c r="E867" s="3" t="n">
        <v>4</v>
      </c>
      <c r="F867" s="4" t="n">
        <v>1</v>
      </c>
      <c r="G867" t="inlineStr">
        <is>
          <t>British Columbia</t>
        </is>
      </c>
      <c r="H867" t="inlineStr">
        <is>
          <t>Hollyburn Country Club</t>
        </is>
      </c>
      <c r="I867" t="inlineStr">
        <is>
          <t>unavailable</t>
        </is>
      </c>
      <c r="J867" s="4" t="n">
        <v>3</v>
      </c>
      <c r="K867" t="inlineStr">
        <is>
          <t>0 / 3</t>
        </is>
      </c>
      <c r="L867" t="inlineStr">
        <is>
          <t>0 / 0</t>
        </is>
      </c>
      <c r="M867" s="5" t="n">
        <v>0</v>
      </c>
      <c r="N867" s="5" t="n">
        <v>0</v>
      </c>
    </row>
    <row r="868">
      <c r="A868" t="n">
        <v>867</v>
      </c>
      <c r="B868" t="n">
        <v>2016</v>
      </c>
      <c r="C868" t="inlineStr">
        <is>
          <t>Delia Stoian</t>
        </is>
      </c>
      <c r="D868">
        <f>HYPERLINK("https://ota.tournamentsoftware.com/player-profile/97BF71BC-EF3B-40A8-B2A8-4211E6570024", "Link")</f>
        <v/>
      </c>
      <c r="E868" s="3" t="n">
        <v>3.97</v>
      </c>
      <c r="F868" s="4" t="n">
        <v>1</v>
      </c>
      <c r="G868" t="inlineStr">
        <is>
          <t>Tennis Québec</t>
        </is>
      </c>
      <c r="H868" t="inlineStr">
        <is>
          <t>SANI Sport</t>
        </is>
      </c>
      <c r="I868" t="n">
        <v>37</v>
      </c>
      <c r="J868" s="4" t="n">
        <v>81</v>
      </c>
      <c r="K868" t="inlineStr">
        <is>
          <t>46 / 35</t>
        </is>
      </c>
      <c r="L868" t="inlineStr">
        <is>
          <t>18 / 14</t>
        </is>
      </c>
      <c r="M868" s="5" t="n">
        <v>0.57</v>
      </c>
      <c r="N868" s="5" t="n">
        <v>0.5600000000000001</v>
      </c>
    </row>
    <row r="869">
      <c r="A869" t="n">
        <v>868</v>
      </c>
      <c r="B869" t="n">
        <v>2013</v>
      </c>
      <c r="C869" t="inlineStr">
        <is>
          <t>Vittoria Veronica Noce</t>
        </is>
      </c>
      <c r="D869">
        <f>HYPERLINK("https://ota.tournamentsoftware.com/player-profile/00D388D4-0B24-4339-9B51-BDB96207A30D", "Link")</f>
        <v/>
      </c>
      <c r="E869" s="3" t="n">
        <v>3.889</v>
      </c>
      <c r="F869" s="4" t="n">
        <v>3</v>
      </c>
      <c r="G869" t="inlineStr">
        <is>
          <t>Tennis Alberta</t>
        </is>
      </c>
      <c r="H869" t="inlineStr">
        <is>
          <t>Derrick Golf &amp; Winter Club</t>
        </is>
      </c>
      <c r="I869" t="n">
        <v>37.1</v>
      </c>
      <c r="J869" s="4" t="n">
        <v>51</v>
      </c>
      <c r="K869" t="inlineStr">
        <is>
          <t>13 / 38</t>
        </is>
      </c>
      <c r="L869" t="inlineStr">
        <is>
          <t>3 / 5</t>
        </is>
      </c>
      <c r="M869" s="5" t="n">
        <v>0.25</v>
      </c>
      <c r="N869" s="5" t="n">
        <v>0.38</v>
      </c>
    </row>
    <row r="870">
      <c r="A870" t="n">
        <v>869</v>
      </c>
      <c r="B870" t="n">
        <v>2013</v>
      </c>
      <c r="C870" t="inlineStr">
        <is>
          <t>Amy Duo</t>
        </is>
      </c>
      <c r="D870">
        <f>HYPERLINK("https://ota.tournamentsoftware.com/player-profile/71495656-F9AD-402C-B368-62609F5D70B9", "Link")</f>
        <v/>
      </c>
      <c r="E870" s="3" t="n">
        <v>3.888</v>
      </c>
      <c r="F870" s="4" t="n">
        <v>1</v>
      </c>
      <c r="G870" t="inlineStr">
        <is>
          <t>British Columbia</t>
        </is>
      </c>
      <c r="H870" t="inlineStr">
        <is>
          <t>North Shore Winter Club</t>
        </is>
      </c>
      <c r="I870" t="inlineStr">
        <is>
          <t>unavailable</t>
        </is>
      </c>
      <c r="J870" s="4" t="n">
        <v>25</v>
      </c>
      <c r="K870" t="inlineStr">
        <is>
          <t>8 / 17</t>
        </is>
      </c>
      <c r="L870" t="inlineStr">
        <is>
          <t>0 / 0</t>
        </is>
      </c>
      <c r="M870" s="5" t="n">
        <v>0.32</v>
      </c>
      <c r="N870" s="5" t="n">
        <v>0</v>
      </c>
    </row>
    <row r="871">
      <c r="A871" t="n">
        <v>869</v>
      </c>
      <c r="B871" t="n">
        <v>2015</v>
      </c>
      <c r="C871" t="inlineStr">
        <is>
          <t>Olivia Franchi</t>
        </is>
      </c>
      <c r="D871">
        <f>HYPERLINK("https://ota.tournamentsoftware.com/player-profile/71DEE53D-92D1-4C5D-A9AE-0F02860DD189", "Link")</f>
        <v/>
      </c>
      <c r="E871" s="3" t="n">
        <v>3.888</v>
      </c>
      <c r="F871" s="4" t="n">
        <v>1</v>
      </c>
      <c r="G871" t="inlineStr">
        <is>
          <t>Ontario Tennis Association</t>
        </is>
      </c>
      <c r="H871" t="inlineStr">
        <is>
          <t>Barrie North Winter Tennis</t>
        </is>
      </c>
      <c r="I871" t="n">
        <v>37.6</v>
      </c>
      <c r="J871" s="4" t="n">
        <v>14</v>
      </c>
      <c r="K871" t="inlineStr">
        <is>
          <t>0 / 14</t>
        </is>
      </c>
      <c r="L871" t="inlineStr">
        <is>
          <t>0 / 2</t>
        </is>
      </c>
      <c r="M871" s="5" t="n">
        <v>0</v>
      </c>
      <c r="N871" s="5" t="n">
        <v>0</v>
      </c>
    </row>
    <row r="872">
      <c r="A872" t="n">
        <v>869</v>
      </c>
      <c r="B872" t="n">
        <v>2015</v>
      </c>
      <c r="C872" t="inlineStr">
        <is>
          <t>Maya Clara Shakra</t>
        </is>
      </c>
      <c r="D872">
        <f>HYPERLINK("https://ota.tournamentsoftware.com/player-profile/50FA5A17-1808-42C0-B8C3-34766E9151A2", "Link")</f>
        <v/>
      </c>
      <c r="E872" s="3" t="n">
        <v>3.888</v>
      </c>
      <c r="F872" s="4" t="n">
        <v>1</v>
      </c>
      <c r="G872" t="inlineStr">
        <is>
          <t>Ontario Tennis Association</t>
        </is>
      </c>
      <c r="H872" t="inlineStr">
        <is>
          <t>Toronto Tennis Academy</t>
        </is>
      </c>
      <c r="I872" t="inlineStr">
        <is>
          <t>unavailable</t>
        </is>
      </c>
      <c r="J872" s="4" t="n">
        <v>41</v>
      </c>
      <c r="K872" t="inlineStr">
        <is>
          <t>12 / 29</t>
        </is>
      </c>
      <c r="L872" t="inlineStr">
        <is>
          <t>1 / 5</t>
        </is>
      </c>
      <c r="M872" s="5" t="n">
        <v>0.29</v>
      </c>
      <c r="N872" s="5" t="n">
        <v>0.17</v>
      </c>
    </row>
    <row r="873">
      <c r="A873" t="n">
        <v>869</v>
      </c>
      <c r="B873" t="n">
        <v>2014</v>
      </c>
      <c r="C873" t="inlineStr">
        <is>
          <t>Yanxi Chen</t>
        </is>
      </c>
      <c r="D873">
        <f>HYPERLINK("https://ota.tournamentsoftware.com/player-profile/E6571B14-6651-4CD3-A420-8263947DBA1E", "Link")</f>
        <v/>
      </c>
      <c r="E873" s="3" t="n">
        <v>3.888</v>
      </c>
      <c r="F873" s="4" t="n">
        <v>1</v>
      </c>
      <c r="G873" t="inlineStr">
        <is>
          <t>British Columbia</t>
        </is>
      </c>
      <c r="H873" t="inlineStr">
        <is>
          <t>West Vancouver Tennis Club</t>
        </is>
      </c>
      <c r="I873" t="n">
        <v>38.6</v>
      </c>
      <c r="J873" s="4" t="n">
        <v>10</v>
      </c>
      <c r="K873" t="inlineStr">
        <is>
          <t>5 / 5</t>
        </is>
      </c>
      <c r="L873" t="inlineStr">
        <is>
          <t>3 / 3</t>
        </is>
      </c>
      <c r="M873" s="5" t="n">
        <v>0.5</v>
      </c>
      <c r="N873" s="5" t="n">
        <v>0.5</v>
      </c>
    </row>
    <row r="874">
      <c r="A874" t="n">
        <v>869</v>
      </c>
      <c r="B874" t="n">
        <v>2015</v>
      </c>
      <c r="C874" t="inlineStr">
        <is>
          <t>JIAYI LIN</t>
        </is>
      </c>
      <c r="D874">
        <f>HYPERLINK("https://ota.tournamentsoftware.com/player-profile/9025A036-DFDA-4A69-B03F-EEE43D14A3C3", "Link")</f>
        <v/>
      </c>
      <c r="E874" s="3" t="n">
        <v>3.888</v>
      </c>
      <c r="F874" s="4" t="n">
        <v>1</v>
      </c>
      <c r="G874" t="inlineStr">
        <is>
          <t>Ontario Tennis Association</t>
        </is>
      </c>
      <c r="H874" t="inlineStr">
        <is>
          <t>Mayfair Parkway Racquet Club</t>
        </is>
      </c>
      <c r="I874" t="n">
        <v>39.5</v>
      </c>
      <c r="J874" s="4" t="n">
        <v>2</v>
      </c>
      <c r="K874" t="inlineStr">
        <is>
          <t>0 / 2</t>
        </is>
      </c>
      <c r="L874" t="inlineStr">
        <is>
          <t>0 / 2</t>
        </is>
      </c>
      <c r="M874" s="5" t="n">
        <v>0</v>
      </c>
      <c r="N874" s="5" t="n">
        <v>0</v>
      </c>
    </row>
    <row r="875">
      <c r="A875" t="n">
        <v>869</v>
      </c>
      <c r="B875" t="n">
        <v>2017</v>
      </c>
      <c r="C875" t="inlineStr">
        <is>
          <t>Nysa Iyer</t>
        </is>
      </c>
      <c r="D875">
        <f>HYPERLINK("https://ota.tournamentsoftware.com/player-profile/7133F3A1-6724-4B35-BBF9-2DFB20E0D933", "Link")</f>
        <v/>
      </c>
      <c r="E875" s="3" t="n">
        <v>3.888</v>
      </c>
      <c r="F875" s="4" t="n">
        <v>2</v>
      </c>
      <c r="G875" t="inlineStr">
        <is>
          <t>Tennis Alberta</t>
        </is>
      </c>
      <c r="H875" t="inlineStr">
        <is>
          <t>No Club</t>
        </is>
      </c>
      <c r="I875" t="n">
        <v>37.5</v>
      </c>
      <c r="J875" s="4" t="n">
        <v>63</v>
      </c>
      <c r="K875" t="inlineStr">
        <is>
          <t>32 / 31</t>
        </is>
      </c>
      <c r="L875" t="inlineStr">
        <is>
          <t>15 / 10</t>
        </is>
      </c>
      <c r="M875" s="5" t="n">
        <v>0.51</v>
      </c>
      <c r="N875" s="5" t="n">
        <v>0.6</v>
      </c>
    </row>
    <row r="876">
      <c r="A876" t="n">
        <v>875</v>
      </c>
      <c r="B876" t="n">
        <v>2014</v>
      </c>
      <c r="C876" t="inlineStr">
        <is>
          <t>Charlotte Lanthier</t>
        </is>
      </c>
      <c r="D876">
        <f>HYPERLINK("https://ota.tournamentsoftware.com/player-profile/930A92EC-BBE2-40FD-8684-CB6F18EAD19A", "Link")</f>
        <v/>
      </c>
      <c r="E876" s="3" t="n">
        <v>3.758</v>
      </c>
      <c r="F876" s="4" t="n">
        <v>5</v>
      </c>
      <c r="G876" t="inlineStr">
        <is>
          <t>Tennis Québec</t>
        </is>
      </c>
      <c r="H876" t="inlineStr">
        <is>
          <t>EB Tennis inc.</t>
        </is>
      </c>
      <c r="I876" t="n">
        <v>39.6</v>
      </c>
      <c r="J876" s="4" t="n">
        <v>6</v>
      </c>
      <c r="K876" t="inlineStr">
        <is>
          <t>0 / 6</t>
        </is>
      </c>
      <c r="L876" t="inlineStr">
        <is>
          <t>0 / 4</t>
        </is>
      </c>
      <c r="M876" s="5" t="n">
        <v>0</v>
      </c>
      <c r="N876" s="5" t="n">
        <v>0</v>
      </c>
    </row>
    <row r="877">
      <c r="A877" t="n">
        <v>875</v>
      </c>
      <c r="B877" t="n">
        <v>2015</v>
      </c>
      <c r="C877" t="inlineStr">
        <is>
          <t>Tamara Skayem</t>
        </is>
      </c>
      <c r="D877">
        <f>HYPERLINK("https://ota.tournamentsoftware.com/player-profile/C90206C3-DC6E-4BE3-938F-C8608F20CDD6", "Link")</f>
        <v/>
      </c>
      <c r="E877" s="3" t="n">
        <v>3.758</v>
      </c>
      <c r="F877" s="4" t="n">
        <v>1</v>
      </c>
      <c r="G877" t="inlineStr">
        <is>
          <t>Tennis Québec</t>
        </is>
      </c>
      <c r="H877" t="inlineStr">
        <is>
          <t>No Club</t>
        </is>
      </c>
      <c r="I877" t="inlineStr">
        <is>
          <t>unavailable</t>
        </is>
      </c>
      <c r="J877" s="4" t="n">
        <v>0</v>
      </c>
      <c r="K877" t="inlineStr">
        <is>
          <t>0 / 0</t>
        </is>
      </c>
      <c r="L877" t="inlineStr">
        <is>
          <t>0 / 0</t>
        </is>
      </c>
      <c r="M877" s="5" t="n">
        <v>0</v>
      </c>
      <c r="N877" s="5" t="n">
        <v>0</v>
      </c>
    </row>
    <row r="878">
      <c r="A878" t="n">
        <v>877</v>
      </c>
      <c r="B878" t="n">
        <v>2014</v>
      </c>
      <c r="C878" t="inlineStr">
        <is>
          <t>Kaira Ankit Arora</t>
        </is>
      </c>
      <c r="D878">
        <f>HYPERLINK("https://ota.tournamentsoftware.com/player-profile/48CDC473-6B50-4781-BB3F-2B72F12C6320", "Link")</f>
        <v/>
      </c>
      <c r="E878" s="3" t="n">
        <v>3.629</v>
      </c>
      <c r="F878" s="4" t="n">
        <v>1</v>
      </c>
      <c r="G878" t="inlineStr">
        <is>
          <t>Ontario Tennis Association</t>
        </is>
      </c>
      <c r="H878" t="inlineStr">
        <is>
          <t>Mohawk Tennis Club</t>
        </is>
      </c>
      <c r="I878" t="n">
        <v>39.1</v>
      </c>
      <c r="J878" s="4" t="n">
        <v>23</v>
      </c>
      <c r="K878" t="inlineStr">
        <is>
          <t>2 / 21</t>
        </is>
      </c>
      <c r="L878" t="inlineStr">
        <is>
          <t>0 / 0</t>
        </is>
      </c>
      <c r="M878" s="5" t="n">
        <v>0.09</v>
      </c>
      <c r="N878" s="5" t="n">
        <v>0</v>
      </c>
    </row>
    <row r="879">
      <c r="A879" t="n">
        <v>877</v>
      </c>
      <c r="B879" t="n">
        <v>2013</v>
      </c>
      <c r="C879" t="inlineStr">
        <is>
          <t>Apphia Anderson</t>
        </is>
      </c>
      <c r="D879">
        <f>HYPERLINK("https://ota.tournamentsoftware.com/player-profile/557E4D67-D9E9-47B3-800F-DB2194C8FCA3", "Link")</f>
        <v/>
      </c>
      <c r="E879" s="3" t="n">
        <v>3.629</v>
      </c>
      <c r="F879" s="4" t="n">
        <v>2</v>
      </c>
      <c r="G879" t="inlineStr">
        <is>
          <t>Tennis Alberta</t>
        </is>
      </c>
      <c r="H879" t="inlineStr">
        <is>
          <t>No Club</t>
        </is>
      </c>
      <c r="I879" t="inlineStr">
        <is>
          <t>unavailable</t>
        </is>
      </c>
      <c r="J879" s="4" t="n">
        <v>3</v>
      </c>
      <c r="K879" t="inlineStr">
        <is>
          <t>0 / 3</t>
        </is>
      </c>
      <c r="L879" t="inlineStr">
        <is>
          <t>0 / 3</t>
        </is>
      </c>
      <c r="M879" s="5" t="n">
        <v>0</v>
      </c>
      <c r="N879" s="5" t="n">
        <v>0</v>
      </c>
    </row>
    <row r="880">
      <c r="A880" t="n">
        <v>877</v>
      </c>
      <c r="B880" t="n">
        <v>2014</v>
      </c>
      <c r="C880" t="inlineStr">
        <is>
          <t>Cindy Chai</t>
        </is>
      </c>
      <c r="D880">
        <f>HYPERLINK("https://ota.tournamentsoftware.com/player-profile/1777FA49-1C9D-4D7D-AF29-8B5B024F1F30", "Link")</f>
        <v/>
      </c>
      <c r="E880" s="3" t="n">
        <v>3.629</v>
      </c>
      <c r="F880" s="4" t="n">
        <v>1</v>
      </c>
      <c r="G880" t="inlineStr">
        <is>
          <t>Ontario Tennis Association</t>
        </is>
      </c>
      <c r="H880" t="inlineStr">
        <is>
          <t>Ontario Racquet Club</t>
        </is>
      </c>
      <c r="I880" t="inlineStr">
        <is>
          <t>unavailable</t>
        </is>
      </c>
      <c r="J880" s="4" t="n">
        <v>8</v>
      </c>
      <c r="K880" t="inlineStr">
        <is>
          <t>3 / 5</t>
        </is>
      </c>
      <c r="L880" t="inlineStr">
        <is>
          <t>3 / 3</t>
        </is>
      </c>
      <c r="M880" s="5" t="n">
        <v>0.38</v>
      </c>
      <c r="N880" s="5" t="n">
        <v>0.5</v>
      </c>
    </row>
    <row r="881">
      <c r="A881" t="n">
        <v>880</v>
      </c>
      <c r="B881" t="n">
        <v>2014</v>
      </c>
      <c r="C881" t="inlineStr">
        <is>
          <t>Zixi Kang</t>
        </is>
      </c>
      <c r="D881">
        <f>HYPERLINK("https://ota.tournamentsoftware.com/player-profile/A5E15599-8C2B-4217-B0C0-BAEF0009ED39", "Link")</f>
        <v/>
      </c>
      <c r="E881" s="3" t="n">
        <v>3.587</v>
      </c>
      <c r="F881" s="4" t="n">
        <v>1</v>
      </c>
      <c r="G881" t="inlineStr">
        <is>
          <t>Tennis Nova Scotia</t>
        </is>
      </c>
      <c r="H881" t="inlineStr">
        <is>
          <t>Bedford</t>
        </is>
      </c>
      <c r="I881" t="n">
        <v>39.1</v>
      </c>
      <c r="J881" s="4" t="n">
        <v>9</v>
      </c>
      <c r="K881" t="inlineStr">
        <is>
          <t>2 / 7</t>
        </is>
      </c>
      <c r="L881" t="inlineStr">
        <is>
          <t>0 / 0</t>
        </is>
      </c>
      <c r="M881" s="5" t="n">
        <v>0.22</v>
      </c>
      <c r="N881" s="5" t="n">
        <v>0</v>
      </c>
    </row>
    <row r="882">
      <c r="A882" t="n">
        <v>881</v>
      </c>
      <c r="B882" t="n">
        <v>2015</v>
      </c>
      <c r="C882" t="inlineStr">
        <is>
          <t>Lea Youssef</t>
        </is>
      </c>
      <c r="D882">
        <f>HYPERLINK("https://ota.tournamentsoftware.com/player-profile/DC3DBF03-8EF5-4959-B08E-EE226DB25DE6", "Link")</f>
        <v/>
      </c>
      <c r="E882" s="3" t="n">
        <v>3.471</v>
      </c>
      <c r="F882" s="4" t="n">
        <v>1</v>
      </c>
      <c r="G882" t="inlineStr">
        <is>
          <t>Tennis Québec</t>
        </is>
      </c>
      <c r="H882" t="inlineStr">
        <is>
          <t>Tennis 13</t>
        </is>
      </c>
      <c r="I882" t="inlineStr">
        <is>
          <t>unavailable</t>
        </is>
      </c>
      <c r="J882" s="4" t="n">
        <v>2</v>
      </c>
      <c r="K882" t="inlineStr">
        <is>
          <t>0 / 2</t>
        </is>
      </c>
      <c r="L882" t="inlineStr">
        <is>
          <t>0 / 2</t>
        </is>
      </c>
      <c r="M882" s="5" t="n">
        <v>0</v>
      </c>
      <c r="N882" s="5" t="n">
        <v>0</v>
      </c>
    </row>
    <row r="883">
      <c r="A883" t="n">
        <v>882</v>
      </c>
      <c r="B883" t="n">
        <v>2012</v>
      </c>
      <c r="C883" t="inlineStr">
        <is>
          <t>Hannah Grace Burrows</t>
        </is>
      </c>
      <c r="D883">
        <f>HYPERLINK("https://ota.tournamentsoftware.com/player-profile/A4FFA0A4-EAE7-43E6-AF92-E22114BE5D8B", "Link")</f>
        <v/>
      </c>
      <c r="E883" s="3" t="n">
        <v>3.421</v>
      </c>
      <c r="F883" s="4" t="n">
        <v>2</v>
      </c>
      <c r="G883" t="inlineStr">
        <is>
          <t>Tennis Alberta</t>
        </is>
      </c>
      <c r="H883" t="inlineStr">
        <is>
          <t>The Glencoe Club</t>
        </is>
      </c>
      <c r="I883" t="n">
        <v>38.8</v>
      </c>
      <c r="J883" s="4" t="n">
        <v>28</v>
      </c>
      <c r="K883" t="inlineStr">
        <is>
          <t>6 / 22</t>
        </is>
      </c>
      <c r="L883" t="inlineStr">
        <is>
          <t>0 / 2</t>
        </is>
      </c>
      <c r="M883" s="5" t="n">
        <v>0.21</v>
      </c>
      <c r="N883" s="5" t="n">
        <v>0</v>
      </c>
    </row>
    <row r="884">
      <c r="A884" t="n">
        <v>883</v>
      </c>
      <c r="B884" t="n">
        <v>2016</v>
      </c>
      <c r="C884" t="inlineStr">
        <is>
          <t>Jaclyn Zhang</t>
        </is>
      </c>
      <c r="D884">
        <f>HYPERLINK("https://ota.tournamentsoftware.com/player-profile/E6E9780C-ACDE-4CFD-B134-4984C266BCEB", "Link")</f>
        <v/>
      </c>
      <c r="E884" s="3" t="n">
        <v>3.24</v>
      </c>
      <c r="F884" s="4" t="n">
        <v>3</v>
      </c>
      <c r="G884" t="inlineStr">
        <is>
          <t>British Columbia</t>
        </is>
      </c>
      <c r="H884" t="inlineStr">
        <is>
          <t>UBC Tennis Centre</t>
        </is>
      </c>
      <c r="I884" t="n">
        <v>39.1</v>
      </c>
      <c r="J884" s="4" t="n">
        <v>71</v>
      </c>
      <c r="K884" t="inlineStr">
        <is>
          <t>42 / 29</t>
        </is>
      </c>
      <c r="L884" t="inlineStr">
        <is>
          <t>16 / 17</t>
        </is>
      </c>
      <c r="M884" s="5" t="n">
        <v>0.59</v>
      </c>
      <c r="N884" s="5" t="n">
        <v>0.48</v>
      </c>
    </row>
    <row r="885">
      <c r="A885" t="n">
        <v>884</v>
      </c>
      <c r="B885" t="n">
        <v>2014</v>
      </c>
      <c r="C885" t="inlineStr">
        <is>
          <t>Amaara Bhardwaj</t>
        </is>
      </c>
      <c r="D885">
        <f>HYPERLINK("https://ota.tournamentsoftware.com/player-profile/5E30A7A6-4E75-4094-9C50-E36BC2D57510", "Link")</f>
        <v/>
      </c>
      <c r="E885" s="3" t="n">
        <v>3.098</v>
      </c>
      <c r="F885" s="4" t="n">
        <v>1</v>
      </c>
      <c r="G885" t="inlineStr">
        <is>
          <t>British Columbia</t>
        </is>
      </c>
      <c r="H885" t="inlineStr">
        <is>
          <t>No Club</t>
        </is>
      </c>
      <c r="I885" t="n">
        <v>39.7</v>
      </c>
      <c r="J885" s="4" t="n">
        <v>15</v>
      </c>
      <c r="K885" t="inlineStr">
        <is>
          <t>7 / 8</t>
        </is>
      </c>
      <c r="L885" t="inlineStr">
        <is>
          <t>0 / 2</t>
        </is>
      </c>
      <c r="M885" s="5" t="n">
        <v>0.47</v>
      </c>
      <c r="N885" s="5" t="n">
        <v>0</v>
      </c>
    </row>
    <row r="886">
      <c r="A886" t="n">
        <v>885</v>
      </c>
      <c r="B886" t="n">
        <v>2014</v>
      </c>
      <c r="C886" t="inlineStr">
        <is>
          <t>Arianna Shiyong Zhang</t>
        </is>
      </c>
      <c r="D886">
        <f>HYPERLINK("https://ota.tournamentsoftware.com/player-profile/534D64C5-0604-4070-B56D-0E5A49B9F850", "Link")</f>
        <v/>
      </c>
      <c r="E886" s="3" t="n">
        <v>3.075</v>
      </c>
      <c r="F886" s="4" t="n">
        <v>1</v>
      </c>
      <c r="G886" t="inlineStr">
        <is>
          <t>British Columbia</t>
        </is>
      </c>
      <c r="H886" t="inlineStr">
        <is>
          <t>Hollyburn Country Club</t>
        </is>
      </c>
      <c r="I886" t="inlineStr">
        <is>
          <t>unavailable</t>
        </is>
      </c>
      <c r="J886" s="4" t="n">
        <v>34</v>
      </c>
      <c r="K886" t="inlineStr">
        <is>
          <t>13 / 21</t>
        </is>
      </c>
      <c r="L886" t="inlineStr">
        <is>
          <t>0 / 0</t>
        </is>
      </c>
      <c r="M886" s="5" t="n">
        <v>0.38</v>
      </c>
      <c r="N886" s="5" t="n">
        <v>0</v>
      </c>
    </row>
    <row r="887">
      <c r="A887" t="n">
        <v>886</v>
      </c>
      <c r="B887" t="n">
        <v>2016</v>
      </c>
      <c r="C887" t="inlineStr">
        <is>
          <t>Michelle Hiu Tung Law</t>
        </is>
      </c>
      <c r="D887">
        <f>HYPERLINK("https://ota.tournamentsoftware.com/player-profile/6B7246D7-C656-43B4-A93A-54E15E04D73D", "Link")</f>
        <v/>
      </c>
      <c r="E887" s="3" t="n">
        <v>3.024</v>
      </c>
      <c r="F887" s="4" t="n">
        <v>7</v>
      </c>
      <c r="G887" t="inlineStr">
        <is>
          <t>Tennis Alberta</t>
        </is>
      </c>
      <c r="H887" t="inlineStr">
        <is>
          <t>Saville Community Sports Centre</t>
        </is>
      </c>
      <c r="I887" t="n">
        <v>39.1</v>
      </c>
      <c r="J887" s="4" t="n">
        <v>73</v>
      </c>
      <c r="K887" t="inlineStr">
        <is>
          <t>30 / 43</t>
        </is>
      </c>
      <c r="L887" t="inlineStr">
        <is>
          <t>11 / 15</t>
        </is>
      </c>
      <c r="M887" s="5" t="n">
        <v>0.41</v>
      </c>
      <c r="N887" s="5" t="n">
        <v>0.42</v>
      </c>
    </row>
    <row r="888">
      <c r="A888" t="n">
        <v>887</v>
      </c>
      <c r="B888" t="n">
        <v>2014</v>
      </c>
      <c r="C888" t="inlineStr">
        <is>
          <t>Evelyn Jewell Rautenbach</t>
        </is>
      </c>
      <c r="D888">
        <f>HYPERLINK("https://ota.tournamentsoftware.com/player-profile/867F5D6A-BB9A-4FEB-A95E-565609563C13", "Link")</f>
        <v/>
      </c>
      <c r="E888" s="3" t="n">
        <v>2.618</v>
      </c>
      <c r="F888" s="4" t="n">
        <v>2</v>
      </c>
      <c r="G888" t="inlineStr">
        <is>
          <t>Tennis Alberta</t>
        </is>
      </c>
      <c r="H888" t="inlineStr">
        <is>
          <t>The Glencoe Club</t>
        </is>
      </c>
      <c r="I888" t="n">
        <v>36.6</v>
      </c>
      <c r="J888" s="4" t="n">
        <v>34</v>
      </c>
      <c r="K888" t="inlineStr">
        <is>
          <t>14 / 20</t>
        </is>
      </c>
      <c r="L888" t="inlineStr">
        <is>
          <t>1 / 1</t>
        </is>
      </c>
      <c r="M888" s="5" t="n">
        <v>0.41</v>
      </c>
      <c r="N888" s="5" t="n">
        <v>0.5</v>
      </c>
    </row>
    <row r="889">
      <c r="A889" t="n">
        <v>888</v>
      </c>
      <c r="B889" t="n">
        <v>2014</v>
      </c>
      <c r="C889" t="inlineStr">
        <is>
          <t>Frances Fletcher</t>
        </is>
      </c>
      <c r="D889">
        <f>HYPERLINK("https://ota.tournamentsoftware.com/player-profile/67CBECB7-306E-4C07-AB72-7C9F967F74F1", "Link")</f>
        <v/>
      </c>
      <c r="E889" s="3" t="n">
        <v>2.431</v>
      </c>
      <c r="F889" s="4" t="n">
        <v>2</v>
      </c>
      <c r="G889" t="inlineStr">
        <is>
          <t>Tennis Québec</t>
        </is>
      </c>
      <c r="H889" t="inlineStr">
        <is>
          <t>Club Sportif Côte-de-Liesse</t>
        </is>
      </c>
      <c r="I889" t="n">
        <v>37.8</v>
      </c>
      <c r="J889" s="4" t="n">
        <v>3</v>
      </c>
      <c r="K889" t="inlineStr">
        <is>
          <t>1 / 2</t>
        </is>
      </c>
      <c r="L889" t="inlineStr">
        <is>
          <t>1 / 2</t>
        </is>
      </c>
      <c r="M889" s="5" t="n">
        <v>0.33</v>
      </c>
      <c r="N889" s="5" t="n">
        <v>0.33</v>
      </c>
    </row>
    <row r="890">
      <c r="A890" t="n">
        <v>889</v>
      </c>
      <c r="B890" t="n">
        <v>2015</v>
      </c>
      <c r="C890" t="inlineStr">
        <is>
          <t>Claire Sattar</t>
        </is>
      </c>
      <c r="D890">
        <f>HYPERLINK("https://ota.tournamentsoftware.com/player-profile/F9E336C7-A13D-430E-A056-C66EFFC2A0D5", "Link")</f>
        <v/>
      </c>
      <c r="E890" s="3" t="n">
        <v>2.403</v>
      </c>
      <c r="F890" s="4" t="n">
        <v>3</v>
      </c>
      <c r="G890" t="inlineStr">
        <is>
          <t>British Columbia</t>
        </is>
      </c>
      <c r="H890" t="inlineStr">
        <is>
          <t>Great West Fitness and Racquets Club</t>
        </is>
      </c>
      <c r="I890" t="inlineStr">
        <is>
          <t>unavailable</t>
        </is>
      </c>
      <c r="J890" s="4" t="n">
        <v>36</v>
      </c>
      <c r="K890" t="inlineStr">
        <is>
          <t>10 / 26</t>
        </is>
      </c>
      <c r="L890" t="inlineStr">
        <is>
          <t>0 / 2</t>
        </is>
      </c>
      <c r="M890" s="5" t="n">
        <v>0.28</v>
      </c>
      <c r="N890" s="5" t="n">
        <v>0</v>
      </c>
    </row>
    <row r="891">
      <c r="A891" t="n">
        <v>889</v>
      </c>
      <c r="B891" t="n">
        <v>2014</v>
      </c>
      <c r="C891" t="inlineStr">
        <is>
          <t>Danika Masi</t>
        </is>
      </c>
      <c r="D891">
        <f>HYPERLINK("https://ota.tournamentsoftware.com/player-profile/9FA580FC-05F1-4060-AF06-7AAC23F8ED24", "Link")</f>
        <v/>
      </c>
      <c r="E891" s="3" t="n">
        <v>2.403</v>
      </c>
      <c r="F891" s="4" t="n">
        <v>1</v>
      </c>
      <c r="G891" t="inlineStr">
        <is>
          <t>British Columbia</t>
        </is>
      </c>
      <c r="H891" t="inlineStr">
        <is>
          <t>Suncoast Racquet Club</t>
        </is>
      </c>
      <c r="I891" t="n">
        <v>39.3</v>
      </c>
      <c r="J891" s="4" t="n">
        <v>26</v>
      </c>
      <c r="K891" t="inlineStr">
        <is>
          <t>17 / 9</t>
        </is>
      </c>
      <c r="L891" t="inlineStr">
        <is>
          <t>9 / 2</t>
        </is>
      </c>
      <c r="M891" s="5" t="n">
        <v>0.65</v>
      </c>
      <c r="N891" s="5" t="n">
        <v>0.82</v>
      </c>
    </row>
    <row r="892">
      <c r="A892" t="n">
        <v>889</v>
      </c>
      <c r="B892" t="n">
        <v>2015</v>
      </c>
      <c r="C892" t="inlineStr">
        <is>
          <t>Niveah Watt-Shelton</t>
        </is>
      </c>
      <c r="D892">
        <f>HYPERLINK("https://ota.tournamentsoftware.com/player-profile/2142B288-43FF-46B4-8037-BD18E957E823", "Link")</f>
        <v/>
      </c>
      <c r="E892" s="3" t="n">
        <v>2.403</v>
      </c>
      <c r="F892" s="4" t="n">
        <v>1</v>
      </c>
      <c r="G892" t="inlineStr">
        <is>
          <t>British Columbia</t>
        </is>
      </c>
      <c r="H892" t="inlineStr">
        <is>
          <t>UBC Tennis Centre</t>
        </is>
      </c>
      <c r="I892" t="inlineStr">
        <is>
          <t>unavailable</t>
        </is>
      </c>
      <c r="J892" s="4" t="n">
        <v>56</v>
      </c>
      <c r="K892" t="inlineStr">
        <is>
          <t>28 / 28</t>
        </is>
      </c>
      <c r="L892" t="inlineStr">
        <is>
          <t>8 / 6</t>
        </is>
      </c>
      <c r="M892" s="5" t="n">
        <v>0.5</v>
      </c>
      <c r="N892" s="5" t="n">
        <v>0.57</v>
      </c>
    </row>
    <row r="893">
      <c r="A893" t="n">
        <v>892</v>
      </c>
      <c r="B893" t="n">
        <v>2015</v>
      </c>
      <c r="C893" t="inlineStr">
        <is>
          <t>Alison Kao</t>
        </is>
      </c>
      <c r="D893">
        <f>HYPERLINK("https://ota.tournamentsoftware.com/player-profile/BAEC89E7-F54C-49F7-AA56-227606797D02", "Link")</f>
        <v/>
      </c>
      <c r="E893" s="3" t="n">
        <v>2.333</v>
      </c>
      <c r="F893" s="4" t="n">
        <v>2</v>
      </c>
      <c r="G893" t="inlineStr">
        <is>
          <t>Tennis Alberta</t>
        </is>
      </c>
      <c r="H893" t="inlineStr">
        <is>
          <t>Osten &amp; Victor Alberta Tennis Centre</t>
        </is>
      </c>
      <c r="I893" t="n">
        <v>39.8</v>
      </c>
      <c r="J893" s="4" t="n">
        <v>35</v>
      </c>
      <c r="K893" t="inlineStr">
        <is>
          <t>15 / 20</t>
        </is>
      </c>
      <c r="L893" t="inlineStr">
        <is>
          <t>5 / 5</t>
        </is>
      </c>
      <c r="M893" s="5" t="n">
        <v>0.43</v>
      </c>
      <c r="N893" s="5" t="n">
        <v>0.5</v>
      </c>
    </row>
    <row r="894">
      <c r="A894" t="n">
        <v>893</v>
      </c>
      <c r="B894" t="n">
        <v>2015</v>
      </c>
      <c r="C894" t="inlineStr">
        <is>
          <t>Ruhi Juneja</t>
        </is>
      </c>
      <c r="D894">
        <f>HYPERLINK("https://ota.tournamentsoftware.com/player-profile/E7A03006-4960-4A35-8B80-22CB122EB413", "Link")</f>
        <v/>
      </c>
      <c r="E894" s="3" t="n">
        <v>2.257</v>
      </c>
      <c r="F894" s="4" t="n">
        <v>3</v>
      </c>
      <c r="G894" t="inlineStr">
        <is>
          <t>Tennis Alberta</t>
        </is>
      </c>
      <c r="H894" t="inlineStr">
        <is>
          <t>IQ Tennis and Pickleball Centre</t>
        </is>
      </c>
      <c r="I894" t="n">
        <v>40</v>
      </c>
      <c r="J894" s="4" t="n">
        <v>4</v>
      </c>
      <c r="K894" t="inlineStr">
        <is>
          <t>0 / 4</t>
        </is>
      </c>
      <c r="L894" t="inlineStr">
        <is>
          <t>0 / 4</t>
        </is>
      </c>
      <c r="M894" s="5" t="n">
        <v>0</v>
      </c>
      <c r="N894" s="5" t="n">
        <v>0</v>
      </c>
    </row>
    <row r="895">
      <c r="A895" t="n">
        <v>894</v>
      </c>
      <c r="B895" t="n">
        <v>2015</v>
      </c>
      <c r="C895" t="inlineStr">
        <is>
          <t>Mischa Simone Teotico</t>
        </is>
      </c>
      <c r="D895">
        <f>HYPERLINK("https://ota.tournamentsoftware.com/player-profile/E41BBBEF-6912-4E0D-BF5C-BBB0CBC74249", "Link")</f>
        <v/>
      </c>
      <c r="E895" s="3" t="n">
        <v>2.203</v>
      </c>
      <c r="F895" s="4" t="n">
        <v>5</v>
      </c>
      <c r="G895" t="inlineStr">
        <is>
          <t>Tennis Alberta</t>
        </is>
      </c>
      <c r="H895" t="inlineStr">
        <is>
          <t>Aforza</t>
        </is>
      </c>
      <c r="I895" t="n">
        <v>39.2</v>
      </c>
      <c r="J895" s="4" t="n">
        <v>60</v>
      </c>
      <c r="K895" t="inlineStr">
        <is>
          <t>13 / 47</t>
        </is>
      </c>
      <c r="L895" t="inlineStr">
        <is>
          <t>0 / 2</t>
        </is>
      </c>
      <c r="M895" s="5" t="n">
        <v>0.22</v>
      </c>
      <c r="N895" s="5" t="n">
        <v>0</v>
      </c>
    </row>
    <row r="896">
      <c r="A896" t="n">
        <v>895</v>
      </c>
      <c r="B896" t="n">
        <v>2014</v>
      </c>
      <c r="C896" t="inlineStr">
        <is>
          <t>Mia Tan</t>
        </is>
      </c>
      <c r="D896">
        <f>HYPERLINK("https://ota.tournamentsoftware.com/player-profile/9C9A5A33-4CA6-4975-BDCD-67DA2BA4B2E9", "Link")</f>
        <v/>
      </c>
      <c r="E896" s="3" t="n">
        <v>2.202</v>
      </c>
      <c r="F896" s="4" t="n">
        <v>3</v>
      </c>
      <c r="G896" t="inlineStr">
        <is>
          <t>Tennis Alberta</t>
        </is>
      </c>
      <c r="H896" t="inlineStr">
        <is>
          <t>Osten &amp; Victor Alberta Tennis Centre</t>
        </is>
      </c>
      <c r="I896" t="n">
        <v>39.1</v>
      </c>
      <c r="J896" s="4" t="n">
        <v>3</v>
      </c>
      <c r="K896" t="inlineStr">
        <is>
          <t>1 / 2</t>
        </is>
      </c>
      <c r="L896" t="inlineStr">
        <is>
          <t>0 / 0</t>
        </is>
      </c>
      <c r="M896" s="5" t="n">
        <v>0.33</v>
      </c>
      <c r="N896" s="5" t="n">
        <v>0</v>
      </c>
    </row>
    <row r="897">
      <c r="A897" t="n">
        <v>896</v>
      </c>
      <c r="B897" t="n">
        <v>2013</v>
      </c>
      <c r="C897" t="inlineStr">
        <is>
          <t>Zelda Gwen Zenith</t>
        </is>
      </c>
      <c r="D897">
        <f>HYPERLINK("https://ota.tournamentsoftware.com/player-profile/F460E6C2-2456-43C6-B19A-E5695E232448", "Link")</f>
        <v/>
      </c>
      <c r="E897" s="3" t="n">
        <v>2.16</v>
      </c>
      <c r="F897" s="4" t="n">
        <v>1</v>
      </c>
      <c r="G897" t="inlineStr">
        <is>
          <t>Tennis Alberta</t>
        </is>
      </c>
      <c r="H897" t="inlineStr">
        <is>
          <t>No Club</t>
        </is>
      </c>
      <c r="I897" t="inlineStr">
        <is>
          <t>unavailable</t>
        </is>
      </c>
      <c r="J897" s="4" t="n">
        <v>129</v>
      </c>
      <c r="K897" t="inlineStr">
        <is>
          <t>47 / 82</t>
        </is>
      </c>
      <c r="L897" t="inlineStr">
        <is>
          <t>0 / 0</t>
        </is>
      </c>
      <c r="M897" s="5" t="n">
        <v>0.36</v>
      </c>
      <c r="N897" s="5" t="n">
        <v>0</v>
      </c>
    </row>
    <row r="898">
      <c r="A898" t="n">
        <v>897</v>
      </c>
      <c r="B898" t="n">
        <v>2015</v>
      </c>
      <c r="C898" t="inlineStr">
        <is>
          <t>Harchanan Kaur Kandola</t>
        </is>
      </c>
      <c r="D898">
        <f>HYPERLINK("https://ota.tournamentsoftware.com/player-profile/604DEB6C-89BC-4F3B-9551-3DD1A6EDA123", "Link")</f>
        <v/>
      </c>
      <c r="E898" s="3" t="n">
        <v>1.944</v>
      </c>
      <c r="F898" s="4" t="n">
        <v>1</v>
      </c>
      <c r="G898" t="inlineStr">
        <is>
          <t>British Columbia</t>
        </is>
      </c>
      <c r="H898" t="inlineStr">
        <is>
          <t>The Tennis Centre</t>
        </is>
      </c>
      <c r="I898" t="inlineStr">
        <is>
          <t>unavailable</t>
        </is>
      </c>
      <c r="J898" s="4" t="n">
        <v>24</v>
      </c>
      <c r="K898" t="inlineStr">
        <is>
          <t>10 / 14</t>
        </is>
      </c>
      <c r="L898" t="inlineStr">
        <is>
          <t>0 / 4</t>
        </is>
      </c>
      <c r="M898" s="5" t="n">
        <v>0.42</v>
      </c>
      <c r="N898" s="5" t="n">
        <v>0</v>
      </c>
    </row>
    <row r="899">
      <c r="A899" t="n">
        <v>897</v>
      </c>
      <c r="B899" t="n">
        <v>2014</v>
      </c>
      <c r="C899" t="inlineStr">
        <is>
          <t>Phoenix Anneliese Daniel</t>
        </is>
      </c>
      <c r="D899">
        <f>HYPERLINK("https://ota.tournamentsoftware.com/player-profile/B00B3D37-513A-4ECC-A51C-B74D255D4B87", "Link")</f>
        <v/>
      </c>
      <c r="E899" s="3" t="n">
        <v>1.944</v>
      </c>
      <c r="F899" s="4" t="n">
        <v>1</v>
      </c>
      <c r="G899" t="inlineStr">
        <is>
          <t>British Columbia</t>
        </is>
      </c>
      <c r="H899" t="inlineStr">
        <is>
          <t>Great West Fitness and Racquets Club</t>
        </is>
      </c>
      <c r="I899" t="n">
        <v>40</v>
      </c>
      <c r="J899" s="4" t="n">
        <v>22</v>
      </c>
      <c r="K899" t="inlineStr">
        <is>
          <t>6 / 16</t>
        </is>
      </c>
      <c r="L899" t="inlineStr">
        <is>
          <t>0 / 2</t>
        </is>
      </c>
      <c r="M899" s="5" t="n">
        <v>0.27</v>
      </c>
      <c r="N899" s="5" t="n">
        <v>0</v>
      </c>
    </row>
    <row r="900">
      <c r="A900" t="n">
        <v>897</v>
      </c>
      <c r="B900" t="n">
        <v>2014</v>
      </c>
      <c r="C900" t="inlineStr">
        <is>
          <t>Ariana Eslami</t>
        </is>
      </c>
      <c r="D900">
        <f>HYPERLINK("https://ota.tournamentsoftware.com/player-profile/55E1D175-DCE8-4D75-8FD1-5751D95D94B4", "Link")</f>
        <v/>
      </c>
      <c r="E900" s="3" t="n">
        <v>1.944</v>
      </c>
      <c r="F900" s="4" t="n">
        <v>1</v>
      </c>
      <c r="G900" t="inlineStr">
        <is>
          <t>British Columbia</t>
        </is>
      </c>
      <c r="H900" t="inlineStr">
        <is>
          <t>Great West Fitness and Racquets Club</t>
        </is>
      </c>
      <c r="I900" t="n">
        <v>40</v>
      </c>
      <c r="J900" s="4" t="n">
        <v>10</v>
      </c>
      <c r="K900" t="inlineStr">
        <is>
          <t>3 / 7</t>
        </is>
      </c>
      <c r="L900" t="inlineStr">
        <is>
          <t>0 / 2</t>
        </is>
      </c>
      <c r="M900" s="5" t="n">
        <v>0.3</v>
      </c>
      <c r="N900" s="5" t="n">
        <v>0</v>
      </c>
    </row>
    <row r="901">
      <c r="A901" t="n">
        <v>897</v>
      </c>
      <c r="B901" t="n">
        <v>2015</v>
      </c>
      <c r="C901" t="inlineStr">
        <is>
          <t>Sophie Clara Vandor</t>
        </is>
      </c>
      <c r="D901">
        <f>HYPERLINK("https://ota.tournamentsoftware.com/player-profile/23B3E879-EE71-4CE7-949F-9E08E7F6FDC9", "Link")</f>
        <v/>
      </c>
      <c r="E901" s="3" t="n">
        <v>1.944</v>
      </c>
      <c r="F901" s="4" t="n">
        <v>3</v>
      </c>
      <c r="G901" t="inlineStr">
        <is>
          <t>British Columbia</t>
        </is>
      </c>
      <c r="H901" t="inlineStr">
        <is>
          <t>UBC Tennis Centre</t>
        </is>
      </c>
      <c r="I901" t="n">
        <v>38.6</v>
      </c>
      <c r="J901" s="4" t="n">
        <v>20</v>
      </c>
      <c r="K901" t="inlineStr">
        <is>
          <t>5 / 15</t>
        </is>
      </c>
      <c r="L901" t="inlineStr">
        <is>
          <t>0 / 2</t>
        </is>
      </c>
      <c r="M901" s="5" t="n">
        <v>0.25</v>
      </c>
      <c r="N901" s="5" t="n">
        <v>0</v>
      </c>
    </row>
  </sheetData>
  <autoFilter ref="A1:N9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18.6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10800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21.4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9585.811</v>
      </c>
      <c r="F4" s="4" t="n">
        <v>11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13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Victoria Koniouchine</t>
        </is>
      </c>
      <c r="D6">
        <f>HYPERLINK("https://ota.tournamentsoftware.com/player-profile/4F2575CB-84B4-4072-ABEF-7652A7E74DBA", "Link")</f>
        <v/>
      </c>
      <c r="E6" s="3" t="n">
        <v>8177</v>
      </c>
      <c r="F6" s="4" t="n">
        <v>13</v>
      </c>
      <c r="G6" t="inlineStr">
        <is>
          <t>Tennis Québec</t>
        </is>
      </c>
      <c r="H6" t="inlineStr">
        <is>
          <t>Tennis Montréal Excellence</t>
        </is>
      </c>
      <c r="I6" t="n">
        <v>19.6</v>
      </c>
      <c r="J6" s="4" t="n">
        <v>380</v>
      </c>
      <c r="K6" t="inlineStr">
        <is>
          <t>244 / 136</t>
        </is>
      </c>
      <c r="L6" t="inlineStr">
        <is>
          <t>22 / 6</t>
        </is>
      </c>
      <c r="M6" s="5" t="n">
        <v>0.64</v>
      </c>
      <c r="N6" s="5" t="n">
        <v>0.79</v>
      </c>
    </row>
    <row r="7">
      <c r="A7" t="n">
        <v>6</v>
      </c>
      <c r="B7" t="n">
        <v>2012</v>
      </c>
      <c r="C7" t="inlineStr">
        <is>
          <t>Karina Swaminath</t>
        </is>
      </c>
      <c r="D7">
        <f>HYPERLINK("https://ota.tournamentsoftware.com/player-profile/4DB9D061-D74F-4482-87A3-9C7480D14EFD", "Link")</f>
        <v/>
      </c>
      <c r="E7" s="3" t="n">
        <v>7284.4</v>
      </c>
      <c r="F7" s="4" t="n">
        <v>20</v>
      </c>
      <c r="G7" t="inlineStr">
        <is>
          <t>Ontario Tennis Association</t>
        </is>
      </c>
      <c r="H7" t="inlineStr">
        <is>
          <t>Premier Racquet Clubs – Mississauga</t>
        </is>
      </c>
      <c r="I7" t="n">
        <v>19.9</v>
      </c>
      <c r="J7" s="4" t="n">
        <v>318</v>
      </c>
      <c r="K7" t="inlineStr">
        <is>
          <t>206 / 112</t>
        </is>
      </c>
      <c r="L7" t="inlineStr">
        <is>
          <t>43 / 19</t>
        </is>
      </c>
      <c r="M7" s="5" t="n">
        <v>0.65</v>
      </c>
      <c r="N7" s="5" t="n">
        <v>0.6899999999999999</v>
      </c>
    </row>
    <row r="8">
      <c r="A8" t="n">
        <v>7</v>
      </c>
      <c r="B8" t="n">
        <v>2012</v>
      </c>
      <c r="C8" t="inlineStr">
        <is>
          <t>Ruijing Chen</t>
        </is>
      </c>
      <c r="D8">
        <f>HYPERLINK("https://ota.tournamentsoftware.com/player-profile/CF3F9020-5B8A-4448-8412-B206DFD70D34", "Link")</f>
        <v/>
      </c>
      <c r="E8" s="3" t="n">
        <v>7050.04</v>
      </c>
      <c r="F8" s="4" t="n">
        <v>19</v>
      </c>
      <c r="G8" t="inlineStr">
        <is>
          <t>British Columbia</t>
        </is>
      </c>
      <c r="H8" t="inlineStr">
        <is>
          <t>North Vancouver Tennis Centre</t>
        </is>
      </c>
      <c r="I8" t="n">
        <v>20.8</v>
      </c>
      <c r="J8" s="4" t="n">
        <v>272</v>
      </c>
      <c r="K8" t="inlineStr">
        <is>
          <t>158 / 114</t>
        </is>
      </c>
      <c r="L8" t="inlineStr">
        <is>
          <t>40 / 19</t>
        </is>
      </c>
      <c r="M8" s="5" t="n">
        <v>0.58</v>
      </c>
      <c r="N8" s="5" t="n">
        <v>0.68</v>
      </c>
    </row>
    <row r="9">
      <c r="A9" t="n">
        <v>8</v>
      </c>
      <c r="B9" t="n">
        <v>2012</v>
      </c>
      <c r="C9" t="inlineStr">
        <is>
          <t>Zimo Xiang</t>
        </is>
      </c>
      <c r="D9">
        <f>HYPERLINK("https://ota.tournamentsoftware.com/player-profile/16758178-BB4B-49F9-847E-3024E74D5A86", "Link")</f>
        <v/>
      </c>
      <c r="E9" s="3" t="n">
        <v>6497.876</v>
      </c>
      <c r="F9" s="4" t="n">
        <v>20</v>
      </c>
      <c r="G9" t="inlineStr">
        <is>
          <t>Tennis Alberta</t>
        </is>
      </c>
      <c r="H9" t="inlineStr">
        <is>
          <t>Osten &amp; Victor Alberta Tennis Centre</t>
        </is>
      </c>
      <c r="I9" t="n">
        <v>18.3</v>
      </c>
      <c r="J9" s="4" t="n">
        <v>348</v>
      </c>
      <c r="K9" t="inlineStr">
        <is>
          <t>266 / 82</t>
        </is>
      </c>
      <c r="L9" t="inlineStr">
        <is>
          <t>52 / 9</t>
        </is>
      </c>
      <c r="M9" s="5" t="n">
        <v>0.76</v>
      </c>
      <c r="N9" s="5" t="n">
        <v>0.85</v>
      </c>
    </row>
    <row r="10">
      <c r="A10" t="n">
        <v>9</v>
      </c>
      <c r="B10" t="n">
        <v>2013</v>
      </c>
      <c r="C10" t="inlineStr">
        <is>
          <t>Callie Raharinosy</t>
        </is>
      </c>
      <c r="D10">
        <f>HYPERLINK("https://ota.tournamentsoftware.com/player-profile/C3BB19C9-39F8-4DF4-A576-AAB3D92B85C3", "Link")</f>
        <v/>
      </c>
      <c r="E10" s="3" t="n">
        <v>6323.453</v>
      </c>
      <c r="F10" s="4" t="n">
        <v>12</v>
      </c>
      <c r="G10" t="inlineStr">
        <is>
          <t>Ontario Tennis Association</t>
        </is>
      </c>
      <c r="H10" t="inlineStr">
        <is>
          <t>Richmondhill Golf &amp; Country Club</t>
        </is>
      </c>
      <c r="I10" t="n">
        <v>21</v>
      </c>
      <c r="J10" s="4" t="n">
        <v>243</v>
      </c>
      <c r="K10" t="inlineStr">
        <is>
          <t>157 / 86</t>
        </is>
      </c>
      <c r="L10" t="inlineStr">
        <is>
          <t>26 / 11</t>
        </is>
      </c>
      <c r="M10" s="5" t="n">
        <v>0.65</v>
      </c>
      <c r="N10" s="5" t="n">
        <v>0.7</v>
      </c>
    </row>
    <row r="11">
      <c r="A11" t="n">
        <v>10</v>
      </c>
      <c r="B11" t="n">
        <v>2013</v>
      </c>
      <c r="C11" t="inlineStr">
        <is>
          <t>Olivia Ma</t>
        </is>
      </c>
      <c r="D11">
        <f>HYPERLINK("https://ota.tournamentsoftware.com/player-profile/8DB93BEF-9FF1-4A58-A4CC-C5E09482F693", "Link")</f>
        <v/>
      </c>
      <c r="E11" s="3" t="n">
        <v>6278.529</v>
      </c>
      <c r="F11" s="4" t="n">
        <v>20</v>
      </c>
      <c r="G11" t="inlineStr">
        <is>
          <t>British Columbia</t>
        </is>
      </c>
      <c r="H11" t="inlineStr">
        <is>
          <t>Kamloops Tennis Centre</t>
        </is>
      </c>
      <c r="I11" t="n">
        <v>20.6</v>
      </c>
      <c r="J11" s="4" t="n">
        <v>240</v>
      </c>
      <c r="K11" t="inlineStr">
        <is>
          <t>161 / 79</t>
        </is>
      </c>
      <c r="L11" t="inlineStr">
        <is>
          <t>40 / 17</t>
        </is>
      </c>
      <c r="M11" s="5" t="n">
        <v>0.67</v>
      </c>
      <c r="N11" s="5" t="n">
        <v>0.7</v>
      </c>
    </row>
    <row r="12">
      <c r="A12" t="n">
        <v>11</v>
      </c>
      <c r="B12" t="n">
        <v>2012</v>
      </c>
      <c r="C12" t="inlineStr">
        <is>
          <t>kendra zhang</t>
        </is>
      </c>
      <c r="D12">
        <f>HYPERLINK("https://ota.tournamentsoftware.com/player-profile/23508257-17E1-4A1F-A208-90A41A8C5BC8", "Link")</f>
        <v/>
      </c>
      <c r="E12" s="3" t="n">
        <v>6055.107</v>
      </c>
      <c r="F12" s="4" t="n">
        <v>15</v>
      </c>
      <c r="G12" t="inlineStr">
        <is>
          <t>Tennis Alberta</t>
        </is>
      </c>
      <c r="H12" t="inlineStr">
        <is>
          <t>Osten &amp; Victor Alberta Tennis Centre</t>
        </is>
      </c>
      <c r="I12" t="n">
        <v>20</v>
      </c>
      <c r="J12" s="4" t="n">
        <v>315</v>
      </c>
      <c r="K12" t="inlineStr">
        <is>
          <t>248 / 67</t>
        </is>
      </c>
      <c r="L12" t="inlineStr">
        <is>
          <t>39 / 5</t>
        </is>
      </c>
      <c r="M12" s="5" t="n">
        <v>0.79</v>
      </c>
      <c r="N12" s="5" t="n">
        <v>0.89</v>
      </c>
    </row>
    <row r="13">
      <c r="A13" t="n">
        <v>12</v>
      </c>
      <c r="B13" t="n">
        <v>2013</v>
      </c>
      <c r="C13" t="inlineStr">
        <is>
          <t>Paris Radovic</t>
        </is>
      </c>
      <c r="D13">
        <f>HYPERLINK("https://ota.tournamentsoftware.com/player-profile/F1F29E41-D080-473C-93A3-FEF9F1122EE3", "Link")</f>
        <v/>
      </c>
      <c r="E13" s="3" t="n">
        <v>6019.129</v>
      </c>
      <c r="F13" s="4" t="n">
        <v>17</v>
      </c>
      <c r="G13" t="inlineStr">
        <is>
          <t>Ontario Tennis Association</t>
        </is>
      </c>
      <c r="H13" t="inlineStr">
        <is>
          <t>Advantage Tennis International at Veneto</t>
        </is>
      </c>
      <c r="I13" t="n">
        <v>20.7</v>
      </c>
      <c r="J13" s="4" t="n">
        <v>290</v>
      </c>
      <c r="K13" t="inlineStr">
        <is>
          <t>188 / 102</t>
        </is>
      </c>
      <c r="L13" t="inlineStr">
        <is>
          <t>32 / 12</t>
        </is>
      </c>
      <c r="M13" s="5" t="n">
        <v>0.65</v>
      </c>
      <c r="N13" s="5" t="n">
        <v>0.73</v>
      </c>
    </row>
    <row r="14">
      <c r="A14" t="n">
        <v>13</v>
      </c>
      <c r="B14" t="n">
        <v>2013</v>
      </c>
      <c r="C14" t="inlineStr">
        <is>
          <t>Urvi Singh</t>
        </is>
      </c>
      <c r="D14">
        <f>HYPERLINK("https://ota.tournamentsoftware.com/player-profile/20590827-22F8-402F-BC87-449928EE4236", "Link")</f>
        <v/>
      </c>
      <c r="E14" s="3" t="n">
        <v>5765.184</v>
      </c>
      <c r="F14" s="4" t="n">
        <v>17</v>
      </c>
      <c r="G14" t="inlineStr">
        <is>
          <t>Ontario Tennis Association</t>
        </is>
      </c>
      <c r="H14" t="inlineStr">
        <is>
          <t>Guildwood Tennis Club</t>
        </is>
      </c>
      <c r="I14" t="n">
        <v>20.2</v>
      </c>
      <c r="J14" s="4" t="n">
        <v>257</v>
      </c>
      <c r="K14" t="inlineStr">
        <is>
          <t>160 / 97</t>
        </is>
      </c>
      <c r="L14" t="inlineStr">
        <is>
          <t>32 / 15</t>
        </is>
      </c>
      <c r="M14" s="5" t="n">
        <v>0.62</v>
      </c>
      <c r="N14" s="5" t="n">
        <v>0.68</v>
      </c>
    </row>
    <row r="15">
      <c r="A15" t="n">
        <v>14</v>
      </c>
      <c r="B15" t="n">
        <v>2012</v>
      </c>
      <c r="C15" t="inlineStr">
        <is>
          <t>Angelica Panzieri</t>
        </is>
      </c>
      <c r="D15">
        <f>HYPERLINK("https://ota.tournamentsoftware.com/player-profile/E0ECCDC8-BEA7-4546-BAF7-5DF193FA2378", "Link")</f>
        <v/>
      </c>
      <c r="E15" s="3" t="n">
        <v>5079.44</v>
      </c>
      <c r="F15" s="4" t="n">
        <v>22</v>
      </c>
      <c r="G15" t="inlineStr">
        <is>
          <t>British Columbia</t>
        </is>
      </c>
      <c r="H15" t="inlineStr">
        <is>
          <t>North Vancouver Tennis Centre</t>
        </is>
      </c>
      <c r="I15" t="n">
        <v>21.9</v>
      </c>
      <c r="J15" s="4" t="n">
        <v>352</v>
      </c>
      <c r="K15" t="inlineStr">
        <is>
          <t>202 / 150</t>
        </is>
      </c>
      <c r="L15" t="inlineStr">
        <is>
          <t>45 / 23</t>
        </is>
      </c>
      <c r="M15" s="5" t="n">
        <v>0.57</v>
      </c>
      <c r="N15" s="5" t="n">
        <v>0.66</v>
      </c>
    </row>
    <row r="16">
      <c r="A16" t="n">
        <v>15</v>
      </c>
      <c r="B16" t="n">
        <v>2012</v>
      </c>
      <c r="C16" t="inlineStr">
        <is>
          <t>Amelia Mishelle Simutin</t>
        </is>
      </c>
      <c r="D16">
        <f>HYPERLINK("https://ota.tournamentsoftware.com/player-profile/35C4C9E4-BC47-4EAA-A89B-06AB12C19B49", "Link")</f>
        <v/>
      </c>
      <c r="E16" s="3" t="n">
        <v>4877.64</v>
      </c>
      <c r="F16" s="4" t="n">
        <v>22</v>
      </c>
      <c r="G16" t="inlineStr">
        <is>
          <t>Ontario Tennis Association</t>
        </is>
      </c>
      <c r="H16" t="inlineStr">
        <is>
          <t>North Toronto Tennis Club</t>
        </is>
      </c>
      <c r="I16" t="n">
        <v>20.6</v>
      </c>
      <c r="J16" s="4" t="n">
        <v>306</v>
      </c>
      <c r="K16" t="inlineStr">
        <is>
          <t>209 / 97</t>
        </is>
      </c>
      <c r="L16" t="inlineStr">
        <is>
          <t>37 / 22</t>
        </is>
      </c>
      <c r="M16" s="5" t="n">
        <v>0.68</v>
      </c>
      <c r="N16" s="5" t="n">
        <v>0.63</v>
      </c>
    </row>
    <row r="17">
      <c r="A17" t="n">
        <v>16</v>
      </c>
      <c r="B17" t="n">
        <v>2014</v>
      </c>
      <c r="C17" t="inlineStr">
        <is>
          <t>Zoe Mao</t>
        </is>
      </c>
      <c r="D17">
        <f>HYPERLINK("https://ota.tournamentsoftware.com/player-profile/9C661BB4-74A2-44E0-A97C-93470EF4AE2B", "Link")</f>
        <v/>
      </c>
      <c r="E17" s="3" t="n">
        <v>4747.12</v>
      </c>
      <c r="F17" s="4" t="n">
        <v>22</v>
      </c>
      <c r="G17" t="inlineStr">
        <is>
          <t>Tennis Alberta</t>
        </is>
      </c>
      <c r="H17" t="inlineStr">
        <is>
          <t>No Club</t>
        </is>
      </c>
      <c r="I17" t="n">
        <v>23.8</v>
      </c>
      <c r="J17" s="4" t="n">
        <v>217</v>
      </c>
      <c r="K17" t="inlineStr">
        <is>
          <t>150 / 67</t>
        </is>
      </c>
      <c r="L17" t="inlineStr">
        <is>
          <t>67 / 13</t>
        </is>
      </c>
      <c r="M17" s="5" t="n">
        <v>0.6899999999999999</v>
      </c>
      <c r="N17" s="5" t="n">
        <v>0.84</v>
      </c>
    </row>
    <row r="18">
      <c r="A18" t="n">
        <v>17</v>
      </c>
      <c r="B18" t="n">
        <v>2013</v>
      </c>
      <c r="C18" t="inlineStr">
        <is>
          <t>Charlotte MacDonald</t>
        </is>
      </c>
      <c r="D18">
        <f>HYPERLINK("https://ota.tournamentsoftware.com/player-profile/C865FA15-1CF7-4628-A8F7-6AB8ED124599", "Link")</f>
        <v/>
      </c>
      <c r="E18" s="3" t="n">
        <v>4676.541</v>
      </c>
      <c r="F18" s="4" t="n">
        <v>19</v>
      </c>
      <c r="G18" t="inlineStr">
        <is>
          <t>Ontario Tennis Association</t>
        </is>
      </c>
      <c r="H18" t="inlineStr">
        <is>
          <t>10XTO</t>
        </is>
      </c>
      <c r="I18" t="n">
        <v>22.1</v>
      </c>
      <c r="J18" s="4" t="n">
        <v>342</v>
      </c>
      <c r="K18" t="inlineStr">
        <is>
          <t>236 / 106</t>
        </is>
      </c>
      <c r="L18" t="inlineStr">
        <is>
          <t>44 / 22</t>
        </is>
      </c>
      <c r="M18" s="5" t="n">
        <v>0.6899999999999999</v>
      </c>
      <c r="N18" s="5" t="n">
        <v>0.67</v>
      </c>
    </row>
    <row r="19">
      <c r="A19" t="n">
        <v>18</v>
      </c>
      <c r="B19" t="n">
        <v>2012</v>
      </c>
      <c r="C19" t="inlineStr">
        <is>
          <t>Elise Chen</t>
        </is>
      </c>
      <c r="D19">
        <f>HYPERLINK("https://ota.tournamentsoftware.com/player-profile/8E8A2CD5-37E0-4690-A780-846D1895BB0A", "Link")</f>
        <v/>
      </c>
      <c r="E19" s="3" t="n">
        <v>4625.573</v>
      </c>
      <c r="F19" s="4" t="n">
        <v>16</v>
      </c>
      <c r="G19" t="inlineStr">
        <is>
          <t>Tennis Québec</t>
        </is>
      </c>
      <c r="H19" t="inlineStr">
        <is>
          <t>AA Autre club</t>
        </is>
      </c>
      <c r="I19" t="n">
        <v>21.8</v>
      </c>
      <c r="J19" s="4" t="n">
        <v>341</v>
      </c>
      <c r="K19" t="inlineStr">
        <is>
          <t>225 / 116</t>
        </is>
      </c>
      <c r="L19" t="inlineStr">
        <is>
          <t>44 / 14</t>
        </is>
      </c>
      <c r="M19" s="5" t="n">
        <v>0.66</v>
      </c>
      <c r="N19" s="5" t="n">
        <v>0.76</v>
      </c>
    </row>
    <row r="20">
      <c r="A20" t="n">
        <v>19</v>
      </c>
      <c r="B20" t="n">
        <v>2012</v>
      </c>
      <c r="C20" t="inlineStr">
        <is>
          <t>Clara Vicol</t>
        </is>
      </c>
      <c r="D20">
        <f>HYPERLINK("https://ota.tournamentsoftware.com/player-profile/A71836FF-9A71-48AD-96B3-DD39B38970B6", "Link")</f>
        <v/>
      </c>
      <c r="E20" s="3" t="n">
        <v>4462.04</v>
      </c>
      <c r="F20" s="4" t="n">
        <v>12</v>
      </c>
      <c r="G20" t="inlineStr">
        <is>
          <t>British Columbia</t>
        </is>
      </c>
      <c r="H20" t="inlineStr">
        <is>
          <t>Jericho Tennis Club</t>
        </is>
      </c>
      <c r="I20" t="n">
        <v>21.2</v>
      </c>
      <c r="J20" s="4" t="n">
        <v>402</v>
      </c>
      <c r="K20" t="inlineStr">
        <is>
          <t>248 / 154</t>
        </is>
      </c>
      <c r="L20" t="inlineStr">
        <is>
          <t>16 / 6</t>
        </is>
      </c>
      <c r="M20" s="5" t="n">
        <v>0.62</v>
      </c>
      <c r="N20" s="5" t="n">
        <v>0.73</v>
      </c>
    </row>
    <row r="21">
      <c r="A21" t="n">
        <v>20</v>
      </c>
      <c r="B21" t="n">
        <v>2013</v>
      </c>
      <c r="C21" t="inlineStr">
        <is>
          <t>Bishop Yonna Grossutti</t>
        </is>
      </c>
      <c r="D21">
        <f>HYPERLINK("https://ota.tournamentsoftware.com/player-profile/3FE8248C-2DBE-46EB-8C24-0AC82A0EC942", "Link")</f>
        <v/>
      </c>
      <c r="E21" s="3" t="n">
        <v>4190.901</v>
      </c>
      <c r="F21" s="4" t="n">
        <v>12</v>
      </c>
      <c r="G21" t="inlineStr">
        <is>
          <t>British Columbia</t>
        </is>
      </c>
      <c r="H21" t="inlineStr">
        <is>
          <t>No Club</t>
        </is>
      </c>
      <c r="I21" t="n">
        <v>21.6</v>
      </c>
      <c r="J21" s="4" t="n">
        <v>221</v>
      </c>
      <c r="K21" t="inlineStr">
        <is>
          <t>149 / 72</t>
        </is>
      </c>
      <c r="L21" t="inlineStr">
        <is>
          <t>39 / 14</t>
        </is>
      </c>
      <c r="M21" s="5" t="n">
        <v>0.67</v>
      </c>
      <c r="N21" s="5" t="n">
        <v>0.74</v>
      </c>
    </row>
    <row r="22">
      <c r="A22" t="n">
        <v>21</v>
      </c>
      <c r="B22" t="n">
        <v>2012</v>
      </c>
      <c r="C22" t="inlineStr">
        <is>
          <t>Olivia Laberge</t>
        </is>
      </c>
      <c r="D22">
        <f>HYPERLINK("https://ota.tournamentsoftware.com/player-profile/A7EF36D6-49FF-4272-A982-22FEC5F0ECCD", "Link")</f>
        <v/>
      </c>
      <c r="E22" s="3" t="n">
        <v>4084.733</v>
      </c>
      <c r="F22" s="4" t="n">
        <v>20</v>
      </c>
      <c r="G22" t="inlineStr">
        <is>
          <t>Tennis Québec</t>
        </is>
      </c>
      <c r="H22" t="inlineStr">
        <is>
          <t>Tennis 13</t>
        </is>
      </c>
      <c r="I22" t="n">
        <v>21.8</v>
      </c>
      <c r="J22" s="4" t="n">
        <v>310</v>
      </c>
      <c r="K22" t="inlineStr">
        <is>
          <t>195 / 115</t>
        </is>
      </c>
      <c r="L22" t="inlineStr">
        <is>
          <t>51 / 22</t>
        </is>
      </c>
      <c r="M22" s="5" t="n">
        <v>0.63</v>
      </c>
      <c r="N22" s="5" t="n">
        <v>0.7</v>
      </c>
    </row>
    <row r="23">
      <c r="A23" t="n">
        <v>22</v>
      </c>
      <c r="B23" t="n">
        <v>2012</v>
      </c>
      <c r="C23" t="inlineStr">
        <is>
          <t>Emma Ciobanu</t>
        </is>
      </c>
      <c r="D23">
        <f>HYPERLINK("https://ota.tournamentsoftware.com/player-profile/3FF64A25-D930-4C5E-8E36-3F04D7602157", "Link")</f>
        <v/>
      </c>
      <c r="E23" s="3" t="n">
        <v>4015.186</v>
      </c>
      <c r="F23" s="4" t="n">
        <v>17</v>
      </c>
      <c r="G23" t="inlineStr">
        <is>
          <t>Tennis Québec</t>
        </is>
      </c>
      <c r="H23" t="inlineStr">
        <is>
          <t>No Club</t>
        </is>
      </c>
      <c r="I23" t="n">
        <v>22.3</v>
      </c>
      <c r="J23" s="4" t="n">
        <v>445</v>
      </c>
      <c r="K23" t="inlineStr">
        <is>
          <t>254 / 191</t>
        </is>
      </c>
      <c r="L23" t="inlineStr">
        <is>
          <t>12 / 9</t>
        </is>
      </c>
      <c r="M23" s="5" t="n">
        <v>0.57</v>
      </c>
      <c r="N23" s="5" t="n">
        <v>0.57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Tennis BC Hub @ Richmond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13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21.5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15</v>
      </c>
      <c r="G26" t="inlineStr">
        <is>
          <t>Tennis Québec</t>
        </is>
      </c>
      <c r="H26" t="inlineStr">
        <is>
          <t>Tennis Ile- des- Soeurs</t>
        </is>
      </c>
      <c r="I26" t="n">
        <v>22</v>
      </c>
      <c r="J26" s="4" t="n">
        <v>265</v>
      </c>
      <c r="K26" t="inlineStr">
        <is>
          <t>178 / 87</t>
        </is>
      </c>
      <c r="L26" t="inlineStr">
        <is>
          <t>42 / 16</t>
        </is>
      </c>
      <c r="M26" s="5" t="n">
        <v>0.67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11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Victoria Cui</t>
        </is>
      </c>
      <c r="D28">
        <f>HYPERLINK("https://ota.tournamentsoftware.com/player-profile/0645977B-E01D-437B-A80F-04D3BC7B5871", "Link")</f>
        <v/>
      </c>
      <c r="E28" s="3" t="n">
        <v>3377.16</v>
      </c>
      <c r="F28" s="4" t="n">
        <v>22</v>
      </c>
      <c r="G28" t="inlineStr">
        <is>
          <t>Ontario Tennis Association</t>
        </is>
      </c>
      <c r="H28" t="inlineStr">
        <is>
          <t>Mayfair East Racquet Club</t>
        </is>
      </c>
      <c r="I28" t="n">
        <v>23.5</v>
      </c>
      <c r="J28" s="4" t="n">
        <v>248</v>
      </c>
      <c r="K28" t="inlineStr">
        <is>
          <t>158 / 90</t>
        </is>
      </c>
      <c r="L28" t="inlineStr">
        <is>
          <t>30 / 17</t>
        </is>
      </c>
      <c r="M28" s="5" t="n">
        <v>0.64</v>
      </c>
      <c r="N28" s="5" t="n">
        <v>0.64</v>
      </c>
    </row>
    <row r="29">
      <c r="A29" t="n">
        <v>28</v>
      </c>
      <c r="B29" t="n">
        <v>2013</v>
      </c>
      <c r="C29" t="inlineStr">
        <is>
          <t>Vera Wing</t>
        </is>
      </c>
      <c r="D29">
        <f>HYPERLINK("https://ota.tournamentsoftware.com/player-profile/9436679B-ADF6-41C9-A343-AB5B05F342AE", "Link")</f>
        <v/>
      </c>
      <c r="E29" s="3" t="n">
        <v>3359.944</v>
      </c>
      <c r="F29" s="4" t="n">
        <v>19</v>
      </c>
      <c r="G29" t="inlineStr">
        <is>
          <t>Tennis Alberta</t>
        </is>
      </c>
      <c r="H29" t="inlineStr">
        <is>
          <t>Aforza</t>
        </is>
      </c>
      <c r="I29" t="n">
        <v>22.2</v>
      </c>
      <c r="J29" s="4" t="n">
        <v>347</v>
      </c>
      <c r="K29" t="inlineStr">
        <is>
          <t>219 / 128</t>
        </is>
      </c>
      <c r="L29" t="inlineStr">
        <is>
          <t>40 / 21</t>
        </is>
      </c>
      <c r="M29" s="5" t="n">
        <v>0.63</v>
      </c>
      <c r="N29" s="5" t="n">
        <v>0.66</v>
      </c>
    </row>
    <row r="30">
      <c r="A30" t="n">
        <v>29</v>
      </c>
      <c r="B30" t="n">
        <v>2012</v>
      </c>
      <c r="C30" t="inlineStr">
        <is>
          <t>Joni Faye Colburne</t>
        </is>
      </c>
      <c r="D30">
        <f>HYPERLINK("https://ota.tournamentsoftware.com/player-profile/497EB335-7B19-4354-A8BD-7D257EE2CBEF", "Link")</f>
        <v/>
      </c>
      <c r="E30" s="3" t="n">
        <v>3356.812</v>
      </c>
      <c r="F30" s="4" t="n">
        <v>10</v>
      </c>
      <c r="G30" t="inlineStr">
        <is>
          <t>Tennis Québec</t>
        </is>
      </c>
      <c r="H30" t="inlineStr">
        <is>
          <t>Stade IGA</t>
        </is>
      </c>
      <c r="I30" t="n">
        <v>22.6</v>
      </c>
      <c r="J30" s="4" t="n">
        <v>320</v>
      </c>
      <c r="K30" t="inlineStr">
        <is>
          <t>198 / 122</t>
        </is>
      </c>
      <c r="L30" t="inlineStr">
        <is>
          <t>4 / 1</t>
        </is>
      </c>
      <c r="M30" s="5" t="n">
        <v>0.62</v>
      </c>
      <c r="N30" s="5" t="n">
        <v>0.8</v>
      </c>
    </row>
    <row r="31">
      <c r="A31" t="n">
        <v>30</v>
      </c>
      <c r="B31" t="n">
        <v>2012</v>
      </c>
      <c r="C31" t="inlineStr">
        <is>
          <t>Ariel Desbiens</t>
        </is>
      </c>
      <c r="D31">
        <f>HYPERLINK("https://ota.tournamentsoftware.com/player-profile/7381CFF5-5BA3-457C-9F6C-499D0F36D2DD", "Link")</f>
        <v/>
      </c>
      <c r="E31" s="3" t="n">
        <v>3288</v>
      </c>
      <c r="F31" s="4" t="n">
        <v>27</v>
      </c>
      <c r="G31" t="inlineStr">
        <is>
          <t>Tennis Québec</t>
        </is>
      </c>
      <c r="H31" t="inlineStr">
        <is>
          <t>SANI Sport</t>
        </is>
      </c>
      <c r="I31" t="n">
        <v>23.3</v>
      </c>
      <c r="J31" s="4" t="n">
        <v>383</v>
      </c>
      <c r="K31" t="inlineStr">
        <is>
          <t>237 / 146</t>
        </is>
      </c>
      <c r="L31" t="inlineStr">
        <is>
          <t>46 / 27</t>
        </is>
      </c>
      <c r="M31" s="5" t="n">
        <v>0.62</v>
      </c>
      <c r="N31" s="5" t="n">
        <v>0.63</v>
      </c>
    </row>
    <row r="32">
      <c r="A32" t="n">
        <v>31</v>
      </c>
      <c r="B32" t="n">
        <v>2012</v>
      </c>
      <c r="C32" t="inlineStr">
        <is>
          <t>Hailey MacDonald</t>
        </is>
      </c>
      <c r="D32">
        <f>HYPERLINK("https://ota.tournamentsoftware.com/player-profile/7B752A16-6837-4A5A-AFD8-83F950F37834", "Link")</f>
        <v/>
      </c>
      <c r="E32" s="3" t="n">
        <v>2880.484</v>
      </c>
      <c r="F32" s="4" t="n">
        <v>15</v>
      </c>
      <c r="G32" t="inlineStr">
        <is>
          <t>Ontario Tennis Association</t>
        </is>
      </c>
      <c r="H32" t="inlineStr">
        <is>
          <t>Advantage Tennis International at Veneto</t>
        </is>
      </c>
      <c r="I32" t="n">
        <v>24.5</v>
      </c>
      <c r="J32" s="4" t="n">
        <v>325</v>
      </c>
      <c r="K32" t="inlineStr">
        <is>
          <t>221 / 104</t>
        </is>
      </c>
      <c r="L32" t="inlineStr">
        <is>
          <t>19 / 9</t>
        </is>
      </c>
      <c r="M32" s="5" t="n">
        <v>0.68</v>
      </c>
      <c r="N32" s="5" t="n">
        <v>0.68</v>
      </c>
    </row>
    <row r="33">
      <c r="A33" t="n">
        <v>32</v>
      </c>
      <c r="B33" t="n">
        <v>2012</v>
      </c>
      <c r="C33" t="inlineStr">
        <is>
          <t>Sophie Rachel Murray</t>
        </is>
      </c>
      <c r="D33">
        <f>HYPERLINK("https://ota.tournamentsoftware.com/player-profile/ADAA4094-7084-435C-80A6-9DA79EB19D3F", "Link")</f>
        <v/>
      </c>
      <c r="E33" s="3" t="n">
        <v>2878.56</v>
      </c>
      <c r="F33" s="4" t="n">
        <v>16</v>
      </c>
      <c r="G33" t="inlineStr">
        <is>
          <t>Tennis Alberta</t>
        </is>
      </c>
      <c r="H33" t="inlineStr">
        <is>
          <t>Osten &amp; Victor Alberta Tennis Centre</t>
        </is>
      </c>
      <c r="I33" t="n">
        <v>22.2</v>
      </c>
      <c r="J33" s="4" t="n">
        <v>322</v>
      </c>
      <c r="K33" t="inlineStr">
        <is>
          <t>194 / 128</t>
        </is>
      </c>
      <c r="L33" t="inlineStr">
        <is>
          <t>20 / 6</t>
        </is>
      </c>
      <c r="M33" s="5" t="n">
        <v>0.6</v>
      </c>
      <c r="N33" s="5" t="n">
        <v>0.77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2675.936</v>
      </c>
      <c r="F34" s="4" t="n">
        <v>22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24.2</v>
      </c>
      <c r="J34" s="4" t="n">
        <v>256</v>
      </c>
      <c r="K34" t="inlineStr">
        <is>
          <t>141 / 115</t>
        </is>
      </c>
      <c r="L34" t="inlineStr">
        <is>
          <t>40 / 27</t>
        </is>
      </c>
      <c r="M34" s="5" t="n">
        <v>0.55</v>
      </c>
      <c r="N34" s="5" t="n">
        <v>0.6</v>
      </c>
    </row>
    <row r="35">
      <c r="A35" t="n">
        <v>34</v>
      </c>
      <c r="B35" t="n">
        <v>2012</v>
      </c>
      <c r="C35" t="inlineStr">
        <is>
          <t>Misaki Rukovanjski</t>
        </is>
      </c>
      <c r="D35">
        <f>HYPERLINK("https://ota.tournamentsoftware.com/player-profile/CECDBF80-C74F-40ED-B426-04CA75BF14C1", "Link")</f>
        <v/>
      </c>
      <c r="E35" s="3" t="n">
        <v>2485.998</v>
      </c>
      <c r="F35" s="4" t="n">
        <v>24</v>
      </c>
      <c r="G35" t="inlineStr">
        <is>
          <t>Ontario Tennis Association</t>
        </is>
      </c>
      <c r="H35" t="inlineStr">
        <is>
          <t>No Club</t>
        </is>
      </c>
      <c r="I35" t="n">
        <v>25.4</v>
      </c>
      <c r="J35" s="4" t="n">
        <v>269</v>
      </c>
      <c r="K35" t="inlineStr">
        <is>
          <t>170 / 99</t>
        </is>
      </c>
      <c r="L35" t="inlineStr">
        <is>
          <t>26 / 19</t>
        </is>
      </c>
      <c r="M35" s="5" t="n">
        <v>0.63</v>
      </c>
      <c r="N35" s="5" t="n">
        <v>0.58</v>
      </c>
    </row>
    <row r="36">
      <c r="A36" t="n">
        <v>35</v>
      </c>
      <c r="B36" t="n">
        <v>2013</v>
      </c>
      <c r="C36" t="inlineStr">
        <is>
          <t>Valesca Calabrese</t>
        </is>
      </c>
      <c r="D36">
        <f>HYPERLINK("https://ota.tournamentsoftware.com/player-profile/B0833DD4-B006-4DA5-A204-F5A1B4F3FABB", "Link")</f>
        <v/>
      </c>
      <c r="E36" s="3" t="n">
        <v>2468.42</v>
      </c>
      <c r="F36" s="4" t="n">
        <v>22</v>
      </c>
      <c r="G36" t="inlineStr">
        <is>
          <t>Ontario Tennis Association</t>
        </is>
      </c>
      <c r="H36" t="inlineStr">
        <is>
          <t>Kingston Racquet Centre</t>
        </is>
      </c>
      <c r="I36" t="n">
        <v>24.9</v>
      </c>
      <c r="J36" s="4" t="n">
        <v>261</v>
      </c>
      <c r="K36" t="inlineStr">
        <is>
          <t>174 / 87</t>
        </is>
      </c>
      <c r="L36" t="inlineStr">
        <is>
          <t>25 / 11</t>
        </is>
      </c>
      <c r="M36" s="5" t="n">
        <v>0.67</v>
      </c>
      <c r="N36" s="5" t="n">
        <v>0.6899999999999999</v>
      </c>
    </row>
    <row r="37">
      <c r="A37" t="n">
        <v>36</v>
      </c>
      <c r="B37" t="n">
        <v>2013</v>
      </c>
      <c r="C37" t="inlineStr">
        <is>
          <t>Janelle Mao</t>
        </is>
      </c>
      <c r="D37">
        <f>HYPERLINK("https://ota.tournamentsoftware.com/player-profile/25605052-7047-4B82-9C15-5D4C8CE7946D", "Link")</f>
        <v/>
      </c>
      <c r="E37" s="3" t="n">
        <v>2442.361</v>
      </c>
      <c r="F37" s="4" t="n">
        <v>14</v>
      </c>
      <c r="G37" t="inlineStr">
        <is>
          <t>Ontario Tennis Association</t>
        </is>
      </c>
      <c r="H37" t="inlineStr">
        <is>
          <t>London Hunt &amp; Country Club</t>
        </is>
      </c>
      <c r="I37" t="n">
        <v>24.4</v>
      </c>
      <c r="J37" s="4" t="n">
        <v>213</v>
      </c>
      <c r="K37" t="inlineStr">
        <is>
          <t>125 / 88</t>
        </is>
      </c>
      <c r="L37" t="inlineStr">
        <is>
          <t>20 / 20</t>
        </is>
      </c>
      <c r="M37" s="5" t="n">
        <v>0.59</v>
      </c>
      <c r="N37" s="5" t="n">
        <v>0.5</v>
      </c>
    </row>
    <row r="38">
      <c r="A38" t="n">
        <v>37</v>
      </c>
      <c r="B38" t="n">
        <v>2012</v>
      </c>
      <c r="C38" t="inlineStr">
        <is>
          <t>Daisy Okechukwu</t>
        </is>
      </c>
      <c r="D38">
        <f>HYPERLINK("https://ota.tournamentsoftware.com/player-profile/9909D668-CC24-45D1-AD61-DE790BE62029", "Link")</f>
        <v/>
      </c>
      <c r="E38" s="3" t="n">
        <v>2400</v>
      </c>
      <c r="F38" s="4" t="n">
        <v>12</v>
      </c>
      <c r="G38" t="inlineStr">
        <is>
          <t>Ontario Tennis Association</t>
        </is>
      </c>
      <c r="H38" t="inlineStr">
        <is>
          <t>Carleton Tennis Centre</t>
        </is>
      </c>
      <c r="I38" t="n">
        <v>26.8</v>
      </c>
      <c r="J38" s="4" t="n">
        <v>129</v>
      </c>
      <c r="K38" t="inlineStr">
        <is>
          <t>36 / 93</t>
        </is>
      </c>
      <c r="L38" t="inlineStr">
        <is>
          <t>0 / 0</t>
        </is>
      </c>
      <c r="M38" s="5" t="n">
        <v>0.28</v>
      </c>
      <c r="N38" s="5" t="n">
        <v>0</v>
      </c>
    </row>
    <row r="39">
      <c r="A39" t="n">
        <v>38</v>
      </c>
      <c r="B39" t="n">
        <v>2012</v>
      </c>
      <c r="C39" t="inlineStr">
        <is>
          <t>scarlett Ai</t>
        </is>
      </c>
      <c r="D39">
        <f>HYPERLINK("https://ota.tournamentsoftware.com/player-profile/99B381B6-120A-4EAE-A001-756292C53927", "Link")</f>
        <v/>
      </c>
      <c r="E39" s="3" t="n">
        <v>2328.047</v>
      </c>
      <c r="F39" s="4" t="n">
        <v>16</v>
      </c>
      <c r="G39" t="inlineStr">
        <is>
          <t>Ontario Tennis Association</t>
        </is>
      </c>
      <c r="H39" t="inlineStr">
        <is>
          <t>Toronto Tennis Academy</t>
        </is>
      </c>
      <c r="I39" t="n">
        <v>25.2</v>
      </c>
      <c r="J39" s="4" t="n">
        <v>221</v>
      </c>
      <c r="K39" t="inlineStr">
        <is>
          <t>120 / 101</t>
        </is>
      </c>
      <c r="L39" t="inlineStr">
        <is>
          <t>23 / 16</t>
        </is>
      </c>
      <c r="M39" s="5" t="n">
        <v>0.54</v>
      </c>
      <c r="N39" s="5" t="n">
        <v>0.59</v>
      </c>
    </row>
    <row r="40">
      <c r="A40" t="n">
        <v>39</v>
      </c>
      <c r="B40" t="n">
        <v>2014</v>
      </c>
      <c r="C40" t="inlineStr">
        <is>
          <t>Adelina Tanashikova</t>
        </is>
      </c>
      <c r="D40">
        <f>HYPERLINK("https://ota.tournamentsoftware.com/player-profile/AD7F41D2-B208-4518-963D-851BBA4276F4", "Link")</f>
        <v/>
      </c>
      <c r="E40" s="3" t="n">
        <v>2209.809</v>
      </c>
      <c r="F40" s="4" t="n">
        <v>15</v>
      </c>
      <c r="G40" t="inlineStr">
        <is>
          <t>Ontario Tennis Association</t>
        </is>
      </c>
      <c r="H40" t="inlineStr">
        <is>
          <t>No Club</t>
        </is>
      </c>
      <c r="I40" t="n">
        <v>24.4</v>
      </c>
      <c r="J40" s="4" t="n">
        <v>269</v>
      </c>
      <c r="K40" t="inlineStr">
        <is>
          <t>145 / 124</t>
        </is>
      </c>
      <c r="L40" t="inlineStr">
        <is>
          <t>28 / 7</t>
        </is>
      </c>
      <c r="M40" s="5" t="n">
        <v>0.54</v>
      </c>
      <c r="N40" s="5" t="n">
        <v>0.8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2169.55</v>
      </c>
      <c r="F41" s="4" t="n">
        <v>23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22.5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2014</v>
      </c>
      <c r="C42" t="inlineStr">
        <is>
          <t>SOPHIA JIAJIA DENG</t>
        </is>
      </c>
      <c r="D42">
        <f>HYPERLINK("https://ota.tournamentsoftware.com/player-profile/FE6DD2AD-9E29-4128-BE09-D1E88B84D2C8", "Link")</f>
        <v/>
      </c>
      <c r="E42" s="3" t="n">
        <v>2125.702</v>
      </c>
      <c r="F42" s="4" t="n">
        <v>18</v>
      </c>
      <c r="G42" t="inlineStr">
        <is>
          <t>Ontario Tennis Association</t>
        </is>
      </c>
      <c r="H42" t="inlineStr">
        <is>
          <t>Mayfair West Fitness &amp; Racquet Club</t>
        </is>
      </c>
      <c r="I42" t="n">
        <v>25.1</v>
      </c>
      <c r="J42" s="4" t="n">
        <v>184</v>
      </c>
      <c r="K42" t="inlineStr">
        <is>
          <t>136 / 48</t>
        </is>
      </c>
      <c r="L42" t="inlineStr">
        <is>
          <t>36 / 14</t>
        </is>
      </c>
      <c r="M42" s="5" t="n">
        <v>0.74</v>
      </c>
      <c r="N42" s="5" t="n">
        <v>0.72</v>
      </c>
    </row>
    <row r="43">
      <c r="A43" t="n">
        <v>42</v>
      </c>
      <c r="B43" t="n">
        <v>2014</v>
      </c>
      <c r="C43" t="inlineStr">
        <is>
          <t>Fiona Huang</t>
        </is>
      </c>
      <c r="D43">
        <f>HYPERLINK("https://ota.tournamentsoftware.com/player-profile/701ADA13-714A-48E5-B54F-4DB9E25DBDB3", "Link")</f>
        <v/>
      </c>
      <c r="E43" s="3" t="n">
        <v>2111.25</v>
      </c>
      <c r="F43" s="4" t="n">
        <v>15</v>
      </c>
      <c r="G43" t="inlineStr">
        <is>
          <t>British Columbia</t>
        </is>
      </c>
      <c r="H43" t="inlineStr">
        <is>
          <t>No Club</t>
        </is>
      </c>
      <c r="I43" t="n">
        <v>25.2</v>
      </c>
      <c r="J43" s="4" t="n">
        <v>223</v>
      </c>
      <c r="K43" t="inlineStr">
        <is>
          <t>142 / 81</t>
        </is>
      </c>
      <c r="L43" t="inlineStr">
        <is>
          <t>34 / 14</t>
        </is>
      </c>
      <c r="M43" s="5" t="n">
        <v>0.64</v>
      </c>
      <c r="N43" s="5" t="n">
        <v>0.71</v>
      </c>
    </row>
    <row r="44">
      <c r="A44" t="n">
        <v>43</v>
      </c>
      <c r="B44" t="n">
        <v>2013</v>
      </c>
      <c r="C44" t="inlineStr">
        <is>
          <t>YASMINE SOUISSI</t>
        </is>
      </c>
      <c r="D44">
        <f>HYPERLINK("https://ota.tournamentsoftware.com/player-profile/1B8E66F9-8E72-48A5-A280-1ADD14488B21", "Link")</f>
        <v/>
      </c>
      <c r="E44" s="3" t="n">
        <v>2022.814</v>
      </c>
      <c r="F44" s="4" t="n">
        <v>9</v>
      </c>
      <c r="G44" t="inlineStr">
        <is>
          <t>Tennis Québec</t>
        </is>
      </c>
      <c r="H44" t="inlineStr">
        <is>
          <t>Tennis 13</t>
        </is>
      </c>
      <c r="I44" t="n">
        <v>23.1</v>
      </c>
      <c r="J44" s="4" t="n">
        <v>248</v>
      </c>
      <c r="K44" t="inlineStr">
        <is>
          <t>167 / 81</t>
        </is>
      </c>
      <c r="L44" t="inlineStr">
        <is>
          <t>24 / 13</t>
        </is>
      </c>
      <c r="M44" s="5" t="n">
        <v>0.67</v>
      </c>
      <c r="N44" s="5" t="n">
        <v>0.65</v>
      </c>
    </row>
    <row r="45">
      <c r="A45" t="n">
        <v>44</v>
      </c>
      <c r="B45" t="n">
        <v>2014</v>
      </c>
      <c r="C45" t="inlineStr">
        <is>
          <t>Roseline Nana</t>
        </is>
      </c>
      <c r="D45">
        <f>HYPERLINK("https://ota.tournamentsoftware.com/player-profile/B0A425C4-2F23-4C29-8447-4FFBF9D90967", "Link")</f>
        <v/>
      </c>
      <c r="E45" s="3" t="n">
        <v>1993.2</v>
      </c>
      <c r="F45" s="4" t="n">
        <v>27</v>
      </c>
      <c r="G45" t="inlineStr">
        <is>
          <t>Tennis Québec</t>
        </is>
      </c>
      <c r="H45" t="inlineStr">
        <is>
          <t>Tennis Montréal Excellence</t>
        </is>
      </c>
      <c r="I45" t="n">
        <v>25</v>
      </c>
      <c r="J45" s="4" t="n">
        <v>193</v>
      </c>
      <c r="K45" t="inlineStr">
        <is>
          <t>137 / 56</t>
        </is>
      </c>
      <c r="L45" t="inlineStr">
        <is>
          <t>50 / 17</t>
        </is>
      </c>
      <c r="M45" s="5" t="n">
        <v>0.71</v>
      </c>
      <c r="N45" s="5" t="n">
        <v>0.75</v>
      </c>
    </row>
    <row r="46">
      <c r="A46" t="n">
        <v>45</v>
      </c>
      <c r="B46" t="n">
        <v>2014</v>
      </c>
      <c r="C46" t="inlineStr">
        <is>
          <t>Wilma Wai Bo Yue</t>
        </is>
      </c>
      <c r="D46">
        <f>HYPERLINK("https://ota.tournamentsoftware.com/player-profile/6CAEB488-574A-45E0-B597-01F96FA5C987", "Link")</f>
        <v/>
      </c>
      <c r="E46" s="3" t="n">
        <v>1945.112</v>
      </c>
      <c r="F46" s="4" t="n">
        <v>14</v>
      </c>
      <c r="G46" t="inlineStr">
        <is>
          <t>Ontario Tennis Association</t>
        </is>
      </c>
      <c r="H46" t="inlineStr">
        <is>
          <t>No Club</t>
        </is>
      </c>
      <c r="I46" t="n">
        <v>26.9</v>
      </c>
      <c r="J46" s="4" t="n">
        <v>207</v>
      </c>
      <c r="K46" t="inlineStr">
        <is>
          <t>149 / 58</t>
        </is>
      </c>
      <c r="L46" t="inlineStr">
        <is>
          <t>34 / 12</t>
        </is>
      </c>
      <c r="M46" s="5" t="n">
        <v>0.72</v>
      </c>
      <c r="N46" s="5" t="n">
        <v>0.74</v>
      </c>
    </row>
    <row r="47">
      <c r="A47" t="n">
        <v>46</v>
      </c>
      <c r="B47" t="n">
        <v>2012</v>
      </c>
      <c r="C47" t="inlineStr">
        <is>
          <t>Amaliia Bakumenko</t>
        </is>
      </c>
      <c r="D47">
        <f>HYPERLINK("https://ota.tournamentsoftware.com/player-profile/E789F167-880C-4307-840C-31D5E72C32F0", "Link")</f>
        <v/>
      </c>
      <c r="E47" s="3" t="n">
        <v>1923.936</v>
      </c>
      <c r="F47" s="4" t="n">
        <v>2</v>
      </c>
      <c r="G47" t="inlineStr">
        <is>
          <t>Tennis Québec</t>
        </is>
      </c>
      <c r="H47" t="inlineStr">
        <is>
          <t>Tennis 13 / Académie Ménard et associé</t>
        </is>
      </c>
      <c r="I47" t="n">
        <v>17.8</v>
      </c>
      <c r="J47" s="4" t="n">
        <v>81</v>
      </c>
      <c r="K47" t="inlineStr">
        <is>
          <t>60 / 21</t>
        </is>
      </c>
      <c r="L47" t="inlineStr">
        <is>
          <t>0 / 1</t>
        </is>
      </c>
      <c r="M47" s="5" t="n">
        <v>0.74</v>
      </c>
      <c r="N47" s="5" t="n">
        <v>0</v>
      </c>
    </row>
    <row r="48">
      <c r="A48" t="n">
        <v>47</v>
      </c>
      <c r="B48" t="n">
        <v>2013</v>
      </c>
      <c r="C48" t="inlineStr">
        <is>
          <t>Etooluwa Michelle Bammeke</t>
        </is>
      </c>
      <c r="D48">
        <f>HYPERLINK("https://ota.tournamentsoftware.com/player-profile/7C02D882-BDA0-4F5A-9586-AF17737417F7", "Link")</f>
        <v/>
      </c>
      <c r="E48" s="3" t="n">
        <v>1920</v>
      </c>
      <c r="F48" s="4" t="n">
        <v>28</v>
      </c>
      <c r="G48" t="inlineStr">
        <is>
          <t>Ontario Tennis Association</t>
        </is>
      </c>
      <c r="H48" t="inlineStr">
        <is>
          <t>Joshua Creek Golf &amp; Tennis</t>
        </is>
      </c>
      <c r="I48" t="n">
        <v>27.4</v>
      </c>
      <c r="J48" s="4" t="n">
        <v>268</v>
      </c>
      <c r="K48" t="inlineStr">
        <is>
          <t>166 / 102</t>
        </is>
      </c>
      <c r="L48" t="inlineStr">
        <is>
          <t>22 / 12</t>
        </is>
      </c>
      <c r="M48" s="5" t="n">
        <v>0.62</v>
      </c>
      <c r="N48" s="5" t="n">
        <v>0.65</v>
      </c>
    </row>
    <row r="49">
      <c r="A49" t="n">
        <v>48</v>
      </c>
      <c r="B49" t="n">
        <v>2012</v>
      </c>
      <c r="C49" t="inlineStr">
        <is>
          <t>Marilyn deBruin-Sawutz</t>
        </is>
      </c>
      <c r="D49">
        <f>HYPERLINK("https://ota.tournamentsoftware.com/player-profile/3DC26724-8571-4345-A75C-D904297288CB", "Link")</f>
        <v/>
      </c>
      <c r="E49" s="3" t="n">
        <v>1809.043</v>
      </c>
      <c r="F49" s="4" t="n">
        <v>24</v>
      </c>
      <c r="G49" t="inlineStr">
        <is>
          <t>Ontario Tennis Association</t>
        </is>
      </c>
      <c r="H49" t="inlineStr">
        <is>
          <t>Advantage Tennis International at Veneto</t>
        </is>
      </c>
      <c r="I49" t="n">
        <v>25</v>
      </c>
      <c r="J49" s="4" t="n">
        <v>288</v>
      </c>
      <c r="K49" t="inlineStr">
        <is>
          <t>149 / 139</t>
        </is>
      </c>
      <c r="L49" t="inlineStr">
        <is>
          <t>28 / 20</t>
        </is>
      </c>
      <c r="M49" s="5" t="n">
        <v>0.52</v>
      </c>
      <c r="N49" s="5" t="n">
        <v>0.58</v>
      </c>
    </row>
    <row r="50">
      <c r="A50" t="n">
        <v>49</v>
      </c>
      <c r="B50" t="n">
        <v>2012</v>
      </c>
      <c r="C50" t="inlineStr">
        <is>
          <t>Hannah Yiwei Wang</t>
        </is>
      </c>
      <c r="D50">
        <f>HYPERLINK("https://ota.tournamentsoftware.com/player-profile/CEB4A334-7BA1-4478-96B0-66580448520A", "Link")</f>
        <v/>
      </c>
      <c r="E50" s="3" t="n">
        <v>1798.023</v>
      </c>
      <c r="F50" s="4" t="n">
        <v>17</v>
      </c>
      <c r="G50" t="inlineStr">
        <is>
          <t>Ontario Tennis Association</t>
        </is>
      </c>
      <c r="H50" t="inlineStr">
        <is>
          <t>Richmondhill Golf &amp; Country Club</t>
        </is>
      </c>
      <c r="I50" t="n">
        <v>24.2</v>
      </c>
      <c r="J50" s="4" t="n">
        <v>172</v>
      </c>
      <c r="K50" t="inlineStr">
        <is>
          <t>90 / 82</t>
        </is>
      </c>
      <c r="L50" t="inlineStr">
        <is>
          <t>20 / 16</t>
        </is>
      </c>
      <c r="M50" s="5" t="n">
        <v>0.52</v>
      </c>
      <c r="N50" s="5" t="n">
        <v>0.5600000000000001</v>
      </c>
    </row>
    <row r="51">
      <c r="A51" t="n">
        <v>50</v>
      </c>
      <c r="B51" t="n">
        <v>2012</v>
      </c>
      <c r="C51" t="inlineStr">
        <is>
          <t>Daria Glinna</t>
        </is>
      </c>
      <c r="D51">
        <f>HYPERLINK("https://ota.tournamentsoftware.com/player-profile/75F31A41-BD9F-46AC-A064-06ECE54741E7", "Link")</f>
        <v/>
      </c>
      <c r="E51" s="3" t="n">
        <v>1760.552</v>
      </c>
      <c r="F51" s="4" t="n">
        <v>14</v>
      </c>
      <c r="G51" t="inlineStr">
        <is>
          <t>Ontario Tennis Association</t>
        </is>
      </c>
      <c r="H51" t="inlineStr">
        <is>
          <t>Premier Racquet Clubs – Mississauga</t>
        </is>
      </c>
      <c r="I51" t="n">
        <v>28.2</v>
      </c>
      <c r="J51" s="4" t="n">
        <v>158</v>
      </c>
      <c r="K51" t="inlineStr">
        <is>
          <t>59 / 99</t>
        </is>
      </c>
      <c r="L51" t="inlineStr">
        <is>
          <t>4 / 8</t>
        </is>
      </c>
      <c r="M51" s="5" t="n">
        <v>0.37</v>
      </c>
      <c r="N51" s="5" t="n">
        <v>0.33</v>
      </c>
    </row>
    <row r="52">
      <c r="A52" t="n">
        <v>51</v>
      </c>
      <c r="B52" t="n">
        <v>2012</v>
      </c>
      <c r="C52" t="inlineStr">
        <is>
          <t>Katelyn Pasula</t>
        </is>
      </c>
      <c r="D52">
        <f>HYPERLINK("https://ota.tournamentsoftware.com/player-profile/2F075CB1-8090-4588-823C-59BF58DDDA64", "Link")</f>
        <v/>
      </c>
      <c r="E52" s="3" t="n">
        <v>1747.487</v>
      </c>
      <c r="F52" s="4" t="n">
        <v>7</v>
      </c>
      <c r="G52" t="inlineStr">
        <is>
          <t>British Columbia</t>
        </is>
      </c>
      <c r="H52" t="inlineStr">
        <is>
          <t>BC NI No Club</t>
        </is>
      </c>
      <c r="I52" t="inlineStr">
        <is>
          <t>unavailable</t>
        </is>
      </c>
      <c r="J52" s="4" t="n">
        <v>35</v>
      </c>
      <c r="K52" t="inlineStr">
        <is>
          <t>21 / 14</t>
        </is>
      </c>
      <c r="L52" t="inlineStr">
        <is>
          <t>8 / 5</t>
        </is>
      </c>
      <c r="M52" s="5" t="n">
        <v>0.6</v>
      </c>
      <c r="N52" s="5" t="n">
        <v>0.62</v>
      </c>
    </row>
    <row r="53">
      <c r="A53" t="n">
        <v>52</v>
      </c>
      <c r="B53" t="n">
        <v>2013</v>
      </c>
      <c r="C53" t="inlineStr">
        <is>
          <t>Anvitha Mahadevaswamy</t>
        </is>
      </c>
      <c r="D53">
        <f>HYPERLINK("https://ota.tournamentsoftware.com/player-profile/09DB8B30-6DCB-4B0E-9241-CA7456F2AD6D", "Link")</f>
        <v/>
      </c>
      <c r="E53" s="3" t="n">
        <v>1726.55</v>
      </c>
      <c r="F53" s="4" t="n">
        <v>13</v>
      </c>
      <c r="G53" t="inlineStr">
        <is>
          <t>Tennis New Brunswick</t>
        </is>
      </c>
      <c r="H53" t="inlineStr">
        <is>
          <t>Abony Family Tennis Center</t>
        </is>
      </c>
      <c r="I53" t="n">
        <v>26.4</v>
      </c>
      <c r="J53" s="4" t="n">
        <v>240</v>
      </c>
      <c r="K53" t="inlineStr">
        <is>
          <t>140 / 100</t>
        </is>
      </c>
      <c r="L53" t="inlineStr">
        <is>
          <t>40 / 26</t>
        </is>
      </c>
      <c r="M53" s="5" t="n">
        <v>0.58</v>
      </c>
      <c r="N53" s="5" t="n">
        <v>0.61</v>
      </c>
    </row>
    <row r="54">
      <c r="A54" t="n">
        <v>53</v>
      </c>
      <c r="B54" t="n">
        <v>2013</v>
      </c>
      <c r="C54" t="inlineStr">
        <is>
          <t>Haeun (Emily) Jo</t>
        </is>
      </c>
      <c r="D54">
        <f>HYPERLINK("https://ota.tournamentsoftware.com/player-profile/BBD49A71-6CAE-4AC7-908B-9DB5263DA715", "Link")</f>
        <v/>
      </c>
      <c r="E54" s="3" t="n">
        <v>1714.8</v>
      </c>
      <c r="F54" s="4" t="n">
        <v>13</v>
      </c>
      <c r="G54" t="inlineStr">
        <is>
          <t>Tennis Nova Scotia</t>
        </is>
      </c>
      <c r="H54" t="inlineStr">
        <is>
          <t>Atlantic Tennis Centre</t>
        </is>
      </c>
      <c r="I54" t="n">
        <v>25.9</v>
      </c>
      <c r="J54" s="4" t="n">
        <v>287</v>
      </c>
      <c r="K54" t="inlineStr">
        <is>
          <t>192 / 95</t>
        </is>
      </c>
      <c r="L54" t="inlineStr">
        <is>
          <t>43 / 16</t>
        </is>
      </c>
      <c r="M54" s="5" t="n">
        <v>0.67</v>
      </c>
      <c r="N54" s="5" t="n">
        <v>0.73</v>
      </c>
    </row>
    <row r="55">
      <c r="A55" t="n">
        <v>54</v>
      </c>
      <c r="B55" t="n">
        <v>2014</v>
      </c>
      <c r="C55" t="inlineStr">
        <is>
          <t>Aleksandra Alymov</t>
        </is>
      </c>
      <c r="D55">
        <f>HYPERLINK("https://ota.tournamentsoftware.com/player-profile/3ED01243-78C8-4179-A634-27E1B1E8443A", "Link")</f>
        <v/>
      </c>
      <c r="E55" s="3" t="n">
        <v>1695.064</v>
      </c>
      <c r="F55" s="4" t="n">
        <v>12</v>
      </c>
      <c r="G55" t="inlineStr">
        <is>
          <t>Ontario Tennis Association</t>
        </is>
      </c>
      <c r="H55" t="inlineStr">
        <is>
          <t>Rexall Centre</t>
        </is>
      </c>
      <c r="I55" t="n">
        <v>25.8</v>
      </c>
      <c r="J55" s="4" t="n">
        <v>221</v>
      </c>
      <c r="K55" t="inlineStr">
        <is>
          <t>138 / 83</t>
        </is>
      </c>
      <c r="L55" t="inlineStr">
        <is>
          <t>37 / 14</t>
        </is>
      </c>
      <c r="M55" s="5" t="n">
        <v>0.62</v>
      </c>
      <c r="N55" s="5" t="n">
        <v>0.73</v>
      </c>
    </row>
    <row r="56">
      <c r="A56" t="n">
        <v>55</v>
      </c>
      <c r="B56" t="n">
        <v>2013</v>
      </c>
      <c r="C56" t="inlineStr">
        <is>
          <t>Aida Idrissi Serghini</t>
        </is>
      </c>
      <c r="D56">
        <f>HYPERLINK("https://ota.tournamentsoftware.com/player-profile/F5E49767-E427-41A0-B6F2-79E8AC4CB7AE", "Link")</f>
        <v/>
      </c>
      <c r="E56" s="3" t="n">
        <v>1685.396</v>
      </c>
      <c r="F56" s="4" t="n">
        <v>19</v>
      </c>
      <c r="G56" t="inlineStr">
        <is>
          <t>Tennis Québec</t>
        </is>
      </c>
      <c r="H56" t="inlineStr">
        <is>
          <t>Centre récréatif de Repentigny / Académie Tennis Momentum</t>
        </is>
      </c>
      <c r="I56" t="n">
        <v>25.6</v>
      </c>
      <c r="J56" s="4" t="n">
        <v>228</v>
      </c>
      <c r="K56" t="inlineStr">
        <is>
          <t>157 / 71</t>
        </is>
      </c>
      <c r="L56" t="inlineStr">
        <is>
          <t>31 / 18</t>
        </is>
      </c>
      <c r="M56" s="5" t="n">
        <v>0.6899999999999999</v>
      </c>
      <c r="N56" s="5" t="n">
        <v>0.63</v>
      </c>
    </row>
    <row r="57">
      <c r="A57" t="n">
        <v>56</v>
      </c>
      <c r="B57" t="n">
        <v>2014</v>
      </c>
      <c r="C57" t="inlineStr">
        <is>
          <t>Naomi Danyod</t>
        </is>
      </c>
      <c r="D57">
        <f>HYPERLINK("https://ota.tournamentsoftware.com/player-profile/2037E4D8-F8CE-4A2B-858E-7FBBA84F2BC7", "Link")</f>
        <v/>
      </c>
      <c r="E57" s="3" t="n">
        <v>1674.084</v>
      </c>
      <c r="F57" s="4" t="n">
        <v>17</v>
      </c>
      <c r="G57" t="inlineStr">
        <is>
          <t>Tennis Québec</t>
        </is>
      </c>
      <c r="H57" t="inlineStr">
        <is>
          <t>Rouge et Or - Université Laval</t>
        </is>
      </c>
      <c r="I57" t="n">
        <v>25.3</v>
      </c>
      <c r="J57" s="4" t="n">
        <v>164</v>
      </c>
      <c r="K57" t="inlineStr">
        <is>
          <t>105 / 59</t>
        </is>
      </c>
      <c r="L57" t="inlineStr">
        <is>
          <t>35 / 20</t>
        </is>
      </c>
      <c r="M57" s="5" t="n">
        <v>0.64</v>
      </c>
      <c r="N57" s="5" t="n">
        <v>0.64</v>
      </c>
    </row>
    <row r="58">
      <c r="A58" t="n">
        <v>57</v>
      </c>
      <c r="B58" t="n">
        <v>2013</v>
      </c>
      <c r="C58" t="inlineStr">
        <is>
          <t>Elena Rusic</t>
        </is>
      </c>
      <c r="D58">
        <f>HYPERLINK("https://ota.tournamentsoftware.com/player-profile/C202F0BA-61C5-459D-993A-2D56C17C2B04", "Link")</f>
        <v/>
      </c>
      <c r="E58" s="3" t="n">
        <v>1612.81</v>
      </c>
      <c r="F58" s="4" t="n">
        <v>22</v>
      </c>
      <c r="G58" t="inlineStr">
        <is>
          <t>Ontario Tennis Association</t>
        </is>
      </c>
      <c r="H58" t="inlineStr">
        <is>
          <t>Joshua Creek Golf &amp; Tennis</t>
        </is>
      </c>
      <c r="I58" t="n">
        <v>26.5</v>
      </c>
      <c r="J58" s="4" t="n">
        <v>256</v>
      </c>
      <c r="K58" t="inlineStr">
        <is>
          <t>182 / 74</t>
        </is>
      </c>
      <c r="L58" t="inlineStr">
        <is>
          <t>23 / 19</t>
        </is>
      </c>
      <c r="M58" s="5" t="n">
        <v>0.71</v>
      </c>
      <c r="N58" s="5" t="n">
        <v>0.55</v>
      </c>
    </row>
    <row r="59">
      <c r="A59" t="n">
        <v>58</v>
      </c>
      <c r="B59" t="n">
        <v>2012</v>
      </c>
      <c r="C59" t="inlineStr">
        <is>
          <t>Annika Richards</t>
        </is>
      </c>
      <c r="D59">
        <f>HYPERLINK("https://ota.tournamentsoftware.com/player-profile/CFED81F9-9EA3-48DF-84C4-507456D5D68B", "Link")</f>
        <v/>
      </c>
      <c r="E59" s="3" t="n">
        <v>1600.867</v>
      </c>
      <c r="F59" s="4" t="n">
        <v>19</v>
      </c>
      <c r="G59" t="inlineStr">
        <is>
          <t>Ontario Tennis Association</t>
        </is>
      </c>
      <c r="H59" t="inlineStr">
        <is>
          <t>Toronto Cricket Skating &amp; Curling</t>
        </is>
      </c>
      <c r="I59" t="n">
        <v>27.4</v>
      </c>
      <c r="J59" s="4" t="n">
        <v>189</v>
      </c>
      <c r="K59" t="inlineStr">
        <is>
          <t>81 / 108</t>
        </is>
      </c>
      <c r="L59" t="inlineStr">
        <is>
          <t>8 / 17</t>
        </is>
      </c>
      <c r="M59" s="5" t="n">
        <v>0.43</v>
      </c>
      <c r="N59" s="5" t="n">
        <v>0.32</v>
      </c>
    </row>
    <row r="60">
      <c r="A60" t="n">
        <v>59</v>
      </c>
      <c r="B60" t="n">
        <v>2012</v>
      </c>
      <c r="C60" t="inlineStr">
        <is>
          <t>Allyson Experience</t>
        </is>
      </c>
      <c r="D60">
        <f>HYPERLINK("https://ota.tournamentsoftware.com/player-profile/9A5D0B4A-A8C7-47DA-8CAD-CA25D28C69CE", "Link")</f>
        <v/>
      </c>
      <c r="E60" s="3" t="n">
        <v>1566.027</v>
      </c>
      <c r="F60" s="4" t="n">
        <v>24</v>
      </c>
      <c r="G60" t="inlineStr">
        <is>
          <t>Tennis Québec</t>
        </is>
      </c>
      <c r="H60" t="inlineStr">
        <is>
          <t>Tennis Montréal Excellence</t>
        </is>
      </c>
      <c r="I60" t="n">
        <v>26.5</v>
      </c>
      <c r="J60" s="4" t="n">
        <v>261</v>
      </c>
      <c r="K60" t="inlineStr">
        <is>
          <t>120 / 141</t>
        </is>
      </c>
      <c r="L60" t="inlineStr">
        <is>
          <t>19 / 22</t>
        </is>
      </c>
      <c r="M60" s="5" t="n">
        <v>0.46</v>
      </c>
      <c r="N60" s="5" t="n">
        <v>0.46</v>
      </c>
    </row>
    <row r="61">
      <c r="A61" t="n">
        <v>60</v>
      </c>
      <c r="B61" t="n">
        <v>2012</v>
      </c>
      <c r="C61" t="inlineStr">
        <is>
          <t>Natalie Le'er Sang</t>
        </is>
      </c>
      <c r="D61">
        <f>HYPERLINK("https://ota.tournamentsoftware.com/player-profile/993E5845-6FAB-4557-A6F0-C3D60CD8BB97", "Link")</f>
        <v/>
      </c>
      <c r="E61" s="3" t="n">
        <v>1488.96</v>
      </c>
      <c r="F61" s="4" t="n">
        <v>17</v>
      </c>
      <c r="G61" t="inlineStr">
        <is>
          <t>British Columbia</t>
        </is>
      </c>
      <c r="H61" t="inlineStr">
        <is>
          <t>No Club</t>
        </is>
      </c>
      <c r="I61" t="n">
        <v>25.4</v>
      </c>
      <c r="J61" s="4" t="n">
        <v>111</v>
      </c>
      <c r="K61" t="inlineStr">
        <is>
          <t>78 / 33</t>
        </is>
      </c>
      <c r="L61" t="inlineStr">
        <is>
          <t>21 / 19</t>
        </is>
      </c>
      <c r="M61" s="5" t="n">
        <v>0.7</v>
      </c>
      <c r="N61" s="5" t="n">
        <v>0.53</v>
      </c>
    </row>
    <row r="62">
      <c r="A62" t="n">
        <v>61</v>
      </c>
      <c r="B62" t="n">
        <v>2012</v>
      </c>
      <c r="C62" t="inlineStr">
        <is>
          <t>Kelly L Zhang</t>
        </is>
      </c>
      <c r="D62">
        <f>HYPERLINK("https://ota.tournamentsoftware.com/player-profile/2504E03B-B05C-4307-B90E-F3F72DD94827", "Link")</f>
        <v/>
      </c>
      <c r="E62" s="3" t="n">
        <v>1476.763</v>
      </c>
      <c r="F62" s="4" t="n">
        <v>22</v>
      </c>
      <c r="G62" t="inlineStr">
        <is>
          <t>Ontario Tennis Association</t>
        </is>
      </c>
      <c r="H62" t="inlineStr">
        <is>
          <t>NYTA Winter Tennis Club</t>
        </is>
      </c>
      <c r="I62" t="n">
        <v>28.3</v>
      </c>
      <c r="J62" s="4" t="n">
        <v>184</v>
      </c>
      <c r="K62" t="inlineStr">
        <is>
          <t>90 / 94</t>
        </is>
      </c>
      <c r="L62" t="inlineStr">
        <is>
          <t>23 / 16</t>
        </is>
      </c>
      <c r="M62" s="5" t="n">
        <v>0.49</v>
      </c>
      <c r="N62" s="5" t="n">
        <v>0.59</v>
      </c>
    </row>
    <row r="63">
      <c r="A63" t="n">
        <v>62</v>
      </c>
      <c r="B63" t="n">
        <v>2013</v>
      </c>
      <c r="C63" t="inlineStr">
        <is>
          <t>Alexane Deschênes</t>
        </is>
      </c>
      <c r="D63">
        <f>HYPERLINK("https://ota.tournamentsoftware.com/player-profile/124D1E6B-E463-4461-A5D1-9C844DE2C6D9", "Link")</f>
        <v/>
      </c>
      <c r="E63" s="3" t="n">
        <v>1453.229</v>
      </c>
      <c r="F63" s="4" t="n">
        <v>20</v>
      </c>
      <c r="G63" t="inlineStr">
        <is>
          <t>Tennis Québec</t>
        </is>
      </c>
      <c r="H63" t="inlineStr">
        <is>
          <t>Centre récréatif de Repentigny / Académie Tennis Momentum</t>
        </is>
      </c>
      <c r="I63" t="n">
        <v>25.9</v>
      </c>
      <c r="J63" s="4" t="n">
        <v>290</v>
      </c>
      <c r="K63" t="inlineStr">
        <is>
          <t>154 / 136</t>
        </is>
      </c>
      <c r="L63" t="inlineStr">
        <is>
          <t>34 / 34</t>
        </is>
      </c>
      <c r="M63" s="5" t="n">
        <v>0.53</v>
      </c>
      <c r="N63" s="5" t="n">
        <v>0.5</v>
      </c>
    </row>
    <row r="64">
      <c r="A64" t="n">
        <v>63</v>
      </c>
      <c r="B64" t="n">
        <v>2014</v>
      </c>
      <c r="C64" t="inlineStr">
        <is>
          <t>jocelyn ai</t>
        </is>
      </c>
      <c r="D64">
        <f>HYPERLINK("https://ota.tournamentsoftware.com/player-profile/EADED953-942B-4335-BE21-C0DE8F31626D", "Link")</f>
        <v/>
      </c>
      <c r="E64" s="3" t="n">
        <v>1450.912</v>
      </c>
      <c r="F64" s="4" t="n">
        <v>22</v>
      </c>
      <c r="G64" t="inlineStr">
        <is>
          <t>Ontario Tennis Association</t>
        </is>
      </c>
      <c r="H64" t="inlineStr">
        <is>
          <t>No Club</t>
        </is>
      </c>
      <c r="I64" t="n">
        <v>27.1</v>
      </c>
      <c r="J64" s="4" t="n">
        <v>220</v>
      </c>
      <c r="K64" t="inlineStr">
        <is>
          <t>133 / 87</t>
        </is>
      </c>
      <c r="L64" t="inlineStr">
        <is>
          <t>39 / 24</t>
        </is>
      </c>
      <c r="M64" s="5" t="n">
        <v>0.6</v>
      </c>
      <c r="N64" s="5" t="n">
        <v>0.62</v>
      </c>
    </row>
    <row r="65">
      <c r="A65" t="n">
        <v>64</v>
      </c>
      <c r="B65" t="n">
        <v>2013</v>
      </c>
      <c r="C65" t="inlineStr">
        <is>
          <t>xiayue(Cecelia) Bi</t>
        </is>
      </c>
      <c r="D65">
        <f>HYPERLINK("https://ota.tournamentsoftware.com/player-profile/081CD41C-A9E4-4340-A239-2D92F6639919", "Link")</f>
        <v/>
      </c>
      <c r="E65" s="3" t="n">
        <v>1447.488</v>
      </c>
      <c r="F65" s="4" t="n">
        <v>12</v>
      </c>
      <c r="G65" t="inlineStr">
        <is>
          <t>British Columbia</t>
        </is>
      </c>
      <c r="H65" t="inlineStr">
        <is>
          <t>North Vancouver Tennis Centre</t>
        </is>
      </c>
      <c r="I65" t="n">
        <v>24.3</v>
      </c>
      <c r="J65" s="4" t="n">
        <v>248</v>
      </c>
      <c r="K65" t="inlineStr">
        <is>
          <t>158 / 90</t>
        </is>
      </c>
      <c r="L65" t="inlineStr">
        <is>
          <t>19 / 22</t>
        </is>
      </c>
      <c r="M65" s="5" t="n">
        <v>0.64</v>
      </c>
      <c r="N65" s="5" t="n">
        <v>0.46</v>
      </c>
    </row>
    <row r="66">
      <c r="A66" t="n">
        <v>65</v>
      </c>
      <c r="B66" t="n">
        <v>2014</v>
      </c>
      <c r="C66" t="inlineStr">
        <is>
          <t>Amelia Grace Balasuriya</t>
        </is>
      </c>
      <c r="D66">
        <f>HYPERLINK("https://ota.tournamentsoftware.com/player-profile/741A3060-1EA3-4E29-A0BE-1717DEF32CEA", "Link")</f>
        <v/>
      </c>
      <c r="E66" s="3" t="n">
        <v>1414.433</v>
      </c>
      <c r="F66" s="4" t="n">
        <v>28</v>
      </c>
      <c r="G66" t="inlineStr">
        <is>
          <t>Ontario Tennis Association</t>
        </is>
      </c>
      <c r="H66" t="inlineStr">
        <is>
          <t>The Supreme Court Tennis Club</t>
        </is>
      </c>
      <c r="I66" t="n">
        <v>26.7</v>
      </c>
      <c r="J66" s="4" t="n">
        <v>267</v>
      </c>
      <c r="K66" t="inlineStr">
        <is>
          <t>172 / 95</t>
        </is>
      </c>
      <c r="L66" t="inlineStr">
        <is>
          <t>49 / 25</t>
        </is>
      </c>
      <c r="M66" s="5" t="n">
        <v>0.64</v>
      </c>
      <c r="N66" s="5" t="n">
        <v>0.66</v>
      </c>
    </row>
    <row r="67">
      <c r="A67" t="n">
        <v>66</v>
      </c>
      <c r="B67" t="n">
        <v>2013</v>
      </c>
      <c r="C67" t="inlineStr">
        <is>
          <t>Dewa Ayu Devin Sum</t>
        </is>
      </c>
      <c r="D67">
        <f>HYPERLINK("https://ota.tournamentsoftware.com/player-profile/9DB24D5C-3B5C-4B40-BE7E-B331240C1B21", "Link")</f>
        <v/>
      </c>
      <c r="E67" s="3" t="n">
        <v>1397.453</v>
      </c>
      <c r="F67" s="4" t="n">
        <v>31</v>
      </c>
      <c r="G67" t="inlineStr">
        <is>
          <t>Ontario Tennis Association</t>
        </is>
      </c>
      <c r="H67" t="inlineStr">
        <is>
          <t>Premier Racquet Clubs – Mississauga</t>
        </is>
      </c>
      <c r="I67" t="n">
        <v>28.1</v>
      </c>
      <c r="J67" s="4" t="n">
        <v>177</v>
      </c>
      <c r="K67" t="inlineStr">
        <is>
          <t>92 / 85</t>
        </is>
      </c>
      <c r="L67" t="inlineStr">
        <is>
          <t>26 / 20</t>
        </is>
      </c>
      <c r="M67" s="5" t="n">
        <v>0.52</v>
      </c>
      <c r="N67" s="5" t="n">
        <v>0.57</v>
      </c>
    </row>
    <row r="68">
      <c r="A68" t="n">
        <v>67</v>
      </c>
      <c r="B68" t="n">
        <v>2013</v>
      </c>
      <c r="C68" t="inlineStr">
        <is>
          <t>Eleanor Victoria Paura</t>
        </is>
      </c>
      <c r="D68">
        <f>HYPERLINK("https://ota.tournamentsoftware.com/player-profile/4D9EBB83-94D7-44A3-BD6F-1D98EF9559DF", "Link")</f>
        <v/>
      </c>
      <c r="E68" s="3" t="n">
        <v>1376.144</v>
      </c>
      <c r="F68" s="4" t="n">
        <v>11</v>
      </c>
      <c r="G68" t="inlineStr">
        <is>
          <t>Tennis Saskatchewan</t>
        </is>
      </c>
      <c r="H68" t="inlineStr">
        <is>
          <t>Lakeshore Tennis Club</t>
        </is>
      </c>
      <c r="I68" t="n">
        <v>29.8</v>
      </c>
      <c r="J68" s="4" t="n">
        <v>196</v>
      </c>
      <c r="K68" t="inlineStr">
        <is>
          <t>85 / 111</t>
        </is>
      </c>
      <c r="L68" t="inlineStr">
        <is>
          <t>27 / 22</t>
        </is>
      </c>
      <c r="M68" s="5" t="n">
        <v>0.43</v>
      </c>
      <c r="N68" s="5" t="n">
        <v>0.55</v>
      </c>
    </row>
    <row r="69">
      <c r="A69" t="n">
        <v>68</v>
      </c>
      <c r="B69" t="n">
        <v>2014</v>
      </c>
      <c r="C69" t="inlineStr">
        <is>
          <t>Emma Allen</t>
        </is>
      </c>
      <c r="D69">
        <f>HYPERLINK("https://ota.tournamentsoftware.com/player-profile/5640B61E-0EE7-4BB3-ABC3-AD9CB508E4E9", "Link")</f>
        <v/>
      </c>
      <c r="E69" s="3" t="n">
        <v>1351.651</v>
      </c>
      <c r="F69" s="4" t="n">
        <v>21</v>
      </c>
      <c r="G69" t="inlineStr">
        <is>
          <t>Ontario Tennis Association</t>
        </is>
      </c>
      <c r="H69" t="inlineStr">
        <is>
          <t>Joshua Creek Golf &amp; Tennis</t>
        </is>
      </c>
      <c r="I69" t="n">
        <v>26.7</v>
      </c>
      <c r="J69" s="4" t="n">
        <v>255</v>
      </c>
      <c r="K69" t="inlineStr">
        <is>
          <t>184 / 71</t>
        </is>
      </c>
      <c r="L69" t="inlineStr">
        <is>
          <t>36 / 19</t>
        </is>
      </c>
      <c r="M69" s="5" t="n">
        <v>0.72</v>
      </c>
      <c r="N69" s="5" t="n">
        <v>0.65</v>
      </c>
    </row>
    <row r="70">
      <c r="A70" t="n">
        <v>69</v>
      </c>
      <c r="B70" t="n">
        <v>2013</v>
      </c>
      <c r="C70" t="inlineStr">
        <is>
          <t>Charlotte Dawes</t>
        </is>
      </c>
      <c r="D70">
        <f>HYPERLINK("https://ota.tournamentsoftware.com/player-profile/F2AC6B3A-37CF-4522-9228-9A614DED4E6F", "Link")</f>
        <v/>
      </c>
      <c r="E70" s="3" t="n">
        <v>1333.136</v>
      </c>
      <c r="F70" s="4" t="n">
        <v>14</v>
      </c>
      <c r="G70" t="inlineStr">
        <is>
          <t>Tennis Alberta</t>
        </is>
      </c>
      <c r="H70" t="inlineStr">
        <is>
          <t>Osten &amp; Victor Alberta Tennis Centre</t>
        </is>
      </c>
      <c r="I70" t="n">
        <v>27.3</v>
      </c>
      <c r="J70" s="4" t="n">
        <v>225</v>
      </c>
      <c r="K70" t="inlineStr">
        <is>
          <t>112 / 113</t>
        </is>
      </c>
      <c r="L70" t="inlineStr">
        <is>
          <t>25 / 18</t>
        </is>
      </c>
      <c r="M70" s="5" t="n">
        <v>0.5</v>
      </c>
      <c r="N70" s="5" t="n">
        <v>0.58</v>
      </c>
    </row>
    <row r="71">
      <c r="A71" t="n">
        <v>70</v>
      </c>
      <c r="B71" t="n">
        <v>2012</v>
      </c>
      <c r="C71" t="inlineStr">
        <is>
          <t>Zahava Olszynko</t>
        </is>
      </c>
      <c r="D71">
        <f>HYPERLINK("https://ota.tournamentsoftware.com/player-profile/B6F84042-B29D-4CD8-984E-787094BFA8A4", "Link")</f>
        <v/>
      </c>
      <c r="E71" s="3" t="n">
        <v>1317.162</v>
      </c>
      <c r="F71" s="4" t="n">
        <v>29</v>
      </c>
      <c r="G71" t="inlineStr">
        <is>
          <t>Ontario Tennis Association</t>
        </is>
      </c>
      <c r="H71" t="inlineStr">
        <is>
          <t>Rideau Sports Centre</t>
        </is>
      </c>
      <c r="I71" t="n">
        <v>26.1</v>
      </c>
      <c r="J71" s="4" t="n">
        <v>230</v>
      </c>
      <c r="K71" t="inlineStr">
        <is>
          <t>128 / 102</t>
        </is>
      </c>
      <c r="L71" t="inlineStr">
        <is>
          <t>36 / 22</t>
        </is>
      </c>
      <c r="M71" s="5" t="n">
        <v>0.5600000000000001</v>
      </c>
      <c r="N71" s="5" t="n">
        <v>0.62</v>
      </c>
    </row>
    <row r="72">
      <c r="A72" t="n">
        <v>71</v>
      </c>
      <c r="B72" t="n">
        <v>2012</v>
      </c>
      <c r="C72" t="inlineStr">
        <is>
          <t>Emilie Chen</t>
        </is>
      </c>
      <c r="D72">
        <f>HYPERLINK("https://ota.tournamentsoftware.com/player-profile/829AD033-5D37-4AE8-9F34-8C50F25B20C3", "Link")</f>
        <v/>
      </c>
      <c r="E72" s="3" t="n">
        <v>1288.491</v>
      </c>
      <c r="F72" s="4" t="n">
        <v>14</v>
      </c>
      <c r="G72" t="inlineStr">
        <is>
          <t>Ontario Tennis Association</t>
        </is>
      </c>
      <c r="H72" t="inlineStr">
        <is>
          <t>Toronto Cricket Skating &amp; Curling</t>
        </is>
      </c>
      <c r="I72" t="n">
        <v>26.2</v>
      </c>
      <c r="J72" s="4" t="n">
        <v>213</v>
      </c>
      <c r="K72" t="inlineStr">
        <is>
          <t>89 / 124</t>
        </is>
      </c>
      <c r="L72" t="inlineStr">
        <is>
          <t>12 / 12</t>
        </is>
      </c>
      <c r="M72" s="5" t="n">
        <v>0.42</v>
      </c>
      <c r="N72" s="5" t="n">
        <v>0.5</v>
      </c>
    </row>
    <row r="73">
      <c r="A73" t="n">
        <v>72</v>
      </c>
      <c r="B73" t="n">
        <v>2013</v>
      </c>
      <c r="C73" t="inlineStr">
        <is>
          <t>Avery Badyal</t>
        </is>
      </c>
      <c r="D73">
        <f>HYPERLINK("https://ota.tournamentsoftware.com/player-profile/9486479F-C8FD-48FB-BCCD-0246C53A632C", "Link")</f>
        <v/>
      </c>
      <c r="E73" s="3" t="n">
        <v>1248.194</v>
      </c>
      <c r="F73" s="4" t="n">
        <v>11</v>
      </c>
      <c r="G73" t="inlineStr">
        <is>
          <t>British Columbia</t>
        </is>
      </c>
      <c r="H73" t="inlineStr">
        <is>
          <t>The Tennis Centre</t>
        </is>
      </c>
      <c r="I73" t="n">
        <v>25.7</v>
      </c>
      <c r="J73" s="4" t="n">
        <v>239</v>
      </c>
      <c r="K73" t="inlineStr">
        <is>
          <t>145 / 94</t>
        </is>
      </c>
      <c r="L73" t="inlineStr">
        <is>
          <t>17 / 19</t>
        </is>
      </c>
      <c r="M73" s="5" t="n">
        <v>0.61</v>
      </c>
      <c r="N73" s="5" t="n">
        <v>0.47</v>
      </c>
    </row>
    <row r="74">
      <c r="A74" t="n">
        <v>73</v>
      </c>
      <c r="B74" t="n">
        <v>2013</v>
      </c>
      <c r="C74" t="inlineStr">
        <is>
          <t>Iris Fu</t>
        </is>
      </c>
      <c r="D74">
        <f>HYPERLINK("https://ota.tournamentsoftware.com/player-profile/0A3A4B5A-8950-4E67-BAA9-3F132754A3FD", "Link")</f>
        <v/>
      </c>
      <c r="E74" s="3" t="n">
        <v>1233.045</v>
      </c>
      <c r="F74" s="4" t="n">
        <v>16</v>
      </c>
      <c r="G74" t="inlineStr">
        <is>
          <t>Ontario Tennis Association</t>
        </is>
      </c>
      <c r="H74" t="inlineStr">
        <is>
          <t>Premier Racquet Clubs – Mississauga</t>
        </is>
      </c>
      <c r="I74" t="inlineStr">
        <is>
          <t>unavailable</t>
        </is>
      </c>
      <c r="J74" s="4" t="n">
        <v>240</v>
      </c>
      <c r="K74" t="inlineStr">
        <is>
          <t>138 / 102</t>
        </is>
      </c>
      <c r="L74" t="inlineStr">
        <is>
          <t>23 / 12</t>
        </is>
      </c>
      <c r="M74" s="5" t="n">
        <v>0.57</v>
      </c>
      <c r="N74" s="5" t="n">
        <v>0.66</v>
      </c>
    </row>
    <row r="75">
      <c r="A75" t="n">
        <v>74</v>
      </c>
      <c r="B75" t="n">
        <v>2013</v>
      </c>
      <c r="C75" t="inlineStr">
        <is>
          <t>Adèle Juneau</t>
        </is>
      </c>
      <c r="D75">
        <f>HYPERLINK("https://ota.tournamentsoftware.com/player-profile/3A8C3EB0-444C-4108-A91E-FC74701A660D", "Link")</f>
        <v/>
      </c>
      <c r="E75" s="3" t="n">
        <v>1231.347</v>
      </c>
      <c r="F75" s="4" t="n">
        <v>17</v>
      </c>
      <c r="G75" t="inlineStr">
        <is>
          <t>Tennis Québec</t>
        </is>
      </c>
      <c r="H75" t="inlineStr">
        <is>
          <t>Tennis 13 / Académie Ménard et associé</t>
        </is>
      </c>
      <c r="I75" t="n">
        <v>24.9</v>
      </c>
      <c r="J75" s="4" t="n">
        <v>333</v>
      </c>
      <c r="K75" t="inlineStr">
        <is>
          <t>186 / 147</t>
        </is>
      </c>
      <c r="L75" t="inlineStr">
        <is>
          <t>18 / 22</t>
        </is>
      </c>
      <c r="M75" s="5" t="n">
        <v>0.5600000000000001</v>
      </c>
      <c r="N75" s="5" t="n">
        <v>0.45</v>
      </c>
    </row>
    <row r="76">
      <c r="A76" t="n">
        <v>75</v>
      </c>
      <c r="B76" t="n">
        <v>2012</v>
      </c>
      <c r="C76" t="inlineStr">
        <is>
          <t>Alessia Lungu</t>
        </is>
      </c>
      <c r="D76">
        <f>HYPERLINK("https://ota.tournamentsoftware.com/player-profile/99FF719F-9C8F-4394-BE76-5455D457977A", "Link")</f>
        <v/>
      </c>
      <c r="E76" s="3" t="n">
        <v>1212.805</v>
      </c>
      <c r="F76" s="4" t="n">
        <v>10</v>
      </c>
      <c r="G76" t="inlineStr">
        <is>
          <t>Ontario Tennis Association</t>
        </is>
      </c>
      <c r="H76" t="inlineStr">
        <is>
          <t>Joshua Creek Golf &amp; Tennis</t>
        </is>
      </c>
      <c r="I76" t="n">
        <v>23.2</v>
      </c>
      <c r="J76" s="4" t="n">
        <v>181</v>
      </c>
      <c r="K76" t="inlineStr">
        <is>
          <t>116 / 65</t>
        </is>
      </c>
      <c r="L76" t="inlineStr">
        <is>
          <t>5 / 3</t>
        </is>
      </c>
      <c r="M76" s="5" t="n">
        <v>0.64</v>
      </c>
      <c r="N76" s="5" t="n">
        <v>0.62</v>
      </c>
    </row>
    <row r="77">
      <c r="A77" t="n">
        <v>76</v>
      </c>
      <c r="B77" t="n">
        <v>2014</v>
      </c>
      <c r="C77" t="inlineStr">
        <is>
          <t>Naella Sehic</t>
        </is>
      </c>
      <c r="D77">
        <f>HYPERLINK("https://ota.tournamentsoftware.com/player-profile/C86BA5BA-97F0-463B-BBE7-6A41452E0D47", "Link")</f>
        <v/>
      </c>
      <c r="E77" s="3" t="n">
        <v>1206.241</v>
      </c>
      <c r="F77" s="4" t="n">
        <v>20</v>
      </c>
      <c r="G77" t="inlineStr">
        <is>
          <t>Tennis Québec</t>
        </is>
      </c>
      <c r="H77" t="inlineStr">
        <is>
          <t>Tennis Ile- des- Soeurs</t>
        </is>
      </c>
      <c r="I77" t="n">
        <v>25.9</v>
      </c>
      <c r="J77" s="4" t="n">
        <v>297</v>
      </c>
      <c r="K77" t="inlineStr">
        <is>
          <t>183 / 114</t>
        </is>
      </c>
      <c r="L77" t="inlineStr">
        <is>
          <t>48 / 16</t>
        </is>
      </c>
      <c r="M77" s="5" t="n">
        <v>0.62</v>
      </c>
      <c r="N77" s="5" t="n">
        <v>0.75</v>
      </c>
    </row>
    <row r="78">
      <c r="A78" t="n">
        <v>77</v>
      </c>
      <c r="B78" t="n">
        <v>2012</v>
      </c>
      <c r="C78" t="inlineStr">
        <is>
          <t>Karina Zhang</t>
        </is>
      </c>
      <c r="D78">
        <f>HYPERLINK("https://ota.tournamentsoftware.com/player-profile/7BB53E38-BBB9-4E1E-B8A2-8EFC2E762653", "Link")</f>
        <v/>
      </c>
      <c r="E78" s="3" t="n">
        <v>1204.716</v>
      </c>
      <c r="F78" s="4" t="n">
        <v>27</v>
      </c>
      <c r="G78" t="inlineStr">
        <is>
          <t>Ontario Tennis Association</t>
        </is>
      </c>
      <c r="H78" t="inlineStr">
        <is>
          <t>Richmondhill Golf &amp; Country Club</t>
        </is>
      </c>
      <c r="I78" t="n">
        <v>25.6</v>
      </c>
      <c r="J78" s="4" t="n">
        <v>209</v>
      </c>
      <c r="K78" t="inlineStr">
        <is>
          <t>130 / 79</t>
        </is>
      </c>
      <c r="L78" t="inlineStr">
        <is>
          <t>30 / 23</t>
        </is>
      </c>
      <c r="M78" s="5" t="n">
        <v>0.62</v>
      </c>
      <c r="N78" s="5" t="n">
        <v>0.57</v>
      </c>
    </row>
    <row r="79">
      <c r="A79" t="n">
        <v>78</v>
      </c>
      <c r="B79" t="n">
        <v>2012</v>
      </c>
      <c r="C79" t="inlineStr">
        <is>
          <t>Ashlee Hanul Yoo</t>
        </is>
      </c>
      <c r="D79">
        <f>HYPERLINK("https://ota.tournamentsoftware.com/player-profile/BA09F220-C66B-4A96-9C0C-1BEE71ADDA56", "Link")</f>
        <v/>
      </c>
      <c r="E79" s="3" t="n">
        <v>1170.503</v>
      </c>
      <c r="F79" s="4" t="n">
        <v>13</v>
      </c>
      <c r="G79" t="inlineStr">
        <is>
          <t>British Columbia</t>
        </is>
      </c>
      <c r="H79" t="inlineStr">
        <is>
          <t>No Club</t>
        </is>
      </c>
      <c r="I79" t="inlineStr">
        <is>
          <t>unavailable</t>
        </is>
      </c>
      <c r="J79" s="4" t="n">
        <v>205</v>
      </c>
      <c r="K79" t="inlineStr">
        <is>
          <t>109 / 96</t>
        </is>
      </c>
      <c r="L79" t="inlineStr">
        <is>
          <t>18 / 18</t>
        </is>
      </c>
      <c r="M79" s="5" t="n">
        <v>0.53</v>
      </c>
      <c r="N79" s="5" t="n">
        <v>0.5</v>
      </c>
    </row>
    <row r="80">
      <c r="A80" t="n">
        <v>79</v>
      </c>
      <c r="B80" t="n">
        <v>2012</v>
      </c>
      <c r="C80" t="inlineStr">
        <is>
          <t>Kate Louise Violet Dee</t>
        </is>
      </c>
      <c r="D80">
        <f>HYPERLINK("https://ota.tournamentsoftware.com/player-profile/807F7468-99D8-4717-B3DF-3F2ED69EFA0A", "Link")</f>
        <v/>
      </c>
      <c r="E80" s="3" t="n">
        <v>1135.533</v>
      </c>
      <c r="F80" s="4" t="n">
        <v>12</v>
      </c>
      <c r="G80" t="inlineStr">
        <is>
          <t>British Columbia</t>
        </is>
      </c>
      <c r="H80" t="inlineStr">
        <is>
          <t>North Vancouver Tennis Centre</t>
        </is>
      </c>
      <c r="I80" t="n">
        <v>25.7</v>
      </c>
      <c r="J80" s="4" t="n">
        <v>244</v>
      </c>
      <c r="K80" t="inlineStr">
        <is>
          <t>136 / 108</t>
        </is>
      </c>
      <c r="L80" t="inlineStr">
        <is>
          <t>14 / 16</t>
        </is>
      </c>
      <c r="M80" s="5" t="n">
        <v>0.5600000000000001</v>
      </c>
      <c r="N80" s="5" t="n">
        <v>0.47</v>
      </c>
    </row>
    <row r="81">
      <c r="A81" t="n">
        <v>80</v>
      </c>
      <c r="B81" t="n">
        <v>2013</v>
      </c>
      <c r="C81" t="inlineStr">
        <is>
          <t>Cindy Liu</t>
        </is>
      </c>
      <c r="D81">
        <f>HYPERLINK("https://ota.tournamentsoftware.com/player-profile/89018759-835F-4CE0-A297-3449F2A42D00", "Link")</f>
        <v/>
      </c>
      <c r="E81" s="3" t="n">
        <v>1113.273</v>
      </c>
      <c r="F81" s="4" t="n">
        <v>24</v>
      </c>
      <c r="G81" t="inlineStr">
        <is>
          <t>British Columbia</t>
        </is>
      </c>
      <c r="H81" t="inlineStr">
        <is>
          <t>The Tennis Centre</t>
        </is>
      </c>
      <c r="I81" t="n">
        <v>25.8</v>
      </c>
      <c r="J81" s="4" t="n">
        <v>197</v>
      </c>
      <c r="K81" t="inlineStr">
        <is>
          <t>104 / 93</t>
        </is>
      </c>
      <c r="L81" t="inlineStr">
        <is>
          <t>34 / 20</t>
        </is>
      </c>
      <c r="M81" s="5" t="n">
        <v>0.53</v>
      </c>
      <c r="N81" s="5" t="n">
        <v>0.63</v>
      </c>
    </row>
    <row r="82">
      <c r="A82" t="n">
        <v>81</v>
      </c>
      <c r="B82" t="n">
        <v>2014</v>
      </c>
      <c r="C82" t="inlineStr">
        <is>
          <t>Nanette Du</t>
        </is>
      </c>
      <c r="D82">
        <f>HYPERLINK("https://ota.tournamentsoftware.com/player-profile/53190390-CC68-4E5E-8079-A41733ADF41A", "Link")</f>
        <v/>
      </c>
      <c r="E82" s="3" t="n">
        <v>1108.596</v>
      </c>
      <c r="F82" s="4" t="n">
        <v>17</v>
      </c>
      <c r="G82" t="inlineStr">
        <is>
          <t>Ontario Tennis Association</t>
        </is>
      </c>
      <c r="H82" t="inlineStr">
        <is>
          <t>Advantage Tennis International at Veneto</t>
        </is>
      </c>
      <c r="I82" t="n">
        <v>28.2</v>
      </c>
      <c r="J82" s="4" t="n">
        <v>146</v>
      </c>
      <c r="K82" t="inlineStr">
        <is>
          <t>90 / 56</t>
        </is>
      </c>
      <c r="L82" t="inlineStr">
        <is>
          <t>24 / 12</t>
        </is>
      </c>
      <c r="M82" s="5" t="n">
        <v>0.62</v>
      </c>
      <c r="N82" s="5" t="n">
        <v>0.67</v>
      </c>
    </row>
    <row r="83">
      <c r="A83" t="n">
        <v>82</v>
      </c>
      <c r="B83" t="n">
        <v>2015</v>
      </c>
      <c r="C83" t="inlineStr">
        <is>
          <t>Sofia Tabunshchyk</t>
        </is>
      </c>
      <c r="D83">
        <f>HYPERLINK("https://ota.tournamentsoftware.com/player-profile/3714FE82-9045-425F-937B-7104A43D57F9", "Link")</f>
        <v/>
      </c>
      <c r="E83" s="3" t="n">
        <v>1098.18</v>
      </c>
      <c r="F83" s="4" t="n">
        <v>39</v>
      </c>
      <c r="G83" t="inlineStr">
        <is>
          <t>Ontario Tennis Association</t>
        </is>
      </c>
      <c r="H83" t="inlineStr">
        <is>
          <t>ACE Tennis - Burlington</t>
        </is>
      </c>
      <c r="I83" t="inlineStr">
        <is>
          <t>unavailable</t>
        </is>
      </c>
      <c r="J83" s="4" t="n">
        <v>326</v>
      </c>
      <c r="K83" t="inlineStr">
        <is>
          <t>163 / 163</t>
        </is>
      </c>
      <c r="L83" t="inlineStr">
        <is>
          <t>53 / 27</t>
        </is>
      </c>
      <c r="M83" s="5" t="n">
        <v>0.5</v>
      </c>
      <c r="N83" s="5" t="n">
        <v>0.66</v>
      </c>
    </row>
    <row r="84">
      <c r="A84" t="n">
        <v>83</v>
      </c>
      <c r="B84" t="n">
        <v>2012</v>
      </c>
      <c r="C84" t="inlineStr">
        <is>
          <t>Alecia Yahan Liu</t>
        </is>
      </c>
      <c r="D84">
        <f>HYPERLINK("https://ota.tournamentsoftware.com/player-profile/3FBB1729-DE66-45FA-864E-C010DC83E5AD", "Link")</f>
        <v/>
      </c>
      <c r="E84" s="3" t="n">
        <v>1097.866</v>
      </c>
      <c r="F84" s="4" t="n">
        <v>19</v>
      </c>
      <c r="G84" t="inlineStr">
        <is>
          <t>Tennis Alberta</t>
        </is>
      </c>
      <c r="H84" t="inlineStr">
        <is>
          <t>Saville Community Sports Centre</t>
        </is>
      </c>
      <c r="I84" t="n">
        <v>26.6</v>
      </c>
      <c r="J84" s="4" t="n">
        <v>242</v>
      </c>
      <c r="K84" t="inlineStr">
        <is>
          <t>125 / 117</t>
        </is>
      </c>
      <c r="L84" t="inlineStr">
        <is>
          <t>23 / 22</t>
        </is>
      </c>
      <c r="M84" s="5" t="n">
        <v>0.52</v>
      </c>
      <c r="N84" s="5" t="n">
        <v>0.51</v>
      </c>
    </row>
    <row r="85">
      <c r="A85" t="n">
        <v>84</v>
      </c>
      <c r="B85" t="n">
        <v>2013</v>
      </c>
      <c r="C85" t="inlineStr">
        <is>
          <t>Charlotte Ng</t>
        </is>
      </c>
      <c r="D85">
        <f>HYPERLINK("https://ota.tournamentsoftware.com/player-profile/1FAB3C52-8224-4122-A705-ED95AC2AE538", "Link")</f>
        <v/>
      </c>
      <c r="E85" s="3" t="n">
        <v>1096.863</v>
      </c>
      <c r="F85" s="4" t="n">
        <v>32</v>
      </c>
      <c r="G85" t="inlineStr">
        <is>
          <t>Ontario Tennis Association</t>
        </is>
      </c>
      <c r="H85" t="inlineStr">
        <is>
          <t>Blackmore Tennis Club</t>
        </is>
      </c>
      <c r="I85" t="n">
        <v>30.3</v>
      </c>
      <c r="J85" s="4" t="n">
        <v>216</v>
      </c>
      <c r="K85" t="inlineStr">
        <is>
          <t>123 / 93</t>
        </is>
      </c>
      <c r="L85" t="inlineStr">
        <is>
          <t>32 / 19</t>
        </is>
      </c>
      <c r="M85" s="5" t="n">
        <v>0.57</v>
      </c>
      <c r="N85" s="5" t="n">
        <v>0.63</v>
      </c>
    </row>
    <row r="86">
      <c r="A86" t="n">
        <v>85</v>
      </c>
      <c r="B86" t="n">
        <v>2012</v>
      </c>
      <c r="C86" t="inlineStr">
        <is>
          <t>Alexsandra Stanislavksy</t>
        </is>
      </c>
      <c r="D86">
        <f>HYPERLINK("https://ota.tournamentsoftware.com/player-profile/A067EDC1-6B71-4023-8C13-88CA87AA808B", "Link")</f>
        <v/>
      </c>
      <c r="E86" s="3" t="n">
        <v>1086.615</v>
      </c>
      <c r="F86" s="4" t="n">
        <v>30</v>
      </c>
      <c r="G86" t="inlineStr">
        <is>
          <t>Ontario Tennis Association</t>
        </is>
      </c>
      <c r="H86" t="inlineStr">
        <is>
          <t>No Club</t>
        </is>
      </c>
      <c r="I86" t="n">
        <v>29.3</v>
      </c>
      <c r="J86" s="4" t="n">
        <v>187</v>
      </c>
      <c r="K86" t="inlineStr">
        <is>
          <t>83 / 104</t>
        </is>
      </c>
      <c r="L86" t="inlineStr">
        <is>
          <t>20 / 23</t>
        </is>
      </c>
      <c r="M86" s="5" t="n">
        <v>0.44</v>
      </c>
      <c r="N86" s="5" t="n">
        <v>0.47</v>
      </c>
    </row>
    <row r="87">
      <c r="A87" t="n">
        <v>86</v>
      </c>
      <c r="B87" t="n">
        <v>2012</v>
      </c>
      <c r="C87" t="inlineStr">
        <is>
          <t>Emilia Klimek</t>
        </is>
      </c>
      <c r="D87">
        <f>HYPERLINK("https://ota.tournamentsoftware.com/player-profile/B65F75BD-7091-433B-817C-EC3472CCA6E3", "Link")</f>
        <v/>
      </c>
      <c r="E87" s="3" t="n">
        <v>1074.821</v>
      </c>
      <c r="F87" s="4" t="n">
        <v>21</v>
      </c>
      <c r="G87" t="inlineStr">
        <is>
          <t>British Columbia</t>
        </is>
      </c>
      <c r="H87" t="inlineStr">
        <is>
          <t>No Club</t>
        </is>
      </c>
      <c r="I87" t="n">
        <v>26</v>
      </c>
      <c r="J87" s="4" t="n">
        <v>223</v>
      </c>
      <c r="K87" t="inlineStr">
        <is>
          <t>119 / 104</t>
        </is>
      </c>
      <c r="L87" t="inlineStr">
        <is>
          <t>31 / 19</t>
        </is>
      </c>
      <c r="M87" s="5" t="n">
        <v>0.53</v>
      </c>
      <c r="N87" s="5" t="n">
        <v>0.62</v>
      </c>
    </row>
    <row r="88">
      <c r="A88" t="n">
        <v>87</v>
      </c>
      <c r="B88" t="n">
        <v>2013</v>
      </c>
      <c r="C88" t="inlineStr">
        <is>
          <t>Halo Boyu Li</t>
        </is>
      </c>
      <c r="D88">
        <f>HYPERLINK("https://ota.tournamentsoftware.com/player-profile/42371346-12B9-439B-B9EB-FB5DD0ABCB73", "Link")</f>
        <v/>
      </c>
      <c r="E88" s="3" t="n">
        <v>1061.845</v>
      </c>
      <c r="F88" s="4" t="n">
        <v>10</v>
      </c>
      <c r="G88" t="inlineStr">
        <is>
          <t>Tennis Saskatchewan</t>
        </is>
      </c>
      <c r="H88" t="inlineStr">
        <is>
          <t>No Club</t>
        </is>
      </c>
      <c r="I88" t="n">
        <v>31.3</v>
      </c>
      <c r="J88" s="4" t="n">
        <v>181</v>
      </c>
      <c r="K88" t="inlineStr">
        <is>
          <t>79 / 102</t>
        </is>
      </c>
      <c r="L88" t="inlineStr">
        <is>
          <t>29 / 27</t>
        </is>
      </c>
      <c r="M88" s="5" t="n">
        <v>0.44</v>
      </c>
      <c r="N88" s="5" t="n">
        <v>0.52</v>
      </c>
    </row>
    <row r="89">
      <c r="A89" t="n">
        <v>88</v>
      </c>
      <c r="B89" t="n">
        <v>2013</v>
      </c>
      <c r="C89" t="inlineStr">
        <is>
          <t>Sophia Gettle</t>
        </is>
      </c>
      <c r="D89">
        <f>HYPERLINK("https://ota.tournamentsoftware.com/player-profile/5CC0A57F-C369-42D6-B845-B30A38F24F56", "Link")</f>
        <v/>
      </c>
      <c r="E89" s="3" t="n">
        <v>1060.252</v>
      </c>
      <c r="F89" s="4" t="n">
        <v>13</v>
      </c>
      <c r="G89" t="inlineStr">
        <is>
          <t>Tennis Saskatchewan</t>
        </is>
      </c>
      <c r="H89" t="inlineStr">
        <is>
          <t>Lakeshore Tennis Club</t>
        </is>
      </c>
      <c r="I89" t="inlineStr">
        <is>
          <t>unavailable</t>
        </is>
      </c>
      <c r="J89" s="4" t="n">
        <v>209</v>
      </c>
      <c r="K89" t="inlineStr">
        <is>
          <t>92 / 117</t>
        </is>
      </c>
      <c r="L89" t="inlineStr">
        <is>
          <t>23 / 31</t>
        </is>
      </c>
      <c r="M89" s="5" t="n">
        <v>0.44</v>
      </c>
      <c r="N89" s="5" t="n">
        <v>0.43</v>
      </c>
    </row>
    <row r="90">
      <c r="A90" t="n">
        <v>89</v>
      </c>
      <c r="B90" t="n">
        <v>2013</v>
      </c>
      <c r="C90" t="inlineStr">
        <is>
          <t>Chloé Normandin</t>
        </is>
      </c>
      <c r="D90">
        <f>HYPERLINK("https://ota.tournamentsoftware.com/player-profile/A22608C6-6D99-476C-9EC7-9A31F3CACB0A", "Link")</f>
        <v/>
      </c>
      <c r="E90" s="3" t="n">
        <v>1054.021</v>
      </c>
      <c r="F90" s="4" t="n">
        <v>21</v>
      </c>
      <c r="G90" t="inlineStr">
        <is>
          <t>Tennis Québec</t>
        </is>
      </c>
      <c r="H90" t="inlineStr">
        <is>
          <t>Tennis Ile- des- Soeurs</t>
        </is>
      </c>
      <c r="I90" t="n">
        <v>26.7</v>
      </c>
      <c r="J90" s="4" t="n">
        <v>263</v>
      </c>
      <c r="K90" t="inlineStr">
        <is>
          <t>144 / 119</t>
        </is>
      </c>
      <c r="L90" t="inlineStr">
        <is>
          <t>35 / 19</t>
        </is>
      </c>
      <c r="M90" s="5" t="n">
        <v>0.55</v>
      </c>
      <c r="N90" s="5" t="n">
        <v>0.65</v>
      </c>
    </row>
    <row r="91">
      <c r="A91" t="n">
        <v>90</v>
      </c>
      <c r="B91" t="n">
        <v>2014</v>
      </c>
      <c r="C91" t="inlineStr">
        <is>
          <t>JOANNA QIHENG FEI</t>
        </is>
      </c>
      <c r="D91">
        <f>HYPERLINK("https://ota.tournamentsoftware.com/player-profile/1DD48A17-96B6-42F9-8D67-EE4CBF6DFA95", "Link")</f>
        <v/>
      </c>
      <c r="E91" s="3" t="n">
        <v>1049.858</v>
      </c>
      <c r="F91" s="4" t="n">
        <v>22</v>
      </c>
      <c r="G91" t="inlineStr">
        <is>
          <t>British Columbia</t>
        </is>
      </c>
      <c r="H91" t="inlineStr">
        <is>
          <t>No Club</t>
        </is>
      </c>
      <c r="I91" t="n">
        <v>25.9</v>
      </c>
      <c r="J91" s="4" t="n">
        <v>264</v>
      </c>
      <c r="K91" t="inlineStr">
        <is>
          <t>129 / 135</t>
        </is>
      </c>
      <c r="L91" t="inlineStr">
        <is>
          <t>36 / 19</t>
        </is>
      </c>
      <c r="M91" s="5" t="n">
        <v>0.49</v>
      </c>
      <c r="N91" s="5" t="n">
        <v>0.65</v>
      </c>
    </row>
    <row r="92">
      <c r="A92" t="n">
        <v>91</v>
      </c>
      <c r="B92" t="n">
        <v>2014</v>
      </c>
      <c r="C92" t="inlineStr">
        <is>
          <t>Ruoran Hou</t>
        </is>
      </c>
      <c r="D92">
        <f>HYPERLINK("https://ota.tournamentsoftware.com/player-profile/01D9A845-667C-4EDB-ABF5-CFE1C5418675", "Link")</f>
        <v/>
      </c>
      <c r="E92" s="3" t="n">
        <v>1040.881</v>
      </c>
      <c r="F92" s="4" t="n">
        <v>14</v>
      </c>
      <c r="G92" t="inlineStr">
        <is>
          <t>Tennis Nova Scotia</t>
        </is>
      </c>
      <c r="H92" t="inlineStr">
        <is>
          <t>Atlantic Tennis Centre</t>
        </is>
      </c>
      <c r="I92" t="n">
        <v>29.5</v>
      </c>
      <c r="J92" s="4" t="n">
        <v>236</v>
      </c>
      <c r="K92" t="inlineStr">
        <is>
          <t>136 / 100</t>
        </is>
      </c>
      <c r="L92" t="inlineStr">
        <is>
          <t>38 / 27</t>
        </is>
      </c>
      <c r="M92" s="5" t="n">
        <v>0.58</v>
      </c>
      <c r="N92" s="5" t="n">
        <v>0.58</v>
      </c>
    </row>
    <row r="93">
      <c r="A93" t="n">
        <v>92</v>
      </c>
      <c r="B93" t="n">
        <v>2012</v>
      </c>
      <c r="C93" t="inlineStr">
        <is>
          <t>Margarita Ter-Grigoryan</t>
        </is>
      </c>
      <c r="D93">
        <f>HYPERLINK("https://ota.tournamentsoftware.com/player-profile/A86B3E87-30AA-4D57-86CF-572CF663421E", "Link")</f>
        <v/>
      </c>
      <c r="E93" s="3" t="n">
        <v>1020.42</v>
      </c>
      <c r="F93" s="4" t="n">
        <v>14</v>
      </c>
      <c r="G93" t="inlineStr">
        <is>
          <t>Tennis Saskatchewan</t>
        </is>
      </c>
      <c r="H93" t="inlineStr">
        <is>
          <t>No Club</t>
        </is>
      </c>
      <c r="I93" t="n">
        <v>31</v>
      </c>
      <c r="J93" s="4" t="n">
        <v>127</v>
      </c>
      <c r="K93" t="inlineStr">
        <is>
          <t>67 / 60</t>
        </is>
      </c>
      <c r="L93" t="inlineStr">
        <is>
          <t>27 / 30</t>
        </is>
      </c>
      <c r="M93" s="5" t="n">
        <v>0.53</v>
      </c>
      <c r="N93" s="5" t="n">
        <v>0.47</v>
      </c>
    </row>
    <row r="94">
      <c r="A94" t="n">
        <v>93</v>
      </c>
      <c r="B94" t="n">
        <v>2014</v>
      </c>
      <c r="C94" t="inlineStr">
        <is>
          <t>Victoria Markova</t>
        </is>
      </c>
      <c r="D94">
        <f>HYPERLINK("https://ota.tournamentsoftware.com/player-profile/DE909631-ADF4-4157-ABE4-0097B95C4307", "Link")</f>
        <v/>
      </c>
      <c r="E94" s="3" t="n">
        <v>1008.269</v>
      </c>
      <c r="F94" s="4" t="n">
        <v>23</v>
      </c>
      <c r="G94" t="inlineStr">
        <is>
          <t>Tennis Québec</t>
        </is>
      </c>
      <c r="H94" t="inlineStr">
        <is>
          <t>Carrefour Multisports</t>
        </is>
      </c>
      <c r="I94" t="n">
        <v>29.4</v>
      </c>
      <c r="J94" s="4" t="n">
        <v>221</v>
      </c>
      <c r="K94" t="inlineStr">
        <is>
          <t>120 / 101</t>
        </is>
      </c>
      <c r="L94" t="inlineStr">
        <is>
          <t>35 / 24</t>
        </is>
      </c>
      <c r="M94" s="5" t="n">
        <v>0.54</v>
      </c>
      <c r="N94" s="5" t="n">
        <v>0.59</v>
      </c>
    </row>
    <row r="95">
      <c r="A95" t="n">
        <v>94</v>
      </c>
      <c r="B95" t="n">
        <v>2012</v>
      </c>
      <c r="C95" t="inlineStr">
        <is>
          <t>Adrienne Keaton Nelson</t>
        </is>
      </c>
      <c r="D95">
        <f>HYPERLINK("https://ota.tournamentsoftware.com/player-profile/1D977DD3-331D-4977-B4D6-E3202A6C56BD", "Link")</f>
        <v/>
      </c>
      <c r="E95" s="3" t="n">
        <v>1001.811</v>
      </c>
      <c r="F95" s="4" t="n">
        <v>42</v>
      </c>
      <c r="G95" t="inlineStr">
        <is>
          <t>Ontario Tennis Association</t>
        </is>
      </c>
      <c r="H95" t="inlineStr">
        <is>
          <t>Blackmore Tennis Club</t>
        </is>
      </c>
      <c r="I95" t="n">
        <v>28.1</v>
      </c>
      <c r="J95" s="4" t="n">
        <v>228</v>
      </c>
      <c r="K95" t="inlineStr">
        <is>
          <t>111 / 117</t>
        </is>
      </c>
      <c r="L95" t="inlineStr">
        <is>
          <t>25 / 22</t>
        </is>
      </c>
      <c r="M95" s="5" t="n">
        <v>0.49</v>
      </c>
      <c r="N95" s="5" t="n">
        <v>0.53</v>
      </c>
    </row>
    <row r="96">
      <c r="A96" t="n">
        <v>95</v>
      </c>
      <c r="B96" t="n">
        <v>2013</v>
      </c>
      <c r="C96" t="inlineStr">
        <is>
          <t>Aubrianna Ellen York</t>
        </is>
      </c>
      <c r="D96">
        <f>HYPERLINK("https://ota.tournamentsoftware.com/player-profile/FDFD6FEF-AD8B-4B1E-ADE3-15417E1BCF05", "Link")</f>
        <v/>
      </c>
      <c r="E96" s="3" t="n">
        <v>970.944</v>
      </c>
      <c r="F96" s="4" t="n">
        <v>18</v>
      </c>
      <c r="G96" t="inlineStr">
        <is>
          <t>Tennis Alberta</t>
        </is>
      </c>
      <c r="H96" t="inlineStr">
        <is>
          <t>Aforza</t>
        </is>
      </c>
      <c r="I96" t="n">
        <v>28.1</v>
      </c>
      <c r="J96" s="4" t="n">
        <v>214</v>
      </c>
      <c r="K96" t="inlineStr">
        <is>
          <t>113 / 101</t>
        </is>
      </c>
      <c r="L96" t="inlineStr">
        <is>
          <t>28 / 19</t>
        </is>
      </c>
      <c r="M96" s="5" t="n">
        <v>0.53</v>
      </c>
      <c r="N96" s="5" t="n">
        <v>0.6</v>
      </c>
    </row>
    <row r="97">
      <c r="A97" t="n">
        <v>96</v>
      </c>
      <c r="B97" t="n">
        <v>2012</v>
      </c>
      <c r="C97" t="inlineStr">
        <is>
          <t>Laura Patsynka</t>
        </is>
      </c>
      <c r="D97">
        <f>HYPERLINK("https://ota.tournamentsoftware.com/player-profile/49340E93-6E30-4683-9E0F-4D50A1C584F1", "Link")</f>
        <v/>
      </c>
      <c r="E97" s="3" t="n">
        <v>965.962</v>
      </c>
      <c r="F97" s="4" t="n">
        <v>31</v>
      </c>
      <c r="G97" t="inlineStr">
        <is>
          <t>Ontario Tennis Association</t>
        </is>
      </c>
      <c r="H97" t="inlineStr">
        <is>
          <t>Peak Performance Tennis Academy</t>
        </is>
      </c>
      <c r="I97" t="inlineStr">
        <is>
          <t>unavailable</t>
        </is>
      </c>
      <c r="J97" s="4" t="n">
        <v>197</v>
      </c>
      <c r="K97" t="inlineStr">
        <is>
          <t>79 / 118</t>
        </is>
      </c>
      <c r="L97" t="inlineStr">
        <is>
          <t>10 / 19</t>
        </is>
      </c>
      <c r="M97" s="5" t="n">
        <v>0.4</v>
      </c>
      <c r="N97" s="5" t="n">
        <v>0.34</v>
      </c>
    </row>
    <row r="98">
      <c r="A98" t="n">
        <v>97</v>
      </c>
      <c r="B98" t="n">
        <v>2012</v>
      </c>
      <c r="C98" t="inlineStr">
        <is>
          <t>Chloe Lou Friesen</t>
        </is>
      </c>
      <c r="D98">
        <f>HYPERLINK("https://ota.tournamentsoftware.com/player-profile/A0A11672-F1E8-4BD3-A43A-BB82984EDDA5", "Link")</f>
        <v/>
      </c>
      <c r="E98" s="3" t="n">
        <v>959.691</v>
      </c>
      <c r="F98" s="4" t="n">
        <v>18</v>
      </c>
      <c r="G98" t="inlineStr">
        <is>
          <t>British Columbia</t>
        </is>
      </c>
      <c r="H98" t="inlineStr">
        <is>
          <t>Vancouver Lawn Tennis and Badminton Club</t>
        </is>
      </c>
      <c r="I98" t="n">
        <v>26</v>
      </c>
      <c r="J98" s="4" t="n">
        <v>235</v>
      </c>
      <c r="K98" t="inlineStr">
        <is>
          <t>129 / 106</t>
        </is>
      </c>
      <c r="L98" t="inlineStr">
        <is>
          <t>24 / 16</t>
        </is>
      </c>
      <c r="M98" s="5" t="n">
        <v>0.55</v>
      </c>
      <c r="N98" s="5" t="n">
        <v>0.6</v>
      </c>
    </row>
    <row r="99">
      <c r="A99" t="n">
        <v>98</v>
      </c>
      <c r="B99" t="n">
        <v>2015</v>
      </c>
      <c r="C99" t="inlineStr">
        <is>
          <t>Evelyn J.C. Liu</t>
        </is>
      </c>
      <c r="D99">
        <f>HYPERLINK("https://ota.tournamentsoftware.com/player-profile/193F9EEB-1528-48A2-A0D8-C6448E62254A", "Link")</f>
        <v/>
      </c>
      <c r="E99" s="3" t="n">
        <v>945.349</v>
      </c>
      <c r="F99" s="4" t="n">
        <v>20</v>
      </c>
      <c r="G99" t="inlineStr">
        <is>
          <t>British Columbia</t>
        </is>
      </c>
      <c r="H99" t="inlineStr">
        <is>
          <t>Vancouver Lawn Tennis and Badminton Club</t>
        </is>
      </c>
      <c r="I99" t="n">
        <v>26.9</v>
      </c>
      <c r="J99" s="4" t="n">
        <v>271</v>
      </c>
      <c r="K99" t="inlineStr">
        <is>
          <t>152 / 119</t>
        </is>
      </c>
      <c r="L99" t="inlineStr">
        <is>
          <t>41 / 22</t>
        </is>
      </c>
      <c r="M99" s="5" t="n">
        <v>0.5600000000000001</v>
      </c>
      <c r="N99" s="5" t="n">
        <v>0.65</v>
      </c>
    </row>
    <row r="100">
      <c r="A100" t="n">
        <v>99</v>
      </c>
      <c r="B100" t="n">
        <v>2015</v>
      </c>
      <c r="C100" t="inlineStr">
        <is>
          <t>Aahana Guha</t>
        </is>
      </c>
      <c r="D100">
        <f>HYPERLINK("https://ota.tournamentsoftware.com/player-profile/B6BFAEC0-924F-4635-B45C-E700061D4B03", "Link")</f>
        <v/>
      </c>
      <c r="E100" s="3" t="n">
        <v>944.747</v>
      </c>
      <c r="F100" s="4" t="n">
        <v>11</v>
      </c>
      <c r="G100" t="inlineStr">
        <is>
          <t>Tennis Saskatchewan</t>
        </is>
      </c>
      <c r="H100" t="inlineStr">
        <is>
          <t>Lakeshore Tennis Club</t>
        </is>
      </c>
      <c r="I100" t="n">
        <v>30.8</v>
      </c>
      <c r="J100" s="4" t="n">
        <v>171</v>
      </c>
      <c r="K100" t="inlineStr">
        <is>
          <t>90 / 81</t>
        </is>
      </c>
      <c r="L100" t="inlineStr">
        <is>
          <t>34 / 23</t>
        </is>
      </c>
      <c r="M100" s="5" t="n">
        <v>0.53</v>
      </c>
      <c r="N100" s="5" t="n">
        <v>0.6</v>
      </c>
    </row>
    <row r="101">
      <c r="A101" t="n">
        <v>100</v>
      </c>
      <c r="B101" t="n">
        <v>2013</v>
      </c>
      <c r="C101" t="inlineStr">
        <is>
          <t>Varvara Lutsyk</t>
        </is>
      </c>
      <c r="D101">
        <f>HYPERLINK("https://ota.tournamentsoftware.com/player-profile/5197490D-6996-4375-892E-2696E508FF34", "Link")</f>
        <v/>
      </c>
      <c r="E101" s="3" t="n">
        <v>940.271</v>
      </c>
      <c r="F101" s="4" t="n">
        <v>20</v>
      </c>
      <c r="G101" t="inlineStr">
        <is>
          <t>Tennis Québec</t>
        </is>
      </c>
      <c r="H101" t="inlineStr">
        <is>
          <t>Club Sportif Côte-de-Liesse</t>
        </is>
      </c>
      <c r="I101" t="n">
        <v>25.6</v>
      </c>
      <c r="J101" s="4" t="n">
        <v>204</v>
      </c>
      <c r="K101" t="inlineStr">
        <is>
          <t>131 / 73</t>
        </is>
      </c>
      <c r="L101" t="inlineStr">
        <is>
          <t>25 / 17</t>
        </is>
      </c>
      <c r="M101" s="5" t="n">
        <v>0.64</v>
      </c>
      <c r="N101" s="5" t="n">
        <v>0.6</v>
      </c>
    </row>
    <row r="102">
      <c r="A102" t="n">
        <v>101</v>
      </c>
      <c r="B102" t="n">
        <v>2013</v>
      </c>
      <c r="C102" t="inlineStr">
        <is>
          <t>Akshara Bavanaka</t>
        </is>
      </c>
      <c r="D102">
        <f>HYPERLINK("https://ota.tournamentsoftware.com/player-profile/DB56F65D-8A18-4169-BE31-18F89B25E14B", "Link")</f>
        <v/>
      </c>
      <c r="E102" s="3" t="n">
        <v>897.643</v>
      </c>
      <c r="F102" s="4" t="n">
        <v>37</v>
      </c>
      <c r="G102" t="inlineStr">
        <is>
          <t>Ontario Tennis Association</t>
        </is>
      </c>
      <c r="H102" t="inlineStr">
        <is>
          <t>Advantage Tennis International at Veneto</t>
        </is>
      </c>
      <c r="I102" t="n">
        <v>30.5</v>
      </c>
      <c r="J102" s="4" t="n">
        <v>226</v>
      </c>
      <c r="K102" t="inlineStr">
        <is>
          <t>116 / 110</t>
        </is>
      </c>
      <c r="L102" t="inlineStr">
        <is>
          <t>15 / 19</t>
        </is>
      </c>
      <c r="M102" s="5" t="n">
        <v>0.51</v>
      </c>
      <c r="N102" s="5" t="n">
        <v>0.44</v>
      </c>
    </row>
    <row r="103">
      <c r="A103" t="n">
        <v>102</v>
      </c>
      <c r="B103" t="n">
        <v>2013</v>
      </c>
      <c r="C103" t="inlineStr">
        <is>
          <t>Amelia Karapalevski</t>
        </is>
      </c>
      <c r="D103">
        <f>HYPERLINK("https://ota.tournamentsoftware.com/player-profile/FA2D2790-6EBD-4928-94F7-17F54621E2B4", "Link")</f>
        <v/>
      </c>
      <c r="E103" s="3" t="n">
        <v>896.6180000000001</v>
      </c>
      <c r="F103" s="4" t="n">
        <v>36</v>
      </c>
      <c r="G103" t="inlineStr">
        <is>
          <t>Ontario Tennis Association</t>
        </is>
      </c>
      <c r="H103" t="inlineStr">
        <is>
          <t>No Club</t>
        </is>
      </c>
      <c r="I103" t="n">
        <v>28.2</v>
      </c>
      <c r="J103" s="4" t="n">
        <v>216</v>
      </c>
      <c r="K103" t="inlineStr">
        <is>
          <t>126 / 90</t>
        </is>
      </c>
      <c r="L103" t="inlineStr">
        <is>
          <t>32 / 19</t>
        </is>
      </c>
      <c r="M103" s="5" t="n">
        <v>0.58</v>
      </c>
      <c r="N103" s="5" t="n">
        <v>0.63</v>
      </c>
    </row>
    <row r="104">
      <c r="A104" t="n">
        <v>103</v>
      </c>
      <c r="B104" t="n">
        <v>2014</v>
      </c>
      <c r="C104" t="inlineStr">
        <is>
          <t>Qiuyue Li</t>
        </is>
      </c>
      <c r="D104">
        <f>HYPERLINK("https://ota.tournamentsoftware.com/player-profile/20DDEF60-3700-4387-8C53-C32DB7F857D4", "Link")</f>
        <v/>
      </c>
      <c r="E104" s="3" t="n">
        <v>884.4</v>
      </c>
      <c r="F104" s="4" t="n">
        <v>4</v>
      </c>
      <c r="G104" t="inlineStr">
        <is>
          <t>Ontario Tennis Association</t>
        </is>
      </c>
      <c r="H104" t="inlineStr">
        <is>
          <t>No Club</t>
        </is>
      </c>
      <c r="I104" t="n">
        <v>26.6</v>
      </c>
      <c r="J104" s="4" t="n">
        <v>26</v>
      </c>
      <c r="K104" t="inlineStr">
        <is>
          <t>24 / 2</t>
        </is>
      </c>
      <c r="L104" t="inlineStr">
        <is>
          <t>14 / 1</t>
        </is>
      </c>
      <c r="M104" s="5" t="n">
        <v>0.92</v>
      </c>
      <c r="N104" s="5" t="n">
        <v>0.93</v>
      </c>
    </row>
    <row r="105">
      <c r="A105" t="n">
        <v>104</v>
      </c>
      <c r="B105" t="n">
        <v>2015</v>
      </c>
      <c r="C105" t="inlineStr">
        <is>
          <t>Emilie Joly</t>
        </is>
      </c>
      <c r="D105">
        <f>HYPERLINK("https://ota.tournamentsoftware.com/player-profile/57736008-B9CA-4FCE-BEF6-90222787F336", "Link")</f>
        <v/>
      </c>
      <c r="E105" s="3" t="n">
        <v>865.3150000000001</v>
      </c>
      <c r="F105" s="4" t="n">
        <v>17</v>
      </c>
      <c r="G105" t="inlineStr">
        <is>
          <t>Ontario Tennis Association</t>
        </is>
      </c>
      <c r="H105" t="inlineStr">
        <is>
          <t>Kingston Racquet Centre</t>
        </is>
      </c>
      <c r="I105" t="n">
        <v>27.5</v>
      </c>
      <c r="J105" s="4" t="n">
        <v>224</v>
      </c>
      <c r="K105" t="inlineStr">
        <is>
          <t>156 / 68</t>
        </is>
      </c>
      <c r="L105" t="inlineStr">
        <is>
          <t>33 / 8</t>
        </is>
      </c>
      <c r="M105" s="5" t="n">
        <v>0.7</v>
      </c>
      <c r="N105" s="5" t="n">
        <v>0.8</v>
      </c>
    </row>
    <row r="106">
      <c r="A106" t="n">
        <v>105</v>
      </c>
      <c r="B106" t="n">
        <v>2012</v>
      </c>
      <c r="C106" t="inlineStr">
        <is>
          <t>Maia-Alexandra Popa</t>
        </is>
      </c>
      <c r="D106">
        <f>HYPERLINK("https://ota.tournamentsoftware.com/player-profile/1D5E0C32-9DDE-4B44-ADF9-FDB75BF638BC", "Link")</f>
        <v/>
      </c>
      <c r="E106" s="3" t="n">
        <v>857.461</v>
      </c>
      <c r="F106" s="4" t="n">
        <v>23</v>
      </c>
      <c r="G106" t="inlineStr">
        <is>
          <t>Ontario Tennis Association</t>
        </is>
      </c>
      <c r="H106" t="inlineStr">
        <is>
          <t>No Club</t>
        </is>
      </c>
      <c r="I106" t="n">
        <v>25.5</v>
      </c>
      <c r="J106" s="4" t="n">
        <v>200</v>
      </c>
      <c r="K106" t="inlineStr">
        <is>
          <t>104 / 96</t>
        </is>
      </c>
      <c r="L106" t="inlineStr">
        <is>
          <t>22 / 11</t>
        </is>
      </c>
      <c r="M106" s="5" t="n">
        <v>0.52</v>
      </c>
      <c r="N106" s="5" t="n">
        <v>0.67</v>
      </c>
    </row>
    <row r="107">
      <c r="A107" t="n">
        <v>106</v>
      </c>
      <c r="B107" t="n">
        <v>2012</v>
      </c>
      <c r="C107" t="inlineStr">
        <is>
          <t>Jaydalie Isaac</t>
        </is>
      </c>
      <c r="D107">
        <f>HYPERLINK("https://ota.tournamentsoftware.com/player-profile/A56DDC7B-03D0-424A-907D-63A363906F9A", "Link")</f>
        <v/>
      </c>
      <c r="E107" s="3" t="n">
        <v>851.111</v>
      </c>
      <c r="F107" s="4" t="n">
        <v>13</v>
      </c>
      <c r="G107" t="inlineStr">
        <is>
          <t>Tennis Québec</t>
        </is>
      </c>
      <c r="H107" t="inlineStr">
        <is>
          <t>No Club</t>
        </is>
      </c>
      <c r="I107" t="n">
        <v>27.9</v>
      </c>
      <c r="J107" s="4" t="n">
        <v>235</v>
      </c>
      <c r="K107" t="inlineStr">
        <is>
          <t>111 / 124</t>
        </is>
      </c>
      <c r="L107" t="inlineStr">
        <is>
          <t>21 / 12</t>
        </is>
      </c>
      <c r="M107" s="5" t="n">
        <v>0.47</v>
      </c>
      <c r="N107" s="5" t="n">
        <v>0.64</v>
      </c>
    </row>
    <row r="108">
      <c r="A108" t="n">
        <v>107</v>
      </c>
      <c r="B108" t="n">
        <v>2013</v>
      </c>
      <c r="C108" t="inlineStr">
        <is>
          <t>Jeanne Lampron</t>
        </is>
      </c>
      <c r="D108">
        <f>HYPERLINK("https://ota.tournamentsoftware.com/player-profile/DBA36429-C15E-4F24-9832-7D6BA94887C6", "Link")</f>
        <v/>
      </c>
      <c r="E108" s="3" t="n">
        <v>850.005</v>
      </c>
      <c r="F108" s="4" t="n">
        <v>26</v>
      </c>
      <c r="G108" t="inlineStr">
        <is>
          <t>Tennis Québec</t>
        </is>
      </c>
      <c r="H108" t="inlineStr">
        <is>
          <t>Tennis Montréal Excellence</t>
        </is>
      </c>
      <c r="I108" t="n">
        <v>26.6</v>
      </c>
      <c r="J108" s="4" t="n">
        <v>133</v>
      </c>
      <c r="K108" t="inlineStr">
        <is>
          <t>63 / 70</t>
        </is>
      </c>
      <c r="L108" t="inlineStr">
        <is>
          <t>28 / 23</t>
        </is>
      </c>
      <c r="M108" s="5" t="n">
        <v>0.47</v>
      </c>
      <c r="N108" s="5" t="n">
        <v>0.55</v>
      </c>
    </row>
    <row r="109">
      <c r="A109" t="n">
        <v>108</v>
      </c>
      <c r="B109" t="n">
        <v>2012</v>
      </c>
      <c r="C109" t="inlineStr">
        <is>
          <t>Olivia Escobar</t>
        </is>
      </c>
      <c r="D109">
        <f>HYPERLINK("https://ota.tournamentsoftware.com/player-profile/9E3A15EA-D947-4048-B7A7-6C2437D34132", "Link")</f>
        <v/>
      </c>
      <c r="E109" s="3" t="n">
        <v>836.9160000000001</v>
      </c>
      <c r="F109" s="4" t="n">
        <v>36</v>
      </c>
      <c r="G109" t="inlineStr">
        <is>
          <t>Tennis Québec</t>
        </is>
      </c>
      <c r="H109" t="inlineStr">
        <is>
          <t>Tennis Ile- des- Soeurs</t>
        </is>
      </c>
      <c r="I109" t="n">
        <v>28.8</v>
      </c>
      <c r="J109" s="4" t="n">
        <v>345</v>
      </c>
      <c r="K109" t="inlineStr">
        <is>
          <t>131 / 214</t>
        </is>
      </c>
      <c r="L109" t="inlineStr">
        <is>
          <t>19 / 23</t>
        </is>
      </c>
      <c r="M109" s="5" t="n">
        <v>0.38</v>
      </c>
      <c r="N109" s="5" t="n">
        <v>0.45</v>
      </c>
    </row>
    <row r="110">
      <c r="A110" t="n">
        <v>109</v>
      </c>
      <c r="B110" t="n">
        <v>2014</v>
      </c>
      <c r="C110" t="inlineStr">
        <is>
          <t>Thanida (Belle) Shaipanich</t>
        </is>
      </c>
      <c r="D110">
        <f>HYPERLINK("https://ota.tournamentsoftware.com/player-profile/98546C72-5CCA-44E8-AFB9-20B9D560E5E3", "Link")</f>
        <v/>
      </c>
      <c r="E110" s="3" t="n">
        <v>835.515</v>
      </c>
      <c r="F110" s="4" t="n">
        <v>17</v>
      </c>
      <c r="G110" t="inlineStr">
        <is>
          <t>British Columbia</t>
        </is>
      </c>
      <c r="H110" t="inlineStr">
        <is>
          <t>UBC Tennis Centre</t>
        </is>
      </c>
      <c r="I110" t="n">
        <v>27.7</v>
      </c>
      <c r="J110" s="4" t="n">
        <v>206</v>
      </c>
      <c r="K110" t="inlineStr">
        <is>
          <t>148 / 58</t>
        </is>
      </c>
      <c r="L110" t="inlineStr">
        <is>
          <t>31 / 21</t>
        </is>
      </c>
      <c r="M110" s="5" t="n">
        <v>0.72</v>
      </c>
      <c r="N110" s="5" t="n">
        <v>0.6</v>
      </c>
    </row>
    <row r="111">
      <c r="A111" t="n">
        <v>110</v>
      </c>
      <c r="B111" t="n">
        <v>2012</v>
      </c>
      <c r="C111" t="inlineStr">
        <is>
          <t>Zenaida May Kolesnikov</t>
        </is>
      </c>
      <c r="D111">
        <f>HYPERLINK("https://ota.tournamentsoftware.com/player-profile/0D20CA06-CC79-483F-87DD-AD6F5FC76972", "Link")</f>
        <v/>
      </c>
      <c r="E111" s="3" t="n">
        <v>834.88</v>
      </c>
      <c r="F111" s="4" t="n">
        <v>6</v>
      </c>
      <c r="G111" t="inlineStr">
        <is>
          <t>Ontario Tennis Association</t>
        </is>
      </c>
      <c r="H111" t="inlineStr">
        <is>
          <t>Kew Gardens Tennis Club</t>
        </is>
      </c>
      <c r="I111" t="n">
        <v>24.3</v>
      </c>
      <c r="J111" s="4" t="n">
        <v>85</v>
      </c>
      <c r="K111" t="inlineStr">
        <is>
          <t>66 / 19</t>
        </is>
      </c>
      <c r="L111" t="inlineStr">
        <is>
          <t>12 / 2</t>
        </is>
      </c>
      <c r="M111" s="5" t="n">
        <v>0.78</v>
      </c>
      <c r="N111" s="5" t="n">
        <v>0.86</v>
      </c>
    </row>
    <row r="112">
      <c r="A112" t="n">
        <v>111</v>
      </c>
      <c r="B112" t="n">
        <v>2014</v>
      </c>
      <c r="C112" t="inlineStr">
        <is>
          <t>Edwina Ed Xue</t>
        </is>
      </c>
      <c r="D112">
        <f>HYPERLINK("https://ota.tournamentsoftware.com/player-profile/16F3FDF7-F098-4A63-9D5F-87B196D248B5", "Link")</f>
        <v/>
      </c>
      <c r="E112" s="3" t="n">
        <v>821.777</v>
      </c>
      <c r="F112" s="4" t="n">
        <v>24</v>
      </c>
      <c r="G112" t="inlineStr">
        <is>
          <t>Ontario Tennis Association</t>
        </is>
      </c>
      <c r="H112" t="inlineStr">
        <is>
          <t>Granite Club</t>
        </is>
      </c>
      <c r="I112" t="n">
        <v>28.5</v>
      </c>
      <c r="J112" s="4" t="n">
        <v>288</v>
      </c>
      <c r="K112" t="inlineStr">
        <is>
          <t>169 / 119</t>
        </is>
      </c>
      <c r="L112" t="inlineStr">
        <is>
          <t>29 / 23</t>
        </is>
      </c>
      <c r="M112" s="5" t="n">
        <v>0.59</v>
      </c>
      <c r="N112" s="5" t="n">
        <v>0.5600000000000001</v>
      </c>
    </row>
    <row r="113">
      <c r="A113" t="n">
        <v>112</v>
      </c>
      <c r="B113" t="n">
        <v>2012</v>
      </c>
      <c r="C113" t="inlineStr">
        <is>
          <t>Estelle Kroupetski</t>
        </is>
      </c>
      <c r="D113">
        <f>HYPERLINK("https://ota.tournamentsoftware.com/player-profile/7A8D0D40-A77C-429C-81D6-05DC21DB8D28", "Link")</f>
        <v/>
      </c>
      <c r="E113" s="3" t="n">
        <v>816.504</v>
      </c>
      <c r="F113" s="4" t="n">
        <v>19</v>
      </c>
      <c r="G113" t="inlineStr">
        <is>
          <t>Ontario Tennis Association</t>
        </is>
      </c>
      <c r="H113" t="inlineStr">
        <is>
          <t>Ontario Racquet Club</t>
        </is>
      </c>
      <c r="I113" t="n">
        <v>28.4</v>
      </c>
      <c r="J113" s="4" t="n">
        <v>143</v>
      </c>
      <c r="K113" t="inlineStr">
        <is>
          <t>71 / 72</t>
        </is>
      </c>
      <c r="L113" t="inlineStr">
        <is>
          <t>27 / 10</t>
        </is>
      </c>
      <c r="M113" s="5" t="n">
        <v>0.5</v>
      </c>
      <c r="N113" s="5" t="n">
        <v>0.73</v>
      </c>
    </row>
    <row r="114">
      <c r="A114" t="n">
        <v>113</v>
      </c>
      <c r="B114" t="n">
        <v>2014</v>
      </c>
      <c r="C114" t="inlineStr">
        <is>
          <t>Nyah Morgan</t>
        </is>
      </c>
      <c r="D114">
        <f>HYPERLINK("https://ota.tournamentsoftware.com/player-profile/D9CA028A-3366-4954-9B65-F9840B84F93D", "Link")</f>
        <v/>
      </c>
      <c r="E114" s="3" t="n">
        <v>794.096</v>
      </c>
      <c r="F114" s="4" t="n">
        <v>21</v>
      </c>
      <c r="G114" t="inlineStr">
        <is>
          <t>Ontario Tennis Association</t>
        </is>
      </c>
      <c r="H114" t="inlineStr">
        <is>
          <t>Premier Racquet Clubs – Mississauga</t>
        </is>
      </c>
      <c r="I114" t="n">
        <v>28.4</v>
      </c>
      <c r="J114" s="4" t="n">
        <v>204</v>
      </c>
      <c r="K114" t="inlineStr">
        <is>
          <t>131 / 73</t>
        </is>
      </c>
      <c r="L114" t="inlineStr">
        <is>
          <t>29 / 17</t>
        </is>
      </c>
      <c r="M114" s="5" t="n">
        <v>0.64</v>
      </c>
      <c r="N114" s="5" t="n">
        <v>0.63</v>
      </c>
    </row>
    <row r="115">
      <c r="A115" t="n">
        <v>114</v>
      </c>
      <c r="B115" t="n">
        <v>2013</v>
      </c>
      <c r="C115" t="inlineStr">
        <is>
          <t>Melanie Moon</t>
        </is>
      </c>
      <c r="D115">
        <f>HYPERLINK("https://ota.tournamentsoftware.com/player-profile/90FC60A1-D48C-4A9A-97D8-A17B60CF6D4A", "Link")</f>
        <v/>
      </c>
      <c r="E115" s="3" t="n">
        <v>784.8390000000001</v>
      </c>
      <c r="F115" s="4" t="n">
        <v>15</v>
      </c>
      <c r="G115" t="inlineStr">
        <is>
          <t>British Columbia</t>
        </is>
      </c>
      <c r="H115" t="inlineStr">
        <is>
          <t>Vancouver Lawn Tennis and Badminton Club</t>
        </is>
      </c>
      <c r="I115" t="n">
        <v>28.3</v>
      </c>
      <c r="J115" s="4" t="n">
        <v>236</v>
      </c>
      <c r="K115" t="inlineStr">
        <is>
          <t>119 / 117</t>
        </is>
      </c>
      <c r="L115" t="inlineStr">
        <is>
          <t>10 / 17</t>
        </is>
      </c>
      <c r="M115" s="5" t="n">
        <v>0.5</v>
      </c>
      <c r="N115" s="5" t="n">
        <v>0.37</v>
      </c>
    </row>
    <row r="116">
      <c r="A116" t="n">
        <v>115</v>
      </c>
      <c r="B116" t="n">
        <v>2013</v>
      </c>
      <c r="C116" t="inlineStr">
        <is>
          <t>Élianne Bouchard</t>
        </is>
      </c>
      <c r="D116">
        <f>HYPERLINK("https://ota.tournamentsoftware.com/player-profile/44233F45-64EC-49B2-AA72-859E176C2987", "Link")</f>
        <v/>
      </c>
      <c r="E116" s="3" t="n">
        <v>784.313</v>
      </c>
      <c r="F116" s="4" t="n">
        <v>27</v>
      </c>
      <c r="G116" t="inlineStr">
        <is>
          <t>Tennis Québec</t>
        </is>
      </c>
      <c r="H116" t="inlineStr">
        <is>
          <t>Tennis Interclub Piedmont</t>
        </is>
      </c>
      <c r="I116" t="n">
        <v>29.7</v>
      </c>
      <c r="J116" s="4" t="n">
        <v>241</v>
      </c>
      <c r="K116" t="inlineStr">
        <is>
          <t>113 / 128</t>
        </is>
      </c>
      <c r="L116" t="inlineStr">
        <is>
          <t>27 / 20</t>
        </is>
      </c>
      <c r="M116" s="5" t="n">
        <v>0.47</v>
      </c>
      <c r="N116" s="5" t="n">
        <v>0.57</v>
      </c>
    </row>
    <row r="117">
      <c r="A117" t="n">
        <v>116</v>
      </c>
      <c r="B117" t="n">
        <v>2012</v>
      </c>
      <c r="C117" t="inlineStr">
        <is>
          <t>Penelope Brandt</t>
        </is>
      </c>
      <c r="D117">
        <f>HYPERLINK("https://ota.tournamentsoftware.com/player-profile/AA2E46A9-EC33-4492-A527-0C8E0CA405B0", "Link")</f>
        <v/>
      </c>
      <c r="E117" s="3" t="n">
        <v>784.1559999999999</v>
      </c>
      <c r="F117" s="4" t="n">
        <v>26</v>
      </c>
      <c r="G117" t="inlineStr">
        <is>
          <t>Tennis Québec</t>
        </is>
      </c>
      <c r="H117" t="inlineStr">
        <is>
          <t>SANI Sport</t>
        </is>
      </c>
      <c r="I117" t="n">
        <v>27.9</v>
      </c>
      <c r="J117" s="4" t="n">
        <v>244</v>
      </c>
      <c r="K117" t="inlineStr">
        <is>
          <t>123 / 121</t>
        </is>
      </c>
      <c r="L117" t="inlineStr">
        <is>
          <t>32 / 20</t>
        </is>
      </c>
      <c r="M117" s="5" t="n">
        <v>0.5</v>
      </c>
      <c r="N117" s="5" t="n">
        <v>0.62</v>
      </c>
    </row>
    <row r="118">
      <c r="A118" t="n">
        <v>117</v>
      </c>
      <c r="B118" t="n">
        <v>2013</v>
      </c>
      <c r="C118" t="inlineStr">
        <is>
          <t>Navya Chawla</t>
        </is>
      </c>
      <c r="D118">
        <f>HYPERLINK("https://ota.tournamentsoftware.com/player-profile/26838C23-66D4-4CAD-825B-C69620EB242D", "Link")</f>
        <v/>
      </c>
      <c r="E118" s="3" t="n">
        <v>777.96</v>
      </c>
      <c r="F118" s="4" t="n">
        <v>18</v>
      </c>
      <c r="G118" t="inlineStr">
        <is>
          <t>Tennis Alberta</t>
        </is>
      </c>
      <c r="H118" t="inlineStr">
        <is>
          <t>Osten &amp; Victor Alberta Tennis Centre</t>
        </is>
      </c>
      <c r="I118" t="n">
        <v>24.6</v>
      </c>
      <c r="J118" s="4" t="n">
        <v>281</v>
      </c>
      <c r="K118" t="inlineStr">
        <is>
          <t>178 / 103</t>
        </is>
      </c>
      <c r="L118" t="inlineStr">
        <is>
          <t>14 / 13</t>
        </is>
      </c>
      <c r="M118" s="5" t="n">
        <v>0.63</v>
      </c>
      <c r="N118" s="5" t="n">
        <v>0.52</v>
      </c>
    </row>
    <row r="119">
      <c r="A119" t="n">
        <v>118</v>
      </c>
      <c r="B119" t="n">
        <v>2015</v>
      </c>
      <c r="C119" t="inlineStr">
        <is>
          <t>Olivia Lu</t>
        </is>
      </c>
      <c r="D119">
        <f>HYPERLINK("https://ota.tournamentsoftware.com/player-profile/807CAE71-A1FD-4ED2-952F-E0EDBF0E66E6", "Link")</f>
        <v/>
      </c>
      <c r="E119" s="3" t="n">
        <v>767.184</v>
      </c>
      <c r="F119" s="4" t="n">
        <v>25</v>
      </c>
      <c r="G119" t="inlineStr">
        <is>
          <t>Ontario Tennis Association</t>
        </is>
      </c>
      <c r="H119" t="inlineStr">
        <is>
          <t>Advantage Tennis International at Veneto</t>
        </is>
      </c>
      <c r="I119" t="n">
        <v>30.7</v>
      </c>
      <c r="J119" s="4" t="n">
        <v>161</v>
      </c>
      <c r="K119" t="inlineStr">
        <is>
          <t>93 / 68</t>
        </is>
      </c>
      <c r="L119" t="inlineStr">
        <is>
          <t>26 / 16</t>
        </is>
      </c>
      <c r="M119" s="5" t="n">
        <v>0.58</v>
      </c>
      <c r="N119" s="5" t="n">
        <v>0.62</v>
      </c>
    </row>
    <row r="120">
      <c r="A120" t="n">
        <v>119</v>
      </c>
      <c r="B120" t="n">
        <v>2013</v>
      </c>
      <c r="C120" t="inlineStr">
        <is>
          <t>Natalia Sena</t>
        </is>
      </c>
      <c r="D120">
        <f>HYPERLINK("https://ota.tournamentsoftware.com/player-profile/D89592D5-D2EA-499E-9A9C-8B20B391C761", "Link")</f>
        <v/>
      </c>
      <c r="E120" s="3" t="n">
        <v>753.0940000000001</v>
      </c>
      <c r="F120" s="4" t="n">
        <v>29</v>
      </c>
      <c r="G120" t="inlineStr">
        <is>
          <t>Tennis Québec</t>
        </is>
      </c>
      <c r="H120" t="inlineStr">
        <is>
          <t>No Club</t>
        </is>
      </c>
      <c r="I120" t="n">
        <v>29.2</v>
      </c>
      <c r="J120" s="4" t="n">
        <v>86</v>
      </c>
      <c r="K120" t="inlineStr">
        <is>
          <t>43 / 43</t>
        </is>
      </c>
      <c r="L120" t="inlineStr">
        <is>
          <t>24 / 14</t>
        </is>
      </c>
      <c r="M120" s="5" t="n">
        <v>0.5</v>
      </c>
      <c r="N120" s="5" t="n">
        <v>0.63</v>
      </c>
    </row>
    <row r="121">
      <c r="A121" t="n">
        <v>120</v>
      </c>
      <c r="B121" t="n">
        <v>2013</v>
      </c>
      <c r="C121" t="inlineStr">
        <is>
          <t>Mia Nikolovska</t>
        </is>
      </c>
      <c r="D121">
        <f>HYPERLINK("https://ota.tournamentsoftware.com/player-profile/52158395-8ADB-4430-ABAA-C56A79756D09", "Link")</f>
        <v/>
      </c>
      <c r="E121" s="3" t="n">
        <v>747.96</v>
      </c>
      <c r="F121" s="4" t="n">
        <v>38</v>
      </c>
      <c r="G121" t="inlineStr">
        <is>
          <t>Ontario Tennis Association</t>
        </is>
      </c>
      <c r="H121" t="inlineStr">
        <is>
          <t>No Club</t>
        </is>
      </c>
      <c r="I121" t="inlineStr">
        <is>
          <t>unavailable</t>
        </is>
      </c>
      <c r="J121" s="4" t="n">
        <v>360</v>
      </c>
      <c r="K121" t="inlineStr">
        <is>
          <t>218 / 142</t>
        </is>
      </c>
      <c r="L121" t="inlineStr">
        <is>
          <t>28 / 21</t>
        </is>
      </c>
      <c r="M121" s="5" t="n">
        <v>0.61</v>
      </c>
      <c r="N121" s="5" t="n">
        <v>0.57</v>
      </c>
    </row>
    <row r="122">
      <c r="A122" t="n">
        <v>121</v>
      </c>
      <c r="B122" t="n">
        <v>2012</v>
      </c>
      <c r="C122" t="inlineStr">
        <is>
          <t>Victoria Chow</t>
        </is>
      </c>
      <c r="D122">
        <f>HYPERLINK("https://ota.tournamentsoftware.com/player-profile/7A966C5F-11C4-49ED-9F9D-2B1D18AB7E3B", "Link")</f>
        <v/>
      </c>
      <c r="E122" s="3" t="n">
        <v>743.375</v>
      </c>
      <c r="F122" s="4" t="n">
        <v>18</v>
      </c>
      <c r="G122" t="inlineStr">
        <is>
          <t>Ontario Tennis Association</t>
        </is>
      </c>
      <c r="H122" t="inlineStr">
        <is>
          <t>No Club</t>
        </is>
      </c>
      <c r="I122" t="inlineStr">
        <is>
          <t>unavailable</t>
        </is>
      </c>
      <c r="J122" s="4" t="n">
        <v>274</v>
      </c>
      <c r="K122" t="inlineStr">
        <is>
          <t>139 / 135</t>
        </is>
      </c>
      <c r="L122" t="inlineStr">
        <is>
          <t>13 / 21</t>
        </is>
      </c>
      <c r="M122" s="5" t="n">
        <v>0.51</v>
      </c>
      <c r="N122" s="5" t="n">
        <v>0.38</v>
      </c>
    </row>
    <row r="123">
      <c r="A123" t="n">
        <v>122</v>
      </c>
      <c r="B123" t="n">
        <v>2012</v>
      </c>
      <c r="C123" t="inlineStr">
        <is>
          <t>Meika Sebastian</t>
        </is>
      </c>
      <c r="D123">
        <f>HYPERLINK("https://ota.tournamentsoftware.com/player-profile/0CA7407B-419A-43BA-82FB-32200AA68BA2", "Link")</f>
        <v/>
      </c>
      <c r="E123" s="3" t="n">
        <v>719.111</v>
      </c>
      <c r="F123" s="4" t="n">
        <v>8</v>
      </c>
      <c r="G123" t="inlineStr">
        <is>
          <t>Ontario Tennis Association</t>
        </is>
      </c>
      <c r="H123" t="inlineStr">
        <is>
          <t>City of Kingston</t>
        </is>
      </c>
      <c r="I123" t="n">
        <v>24.6</v>
      </c>
      <c r="J123" s="4" t="n">
        <v>287</v>
      </c>
      <c r="K123" t="inlineStr">
        <is>
          <t>147 / 140</t>
        </is>
      </c>
      <c r="L123" t="inlineStr">
        <is>
          <t>0 / 4</t>
        </is>
      </c>
      <c r="M123" s="5" t="n">
        <v>0.51</v>
      </c>
      <c r="N123" s="5" t="n">
        <v>0</v>
      </c>
    </row>
    <row r="124">
      <c r="A124" t="n">
        <v>123</v>
      </c>
      <c r="B124" t="n">
        <v>2014</v>
      </c>
      <c r="C124" t="inlineStr">
        <is>
          <t>Nuanyi Li</t>
        </is>
      </c>
      <c r="D124">
        <f>HYPERLINK("https://ota.tournamentsoftware.com/player-profile/341DA394-9039-4254-B369-B8C52872A168", "Link")</f>
        <v/>
      </c>
      <c r="E124" s="3" t="n">
        <v>710.697</v>
      </c>
      <c r="F124" s="4" t="n">
        <v>29</v>
      </c>
      <c r="G124" t="inlineStr">
        <is>
          <t>Ontario Tennis Association</t>
        </is>
      </c>
      <c r="H124" t="inlineStr">
        <is>
          <t>Fainblum Tennis Academy</t>
        </is>
      </c>
      <c r="I124" t="n">
        <v>28.3</v>
      </c>
      <c r="J124" s="4" t="n">
        <v>287</v>
      </c>
      <c r="K124" t="inlineStr">
        <is>
          <t>178 / 109</t>
        </is>
      </c>
      <c r="L124" t="inlineStr">
        <is>
          <t>27 / 26</t>
        </is>
      </c>
      <c r="M124" s="5" t="n">
        <v>0.62</v>
      </c>
      <c r="N124" s="5" t="n">
        <v>0.51</v>
      </c>
    </row>
    <row r="125">
      <c r="A125" t="n">
        <v>124</v>
      </c>
      <c r="B125" t="n">
        <v>2012</v>
      </c>
      <c r="C125" t="inlineStr">
        <is>
          <t>Emma Abdou</t>
        </is>
      </c>
      <c r="D125">
        <f>HYPERLINK("https://ota.tournamentsoftware.com/player-profile/FD6387AB-774D-491E-8A68-CE4DD20FAEF7", "Link")</f>
        <v/>
      </c>
      <c r="E125" s="3" t="n">
        <v>704.612</v>
      </c>
      <c r="F125" s="4" t="n">
        <v>32</v>
      </c>
      <c r="G125" t="inlineStr">
        <is>
          <t>Ontario Tennis Association</t>
        </is>
      </c>
      <c r="H125" t="inlineStr">
        <is>
          <t>Granite Club</t>
        </is>
      </c>
      <c r="I125" t="n">
        <v>30.5</v>
      </c>
      <c r="J125" s="4" t="n">
        <v>204</v>
      </c>
      <c r="K125" t="inlineStr">
        <is>
          <t>97 / 107</t>
        </is>
      </c>
      <c r="L125" t="inlineStr">
        <is>
          <t>29 / 24</t>
        </is>
      </c>
      <c r="M125" s="5" t="n">
        <v>0.48</v>
      </c>
      <c r="N125" s="5" t="n">
        <v>0.55</v>
      </c>
    </row>
    <row r="126">
      <c r="A126" t="n">
        <v>125</v>
      </c>
      <c r="B126" t="n">
        <v>2012</v>
      </c>
      <c r="C126" t="inlineStr">
        <is>
          <t>Dina Yijia Zhang</t>
        </is>
      </c>
      <c r="D126">
        <f>HYPERLINK("https://ota.tournamentsoftware.com/player-profile/CF7261D5-5723-40A9-853D-2B21D7A35985", "Link")</f>
        <v/>
      </c>
      <c r="E126" s="3" t="n">
        <v>703.611</v>
      </c>
      <c r="F126" s="4" t="n">
        <v>9</v>
      </c>
      <c r="G126" t="inlineStr">
        <is>
          <t>Tennis Nova Scotia</t>
        </is>
      </c>
      <c r="H126" t="inlineStr">
        <is>
          <t>HEADSTART</t>
        </is>
      </c>
      <c r="I126" t="n">
        <v>30.8</v>
      </c>
      <c r="J126" s="4" t="n">
        <v>158</v>
      </c>
      <c r="K126" t="inlineStr">
        <is>
          <t>64 / 94</t>
        </is>
      </c>
      <c r="L126" t="inlineStr">
        <is>
          <t>8 / 15</t>
        </is>
      </c>
      <c r="M126" s="5" t="n">
        <v>0.41</v>
      </c>
      <c r="N126" s="5" t="n">
        <v>0.35</v>
      </c>
    </row>
    <row r="127">
      <c r="A127" t="n">
        <v>126</v>
      </c>
      <c r="B127" t="n">
        <v>2013</v>
      </c>
      <c r="C127" t="inlineStr">
        <is>
          <t>Elena Vamoser</t>
        </is>
      </c>
      <c r="D127">
        <f>HYPERLINK("https://ota.tournamentsoftware.com/player-profile/F839ADA6-2875-4712-9FE7-C958E075D669", "Link")</f>
        <v/>
      </c>
      <c r="E127" s="3" t="n">
        <v>697.77</v>
      </c>
      <c r="F127" s="4" t="n">
        <v>27</v>
      </c>
      <c r="G127" t="inlineStr">
        <is>
          <t>Ontario Tennis Association</t>
        </is>
      </c>
      <c r="H127" t="inlineStr">
        <is>
          <t>ACE Tennis - Burlington</t>
        </is>
      </c>
      <c r="I127" t="n">
        <v>30.6</v>
      </c>
      <c r="J127" s="4" t="n">
        <v>128</v>
      </c>
      <c r="K127" t="inlineStr">
        <is>
          <t>74 / 54</t>
        </is>
      </c>
      <c r="L127" t="inlineStr">
        <is>
          <t>15 / 17</t>
        </is>
      </c>
      <c r="M127" s="5" t="n">
        <v>0.58</v>
      </c>
      <c r="N127" s="5" t="n">
        <v>0.47</v>
      </c>
    </row>
    <row r="128">
      <c r="A128" t="n">
        <v>127</v>
      </c>
      <c r="B128" t="n">
        <v>2016</v>
      </c>
      <c r="C128" t="inlineStr">
        <is>
          <t>Kaili Ear Gui</t>
        </is>
      </c>
      <c r="D128">
        <f>HYPERLINK("https://ota.tournamentsoftware.com/player-profile/6E1FCBA7-1BA6-4DCA-9440-D121E3710638", "Link")</f>
        <v/>
      </c>
      <c r="E128" s="3" t="n">
        <v>695.772</v>
      </c>
      <c r="F128" s="4" t="n">
        <v>13</v>
      </c>
      <c r="G128" t="inlineStr">
        <is>
          <t>Tennis Saskatchewan</t>
        </is>
      </c>
      <c r="H128" t="inlineStr">
        <is>
          <t>Lakeshore Tennis Club</t>
        </is>
      </c>
      <c r="I128" t="n">
        <v>31.7</v>
      </c>
      <c r="J128" s="4" t="n">
        <v>147</v>
      </c>
      <c r="K128" t="inlineStr">
        <is>
          <t>84 / 63</t>
        </is>
      </c>
      <c r="L128" t="inlineStr">
        <is>
          <t>35 / 30</t>
        </is>
      </c>
      <c r="M128" s="5" t="n">
        <v>0.57</v>
      </c>
      <c r="N128" s="5" t="n">
        <v>0.54</v>
      </c>
    </row>
    <row r="129">
      <c r="A129" t="n">
        <v>128</v>
      </c>
      <c r="B129" t="n">
        <v>2012</v>
      </c>
      <c r="C129" t="inlineStr">
        <is>
          <t>Cindy Zixuan Li</t>
        </is>
      </c>
      <c r="D129">
        <f>HYPERLINK("https://ota.tournamentsoftware.com/player-profile/23E61DC5-74BF-4612-8E7F-7DA0B013D911", "Link")</f>
        <v/>
      </c>
      <c r="E129" s="3" t="n">
        <v>661.299</v>
      </c>
      <c r="F129" s="4" t="n">
        <v>10</v>
      </c>
      <c r="G129" t="inlineStr">
        <is>
          <t>British Columbia</t>
        </is>
      </c>
      <c r="H129" t="inlineStr">
        <is>
          <t>Vanguard Tennis Academy</t>
        </is>
      </c>
      <c r="I129" t="n">
        <v>27.2</v>
      </c>
      <c r="J129" s="4" t="n">
        <v>137</v>
      </c>
      <c r="K129" t="inlineStr">
        <is>
          <t>69 / 68</t>
        </is>
      </c>
      <c r="L129" t="inlineStr">
        <is>
          <t>8 / 7</t>
        </is>
      </c>
      <c r="M129" s="5" t="n">
        <v>0.5</v>
      </c>
      <c r="N129" s="5" t="n">
        <v>0.53</v>
      </c>
    </row>
    <row r="130">
      <c r="A130" t="n">
        <v>129</v>
      </c>
      <c r="B130" t="n">
        <v>2012</v>
      </c>
      <c r="C130" t="inlineStr">
        <is>
          <t>Luisa Victoria Davis</t>
        </is>
      </c>
      <c r="D130">
        <f>HYPERLINK("https://ota.tournamentsoftware.com/player-profile/F5AE6D4A-50BA-4E57-AD34-589189161D57", "Link")</f>
        <v/>
      </c>
      <c r="E130" s="3" t="n">
        <v>656.047</v>
      </c>
      <c r="F130" s="4" t="n">
        <v>13</v>
      </c>
      <c r="G130" t="inlineStr">
        <is>
          <t>Ontario Tennis Association</t>
        </is>
      </c>
      <c r="H130" t="inlineStr">
        <is>
          <t>Mayfair West Fitness &amp; Racquet Club</t>
        </is>
      </c>
      <c r="I130" t="inlineStr">
        <is>
          <t>unavailable</t>
        </is>
      </c>
      <c r="J130" s="4" t="n">
        <v>200</v>
      </c>
      <c r="K130" t="inlineStr">
        <is>
          <t>128 / 72</t>
        </is>
      </c>
      <c r="L130" t="inlineStr">
        <is>
          <t>6 / 10</t>
        </is>
      </c>
      <c r="M130" s="5" t="n">
        <v>0.64</v>
      </c>
      <c r="N130" s="5" t="n">
        <v>0.38</v>
      </c>
    </row>
    <row r="131">
      <c r="A131" t="n">
        <v>130</v>
      </c>
      <c r="B131" t="n">
        <v>2012</v>
      </c>
      <c r="C131" t="inlineStr">
        <is>
          <t>Chloe Fischer</t>
        </is>
      </c>
      <c r="D131">
        <f>HYPERLINK("https://ota.tournamentsoftware.com/player-profile/4F19921D-D25C-4DFA-8A7D-90DE48FEB722", "Link")</f>
        <v/>
      </c>
      <c r="E131" s="3" t="n">
        <v>646.653</v>
      </c>
      <c r="F131" s="4" t="n">
        <v>24</v>
      </c>
      <c r="G131" t="inlineStr">
        <is>
          <t>Ontario Tennis Association</t>
        </is>
      </c>
      <c r="H131" t="inlineStr">
        <is>
          <t>No Club</t>
        </is>
      </c>
      <c r="I131" t="n">
        <v>33</v>
      </c>
      <c r="J131" s="4" t="n">
        <v>217</v>
      </c>
      <c r="K131" t="inlineStr">
        <is>
          <t>102 / 115</t>
        </is>
      </c>
      <c r="L131" t="inlineStr">
        <is>
          <t>6 / 21</t>
        </is>
      </c>
      <c r="M131" s="5" t="n">
        <v>0.47</v>
      </c>
      <c r="N131" s="5" t="n">
        <v>0.22</v>
      </c>
    </row>
    <row r="132">
      <c r="A132" t="n">
        <v>131</v>
      </c>
      <c r="B132" t="n">
        <v>2012</v>
      </c>
      <c r="C132" t="inlineStr">
        <is>
          <t>Madison Tam</t>
        </is>
      </c>
      <c r="D132">
        <f>HYPERLINK("https://ota.tournamentsoftware.com/player-profile/827C7FCD-2D7D-406E-B5C0-29D0720096DC", "Link")</f>
        <v/>
      </c>
      <c r="E132" s="3" t="n">
        <v>638.2</v>
      </c>
      <c r="F132" s="4" t="n">
        <v>21</v>
      </c>
      <c r="G132" t="inlineStr">
        <is>
          <t>Ontario Tennis Association</t>
        </is>
      </c>
      <c r="H132" t="inlineStr">
        <is>
          <t>Sir Winston Churchill Tennis Club</t>
        </is>
      </c>
      <c r="I132" t="n">
        <v>29.1</v>
      </c>
      <c r="J132" s="4" t="n">
        <v>441</v>
      </c>
      <c r="K132" t="inlineStr">
        <is>
          <t>316 / 125</t>
        </is>
      </c>
      <c r="L132" t="inlineStr">
        <is>
          <t>19 / 10</t>
        </is>
      </c>
      <c r="M132" s="5" t="n">
        <v>0.72</v>
      </c>
      <c r="N132" s="5" t="n">
        <v>0.66</v>
      </c>
    </row>
    <row r="133">
      <c r="A133" t="n">
        <v>132</v>
      </c>
      <c r="B133" t="n">
        <v>2013</v>
      </c>
      <c r="C133" t="inlineStr">
        <is>
          <t>Leyan Isabella Yik Sum Leung</t>
        </is>
      </c>
      <c r="D133">
        <f>HYPERLINK("https://ota.tournamentsoftware.com/player-profile/7FB2D792-ABB2-4F05-B9D4-757321E9FA35", "Link")</f>
        <v/>
      </c>
      <c r="E133" s="3" t="n">
        <v>635.405</v>
      </c>
      <c r="F133" s="4" t="n">
        <v>21</v>
      </c>
      <c r="G133" t="inlineStr">
        <is>
          <t>British Columbia</t>
        </is>
      </c>
      <c r="H133" t="inlineStr">
        <is>
          <t>Vanguard Tennis Academy</t>
        </is>
      </c>
      <c r="I133" t="n">
        <v>27.7</v>
      </c>
      <c r="J133" s="4" t="n">
        <v>123</v>
      </c>
      <c r="K133" t="inlineStr">
        <is>
          <t>79 / 44</t>
        </is>
      </c>
      <c r="L133" t="inlineStr">
        <is>
          <t>29 / 16</t>
        </is>
      </c>
      <c r="M133" s="5" t="n">
        <v>0.64</v>
      </c>
      <c r="N133" s="5" t="n">
        <v>0.64</v>
      </c>
    </row>
    <row r="134">
      <c r="A134" t="n">
        <v>133</v>
      </c>
      <c r="B134" t="n">
        <v>2014</v>
      </c>
      <c r="C134" t="inlineStr">
        <is>
          <t>Emmanuella Ibrahim</t>
        </is>
      </c>
      <c r="D134">
        <f>HYPERLINK("https://ota.tournamentsoftware.com/player-profile/8CFFE2B1-9508-4CB2-8E6A-6761AA8394EA", "Link")</f>
        <v/>
      </c>
      <c r="E134" s="3" t="n">
        <v>628.717</v>
      </c>
      <c r="F134" s="4" t="n">
        <v>18</v>
      </c>
      <c r="G134" t="inlineStr">
        <is>
          <t>Tennis Alberta</t>
        </is>
      </c>
      <c r="H134" t="inlineStr">
        <is>
          <t>Aforza</t>
        </is>
      </c>
      <c r="I134" t="inlineStr">
        <is>
          <t>unavailable</t>
        </is>
      </c>
      <c r="J134" s="4" t="n">
        <v>190</v>
      </c>
      <c r="K134" t="inlineStr">
        <is>
          <t>137 / 53</t>
        </is>
      </c>
      <c r="L134" t="inlineStr">
        <is>
          <t>39 / 16</t>
        </is>
      </c>
      <c r="M134" s="5" t="n">
        <v>0.72</v>
      </c>
      <c r="N134" s="5" t="n">
        <v>0.71</v>
      </c>
    </row>
    <row r="135">
      <c r="A135" t="n">
        <v>134</v>
      </c>
      <c r="B135" t="n">
        <v>2012</v>
      </c>
      <c r="C135" t="inlineStr">
        <is>
          <t>Yutong (Olivia) Ha</t>
        </is>
      </c>
      <c r="D135">
        <f>HYPERLINK("https://ota.tournamentsoftware.com/player-profile/53AE0DB5-1F76-4FB8-9870-3B236A9DAA97", "Link")</f>
        <v/>
      </c>
      <c r="E135" s="3" t="n">
        <v>624.7430000000001</v>
      </c>
      <c r="F135" s="4" t="n">
        <v>17</v>
      </c>
      <c r="G135" t="inlineStr">
        <is>
          <t>Ontario Tennis Association</t>
        </is>
      </c>
      <c r="H135" t="inlineStr">
        <is>
          <t>Richmondhill Golf &amp; Country Club</t>
        </is>
      </c>
      <c r="I135" t="inlineStr">
        <is>
          <t>unavailable</t>
        </is>
      </c>
      <c r="J135" s="4" t="n">
        <v>195</v>
      </c>
      <c r="K135" t="inlineStr">
        <is>
          <t>84 / 111</t>
        </is>
      </c>
      <c r="L135" t="inlineStr">
        <is>
          <t>6 / 16</t>
        </is>
      </c>
      <c r="M135" s="5" t="n">
        <v>0.43</v>
      </c>
      <c r="N135" s="5" t="n">
        <v>0.27</v>
      </c>
    </row>
    <row r="136">
      <c r="A136" t="n">
        <v>135</v>
      </c>
      <c r="B136" t="n">
        <v>2012</v>
      </c>
      <c r="C136" t="inlineStr">
        <is>
          <t>Riddhi Jha</t>
        </is>
      </c>
      <c r="D136">
        <f>HYPERLINK("https://ota.tournamentsoftware.com/player-profile/3B4B01BB-2AAD-49DD-B186-312576B12DC9", "Link")</f>
        <v/>
      </c>
      <c r="E136" s="3" t="n">
        <v>622.258</v>
      </c>
      <c r="F136" s="4" t="n">
        <v>14</v>
      </c>
      <c r="G136" t="inlineStr">
        <is>
          <t>Ontario Tennis Association</t>
        </is>
      </c>
      <c r="H136" t="inlineStr">
        <is>
          <t>Bramalea Tennis Club</t>
        </is>
      </c>
      <c r="I136" t="n">
        <v>30.9</v>
      </c>
      <c r="J136" s="4" t="n">
        <v>241</v>
      </c>
      <c r="K136" t="inlineStr">
        <is>
          <t>89 / 152</t>
        </is>
      </c>
      <c r="L136" t="inlineStr">
        <is>
          <t>18 / 11</t>
        </is>
      </c>
      <c r="M136" s="5" t="n">
        <v>0.37</v>
      </c>
      <c r="N136" s="5" t="n">
        <v>0.62</v>
      </c>
    </row>
    <row r="137">
      <c r="A137" t="n">
        <v>136</v>
      </c>
      <c r="B137" t="n">
        <v>2015</v>
      </c>
      <c r="C137" t="inlineStr">
        <is>
          <t>Amy Jiao</t>
        </is>
      </c>
      <c r="D137">
        <f>HYPERLINK("https://ota.tournamentsoftware.com/player-profile/5977984B-8EC9-4812-BCFA-CD93C4FFD7AF", "Link")</f>
        <v/>
      </c>
      <c r="E137" s="3" t="n">
        <v>616.011</v>
      </c>
      <c r="F137" s="4" t="n">
        <v>23</v>
      </c>
      <c r="G137" t="inlineStr">
        <is>
          <t>Ontario Tennis Association</t>
        </is>
      </c>
      <c r="H137" t="inlineStr">
        <is>
          <t>Rideau Sports Centre</t>
        </is>
      </c>
      <c r="I137" t="n">
        <v>29.1</v>
      </c>
      <c r="J137" s="4" t="n">
        <v>292</v>
      </c>
      <c r="K137" t="inlineStr">
        <is>
          <t>164 / 128</t>
        </is>
      </c>
      <c r="L137" t="inlineStr">
        <is>
          <t>45 / 26</t>
        </is>
      </c>
      <c r="M137" s="5" t="n">
        <v>0.5600000000000001</v>
      </c>
      <c r="N137" s="5" t="n">
        <v>0.63</v>
      </c>
    </row>
    <row r="138">
      <c r="A138" t="n">
        <v>137</v>
      </c>
      <c r="B138" t="n">
        <v>2014</v>
      </c>
      <c r="C138" t="inlineStr">
        <is>
          <t>Evelyn Wang</t>
        </is>
      </c>
      <c r="D138">
        <f>HYPERLINK("https://ota.tournamentsoftware.com/player-profile/3A43E7FB-647C-4296-8E8D-106421DC2080", "Link")</f>
        <v/>
      </c>
      <c r="E138" s="3" t="n">
        <v>615.356</v>
      </c>
      <c r="F138" s="4" t="n">
        <v>18</v>
      </c>
      <c r="G138" t="inlineStr">
        <is>
          <t>British Columbia</t>
        </is>
      </c>
      <c r="H138" t="inlineStr">
        <is>
          <t>UBC Tennis Centre</t>
        </is>
      </c>
      <c r="I138" t="n">
        <v>28.5</v>
      </c>
      <c r="J138" s="4" t="n">
        <v>246</v>
      </c>
      <c r="K138" t="inlineStr">
        <is>
          <t>123 / 123</t>
        </is>
      </c>
      <c r="L138" t="inlineStr">
        <is>
          <t>27 / 24</t>
        </is>
      </c>
      <c r="M138" s="5" t="n">
        <v>0.5</v>
      </c>
      <c r="N138" s="5" t="n">
        <v>0.53</v>
      </c>
    </row>
    <row r="139">
      <c r="A139" t="n">
        <v>138</v>
      </c>
      <c r="B139" t="n">
        <v>2015</v>
      </c>
      <c r="C139" t="inlineStr">
        <is>
          <t>Emma Yin</t>
        </is>
      </c>
      <c r="D139">
        <f>HYPERLINK("https://ota.tournamentsoftware.com/player-profile/F90E2576-5989-4051-9E1F-45C789378967", "Link")</f>
        <v/>
      </c>
      <c r="E139" s="3" t="n">
        <v>613.705</v>
      </c>
      <c r="F139" s="4" t="n">
        <v>11</v>
      </c>
      <c r="G139" t="inlineStr">
        <is>
          <t>Tennis Saskatchewan</t>
        </is>
      </c>
      <c r="H139" t="inlineStr">
        <is>
          <t>Lakeshore Tennis Club</t>
        </is>
      </c>
      <c r="I139" t="n">
        <v>30.1</v>
      </c>
      <c r="J139" s="4" t="n">
        <v>157</v>
      </c>
      <c r="K139" t="inlineStr">
        <is>
          <t>80 / 77</t>
        </is>
      </c>
      <c r="L139" t="inlineStr">
        <is>
          <t>34 / 22</t>
        </is>
      </c>
      <c r="M139" s="5" t="n">
        <v>0.51</v>
      </c>
      <c r="N139" s="5" t="n">
        <v>0.61</v>
      </c>
    </row>
    <row r="140">
      <c r="A140" t="n">
        <v>139</v>
      </c>
      <c r="B140" t="n">
        <v>2014</v>
      </c>
      <c r="C140" t="inlineStr">
        <is>
          <t>Alice Yu-Qi Ren</t>
        </is>
      </c>
      <c r="D140">
        <f>HYPERLINK("https://ota.tournamentsoftware.com/player-profile/FE127D3B-825E-4C4F-9666-BA4529348FE4", "Link")</f>
        <v/>
      </c>
      <c r="E140" s="3" t="n">
        <v>610.301</v>
      </c>
      <c r="F140" s="4" t="n">
        <v>19</v>
      </c>
      <c r="G140" t="inlineStr">
        <is>
          <t>Tennis Alberta</t>
        </is>
      </c>
      <c r="H140" t="inlineStr">
        <is>
          <t>Saville Community Sports Centre</t>
        </is>
      </c>
      <c r="I140" t="n">
        <v>28.2</v>
      </c>
      <c r="J140" s="4" t="n">
        <v>208</v>
      </c>
      <c r="K140" t="inlineStr">
        <is>
          <t>142 / 66</t>
        </is>
      </c>
      <c r="L140" t="inlineStr">
        <is>
          <t>39 / 17</t>
        </is>
      </c>
      <c r="M140" s="5" t="n">
        <v>0.68</v>
      </c>
      <c r="N140" s="5" t="n">
        <v>0.7</v>
      </c>
    </row>
    <row r="141">
      <c r="A141" t="n">
        <v>140</v>
      </c>
      <c r="B141" t="n">
        <v>2012</v>
      </c>
      <c r="C141" t="inlineStr">
        <is>
          <t>OLIVIA JUNHAN CAO</t>
        </is>
      </c>
      <c r="D141">
        <f>HYPERLINK("https://ota.tournamentsoftware.com/player-profile/3D68BE77-5DE2-40D9-BCC3-C836A764F3EF", "Link")</f>
        <v/>
      </c>
      <c r="E141" s="3" t="n">
        <v>608.6</v>
      </c>
      <c r="F141" s="4" t="n">
        <v>19</v>
      </c>
      <c r="G141" t="inlineStr">
        <is>
          <t>British Columbia</t>
        </is>
      </c>
      <c r="H141" t="inlineStr">
        <is>
          <t>Richmond Country Club</t>
        </is>
      </c>
      <c r="I141" t="n">
        <v>27.2</v>
      </c>
      <c r="J141" s="4" t="n">
        <v>147</v>
      </c>
      <c r="K141" t="inlineStr">
        <is>
          <t>100 / 47</t>
        </is>
      </c>
      <c r="L141" t="inlineStr">
        <is>
          <t>37 / 16</t>
        </is>
      </c>
      <c r="M141" s="5" t="n">
        <v>0.68</v>
      </c>
      <c r="N141" s="5" t="n">
        <v>0.7</v>
      </c>
    </row>
    <row r="142">
      <c r="A142" t="n">
        <v>141</v>
      </c>
      <c r="B142" t="n">
        <v>2014</v>
      </c>
      <c r="C142" t="inlineStr">
        <is>
          <t>Naomi Iamandi</t>
        </is>
      </c>
      <c r="D142">
        <f>HYPERLINK("https://ota.tournamentsoftware.com/player-profile/5653599F-FFB6-46FA-B574-E53D7FBC278E", "Link")</f>
        <v/>
      </c>
      <c r="E142" s="3" t="n">
        <v>607.422</v>
      </c>
      <c r="F142" s="4" t="n">
        <v>24</v>
      </c>
      <c r="G142" t="inlineStr">
        <is>
          <t>Ontario Tennis Association</t>
        </is>
      </c>
      <c r="H142" t="inlineStr">
        <is>
          <t>Joshua Creek Golf &amp; Tennis</t>
        </is>
      </c>
      <c r="I142" t="n">
        <v>30.4</v>
      </c>
      <c r="J142" s="4" t="n">
        <v>228</v>
      </c>
      <c r="K142" t="inlineStr">
        <is>
          <t>124 / 104</t>
        </is>
      </c>
      <c r="L142" t="inlineStr">
        <is>
          <t>15 / 23</t>
        </is>
      </c>
      <c r="M142" s="5" t="n">
        <v>0.54</v>
      </c>
      <c r="N142" s="5" t="n">
        <v>0.39</v>
      </c>
    </row>
    <row r="143">
      <c r="A143" t="n">
        <v>142</v>
      </c>
      <c r="B143" t="n">
        <v>2013</v>
      </c>
      <c r="C143" t="inlineStr">
        <is>
          <t>Blaire Ming min kaminski</t>
        </is>
      </c>
      <c r="D143">
        <f>HYPERLINK("https://ota.tournamentsoftware.com/player-profile/F1255585-993D-4DBF-ADE9-E5818DCBA131", "Link")</f>
        <v/>
      </c>
      <c r="E143" s="3" t="n">
        <v>601.103</v>
      </c>
      <c r="F143" s="4" t="n">
        <v>16</v>
      </c>
      <c r="G143" t="inlineStr">
        <is>
          <t>Tennis Alberta</t>
        </is>
      </c>
      <c r="H143" t="inlineStr">
        <is>
          <t>Osten &amp; Victor Alberta Tennis Centre</t>
        </is>
      </c>
      <c r="I143" t="inlineStr">
        <is>
          <t>unavailable</t>
        </is>
      </c>
      <c r="J143" s="4" t="n">
        <v>124</v>
      </c>
      <c r="K143" t="inlineStr">
        <is>
          <t>60 / 64</t>
        </is>
      </c>
      <c r="L143" t="inlineStr">
        <is>
          <t>15 / 13</t>
        </is>
      </c>
      <c r="M143" s="5" t="n">
        <v>0.48</v>
      </c>
      <c r="N143" s="5" t="n">
        <v>0.54</v>
      </c>
    </row>
    <row r="144">
      <c r="A144" t="n">
        <v>143</v>
      </c>
      <c r="B144" t="n">
        <v>2012</v>
      </c>
      <c r="C144" t="inlineStr">
        <is>
          <t>Anna Lucenti</t>
        </is>
      </c>
      <c r="D144">
        <f>HYPERLINK("https://ota.tournamentsoftware.com/player-profile/332E40CD-AB90-41CE-81C3-858501B2FAD3", "Link")</f>
        <v/>
      </c>
      <c r="E144" s="3" t="n">
        <v>592.889</v>
      </c>
      <c r="F144" s="4" t="n">
        <v>29</v>
      </c>
      <c r="G144" t="inlineStr">
        <is>
          <t>Ontario Tennis Association</t>
        </is>
      </c>
      <c r="H144" t="inlineStr">
        <is>
          <t>SmartVMC Racquetsports by ACE</t>
        </is>
      </c>
      <c r="I144" t="n">
        <v>31.3</v>
      </c>
      <c r="J144" s="4" t="n">
        <v>128</v>
      </c>
      <c r="K144" t="inlineStr">
        <is>
          <t>51 / 77</t>
        </is>
      </c>
      <c r="L144" t="inlineStr">
        <is>
          <t>18 / 14</t>
        </is>
      </c>
      <c r="M144" s="5" t="n">
        <v>0.4</v>
      </c>
      <c r="N144" s="5" t="n">
        <v>0.5600000000000001</v>
      </c>
    </row>
    <row r="145">
      <c r="A145" t="n">
        <v>144</v>
      </c>
      <c r="B145" t="n">
        <v>2013</v>
      </c>
      <c r="C145" t="inlineStr">
        <is>
          <t>Bianca Nestor</t>
        </is>
      </c>
      <c r="D145">
        <f>HYPERLINK("https://ota.tournamentsoftware.com/player-profile/8BAE5D37-8145-43F6-9016-30DDC5E4E994", "Link")</f>
        <v/>
      </c>
      <c r="E145" s="3" t="n">
        <v>587.992</v>
      </c>
      <c r="F145" s="4" t="n">
        <v>23</v>
      </c>
      <c r="G145" t="inlineStr">
        <is>
          <t>Ontario Tennis Association</t>
        </is>
      </c>
      <c r="H145" t="inlineStr">
        <is>
          <t>Toronto Lawn Tennis Club</t>
        </is>
      </c>
      <c r="I145" t="n">
        <v>30.3</v>
      </c>
      <c r="J145" s="4" t="n">
        <v>194</v>
      </c>
      <c r="K145" t="inlineStr">
        <is>
          <t>95 / 99</t>
        </is>
      </c>
      <c r="L145" t="inlineStr">
        <is>
          <t>14 / 13</t>
        </is>
      </c>
      <c r="M145" s="5" t="n">
        <v>0.49</v>
      </c>
      <c r="N145" s="5" t="n">
        <v>0.52</v>
      </c>
    </row>
    <row r="146">
      <c r="A146" t="n">
        <v>145</v>
      </c>
      <c r="B146" t="n">
        <v>2013</v>
      </c>
      <c r="C146" t="inlineStr">
        <is>
          <t>Zoe Yeung</t>
        </is>
      </c>
      <c r="D146">
        <f>HYPERLINK("https://ota.tournamentsoftware.com/player-profile/69712725-5DA5-49A3-9C42-5A05BBB6B230", "Link")</f>
        <v/>
      </c>
      <c r="E146" s="3" t="n">
        <v>583.942</v>
      </c>
      <c r="F146" s="4" t="n">
        <v>16</v>
      </c>
      <c r="G146" t="inlineStr">
        <is>
          <t>Tennis Alberta</t>
        </is>
      </c>
      <c r="H146" t="inlineStr">
        <is>
          <t>Osten &amp; Victor Alberta Tennis Centre</t>
        </is>
      </c>
      <c r="I146" t="n">
        <v>29.2</v>
      </c>
      <c r="J146" s="4" t="n">
        <v>184</v>
      </c>
      <c r="K146" t="inlineStr">
        <is>
          <t>87 / 97</t>
        </is>
      </c>
      <c r="L146" t="inlineStr">
        <is>
          <t>13 / 16</t>
        </is>
      </c>
      <c r="M146" s="5" t="n">
        <v>0.47</v>
      </c>
      <c r="N146" s="5" t="n">
        <v>0.45</v>
      </c>
    </row>
    <row r="147">
      <c r="A147" t="n">
        <v>146</v>
      </c>
      <c r="B147" t="n">
        <v>2012</v>
      </c>
      <c r="C147" t="inlineStr">
        <is>
          <t>Malia Lee Datta</t>
        </is>
      </c>
      <c r="D147">
        <f>HYPERLINK("https://ota.tournamentsoftware.com/player-profile/0FC1E5E7-0316-49C4-95C5-C429E3032398", "Link")</f>
        <v/>
      </c>
      <c r="E147" s="3" t="n">
        <v>583.375</v>
      </c>
      <c r="F147" s="4" t="n">
        <v>17</v>
      </c>
      <c r="G147" t="inlineStr">
        <is>
          <t>Tennis Alberta</t>
        </is>
      </c>
      <c r="H147" t="inlineStr">
        <is>
          <t>Calgary Winter Club</t>
        </is>
      </c>
      <c r="I147" t="n">
        <v>28.5</v>
      </c>
      <c r="J147" s="4" t="n">
        <v>149</v>
      </c>
      <c r="K147" t="inlineStr">
        <is>
          <t>64 / 85</t>
        </is>
      </c>
      <c r="L147" t="inlineStr">
        <is>
          <t>13 / 18</t>
        </is>
      </c>
      <c r="M147" s="5" t="n">
        <v>0.43</v>
      </c>
      <c r="N147" s="5" t="n">
        <v>0.42</v>
      </c>
    </row>
    <row r="148">
      <c r="A148" t="n">
        <v>147</v>
      </c>
      <c r="B148" t="n">
        <v>2012</v>
      </c>
      <c r="C148" t="inlineStr">
        <is>
          <t>Eliana Cantin</t>
        </is>
      </c>
      <c r="D148">
        <f>HYPERLINK("https://ota.tournamentsoftware.com/player-profile/D4DBD3FF-74D7-4D84-BB8F-104CA729E69E", "Link")</f>
        <v/>
      </c>
      <c r="E148" s="3" t="n">
        <v>579.148</v>
      </c>
      <c r="F148" s="4" t="n">
        <v>14</v>
      </c>
      <c r="G148" t="inlineStr">
        <is>
          <t>Tennis Québec</t>
        </is>
      </c>
      <c r="H148" t="inlineStr">
        <is>
          <t>Centre récréatif de Repentigny / Académie Tennis Momentum</t>
        </is>
      </c>
      <c r="I148" t="n">
        <v>29</v>
      </c>
      <c r="J148" s="4" t="n">
        <v>186</v>
      </c>
      <c r="K148" t="inlineStr">
        <is>
          <t>91 / 95</t>
        </is>
      </c>
      <c r="L148" t="inlineStr">
        <is>
          <t>9 / 16</t>
        </is>
      </c>
      <c r="M148" s="5" t="n">
        <v>0.49</v>
      </c>
      <c r="N148" s="5" t="n">
        <v>0.36</v>
      </c>
    </row>
    <row r="149">
      <c r="A149" t="n">
        <v>148</v>
      </c>
      <c r="B149" t="n">
        <v>2013</v>
      </c>
      <c r="C149" t="inlineStr">
        <is>
          <t>Maliah Morgan</t>
        </is>
      </c>
      <c r="D149">
        <f>HYPERLINK("https://ota.tournamentsoftware.com/player-profile/9A3C1326-AE04-42FE-BCE6-AF95D32715F8", "Link")</f>
        <v/>
      </c>
      <c r="E149" s="3" t="n">
        <v>577.035</v>
      </c>
      <c r="F149" s="4" t="n">
        <v>20</v>
      </c>
      <c r="G149" t="inlineStr">
        <is>
          <t>Ontario Tennis Association</t>
        </is>
      </c>
      <c r="H149" t="inlineStr">
        <is>
          <t>Joshua Creek Golf &amp; Tennis</t>
        </is>
      </c>
      <c r="I149" t="n">
        <v>29.1</v>
      </c>
      <c r="J149" s="4" t="n">
        <v>186</v>
      </c>
      <c r="K149" t="inlineStr">
        <is>
          <t>111 / 75</t>
        </is>
      </c>
      <c r="L149" t="inlineStr">
        <is>
          <t>11 / 12</t>
        </is>
      </c>
      <c r="M149" s="5" t="n">
        <v>0.6</v>
      </c>
      <c r="N149" s="5" t="n">
        <v>0.48</v>
      </c>
    </row>
    <row r="150">
      <c r="A150" t="n">
        <v>149</v>
      </c>
      <c r="B150" t="n">
        <v>2012</v>
      </c>
      <c r="C150" t="inlineStr">
        <is>
          <t>Caroline ChuYun Yang</t>
        </is>
      </c>
      <c r="D150">
        <f>HYPERLINK("https://ota.tournamentsoftware.com/player-profile/973A8D96-42F5-42BC-9DF2-0A195E1A983F", "Link")</f>
        <v/>
      </c>
      <c r="E150" s="3" t="n">
        <v>574.0700000000001</v>
      </c>
      <c r="F150" s="4" t="n">
        <v>22</v>
      </c>
      <c r="G150" t="inlineStr">
        <is>
          <t>British Columbia</t>
        </is>
      </c>
      <c r="H150" t="inlineStr">
        <is>
          <t>The Tennis Centre</t>
        </is>
      </c>
      <c r="I150" t="n">
        <v>28.5</v>
      </c>
      <c r="J150" s="4" t="n">
        <v>265</v>
      </c>
      <c r="K150" t="inlineStr">
        <is>
          <t>159 / 106</t>
        </is>
      </c>
      <c r="L150" t="inlineStr">
        <is>
          <t>27 / 20</t>
        </is>
      </c>
      <c r="M150" s="5" t="n">
        <v>0.6</v>
      </c>
      <c r="N150" s="5" t="n">
        <v>0.57</v>
      </c>
    </row>
    <row r="151">
      <c r="A151" t="n">
        <v>150</v>
      </c>
      <c r="B151" t="n">
        <v>2014</v>
      </c>
      <c r="C151" t="inlineStr">
        <is>
          <t>Sophie Lu</t>
        </is>
      </c>
      <c r="D151">
        <f>HYPERLINK("https://ota.tournamentsoftware.com/player-profile/5C3C8ABA-3BF6-4232-B65C-B26C16207D0A", "Link")</f>
        <v/>
      </c>
      <c r="E151" s="3" t="n">
        <v>569.085</v>
      </c>
      <c r="F151" s="4" t="n">
        <v>19</v>
      </c>
      <c r="G151" t="inlineStr">
        <is>
          <t>Tennis Québec</t>
        </is>
      </c>
      <c r="H151" t="inlineStr">
        <is>
          <t>Tennis Ile- des- Soeurs</t>
        </is>
      </c>
      <c r="I151" t="inlineStr">
        <is>
          <t>unavailable</t>
        </is>
      </c>
      <c r="J151" s="4" t="n">
        <v>210</v>
      </c>
      <c r="K151" t="inlineStr">
        <is>
          <t>107 / 103</t>
        </is>
      </c>
      <c r="L151" t="inlineStr">
        <is>
          <t>36 / 24</t>
        </is>
      </c>
      <c r="M151" s="5" t="n">
        <v>0.51</v>
      </c>
      <c r="N151" s="5" t="n">
        <v>0.6</v>
      </c>
    </row>
    <row r="152">
      <c r="A152" t="n">
        <v>151</v>
      </c>
      <c r="B152" t="n">
        <v>2012</v>
      </c>
      <c r="C152" t="inlineStr">
        <is>
          <t>Alexandra Dorobantu</t>
        </is>
      </c>
      <c r="D152">
        <f>HYPERLINK("https://ota.tournamentsoftware.com/player-profile/CE7FB59F-F5CB-4CA3-A3EB-27DC05EB2B7D", "Link")</f>
        <v/>
      </c>
      <c r="E152" s="3" t="n">
        <v>568.771</v>
      </c>
      <c r="F152" s="4" t="n">
        <v>13</v>
      </c>
      <c r="G152" t="inlineStr">
        <is>
          <t>Tennis Alberta</t>
        </is>
      </c>
      <c r="H152" t="inlineStr">
        <is>
          <t>Saville Community Sports Centre</t>
        </is>
      </c>
      <c r="I152" t="inlineStr">
        <is>
          <t>unavailable</t>
        </is>
      </c>
      <c r="J152" s="4" t="n">
        <v>156</v>
      </c>
      <c r="K152" t="inlineStr">
        <is>
          <t>76 / 80</t>
        </is>
      </c>
      <c r="L152" t="inlineStr">
        <is>
          <t>14 / 17</t>
        </is>
      </c>
      <c r="M152" s="5" t="n">
        <v>0.49</v>
      </c>
      <c r="N152" s="5" t="n">
        <v>0.45</v>
      </c>
    </row>
    <row r="153">
      <c r="A153" t="n">
        <v>152</v>
      </c>
      <c r="B153" t="n">
        <v>2014</v>
      </c>
      <c r="C153" t="inlineStr">
        <is>
          <t>Michelle Zhang</t>
        </is>
      </c>
      <c r="D153">
        <f>HYPERLINK("https://ota.tournamentsoftware.com/player-profile/9912697B-2876-4A36-8F98-3B7F524694E1", "Link")</f>
        <v/>
      </c>
      <c r="E153" s="3" t="n">
        <v>568.749</v>
      </c>
      <c r="F153" s="4" t="n">
        <v>11</v>
      </c>
      <c r="G153" t="inlineStr">
        <is>
          <t>Tennis Nova Scotia</t>
        </is>
      </c>
      <c r="H153" t="inlineStr">
        <is>
          <t>Atlantic Tennis Centre</t>
        </is>
      </c>
      <c r="I153" t="n">
        <v>30.5</v>
      </c>
      <c r="J153" s="4" t="n">
        <v>157</v>
      </c>
      <c r="K153" t="inlineStr">
        <is>
          <t>88 / 69</t>
        </is>
      </c>
      <c r="L153" t="inlineStr">
        <is>
          <t>26 / 28</t>
        </is>
      </c>
      <c r="M153" s="5" t="n">
        <v>0.5600000000000001</v>
      </c>
      <c r="N153" s="5" t="n">
        <v>0.48</v>
      </c>
    </row>
    <row r="154">
      <c r="A154" t="n">
        <v>153</v>
      </c>
      <c r="B154" t="n">
        <v>2012</v>
      </c>
      <c r="C154" t="inlineStr">
        <is>
          <t>Avea Ungureanu Pinto</t>
        </is>
      </c>
      <c r="D154">
        <f>HYPERLINK("https://ota.tournamentsoftware.com/player-profile/527FEC9E-D920-4439-9E01-51A3CFDED939", "Link")</f>
        <v/>
      </c>
      <c r="E154" s="3" t="n">
        <v>566.549</v>
      </c>
      <c r="F154" s="4" t="n">
        <v>25</v>
      </c>
      <c r="G154" t="inlineStr">
        <is>
          <t>Ontario Tennis Association</t>
        </is>
      </c>
      <c r="H154" t="inlineStr">
        <is>
          <t>Mayfair East Racquet Club</t>
        </is>
      </c>
      <c r="I154" t="n">
        <v>29.3</v>
      </c>
      <c r="J154" s="4" t="n">
        <v>137</v>
      </c>
      <c r="K154" t="inlineStr">
        <is>
          <t>73 / 64</t>
        </is>
      </c>
      <c r="L154" t="inlineStr">
        <is>
          <t>18 / 15</t>
        </is>
      </c>
      <c r="M154" s="5" t="n">
        <v>0.53</v>
      </c>
      <c r="N154" s="5" t="n">
        <v>0.55</v>
      </c>
    </row>
    <row r="155">
      <c r="A155" t="n">
        <v>154</v>
      </c>
      <c r="B155" t="n">
        <v>2013</v>
      </c>
      <c r="C155" t="inlineStr">
        <is>
          <t>Chloe Elizabeth Kotorobai</t>
        </is>
      </c>
      <c r="D155">
        <f>HYPERLINK("https://ota.tournamentsoftware.com/player-profile/FA516D57-03A4-4F2E-810D-864F5732F5CE", "Link")</f>
        <v/>
      </c>
      <c r="E155" s="3" t="n">
        <v>559.52</v>
      </c>
      <c r="F155" s="4" t="n">
        <v>23</v>
      </c>
      <c r="G155" t="inlineStr">
        <is>
          <t>Ontario Tennis Association</t>
        </is>
      </c>
      <c r="H155" t="inlineStr">
        <is>
          <t>City of Stoney Creek</t>
        </is>
      </c>
      <c r="I155" t="n">
        <v>31.8</v>
      </c>
      <c r="J155" s="4" t="n">
        <v>90</v>
      </c>
      <c r="K155" t="inlineStr">
        <is>
          <t>36 / 54</t>
        </is>
      </c>
      <c r="L155" t="inlineStr">
        <is>
          <t>8 / 13</t>
        </is>
      </c>
      <c r="M155" s="5" t="n">
        <v>0.4</v>
      </c>
      <c r="N155" s="5" t="n">
        <v>0.38</v>
      </c>
    </row>
    <row r="156">
      <c r="A156" t="n">
        <v>155</v>
      </c>
      <c r="B156" t="n">
        <v>2015</v>
      </c>
      <c r="C156" t="inlineStr">
        <is>
          <t>Alexia Djomo</t>
        </is>
      </c>
      <c r="D156">
        <f>HYPERLINK("https://ota.tournamentsoftware.com/player-profile/DCE433A3-22C1-4484-BA5B-62931094794E", "Link")</f>
        <v/>
      </c>
      <c r="E156" s="3" t="n">
        <v>559.021</v>
      </c>
      <c r="F156" s="4" t="n">
        <v>13</v>
      </c>
      <c r="G156" t="inlineStr">
        <is>
          <t>Tennis Manitoba</t>
        </is>
      </c>
      <c r="H156" t="inlineStr">
        <is>
          <t>Winnipeg Winter Club</t>
        </is>
      </c>
      <c r="I156" t="n">
        <v>33</v>
      </c>
      <c r="J156" s="4" t="n">
        <v>78</v>
      </c>
      <c r="K156" t="inlineStr">
        <is>
          <t>31 / 47</t>
        </is>
      </c>
      <c r="L156" t="inlineStr">
        <is>
          <t>24 / 28</t>
        </is>
      </c>
      <c r="M156" s="5" t="n">
        <v>0.4</v>
      </c>
      <c r="N156" s="5" t="n">
        <v>0.46</v>
      </c>
    </row>
    <row r="157">
      <c r="A157" t="n">
        <v>156</v>
      </c>
      <c r="B157" t="n">
        <v>2014</v>
      </c>
      <c r="C157" t="inlineStr">
        <is>
          <t>Fengfei ZHANG</t>
        </is>
      </c>
      <c r="D157">
        <f>HYPERLINK("https://ota.tournamentsoftware.com/player-profile/AB18AFB2-DEDF-42AF-BFB1-458553AF250C", "Link")</f>
        <v/>
      </c>
      <c r="E157" s="3" t="n">
        <v>554.277</v>
      </c>
      <c r="F157" s="4" t="n">
        <v>28</v>
      </c>
      <c r="G157" t="inlineStr">
        <is>
          <t>Tennis Québec</t>
        </is>
      </c>
      <c r="H157" t="inlineStr">
        <is>
          <t>Tennis Ile- des- Soeurs</t>
        </is>
      </c>
      <c r="I157" t="n">
        <v>29.2</v>
      </c>
      <c r="J157" s="4" t="n">
        <v>230</v>
      </c>
      <c r="K157" t="inlineStr">
        <is>
          <t>100 / 130</t>
        </is>
      </c>
      <c r="L157" t="inlineStr">
        <is>
          <t>34 / 31</t>
        </is>
      </c>
      <c r="M157" s="5" t="n">
        <v>0.43</v>
      </c>
      <c r="N157" s="5" t="n">
        <v>0.52</v>
      </c>
    </row>
    <row r="158">
      <c r="A158" t="n">
        <v>157</v>
      </c>
      <c r="B158" t="n">
        <v>2015</v>
      </c>
      <c r="C158" t="inlineStr">
        <is>
          <t>NELIA BERKOUD</t>
        </is>
      </c>
      <c r="D158">
        <f>HYPERLINK("https://ota.tournamentsoftware.com/player-profile/2E73021E-DEDD-484B-95FC-00429D223FB2", "Link")</f>
        <v/>
      </c>
      <c r="E158" s="3" t="n">
        <v>554.133</v>
      </c>
      <c r="F158" s="4" t="n">
        <v>24</v>
      </c>
      <c r="G158" t="inlineStr">
        <is>
          <t>Tennis Québec</t>
        </is>
      </c>
      <c r="H158" t="inlineStr">
        <is>
          <t>Carrefour Multisports</t>
        </is>
      </c>
      <c r="I158" t="n">
        <v>30.2</v>
      </c>
      <c r="J158" s="4" t="n">
        <v>142</v>
      </c>
      <c r="K158" t="inlineStr">
        <is>
          <t>87 / 55</t>
        </is>
      </c>
      <c r="L158" t="inlineStr">
        <is>
          <t>31 / 27</t>
        </is>
      </c>
      <c r="M158" s="5" t="n">
        <v>0.61</v>
      </c>
      <c r="N158" s="5" t="n">
        <v>0.53</v>
      </c>
    </row>
    <row r="159">
      <c r="A159" t="n">
        <v>158</v>
      </c>
      <c r="B159" t="n">
        <v>2015</v>
      </c>
      <c r="C159" t="inlineStr">
        <is>
          <t>Grace Wang</t>
        </is>
      </c>
      <c r="D159">
        <f>HYPERLINK("https://ota.tournamentsoftware.com/player-profile/2F68C1DC-1A19-4E3A-AF58-6DC4541843F2", "Link")</f>
        <v/>
      </c>
      <c r="E159" s="3" t="n">
        <v>553.759</v>
      </c>
      <c r="F159" s="4" t="n">
        <v>26</v>
      </c>
      <c r="G159" t="inlineStr">
        <is>
          <t>British Columbia</t>
        </is>
      </c>
      <c r="H159" t="inlineStr">
        <is>
          <t>No Club</t>
        </is>
      </c>
      <c r="I159" t="n">
        <v>28.8</v>
      </c>
      <c r="J159" s="4" t="n">
        <v>237</v>
      </c>
      <c r="K159" t="inlineStr">
        <is>
          <t>142 / 95</t>
        </is>
      </c>
      <c r="L159" t="inlineStr">
        <is>
          <t>41 / 22</t>
        </is>
      </c>
      <c r="M159" s="5" t="n">
        <v>0.6</v>
      </c>
      <c r="N159" s="5" t="n">
        <v>0.65</v>
      </c>
    </row>
    <row r="160">
      <c r="A160" t="n">
        <v>159</v>
      </c>
      <c r="B160" t="n">
        <v>2015</v>
      </c>
      <c r="C160" t="inlineStr">
        <is>
          <t>Sofia Chan</t>
        </is>
      </c>
      <c r="D160">
        <f>HYPERLINK("https://ota.tournamentsoftware.com/player-profile/62C41ADF-8A1D-416E-AAF9-4C80ECB74645", "Link")</f>
        <v/>
      </c>
      <c r="E160" s="3" t="n">
        <v>552.08</v>
      </c>
      <c r="F160" s="4" t="n">
        <v>31</v>
      </c>
      <c r="G160" t="inlineStr">
        <is>
          <t>Ontario Tennis Association</t>
        </is>
      </c>
      <c r="H160" t="inlineStr">
        <is>
          <t>No Club</t>
        </is>
      </c>
      <c r="I160" t="n">
        <v>31.1</v>
      </c>
      <c r="J160" s="4" t="n">
        <v>149</v>
      </c>
      <c r="K160" t="inlineStr">
        <is>
          <t>95 / 54</t>
        </is>
      </c>
      <c r="L160" t="inlineStr">
        <is>
          <t>38 / 23</t>
        </is>
      </c>
      <c r="M160" s="5" t="n">
        <v>0.64</v>
      </c>
      <c r="N160" s="5" t="n">
        <v>0.62</v>
      </c>
    </row>
    <row r="161">
      <c r="A161" t="n">
        <v>160</v>
      </c>
      <c r="B161" t="n">
        <v>2014</v>
      </c>
      <c r="C161" t="inlineStr">
        <is>
          <t>Charlie Thomas-Simard</t>
        </is>
      </c>
      <c r="D161">
        <f>HYPERLINK("https://ota.tournamentsoftware.com/player-profile/E101E3D0-39D8-4861-AB44-D9BE1C346E1E", "Link")</f>
        <v/>
      </c>
      <c r="E161" s="3" t="n">
        <v>550.771</v>
      </c>
      <c r="F161" s="4" t="n">
        <v>24</v>
      </c>
      <c r="G161" t="inlineStr">
        <is>
          <t>Tennis Québec</t>
        </is>
      </c>
      <c r="H161" t="inlineStr">
        <is>
          <t>Club Avantage Multi-sports / Académie de tennis Hérisset Bordeleau</t>
        </is>
      </c>
      <c r="I161" t="n">
        <v>31.5</v>
      </c>
      <c r="J161" s="4" t="n">
        <v>121</v>
      </c>
      <c r="K161" t="inlineStr">
        <is>
          <t>65 / 56</t>
        </is>
      </c>
      <c r="L161" t="inlineStr">
        <is>
          <t>29 / 28</t>
        </is>
      </c>
      <c r="M161" s="5" t="n">
        <v>0.54</v>
      </c>
      <c r="N161" s="5" t="n">
        <v>0.51</v>
      </c>
    </row>
    <row r="162">
      <c r="A162" t="n">
        <v>161</v>
      </c>
      <c r="B162" t="n">
        <v>2012</v>
      </c>
      <c r="C162" t="inlineStr">
        <is>
          <t>Marisol Hilal</t>
        </is>
      </c>
      <c r="D162">
        <f>HYPERLINK("https://ota.tournamentsoftware.com/player-profile/A59841ED-F3F4-4773-A197-5502453988FE", "Link")</f>
        <v/>
      </c>
      <c r="E162" s="3" t="n">
        <v>541.679</v>
      </c>
      <c r="F162" s="4" t="n">
        <v>30</v>
      </c>
      <c r="G162" t="inlineStr">
        <is>
          <t>Tennis Québec</t>
        </is>
      </c>
      <c r="H162" t="inlineStr">
        <is>
          <t>Carrefour Multisports</t>
        </is>
      </c>
      <c r="I162" t="n">
        <v>30.2</v>
      </c>
      <c r="J162" s="4" t="n">
        <v>282</v>
      </c>
      <c r="K162" t="inlineStr">
        <is>
          <t>113 / 169</t>
        </is>
      </c>
      <c r="L162" t="inlineStr">
        <is>
          <t>16 / 24</t>
        </is>
      </c>
      <c r="M162" s="5" t="n">
        <v>0.4</v>
      </c>
      <c r="N162" s="5" t="n">
        <v>0.4</v>
      </c>
    </row>
    <row r="163">
      <c r="A163" t="n">
        <v>162</v>
      </c>
      <c r="B163" t="n">
        <v>2013</v>
      </c>
      <c r="C163" t="inlineStr">
        <is>
          <t>Mathilde Labeeuw</t>
        </is>
      </c>
      <c r="D163">
        <f>HYPERLINK("https://ota.tournamentsoftware.com/player-profile/ACCBCF37-0334-4ED1-B564-DFD6E35F3445", "Link")</f>
        <v/>
      </c>
      <c r="E163" s="3" t="n">
        <v>541.425</v>
      </c>
      <c r="F163" s="4" t="n">
        <v>22</v>
      </c>
      <c r="G163" t="inlineStr">
        <is>
          <t>Tennis Québec</t>
        </is>
      </c>
      <c r="H163" t="inlineStr">
        <is>
          <t>SANI Sport</t>
        </is>
      </c>
      <c r="I163" t="n">
        <v>30.5</v>
      </c>
      <c r="J163" s="4" t="n">
        <v>189</v>
      </c>
      <c r="K163" t="inlineStr">
        <is>
          <t>89 / 100</t>
        </is>
      </c>
      <c r="L163" t="inlineStr">
        <is>
          <t>11 / 14</t>
        </is>
      </c>
      <c r="M163" s="5" t="n">
        <v>0.47</v>
      </c>
      <c r="N163" s="5" t="n">
        <v>0.44</v>
      </c>
    </row>
    <row r="164">
      <c r="A164" t="n">
        <v>163</v>
      </c>
      <c r="B164" t="n">
        <v>2012</v>
      </c>
      <c r="C164" t="inlineStr">
        <is>
          <t>Joanna Pananchickal</t>
        </is>
      </c>
      <c r="D164">
        <f>HYPERLINK("https://ota.tournamentsoftware.com/player-profile/6487D297-D67D-4189-9D3C-05A8EA398E60", "Link")</f>
        <v/>
      </c>
      <c r="E164" s="3" t="n">
        <v>537.371</v>
      </c>
      <c r="F164" s="4" t="n">
        <v>10</v>
      </c>
      <c r="G164" t="inlineStr">
        <is>
          <t>Ontario Tennis Association</t>
        </is>
      </c>
      <c r="H164" t="inlineStr">
        <is>
          <t>No Club</t>
        </is>
      </c>
      <c r="I164" t="n">
        <v>31</v>
      </c>
      <c r="J164" s="4" t="n">
        <v>63</v>
      </c>
      <c r="K164" t="inlineStr">
        <is>
          <t>29 / 34</t>
        </is>
      </c>
      <c r="L164" t="inlineStr">
        <is>
          <t>11 / 6</t>
        </is>
      </c>
      <c r="M164" s="5" t="n">
        <v>0.46</v>
      </c>
      <c r="N164" s="5" t="n">
        <v>0.65</v>
      </c>
    </row>
    <row r="165">
      <c r="A165" t="n">
        <v>164</v>
      </c>
      <c r="B165" t="n">
        <v>2012</v>
      </c>
      <c r="C165" t="inlineStr">
        <is>
          <t>Yuehan DONG</t>
        </is>
      </c>
      <c r="D165">
        <f>HYPERLINK("https://ota.tournamentsoftware.com/player-profile/F5996998-771E-46C9-A222-1C90911DD4C3", "Link")</f>
        <v/>
      </c>
      <c r="E165" s="3" t="n">
        <v>534.77</v>
      </c>
      <c r="F165" s="4" t="n">
        <v>30</v>
      </c>
      <c r="G165" t="inlineStr">
        <is>
          <t>Ontario Tennis Association</t>
        </is>
      </c>
      <c r="H165" t="inlineStr">
        <is>
          <t>Fainblum Tennis Academy</t>
        </is>
      </c>
      <c r="I165" t="n">
        <v>31.7</v>
      </c>
      <c r="J165" s="4" t="n">
        <v>125</v>
      </c>
      <c r="K165" t="inlineStr">
        <is>
          <t>56 / 69</t>
        </is>
      </c>
      <c r="L165" t="inlineStr">
        <is>
          <t>8 / 18</t>
        </is>
      </c>
      <c r="M165" s="5" t="n">
        <v>0.45</v>
      </c>
      <c r="N165" s="5" t="n">
        <v>0.31</v>
      </c>
    </row>
    <row r="166">
      <c r="A166" t="n">
        <v>165</v>
      </c>
      <c r="B166" t="n">
        <v>2015</v>
      </c>
      <c r="C166" t="inlineStr">
        <is>
          <t>Alyanna Jane Principe</t>
        </is>
      </c>
      <c r="D166">
        <f>HYPERLINK("https://ota.tournamentsoftware.com/player-profile/DF18434B-FE2E-4647-9481-0DA91B5C9B92", "Link")</f>
        <v/>
      </c>
      <c r="E166" s="3" t="n">
        <v>532.043</v>
      </c>
      <c r="F166" s="4" t="n">
        <v>24</v>
      </c>
      <c r="G166" t="inlineStr">
        <is>
          <t>British Columbia</t>
        </is>
      </c>
      <c r="H166" t="inlineStr">
        <is>
          <t>The Tennis Centre</t>
        </is>
      </c>
      <c r="I166" t="n">
        <v>28.2</v>
      </c>
      <c r="J166" s="4" t="n">
        <v>237</v>
      </c>
      <c r="K166" t="inlineStr">
        <is>
          <t>156 / 81</t>
        </is>
      </c>
      <c r="L166" t="inlineStr">
        <is>
          <t>34 / 22</t>
        </is>
      </c>
      <c r="M166" s="5" t="n">
        <v>0.66</v>
      </c>
      <c r="N166" s="5" t="n">
        <v>0.61</v>
      </c>
    </row>
    <row r="167">
      <c r="A167" t="n">
        <v>166</v>
      </c>
      <c r="B167" t="n">
        <v>2012</v>
      </c>
      <c r="C167" t="inlineStr">
        <is>
          <t>Emma Sun</t>
        </is>
      </c>
      <c r="D167">
        <f>HYPERLINK("https://ota.tournamentsoftware.com/player-profile/00B8EFA4-17DF-49B4-90DE-B5A577BC8620", "Link")</f>
        <v/>
      </c>
      <c r="E167" s="3" t="n">
        <v>530.172</v>
      </c>
      <c r="F167" s="4" t="n">
        <v>16</v>
      </c>
      <c r="G167" t="inlineStr">
        <is>
          <t>British Columbia</t>
        </is>
      </c>
      <c r="H167" t="inlineStr">
        <is>
          <t>The Tennis Centre</t>
        </is>
      </c>
      <c r="I167" t="n">
        <v>27.6</v>
      </c>
      <c r="J167" s="4" t="n">
        <v>258</v>
      </c>
      <c r="K167" t="inlineStr">
        <is>
          <t>123 / 135</t>
        </is>
      </c>
      <c r="L167" t="inlineStr">
        <is>
          <t>14 / 14</t>
        </is>
      </c>
      <c r="M167" s="5" t="n">
        <v>0.48</v>
      </c>
      <c r="N167" s="5" t="n">
        <v>0.5</v>
      </c>
    </row>
    <row r="168">
      <c r="A168" t="n">
        <v>167</v>
      </c>
      <c r="B168" t="n">
        <v>2013</v>
      </c>
      <c r="C168" t="inlineStr">
        <is>
          <t>Sonya Notta</t>
        </is>
      </c>
      <c r="D168">
        <f>HYPERLINK("https://ota.tournamentsoftware.com/player-profile/6AF626BE-D8F1-4939-AF03-813D0A17EE25", "Link")</f>
        <v/>
      </c>
      <c r="E168" s="3" t="n">
        <v>527.968</v>
      </c>
      <c r="F168" s="4" t="n">
        <v>9</v>
      </c>
      <c r="G168" t="inlineStr">
        <is>
          <t>Ontario Tennis Association</t>
        </is>
      </c>
      <c r="H168" t="inlineStr">
        <is>
          <t>Mayfair East Racquet Club</t>
        </is>
      </c>
      <c r="I168" t="inlineStr">
        <is>
          <t>unavailable</t>
        </is>
      </c>
      <c r="J168" s="4" t="n">
        <v>76</v>
      </c>
      <c r="K168" t="inlineStr">
        <is>
          <t>51 / 25</t>
        </is>
      </c>
      <c r="L168" t="inlineStr">
        <is>
          <t>8 / 3</t>
        </is>
      </c>
      <c r="M168" s="5" t="n">
        <v>0.67</v>
      </c>
      <c r="N168" s="5" t="n">
        <v>0.73</v>
      </c>
    </row>
    <row r="169">
      <c r="A169" t="n">
        <v>168</v>
      </c>
      <c r="B169" t="n">
        <v>2012</v>
      </c>
      <c r="C169" t="inlineStr">
        <is>
          <t>Lourdes Valentina Haun</t>
        </is>
      </c>
      <c r="D169">
        <f>HYPERLINK("https://ota.tournamentsoftware.com/player-profile/97D1640C-AAFD-43B2-8C9A-BAA1649A3937", "Link")</f>
        <v/>
      </c>
      <c r="E169" s="3" t="n">
        <v>527.521</v>
      </c>
      <c r="F169" s="4" t="n">
        <v>13</v>
      </c>
      <c r="G169" t="inlineStr">
        <is>
          <t>Tennis Alberta</t>
        </is>
      </c>
      <c r="H169" t="inlineStr">
        <is>
          <t>Osten &amp; Victor Alberta Tennis Centre</t>
        </is>
      </c>
      <c r="I169" t="n">
        <v>25.5</v>
      </c>
      <c r="J169" s="4" t="n">
        <v>292</v>
      </c>
      <c r="K169" t="inlineStr">
        <is>
          <t>170 / 122</t>
        </is>
      </c>
      <c r="L169" t="inlineStr">
        <is>
          <t>21 / 16</t>
        </is>
      </c>
      <c r="M169" s="5" t="n">
        <v>0.58</v>
      </c>
      <c r="N169" s="5" t="n">
        <v>0.57</v>
      </c>
    </row>
    <row r="170">
      <c r="A170" t="n">
        <v>169</v>
      </c>
      <c r="B170" t="n">
        <v>2014</v>
      </c>
      <c r="C170" t="inlineStr">
        <is>
          <t>Laetitia Thuy Van Nguyen</t>
        </is>
      </c>
      <c r="D170">
        <f>HYPERLINK("https://ota.tournamentsoftware.com/player-profile/B151CB64-D12D-48B2-8087-4EABB50157E8", "Link")</f>
        <v/>
      </c>
      <c r="E170" s="3" t="n">
        <v>522.812</v>
      </c>
      <c r="F170" s="4" t="n">
        <v>22</v>
      </c>
      <c r="G170" t="inlineStr">
        <is>
          <t>Tennis Québec</t>
        </is>
      </c>
      <c r="H170" t="inlineStr">
        <is>
          <t>Tennis Outaouais Performance (TOP)</t>
        </is>
      </c>
      <c r="I170" t="n">
        <v>29.8</v>
      </c>
      <c r="J170" s="4" t="n">
        <v>216</v>
      </c>
      <c r="K170" t="inlineStr">
        <is>
          <t>118 / 98</t>
        </is>
      </c>
      <c r="L170" t="inlineStr">
        <is>
          <t>32 / 23</t>
        </is>
      </c>
      <c r="M170" s="5" t="n">
        <v>0.55</v>
      </c>
      <c r="N170" s="5" t="n">
        <v>0.58</v>
      </c>
    </row>
    <row r="171">
      <c r="A171" t="n">
        <v>170</v>
      </c>
      <c r="B171" t="n">
        <v>2012</v>
      </c>
      <c r="C171" t="inlineStr">
        <is>
          <t>Meeth Kaur Rai</t>
        </is>
      </c>
      <c r="D171">
        <f>HYPERLINK("https://ota.tournamentsoftware.com/player-profile/3C191393-570A-4DF7-80D4-0613143CE54B", "Link")</f>
        <v/>
      </c>
      <c r="E171" s="3" t="n">
        <v>517.12</v>
      </c>
      <c r="F171" s="4" t="n">
        <v>19</v>
      </c>
      <c r="G171" t="inlineStr">
        <is>
          <t>British Columbia</t>
        </is>
      </c>
      <c r="H171" t="inlineStr">
        <is>
          <t>No Club</t>
        </is>
      </c>
      <c r="I171" t="n">
        <v>28.2</v>
      </c>
      <c r="J171" s="4" t="n">
        <v>226</v>
      </c>
      <c r="K171" t="inlineStr">
        <is>
          <t>124 / 102</t>
        </is>
      </c>
      <c r="L171" t="inlineStr">
        <is>
          <t>14 / 25</t>
        </is>
      </c>
      <c r="M171" s="5" t="n">
        <v>0.55</v>
      </c>
      <c r="N171" s="5" t="n">
        <v>0.36</v>
      </c>
    </row>
    <row r="172">
      <c r="A172" t="n">
        <v>171</v>
      </c>
      <c r="B172" t="n">
        <v>2012</v>
      </c>
      <c r="C172" t="inlineStr">
        <is>
          <t>Daniella Kulemin</t>
        </is>
      </c>
      <c r="D172">
        <f>HYPERLINK("https://ota.tournamentsoftware.com/player-profile/665847C2-A172-4164-B9E1-C1030269B793", "Link")</f>
        <v/>
      </c>
      <c r="E172" s="3" t="n">
        <v>515.465</v>
      </c>
      <c r="F172" s="4" t="n">
        <v>19</v>
      </c>
      <c r="G172" t="inlineStr">
        <is>
          <t>Ontario Tennis Association</t>
        </is>
      </c>
      <c r="H172" t="inlineStr">
        <is>
          <t>Concord Tennis Academy</t>
        </is>
      </c>
      <c r="I172" t="n">
        <v>30.6</v>
      </c>
      <c r="J172" s="4" t="n">
        <v>56</v>
      </c>
      <c r="K172" t="inlineStr">
        <is>
          <t>25 / 31</t>
        </is>
      </c>
      <c r="L172" t="inlineStr">
        <is>
          <t>15 / 17</t>
        </is>
      </c>
      <c r="M172" s="5" t="n">
        <v>0.45</v>
      </c>
      <c r="N172" s="5" t="n">
        <v>0.47</v>
      </c>
    </row>
    <row r="173">
      <c r="A173" t="n">
        <v>172</v>
      </c>
      <c r="B173" t="n">
        <v>2012</v>
      </c>
      <c r="C173" t="inlineStr">
        <is>
          <t>Izibeyle Bhopal</t>
        </is>
      </c>
      <c r="D173">
        <f>HYPERLINK("https://ota.tournamentsoftware.com/player-profile/E9C7A60A-D097-4925-9456-764C57DCF01A", "Link")</f>
        <v/>
      </c>
      <c r="E173" s="3" t="n">
        <v>514.73</v>
      </c>
      <c r="F173" s="4" t="n">
        <v>3</v>
      </c>
      <c r="G173" t="inlineStr">
        <is>
          <t>British Columbia</t>
        </is>
      </c>
      <c r="H173" t="inlineStr">
        <is>
          <t>Bear Mountain Tennis Centre</t>
        </is>
      </c>
      <c r="I173" t="n">
        <v>24.4</v>
      </c>
      <c r="J173" s="4" t="n">
        <v>64</v>
      </c>
      <c r="K173" t="inlineStr">
        <is>
          <t>39 / 25</t>
        </is>
      </c>
      <c r="L173" t="inlineStr">
        <is>
          <t>4 / 0</t>
        </is>
      </c>
      <c r="M173" s="5" t="n">
        <v>0.61</v>
      </c>
      <c r="N173" s="5" t="n">
        <v>1</v>
      </c>
    </row>
    <row r="174">
      <c r="A174" t="n">
        <v>173</v>
      </c>
      <c r="B174" t="n">
        <v>2013</v>
      </c>
      <c r="C174" t="inlineStr">
        <is>
          <t>Nelly Campagna</t>
        </is>
      </c>
      <c r="D174">
        <f>HYPERLINK("https://ota.tournamentsoftware.com/player-profile/57A742FF-F88B-4C14-A895-DA6559972095", "Link")</f>
        <v/>
      </c>
      <c r="E174" s="3" t="n">
        <v>514.603</v>
      </c>
      <c r="F174" s="4" t="n">
        <v>20</v>
      </c>
      <c r="G174" t="inlineStr">
        <is>
          <t>Tennis Québec</t>
        </is>
      </c>
      <c r="H174" t="inlineStr">
        <is>
          <t>Centre récréatif de Repentigny / Académie Tennis Momentum</t>
        </is>
      </c>
      <c r="I174" t="n">
        <v>29.6</v>
      </c>
      <c r="J174" s="4" t="n">
        <v>167</v>
      </c>
      <c r="K174" t="inlineStr">
        <is>
          <t>89 / 78</t>
        </is>
      </c>
      <c r="L174" t="inlineStr">
        <is>
          <t>21 / 16</t>
        </is>
      </c>
      <c r="M174" s="5" t="n">
        <v>0.53</v>
      </c>
      <c r="N174" s="5" t="n">
        <v>0.57</v>
      </c>
    </row>
    <row r="175">
      <c r="A175" t="n">
        <v>174</v>
      </c>
      <c r="B175" t="n">
        <v>2012</v>
      </c>
      <c r="C175" t="inlineStr">
        <is>
          <t>Ira Karthi</t>
        </is>
      </c>
      <c r="D175">
        <f>HYPERLINK("https://ota.tournamentsoftware.com/player-profile/87DFD688-7475-43FD-B605-7E13CDDC471C", "Link")</f>
        <v/>
      </c>
      <c r="E175" s="3" t="n">
        <v>509.725</v>
      </c>
      <c r="F175" s="4" t="n">
        <v>19</v>
      </c>
      <c r="G175" t="inlineStr">
        <is>
          <t>Ontario Tennis Association</t>
        </is>
      </c>
      <c r="H175" t="inlineStr">
        <is>
          <t>Sandy Beach Tennis Club</t>
        </is>
      </c>
      <c r="I175" t="n">
        <v>32.4</v>
      </c>
      <c r="J175" s="4" t="n">
        <v>73</v>
      </c>
      <c r="K175" t="inlineStr">
        <is>
          <t>22 / 51</t>
        </is>
      </c>
      <c r="L175" t="inlineStr">
        <is>
          <t>11 / 13</t>
        </is>
      </c>
      <c r="M175" s="5" t="n">
        <v>0.3</v>
      </c>
      <c r="N175" s="5" t="n">
        <v>0.46</v>
      </c>
    </row>
    <row r="176">
      <c r="A176" t="n">
        <v>175</v>
      </c>
      <c r="B176" t="n">
        <v>2014</v>
      </c>
      <c r="C176" t="inlineStr">
        <is>
          <t>Veronica Mourlatov</t>
        </is>
      </c>
      <c r="D176">
        <f>HYPERLINK("https://ota.tournamentsoftware.com/player-profile/B6154A4C-BA94-41F6-A39C-E106D7116C1A", "Link")</f>
        <v/>
      </c>
      <c r="E176" s="3" t="n">
        <v>494.477</v>
      </c>
      <c r="F176" s="4" t="n">
        <v>31</v>
      </c>
      <c r="G176" t="inlineStr">
        <is>
          <t>Ontario Tennis Association</t>
        </is>
      </c>
      <c r="H176" t="inlineStr">
        <is>
          <t>SmartVMC Racquetsports by ACE</t>
        </is>
      </c>
      <c r="I176" t="n">
        <v>30.4</v>
      </c>
      <c r="J176" s="4" t="n">
        <v>214</v>
      </c>
      <c r="K176" t="inlineStr">
        <is>
          <t>135 / 79</t>
        </is>
      </c>
      <c r="L176" t="inlineStr">
        <is>
          <t>38 / 16</t>
        </is>
      </c>
      <c r="M176" s="5" t="n">
        <v>0.63</v>
      </c>
      <c r="N176" s="5" t="n">
        <v>0.7</v>
      </c>
    </row>
    <row r="177">
      <c r="A177" t="n">
        <v>176</v>
      </c>
      <c r="B177" t="n">
        <v>2015</v>
      </c>
      <c r="C177" t="inlineStr">
        <is>
          <t>Abbey Crump</t>
        </is>
      </c>
      <c r="D177">
        <f>HYPERLINK("https://ota.tournamentsoftware.com/player-profile/92F0423F-2B57-40B1-A6AA-5C7DC6477800", "Link")</f>
        <v/>
      </c>
      <c r="E177" s="3" t="n">
        <v>493.889</v>
      </c>
      <c r="F177" s="4" t="n">
        <v>16</v>
      </c>
      <c r="G177" t="inlineStr">
        <is>
          <t>Ontario Tennis Association</t>
        </is>
      </c>
      <c r="H177" t="inlineStr">
        <is>
          <t>Joshua Creek Golf &amp; Tennis</t>
        </is>
      </c>
      <c r="I177" t="n">
        <v>30.7</v>
      </c>
      <c r="J177" s="4" t="n">
        <v>146</v>
      </c>
      <c r="K177" t="inlineStr">
        <is>
          <t>120 / 26</t>
        </is>
      </c>
      <c r="L177" t="inlineStr">
        <is>
          <t>28 / 15</t>
        </is>
      </c>
      <c r="M177" s="5" t="n">
        <v>0.82</v>
      </c>
      <c r="N177" s="5" t="n">
        <v>0.65</v>
      </c>
    </row>
    <row r="178">
      <c r="A178" t="n">
        <v>177</v>
      </c>
      <c r="B178" t="n">
        <v>2013</v>
      </c>
      <c r="C178" t="inlineStr">
        <is>
          <t>Mila Anna Kodjian</t>
        </is>
      </c>
      <c r="D178">
        <f>HYPERLINK("https://ota.tournamentsoftware.com/player-profile/CE1F1BC7-04CB-4652-A947-AF91FA03ECD5", "Link")</f>
        <v/>
      </c>
      <c r="E178" s="3" t="n">
        <v>491.4</v>
      </c>
      <c r="F178" s="4" t="n">
        <v>19</v>
      </c>
      <c r="G178" t="inlineStr">
        <is>
          <t>Ontario Tennis Association</t>
        </is>
      </c>
      <c r="H178" t="inlineStr">
        <is>
          <t>Rosethorn Tennis Club</t>
        </is>
      </c>
      <c r="I178" t="n">
        <v>31.5</v>
      </c>
      <c r="J178" s="4" t="n">
        <v>114</v>
      </c>
      <c r="K178" t="inlineStr">
        <is>
          <t>66 / 48</t>
        </is>
      </c>
      <c r="L178" t="inlineStr">
        <is>
          <t>25 / 10</t>
        </is>
      </c>
      <c r="M178" s="5" t="n">
        <v>0.58</v>
      </c>
      <c r="N178" s="5" t="n">
        <v>0.71</v>
      </c>
    </row>
    <row r="179">
      <c r="A179" t="n">
        <v>178</v>
      </c>
      <c r="B179" t="n">
        <v>2012</v>
      </c>
      <c r="C179" t="inlineStr">
        <is>
          <t>Maya Sophia Abdullah</t>
        </is>
      </c>
      <c r="D179">
        <f>HYPERLINK("https://ota.tournamentsoftware.com/player-profile/6169AD2A-5AC2-4220-8B87-C5D54BAF6AD4", "Link")</f>
        <v/>
      </c>
      <c r="E179" s="3" t="n">
        <v>485.934</v>
      </c>
      <c r="F179" s="4" t="n">
        <v>20</v>
      </c>
      <c r="G179" t="inlineStr">
        <is>
          <t>Tennis Alberta</t>
        </is>
      </c>
      <c r="H179" t="inlineStr">
        <is>
          <t>Aforza</t>
        </is>
      </c>
      <c r="I179" t="n">
        <v>31.7</v>
      </c>
      <c r="J179" s="4" t="n">
        <v>61</v>
      </c>
      <c r="K179" t="inlineStr">
        <is>
          <t>30 / 31</t>
        </is>
      </c>
      <c r="L179" t="inlineStr">
        <is>
          <t>18 / 19</t>
        </is>
      </c>
      <c r="M179" s="5" t="n">
        <v>0.49</v>
      </c>
      <c r="N179" s="5" t="n">
        <v>0.49</v>
      </c>
    </row>
    <row r="180">
      <c r="A180" t="n">
        <v>179</v>
      </c>
      <c r="B180" t="n">
        <v>2014</v>
      </c>
      <c r="C180" t="inlineStr">
        <is>
          <t>Naima Majumdar-Moreau</t>
        </is>
      </c>
      <c r="D180">
        <f>HYPERLINK("https://ota.tournamentsoftware.com/player-profile/DCA02929-B08F-46CE-9CFE-852A987CEBF8", "Link")</f>
        <v/>
      </c>
      <c r="E180" s="3" t="n">
        <v>482.744</v>
      </c>
      <c r="F180" s="4" t="n">
        <v>29</v>
      </c>
      <c r="G180" t="inlineStr">
        <is>
          <t>Tennis Québec</t>
        </is>
      </c>
      <c r="H180" t="inlineStr">
        <is>
          <t>Tennis Ile- des- Soeurs</t>
        </is>
      </c>
      <c r="I180" t="inlineStr">
        <is>
          <t>unavailable</t>
        </is>
      </c>
      <c r="J180" s="4" t="n">
        <v>156</v>
      </c>
      <c r="K180" t="inlineStr">
        <is>
          <t>73 / 83</t>
        </is>
      </c>
      <c r="L180" t="inlineStr">
        <is>
          <t>29 / 28</t>
        </is>
      </c>
      <c r="M180" s="5" t="n">
        <v>0.47</v>
      </c>
      <c r="N180" s="5" t="n">
        <v>0.51</v>
      </c>
    </row>
    <row r="181">
      <c r="A181" t="n">
        <v>180</v>
      </c>
      <c r="B181" t="n">
        <v>2015</v>
      </c>
      <c r="C181" t="inlineStr">
        <is>
          <t>Elina Wang</t>
        </is>
      </c>
      <c r="D181">
        <f>HYPERLINK("https://ota.tournamentsoftware.com/player-profile/D1A88E02-8A26-413B-866E-8A72948B268F", "Link")</f>
        <v/>
      </c>
      <c r="E181" s="3" t="n">
        <v>482.596</v>
      </c>
      <c r="F181" s="4" t="n">
        <v>22</v>
      </c>
      <c r="G181" t="inlineStr">
        <is>
          <t>Ontario Tennis Association</t>
        </is>
      </c>
      <c r="H181" t="inlineStr">
        <is>
          <t>Richmondhill Golf &amp; Country Club</t>
        </is>
      </c>
      <c r="I181" t="n">
        <v>30.5</v>
      </c>
      <c r="J181" s="4" t="n">
        <v>232</v>
      </c>
      <c r="K181" t="inlineStr">
        <is>
          <t>153 / 79</t>
        </is>
      </c>
      <c r="L181" t="inlineStr">
        <is>
          <t>36 / 14</t>
        </is>
      </c>
      <c r="M181" s="5" t="n">
        <v>0.66</v>
      </c>
      <c r="N181" s="5" t="n">
        <v>0.72</v>
      </c>
    </row>
    <row r="182">
      <c r="A182" t="n">
        <v>181</v>
      </c>
      <c r="B182" t="n">
        <v>2013</v>
      </c>
      <c r="C182" t="inlineStr">
        <is>
          <t>Alexandra Choe</t>
        </is>
      </c>
      <c r="D182">
        <f>HYPERLINK("https://ota.tournamentsoftware.com/player-profile/0BFF8F09-A612-40D9-B491-E305A472672B", "Link")</f>
        <v/>
      </c>
      <c r="E182" s="3" t="n">
        <v>481.947</v>
      </c>
      <c r="F182" s="4" t="n">
        <v>16</v>
      </c>
      <c r="G182" t="inlineStr">
        <is>
          <t>Ontario Tennis Association</t>
        </is>
      </c>
      <c r="H182" t="inlineStr">
        <is>
          <t>Joshua Creek Golf &amp; Tennis</t>
        </is>
      </c>
      <c r="I182" t="n">
        <v>29.9</v>
      </c>
      <c r="J182" s="4" t="n">
        <v>221</v>
      </c>
      <c r="K182" t="inlineStr">
        <is>
          <t>135 / 86</t>
        </is>
      </c>
      <c r="L182" t="inlineStr">
        <is>
          <t>8 / 4</t>
        </is>
      </c>
      <c r="M182" s="5" t="n">
        <v>0.61</v>
      </c>
      <c r="N182" s="5" t="n">
        <v>0.67</v>
      </c>
    </row>
    <row r="183">
      <c r="A183" t="n">
        <v>182</v>
      </c>
      <c r="B183" t="n">
        <v>2014</v>
      </c>
      <c r="C183" t="inlineStr">
        <is>
          <t>Anica Yachun Liu</t>
        </is>
      </c>
      <c r="D183">
        <f>HYPERLINK("https://ota.tournamentsoftware.com/player-profile/B58148E6-4895-4918-B4B6-ADFAA5FEE0D2", "Link")</f>
        <v/>
      </c>
      <c r="E183" s="3" t="n">
        <v>479.105</v>
      </c>
      <c r="F183" s="4" t="n">
        <v>23</v>
      </c>
      <c r="G183" t="inlineStr">
        <is>
          <t>Tennis Alberta</t>
        </is>
      </c>
      <c r="H183" t="inlineStr">
        <is>
          <t>Saville Community Sports Centre</t>
        </is>
      </c>
      <c r="I183" t="n">
        <v>29.4</v>
      </c>
      <c r="J183" s="4" t="n">
        <v>224</v>
      </c>
      <c r="K183" t="inlineStr">
        <is>
          <t>111 / 113</t>
        </is>
      </c>
      <c r="L183" t="inlineStr">
        <is>
          <t>30 / 35</t>
        </is>
      </c>
      <c r="M183" s="5" t="n">
        <v>0.5</v>
      </c>
      <c r="N183" s="5" t="n">
        <v>0.46</v>
      </c>
    </row>
    <row r="184">
      <c r="A184" t="n">
        <v>183</v>
      </c>
      <c r="B184" t="n">
        <v>2012</v>
      </c>
      <c r="C184" t="inlineStr">
        <is>
          <t>Margot de Candé</t>
        </is>
      </c>
      <c r="D184">
        <f>HYPERLINK("https://ota.tournamentsoftware.com/player-profile/695315EE-6360-44B7-9352-E2A867A09DAD", "Link")</f>
        <v/>
      </c>
      <c r="E184" s="3" t="n">
        <v>478.435</v>
      </c>
      <c r="F184" s="4" t="n">
        <v>13</v>
      </c>
      <c r="G184" t="inlineStr">
        <is>
          <t>Tennis Québec</t>
        </is>
      </c>
      <c r="H184" t="inlineStr">
        <is>
          <t>Tennis Ile- des- Soeurs</t>
        </is>
      </c>
      <c r="I184" t="n">
        <v>29.9</v>
      </c>
      <c r="J184" s="4" t="n">
        <v>110</v>
      </c>
      <c r="K184" t="inlineStr">
        <is>
          <t>52 / 58</t>
        </is>
      </c>
      <c r="L184" t="inlineStr">
        <is>
          <t>12 / 3</t>
        </is>
      </c>
      <c r="M184" s="5" t="n">
        <v>0.47</v>
      </c>
      <c r="N184" s="5" t="n">
        <v>0.8</v>
      </c>
    </row>
    <row r="185">
      <c r="A185" t="n">
        <v>184</v>
      </c>
      <c r="B185" t="n">
        <v>2012</v>
      </c>
      <c r="C185" t="inlineStr">
        <is>
          <t>Ella Zhao</t>
        </is>
      </c>
      <c r="D185">
        <f>HYPERLINK("https://ota.tournamentsoftware.com/player-profile/4CFC4B61-0F67-4AD7-8CC6-03CC7A224737", "Link")</f>
        <v/>
      </c>
      <c r="E185" s="3" t="n">
        <v>469.642</v>
      </c>
      <c r="F185" s="4" t="n">
        <v>11</v>
      </c>
      <c r="G185" t="inlineStr">
        <is>
          <t>British Columbia</t>
        </is>
      </c>
      <c r="H185" t="inlineStr">
        <is>
          <t>North Shore Winter Club</t>
        </is>
      </c>
      <c r="I185" t="n">
        <v>26.8</v>
      </c>
      <c r="J185" s="4" t="n">
        <v>121</v>
      </c>
      <c r="K185" t="inlineStr">
        <is>
          <t>89 / 32</t>
        </is>
      </c>
      <c r="L185" t="inlineStr">
        <is>
          <t>9 / 7</t>
        </is>
      </c>
      <c r="M185" s="5" t="n">
        <v>0.74</v>
      </c>
      <c r="N185" s="5" t="n">
        <v>0.5600000000000001</v>
      </c>
    </row>
    <row r="186">
      <c r="A186" t="n">
        <v>185</v>
      </c>
      <c r="B186" t="n">
        <v>2013</v>
      </c>
      <c r="C186" t="inlineStr">
        <is>
          <t>Juliana Sophie Ho</t>
        </is>
      </c>
      <c r="D186">
        <f>HYPERLINK("https://ota.tournamentsoftware.com/player-profile/D79AC720-EA55-42CC-ACCB-558E5C86D00C", "Link")</f>
        <v/>
      </c>
      <c r="E186" s="3" t="n">
        <v>468.722</v>
      </c>
      <c r="F186" s="4" t="n">
        <v>29</v>
      </c>
      <c r="G186" t="inlineStr">
        <is>
          <t>Ontario Tennis Association</t>
        </is>
      </c>
      <c r="H186" t="inlineStr">
        <is>
          <t>Ontario Racquet Club</t>
        </is>
      </c>
      <c r="I186" t="n">
        <v>32.8</v>
      </c>
      <c r="J186" s="4" t="n">
        <v>139</v>
      </c>
      <c r="K186" t="inlineStr">
        <is>
          <t>69 / 70</t>
        </is>
      </c>
      <c r="L186" t="inlineStr">
        <is>
          <t>17 / 19</t>
        </is>
      </c>
      <c r="M186" s="5" t="n">
        <v>0.5</v>
      </c>
      <c r="N186" s="5" t="n">
        <v>0.47</v>
      </c>
    </row>
    <row r="187">
      <c r="A187" t="n">
        <v>186</v>
      </c>
      <c r="B187" t="n">
        <v>2014</v>
      </c>
      <c r="C187" t="inlineStr">
        <is>
          <t>Eva Larose</t>
        </is>
      </c>
      <c r="D187">
        <f>HYPERLINK("https://ota.tournamentsoftware.com/player-profile/BC2D4F14-515B-4F2A-AD3B-8DA03F3E5E5B", "Link")</f>
        <v/>
      </c>
      <c r="E187" s="3" t="n">
        <v>466.782</v>
      </c>
      <c r="F187" s="4" t="n">
        <v>22</v>
      </c>
      <c r="G187" t="inlineStr">
        <is>
          <t>Tennis Québec</t>
        </is>
      </c>
      <c r="H187" t="inlineStr">
        <is>
          <t>Tennis Ile- des- Soeurs</t>
        </is>
      </c>
      <c r="I187" t="inlineStr">
        <is>
          <t>unavailable</t>
        </is>
      </c>
      <c r="J187" s="4" t="n">
        <v>162</v>
      </c>
      <c r="K187" t="inlineStr">
        <is>
          <t>95 / 67</t>
        </is>
      </c>
      <c r="L187" t="inlineStr">
        <is>
          <t>43 / 19</t>
        </is>
      </c>
      <c r="M187" s="5" t="n">
        <v>0.59</v>
      </c>
      <c r="N187" s="5" t="n">
        <v>0.6899999999999999</v>
      </c>
    </row>
    <row r="188">
      <c r="A188" t="n">
        <v>187</v>
      </c>
      <c r="B188" t="n">
        <v>2012</v>
      </c>
      <c r="C188" t="inlineStr">
        <is>
          <t>Tiffany Ren Jun Cao</t>
        </is>
      </c>
      <c r="D188">
        <f>HYPERLINK("https://ota.tournamentsoftware.com/player-profile/07B17DA5-DD47-4C90-B575-478C58AD7465", "Link")</f>
        <v/>
      </c>
      <c r="E188" s="3" t="n">
        <v>453.024</v>
      </c>
      <c r="F188" s="4" t="n">
        <v>24</v>
      </c>
      <c r="G188" t="inlineStr">
        <is>
          <t>British Columbia</t>
        </is>
      </c>
      <c r="H188" t="inlineStr">
        <is>
          <t>Richmond Country Club</t>
        </is>
      </c>
      <c r="I188" t="n">
        <v>29.7</v>
      </c>
      <c r="J188" s="4" t="n">
        <v>207</v>
      </c>
      <c r="K188" t="inlineStr">
        <is>
          <t>105 / 102</t>
        </is>
      </c>
      <c r="L188" t="inlineStr">
        <is>
          <t>18 / 22</t>
        </is>
      </c>
      <c r="M188" s="5" t="n">
        <v>0.51</v>
      </c>
      <c r="N188" s="5" t="n">
        <v>0.45</v>
      </c>
    </row>
    <row r="189">
      <c r="A189" t="n">
        <v>188</v>
      </c>
      <c r="B189" t="n">
        <v>2012</v>
      </c>
      <c r="C189" t="inlineStr">
        <is>
          <t>MISHIKA SURESH BALAJI</t>
        </is>
      </c>
      <c r="D189">
        <f>HYPERLINK("https://ota.tournamentsoftware.com/player-profile/B11C615C-6BB8-4655-BCAA-370D01C186B1", "Link")</f>
        <v/>
      </c>
      <c r="E189" s="3" t="n">
        <v>448</v>
      </c>
      <c r="F189" s="4" t="n">
        <v>16</v>
      </c>
      <c r="G189" t="inlineStr">
        <is>
          <t>Tennis Nova Scotia</t>
        </is>
      </c>
      <c r="H189" t="inlineStr">
        <is>
          <t>Atlantic Tennis Centre</t>
        </is>
      </c>
      <c r="I189" t="n">
        <v>28</v>
      </c>
      <c r="J189" s="4" t="n">
        <v>169</v>
      </c>
      <c r="K189" t="inlineStr">
        <is>
          <t>87 / 82</t>
        </is>
      </c>
      <c r="L189" t="inlineStr">
        <is>
          <t>22 / 14</t>
        </is>
      </c>
      <c r="M189" s="5" t="n">
        <v>0.51</v>
      </c>
      <c r="N189" s="5" t="n">
        <v>0.61</v>
      </c>
    </row>
    <row r="190">
      <c r="A190" t="n">
        <v>189</v>
      </c>
      <c r="B190" t="n">
        <v>2013</v>
      </c>
      <c r="C190" t="inlineStr">
        <is>
          <t>Mariela Ibrahim</t>
        </is>
      </c>
      <c r="D190">
        <f>HYPERLINK("https://ota.tournamentsoftware.com/player-profile/D80C965C-4117-4C2C-9F46-F371E9E47454", "Link")</f>
        <v/>
      </c>
      <c r="E190" s="3" t="n">
        <v>447.042</v>
      </c>
      <c r="F190" s="4" t="n">
        <v>27</v>
      </c>
      <c r="G190" t="inlineStr">
        <is>
          <t>Ontario Tennis Association</t>
        </is>
      </c>
      <c r="H190" t="inlineStr">
        <is>
          <t>Concord Tennis Academy</t>
        </is>
      </c>
      <c r="I190" t="inlineStr">
        <is>
          <t>unavailable</t>
        </is>
      </c>
      <c r="J190" s="4" t="n">
        <v>100</v>
      </c>
      <c r="K190" t="inlineStr">
        <is>
          <t>57 / 43</t>
        </is>
      </c>
      <c r="L190" t="inlineStr">
        <is>
          <t>23 / 17</t>
        </is>
      </c>
      <c r="M190" s="5" t="n">
        <v>0.57</v>
      </c>
      <c r="N190" s="5" t="n">
        <v>0.57</v>
      </c>
    </row>
    <row r="191">
      <c r="A191" t="n">
        <v>190</v>
      </c>
      <c r="B191" t="n">
        <v>2013</v>
      </c>
      <c r="C191" t="inlineStr">
        <is>
          <t>Bianca Bordogna</t>
        </is>
      </c>
      <c r="D191">
        <f>HYPERLINK("https://ota.tournamentsoftware.com/player-profile/71A0B4E7-3A92-4F64-82D6-42A032600DC7", "Link")</f>
        <v/>
      </c>
      <c r="E191" s="3" t="n">
        <v>445.52</v>
      </c>
      <c r="F191" s="4" t="n">
        <v>12</v>
      </c>
      <c r="G191" t="inlineStr">
        <is>
          <t>Ontario Tennis Association</t>
        </is>
      </c>
      <c r="H191" t="inlineStr">
        <is>
          <t>Carleton Tennis Centre</t>
        </is>
      </c>
      <c r="I191" t="n">
        <v>32.9</v>
      </c>
      <c r="J191" s="4" t="n">
        <v>100</v>
      </c>
      <c r="K191" t="inlineStr">
        <is>
          <t>50 / 50</t>
        </is>
      </c>
      <c r="L191" t="inlineStr">
        <is>
          <t>7 / 10</t>
        </is>
      </c>
      <c r="M191" s="5" t="n">
        <v>0.5</v>
      </c>
      <c r="N191" s="5" t="n">
        <v>0.41</v>
      </c>
    </row>
    <row r="192">
      <c r="A192" t="n">
        <v>191</v>
      </c>
      <c r="B192" t="n">
        <v>2013</v>
      </c>
      <c r="C192" t="inlineStr">
        <is>
          <t>Rihanna Kulyk</t>
        </is>
      </c>
      <c r="D192">
        <f>HYPERLINK("https://ota.tournamentsoftware.com/player-profile/6E1703BA-DB25-4B47-9BB7-314BDDCFDBAC", "Link")</f>
        <v/>
      </c>
      <c r="E192" s="3" t="n">
        <v>444.665</v>
      </c>
      <c r="F192" s="4" t="n">
        <v>24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241</v>
      </c>
      <c r="K192" t="inlineStr">
        <is>
          <t>106 / 135</t>
        </is>
      </c>
      <c r="L192" t="inlineStr">
        <is>
          <t>13 / 21</t>
        </is>
      </c>
      <c r="M192" s="5" t="n">
        <v>0.44</v>
      </c>
      <c r="N192" s="5" t="n">
        <v>0.38</v>
      </c>
    </row>
    <row r="193">
      <c r="A193" t="n">
        <v>192</v>
      </c>
      <c r="B193" t="n">
        <v>2014</v>
      </c>
      <c r="C193" t="inlineStr">
        <is>
          <t>KENZA JERBI</t>
        </is>
      </c>
      <c r="D193">
        <f>HYPERLINK("https://ota.tournamentsoftware.com/player-profile/C6A8B859-96DA-46D9-A270-B08DA27DDE5C", "Link")</f>
        <v/>
      </c>
      <c r="E193" s="3" t="n">
        <v>442.895</v>
      </c>
      <c r="F193" s="4" t="n">
        <v>15</v>
      </c>
      <c r="G193" t="inlineStr">
        <is>
          <t>Tennis Québec</t>
        </is>
      </c>
      <c r="H193" t="inlineStr">
        <is>
          <t>Tennis Montréal Excellence</t>
        </is>
      </c>
      <c r="I193" t="n">
        <v>32</v>
      </c>
      <c r="J193" s="4" t="n">
        <v>108</v>
      </c>
      <c r="K193" t="inlineStr">
        <is>
          <t>65 / 43</t>
        </is>
      </c>
      <c r="L193" t="inlineStr">
        <is>
          <t>7 / 11</t>
        </is>
      </c>
      <c r="M193" s="5" t="n">
        <v>0.6</v>
      </c>
      <c r="N193" s="5" t="n">
        <v>0.39</v>
      </c>
    </row>
    <row r="194">
      <c r="A194" t="n">
        <v>193</v>
      </c>
      <c r="B194" t="n">
        <v>2013</v>
      </c>
      <c r="C194" t="inlineStr">
        <is>
          <t>Audrey Yiyi Xu</t>
        </is>
      </c>
      <c r="D194">
        <f>HYPERLINK("https://ota.tournamentsoftware.com/player-profile/25D8C643-E3DC-418B-948B-22520C94F8E3", "Link")</f>
        <v/>
      </c>
      <c r="E194" s="3" t="n">
        <v>439.622</v>
      </c>
      <c r="F194" s="4" t="n">
        <v>22</v>
      </c>
      <c r="G194" t="inlineStr">
        <is>
          <t>Ontario Tennis Association</t>
        </is>
      </c>
      <c r="H194" t="inlineStr">
        <is>
          <t>Joshua Creek Golf &amp; Tennis</t>
        </is>
      </c>
      <c r="I194" t="n">
        <v>32.4</v>
      </c>
      <c r="J194" s="4" t="n">
        <v>139</v>
      </c>
      <c r="K194" t="inlineStr">
        <is>
          <t>60 / 79</t>
        </is>
      </c>
      <c r="L194" t="inlineStr">
        <is>
          <t>21 / 15</t>
        </is>
      </c>
      <c r="M194" s="5" t="n">
        <v>0.43</v>
      </c>
      <c r="N194" s="5" t="n">
        <v>0.58</v>
      </c>
    </row>
    <row r="195">
      <c r="A195" t="n">
        <v>194</v>
      </c>
      <c r="B195" t="n">
        <v>2014</v>
      </c>
      <c r="C195" t="inlineStr">
        <is>
          <t>Adrianna Gianvito</t>
        </is>
      </c>
      <c r="D195">
        <f>HYPERLINK("https://ota.tournamentsoftware.com/player-profile/1412F0F4-82D3-410D-980E-969EFE386B01", "Link")</f>
        <v/>
      </c>
      <c r="E195" s="3" t="n">
        <v>439.384</v>
      </c>
      <c r="F195" s="4" t="n">
        <v>20</v>
      </c>
      <c r="G195" t="inlineStr">
        <is>
          <t>Tennis Québec</t>
        </is>
      </c>
      <c r="H195" t="inlineStr">
        <is>
          <t>No Club</t>
        </is>
      </c>
      <c r="I195" t="inlineStr">
        <is>
          <t>unavailable</t>
        </is>
      </c>
      <c r="J195" s="4" t="n">
        <v>145</v>
      </c>
      <c r="K195" t="inlineStr">
        <is>
          <t>75 / 70</t>
        </is>
      </c>
      <c r="L195" t="inlineStr">
        <is>
          <t>25 / 18</t>
        </is>
      </c>
      <c r="M195" s="5" t="n">
        <v>0.52</v>
      </c>
      <c r="N195" s="5" t="n">
        <v>0.58</v>
      </c>
    </row>
    <row r="196">
      <c r="A196" t="n">
        <v>195</v>
      </c>
      <c r="B196" t="n">
        <v>2016</v>
      </c>
      <c r="C196" t="inlineStr">
        <is>
          <t>Alisha Goel</t>
        </is>
      </c>
      <c r="D196">
        <f>HYPERLINK("https://ota.tournamentsoftware.com/player-profile/7F9E9DD0-77A1-4F40-B2B5-C4B89592B089", "Link")</f>
        <v/>
      </c>
      <c r="E196" s="3" t="n">
        <v>439.27</v>
      </c>
      <c r="F196" s="4" t="n">
        <v>22</v>
      </c>
      <c r="G196" t="inlineStr">
        <is>
          <t>Ontario Tennis Association</t>
        </is>
      </c>
      <c r="H196" t="inlineStr">
        <is>
          <t>The Supreme Court Tennis Club</t>
        </is>
      </c>
      <c r="I196" t="n">
        <v>32.7</v>
      </c>
      <c r="J196" s="4" t="n">
        <v>180</v>
      </c>
      <c r="K196" t="inlineStr">
        <is>
          <t>123 / 57</t>
        </is>
      </c>
      <c r="L196" t="inlineStr">
        <is>
          <t>36 / 19</t>
        </is>
      </c>
      <c r="M196" s="5" t="n">
        <v>0.68</v>
      </c>
      <c r="N196" s="5" t="n">
        <v>0.65</v>
      </c>
    </row>
    <row r="197">
      <c r="A197" t="n">
        <v>196</v>
      </c>
      <c r="B197" t="n">
        <v>2013</v>
      </c>
      <c r="C197" t="inlineStr">
        <is>
          <t>Sonya Resnikova</t>
        </is>
      </c>
      <c r="D197">
        <f>HYPERLINK("https://ota.tournamentsoftware.com/player-profile/083F5EEA-6E2D-488B-B778-27E4248C2F0D", "Link")</f>
        <v/>
      </c>
      <c r="E197" s="3" t="n">
        <v>436.662</v>
      </c>
      <c r="F197" s="4" t="n">
        <v>23</v>
      </c>
      <c r="G197" t="inlineStr">
        <is>
          <t>Ontario Tennis Association</t>
        </is>
      </c>
      <c r="H197" t="inlineStr">
        <is>
          <t>Concord Tennis Academy</t>
        </is>
      </c>
      <c r="I197" t="n">
        <v>31.8</v>
      </c>
      <c r="J197" s="4" t="n">
        <v>78</v>
      </c>
      <c r="K197" t="inlineStr">
        <is>
          <t>49 / 29</t>
        </is>
      </c>
      <c r="L197" t="inlineStr">
        <is>
          <t>17 / 15</t>
        </is>
      </c>
      <c r="M197" s="5" t="n">
        <v>0.63</v>
      </c>
      <c r="N197" s="5" t="n">
        <v>0.53</v>
      </c>
    </row>
    <row r="198">
      <c r="A198" t="n">
        <v>197</v>
      </c>
      <c r="B198" t="n">
        <v>2015</v>
      </c>
      <c r="C198" t="inlineStr">
        <is>
          <t>Tina liu</t>
        </is>
      </c>
      <c r="D198">
        <f>HYPERLINK("https://ota.tournamentsoftware.com/player-profile/E7D1FBAC-8033-480E-A688-28CBCEF6D907", "Link")</f>
        <v/>
      </c>
      <c r="E198" s="3" t="n">
        <v>436.506</v>
      </c>
      <c r="F198" s="4" t="n">
        <v>31</v>
      </c>
      <c r="G198" t="inlineStr">
        <is>
          <t>Ontario Tennis Association</t>
        </is>
      </c>
      <c r="H198" t="inlineStr">
        <is>
          <t>No Club</t>
        </is>
      </c>
      <c r="I198" t="n">
        <v>32.6</v>
      </c>
      <c r="J198" s="4" t="n">
        <v>200</v>
      </c>
      <c r="K198" t="inlineStr">
        <is>
          <t>128 / 72</t>
        </is>
      </c>
      <c r="L198" t="inlineStr">
        <is>
          <t>32 / 19</t>
        </is>
      </c>
      <c r="M198" s="5" t="n">
        <v>0.64</v>
      </c>
      <c r="N198" s="5" t="n">
        <v>0.63</v>
      </c>
    </row>
    <row r="199">
      <c r="A199" t="n">
        <v>198</v>
      </c>
      <c r="B199" t="n">
        <v>2014</v>
      </c>
      <c r="C199" t="inlineStr">
        <is>
          <t>Katelyn Li</t>
        </is>
      </c>
      <c r="D199">
        <f>HYPERLINK("https://ota.tournamentsoftware.com/player-profile/4A74B151-256A-40ED-9F9D-F00036EDD0A5", "Link")</f>
        <v/>
      </c>
      <c r="E199" s="3" t="n">
        <v>419.141</v>
      </c>
      <c r="F199" s="4" t="n">
        <v>23</v>
      </c>
      <c r="G199" t="inlineStr">
        <is>
          <t>Ontario Tennis Association</t>
        </is>
      </c>
      <c r="H199" t="inlineStr">
        <is>
          <t>No Club</t>
        </is>
      </c>
      <c r="I199" t="inlineStr">
        <is>
          <t>unavailable</t>
        </is>
      </c>
      <c r="J199" s="4" t="n">
        <v>131</v>
      </c>
      <c r="K199" t="inlineStr">
        <is>
          <t>61 / 70</t>
        </is>
      </c>
      <c r="L199" t="inlineStr">
        <is>
          <t>20 / 20</t>
        </is>
      </c>
      <c r="M199" s="5" t="n">
        <v>0.47</v>
      </c>
      <c r="N199" s="5" t="n">
        <v>0.5</v>
      </c>
    </row>
    <row r="200">
      <c r="A200" t="n">
        <v>199</v>
      </c>
      <c r="B200" t="n">
        <v>2015</v>
      </c>
      <c r="C200" t="inlineStr">
        <is>
          <t>Sunandita Pal</t>
        </is>
      </c>
      <c r="D200">
        <f>HYPERLINK("https://ota.tournamentsoftware.com/player-profile/10185E41-C6E2-4C6A-9A47-A3AF6C77F2A4", "Link")</f>
        <v/>
      </c>
      <c r="E200" s="3" t="n">
        <v>418.017</v>
      </c>
      <c r="F200" s="4" t="n">
        <v>26</v>
      </c>
      <c r="G200" t="inlineStr">
        <is>
          <t>Ontario Tennis Association</t>
        </is>
      </c>
      <c r="H200" t="inlineStr">
        <is>
          <t>No Club</t>
        </is>
      </c>
      <c r="I200" t="n">
        <v>33.8</v>
      </c>
      <c r="J200" s="4" t="n">
        <v>228</v>
      </c>
      <c r="K200" t="inlineStr">
        <is>
          <t>106 / 122</t>
        </is>
      </c>
      <c r="L200" t="inlineStr">
        <is>
          <t>22 / 21</t>
        </is>
      </c>
      <c r="M200" s="5" t="n">
        <v>0.46</v>
      </c>
      <c r="N200" s="5" t="n">
        <v>0.51</v>
      </c>
    </row>
    <row r="201">
      <c r="A201" t="n">
        <v>200</v>
      </c>
      <c r="B201" t="n">
        <v>2014</v>
      </c>
      <c r="C201" t="inlineStr">
        <is>
          <t>Sophia Pavlovska</t>
        </is>
      </c>
      <c r="D201">
        <f>HYPERLINK("https://ota.tournamentsoftware.com/player-profile/5C58F1EE-F291-431D-AC00-FB9096274E0A", "Link")</f>
        <v/>
      </c>
      <c r="E201" s="3" t="n">
        <v>413.785</v>
      </c>
      <c r="F201" s="4" t="n">
        <v>13</v>
      </c>
      <c r="G201" t="inlineStr">
        <is>
          <t>Tennis New Brunswick</t>
        </is>
      </c>
      <c r="H201" t="inlineStr">
        <is>
          <t>Dieppe</t>
        </is>
      </c>
      <c r="I201" t="n">
        <v>32.9</v>
      </c>
      <c r="J201" s="4" t="n">
        <v>173</v>
      </c>
      <c r="K201" t="inlineStr">
        <is>
          <t>62 / 111</t>
        </is>
      </c>
      <c r="L201" t="inlineStr">
        <is>
          <t>17 / 16</t>
        </is>
      </c>
      <c r="M201" s="5" t="n">
        <v>0.36</v>
      </c>
      <c r="N201" s="5" t="n">
        <v>0.52</v>
      </c>
    </row>
    <row r="202">
      <c r="A202" t="n">
        <v>201</v>
      </c>
      <c r="B202" t="n">
        <v>2013</v>
      </c>
      <c r="C202" t="inlineStr">
        <is>
          <t>Isidora Trkulja</t>
        </is>
      </c>
      <c r="D202">
        <f>HYPERLINK("https://ota.tournamentsoftware.com/player-profile/1A3F3EE8-FB93-483C-A52C-E761E6FA42CE", "Link")</f>
        <v/>
      </c>
      <c r="E202" s="3" t="n">
        <v>413.395</v>
      </c>
      <c r="F202" s="4" t="n">
        <v>8</v>
      </c>
      <c r="G202" t="inlineStr">
        <is>
          <t>Tennis Alberta</t>
        </is>
      </c>
      <c r="H202" t="inlineStr">
        <is>
          <t>Saville Community Sports Centre</t>
        </is>
      </c>
      <c r="I202" t="n">
        <v>26.2</v>
      </c>
      <c r="J202" s="4" t="n">
        <v>194</v>
      </c>
      <c r="K202" t="inlineStr">
        <is>
          <t>125 / 69</t>
        </is>
      </c>
      <c r="L202" t="inlineStr">
        <is>
          <t>8 / 6</t>
        </is>
      </c>
      <c r="M202" s="5" t="n">
        <v>0.64</v>
      </c>
      <c r="N202" s="5" t="n">
        <v>0.57</v>
      </c>
    </row>
    <row r="203">
      <c r="A203" t="n">
        <v>202</v>
      </c>
      <c r="B203" t="n">
        <v>2013</v>
      </c>
      <c r="C203" t="inlineStr">
        <is>
          <t>Arya Kaur Dhillon</t>
        </is>
      </c>
      <c r="D203">
        <f>HYPERLINK("https://ota.tournamentsoftware.com/player-profile/3DBC0BDE-C3D6-40A5-992E-F7274098EF5D", "Link")</f>
        <v/>
      </c>
      <c r="E203" s="3" t="n">
        <v>405.446</v>
      </c>
      <c r="F203" s="4" t="n">
        <v>18</v>
      </c>
      <c r="G203" t="inlineStr">
        <is>
          <t>Tennis Alberta</t>
        </is>
      </c>
      <c r="H203" t="inlineStr">
        <is>
          <t>Saville Community Sports Centre</t>
        </is>
      </c>
      <c r="I203" t="n">
        <v>29.6</v>
      </c>
      <c r="J203" s="4" t="n">
        <v>173</v>
      </c>
      <c r="K203" t="inlineStr">
        <is>
          <t>85 / 88</t>
        </is>
      </c>
      <c r="L203" t="inlineStr">
        <is>
          <t>23 / 20</t>
        </is>
      </c>
      <c r="M203" s="5" t="n">
        <v>0.49</v>
      </c>
      <c r="N203" s="5" t="n">
        <v>0.53</v>
      </c>
    </row>
    <row r="204">
      <c r="A204" t="n">
        <v>203</v>
      </c>
      <c r="B204" t="n">
        <v>2014</v>
      </c>
      <c r="C204" t="inlineStr">
        <is>
          <t>Ema Zonjic</t>
        </is>
      </c>
      <c r="D204">
        <f>HYPERLINK("https://ota.tournamentsoftware.com/player-profile/42A43C76-E08F-4134-B876-2E9D05859D92", "Link")</f>
        <v/>
      </c>
      <c r="E204" s="3" t="n">
        <v>401.725</v>
      </c>
      <c r="F204" s="4" t="n">
        <v>25</v>
      </c>
      <c r="G204" t="inlineStr">
        <is>
          <t>Ontario Tennis Association</t>
        </is>
      </c>
      <c r="H204" t="inlineStr">
        <is>
          <t>Rideau Sports Centre</t>
        </is>
      </c>
      <c r="I204" t="n">
        <v>31.7</v>
      </c>
      <c r="J204" s="4" t="n">
        <v>179</v>
      </c>
      <c r="K204" t="inlineStr">
        <is>
          <t>100 / 79</t>
        </is>
      </c>
      <c r="L204" t="inlineStr">
        <is>
          <t>32 / 22</t>
        </is>
      </c>
      <c r="M204" s="5" t="n">
        <v>0.5600000000000001</v>
      </c>
      <c r="N204" s="5" t="n">
        <v>0.59</v>
      </c>
    </row>
    <row r="205">
      <c r="A205" t="n">
        <v>204</v>
      </c>
      <c r="B205" t="n">
        <v>2013</v>
      </c>
      <c r="C205" t="inlineStr">
        <is>
          <t>Rachel Daniel</t>
        </is>
      </c>
      <c r="D205">
        <f>HYPERLINK("https://ota.tournamentsoftware.com/player-profile/C70279D5-586C-4A9D-94CC-EB9551085FF4", "Link")</f>
        <v/>
      </c>
      <c r="E205" s="3" t="n">
        <v>398.854</v>
      </c>
      <c r="F205" s="4" t="n">
        <v>19</v>
      </c>
      <c r="G205" t="inlineStr">
        <is>
          <t>Ontario Tennis Association</t>
        </is>
      </c>
      <c r="H205" t="inlineStr">
        <is>
          <t>Advantage Tennis International at Veneto</t>
        </is>
      </c>
      <c r="I205" t="n">
        <v>32.8</v>
      </c>
      <c r="J205" s="4" t="n">
        <v>100</v>
      </c>
      <c r="K205" t="inlineStr">
        <is>
          <t>39 / 61</t>
        </is>
      </c>
      <c r="L205" t="inlineStr">
        <is>
          <t>9 / 12</t>
        </is>
      </c>
      <c r="M205" s="5" t="n">
        <v>0.39</v>
      </c>
      <c r="N205" s="5" t="n">
        <v>0.43</v>
      </c>
    </row>
    <row r="206">
      <c r="A206" t="n">
        <v>205</v>
      </c>
      <c r="B206" t="n">
        <v>2012</v>
      </c>
      <c r="C206" t="inlineStr">
        <is>
          <t>Victoria Perez Vargas</t>
        </is>
      </c>
      <c r="D206">
        <f>HYPERLINK("https://ota.tournamentsoftware.com/player-profile/6649B15F-628D-4ED7-81D6-AEB9036DF19A", "Link")</f>
        <v/>
      </c>
      <c r="E206" s="3" t="n">
        <v>396.088</v>
      </c>
      <c r="F206" s="4" t="n">
        <v>24</v>
      </c>
      <c r="G206" t="inlineStr">
        <is>
          <t>Tennis Québec</t>
        </is>
      </c>
      <c r="H206" t="inlineStr">
        <is>
          <t>Centre récréatif de Repentigny / Académie Tennis Momentum</t>
        </is>
      </c>
      <c r="I206" t="n">
        <v>32.6</v>
      </c>
      <c r="J206" s="4" t="n">
        <v>103</v>
      </c>
      <c r="K206" t="inlineStr">
        <is>
          <t>51 / 52</t>
        </is>
      </c>
      <c r="L206" t="inlineStr">
        <is>
          <t>26 / 15</t>
        </is>
      </c>
      <c r="M206" s="5" t="n">
        <v>0.5</v>
      </c>
      <c r="N206" s="5" t="n">
        <v>0.63</v>
      </c>
    </row>
    <row r="207">
      <c r="A207" t="n">
        <v>206</v>
      </c>
      <c r="B207" t="n">
        <v>2013</v>
      </c>
      <c r="C207" t="inlineStr">
        <is>
          <t>Livia Seguin</t>
        </is>
      </c>
      <c r="D207">
        <f>HYPERLINK("https://ota.tournamentsoftware.com/player-profile/2B987274-8A56-4EE6-B85D-948871231CC0", "Link")</f>
        <v/>
      </c>
      <c r="E207" s="3" t="n">
        <v>394.844</v>
      </c>
      <c r="F207" s="4" t="n">
        <v>34</v>
      </c>
      <c r="G207" t="inlineStr">
        <is>
          <t>Tennis Québec</t>
        </is>
      </c>
      <c r="H207" t="inlineStr">
        <is>
          <t>Tennis Interclub Piedmont</t>
        </is>
      </c>
      <c r="I207" t="n">
        <v>33.1</v>
      </c>
      <c r="J207" s="4" t="n">
        <v>129</v>
      </c>
      <c r="K207" t="inlineStr">
        <is>
          <t>39 / 90</t>
        </is>
      </c>
      <c r="L207" t="inlineStr">
        <is>
          <t>15 / 29</t>
        </is>
      </c>
      <c r="M207" s="5" t="n">
        <v>0.3</v>
      </c>
      <c r="N207" s="5" t="n">
        <v>0.34</v>
      </c>
    </row>
    <row r="208">
      <c r="A208" t="n">
        <v>207</v>
      </c>
      <c r="B208" t="n">
        <v>2015</v>
      </c>
      <c r="C208" t="inlineStr">
        <is>
          <t>Mila Caporusso</t>
        </is>
      </c>
      <c r="D208">
        <f>HYPERLINK("https://ota.tournamentsoftware.com/player-profile/71A1C940-3E73-49DA-929B-3B90328FC4BC", "Link")</f>
        <v/>
      </c>
      <c r="E208" s="3" t="n">
        <v>392.138</v>
      </c>
      <c r="F208" s="4" t="n">
        <v>8</v>
      </c>
      <c r="G208" t="inlineStr">
        <is>
          <t>Tennis Québec</t>
        </is>
      </c>
      <c r="H208" t="inlineStr">
        <is>
          <t>Tennis 13 / Académie Ménard et associé</t>
        </is>
      </c>
      <c r="I208" t="n">
        <v>30.6</v>
      </c>
      <c r="J208" s="4" t="n">
        <v>109</v>
      </c>
      <c r="K208" t="inlineStr">
        <is>
          <t>71 / 38</t>
        </is>
      </c>
      <c r="L208" t="inlineStr">
        <is>
          <t>10 / 10</t>
        </is>
      </c>
      <c r="M208" s="5" t="n">
        <v>0.65</v>
      </c>
      <c r="N208" s="5" t="n">
        <v>0.5</v>
      </c>
    </row>
    <row r="209">
      <c r="A209" t="n">
        <v>208</v>
      </c>
      <c r="B209" t="n">
        <v>2013</v>
      </c>
      <c r="C209" t="inlineStr">
        <is>
          <t>Coralie D'Amours</t>
        </is>
      </c>
      <c r="D209">
        <f>HYPERLINK("https://ota.tournamentsoftware.com/player-profile/35A6230C-9F9D-4861-B1DB-6367FB38A039", "Link")</f>
        <v/>
      </c>
      <c r="E209" s="3" t="n">
        <v>389.814</v>
      </c>
      <c r="F209" s="4" t="n">
        <v>14</v>
      </c>
      <c r="G209" t="inlineStr">
        <is>
          <t>Ontario Tennis Association</t>
        </is>
      </c>
      <c r="H209" t="inlineStr">
        <is>
          <t>Rideau Sports Centre</t>
        </is>
      </c>
      <c r="I209" t="n">
        <v>34.3</v>
      </c>
      <c r="J209" s="4" t="n">
        <v>51</v>
      </c>
      <c r="K209" t="inlineStr">
        <is>
          <t>17 / 34</t>
        </is>
      </c>
      <c r="L209" t="inlineStr">
        <is>
          <t>9 / 12</t>
        </is>
      </c>
      <c r="M209" s="5" t="n">
        <v>0.33</v>
      </c>
      <c r="N209" s="5" t="n">
        <v>0.43</v>
      </c>
    </row>
    <row r="210">
      <c r="A210" t="n">
        <v>209</v>
      </c>
      <c r="B210" t="n">
        <v>2013</v>
      </c>
      <c r="C210" t="inlineStr">
        <is>
          <t>Élisabeth Circé</t>
        </is>
      </c>
      <c r="D210">
        <f>HYPERLINK("https://ota.tournamentsoftware.com/player-profile/6616439A-F3CD-4D57-876F-DCE4AC4B88C9", "Link")</f>
        <v/>
      </c>
      <c r="E210" s="3" t="n">
        <v>389.717</v>
      </c>
      <c r="F210" s="4" t="n">
        <v>29</v>
      </c>
      <c r="G210" t="inlineStr">
        <is>
          <t>Tennis Québec</t>
        </is>
      </c>
      <c r="H210" t="inlineStr">
        <is>
          <t>Tennis Interclub Piedmont</t>
        </is>
      </c>
      <c r="I210" t="inlineStr">
        <is>
          <t>unavailable</t>
        </is>
      </c>
      <c r="J210" s="4" t="n">
        <v>145</v>
      </c>
      <c r="K210" t="inlineStr">
        <is>
          <t>47 / 98</t>
        </is>
      </c>
      <c r="L210" t="inlineStr">
        <is>
          <t>13 / 22</t>
        </is>
      </c>
      <c r="M210" s="5" t="n">
        <v>0.32</v>
      </c>
      <c r="N210" s="5" t="n">
        <v>0.37</v>
      </c>
    </row>
    <row r="211">
      <c r="A211" t="n">
        <v>210</v>
      </c>
      <c r="B211" t="n">
        <v>2013</v>
      </c>
      <c r="C211" t="inlineStr">
        <is>
          <t>Rosemarie Gagnon</t>
        </is>
      </c>
      <c r="D211">
        <f>HYPERLINK("https://ota.tournamentsoftware.com/player-profile/55A370D6-4FAD-414D-9E3D-2889C644855A", "Link")</f>
        <v/>
      </c>
      <c r="E211" s="3" t="n">
        <v>389.688</v>
      </c>
      <c r="F211" s="4" t="n">
        <v>20</v>
      </c>
      <c r="G211" t="inlineStr">
        <is>
          <t>Tennis Québec</t>
        </is>
      </c>
      <c r="H211" t="inlineStr">
        <is>
          <t>Club de tennis intérieur Saguenay / École de tennis Delisle-Poirel</t>
        </is>
      </c>
      <c r="I211" t="n">
        <v>33.3</v>
      </c>
      <c r="J211" s="4" t="n">
        <v>107</v>
      </c>
      <c r="K211" t="inlineStr">
        <is>
          <t>46 / 61</t>
        </is>
      </c>
      <c r="L211" t="inlineStr">
        <is>
          <t>8 / 16</t>
        </is>
      </c>
      <c r="M211" s="5" t="n">
        <v>0.43</v>
      </c>
      <c r="N211" s="5" t="n">
        <v>0.33</v>
      </c>
    </row>
    <row r="212">
      <c r="A212" t="n">
        <v>211</v>
      </c>
      <c r="B212" t="n">
        <v>2014</v>
      </c>
      <c r="C212" t="inlineStr">
        <is>
          <t>Maeva Cantin</t>
        </is>
      </c>
      <c r="D212">
        <f>HYPERLINK("https://ota.tournamentsoftware.com/player-profile/B46D6374-4A68-4FB0-8516-4056AFA1047A", "Link")</f>
        <v/>
      </c>
      <c r="E212" s="3" t="n">
        <v>389.285</v>
      </c>
      <c r="F212" s="4" t="n">
        <v>17</v>
      </c>
      <c r="G212" t="inlineStr">
        <is>
          <t>Tennis Québec</t>
        </is>
      </c>
      <c r="H212" t="inlineStr">
        <is>
          <t>Centre récréatif de Repentigny / Académie Tennis Momentum</t>
        </is>
      </c>
      <c r="I212" t="n">
        <v>30.9</v>
      </c>
      <c r="J212" s="4" t="n">
        <v>149</v>
      </c>
      <c r="K212" t="inlineStr">
        <is>
          <t>79 / 70</t>
        </is>
      </c>
      <c r="L212" t="inlineStr">
        <is>
          <t>26 / 17</t>
        </is>
      </c>
      <c r="M212" s="5" t="n">
        <v>0.53</v>
      </c>
      <c r="N212" s="5" t="n">
        <v>0.6</v>
      </c>
    </row>
    <row r="213">
      <c r="A213" t="n">
        <v>212</v>
      </c>
      <c r="B213" t="n">
        <v>2014</v>
      </c>
      <c r="C213" t="inlineStr">
        <is>
          <t>Olivia Zhang</t>
        </is>
      </c>
      <c r="D213">
        <f>HYPERLINK("https://ota.tournamentsoftware.com/player-profile/8A1E61A8-3535-4F88-8C90-68A511D75AC2", "Link")</f>
        <v/>
      </c>
      <c r="E213" s="3" t="n">
        <v>388.8</v>
      </c>
      <c r="F213" s="4" t="n">
        <v>18</v>
      </c>
      <c r="G213" t="inlineStr">
        <is>
          <t>Ontario Tennis Association</t>
        </is>
      </c>
      <c r="H213" t="inlineStr">
        <is>
          <t>Richmondhill Golf &amp; Country Club</t>
        </is>
      </c>
      <c r="I213" t="n">
        <v>30.5</v>
      </c>
      <c r="J213" s="4" t="n">
        <v>99</v>
      </c>
      <c r="K213" t="inlineStr">
        <is>
          <t>61 / 38</t>
        </is>
      </c>
      <c r="L213" t="inlineStr">
        <is>
          <t>30 / 15</t>
        </is>
      </c>
      <c r="M213" s="5" t="n">
        <v>0.62</v>
      </c>
      <c r="N213" s="5" t="n">
        <v>0.67</v>
      </c>
    </row>
    <row r="214">
      <c r="A214" t="n">
        <v>213</v>
      </c>
      <c r="B214" t="n">
        <v>2014</v>
      </c>
      <c r="C214" t="inlineStr">
        <is>
          <t>Hanna Julia Barta</t>
        </is>
      </c>
      <c r="D214">
        <f>HYPERLINK("https://ota.tournamentsoftware.com/player-profile/BAF4D69B-39E5-4A7E-BB04-5AF0EDC7734B", "Link")</f>
        <v/>
      </c>
      <c r="E214" s="3" t="n">
        <v>388.453</v>
      </c>
      <c r="F214" s="4" t="n">
        <v>27</v>
      </c>
      <c r="G214" t="inlineStr">
        <is>
          <t>Ontario Tennis Association</t>
        </is>
      </c>
      <c r="H214" t="inlineStr">
        <is>
          <t>Advantage Tennis International at Veneto</t>
        </is>
      </c>
      <c r="I214" t="n">
        <v>33</v>
      </c>
      <c r="J214" s="4" t="n">
        <v>203</v>
      </c>
      <c r="K214" t="inlineStr">
        <is>
          <t>99 / 104</t>
        </is>
      </c>
      <c r="L214" t="inlineStr">
        <is>
          <t>19 / 18</t>
        </is>
      </c>
      <c r="M214" s="5" t="n">
        <v>0.49</v>
      </c>
      <c r="N214" s="5" t="n">
        <v>0.51</v>
      </c>
    </row>
    <row r="215">
      <c r="A215" t="n">
        <v>214</v>
      </c>
      <c r="B215" t="n">
        <v>2012</v>
      </c>
      <c r="C215" t="inlineStr">
        <is>
          <t>Aliya Star Michel</t>
        </is>
      </c>
      <c r="D215">
        <f>HYPERLINK("https://ota.tournamentsoftware.com/player-profile/B34E6AA6-2962-4DB5-93DB-BCA4DBF97316", "Link")</f>
        <v/>
      </c>
      <c r="E215" s="3" t="n">
        <v>386.865</v>
      </c>
      <c r="F215" s="4" t="n">
        <v>7</v>
      </c>
      <c r="G215" t="inlineStr">
        <is>
          <t>Tennis Québec</t>
        </is>
      </c>
      <c r="H215" t="inlineStr">
        <is>
          <t>Carrefour Multisports</t>
        </is>
      </c>
      <c r="I215" t="n">
        <v>29.9</v>
      </c>
      <c r="J215" s="4" t="n">
        <v>184</v>
      </c>
      <c r="K215" t="inlineStr">
        <is>
          <t>96 / 88</t>
        </is>
      </c>
      <c r="L215" t="inlineStr">
        <is>
          <t>2 / 2</t>
        </is>
      </c>
      <c r="M215" s="5" t="n">
        <v>0.52</v>
      </c>
      <c r="N215" s="5" t="n">
        <v>0.5</v>
      </c>
    </row>
    <row r="216">
      <c r="A216" t="n">
        <v>215</v>
      </c>
      <c r="B216" t="n">
        <v>2013</v>
      </c>
      <c r="C216" t="inlineStr">
        <is>
          <t>EMMA ANTONIA DOBREAN</t>
        </is>
      </c>
      <c r="D216">
        <f>HYPERLINK("https://ota.tournamentsoftware.com/player-profile/A556E1FC-8159-42C1-A5DB-35375535B6F4", "Link")</f>
        <v/>
      </c>
      <c r="E216" s="3" t="n">
        <v>386.415</v>
      </c>
      <c r="F216" s="4" t="n">
        <v>3</v>
      </c>
      <c r="G216" t="inlineStr">
        <is>
          <t>Ontario Tennis Association</t>
        </is>
      </c>
      <c r="H216" t="inlineStr">
        <is>
          <t>No Club</t>
        </is>
      </c>
      <c r="I216" t="inlineStr">
        <is>
          <t>unavailable</t>
        </is>
      </c>
      <c r="J216" s="4" t="n">
        <v>137</v>
      </c>
      <c r="K216" t="inlineStr">
        <is>
          <t>98 / 39</t>
        </is>
      </c>
      <c r="L216" t="inlineStr">
        <is>
          <t>2 / 3</t>
        </is>
      </c>
      <c r="M216" s="5" t="n">
        <v>0.72</v>
      </c>
      <c r="N216" s="5" t="n">
        <v>0.4</v>
      </c>
    </row>
    <row r="217">
      <c r="A217" t="n">
        <v>216</v>
      </c>
      <c r="B217" t="n">
        <v>2012</v>
      </c>
      <c r="C217" t="inlineStr">
        <is>
          <t>Milena Mavrin</t>
        </is>
      </c>
      <c r="D217">
        <f>HYPERLINK("https://ota.tournamentsoftware.com/player-profile/E6DED1E8-57C3-4627-8D59-94A636610A6B", "Link")</f>
        <v/>
      </c>
      <c r="E217" s="3" t="n">
        <v>386.04</v>
      </c>
      <c r="F217" s="4" t="n">
        <v>25</v>
      </c>
      <c r="G217" t="inlineStr">
        <is>
          <t>Ontario Tennis Association</t>
        </is>
      </c>
      <c r="H217" t="inlineStr">
        <is>
          <t>Blackmore Tennis Club</t>
        </is>
      </c>
      <c r="I217" t="n">
        <v>31.5</v>
      </c>
      <c r="J217" s="4" t="n">
        <v>71</v>
      </c>
      <c r="K217" t="inlineStr">
        <is>
          <t>32 / 39</t>
        </is>
      </c>
      <c r="L217" t="inlineStr">
        <is>
          <t>24 / 19</t>
        </is>
      </c>
      <c r="M217" s="5" t="n">
        <v>0.45</v>
      </c>
      <c r="N217" s="5" t="n">
        <v>0.5600000000000001</v>
      </c>
    </row>
    <row r="218">
      <c r="A218" t="n">
        <v>217</v>
      </c>
      <c r="B218" t="n">
        <v>2014</v>
      </c>
      <c r="C218" t="inlineStr">
        <is>
          <t>Erin Yida Li</t>
        </is>
      </c>
      <c r="D218">
        <f>HYPERLINK("https://ota.tournamentsoftware.com/player-profile/48592A27-18BE-4C04-BE24-73F536B6D5D5", "Link")</f>
        <v/>
      </c>
      <c r="E218" s="3" t="n">
        <v>382.624</v>
      </c>
      <c r="F218" s="4" t="n">
        <v>20</v>
      </c>
      <c r="G218" t="inlineStr">
        <is>
          <t>Ontario Tennis Association</t>
        </is>
      </c>
      <c r="H218" t="inlineStr">
        <is>
          <t>Richmondhill Golf &amp; Country Club</t>
        </is>
      </c>
      <c r="I218" t="n">
        <v>32.7</v>
      </c>
      <c r="J218" s="4" t="n">
        <v>83</v>
      </c>
      <c r="K218" t="inlineStr">
        <is>
          <t>41 / 42</t>
        </is>
      </c>
      <c r="L218" t="inlineStr">
        <is>
          <t>18 / 17</t>
        </is>
      </c>
      <c r="M218" s="5" t="n">
        <v>0.49</v>
      </c>
      <c r="N218" s="5" t="n">
        <v>0.51</v>
      </c>
    </row>
    <row r="219">
      <c r="A219" t="n">
        <v>218</v>
      </c>
      <c r="B219" t="n">
        <v>2014</v>
      </c>
      <c r="C219" t="inlineStr">
        <is>
          <t>Isabella Quintero-Gonzalez</t>
        </is>
      </c>
      <c r="D219">
        <f>HYPERLINK("https://ota.tournamentsoftware.com/player-profile/7215E114-BC9E-4292-9B97-03B766DB64EA", "Link")</f>
        <v/>
      </c>
      <c r="E219" s="3" t="n">
        <v>370.411</v>
      </c>
      <c r="F219" s="4" t="n">
        <v>12</v>
      </c>
      <c r="G219" t="inlineStr">
        <is>
          <t>Tennis Nova Scotia</t>
        </is>
      </c>
      <c r="H219" t="inlineStr">
        <is>
          <t>Atlantic Tennis Centre</t>
        </is>
      </c>
      <c r="I219" t="n">
        <v>33.5</v>
      </c>
      <c r="J219" s="4" t="n">
        <v>128</v>
      </c>
      <c r="K219" t="inlineStr">
        <is>
          <t>65 / 63</t>
        </is>
      </c>
      <c r="L219" t="inlineStr">
        <is>
          <t>29 / 23</t>
        </is>
      </c>
      <c r="M219" s="5" t="n">
        <v>0.51</v>
      </c>
      <c r="N219" s="5" t="n">
        <v>0.5600000000000001</v>
      </c>
    </row>
    <row r="220">
      <c r="A220" t="n">
        <v>219</v>
      </c>
      <c r="B220" t="n">
        <v>2013</v>
      </c>
      <c r="C220" t="inlineStr">
        <is>
          <t>Noelle Coyne</t>
        </is>
      </c>
      <c r="D220">
        <f>HYPERLINK("https://ota.tournamentsoftware.com/player-profile/F9F10EB5-F22D-4997-85F1-78377170C70A", "Link")</f>
        <v/>
      </c>
      <c r="E220" s="3" t="n">
        <v>367.853</v>
      </c>
      <c r="F220" s="4" t="n">
        <v>26</v>
      </c>
      <c r="G220" t="inlineStr">
        <is>
          <t>Tennis Alberta</t>
        </is>
      </c>
      <c r="H220" t="inlineStr">
        <is>
          <t>Osten &amp; Victor Alberta Tennis Centre</t>
        </is>
      </c>
      <c r="I220" t="n">
        <v>31.9</v>
      </c>
      <c r="J220" s="4" t="n">
        <v>122</v>
      </c>
      <c r="K220" t="inlineStr">
        <is>
          <t>51 / 71</t>
        </is>
      </c>
      <c r="L220" t="inlineStr">
        <is>
          <t>23 / 32</t>
        </is>
      </c>
      <c r="M220" s="5" t="n">
        <v>0.42</v>
      </c>
      <c r="N220" s="5" t="n">
        <v>0.42</v>
      </c>
    </row>
    <row r="221">
      <c r="A221" t="n">
        <v>220</v>
      </c>
      <c r="B221" t="n">
        <v>2013</v>
      </c>
      <c r="C221" t="inlineStr">
        <is>
          <t>Mary Grace MacDonnell Doak</t>
        </is>
      </c>
      <c r="D221">
        <f>HYPERLINK("https://ota.tournamentsoftware.com/player-profile/7E3C3388-CB92-4FE9-B0C8-FE6415D966E4", "Link")</f>
        <v/>
      </c>
      <c r="E221" s="3" t="n">
        <v>366.079</v>
      </c>
      <c r="F221" s="4" t="n">
        <v>18</v>
      </c>
      <c r="G221" t="inlineStr">
        <is>
          <t>Ontario Tennis Association</t>
        </is>
      </c>
      <c r="H221" t="inlineStr">
        <is>
          <t>St. James Tennis Club</t>
        </is>
      </c>
      <c r="I221" t="n">
        <v>36.2</v>
      </c>
      <c r="J221" s="4" t="n">
        <v>143</v>
      </c>
      <c r="K221" t="inlineStr">
        <is>
          <t>69 / 74</t>
        </is>
      </c>
      <c r="L221" t="inlineStr">
        <is>
          <t>5 / 12</t>
        </is>
      </c>
      <c r="M221" s="5" t="n">
        <v>0.48</v>
      </c>
      <c r="N221" s="5" t="n">
        <v>0.29</v>
      </c>
    </row>
    <row r="222">
      <c r="A222" t="n">
        <v>221</v>
      </c>
      <c r="B222" t="n">
        <v>2014</v>
      </c>
      <c r="C222" t="inlineStr">
        <is>
          <t>Hailey Zhou</t>
        </is>
      </c>
      <c r="D222">
        <f>HYPERLINK("https://ota.tournamentsoftware.com/player-profile/3046278B-E91E-4DE6-B598-5CD7D202AA49", "Link")</f>
        <v/>
      </c>
      <c r="E222" s="3" t="n">
        <v>344.77</v>
      </c>
      <c r="F222" s="4" t="n">
        <v>32</v>
      </c>
      <c r="G222" t="inlineStr">
        <is>
          <t>Ontario Tennis Association</t>
        </is>
      </c>
      <c r="H222" t="inlineStr">
        <is>
          <t>Advantage Tennis International at Veneto</t>
        </is>
      </c>
      <c r="I222" t="n">
        <v>33.9</v>
      </c>
      <c r="J222" s="4" t="n">
        <v>76</v>
      </c>
      <c r="K222" t="inlineStr">
        <is>
          <t>38 / 38</t>
        </is>
      </c>
      <c r="L222" t="inlineStr">
        <is>
          <t>28 / 26</t>
        </is>
      </c>
      <c r="M222" s="5" t="n">
        <v>0.5</v>
      </c>
      <c r="N222" s="5" t="n">
        <v>0.52</v>
      </c>
    </row>
    <row r="223">
      <c r="A223" t="n">
        <v>222</v>
      </c>
      <c r="B223" t="n">
        <v>2012</v>
      </c>
      <c r="C223" t="inlineStr">
        <is>
          <t>Sneha Sahiba Bhatti</t>
        </is>
      </c>
      <c r="D223">
        <f>HYPERLINK("https://ota.tournamentsoftware.com/player-profile/16EA0E7B-0025-4333-9A2A-28395C436A40", "Link")</f>
        <v/>
      </c>
      <c r="E223" s="3" t="n">
        <v>343.767</v>
      </c>
      <c r="F223" s="4" t="n">
        <v>18</v>
      </c>
      <c r="G223" t="inlineStr">
        <is>
          <t>British Columbia</t>
        </is>
      </c>
      <c r="H223" t="inlineStr">
        <is>
          <t>Coquitlam Tennis Club</t>
        </is>
      </c>
      <c r="I223" t="n">
        <v>30.3</v>
      </c>
      <c r="J223" s="4" t="n">
        <v>186</v>
      </c>
      <c r="K223" t="inlineStr">
        <is>
          <t>93 / 93</t>
        </is>
      </c>
      <c r="L223" t="inlineStr">
        <is>
          <t>15 / 19</t>
        </is>
      </c>
      <c r="M223" s="5" t="n">
        <v>0.5</v>
      </c>
      <c r="N223" s="5" t="n">
        <v>0.44</v>
      </c>
    </row>
    <row r="224">
      <c r="A224" t="n">
        <v>223</v>
      </c>
      <c r="B224" t="n">
        <v>2014</v>
      </c>
      <c r="C224" t="inlineStr">
        <is>
          <t>anne xie</t>
        </is>
      </c>
      <c r="D224">
        <f>HYPERLINK("https://ota.tournamentsoftware.com/player-profile/FA9126B9-8D97-4D5E-9E34-8893BB836AE1", "Link")</f>
        <v/>
      </c>
      <c r="E224" s="3" t="n">
        <v>340.237</v>
      </c>
      <c r="F224" s="4" t="n">
        <v>26</v>
      </c>
      <c r="G224" t="inlineStr">
        <is>
          <t>British Columbia</t>
        </is>
      </c>
      <c r="H224" t="inlineStr">
        <is>
          <t>North Vancouver Tennis Centre</t>
        </is>
      </c>
      <c r="I224" t="n">
        <v>29.4</v>
      </c>
      <c r="J224" s="4" t="n">
        <v>256</v>
      </c>
      <c r="K224" t="inlineStr">
        <is>
          <t>123 / 133</t>
        </is>
      </c>
      <c r="L224" t="inlineStr">
        <is>
          <t>26 / 25</t>
        </is>
      </c>
      <c r="M224" s="5" t="n">
        <v>0.48</v>
      </c>
      <c r="N224" s="5" t="n">
        <v>0.51</v>
      </c>
    </row>
    <row r="225">
      <c r="A225" t="n">
        <v>224</v>
      </c>
      <c r="B225" t="n">
        <v>2012</v>
      </c>
      <c r="C225" t="inlineStr">
        <is>
          <t>Anne-Frédérique Jacob</t>
        </is>
      </c>
      <c r="D225">
        <f>HYPERLINK("https://ota.tournamentsoftware.com/player-profile/6FDF9E24-9EF2-40B8-AA29-4E8DB70822F9", "Link")</f>
        <v/>
      </c>
      <c r="E225" s="3" t="n">
        <v>339.237</v>
      </c>
      <c r="F225" s="4" t="n">
        <v>15</v>
      </c>
      <c r="G225" t="inlineStr">
        <is>
          <t>Tennis Québec</t>
        </is>
      </c>
      <c r="H225" t="inlineStr">
        <is>
          <t>SANI Sport</t>
        </is>
      </c>
      <c r="I225" t="n">
        <v>30.3</v>
      </c>
      <c r="J225" s="4" t="n">
        <v>147</v>
      </c>
      <c r="K225" t="inlineStr">
        <is>
          <t>73 / 74</t>
        </is>
      </c>
      <c r="L225" t="inlineStr">
        <is>
          <t>5 / 11</t>
        </is>
      </c>
      <c r="M225" s="5" t="n">
        <v>0.5</v>
      </c>
      <c r="N225" s="5" t="n">
        <v>0.31</v>
      </c>
    </row>
    <row r="226">
      <c r="A226" t="n">
        <v>225</v>
      </c>
      <c r="B226" t="n">
        <v>2014</v>
      </c>
      <c r="C226" t="inlineStr">
        <is>
          <t>Isabelle Prusinkiewicz</t>
        </is>
      </c>
      <c r="D226">
        <f>HYPERLINK("https://ota.tournamentsoftware.com/player-profile/15F8CE0F-EF62-4029-B13B-F131581B8B29", "Link")</f>
        <v/>
      </c>
      <c r="E226" s="3" t="n">
        <v>338.545</v>
      </c>
      <c r="F226" s="4" t="n">
        <v>24</v>
      </c>
      <c r="G226" t="inlineStr">
        <is>
          <t>Tennis Alberta</t>
        </is>
      </c>
      <c r="H226" t="inlineStr">
        <is>
          <t>Aforza</t>
        </is>
      </c>
      <c r="I226" t="n">
        <v>32.1</v>
      </c>
      <c r="J226" s="4" t="n">
        <v>178</v>
      </c>
      <c r="K226" t="inlineStr">
        <is>
          <t>102 / 76</t>
        </is>
      </c>
      <c r="L226" t="inlineStr">
        <is>
          <t>30 / 20</t>
        </is>
      </c>
      <c r="M226" s="5" t="n">
        <v>0.57</v>
      </c>
      <c r="N226" s="5" t="n">
        <v>0.6</v>
      </c>
    </row>
    <row r="227">
      <c r="A227" t="n">
        <v>226</v>
      </c>
      <c r="B227" t="n">
        <v>2013</v>
      </c>
      <c r="C227" t="inlineStr">
        <is>
          <t>Jessica Rosemary Hill</t>
        </is>
      </c>
      <c r="D227">
        <f>HYPERLINK("https://ota.tournamentsoftware.com/player-profile/9F68BF9A-4FFA-4754-8023-C9F4ABCF0003", "Link")</f>
        <v/>
      </c>
      <c r="E227" s="3" t="n">
        <v>336.999</v>
      </c>
      <c r="F227" s="4" t="n">
        <v>22</v>
      </c>
      <c r="G227" t="inlineStr">
        <is>
          <t>British Columbia</t>
        </is>
      </c>
      <c r="H227" t="inlineStr">
        <is>
          <t>No Club</t>
        </is>
      </c>
      <c r="I227" t="n">
        <v>30.2</v>
      </c>
      <c r="J227" s="4" t="n">
        <v>165</v>
      </c>
      <c r="K227" t="inlineStr">
        <is>
          <t>93 / 72</t>
        </is>
      </c>
      <c r="L227" t="inlineStr">
        <is>
          <t>23 / 17</t>
        </is>
      </c>
      <c r="M227" s="5" t="n">
        <v>0.5600000000000001</v>
      </c>
      <c r="N227" s="5" t="n">
        <v>0.57</v>
      </c>
    </row>
    <row r="228">
      <c r="A228" t="n">
        <v>227</v>
      </c>
      <c r="B228" t="n">
        <v>2013</v>
      </c>
      <c r="C228" t="inlineStr">
        <is>
          <t>Alina Luo</t>
        </is>
      </c>
      <c r="D228">
        <f>HYPERLINK("https://ota.tournamentsoftware.com/player-profile/848C25E0-4CBB-4051-8AB5-C8460313D4A3", "Link")</f>
        <v/>
      </c>
      <c r="E228" s="3" t="n">
        <v>336.847</v>
      </c>
      <c r="F228" s="4" t="n">
        <v>23</v>
      </c>
      <c r="G228" t="inlineStr">
        <is>
          <t>Tennis Québec</t>
        </is>
      </c>
      <c r="H228" t="inlineStr">
        <is>
          <t>SANI Sport</t>
        </is>
      </c>
      <c r="I228" t="n">
        <v>32.4</v>
      </c>
      <c r="J228" s="4" t="n">
        <v>217</v>
      </c>
      <c r="K228" t="inlineStr">
        <is>
          <t>103 / 114</t>
        </is>
      </c>
      <c r="L228" t="inlineStr">
        <is>
          <t>3 / 17</t>
        </is>
      </c>
      <c r="M228" s="5" t="n">
        <v>0.47</v>
      </c>
      <c r="N228" s="5" t="n">
        <v>0.15</v>
      </c>
    </row>
    <row r="229">
      <c r="A229" t="n">
        <v>228</v>
      </c>
      <c r="B229" t="n">
        <v>2013</v>
      </c>
      <c r="C229" t="inlineStr">
        <is>
          <t>Anastazia De Lain</t>
        </is>
      </c>
      <c r="D229">
        <f>HYPERLINK("https://ota.tournamentsoftware.com/player-profile/BEE8D838-8464-4CCF-9268-D0D58F108999", "Link")</f>
        <v/>
      </c>
      <c r="E229" s="3" t="n">
        <v>335.359</v>
      </c>
      <c r="F229" s="4" t="n">
        <v>21</v>
      </c>
      <c r="G229" t="inlineStr">
        <is>
          <t>Tennis Québec</t>
        </is>
      </c>
      <c r="H229" t="inlineStr">
        <is>
          <t>EB Tennis inc.</t>
        </is>
      </c>
      <c r="I229" t="n">
        <v>36.6</v>
      </c>
      <c r="J229" s="4" t="n">
        <v>174</v>
      </c>
      <c r="K229" t="inlineStr">
        <is>
          <t>37 / 137</t>
        </is>
      </c>
      <c r="L229" t="inlineStr">
        <is>
          <t>4 / 23</t>
        </is>
      </c>
      <c r="M229" s="5" t="n">
        <v>0.21</v>
      </c>
      <c r="N229" s="5" t="n">
        <v>0.15</v>
      </c>
    </row>
    <row r="230">
      <c r="A230" t="n">
        <v>229</v>
      </c>
      <c r="B230" t="n">
        <v>2013</v>
      </c>
      <c r="C230" t="inlineStr">
        <is>
          <t>Kmar ELHOUIJ</t>
        </is>
      </c>
      <c r="D230">
        <f>HYPERLINK("https://ota.tournamentsoftware.com/player-profile/D690466C-B3D9-45B2-B453-BA40F436A5C1", "Link")</f>
        <v/>
      </c>
      <c r="E230" s="3" t="n">
        <v>335.176</v>
      </c>
      <c r="F230" s="4" t="n">
        <v>4</v>
      </c>
      <c r="G230" t="inlineStr">
        <is>
          <t>Tennis New Brunswick</t>
        </is>
      </c>
      <c r="H230" t="inlineStr">
        <is>
          <t>No Club</t>
        </is>
      </c>
      <c r="I230" t="n">
        <v>27.5</v>
      </c>
      <c r="J230" s="4" t="n">
        <v>39</v>
      </c>
      <c r="K230" t="inlineStr">
        <is>
          <t>30 / 9</t>
        </is>
      </c>
      <c r="L230" t="inlineStr">
        <is>
          <t>19 / 6</t>
        </is>
      </c>
      <c r="M230" s="5" t="n">
        <v>0.77</v>
      </c>
      <c r="N230" s="5" t="n">
        <v>0.76</v>
      </c>
    </row>
    <row r="231">
      <c r="A231" t="n">
        <v>230</v>
      </c>
      <c r="B231" t="n">
        <v>2014</v>
      </c>
      <c r="C231" t="inlineStr">
        <is>
          <t>Eva Paquette</t>
        </is>
      </c>
      <c r="D231">
        <f>HYPERLINK("https://ota.tournamentsoftware.com/player-profile/631BF8EC-5FD6-41F7-A4BC-1B4980693D40", "Link")</f>
        <v/>
      </c>
      <c r="E231" s="3" t="n">
        <v>335.088</v>
      </c>
      <c r="F231" s="4" t="n">
        <v>33</v>
      </c>
      <c r="G231" t="inlineStr">
        <is>
          <t>Tennis Québec</t>
        </is>
      </c>
      <c r="H231" t="inlineStr">
        <is>
          <t>Club Sportif Côte-de-Liesse</t>
        </is>
      </c>
      <c r="I231" t="n">
        <v>32.2</v>
      </c>
      <c r="J231" s="4" t="n">
        <v>201</v>
      </c>
      <c r="K231" t="inlineStr">
        <is>
          <t>103 / 98</t>
        </is>
      </c>
      <c r="L231" t="inlineStr">
        <is>
          <t>39 / 23</t>
        </is>
      </c>
      <c r="M231" s="5" t="n">
        <v>0.51</v>
      </c>
      <c r="N231" s="5" t="n">
        <v>0.63</v>
      </c>
    </row>
    <row r="232">
      <c r="A232" t="n">
        <v>231</v>
      </c>
      <c r="B232" t="n">
        <v>2012</v>
      </c>
      <c r="C232" t="inlineStr">
        <is>
          <t>Yunia Bartha</t>
        </is>
      </c>
      <c r="D232">
        <f>HYPERLINK("https://ota.tournamentsoftware.com/player-profile/3A2980C0-C922-4870-A2B4-18E74AC903C2", "Link")</f>
        <v/>
      </c>
      <c r="E232" s="3" t="n">
        <v>332.284</v>
      </c>
      <c r="F232" s="4" t="n">
        <v>25</v>
      </c>
      <c r="G232" t="inlineStr">
        <is>
          <t>Tennis Québec</t>
        </is>
      </c>
      <c r="H232" t="inlineStr">
        <is>
          <t>Club Sportif Côte-de-Liesse</t>
        </is>
      </c>
      <c r="I232" t="n">
        <v>32.6</v>
      </c>
      <c r="J232" s="4" t="n">
        <v>141</v>
      </c>
      <c r="K232" t="inlineStr">
        <is>
          <t>56 / 85</t>
        </is>
      </c>
      <c r="L232" t="inlineStr">
        <is>
          <t>12 / 21</t>
        </is>
      </c>
      <c r="M232" s="5" t="n">
        <v>0.4</v>
      </c>
      <c r="N232" s="5" t="n">
        <v>0.36</v>
      </c>
    </row>
    <row r="233">
      <c r="A233" t="n">
        <v>232</v>
      </c>
      <c r="B233" t="n">
        <v>2013</v>
      </c>
      <c r="C233" t="inlineStr">
        <is>
          <t>Aicha Ben Ali</t>
        </is>
      </c>
      <c r="D233">
        <f>HYPERLINK("https://ota.tournamentsoftware.com/player-profile/87F8F2BE-10FE-41D7-8382-85524C1D5D23", "Link")</f>
        <v/>
      </c>
      <c r="E233" s="3" t="n">
        <v>330.988</v>
      </c>
      <c r="F233" s="4" t="n">
        <v>9</v>
      </c>
      <c r="G233" t="inlineStr">
        <is>
          <t>Tennis Saskatchewan</t>
        </is>
      </c>
      <c r="H233" t="inlineStr">
        <is>
          <t>Lakeshore Tennis Club</t>
        </is>
      </c>
      <c r="I233" t="inlineStr">
        <is>
          <t>unavailable</t>
        </is>
      </c>
      <c r="J233" s="4" t="n">
        <v>31</v>
      </c>
      <c r="K233" t="inlineStr">
        <is>
          <t>4 / 27</t>
        </is>
      </c>
      <c r="L233" t="inlineStr">
        <is>
          <t>4 / 23</t>
        </is>
      </c>
      <c r="M233" s="5" t="n">
        <v>0.13</v>
      </c>
      <c r="N233" s="5" t="n">
        <v>0.15</v>
      </c>
    </row>
    <row r="234">
      <c r="A234" t="n">
        <v>233</v>
      </c>
      <c r="B234" t="n">
        <v>2012</v>
      </c>
      <c r="C234" t="inlineStr">
        <is>
          <t>Alexandra Bayentin</t>
        </is>
      </c>
      <c r="D234">
        <f>HYPERLINK("https://ota.tournamentsoftware.com/player-profile/EFF894D9-35F7-45C9-9C57-06584708D213", "Link")</f>
        <v/>
      </c>
      <c r="E234" s="3" t="n">
        <v>327.269</v>
      </c>
      <c r="F234" s="4" t="n">
        <v>13</v>
      </c>
      <c r="G234" t="inlineStr">
        <is>
          <t>Tennis Alberta</t>
        </is>
      </c>
      <c r="H234" t="inlineStr">
        <is>
          <t>Osten &amp; Victor Alberta Tennis Centre</t>
        </is>
      </c>
      <c r="I234" t="n">
        <v>29.2</v>
      </c>
      <c r="J234" s="4" t="n">
        <v>167</v>
      </c>
      <c r="K234" t="inlineStr">
        <is>
          <t>81 / 86</t>
        </is>
      </c>
      <c r="L234" t="inlineStr">
        <is>
          <t>11 / 12</t>
        </is>
      </c>
      <c r="M234" s="5" t="n">
        <v>0.49</v>
      </c>
      <c r="N234" s="5" t="n">
        <v>0.48</v>
      </c>
    </row>
    <row r="235">
      <c r="A235" t="n">
        <v>234</v>
      </c>
      <c r="B235" t="n">
        <v>2012</v>
      </c>
      <c r="C235" t="inlineStr">
        <is>
          <t>Ariyana Usharah Mahanandan</t>
        </is>
      </c>
      <c r="D235">
        <f>HYPERLINK("https://ota.tournamentsoftware.com/player-profile/FE0B9224-EA2B-4B60-AB52-7A0A2ACA90DA", "Link")</f>
        <v/>
      </c>
      <c r="E235" s="3" t="n">
        <v>327.166</v>
      </c>
      <c r="F235" s="4" t="n">
        <v>22</v>
      </c>
      <c r="G235" t="inlineStr">
        <is>
          <t>Ontario Tennis Association</t>
        </is>
      </c>
      <c r="H235" t="inlineStr">
        <is>
          <t>Premier Racquet Clubs – Mississauga</t>
        </is>
      </c>
      <c r="I235" t="inlineStr">
        <is>
          <t>unavailable</t>
        </is>
      </c>
      <c r="J235" s="4" t="n">
        <v>135</v>
      </c>
      <c r="K235" t="inlineStr">
        <is>
          <t>57 / 78</t>
        </is>
      </c>
      <c r="L235" t="inlineStr">
        <is>
          <t>11 / 20</t>
        </is>
      </c>
      <c r="M235" s="5" t="n">
        <v>0.42</v>
      </c>
      <c r="N235" s="5" t="n">
        <v>0.35</v>
      </c>
    </row>
    <row r="236">
      <c r="A236" t="n">
        <v>235</v>
      </c>
      <c r="B236" t="n">
        <v>2014</v>
      </c>
      <c r="C236" t="inlineStr">
        <is>
          <t>Vrishti Gehlot</t>
        </is>
      </c>
      <c r="D236">
        <f>HYPERLINK("https://ota.tournamentsoftware.com/player-profile/8D59FB71-FC68-41E0-B69F-920C29B60AD3", "Link")</f>
        <v/>
      </c>
      <c r="E236" s="3" t="n">
        <v>322.528</v>
      </c>
      <c r="F236" s="4" t="n">
        <v>27</v>
      </c>
      <c r="G236" t="inlineStr">
        <is>
          <t>Ontario Tennis Association</t>
        </is>
      </c>
      <c r="H236" t="inlineStr">
        <is>
          <t>Premier Racquet Clubs – Mississauga</t>
        </is>
      </c>
      <c r="I236" t="n">
        <v>32.9</v>
      </c>
      <c r="J236" s="4" t="n">
        <v>153</v>
      </c>
      <c r="K236" t="inlineStr">
        <is>
          <t>78 / 75</t>
        </is>
      </c>
      <c r="L236" t="inlineStr">
        <is>
          <t>30 / 16</t>
        </is>
      </c>
      <c r="M236" s="5" t="n">
        <v>0.51</v>
      </c>
      <c r="N236" s="5" t="n">
        <v>0.65</v>
      </c>
    </row>
    <row r="237">
      <c r="A237" t="n">
        <v>236</v>
      </c>
      <c r="B237" t="n">
        <v>2015</v>
      </c>
      <c r="C237" t="inlineStr">
        <is>
          <t>Josephine Yitong Wu</t>
        </is>
      </c>
      <c r="D237">
        <f>HYPERLINK("https://ota.tournamentsoftware.com/player-profile/1DF0BC06-9057-4469-9CEF-A9B5D864D9C9", "Link")</f>
        <v/>
      </c>
      <c r="E237" s="3" t="n">
        <v>321.68</v>
      </c>
      <c r="F237" s="4" t="n">
        <v>20</v>
      </c>
      <c r="G237" t="inlineStr">
        <is>
          <t>British Columbia</t>
        </is>
      </c>
      <c r="H237" t="inlineStr">
        <is>
          <t>North Vancouver Tennis Centre</t>
        </is>
      </c>
      <c r="I237" t="n">
        <v>29.5</v>
      </c>
      <c r="J237" s="4" t="n">
        <v>167</v>
      </c>
      <c r="K237" t="inlineStr">
        <is>
          <t>99 / 68</t>
        </is>
      </c>
      <c r="L237" t="inlineStr">
        <is>
          <t>22 / 12</t>
        </is>
      </c>
      <c r="M237" s="5" t="n">
        <v>0.59</v>
      </c>
      <c r="N237" s="5" t="n">
        <v>0.65</v>
      </c>
    </row>
    <row r="238">
      <c r="A238" t="n">
        <v>237</v>
      </c>
      <c r="B238" t="n">
        <v>2012</v>
      </c>
      <c r="C238" t="inlineStr">
        <is>
          <t>Abby Jean Tobac</t>
        </is>
      </c>
      <c r="D238">
        <f>HYPERLINK("https://ota.tournamentsoftware.com/player-profile/CDFDF0FB-A147-4D3C-BF4D-24E115B9EC1A", "Link")</f>
        <v/>
      </c>
      <c r="E238" s="3" t="n">
        <v>318.528</v>
      </c>
      <c r="F238" s="4" t="n">
        <v>6</v>
      </c>
      <c r="G238" t="inlineStr">
        <is>
          <t>Tennis Manitoba</t>
        </is>
      </c>
      <c r="H238" t="inlineStr">
        <is>
          <t>Taylor Tennis</t>
        </is>
      </c>
      <c r="I238" t="n">
        <v>35.1</v>
      </c>
      <c r="J238" s="4" t="n">
        <v>49</v>
      </c>
      <c r="K238" t="inlineStr">
        <is>
          <t>14 / 35</t>
        </is>
      </c>
      <c r="L238" t="inlineStr">
        <is>
          <t>2 / 9</t>
        </is>
      </c>
      <c r="M238" s="5" t="n">
        <v>0.29</v>
      </c>
      <c r="N238" s="5" t="n">
        <v>0.18</v>
      </c>
    </row>
    <row r="239">
      <c r="A239" t="n">
        <v>238</v>
      </c>
      <c r="B239" t="n">
        <v>2015</v>
      </c>
      <c r="C239" t="inlineStr">
        <is>
          <t>Clara Fanoos</t>
        </is>
      </c>
      <c r="D239">
        <f>HYPERLINK("https://ota.tournamentsoftware.com/player-profile/4AE431B3-C9E6-49D8-8003-48666B13F94B", "Link")</f>
        <v/>
      </c>
      <c r="E239" s="3" t="n">
        <v>316.509</v>
      </c>
      <c r="F239" s="4" t="n">
        <v>21</v>
      </c>
      <c r="G239" t="inlineStr">
        <is>
          <t>Tennis Québec</t>
        </is>
      </c>
      <c r="H239" t="inlineStr">
        <is>
          <t>Complexe de tennis de St-Augustin</t>
        </is>
      </c>
      <c r="I239" t="n">
        <v>31.5</v>
      </c>
      <c r="J239" s="4" t="n">
        <v>192</v>
      </c>
      <c r="K239" t="inlineStr">
        <is>
          <t>117 / 75</t>
        </is>
      </c>
      <c r="L239" t="inlineStr">
        <is>
          <t>29 / 19</t>
        </is>
      </c>
      <c r="M239" s="5" t="n">
        <v>0.61</v>
      </c>
      <c r="N239" s="5" t="n">
        <v>0.6</v>
      </c>
    </row>
    <row r="240">
      <c r="A240" t="n">
        <v>239</v>
      </c>
      <c r="B240" t="n">
        <v>2012</v>
      </c>
      <c r="C240" t="inlineStr">
        <is>
          <t>helena Khorsid-G-Mahdi</t>
        </is>
      </c>
      <c r="D240">
        <f>HYPERLINK("https://ota.tournamentsoftware.com/player-profile/D9FB3068-A1A7-4F96-B728-095D292B805C", "Link")</f>
        <v/>
      </c>
      <c r="E240" s="3" t="n">
        <v>312.56</v>
      </c>
      <c r="F240" s="4" t="n">
        <v>21</v>
      </c>
      <c r="G240" t="inlineStr">
        <is>
          <t>Ontario Tennis Association</t>
        </is>
      </c>
      <c r="H240" t="inlineStr">
        <is>
          <t>Cottingham Tennis Club</t>
        </is>
      </c>
      <c r="I240" t="inlineStr">
        <is>
          <t>unavailable</t>
        </is>
      </c>
      <c r="J240" s="4" t="n">
        <v>56</v>
      </c>
      <c r="K240" t="inlineStr">
        <is>
          <t>33 / 23</t>
        </is>
      </c>
      <c r="L240" t="inlineStr">
        <is>
          <t>19 / 16</t>
        </is>
      </c>
      <c r="M240" s="5" t="n">
        <v>0.59</v>
      </c>
      <c r="N240" s="5" t="n">
        <v>0.54</v>
      </c>
    </row>
    <row r="241">
      <c r="A241" t="n">
        <v>240</v>
      </c>
      <c r="B241" t="n">
        <v>2013</v>
      </c>
      <c r="C241" t="inlineStr">
        <is>
          <t>Katelyn Zhao</t>
        </is>
      </c>
      <c r="D241">
        <f>HYPERLINK("https://ota.tournamentsoftware.com/player-profile/C6305E19-1670-4857-9967-0344F0C8AB1D", "Link")</f>
        <v/>
      </c>
      <c r="E241" s="3" t="n">
        <v>312.472</v>
      </c>
      <c r="F241" s="4" t="n">
        <v>25</v>
      </c>
      <c r="G241" t="inlineStr">
        <is>
          <t>Ontario Tennis Association</t>
        </is>
      </c>
      <c r="H241" t="inlineStr">
        <is>
          <t>Premier Racquet Club</t>
        </is>
      </c>
      <c r="I241" t="n">
        <v>33.4</v>
      </c>
      <c r="J241" s="4" t="n">
        <v>98</v>
      </c>
      <c r="K241" t="inlineStr">
        <is>
          <t>52 / 46</t>
        </is>
      </c>
      <c r="L241" t="inlineStr">
        <is>
          <t>20 / 20</t>
        </is>
      </c>
      <c r="M241" s="5" t="n">
        <v>0.53</v>
      </c>
      <c r="N241" s="5" t="n">
        <v>0.5</v>
      </c>
    </row>
    <row r="242">
      <c r="A242" t="n">
        <v>241</v>
      </c>
      <c r="B242" t="n">
        <v>2012</v>
      </c>
      <c r="C242" t="inlineStr">
        <is>
          <t>Camie Wang</t>
        </is>
      </c>
      <c r="D242">
        <f>HYPERLINK("https://ota.tournamentsoftware.com/player-profile/5CE5CCC5-E821-48EF-86C9-6973D97D1F92", "Link")</f>
        <v/>
      </c>
      <c r="E242" s="3" t="n">
        <v>311.911</v>
      </c>
      <c r="F242" s="4" t="n">
        <v>16</v>
      </c>
      <c r="G242" t="inlineStr">
        <is>
          <t>Tennis Alberta</t>
        </is>
      </c>
      <c r="H242" t="inlineStr">
        <is>
          <t>Osten &amp; Victor Alberta Tennis Centre</t>
        </is>
      </c>
      <c r="I242" t="n">
        <v>28</v>
      </c>
      <c r="J242" s="4" t="n">
        <v>115</v>
      </c>
      <c r="K242" t="inlineStr">
        <is>
          <t>61 / 54</t>
        </is>
      </c>
      <c r="L242" t="inlineStr">
        <is>
          <t>20 / 19</t>
        </is>
      </c>
      <c r="M242" s="5" t="n">
        <v>0.53</v>
      </c>
      <c r="N242" s="5" t="n">
        <v>0.51</v>
      </c>
    </row>
    <row r="243">
      <c r="A243" t="n">
        <v>242</v>
      </c>
      <c r="B243" t="n">
        <v>2012</v>
      </c>
      <c r="C243" t="inlineStr">
        <is>
          <t>Daisy Tingru Wang</t>
        </is>
      </c>
      <c r="D243">
        <f>HYPERLINK("https://ota.tournamentsoftware.com/player-profile/40DA5F9F-8E70-4030-A0ED-A54E3D8832D2", "Link")</f>
        <v/>
      </c>
      <c r="E243" s="3" t="n">
        <v>310.853</v>
      </c>
      <c r="F243" s="4" t="n">
        <v>7</v>
      </c>
      <c r="G243" t="inlineStr">
        <is>
          <t>Tennis Nova Scotia</t>
        </is>
      </c>
      <c r="H243" t="inlineStr">
        <is>
          <t>HEADSTART</t>
        </is>
      </c>
      <c r="I243" t="n">
        <v>36.3</v>
      </c>
      <c r="J243" s="4" t="n">
        <v>37</v>
      </c>
      <c r="K243" t="inlineStr">
        <is>
          <t>8 / 29</t>
        </is>
      </c>
      <c r="L243" t="inlineStr">
        <is>
          <t>5 / 19</t>
        </is>
      </c>
      <c r="M243" s="5" t="n">
        <v>0.22</v>
      </c>
      <c r="N243" s="5" t="n">
        <v>0.21</v>
      </c>
    </row>
    <row r="244">
      <c r="A244" t="n">
        <v>243</v>
      </c>
      <c r="B244" t="n">
        <v>2015</v>
      </c>
      <c r="C244" t="inlineStr">
        <is>
          <t>Mia Louise LADEWIG</t>
        </is>
      </c>
      <c r="D244">
        <f>HYPERLINK("https://ota.tournamentsoftware.com/player-profile/25055713-74C7-482D-8A9B-00D94FB7068B", "Link")</f>
        <v/>
      </c>
      <c r="E244" s="3" t="n">
        <v>309.295</v>
      </c>
      <c r="F244" s="4" t="n">
        <v>24</v>
      </c>
      <c r="G244" t="inlineStr">
        <is>
          <t>British Columbia</t>
        </is>
      </c>
      <c r="H244" t="inlineStr">
        <is>
          <t>North Vancouver Tennis Centre</t>
        </is>
      </c>
      <c r="I244" t="n">
        <v>29.3</v>
      </c>
      <c r="J244" s="4" t="n">
        <v>224</v>
      </c>
      <c r="K244" t="inlineStr">
        <is>
          <t>142 / 82</t>
        </is>
      </c>
      <c r="L244" t="inlineStr">
        <is>
          <t>32 / 20</t>
        </is>
      </c>
      <c r="M244" s="5" t="n">
        <v>0.63</v>
      </c>
      <c r="N244" s="5" t="n">
        <v>0.62</v>
      </c>
    </row>
    <row r="245">
      <c r="A245" t="n">
        <v>244</v>
      </c>
      <c r="B245" t="n">
        <v>2013</v>
      </c>
      <c r="C245" t="inlineStr">
        <is>
          <t>Ria Tamber</t>
        </is>
      </c>
      <c r="D245">
        <f>HYPERLINK("https://ota.tournamentsoftware.com/player-profile/4A086BBB-EEC2-48A4-BDDA-142D9D4A3534", "Link")</f>
        <v/>
      </c>
      <c r="E245" s="3" t="n">
        <v>308.995</v>
      </c>
      <c r="F245" s="4" t="n">
        <v>24</v>
      </c>
      <c r="G245" t="inlineStr">
        <is>
          <t>Ontario Tennis Association</t>
        </is>
      </c>
      <c r="H245" t="inlineStr">
        <is>
          <t>Premier Racquet Clubs – Mississauga</t>
        </is>
      </c>
      <c r="I245" t="inlineStr">
        <is>
          <t>unavailable</t>
        </is>
      </c>
      <c r="J245" s="4" t="n">
        <v>95</v>
      </c>
      <c r="K245" t="inlineStr">
        <is>
          <t>39 / 56</t>
        </is>
      </c>
      <c r="L245" t="inlineStr">
        <is>
          <t>12 / 16</t>
        </is>
      </c>
      <c r="M245" s="5" t="n">
        <v>0.41</v>
      </c>
      <c r="N245" s="5" t="n">
        <v>0.43</v>
      </c>
    </row>
    <row r="246">
      <c r="A246" t="n">
        <v>245</v>
      </c>
      <c r="B246" t="n">
        <v>2013</v>
      </c>
      <c r="C246" t="inlineStr">
        <is>
          <t>Keona Asogwa</t>
        </is>
      </c>
      <c r="D246">
        <f>HYPERLINK("https://ota.tournamentsoftware.com/player-profile/1F426AE8-5B0F-4535-AD10-450570C37073", "Link")</f>
        <v/>
      </c>
      <c r="E246" s="3" t="n">
        <v>308.808</v>
      </c>
      <c r="F246" s="4" t="n">
        <v>16</v>
      </c>
      <c r="G246" t="inlineStr">
        <is>
          <t>Ontario Tennis Association</t>
        </is>
      </c>
      <c r="H246" t="inlineStr">
        <is>
          <t>Carleton Tennis Centre</t>
        </is>
      </c>
      <c r="I246" t="inlineStr">
        <is>
          <t>unavailable</t>
        </is>
      </c>
      <c r="J246" s="4" t="n">
        <v>107</v>
      </c>
      <c r="K246" t="inlineStr">
        <is>
          <t>40 / 67</t>
        </is>
      </c>
      <c r="L246" t="inlineStr">
        <is>
          <t>4 / 11</t>
        </is>
      </c>
      <c r="M246" s="5" t="n">
        <v>0.37</v>
      </c>
      <c r="N246" s="5" t="n">
        <v>0.27</v>
      </c>
    </row>
    <row r="247">
      <c r="A247" t="n">
        <v>246</v>
      </c>
      <c r="B247" t="n">
        <v>2015</v>
      </c>
      <c r="C247" t="inlineStr">
        <is>
          <t>Maya Lupu</t>
        </is>
      </c>
      <c r="D247">
        <f>HYPERLINK("https://ota.tournamentsoftware.com/player-profile/C02052CF-6FBB-4C91-8237-A96FF9B4C794", "Link")</f>
        <v/>
      </c>
      <c r="E247" s="3" t="n">
        <v>308.771</v>
      </c>
      <c r="F247" s="4" t="n">
        <v>16</v>
      </c>
      <c r="G247" t="inlineStr">
        <is>
          <t>Tennis Alberta</t>
        </is>
      </c>
      <c r="H247" t="inlineStr">
        <is>
          <t>Saville Community Sports Centre</t>
        </is>
      </c>
      <c r="I247" t="n">
        <v>31.2</v>
      </c>
      <c r="J247" s="4" t="n">
        <v>162</v>
      </c>
      <c r="K247" t="inlineStr">
        <is>
          <t>104 / 58</t>
        </is>
      </c>
      <c r="L247" t="inlineStr">
        <is>
          <t>19 / 23</t>
        </is>
      </c>
      <c r="M247" s="5" t="n">
        <v>0.64</v>
      </c>
      <c r="N247" s="5" t="n">
        <v>0.45</v>
      </c>
    </row>
    <row r="248">
      <c r="A248" t="n">
        <v>247</v>
      </c>
      <c r="B248" t="n">
        <v>2013</v>
      </c>
      <c r="C248" t="inlineStr">
        <is>
          <t>Kany Kaba</t>
        </is>
      </c>
      <c r="D248">
        <f>HYPERLINK("https://ota.tournamentsoftware.com/player-profile/7816DF47-252D-402D-BF26-B906A8AB6ED7", "Link")</f>
        <v/>
      </c>
      <c r="E248" s="3" t="n">
        <v>308.368</v>
      </c>
      <c r="F248" s="4" t="n">
        <v>9</v>
      </c>
      <c r="G248" t="inlineStr">
        <is>
          <t>Tennis Québec</t>
        </is>
      </c>
      <c r="H248" t="inlineStr">
        <is>
          <t>EB Tennis inc.</t>
        </is>
      </c>
      <c r="I248" t="n">
        <v>32.6</v>
      </c>
      <c r="J248" s="4" t="n">
        <v>136</v>
      </c>
      <c r="K248" t="inlineStr">
        <is>
          <t>83 / 53</t>
        </is>
      </c>
      <c r="L248" t="inlineStr">
        <is>
          <t>5 / 10</t>
        </is>
      </c>
      <c r="M248" s="5" t="n">
        <v>0.61</v>
      </c>
      <c r="N248" s="5" t="n">
        <v>0.33</v>
      </c>
    </row>
    <row r="249">
      <c r="A249" t="n">
        <v>248</v>
      </c>
      <c r="B249" t="n">
        <v>2013</v>
      </c>
      <c r="C249" t="inlineStr">
        <is>
          <t>ZOE SOFIA CARDENAS PANIAGUA</t>
        </is>
      </c>
      <c r="D249">
        <f>HYPERLINK("https://ota.tournamentsoftware.com/player-profile/6ADCA248-D68F-47BB-9ED7-CDC7448C4AE9", "Link")</f>
        <v/>
      </c>
      <c r="E249" s="3" t="n">
        <v>307.118</v>
      </c>
      <c r="F249" s="4" t="n">
        <v>6</v>
      </c>
      <c r="G249" t="inlineStr">
        <is>
          <t>Tennis Manitoba</t>
        </is>
      </c>
      <c r="H249" t="inlineStr">
        <is>
          <t>Tuxedo Tennis Club</t>
        </is>
      </c>
      <c r="I249" t="inlineStr">
        <is>
          <t>unavailable</t>
        </is>
      </c>
      <c r="J249" s="4" t="n">
        <v>59</v>
      </c>
      <c r="K249" t="inlineStr">
        <is>
          <t>22 / 37</t>
        </is>
      </c>
      <c r="L249" t="inlineStr">
        <is>
          <t>6 / 8</t>
        </is>
      </c>
      <c r="M249" s="5" t="n">
        <v>0.37</v>
      </c>
      <c r="N249" s="5" t="n">
        <v>0.43</v>
      </c>
    </row>
    <row r="250">
      <c r="A250" t="n">
        <v>249</v>
      </c>
      <c r="B250" t="n">
        <v>2014</v>
      </c>
      <c r="C250" t="inlineStr">
        <is>
          <t>Rosie Mai Kowalewski</t>
        </is>
      </c>
      <c r="D250">
        <f>HYPERLINK("https://ota.tournamentsoftware.com/player-profile/6AE6D507-C7A4-4B8D-AF2E-EBFE848DD41B", "Link")</f>
        <v/>
      </c>
      <c r="E250" s="3" t="n">
        <v>303.327</v>
      </c>
      <c r="F250" s="4" t="n">
        <v>20</v>
      </c>
      <c r="G250" t="inlineStr">
        <is>
          <t>Ontario Tennis Association</t>
        </is>
      </c>
      <c r="H250" t="inlineStr">
        <is>
          <t>No Club</t>
        </is>
      </c>
      <c r="I250" t="n">
        <v>31.5</v>
      </c>
      <c r="J250" s="4" t="n">
        <v>192</v>
      </c>
      <c r="K250" t="inlineStr">
        <is>
          <t>113 / 79</t>
        </is>
      </c>
      <c r="L250" t="inlineStr">
        <is>
          <t>14 / 11</t>
        </is>
      </c>
      <c r="M250" s="5" t="n">
        <v>0.59</v>
      </c>
      <c r="N250" s="5" t="n">
        <v>0.5600000000000001</v>
      </c>
    </row>
    <row r="251">
      <c r="A251" t="n">
        <v>250</v>
      </c>
      <c r="B251" t="n">
        <v>2013</v>
      </c>
      <c r="C251" t="inlineStr">
        <is>
          <t>Chloe Lu</t>
        </is>
      </c>
      <c r="D251">
        <f>HYPERLINK("https://ota.tournamentsoftware.com/player-profile/30F898AC-1C96-41C5-BBB0-3BFD30EC0D0D", "Link")</f>
        <v/>
      </c>
      <c r="E251" s="3" t="n">
        <v>300.706</v>
      </c>
      <c r="F251" s="4" t="n">
        <v>27</v>
      </c>
      <c r="G251" t="inlineStr">
        <is>
          <t>British Columbia</t>
        </is>
      </c>
      <c r="H251" t="inlineStr">
        <is>
          <t>UBC Tennis Centre</t>
        </is>
      </c>
      <c r="I251" t="n">
        <v>31.8</v>
      </c>
      <c r="J251" s="4" t="n">
        <v>162</v>
      </c>
      <c r="K251" t="inlineStr">
        <is>
          <t>61 / 101</t>
        </is>
      </c>
      <c r="L251" t="inlineStr">
        <is>
          <t>21 / 23</t>
        </is>
      </c>
      <c r="M251" s="5" t="n">
        <v>0.38</v>
      </c>
      <c r="N251" s="5" t="n">
        <v>0.48</v>
      </c>
    </row>
    <row r="252">
      <c r="A252" t="n">
        <v>251</v>
      </c>
      <c r="B252" t="n">
        <v>2015</v>
      </c>
      <c r="C252" t="inlineStr">
        <is>
          <t>Zoë Crago</t>
        </is>
      </c>
      <c r="D252">
        <f>HYPERLINK("https://ota.tournamentsoftware.com/player-profile/C2D18227-6075-4F1E-83A2-40A822F874D3", "Link")</f>
        <v/>
      </c>
      <c r="E252" s="3" t="n">
        <v>298.67</v>
      </c>
      <c r="F252" s="4" t="n">
        <v>27</v>
      </c>
      <c r="G252" t="inlineStr">
        <is>
          <t>Tennis Québec</t>
        </is>
      </c>
      <c r="H252" t="inlineStr">
        <is>
          <t>Tennis Montréal Excellence</t>
        </is>
      </c>
      <c r="I252" t="n">
        <v>32.9</v>
      </c>
      <c r="J252" s="4" t="n">
        <v>192</v>
      </c>
      <c r="K252" t="inlineStr">
        <is>
          <t>101 / 91</t>
        </is>
      </c>
      <c r="L252" t="inlineStr">
        <is>
          <t>29 / 23</t>
        </is>
      </c>
      <c r="M252" s="5" t="n">
        <v>0.53</v>
      </c>
      <c r="N252" s="5" t="n">
        <v>0.5600000000000001</v>
      </c>
    </row>
    <row r="253">
      <c r="A253" t="n">
        <v>252</v>
      </c>
      <c r="B253" t="n">
        <v>2014</v>
      </c>
      <c r="C253" t="inlineStr">
        <is>
          <t>Krystal Xuan Sun</t>
        </is>
      </c>
      <c r="D253">
        <f>HYPERLINK("https://ota.tournamentsoftware.com/player-profile/683C106F-AE4B-4C63-B1A3-D9C25FFAD31B", "Link")</f>
        <v/>
      </c>
      <c r="E253" s="3" t="n">
        <v>289.981</v>
      </c>
      <c r="F253" s="4" t="n">
        <v>11</v>
      </c>
      <c r="G253" t="inlineStr">
        <is>
          <t>Tennis Manitoba</t>
        </is>
      </c>
      <c r="H253" t="inlineStr">
        <is>
          <t>Taylor Tennis</t>
        </is>
      </c>
      <c r="I253" t="inlineStr">
        <is>
          <t>unavailable</t>
        </is>
      </c>
      <c r="J253" s="4" t="n">
        <v>74</v>
      </c>
      <c r="K253" t="inlineStr">
        <is>
          <t>21 / 53</t>
        </is>
      </c>
      <c r="L253" t="inlineStr">
        <is>
          <t>10 / 29</t>
        </is>
      </c>
      <c r="M253" s="5" t="n">
        <v>0.28</v>
      </c>
      <c r="N253" s="5" t="n">
        <v>0.26</v>
      </c>
    </row>
    <row r="254">
      <c r="A254" t="n">
        <v>253</v>
      </c>
      <c r="B254" t="n">
        <v>2012</v>
      </c>
      <c r="C254" t="inlineStr">
        <is>
          <t>Norah Diop</t>
        </is>
      </c>
      <c r="D254">
        <f>HYPERLINK("https://ota.tournamentsoftware.com/player-profile/1B130952-D24A-467D-813D-2DA5B56ADFFF", "Link")</f>
        <v/>
      </c>
      <c r="E254" s="3" t="n">
        <v>289.524</v>
      </c>
      <c r="F254" s="4" t="n">
        <v>20</v>
      </c>
      <c r="G254" t="inlineStr">
        <is>
          <t>Tennis Québec</t>
        </is>
      </c>
      <c r="H254" t="inlineStr">
        <is>
          <t>Tennis 13</t>
        </is>
      </c>
      <c r="I254" t="inlineStr">
        <is>
          <t>unavailable</t>
        </is>
      </c>
      <c r="J254" s="4" t="n">
        <v>85</v>
      </c>
      <c r="K254" t="inlineStr">
        <is>
          <t>38 / 47</t>
        </is>
      </c>
      <c r="L254" t="inlineStr">
        <is>
          <t>13 / 12</t>
        </is>
      </c>
      <c r="M254" s="5" t="n">
        <v>0.45</v>
      </c>
      <c r="N254" s="5" t="n">
        <v>0.52</v>
      </c>
    </row>
    <row r="255">
      <c r="A255" t="n">
        <v>254</v>
      </c>
      <c r="B255" t="n">
        <v>2013</v>
      </c>
      <c r="C255" t="inlineStr">
        <is>
          <t>Sasha Stack</t>
        </is>
      </c>
      <c r="D255">
        <f>HYPERLINK("https://ota.tournamentsoftware.com/player-profile/C0B95842-5E69-4EBF-8E5C-398666A7112E", "Link")</f>
        <v/>
      </c>
      <c r="E255" s="3" t="n">
        <v>283.679</v>
      </c>
      <c r="F255" s="4" t="n">
        <v>15</v>
      </c>
      <c r="G255" t="inlineStr">
        <is>
          <t>British Columbia</t>
        </is>
      </c>
      <c r="H255" t="inlineStr">
        <is>
          <t>Hollyburn Country Club</t>
        </is>
      </c>
      <c r="I255" t="n">
        <v>33</v>
      </c>
      <c r="J255" s="4" t="n">
        <v>113</v>
      </c>
      <c r="K255" t="inlineStr">
        <is>
          <t>52 / 61</t>
        </is>
      </c>
      <c r="L255" t="inlineStr">
        <is>
          <t>8 / 15</t>
        </is>
      </c>
      <c r="M255" s="5" t="n">
        <v>0.46</v>
      </c>
      <c r="N255" s="5" t="n">
        <v>0.35</v>
      </c>
    </row>
    <row r="256">
      <c r="A256" t="n">
        <v>255</v>
      </c>
      <c r="B256" t="n">
        <v>2014</v>
      </c>
      <c r="C256" t="inlineStr">
        <is>
          <t>Ela Velic</t>
        </is>
      </c>
      <c r="D256">
        <f>HYPERLINK("https://ota.tournamentsoftware.com/player-profile/5CC54F7D-0D30-4EF4-BE6C-A336041BBEE2", "Link")</f>
        <v/>
      </c>
      <c r="E256" s="3" t="n">
        <v>283.442</v>
      </c>
      <c r="F256" s="4" t="n">
        <v>22</v>
      </c>
      <c r="G256" t="inlineStr">
        <is>
          <t>Ontario Tennis Association</t>
        </is>
      </c>
      <c r="H256" t="inlineStr">
        <is>
          <t>Central Tennis Club</t>
        </is>
      </c>
      <c r="I256" t="n">
        <v>33.7</v>
      </c>
      <c r="J256" s="4" t="n">
        <v>99</v>
      </c>
      <c r="K256" t="inlineStr">
        <is>
          <t>51 / 48</t>
        </is>
      </c>
      <c r="L256" t="inlineStr">
        <is>
          <t>20 / 20</t>
        </is>
      </c>
      <c r="M256" s="5" t="n">
        <v>0.52</v>
      </c>
      <c r="N256" s="5" t="n">
        <v>0.5</v>
      </c>
    </row>
    <row r="257">
      <c r="A257" t="n">
        <v>256</v>
      </c>
      <c r="B257" t="n">
        <v>2014</v>
      </c>
      <c r="C257" t="inlineStr">
        <is>
          <t>Avelyn Deepak</t>
        </is>
      </c>
      <c r="D257">
        <f>HYPERLINK("https://ota.tournamentsoftware.com/player-profile/4412DB09-5DE9-45DA-AB13-46B4F24B409F", "Link")</f>
        <v/>
      </c>
      <c r="E257" s="3" t="n">
        <v>282.546</v>
      </c>
      <c r="F257" s="4" t="n">
        <v>10</v>
      </c>
      <c r="G257" t="inlineStr">
        <is>
          <t>Tennis Manitoba</t>
        </is>
      </c>
      <c r="H257" t="inlineStr">
        <is>
          <t>Winnipeg Winter Club</t>
        </is>
      </c>
      <c r="I257" t="n">
        <v>35.2</v>
      </c>
      <c r="J257" s="4" t="n">
        <v>35</v>
      </c>
      <c r="K257" t="inlineStr">
        <is>
          <t>9 / 26</t>
        </is>
      </c>
      <c r="L257" t="inlineStr">
        <is>
          <t>9 / 26</t>
        </is>
      </c>
      <c r="M257" s="5" t="n">
        <v>0.26</v>
      </c>
      <c r="N257" s="5" t="n">
        <v>0.26</v>
      </c>
    </row>
    <row r="258">
      <c r="A258" t="n">
        <v>257</v>
      </c>
      <c r="B258" t="n">
        <v>2015</v>
      </c>
      <c r="C258" t="inlineStr">
        <is>
          <t>Danica Stamatovic</t>
        </is>
      </c>
      <c r="D258">
        <f>HYPERLINK("https://ota.tournamentsoftware.com/player-profile/3D976EDA-1737-4852-A9BF-C67ED47C73C1", "Link")</f>
        <v/>
      </c>
      <c r="E258" s="3" t="n">
        <v>281.872</v>
      </c>
      <c r="F258" s="4" t="n">
        <v>21</v>
      </c>
      <c r="G258" t="inlineStr">
        <is>
          <t>Ontario Tennis Association</t>
        </is>
      </c>
      <c r="H258" t="inlineStr">
        <is>
          <t>SmartVMC Racquetsports by ACE</t>
        </is>
      </c>
      <c r="I258" t="n">
        <v>32.1</v>
      </c>
      <c r="J258" s="4" t="n">
        <v>185</v>
      </c>
      <c r="K258" t="inlineStr">
        <is>
          <t>91 / 94</t>
        </is>
      </c>
      <c r="L258" t="inlineStr">
        <is>
          <t>24 / 15</t>
        </is>
      </c>
      <c r="M258" s="5" t="n">
        <v>0.49</v>
      </c>
      <c r="N258" s="5" t="n">
        <v>0.62</v>
      </c>
    </row>
    <row r="259">
      <c r="A259" t="n">
        <v>258</v>
      </c>
      <c r="B259" t="n">
        <v>2012</v>
      </c>
      <c r="C259" t="inlineStr">
        <is>
          <t>ella kim brend</t>
        </is>
      </c>
      <c r="D259">
        <f>HYPERLINK("https://ota.tournamentsoftware.com/player-profile/C777EDB2-AC2E-4E02-948A-26DCAC347821", "Link")</f>
        <v/>
      </c>
      <c r="E259" s="3" t="n">
        <v>280.297</v>
      </c>
      <c r="F259" s="4" t="n">
        <v>19</v>
      </c>
      <c r="G259" t="inlineStr">
        <is>
          <t>British Columbia</t>
        </is>
      </c>
      <c r="H259" t="inlineStr">
        <is>
          <t>The Tennis Centre</t>
        </is>
      </c>
      <c r="I259" t="n">
        <v>29.6</v>
      </c>
      <c r="J259" s="4" t="n">
        <v>124</v>
      </c>
      <c r="K259" t="inlineStr">
        <is>
          <t>87 / 37</t>
        </is>
      </c>
      <c r="L259" t="inlineStr">
        <is>
          <t>35 / 12</t>
        </is>
      </c>
      <c r="M259" s="5" t="n">
        <v>0.7</v>
      </c>
      <c r="N259" s="5" t="n">
        <v>0.74</v>
      </c>
    </row>
    <row r="260">
      <c r="A260" t="n">
        <v>259</v>
      </c>
      <c r="B260" t="n">
        <v>2014</v>
      </c>
      <c r="C260" t="inlineStr">
        <is>
          <t>Isabella Huang</t>
        </is>
      </c>
      <c r="D260">
        <f>HYPERLINK("https://ota.tournamentsoftware.com/player-profile/DB8FA904-8DE1-4D99-951F-F44CD792291A", "Link")</f>
        <v/>
      </c>
      <c r="E260" s="3" t="n">
        <v>279.2</v>
      </c>
      <c r="F260" s="4" t="n">
        <v>15</v>
      </c>
      <c r="G260" t="inlineStr">
        <is>
          <t>British Columbia</t>
        </is>
      </c>
      <c r="H260" t="inlineStr">
        <is>
          <t>Burnaby Tennis Club</t>
        </is>
      </c>
      <c r="I260" t="inlineStr">
        <is>
          <t>unavailable</t>
        </is>
      </c>
      <c r="J260" s="4" t="n">
        <v>189</v>
      </c>
      <c r="K260" t="inlineStr">
        <is>
          <t>106 / 83</t>
        </is>
      </c>
      <c r="L260" t="inlineStr">
        <is>
          <t>19 / 11</t>
        </is>
      </c>
      <c r="M260" s="5" t="n">
        <v>0.5600000000000001</v>
      </c>
      <c r="N260" s="5" t="n">
        <v>0.63</v>
      </c>
    </row>
    <row r="261">
      <c r="A261" t="n">
        <v>260</v>
      </c>
      <c r="B261" t="n">
        <v>2013</v>
      </c>
      <c r="C261" t="inlineStr">
        <is>
          <t>Chanjoban Kaur Birdi</t>
        </is>
      </c>
      <c r="D261">
        <f>HYPERLINK("https://ota.tournamentsoftware.com/player-profile/26D50988-CF95-4A0A-9087-8DC8E38F0BDB", "Link")</f>
        <v/>
      </c>
      <c r="E261" s="3" t="n">
        <v>278.58</v>
      </c>
      <c r="F261" s="4" t="n">
        <v>19</v>
      </c>
      <c r="G261" t="inlineStr">
        <is>
          <t>British Columbia</t>
        </is>
      </c>
      <c r="H261" t="inlineStr">
        <is>
          <t>Newton Tennis Club</t>
        </is>
      </c>
      <c r="I261" t="n">
        <v>30.3</v>
      </c>
      <c r="J261" s="4" t="n">
        <v>198</v>
      </c>
      <c r="K261" t="inlineStr">
        <is>
          <t>96 / 102</t>
        </is>
      </c>
      <c r="L261" t="inlineStr">
        <is>
          <t>21 / 15</t>
        </is>
      </c>
      <c r="M261" s="5" t="n">
        <v>0.48</v>
      </c>
      <c r="N261" s="5" t="n">
        <v>0.58</v>
      </c>
    </row>
    <row r="262">
      <c r="A262" t="n">
        <v>261</v>
      </c>
      <c r="B262" t="n">
        <v>2014</v>
      </c>
      <c r="C262" t="inlineStr">
        <is>
          <t>Elliette Leah Tran</t>
        </is>
      </c>
      <c r="D262">
        <f>HYPERLINK("https://ota.tournamentsoftware.com/player-profile/9986D752-4364-42A6-9A1B-E1BC239760F0", "Link")</f>
        <v/>
      </c>
      <c r="E262" s="3" t="n">
        <v>278.539</v>
      </c>
      <c r="F262" s="4" t="n">
        <v>17</v>
      </c>
      <c r="G262" t="inlineStr">
        <is>
          <t>Tennis Alberta</t>
        </is>
      </c>
      <c r="H262" t="inlineStr">
        <is>
          <t>Saville Community Sports Centre</t>
        </is>
      </c>
      <c r="I262" t="inlineStr">
        <is>
          <t>unavailable</t>
        </is>
      </c>
      <c r="J262" s="4" t="n">
        <v>118</v>
      </c>
      <c r="K262" t="inlineStr">
        <is>
          <t>59 / 59</t>
        </is>
      </c>
      <c r="L262" t="inlineStr">
        <is>
          <t>24 / 19</t>
        </is>
      </c>
      <c r="M262" s="5" t="n">
        <v>0.5</v>
      </c>
      <c r="N262" s="5" t="n">
        <v>0.5600000000000001</v>
      </c>
    </row>
    <row r="263">
      <c r="A263" t="n">
        <v>262</v>
      </c>
      <c r="B263" t="n">
        <v>2013</v>
      </c>
      <c r="C263" t="inlineStr">
        <is>
          <t>Maddie Kershaw</t>
        </is>
      </c>
      <c r="D263">
        <f>HYPERLINK("https://ota.tournamentsoftware.com/player-profile/14F8911D-BF5A-4FE7-BFF6-D5A71E72307F", "Link")</f>
        <v/>
      </c>
      <c r="E263" s="3" t="n">
        <v>278.432</v>
      </c>
      <c r="F263" s="4" t="n">
        <v>10</v>
      </c>
      <c r="G263" t="inlineStr">
        <is>
          <t>Tennis New Brunswick</t>
        </is>
      </c>
      <c r="H263" t="inlineStr">
        <is>
          <t>Abony Family Tennis Center</t>
        </is>
      </c>
      <c r="I263" t="n">
        <v>33.9</v>
      </c>
      <c r="J263" s="4" t="n">
        <v>188</v>
      </c>
      <c r="K263" t="inlineStr">
        <is>
          <t>95 / 93</t>
        </is>
      </c>
      <c r="L263" t="inlineStr">
        <is>
          <t>16 / 23</t>
        </is>
      </c>
      <c r="M263" s="5" t="n">
        <v>0.51</v>
      </c>
      <c r="N263" s="5" t="n">
        <v>0.41</v>
      </c>
    </row>
    <row r="264">
      <c r="A264" t="n">
        <v>263</v>
      </c>
      <c r="B264" t="n">
        <v>2012</v>
      </c>
      <c r="C264" t="inlineStr">
        <is>
          <t>Jana Karkoukli</t>
        </is>
      </c>
      <c r="D264">
        <f>HYPERLINK("https://ota.tournamentsoftware.com/player-profile/ED5D7332-7665-453C-87FD-D7E5B172FD8A", "Link")</f>
        <v/>
      </c>
      <c r="E264" s="3" t="n">
        <v>276.736</v>
      </c>
      <c r="F264" s="4" t="n">
        <v>24</v>
      </c>
      <c r="G264" t="inlineStr">
        <is>
          <t>Tennis Québec</t>
        </is>
      </c>
      <c r="H264" t="inlineStr">
        <is>
          <t>EB Tennis inc.</t>
        </is>
      </c>
      <c r="I264" t="n">
        <v>35.6</v>
      </c>
      <c r="J264" s="4" t="n">
        <v>186</v>
      </c>
      <c r="K264" t="inlineStr">
        <is>
          <t>51 / 135</t>
        </is>
      </c>
      <c r="L264" t="inlineStr">
        <is>
          <t>2 / 18</t>
        </is>
      </c>
      <c r="M264" s="5" t="n">
        <v>0.27</v>
      </c>
      <c r="N264" s="5" t="n">
        <v>0.1</v>
      </c>
    </row>
    <row r="265">
      <c r="A265" t="n">
        <v>264</v>
      </c>
      <c r="B265" t="n">
        <v>2014</v>
      </c>
      <c r="C265" t="inlineStr">
        <is>
          <t>Tehzeeb MRAR</t>
        </is>
      </c>
      <c r="D265">
        <f>HYPERLINK("https://ota.tournamentsoftware.com/player-profile/9E69163B-7ED7-4450-8845-0676D6C943B8", "Link")</f>
        <v/>
      </c>
      <c r="E265" s="3" t="n">
        <v>272.832</v>
      </c>
      <c r="F265" s="4" t="n">
        <v>20</v>
      </c>
      <c r="G265" t="inlineStr">
        <is>
          <t>British Columbia</t>
        </is>
      </c>
      <c r="H265" t="inlineStr">
        <is>
          <t>No Club</t>
        </is>
      </c>
      <c r="I265" t="n">
        <v>29.5</v>
      </c>
      <c r="J265" s="4" t="n">
        <v>195</v>
      </c>
      <c r="K265" t="inlineStr">
        <is>
          <t>106 / 89</t>
        </is>
      </c>
      <c r="L265" t="inlineStr">
        <is>
          <t>16 / 15</t>
        </is>
      </c>
      <c r="M265" s="5" t="n">
        <v>0.54</v>
      </c>
      <c r="N265" s="5" t="n">
        <v>0.52</v>
      </c>
    </row>
    <row r="266">
      <c r="A266" t="n">
        <v>265</v>
      </c>
      <c r="B266" t="n">
        <v>2013</v>
      </c>
      <c r="C266" t="inlineStr">
        <is>
          <t>Lily Gaumond-Boivin</t>
        </is>
      </c>
      <c r="D266">
        <f>HYPERLINK("https://ota.tournamentsoftware.com/player-profile/98461C64-ECF9-40D8-849E-C8999A9F9BA1", "Link")</f>
        <v/>
      </c>
      <c r="E266" s="3" t="n">
        <v>272.103</v>
      </c>
      <c r="F266" s="4" t="n">
        <v>20</v>
      </c>
      <c r="G266" t="inlineStr">
        <is>
          <t>Tennis Québec</t>
        </is>
      </c>
      <c r="H266" t="inlineStr">
        <is>
          <t>Club Avantage Multi-sports / Académie de tennis Hérisset Bordeleau</t>
        </is>
      </c>
      <c r="I266" t="inlineStr">
        <is>
          <t>unavailable</t>
        </is>
      </c>
      <c r="J266" s="4" t="n">
        <v>117</v>
      </c>
      <c r="K266" t="inlineStr">
        <is>
          <t>57 / 60</t>
        </is>
      </c>
      <c r="L266" t="inlineStr">
        <is>
          <t>7 / 11</t>
        </is>
      </c>
      <c r="M266" s="5" t="n">
        <v>0.49</v>
      </c>
      <c r="N266" s="5" t="n">
        <v>0.39</v>
      </c>
    </row>
    <row r="267">
      <c r="A267" t="n">
        <v>266</v>
      </c>
      <c r="B267" t="n">
        <v>2014</v>
      </c>
      <c r="C267" t="inlineStr">
        <is>
          <t>Elisa Krumov</t>
        </is>
      </c>
      <c r="D267">
        <f>HYPERLINK("https://ota.tournamentsoftware.com/player-profile/8B5D18FC-0F51-468A-BE7C-7EA242A06382", "Link")</f>
        <v/>
      </c>
      <c r="E267" s="3" t="n">
        <v>270.273</v>
      </c>
      <c r="F267" s="4" t="n">
        <v>16</v>
      </c>
      <c r="G267" t="inlineStr">
        <is>
          <t>Ontario Tennis Association</t>
        </is>
      </c>
      <c r="H267" t="inlineStr">
        <is>
          <t>Joshua Creek Golf &amp; Tennis</t>
        </is>
      </c>
      <c r="I267" t="n">
        <v>32.8</v>
      </c>
      <c r="J267" s="4" t="n">
        <v>89</v>
      </c>
      <c r="K267" t="inlineStr">
        <is>
          <t>43 / 46</t>
        </is>
      </c>
      <c r="L267" t="inlineStr">
        <is>
          <t>16 / 16</t>
        </is>
      </c>
      <c r="M267" s="5" t="n">
        <v>0.48</v>
      </c>
      <c r="N267" s="5" t="n">
        <v>0.5</v>
      </c>
    </row>
    <row r="268">
      <c r="A268" t="n">
        <v>267</v>
      </c>
      <c r="B268" t="n">
        <v>2013</v>
      </c>
      <c r="C268" t="inlineStr">
        <is>
          <t>Gabriela Gardonyi</t>
        </is>
      </c>
      <c r="D268">
        <f>HYPERLINK("https://ota.tournamentsoftware.com/player-profile/EA584DC9-AF4E-413B-BF0B-75746024F8E4", "Link")</f>
        <v/>
      </c>
      <c r="E268" s="3" t="n">
        <v>269.544</v>
      </c>
      <c r="F268" s="4" t="n">
        <v>23</v>
      </c>
      <c r="G268" t="inlineStr">
        <is>
          <t>Ontario Tennis Association</t>
        </is>
      </c>
      <c r="H268" t="inlineStr">
        <is>
          <t>Richmond Hill Country Club</t>
        </is>
      </c>
      <c r="I268" t="inlineStr">
        <is>
          <t>unavailable</t>
        </is>
      </c>
      <c r="J268" s="4" t="n">
        <v>119</v>
      </c>
      <c r="K268" t="inlineStr">
        <is>
          <t>56 / 63</t>
        </is>
      </c>
      <c r="L268" t="inlineStr">
        <is>
          <t>21 / 19</t>
        </is>
      </c>
      <c r="M268" s="5" t="n">
        <v>0.47</v>
      </c>
      <c r="N268" s="5" t="n">
        <v>0.53</v>
      </c>
    </row>
    <row r="269">
      <c r="A269" t="n">
        <v>268</v>
      </c>
      <c r="B269" t="n">
        <v>2013</v>
      </c>
      <c r="C269" t="inlineStr">
        <is>
          <t>Tia Patel</t>
        </is>
      </c>
      <c r="D269">
        <f>HYPERLINK("https://ota.tournamentsoftware.com/player-profile/5C480574-FD9C-4816-B1CF-F51441726B25", "Link")</f>
        <v/>
      </c>
      <c r="E269" s="3" t="n">
        <v>267.982</v>
      </c>
      <c r="F269" s="4" t="n">
        <v>17</v>
      </c>
      <c r="G269" t="inlineStr">
        <is>
          <t>Ontario Tennis Association</t>
        </is>
      </c>
      <c r="H269" t="inlineStr">
        <is>
          <t>Waterloo Tennis Club</t>
        </is>
      </c>
      <c r="I269" t="n">
        <v>35.4</v>
      </c>
      <c r="J269" s="4" t="n">
        <v>74</v>
      </c>
      <c r="K269" t="inlineStr">
        <is>
          <t>26 / 48</t>
        </is>
      </c>
      <c r="L269" t="inlineStr">
        <is>
          <t>4 / 8</t>
        </is>
      </c>
      <c r="M269" s="5" t="n">
        <v>0.35</v>
      </c>
      <c r="N269" s="5" t="n">
        <v>0.33</v>
      </c>
    </row>
    <row r="270">
      <c r="A270" t="n">
        <v>269</v>
      </c>
      <c r="B270" t="n">
        <v>2015</v>
      </c>
      <c r="C270" t="inlineStr">
        <is>
          <t>Sophia Shiqi Zeng</t>
        </is>
      </c>
      <c r="D270">
        <f>HYPERLINK("https://ota.tournamentsoftware.com/player-profile/F1A373DA-18B2-46FA-AF39-157644DB679B", "Link")</f>
        <v/>
      </c>
      <c r="E270" s="3" t="n">
        <v>267.836</v>
      </c>
      <c r="F270" s="4" t="n">
        <v>22</v>
      </c>
      <c r="G270" t="inlineStr">
        <is>
          <t>British Columbia</t>
        </is>
      </c>
      <c r="H270" t="inlineStr">
        <is>
          <t>The Tennis Centre</t>
        </is>
      </c>
      <c r="I270" t="n">
        <v>31.5</v>
      </c>
      <c r="J270" s="4" t="n">
        <v>187</v>
      </c>
      <c r="K270" t="inlineStr">
        <is>
          <t>103 / 84</t>
        </is>
      </c>
      <c r="L270" t="inlineStr">
        <is>
          <t>29 / 15</t>
        </is>
      </c>
      <c r="M270" s="5" t="n">
        <v>0.55</v>
      </c>
      <c r="N270" s="5" t="n">
        <v>0.66</v>
      </c>
    </row>
    <row r="271">
      <c r="A271" t="n">
        <v>270</v>
      </c>
      <c r="B271" t="n">
        <v>2015</v>
      </c>
      <c r="C271" t="inlineStr">
        <is>
          <t>Alia Idrissi Serghini</t>
        </is>
      </c>
      <c r="D271">
        <f>HYPERLINK("https://ota.tournamentsoftware.com/player-profile/CF328206-362D-4259-AA9F-74B7EF760A80", "Link")</f>
        <v/>
      </c>
      <c r="E271" s="3" t="n">
        <v>267.456</v>
      </c>
      <c r="F271" s="4" t="n">
        <v>20</v>
      </c>
      <c r="G271" t="inlineStr">
        <is>
          <t>Tennis Québec</t>
        </is>
      </c>
      <c r="H271" t="inlineStr">
        <is>
          <t>Centre récréatif de Repentigny / Académie Tennis Momentum</t>
        </is>
      </c>
      <c r="I271" t="n">
        <v>32.6</v>
      </c>
      <c r="J271" s="4" t="n">
        <v>139</v>
      </c>
      <c r="K271" t="inlineStr">
        <is>
          <t>84 / 55</t>
        </is>
      </c>
      <c r="L271" t="inlineStr">
        <is>
          <t>19 / 19</t>
        </is>
      </c>
      <c r="M271" s="5" t="n">
        <v>0.6</v>
      </c>
      <c r="N271" s="5" t="n">
        <v>0.5</v>
      </c>
    </row>
    <row r="272">
      <c r="A272" t="n">
        <v>271</v>
      </c>
      <c r="B272" t="n">
        <v>2014</v>
      </c>
      <c r="C272" t="inlineStr">
        <is>
          <t>Mégane Bernard</t>
        </is>
      </c>
      <c r="D272">
        <f>HYPERLINK("https://ota.tournamentsoftware.com/player-profile/041B9415-6EB0-452F-AD3F-EA68CADBA2FB", "Link")</f>
        <v/>
      </c>
      <c r="E272" s="3" t="n">
        <v>263.992</v>
      </c>
      <c r="F272" s="4" t="n">
        <v>19</v>
      </c>
      <c r="G272" t="inlineStr">
        <is>
          <t>Tennis Québec</t>
        </is>
      </c>
      <c r="H272" t="inlineStr">
        <is>
          <t>Tennis 13</t>
        </is>
      </c>
      <c r="I272" t="n">
        <v>32.6</v>
      </c>
      <c r="J272" s="4" t="n">
        <v>184</v>
      </c>
      <c r="K272" t="inlineStr">
        <is>
          <t>80 / 104</t>
        </is>
      </c>
      <c r="L272" t="inlineStr">
        <is>
          <t>10 / 18</t>
        </is>
      </c>
      <c r="M272" s="5" t="n">
        <v>0.43</v>
      </c>
      <c r="N272" s="5" t="n">
        <v>0.36</v>
      </c>
    </row>
    <row r="273">
      <c r="A273" t="n">
        <v>272</v>
      </c>
      <c r="B273" t="n">
        <v>2013</v>
      </c>
      <c r="C273" t="inlineStr">
        <is>
          <t>Mia Tran</t>
        </is>
      </c>
      <c r="D273">
        <f>HYPERLINK("https://ota.tournamentsoftware.com/player-profile/140A029D-3BE9-44F2-AA6A-53ED5C2991A8", "Link")</f>
        <v/>
      </c>
      <c r="E273" s="3" t="n">
        <v>263.48</v>
      </c>
      <c r="F273" s="4" t="n">
        <v>11</v>
      </c>
      <c r="G273" t="inlineStr">
        <is>
          <t>Ontario Tennis Association</t>
        </is>
      </c>
      <c r="H273" t="inlineStr">
        <is>
          <t>SmartVMC Racquetsports by ACE</t>
        </is>
      </c>
      <c r="I273" t="n">
        <v>32.6</v>
      </c>
      <c r="J273" s="4" t="n">
        <v>86</v>
      </c>
      <c r="K273" t="inlineStr">
        <is>
          <t>53 / 33</t>
        </is>
      </c>
      <c r="L273" t="inlineStr">
        <is>
          <t>14 / 8</t>
        </is>
      </c>
      <c r="M273" s="5" t="n">
        <v>0.62</v>
      </c>
      <c r="N273" s="5" t="n">
        <v>0.64</v>
      </c>
    </row>
    <row r="274">
      <c r="A274" t="n">
        <v>273</v>
      </c>
      <c r="B274" t="n">
        <v>2014</v>
      </c>
      <c r="C274" t="inlineStr">
        <is>
          <t>Thanushka Sadasivam</t>
        </is>
      </c>
      <c r="D274">
        <f>HYPERLINK("https://ota.tournamentsoftware.com/player-profile/CA495DA8-0B9D-4530-9886-FC567CD73AE9", "Link")</f>
        <v/>
      </c>
      <c r="E274" s="3" t="n">
        <v>261.793</v>
      </c>
      <c r="F274" s="4" t="n">
        <v>19</v>
      </c>
      <c r="G274" t="inlineStr">
        <is>
          <t>Ontario Tennis Association</t>
        </is>
      </c>
      <c r="H274" t="inlineStr">
        <is>
          <t>Ontario Racquet Club</t>
        </is>
      </c>
      <c r="I274" t="n">
        <v>35.2</v>
      </c>
      <c r="J274" s="4" t="n">
        <v>59</v>
      </c>
      <c r="K274" t="inlineStr">
        <is>
          <t>25 / 34</t>
        </is>
      </c>
      <c r="L274" t="inlineStr">
        <is>
          <t>7 / 12</t>
        </is>
      </c>
      <c r="M274" s="5" t="n">
        <v>0.42</v>
      </c>
      <c r="N274" s="5" t="n">
        <v>0.37</v>
      </c>
    </row>
    <row r="275">
      <c r="A275" t="n">
        <v>274</v>
      </c>
      <c r="B275" t="n">
        <v>2015</v>
      </c>
      <c r="C275" t="inlineStr">
        <is>
          <t>Emma Xu</t>
        </is>
      </c>
      <c r="D275">
        <f>HYPERLINK("https://ota.tournamentsoftware.com/player-profile/464089C3-D2B4-413F-A102-AF0AEFF9A318", "Link")</f>
        <v/>
      </c>
      <c r="E275" s="3" t="n">
        <v>259.338</v>
      </c>
      <c r="F275" s="4" t="n">
        <v>9</v>
      </c>
      <c r="G275" t="inlineStr">
        <is>
          <t>Tennis Manitoba</t>
        </is>
      </c>
      <c r="H275" t="inlineStr">
        <is>
          <t>Taylor Tennis</t>
        </is>
      </c>
      <c r="I275" t="n">
        <v>36.6</v>
      </c>
      <c r="J275" s="4" t="n">
        <v>98</v>
      </c>
      <c r="K275" t="inlineStr">
        <is>
          <t>27 / 71</t>
        </is>
      </c>
      <c r="L275" t="inlineStr">
        <is>
          <t>9 / 28</t>
        </is>
      </c>
      <c r="M275" s="5" t="n">
        <v>0.28</v>
      </c>
      <c r="N275" s="5" t="n">
        <v>0.24</v>
      </c>
    </row>
    <row r="276">
      <c r="A276" t="n">
        <v>275</v>
      </c>
      <c r="B276" t="n">
        <v>2013</v>
      </c>
      <c r="C276" t="inlineStr">
        <is>
          <t>Ebun Fasanya</t>
        </is>
      </c>
      <c r="D276">
        <f>HYPERLINK("https://ota.tournamentsoftware.com/player-profile/943BB22B-8108-44B4-80BD-15A6984D1D23", "Link")</f>
        <v/>
      </c>
      <c r="E276" s="3" t="n">
        <v>256.168</v>
      </c>
      <c r="F276" s="4" t="n">
        <v>16</v>
      </c>
      <c r="G276" t="inlineStr">
        <is>
          <t>Ontario Tennis Association</t>
        </is>
      </c>
      <c r="H276" t="inlineStr">
        <is>
          <t>Joshua Creek Golf &amp; Tennis</t>
        </is>
      </c>
      <c r="I276" t="n">
        <v>34</v>
      </c>
      <c r="J276" s="4" t="n">
        <v>80</v>
      </c>
      <c r="K276" t="inlineStr">
        <is>
          <t>44 / 36</t>
        </is>
      </c>
      <c r="L276" t="inlineStr">
        <is>
          <t>16 / 13</t>
        </is>
      </c>
      <c r="M276" s="5" t="n">
        <v>0.55</v>
      </c>
      <c r="N276" s="5" t="n">
        <v>0.55</v>
      </c>
    </row>
    <row r="277">
      <c r="A277" t="n">
        <v>276</v>
      </c>
      <c r="B277" t="n">
        <v>2012</v>
      </c>
      <c r="C277" t="inlineStr">
        <is>
          <t>Kristina Khlyebnykova</t>
        </is>
      </c>
      <c r="D277">
        <f>HYPERLINK("https://ota.tournamentsoftware.com/player-profile/D585FC7E-ABD0-44A4-A0AC-539E39880B84", "Link")</f>
        <v/>
      </c>
      <c r="E277" s="3" t="n">
        <v>255.56</v>
      </c>
      <c r="F277" s="4" t="n">
        <v>13</v>
      </c>
      <c r="G277" t="inlineStr">
        <is>
          <t>Ontario Tennis Association</t>
        </is>
      </c>
      <c r="H277" t="inlineStr">
        <is>
          <t>Concord Tennis Academy</t>
        </is>
      </c>
      <c r="I277" t="n">
        <v>32.8</v>
      </c>
      <c r="J277" s="4" t="n">
        <v>67</v>
      </c>
      <c r="K277" t="inlineStr">
        <is>
          <t>32 / 35</t>
        </is>
      </c>
      <c r="L277" t="inlineStr">
        <is>
          <t>11 / 8</t>
        </is>
      </c>
      <c r="M277" s="5" t="n">
        <v>0.48</v>
      </c>
      <c r="N277" s="5" t="n">
        <v>0.58</v>
      </c>
    </row>
    <row r="278">
      <c r="A278" t="n">
        <v>277</v>
      </c>
      <c r="B278" t="n">
        <v>2012</v>
      </c>
      <c r="C278" t="inlineStr">
        <is>
          <t>Jessica Li</t>
        </is>
      </c>
      <c r="D278">
        <f>HYPERLINK("https://ota.tournamentsoftware.com/player-profile/9F51CCE2-07F1-48BF-B635-CE7622769243", "Link")</f>
        <v/>
      </c>
      <c r="E278" s="3" t="n">
        <v>254.244</v>
      </c>
      <c r="F278" s="4" t="n">
        <v>12</v>
      </c>
      <c r="G278" t="inlineStr">
        <is>
          <t>Ontario Tennis Association</t>
        </is>
      </c>
      <c r="H278" t="inlineStr">
        <is>
          <t>Markham Tennis Club</t>
        </is>
      </c>
      <c r="I278" t="inlineStr">
        <is>
          <t>unavailable</t>
        </is>
      </c>
      <c r="J278" s="4" t="n">
        <v>57</v>
      </c>
      <c r="K278" t="inlineStr">
        <is>
          <t>27 / 30</t>
        </is>
      </c>
      <c r="L278" t="inlineStr">
        <is>
          <t>9 / 8</t>
        </is>
      </c>
      <c r="M278" s="5" t="n">
        <v>0.47</v>
      </c>
      <c r="N278" s="5" t="n">
        <v>0.53</v>
      </c>
    </row>
    <row r="279">
      <c r="A279" t="n">
        <v>278</v>
      </c>
      <c r="B279" t="n">
        <v>2012</v>
      </c>
      <c r="C279" t="inlineStr">
        <is>
          <t>Jamie Cui</t>
        </is>
      </c>
      <c r="D279">
        <f>HYPERLINK("https://ota.tournamentsoftware.com/player-profile/6F7B90A5-BECB-44C9-9B4E-74FED8443672", "Link")</f>
        <v/>
      </c>
      <c r="E279" s="3" t="n">
        <v>253.154</v>
      </c>
      <c r="F279" s="4" t="n">
        <v>21</v>
      </c>
      <c r="G279" t="inlineStr">
        <is>
          <t>British Columbia</t>
        </is>
      </c>
      <c r="H279" t="inlineStr">
        <is>
          <t>Coquitlam Tennis Club</t>
        </is>
      </c>
      <c r="I279" t="inlineStr">
        <is>
          <t>unavailable</t>
        </is>
      </c>
      <c r="J279" s="4" t="n">
        <v>166</v>
      </c>
      <c r="K279" t="inlineStr">
        <is>
          <t>44 / 122</t>
        </is>
      </c>
      <c r="L279" t="inlineStr">
        <is>
          <t>7 / 19</t>
        </is>
      </c>
      <c r="M279" s="5" t="n">
        <v>0.27</v>
      </c>
      <c r="N279" s="5" t="n">
        <v>0.27</v>
      </c>
    </row>
    <row r="280">
      <c r="A280" t="n">
        <v>279</v>
      </c>
      <c r="B280" t="n">
        <v>2012</v>
      </c>
      <c r="C280" t="inlineStr">
        <is>
          <t>Trisha Singh</t>
        </is>
      </c>
      <c r="D280">
        <f>HYPERLINK("https://ota.tournamentsoftware.com/player-profile/CA831513-6963-4556-B8FD-4D148748EB19", "Link")</f>
        <v/>
      </c>
      <c r="E280" s="3" t="n">
        <v>250.421</v>
      </c>
      <c r="F280" s="4" t="n">
        <v>17</v>
      </c>
      <c r="G280" t="inlineStr">
        <is>
          <t>Ontario Tennis Association</t>
        </is>
      </c>
      <c r="H280" t="inlineStr">
        <is>
          <t>Rideau Sports Centre</t>
        </is>
      </c>
      <c r="I280" t="n">
        <v>32</v>
      </c>
      <c r="J280" s="4" t="n">
        <v>85</v>
      </c>
      <c r="K280" t="inlineStr">
        <is>
          <t>36 / 49</t>
        </is>
      </c>
      <c r="L280" t="inlineStr">
        <is>
          <t>6 / 16</t>
        </is>
      </c>
      <c r="M280" s="5" t="n">
        <v>0.42</v>
      </c>
      <c r="N280" s="5" t="n">
        <v>0.27</v>
      </c>
    </row>
    <row r="281">
      <c r="A281" t="n">
        <v>280</v>
      </c>
      <c r="B281" t="n">
        <v>2015</v>
      </c>
      <c r="C281" t="inlineStr">
        <is>
          <t>Keira Braudo</t>
        </is>
      </c>
      <c r="D281">
        <f>HYPERLINK("https://ota.tournamentsoftware.com/player-profile/8D683600-A107-430B-BBAA-BD98BDCE0FD8", "Link")</f>
        <v/>
      </c>
      <c r="E281" s="3" t="n">
        <v>250.103</v>
      </c>
      <c r="F281" s="4" t="n">
        <v>12</v>
      </c>
      <c r="G281" t="inlineStr">
        <is>
          <t>Ontario Tennis Association</t>
        </is>
      </c>
      <c r="H281" t="inlineStr">
        <is>
          <t>Mayfair West Fitness &amp; Racquet Club</t>
        </is>
      </c>
      <c r="I281" t="n">
        <v>30.5</v>
      </c>
      <c r="J281" s="4" t="n">
        <v>69</v>
      </c>
      <c r="K281" t="inlineStr">
        <is>
          <t>46 / 23</t>
        </is>
      </c>
      <c r="L281" t="inlineStr">
        <is>
          <t>23 / 5</t>
        </is>
      </c>
      <c r="M281" s="5" t="n">
        <v>0.67</v>
      </c>
      <c r="N281" s="5" t="n">
        <v>0.82</v>
      </c>
    </row>
    <row r="282">
      <c r="A282" t="n">
        <v>281</v>
      </c>
      <c r="B282" t="n">
        <v>2014</v>
      </c>
      <c r="C282" t="inlineStr">
        <is>
          <t>Sara Liao</t>
        </is>
      </c>
      <c r="D282">
        <f>HYPERLINK("https://ota.tournamentsoftware.com/player-profile/A86A9BCB-375D-415C-BD04-3D7638B2F6E8", "Link")</f>
        <v/>
      </c>
      <c r="E282" s="3" t="n">
        <v>249.717</v>
      </c>
      <c r="F282" s="4" t="n">
        <v>31</v>
      </c>
      <c r="G282" t="inlineStr">
        <is>
          <t>Ontario Tennis Association</t>
        </is>
      </c>
      <c r="H282" t="inlineStr">
        <is>
          <t>Ontario Racquet Club</t>
        </is>
      </c>
      <c r="I282" t="n">
        <v>33.5</v>
      </c>
      <c r="J282" s="4" t="n">
        <v>117</v>
      </c>
      <c r="K282" t="inlineStr">
        <is>
          <t>57 / 60</t>
        </is>
      </c>
      <c r="L282" t="inlineStr">
        <is>
          <t>30 / 27</t>
        </is>
      </c>
      <c r="M282" s="5" t="n">
        <v>0.49</v>
      </c>
      <c r="N282" s="5" t="n">
        <v>0.53</v>
      </c>
    </row>
    <row r="283">
      <c r="A283" t="n">
        <v>282</v>
      </c>
      <c r="B283" t="n">
        <v>2014</v>
      </c>
      <c r="C283" t="inlineStr">
        <is>
          <t>Emma Lajoie</t>
        </is>
      </c>
      <c r="D283">
        <f>HYPERLINK("https://ota.tournamentsoftware.com/player-profile/E1635D80-45C0-4A06-8270-280699032897", "Link")</f>
        <v/>
      </c>
      <c r="E283" s="3" t="n">
        <v>249.285</v>
      </c>
      <c r="F283" s="4" t="n">
        <v>23</v>
      </c>
      <c r="G283" t="inlineStr">
        <is>
          <t>Tennis Québec</t>
        </is>
      </c>
      <c r="H283" t="inlineStr">
        <is>
          <t>SANI Sport</t>
        </is>
      </c>
      <c r="I283" t="n">
        <v>33</v>
      </c>
      <c r="J283" s="4" t="n">
        <v>160</v>
      </c>
      <c r="K283" t="inlineStr">
        <is>
          <t>81 / 79</t>
        </is>
      </c>
      <c r="L283" t="inlineStr">
        <is>
          <t>19 / 23</t>
        </is>
      </c>
      <c r="M283" s="5" t="n">
        <v>0.51</v>
      </c>
      <c r="N283" s="5" t="n">
        <v>0.45</v>
      </c>
    </row>
    <row r="284">
      <c r="A284" t="n">
        <v>283</v>
      </c>
      <c r="B284" t="n">
        <v>2013</v>
      </c>
      <c r="C284" t="inlineStr">
        <is>
          <t>Elina Farmanbar</t>
        </is>
      </c>
      <c r="D284">
        <f>HYPERLINK("https://ota.tournamentsoftware.com/player-profile/CBAE609B-7C8B-4EA5-976F-0F6C1089D79C", "Link")</f>
        <v/>
      </c>
      <c r="E284" s="3" t="n">
        <v>248</v>
      </c>
      <c r="F284" s="4" t="n">
        <v>1</v>
      </c>
      <c r="G284" t="inlineStr">
        <is>
          <t>Ontario Tennis Association</t>
        </is>
      </c>
      <c r="H284" t="inlineStr">
        <is>
          <t>Thornhill Park Tennis Club</t>
        </is>
      </c>
      <c r="I284" t="n">
        <v>24</v>
      </c>
      <c r="J284" s="4" t="n">
        <v>73</v>
      </c>
      <c r="K284" t="inlineStr">
        <is>
          <t>54 / 19</t>
        </is>
      </c>
      <c r="L284" t="inlineStr">
        <is>
          <t>0 / 0</t>
        </is>
      </c>
      <c r="M284" s="5" t="n">
        <v>0.74</v>
      </c>
      <c r="N284" s="5" t="n">
        <v>0</v>
      </c>
    </row>
    <row r="285">
      <c r="A285" t="n">
        <v>284</v>
      </c>
      <c r="B285" t="n">
        <v>2013</v>
      </c>
      <c r="C285" t="inlineStr">
        <is>
          <t>Ava Dancik</t>
        </is>
      </c>
      <c r="D285">
        <f>HYPERLINK("https://ota.tournamentsoftware.com/player-profile/CF808414-C0CE-4B07-9667-D3EE492D6BCE", "Link")</f>
        <v/>
      </c>
      <c r="E285" s="3" t="n">
        <v>245.24</v>
      </c>
      <c r="F285" s="4" t="n">
        <v>12</v>
      </c>
      <c r="G285" t="inlineStr">
        <is>
          <t>Tennis Québec</t>
        </is>
      </c>
      <c r="H285" t="inlineStr">
        <is>
          <t>Tennis Ile- des- Soeurs</t>
        </is>
      </c>
      <c r="I285" t="n">
        <v>31.4</v>
      </c>
      <c r="J285" s="4" t="n">
        <v>216</v>
      </c>
      <c r="K285" t="inlineStr">
        <is>
          <t>111 / 105</t>
        </is>
      </c>
      <c r="L285" t="inlineStr">
        <is>
          <t>15 / 8</t>
        </is>
      </c>
      <c r="M285" s="5" t="n">
        <v>0.51</v>
      </c>
      <c r="N285" s="5" t="n">
        <v>0.65</v>
      </c>
    </row>
    <row r="286">
      <c r="A286" t="n">
        <v>285</v>
      </c>
      <c r="B286" t="n">
        <v>2014</v>
      </c>
      <c r="C286" t="inlineStr">
        <is>
          <t>SOFIA LUCKY</t>
        </is>
      </c>
      <c r="D286">
        <f>HYPERLINK("https://ota.tournamentsoftware.com/player-profile/9A590660-3C23-4CD7-A9AF-30CC3227EC17", "Link")</f>
        <v/>
      </c>
      <c r="E286" s="3" t="n">
        <v>245.128</v>
      </c>
      <c r="F286" s="4" t="n">
        <v>13</v>
      </c>
      <c r="G286" t="inlineStr">
        <is>
          <t>Tennis Québec</t>
        </is>
      </c>
      <c r="H286" t="inlineStr">
        <is>
          <t>Académie de tennis UNI(T)</t>
        </is>
      </c>
      <c r="I286" t="n">
        <v>34.5</v>
      </c>
      <c r="J286" s="4" t="n">
        <v>85</v>
      </c>
      <c r="K286" t="inlineStr">
        <is>
          <t>31 / 54</t>
        </is>
      </c>
      <c r="L286" t="inlineStr">
        <is>
          <t>10 / 9</t>
        </is>
      </c>
      <c r="M286" s="5" t="n">
        <v>0.36</v>
      </c>
      <c r="N286" s="5" t="n">
        <v>0.53</v>
      </c>
    </row>
    <row r="287">
      <c r="A287" t="n">
        <v>286</v>
      </c>
      <c r="B287" t="n">
        <v>2012</v>
      </c>
      <c r="C287" t="inlineStr">
        <is>
          <t>Sophia Zhang</t>
        </is>
      </c>
      <c r="D287">
        <f>HYPERLINK("https://ota.tournamentsoftware.com/player-profile/D3858E79-6F6D-42C3-B497-74590CD50165", "Link")</f>
        <v/>
      </c>
      <c r="E287" s="3" t="n">
        <v>242.786</v>
      </c>
      <c r="F287" s="4" t="n">
        <v>8</v>
      </c>
      <c r="G287" t="inlineStr">
        <is>
          <t>British Columbia</t>
        </is>
      </c>
      <c r="H287" t="inlineStr">
        <is>
          <t>Richmond Country Club</t>
        </is>
      </c>
      <c r="I287" t="n">
        <v>32.9</v>
      </c>
      <c r="J287" s="4" t="n">
        <v>120</v>
      </c>
      <c r="K287" t="inlineStr">
        <is>
          <t>33 / 87</t>
        </is>
      </c>
      <c r="L287" t="inlineStr">
        <is>
          <t>1 / 10</t>
        </is>
      </c>
      <c r="M287" s="5" t="n">
        <v>0.28</v>
      </c>
      <c r="N287" s="5" t="n">
        <v>0.09</v>
      </c>
    </row>
    <row r="288">
      <c r="A288" t="n">
        <v>287</v>
      </c>
      <c r="B288" t="n">
        <v>2012</v>
      </c>
      <c r="C288" t="inlineStr">
        <is>
          <t>MICHELLE OREANE OLA ECHAO</t>
        </is>
      </c>
      <c r="D288">
        <f>HYPERLINK("https://ota.tournamentsoftware.com/player-profile/50FA5AE5-9557-483C-94FB-05937E25C837", "Link")</f>
        <v/>
      </c>
      <c r="E288" s="3" t="n">
        <v>241.101</v>
      </c>
      <c r="F288" s="4" t="n">
        <v>10</v>
      </c>
      <c r="G288" t="inlineStr">
        <is>
          <t>Ontario Tennis Association</t>
        </is>
      </c>
      <c r="H288" t="inlineStr">
        <is>
          <t>Rideau Sports Centre</t>
        </is>
      </c>
      <c r="I288" t="n">
        <v>36.9</v>
      </c>
      <c r="J288" s="4" t="n">
        <v>55</v>
      </c>
      <c r="K288" t="inlineStr">
        <is>
          <t>12 / 43</t>
        </is>
      </c>
      <c r="L288" t="inlineStr">
        <is>
          <t>3 / 8</t>
        </is>
      </c>
      <c r="M288" s="5" t="n">
        <v>0.22</v>
      </c>
      <c r="N288" s="5" t="n">
        <v>0.27</v>
      </c>
    </row>
    <row r="289">
      <c r="A289" t="n">
        <v>288</v>
      </c>
      <c r="B289" t="n">
        <v>2015</v>
      </c>
      <c r="C289" t="inlineStr">
        <is>
          <t>Ella Potechin</t>
        </is>
      </c>
      <c r="D289">
        <f>HYPERLINK("https://ota.tournamentsoftware.com/player-profile/6611C50A-5A2F-4DF7-B99B-97DD644D2C2A", "Link")</f>
        <v/>
      </c>
      <c r="E289" s="3" t="n">
        <v>239.009</v>
      </c>
      <c r="F289" s="4" t="n">
        <v>16</v>
      </c>
      <c r="G289" t="inlineStr">
        <is>
          <t>Ontario Tennis Association</t>
        </is>
      </c>
      <c r="H289" t="inlineStr">
        <is>
          <t>Tennis Outaouais Performance (TOP) ON</t>
        </is>
      </c>
      <c r="I289" t="n">
        <v>35.1</v>
      </c>
      <c r="J289" s="4" t="n">
        <v>89</v>
      </c>
      <c r="K289" t="inlineStr">
        <is>
          <t>34 / 55</t>
        </is>
      </c>
      <c r="L289" t="inlineStr">
        <is>
          <t>17 / 19</t>
        </is>
      </c>
      <c r="M289" s="5" t="n">
        <v>0.38</v>
      </c>
      <c r="N289" s="5" t="n">
        <v>0.47</v>
      </c>
    </row>
    <row r="290">
      <c r="A290" t="n">
        <v>289</v>
      </c>
      <c r="B290" t="n">
        <v>2015</v>
      </c>
      <c r="C290" t="inlineStr">
        <is>
          <t>Liana Arendain</t>
        </is>
      </c>
      <c r="D290">
        <f>HYPERLINK("https://ota.tournamentsoftware.com/player-profile/2D89D481-D621-43AF-8792-3F0114FE4D77", "Link")</f>
        <v/>
      </c>
      <c r="E290" s="3" t="n">
        <v>238.244</v>
      </c>
      <c r="F290" s="4" t="n">
        <v>20</v>
      </c>
      <c r="G290" t="inlineStr">
        <is>
          <t>Tennis Alberta</t>
        </is>
      </c>
      <c r="H290" t="inlineStr">
        <is>
          <t>Saville Community Sports Centre</t>
        </is>
      </c>
      <c r="I290" t="n">
        <v>31.1</v>
      </c>
      <c r="J290" s="4" t="n">
        <v>147</v>
      </c>
      <c r="K290" t="inlineStr">
        <is>
          <t>100 / 47</t>
        </is>
      </c>
      <c r="L290" t="inlineStr">
        <is>
          <t>33 / 19</t>
        </is>
      </c>
      <c r="M290" s="5" t="n">
        <v>0.68</v>
      </c>
      <c r="N290" s="5" t="n">
        <v>0.63</v>
      </c>
    </row>
    <row r="291">
      <c r="A291" t="n">
        <v>290</v>
      </c>
      <c r="B291" t="n">
        <v>2012</v>
      </c>
      <c r="C291" t="inlineStr">
        <is>
          <t>Ariella Wainer</t>
        </is>
      </c>
      <c r="D291">
        <f>HYPERLINK("https://ota.tournamentsoftware.com/player-profile/29A07F50-E6F3-4FFE-84BF-31DB048552D6", "Link")</f>
        <v/>
      </c>
      <c r="E291" s="3" t="n">
        <v>238.158</v>
      </c>
      <c r="F291" s="4" t="n">
        <v>23</v>
      </c>
      <c r="G291" t="inlineStr">
        <is>
          <t>Tennis Québec</t>
        </is>
      </c>
      <c r="H291" t="inlineStr">
        <is>
          <t>Club Sportif Côte-de-Liesse</t>
        </is>
      </c>
      <c r="I291" t="n">
        <v>34.9</v>
      </c>
      <c r="J291" s="4" t="n">
        <v>169</v>
      </c>
      <c r="K291" t="inlineStr">
        <is>
          <t>57 / 112</t>
        </is>
      </c>
      <c r="L291" t="inlineStr">
        <is>
          <t>3 / 17</t>
        </is>
      </c>
      <c r="M291" s="5" t="n">
        <v>0.34</v>
      </c>
      <c r="N291" s="5" t="n">
        <v>0.15</v>
      </c>
    </row>
    <row r="292">
      <c r="A292" t="n">
        <v>291</v>
      </c>
      <c r="B292" t="n">
        <v>2015</v>
      </c>
      <c r="C292" t="inlineStr">
        <is>
          <t>Violetta Munoz</t>
        </is>
      </c>
      <c r="D292">
        <f>HYPERLINK("https://ota.tournamentsoftware.com/player-profile/55FD2B42-2961-45DA-8250-9ECCED0E6566", "Link")</f>
        <v/>
      </c>
      <c r="E292" s="3" t="n">
        <v>236.517</v>
      </c>
      <c r="F292" s="4" t="n">
        <v>24</v>
      </c>
      <c r="G292" t="inlineStr">
        <is>
          <t>Tennis Québec</t>
        </is>
      </c>
      <c r="H292" t="inlineStr">
        <is>
          <t>Carrefour Multisports</t>
        </is>
      </c>
      <c r="I292" t="n">
        <v>32</v>
      </c>
      <c r="J292" s="4" t="n">
        <v>176</v>
      </c>
      <c r="K292" t="inlineStr">
        <is>
          <t>93 / 83</t>
        </is>
      </c>
      <c r="L292" t="inlineStr">
        <is>
          <t>22 / 18</t>
        </is>
      </c>
      <c r="M292" s="5" t="n">
        <v>0.53</v>
      </c>
      <c r="N292" s="5" t="n">
        <v>0.55</v>
      </c>
    </row>
    <row r="293">
      <c r="A293" t="n">
        <v>292</v>
      </c>
      <c r="B293" t="n">
        <v>2014</v>
      </c>
      <c r="C293" t="inlineStr">
        <is>
          <t>Penelope Anne McMillan</t>
        </is>
      </c>
      <c r="D293">
        <f>HYPERLINK("https://ota.tournamentsoftware.com/player-profile/D7699338-4FE5-4F30-9A7D-8E14842C2A9B", "Link")</f>
        <v/>
      </c>
      <c r="E293" s="3" t="n">
        <v>235.813</v>
      </c>
      <c r="F293" s="4" t="n">
        <v>8</v>
      </c>
      <c r="G293" t="inlineStr">
        <is>
          <t>Tennis Nova Scotia</t>
        </is>
      </c>
      <c r="H293" t="inlineStr">
        <is>
          <t>Atlantic Tennis Centre</t>
        </is>
      </c>
      <c r="I293" t="n">
        <v>36.1</v>
      </c>
      <c r="J293" s="4" t="n">
        <v>110</v>
      </c>
      <c r="K293" t="inlineStr">
        <is>
          <t>46 / 64</t>
        </is>
      </c>
      <c r="L293" t="inlineStr">
        <is>
          <t>16 / 24</t>
        </is>
      </c>
      <c r="M293" s="5" t="n">
        <v>0.42</v>
      </c>
      <c r="N293" s="5" t="n">
        <v>0.4</v>
      </c>
    </row>
    <row r="294">
      <c r="A294" t="n">
        <v>293</v>
      </c>
      <c r="B294" t="n">
        <v>2015</v>
      </c>
      <c r="C294" t="inlineStr">
        <is>
          <t>Alexia Picciola</t>
        </is>
      </c>
      <c r="D294">
        <f>HYPERLINK("https://ota.tournamentsoftware.com/player-profile/91C9A734-3E6E-45CC-B46D-51BF9C9A7FC4", "Link")</f>
        <v/>
      </c>
      <c r="E294" s="3" t="n">
        <v>235.183</v>
      </c>
      <c r="F294" s="4" t="n">
        <v>18</v>
      </c>
      <c r="G294" t="inlineStr">
        <is>
          <t>Tennis Québec</t>
        </is>
      </c>
      <c r="H294" t="inlineStr">
        <is>
          <t>Tennis Montréal Excellence</t>
        </is>
      </c>
      <c r="I294" t="n">
        <v>31.5</v>
      </c>
      <c r="J294" s="4" t="n">
        <v>160</v>
      </c>
      <c r="K294" t="inlineStr">
        <is>
          <t>78 / 82</t>
        </is>
      </c>
      <c r="L294" t="inlineStr">
        <is>
          <t>31 / 16</t>
        </is>
      </c>
      <c r="M294" s="5" t="n">
        <v>0.49</v>
      </c>
      <c r="N294" s="5" t="n">
        <v>0.66</v>
      </c>
    </row>
    <row r="295">
      <c r="A295" t="n">
        <v>294</v>
      </c>
      <c r="B295" t="n">
        <v>2013</v>
      </c>
      <c r="C295" t="inlineStr">
        <is>
          <t>Hazel Sharma</t>
        </is>
      </c>
      <c r="D295">
        <f>HYPERLINK("https://ota.tournamentsoftware.com/player-profile/114D9BCA-C6DA-49E0-9F64-5FB54E5B0E3E", "Link")</f>
        <v/>
      </c>
      <c r="E295" s="3" t="n">
        <v>234.934</v>
      </c>
      <c r="F295" s="4" t="n">
        <v>17</v>
      </c>
      <c r="G295" t="inlineStr">
        <is>
          <t>British Columbia</t>
        </is>
      </c>
      <c r="H295" t="inlineStr">
        <is>
          <t>The Tennis Centre</t>
        </is>
      </c>
      <c r="I295" t="n">
        <v>32.5</v>
      </c>
      <c r="J295" s="4" t="n">
        <v>192</v>
      </c>
      <c r="K295" t="inlineStr">
        <is>
          <t>85 / 107</t>
        </is>
      </c>
      <c r="L295" t="inlineStr">
        <is>
          <t>16 / 12</t>
        </is>
      </c>
      <c r="M295" s="5" t="n">
        <v>0.44</v>
      </c>
      <c r="N295" s="5" t="n">
        <v>0.57</v>
      </c>
    </row>
    <row r="296">
      <c r="A296" t="n">
        <v>295</v>
      </c>
      <c r="B296" t="n">
        <v>2015</v>
      </c>
      <c r="C296" t="inlineStr">
        <is>
          <t>ESTHER HAO</t>
        </is>
      </c>
      <c r="D296">
        <f>HYPERLINK("https://ota.tournamentsoftware.com/player-profile/8EA584DE-3986-4803-A3AA-F96230F853A7", "Link")</f>
        <v/>
      </c>
      <c r="E296" s="3" t="n">
        <v>233.33</v>
      </c>
      <c r="F296" s="4" t="n">
        <v>19</v>
      </c>
      <c r="G296" t="inlineStr">
        <is>
          <t>Ontario Tennis Association</t>
        </is>
      </c>
      <c r="H296" t="inlineStr">
        <is>
          <t>Ontario Racquet Club</t>
        </is>
      </c>
      <c r="I296" t="n">
        <v>34.2</v>
      </c>
      <c r="J296" s="4" t="n">
        <v>215</v>
      </c>
      <c r="K296" t="inlineStr">
        <is>
          <t>131 / 84</t>
        </is>
      </c>
      <c r="L296" t="inlineStr">
        <is>
          <t>9 / 9</t>
        </is>
      </c>
      <c r="M296" s="5" t="n">
        <v>0.61</v>
      </c>
      <c r="N296" s="5" t="n">
        <v>0.5</v>
      </c>
    </row>
    <row r="297">
      <c r="A297" t="n">
        <v>296</v>
      </c>
      <c r="B297" t="n">
        <v>2013</v>
      </c>
      <c r="C297" t="inlineStr">
        <is>
          <t>Victoria Ta</t>
        </is>
      </c>
      <c r="D297">
        <f>HYPERLINK("https://ota.tournamentsoftware.com/player-profile/A9D6CF45-A7F1-427F-A376-2C40852D98CD", "Link")</f>
        <v/>
      </c>
      <c r="E297" s="3" t="n">
        <v>232.195</v>
      </c>
      <c r="F297" s="4" t="n">
        <v>18</v>
      </c>
      <c r="G297" t="inlineStr">
        <is>
          <t>Ontario Tennis Association</t>
        </is>
      </c>
      <c r="H297" t="inlineStr">
        <is>
          <t>Lambton Golf &amp; Country Club</t>
        </is>
      </c>
      <c r="I297" t="n">
        <v>32.7</v>
      </c>
      <c r="J297" s="4" t="n">
        <v>99</v>
      </c>
      <c r="K297" t="inlineStr">
        <is>
          <t>48 / 51</t>
        </is>
      </c>
      <c r="L297" t="inlineStr">
        <is>
          <t>13 / 11</t>
        </is>
      </c>
      <c r="M297" s="5" t="n">
        <v>0.48</v>
      </c>
      <c r="N297" s="5" t="n">
        <v>0.54</v>
      </c>
    </row>
    <row r="298">
      <c r="A298" t="n">
        <v>297</v>
      </c>
      <c r="B298" t="n">
        <v>2015</v>
      </c>
      <c r="C298" t="inlineStr">
        <is>
          <t>Navena Thelepan</t>
        </is>
      </c>
      <c r="D298">
        <f>HYPERLINK("https://ota.tournamentsoftware.com/player-profile/811C2EA5-51E7-4FDE-BF82-1DF3D9D0AD27", "Link")</f>
        <v/>
      </c>
      <c r="E298" s="3" t="n">
        <v>231.661</v>
      </c>
      <c r="F298" s="4" t="n">
        <v>37</v>
      </c>
      <c r="G298" t="inlineStr">
        <is>
          <t>Ontario Tennis Association</t>
        </is>
      </c>
      <c r="H298" t="inlineStr">
        <is>
          <t>Markham Tennis Club</t>
        </is>
      </c>
      <c r="I298" t="n">
        <v>35.6</v>
      </c>
      <c r="J298" s="4" t="n">
        <v>138</v>
      </c>
      <c r="K298" t="inlineStr">
        <is>
          <t>64 / 74</t>
        </is>
      </c>
      <c r="L298" t="inlineStr">
        <is>
          <t>20 / 37</t>
        </is>
      </c>
      <c r="M298" s="5" t="n">
        <v>0.46</v>
      </c>
      <c r="N298" s="5" t="n">
        <v>0.35</v>
      </c>
    </row>
    <row r="299">
      <c r="A299" t="n">
        <v>298</v>
      </c>
      <c r="B299" t="n">
        <v>2015</v>
      </c>
      <c r="C299" t="inlineStr">
        <is>
          <t>Lacey Isabella Ly</t>
        </is>
      </c>
      <c r="D299">
        <f>HYPERLINK("https://ota.tournamentsoftware.com/player-profile/878918D3-5C76-4815-A98A-1D1A49BFC21F", "Link")</f>
        <v/>
      </c>
      <c r="E299" s="3" t="n">
        <v>231.26</v>
      </c>
      <c r="F299" s="4" t="n">
        <v>12</v>
      </c>
      <c r="G299" t="inlineStr">
        <is>
          <t>British Columbia</t>
        </is>
      </c>
      <c r="H299" t="inlineStr">
        <is>
          <t>The Tennis Centre</t>
        </is>
      </c>
      <c r="I299" t="n">
        <v>30.8</v>
      </c>
      <c r="J299" s="4" t="n">
        <v>133</v>
      </c>
      <c r="K299" t="inlineStr">
        <is>
          <t>100 / 33</t>
        </is>
      </c>
      <c r="L299" t="inlineStr">
        <is>
          <t>23 / 9</t>
        </is>
      </c>
      <c r="M299" s="5" t="n">
        <v>0.75</v>
      </c>
      <c r="N299" s="5" t="n">
        <v>0.72</v>
      </c>
    </row>
    <row r="300">
      <c r="A300" t="n">
        <v>299</v>
      </c>
      <c r="B300" t="n">
        <v>2014</v>
      </c>
      <c r="C300" t="inlineStr">
        <is>
          <t>Candice YAO</t>
        </is>
      </c>
      <c r="D300">
        <f>HYPERLINK("https://ota.tournamentsoftware.com/player-profile/2EEE6D95-1504-4E36-A996-F48A3CD7FC03", "Link")</f>
        <v/>
      </c>
      <c r="E300" s="3" t="n">
        <v>231.193</v>
      </c>
      <c r="F300" s="4" t="n">
        <v>18</v>
      </c>
      <c r="G300" t="inlineStr">
        <is>
          <t>Ontario Tennis Association</t>
        </is>
      </c>
      <c r="H300" t="inlineStr">
        <is>
          <t>Richmondhill Golf &amp; Country Club</t>
        </is>
      </c>
      <c r="I300" t="n">
        <v>32.4</v>
      </c>
      <c r="J300" s="4" t="n">
        <v>90</v>
      </c>
      <c r="K300" t="inlineStr">
        <is>
          <t>40 / 50</t>
        </is>
      </c>
      <c r="L300" t="inlineStr">
        <is>
          <t>16 / 11</t>
        </is>
      </c>
      <c r="M300" s="5" t="n">
        <v>0.44</v>
      </c>
      <c r="N300" s="5" t="n">
        <v>0.59</v>
      </c>
    </row>
    <row r="301">
      <c r="A301" t="n">
        <v>300</v>
      </c>
      <c r="B301" t="n">
        <v>2014</v>
      </c>
      <c r="C301" t="inlineStr">
        <is>
          <t>Aryella Ainame Duran Khongwir</t>
        </is>
      </c>
      <c r="D301">
        <f>HYPERLINK("https://ota.tournamentsoftware.com/player-profile/6DB3D46F-3C74-400D-92A4-62CF55426936", "Link")</f>
        <v/>
      </c>
      <c r="E301" s="3" t="n">
        <v>230.594</v>
      </c>
      <c r="F301" s="4" t="n">
        <v>19</v>
      </c>
      <c r="G301" t="inlineStr">
        <is>
          <t>Ontario Tennis Association</t>
        </is>
      </c>
      <c r="H301" t="inlineStr">
        <is>
          <t>Stefanovic Tennis Academy</t>
        </is>
      </c>
      <c r="I301" t="n">
        <v>33.5</v>
      </c>
      <c r="J301" s="4" t="n">
        <v>174</v>
      </c>
      <c r="K301" t="inlineStr">
        <is>
          <t>50 / 124</t>
        </is>
      </c>
      <c r="L301" t="inlineStr">
        <is>
          <t>16 / 12</t>
        </is>
      </c>
      <c r="M301" s="5" t="n">
        <v>0.29</v>
      </c>
      <c r="N301" s="5" t="n">
        <v>0.57</v>
      </c>
    </row>
    <row r="302">
      <c r="A302" t="n">
        <v>301</v>
      </c>
      <c r="B302" t="n">
        <v>2014</v>
      </c>
      <c r="C302" t="inlineStr">
        <is>
          <t>Dora Zhang</t>
        </is>
      </c>
      <c r="D302">
        <f>HYPERLINK("https://ota.tournamentsoftware.com/player-profile/3772BD57-A73E-4652-86C8-E1885FE20DCF", "Link")</f>
        <v/>
      </c>
      <c r="E302" s="3" t="n">
        <v>230.464</v>
      </c>
      <c r="F302" s="4" t="n">
        <v>18</v>
      </c>
      <c r="G302" t="inlineStr">
        <is>
          <t>Ontario Tennis Association</t>
        </is>
      </c>
      <c r="H302" t="inlineStr">
        <is>
          <t>Toronto Tennis City</t>
        </is>
      </c>
      <c r="I302" t="n">
        <v>33.1</v>
      </c>
      <c r="J302" s="4" t="n">
        <v>50</v>
      </c>
      <c r="K302" t="inlineStr">
        <is>
          <t>36 / 14</t>
        </is>
      </c>
      <c r="L302" t="inlineStr">
        <is>
          <t>5 / 4</t>
        </is>
      </c>
      <c r="M302" s="5" t="n">
        <v>0.72</v>
      </c>
      <c r="N302" s="5" t="n">
        <v>0.5600000000000001</v>
      </c>
    </row>
    <row r="303">
      <c r="A303" t="n">
        <v>302</v>
      </c>
      <c r="B303" t="n">
        <v>2012</v>
      </c>
      <c r="C303" t="inlineStr">
        <is>
          <t>Saroop Randhawa</t>
        </is>
      </c>
      <c r="D303">
        <f>HYPERLINK("https://ota.tournamentsoftware.com/player-profile/5F710ADB-6059-4376-8917-220BAD95C9B2", "Link")</f>
        <v/>
      </c>
      <c r="E303" s="3" t="n">
        <v>228</v>
      </c>
      <c r="F303" s="4" t="n">
        <v>2</v>
      </c>
      <c r="G303" t="inlineStr">
        <is>
          <t>Ontario Tennis Association</t>
        </is>
      </c>
      <c r="H303" t="inlineStr">
        <is>
          <t>Advantage Tennis International at Veneto</t>
        </is>
      </c>
      <c r="I303" t="n">
        <v>21.8</v>
      </c>
      <c r="J303" s="4" t="n">
        <v>153</v>
      </c>
      <c r="K303" t="inlineStr">
        <is>
          <t>114 / 39</t>
        </is>
      </c>
      <c r="L303" t="inlineStr">
        <is>
          <t>5 / 0</t>
        </is>
      </c>
      <c r="M303" s="5" t="n">
        <v>0.75</v>
      </c>
      <c r="N303" s="5" t="n">
        <v>1</v>
      </c>
    </row>
    <row r="304">
      <c r="A304" t="n">
        <v>303</v>
      </c>
      <c r="B304" t="n">
        <v>2012</v>
      </c>
      <c r="C304" t="inlineStr">
        <is>
          <t>Eva Brisson</t>
        </is>
      </c>
      <c r="D304">
        <f>HYPERLINK("https://ota.tournamentsoftware.com/player-profile/BC349487-CEB9-4CB8-ABCF-1006DD0F69AA", "Link")</f>
        <v/>
      </c>
      <c r="E304" s="3" t="n">
        <v>227.99</v>
      </c>
      <c r="F304" s="4" t="n">
        <v>21</v>
      </c>
      <c r="G304" t="inlineStr">
        <is>
          <t>Tennis Québec</t>
        </is>
      </c>
      <c r="H304" t="inlineStr">
        <is>
          <t>Club Sportif Côte-de-Liesse</t>
        </is>
      </c>
      <c r="I304" t="n">
        <v>32.9</v>
      </c>
      <c r="J304" s="4" t="n">
        <v>136</v>
      </c>
      <c r="K304" t="inlineStr">
        <is>
          <t>55 / 81</t>
        </is>
      </c>
      <c r="L304" t="inlineStr">
        <is>
          <t>9 / 13</t>
        </is>
      </c>
      <c r="M304" s="5" t="n">
        <v>0.4</v>
      </c>
      <c r="N304" s="5" t="n">
        <v>0.41</v>
      </c>
    </row>
    <row r="305">
      <c r="A305" t="n">
        <v>304</v>
      </c>
      <c r="B305" t="n">
        <v>2012</v>
      </c>
      <c r="C305" t="inlineStr">
        <is>
          <t>Louanna Perron</t>
        </is>
      </c>
      <c r="D305">
        <f>HYPERLINK("https://ota.tournamentsoftware.com/player-profile/0D5BD355-F71F-4A8A-B269-0D225B56C809", "Link")</f>
        <v/>
      </c>
      <c r="E305" s="3" t="n">
        <v>227.848</v>
      </c>
      <c r="F305" s="4" t="n">
        <v>9</v>
      </c>
      <c r="G305" t="inlineStr">
        <is>
          <t>Tennis Québec</t>
        </is>
      </c>
      <c r="H305" t="inlineStr">
        <is>
          <t>Tennis 13 / Académie Ménard et associé</t>
        </is>
      </c>
      <c r="I305" t="n">
        <v>33.3</v>
      </c>
      <c r="J305" s="4" t="n">
        <v>20</v>
      </c>
      <c r="K305" t="inlineStr">
        <is>
          <t>9 / 11</t>
        </is>
      </c>
      <c r="L305" t="inlineStr">
        <is>
          <t>3 / 5</t>
        </is>
      </c>
      <c r="M305" s="5" t="n">
        <v>0.45</v>
      </c>
      <c r="N305" s="5" t="n">
        <v>0.38</v>
      </c>
    </row>
    <row r="306">
      <c r="A306" t="n">
        <v>305</v>
      </c>
      <c r="B306" t="n">
        <v>2014</v>
      </c>
      <c r="C306" t="inlineStr">
        <is>
          <t>Alaia Grace Serravalle</t>
        </is>
      </c>
      <c r="D306">
        <f>HYPERLINK("https://ota.tournamentsoftware.com/player-profile/EDBCEC0C-45DE-4DFD-B17A-C176B306FC97", "Link")</f>
        <v/>
      </c>
      <c r="E306" s="3" t="n">
        <v>224.164</v>
      </c>
      <c r="F306" s="4" t="n">
        <v>22</v>
      </c>
      <c r="G306" t="inlineStr">
        <is>
          <t>Ontario Tennis Association</t>
        </is>
      </c>
      <c r="H306" t="inlineStr">
        <is>
          <t>Youngs Sportsplex</t>
        </is>
      </c>
      <c r="I306" t="n">
        <v>33.5</v>
      </c>
      <c r="J306" s="4" t="n">
        <v>60</v>
      </c>
      <c r="K306" t="inlineStr">
        <is>
          <t>34 / 26</t>
        </is>
      </c>
      <c r="L306" t="inlineStr">
        <is>
          <t>22 / 17</t>
        </is>
      </c>
      <c r="M306" s="5" t="n">
        <v>0.57</v>
      </c>
      <c r="N306" s="5" t="n">
        <v>0.5600000000000001</v>
      </c>
    </row>
    <row r="307">
      <c r="A307" t="n">
        <v>306</v>
      </c>
      <c r="B307" t="n">
        <v>2015</v>
      </c>
      <c r="C307" t="inlineStr">
        <is>
          <t>MASAL ELA YAZICI</t>
        </is>
      </c>
      <c r="D307">
        <f>HYPERLINK("https://ota.tournamentsoftware.com/player-profile/8556435C-B5F1-47A5-8C4A-46AF5B800D78", "Link")</f>
        <v/>
      </c>
      <c r="E307" s="3" t="n">
        <v>223.946</v>
      </c>
      <c r="F307" s="4" t="n">
        <v>18</v>
      </c>
      <c r="G307" t="inlineStr">
        <is>
          <t>Ontario Tennis Association</t>
        </is>
      </c>
      <c r="H307" t="inlineStr">
        <is>
          <t>Mayfair West Fitness &amp; Racquet Club</t>
        </is>
      </c>
      <c r="I307" t="n">
        <v>32.9</v>
      </c>
      <c r="J307" s="4" t="n">
        <v>54</v>
      </c>
      <c r="K307" t="inlineStr">
        <is>
          <t>35 / 19</t>
        </is>
      </c>
      <c r="L307" t="inlineStr">
        <is>
          <t>27 / 12</t>
        </is>
      </c>
      <c r="M307" s="5" t="n">
        <v>0.65</v>
      </c>
      <c r="N307" s="5" t="n">
        <v>0.6899999999999999</v>
      </c>
    </row>
    <row r="308">
      <c r="A308" t="n">
        <v>307</v>
      </c>
      <c r="B308" t="n">
        <v>2013</v>
      </c>
      <c r="C308" t="inlineStr">
        <is>
          <t>Makayla Najjar</t>
        </is>
      </c>
      <c r="D308">
        <f>HYPERLINK("https://ota.tournamentsoftware.com/player-profile/A931D3E2-A84F-4018-9B2A-A1664811863E", "Link")</f>
        <v/>
      </c>
      <c r="E308" s="3" t="n">
        <v>219.584</v>
      </c>
      <c r="F308" s="4" t="n">
        <v>12</v>
      </c>
      <c r="G308" t="inlineStr">
        <is>
          <t>Ontario Tennis Association</t>
        </is>
      </c>
      <c r="H308" t="inlineStr">
        <is>
          <t>Premier Racquet Clubs – Mississauga</t>
        </is>
      </c>
      <c r="I308" t="n">
        <v>33.1</v>
      </c>
      <c r="J308" s="4" t="n">
        <v>89</v>
      </c>
      <c r="K308" t="inlineStr">
        <is>
          <t>60 / 29</t>
        </is>
      </c>
      <c r="L308" t="inlineStr">
        <is>
          <t>17 / 10</t>
        </is>
      </c>
      <c r="M308" s="5" t="n">
        <v>0.67</v>
      </c>
      <c r="N308" s="5" t="n">
        <v>0.63</v>
      </c>
    </row>
    <row r="309">
      <c r="A309" t="n">
        <v>308</v>
      </c>
      <c r="B309" t="n">
        <v>2015</v>
      </c>
      <c r="C309" t="inlineStr">
        <is>
          <t>Lydia Huang</t>
        </is>
      </c>
      <c r="D309">
        <f>HYPERLINK("https://ota.tournamentsoftware.com/player-profile/C398C976-6D88-4D76-B532-8E986C6FF0EA", "Link")</f>
        <v/>
      </c>
      <c r="E309" s="3" t="n">
        <v>219.184</v>
      </c>
      <c r="F309" s="4" t="n">
        <v>26</v>
      </c>
      <c r="G309" t="inlineStr">
        <is>
          <t>Ontario Tennis Association</t>
        </is>
      </c>
      <c r="H309" t="inlineStr">
        <is>
          <t>The Supreme Court Tennis Club</t>
        </is>
      </c>
      <c r="I309" t="n">
        <v>33.4</v>
      </c>
      <c r="J309" s="4" t="n">
        <v>95</v>
      </c>
      <c r="K309" t="inlineStr">
        <is>
          <t>57 / 38</t>
        </is>
      </c>
      <c r="L309" t="inlineStr">
        <is>
          <t>28 / 20</t>
        </is>
      </c>
      <c r="M309" s="5" t="n">
        <v>0.6</v>
      </c>
      <c r="N309" s="5" t="n">
        <v>0.58</v>
      </c>
    </row>
    <row r="310">
      <c r="A310" t="n">
        <v>309</v>
      </c>
      <c r="B310" t="n">
        <v>2012</v>
      </c>
      <c r="C310" t="inlineStr">
        <is>
          <t>Charlotte Gal</t>
        </is>
      </c>
      <c r="D310">
        <f>HYPERLINK("https://ota.tournamentsoftware.com/player-profile/EF0AF614-E6CE-4E3C-9FC4-7EF8A5EB6B57", "Link")</f>
        <v/>
      </c>
      <c r="E310" s="3" t="n">
        <v>218.581</v>
      </c>
      <c r="F310" s="4" t="n">
        <v>3</v>
      </c>
      <c r="G310" t="inlineStr">
        <is>
          <t>Tennis Nova Scotia</t>
        </is>
      </c>
      <c r="H310" t="inlineStr">
        <is>
          <t>HEADSTART</t>
        </is>
      </c>
      <c r="I310" t="n">
        <v>37.2</v>
      </c>
      <c r="J310" s="4" t="n">
        <v>24</v>
      </c>
      <c r="K310" t="inlineStr">
        <is>
          <t>6 / 18</t>
        </is>
      </c>
      <c r="L310" t="inlineStr">
        <is>
          <t>2 / 12</t>
        </is>
      </c>
      <c r="M310" s="5" t="n">
        <v>0.25</v>
      </c>
      <c r="N310" s="5" t="n">
        <v>0.14</v>
      </c>
    </row>
    <row r="311">
      <c r="A311" t="n">
        <v>310</v>
      </c>
      <c r="B311" t="n">
        <v>2013</v>
      </c>
      <c r="C311" t="inlineStr">
        <is>
          <t>Helena Shengyi Chen</t>
        </is>
      </c>
      <c r="D311">
        <f>HYPERLINK("https://ota.tournamentsoftware.com/player-profile/097D6397-0826-4C15-948E-B983C1D748F4", "Link")</f>
        <v/>
      </c>
      <c r="E311" s="3" t="n">
        <v>218.438</v>
      </c>
      <c r="F311" s="4" t="n">
        <v>16</v>
      </c>
      <c r="G311" t="inlineStr">
        <is>
          <t>British Columbia</t>
        </is>
      </c>
      <c r="H311" t="inlineStr">
        <is>
          <t>Tennis BC Hub @ Richmond</t>
        </is>
      </c>
      <c r="I311" t="n">
        <v>32.8</v>
      </c>
      <c r="J311" s="4" t="n">
        <v>118</v>
      </c>
      <c r="K311" t="inlineStr">
        <is>
          <t>50 / 68</t>
        </is>
      </c>
      <c r="L311" t="inlineStr">
        <is>
          <t>13 / 17</t>
        </is>
      </c>
      <c r="M311" s="5" t="n">
        <v>0.42</v>
      </c>
      <c r="N311" s="5" t="n">
        <v>0.43</v>
      </c>
    </row>
    <row r="312">
      <c r="A312" t="n">
        <v>311</v>
      </c>
      <c r="B312" t="n">
        <v>2013</v>
      </c>
      <c r="C312" t="inlineStr">
        <is>
          <t>Léa Crépault</t>
        </is>
      </c>
      <c r="D312">
        <f>HYPERLINK("https://ota.tournamentsoftware.com/player-profile/A3D2A82D-C6E8-410C-A1B3-E5DC3B845B7A", "Link")</f>
        <v/>
      </c>
      <c r="E312" s="3" t="n">
        <v>217.722</v>
      </c>
      <c r="F312" s="4" t="n">
        <v>20</v>
      </c>
      <c r="G312" t="inlineStr">
        <is>
          <t>Tennis Québec</t>
        </is>
      </c>
      <c r="H312" t="inlineStr">
        <is>
          <t>EB Tennis inc.</t>
        </is>
      </c>
      <c r="I312" t="n">
        <v>34.2</v>
      </c>
      <c r="J312" s="4" t="n">
        <v>155</v>
      </c>
      <c r="K312" t="inlineStr">
        <is>
          <t>44 / 111</t>
        </is>
      </c>
      <c r="L312" t="inlineStr">
        <is>
          <t>8 / 12</t>
        </is>
      </c>
      <c r="M312" s="5" t="n">
        <v>0.28</v>
      </c>
      <c r="N312" s="5" t="n">
        <v>0.4</v>
      </c>
    </row>
    <row r="313">
      <c r="A313" t="n">
        <v>312</v>
      </c>
      <c r="B313" t="n">
        <v>2012</v>
      </c>
      <c r="C313" t="inlineStr">
        <is>
          <t>Shrreya Elkturi</t>
        </is>
      </c>
      <c r="D313">
        <f>HYPERLINK("https://ota.tournamentsoftware.com/player-profile/1A8DA0C1-51FB-48B8-8AED-D37DAB186E95", "Link")</f>
        <v/>
      </c>
      <c r="E313" s="3" t="n">
        <v>216.761</v>
      </c>
      <c r="F313" s="4" t="n">
        <v>20</v>
      </c>
      <c r="G313" t="inlineStr">
        <is>
          <t>Ontario Tennis Association</t>
        </is>
      </c>
      <c r="H313" t="inlineStr">
        <is>
          <t>No Club</t>
        </is>
      </c>
      <c r="I313" t="n">
        <v>33.1</v>
      </c>
      <c r="J313" s="4" t="n">
        <v>83</v>
      </c>
      <c r="K313" t="inlineStr">
        <is>
          <t>30 / 53</t>
        </is>
      </c>
      <c r="L313" t="inlineStr">
        <is>
          <t>15 / 15</t>
        </is>
      </c>
      <c r="M313" s="5" t="n">
        <v>0.36</v>
      </c>
      <c r="N313" s="5" t="n">
        <v>0.5</v>
      </c>
    </row>
    <row r="314">
      <c r="A314" t="n">
        <v>313</v>
      </c>
      <c r="B314" t="n">
        <v>2014</v>
      </c>
      <c r="C314" t="inlineStr">
        <is>
          <t>Skylar Isabelle JOHNSTON</t>
        </is>
      </c>
      <c r="D314">
        <f>HYPERLINK("https://ota.tournamentsoftware.com/player-profile/18CCEC3F-12DA-4A55-A300-393E64FB4F6E", "Link")</f>
        <v/>
      </c>
      <c r="E314" s="3" t="n">
        <v>216.396</v>
      </c>
      <c r="F314" s="4" t="n">
        <v>11</v>
      </c>
      <c r="G314" t="inlineStr">
        <is>
          <t>Tennis Nova Scotia</t>
        </is>
      </c>
      <c r="H314" t="inlineStr">
        <is>
          <t>Gordon Hughes Tennis Club</t>
        </is>
      </c>
      <c r="I314" t="n">
        <v>33.5</v>
      </c>
      <c r="J314" s="4" t="n">
        <v>93</v>
      </c>
      <c r="K314" t="inlineStr">
        <is>
          <t>46 / 47</t>
        </is>
      </c>
      <c r="L314" t="inlineStr">
        <is>
          <t>25 / 14</t>
        </is>
      </c>
      <c r="M314" s="5" t="n">
        <v>0.49</v>
      </c>
      <c r="N314" s="5" t="n">
        <v>0.64</v>
      </c>
    </row>
    <row r="315">
      <c r="A315" t="n">
        <v>314</v>
      </c>
      <c r="B315" t="n">
        <v>2015</v>
      </c>
      <c r="C315" t="inlineStr">
        <is>
          <t>Daniella Lynne Lee</t>
        </is>
      </c>
      <c r="D315">
        <f>HYPERLINK("https://ota.tournamentsoftware.com/player-profile/92FC49CB-246B-48E6-ABC3-903AA780449F", "Link")</f>
        <v/>
      </c>
      <c r="E315" s="3" t="n">
        <v>215.601</v>
      </c>
      <c r="F315" s="4" t="n">
        <v>28</v>
      </c>
      <c r="G315" t="inlineStr">
        <is>
          <t>British Columbia</t>
        </is>
      </c>
      <c r="H315" t="inlineStr">
        <is>
          <t>Arbutus Club</t>
        </is>
      </c>
      <c r="I315" t="n">
        <v>32.4</v>
      </c>
      <c r="J315" s="4" t="n">
        <v>127</v>
      </c>
      <c r="K315" t="inlineStr">
        <is>
          <t>65 / 62</t>
        </is>
      </c>
      <c r="L315" t="inlineStr">
        <is>
          <t>26 / 23</t>
        </is>
      </c>
      <c r="M315" s="5" t="n">
        <v>0.51</v>
      </c>
      <c r="N315" s="5" t="n">
        <v>0.53</v>
      </c>
    </row>
    <row r="316">
      <c r="A316" t="n">
        <v>315</v>
      </c>
      <c r="B316" t="n">
        <v>2015</v>
      </c>
      <c r="C316" t="inlineStr">
        <is>
          <t>Yasmine Maazouz</t>
        </is>
      </c>
      <c r="D316">
        <f>HYPERLINK("https://ota.tournamentsoftware.com/player-profile/004E04F8-71A7-4C1F-B42C-805F1590C456", "Link")</f>
        <v/>
      </c>
      <c r="E316" s="3" t="n">
        <v>215.212</v>
      </c>
      <c r="F316" s="4" t="n">
        <v>8</v>
      </c>
      <c r="G316" t="inlineStr">
        <is>
          <t>Tennis Québec</t>
        </is>
      </c>
      <c r="H316" t="inlineStr">
        <is>
          <t>Tennis Montréal Excellence</t>
        </is>
      </c>
      <c r="I316" t="n">
        <v>31.3</v>
      </c>
      <c r="J316" s="4" t="n">
        <v>115</v>
      </c>
      <c r="K316" t="inlineStr">
        <is>
          <t>69 / 46</t>
        </is>
      </c>
      <c r="L316" t="inlineStr">
        <is>
          <t>20 / 7</t>
        </is>
      </c>
      <c r="M316" s="5" t="n">
        <v>0.6</v>
      </c>
      <c r="N316" s="5" t="n">
        <v>0.74</v>
      </c>
    </row>
    <row r="317">
      <c r="A317" t="n">
        <v>316</v>
      </c>
      <c r="B317" t="n">
        <v>2013</v>
      </c>
      <c r="C317" t="inlineStr">
        <is>
          <t>Annabelle Chen</t>
        </is>
      </c>
      <c r="D317">
        <f>HYPERLINK("https://ota.tournamentsoftware.com/player-profile/E532A343-867C-4B97-BCB3-998A28EC84A8", "Link")</f>
        <v/>
      </c>
      <c r="E317" s="3" t="n">
        <v>212.416</v>
      </c>
      <c r="F317" s="4" t="n">
        <v>9</v>
      </c>
      <c r="G317" t="inlineStr">
        <is>
          <t>British Columbia</t>
        </is>
      </c>
      <c r="H317" t="inlineStr">
        <is>
          <t>UBC Tennis Centre</t>
        </is>
      </c>
      <c r="I317" t="n">
        <v>32</v>
      </c>
      <c r="J317" s="4" t="n">
        <v>152</v>
      </c>
      <c r="K317" t="inlineStr">
        <is>
          <t>84 / 68</t>
        </is>
      </c>
      <c r="L317" t="inlineStr">
        <is>
          <t>0 / 4</t>
        </is>
      </c>
      <c r="M317" s="5" t="n">
        <v>0.55</v>
      </c>
      <c r="N317" s="5" t="n">
        <v>0</v>
      </c>
    </row>
    <row r="318">
      <c r="A318" t="n">
        <v>317</v>
      </c>
      <c r="B318" t="n">
        <v>2015</v>
      </c>
      <c r="C318" t="inlineStr">
        <is>
          <t>Kiyara Dinuli Hinidumarachchi</t>
        </is>
      </c>
      <c r="D318">
        <f>HYPERLINK("https://ota.tournamentsoftware.com/player-profile/FD2638E4-B06D-478E-9F5A-FE51B9EC8DF8", "Link")</f>
        <v/>
      </c>
      <c r="E318" s="3" t="n">
        <v>211.944</v>
      </c>
      <c r="F318" s="4" t="n">
        <v>17</v>
      </c>
      <c r="G318" t="inlineStr">
        <is>
          <t>Ontario Tennis Association</t>
        </is>
      </c>
      <c r="H318" t="inlineStr">
        <is>
          <t>Sarnia Tennis Club</t>
        </is>
      </c>
      <c r="I318" t="inlineStr">
        <is>
          <t>unavailable</t>
        </is>
      </c>
      <c r="J318" s="4" t="n">
        <v>153</v>
      </c>
      <c r="K318" t="inlineStr">
        <is>
          <t>94 / 59</t>
        </is>
      </c>
      <c r="L318" t="inlineStr">
        <is>
          <t>9 / 13</t>
        </is>
      </c>
      <c r="M318" s="5" t="n">
        <v>0.61</v>
      </c>
      <c r="N318" s="5" t="n">
        <v>0.41</v>
      </c>
    </row>
    <row r="319">
      <c r="A319" t="n">
        <v>318</v>
      </c>
      <c r="B319" t="n">
        <v>2012</v>
      </c>
      <c r="C319" t="inlineStr">
        <is>
          <t>GURMEHR KAUR</t>
        </is>
      </c>
      <c r="D319">
        <f>HYPERLINK("https://ota.tournamentsoftware.com/player-profile/2C69CAA6-FCC8-49BC-ACA2-32F5C15717ED", "Link")</f>
        <v/>
      </c>
      <c r="E319" s="3" t="n">
        <v>210.416</v>
      </c>
      <c r="F319" s="4" t="n">
        <v>20</v>
      </c>
      <c r="G319" t="inlineStr">
        <is>
          <t>British Columbia</t>
        </is>
      </c>
      <c r="H319" t="inlineStr">
        <is>
          <t>Newton Tennis Club</t>
        </is>
      </c>
      <c r="I319" t="n">
        <v>32.6</v>
      </c>
      <c r="J319" s="4" t="n">
        <v>177</v>
      </c>
      <c r="K319" t="inlineStr">
        <is>
          <t>77 / 100</t>
        </is>
      </c>
      <c r="L319" t="inlineStr">
        <is>
          <t>17 / 21</t>
        </is>
      </c>
      <c r="M319" s="5" t="n">
        <v>0.44</v>
      </c>
      <c r="N319" s="5" t="n">
        <v>0.45</v>
      </c>
    </row>
    <row r="320">
      <c r="A320" t="n">
        <v>319</v>
      </c>
      <c r="B320" t="n">
        <v>2014</v>
      </c>
      <c r="C320" t="inlineStr">
        <is>
          <t>Sarah Gottlieb</t>
        </is>
      </c>
      <c r="D320">
        <f>HYPERLINK("https://ota.tournamentsoftware.com/player-profile/BD51254A-E036-424C-B89A-FB47A73C0DC5", "Link")</f>
        <v/>
      </c>
      <c r="E320" s="3" t="n">
        <v>209.5</v>
      </c>
      <c r="F320" s="4" t="n">
        <v>6</v>
      </c>
      <c r="G320" t="inlineStr">
        <is>
          <t>Tennis Québec</t>
        </is>
      </c>
      <c r="H320" t="inlineStr">
        <is>
          <t>Tennis 13</t>
        </is>
      </c>
      <c r="I320" t="n">
        <v>33.5</v>
      </c>
      <c r="J320" s="4" t="n">
        <v>92</v>
      </c>
      <c r="K320" t="inlineStr">
        <is>
          <t>46 / 46</t>
        </is>
      </c>
      <c r="L320" t="inlineStr">
        <is>
          <t>1 / 2</t>
        </is>
      </c>
      <c r="M320" s="5" t="n">
        <v>0.5</v>
      </c>
      <c r="N320" s="5" t="n">
        <v>0.33</v>
      </c>
    </row>
    <row r="321">
      <c r="A321" t="n">
        <v>320</v>
      </c>
      <c r="B321" t="n">
        <v>2015</v>
      </c>
      <c r="C321" t="inlineStr">
        <is>
          <t>Sofia Twynam</t>
        </is>
      </c>
      <c r="D321">
        <f>HYPERLINK("https://ota.tournamentsoftware.com/player-profile/025F0929-F490-4440-8CB6-08E8D1F59F08", "Link")</f>
        <v/>
      </c>
      <c r="E321" s="3" t="n">
        <v>209.039</v>
      </c>
      <c r="F321" s="4" t="n">
        <v>16</v>
      </c>
      <c r="G321" t="inlineStr">
        <is>
          <t>Tennis Québec</t>
        </is>
      </c>
      <c r="H321" t="inlineStr">
        <is>
          <t>SANI Sport</t>
        </is>
      </c>
      <c r="I321" t="n">
        <v>32.2</v>
      </c>
      <c r="J321" s="4" t="n">
        <v>127</v>
      </c>
      <c r="K321" t="inlineStr">
        <is>
          <t>69 / 58</t>
        </is>
      </c>
      <c r="L321" t="inlineStr">
        <is>
          <t>14 / 15</t>
        </is>
      </c>
      <c r="M321" s="5" t="n">
        <v>0.54</v>
      </c>
      <c r="N321" s="5" t="n">
        <v>0.48</v>
      </c>
    </row>
    <row r="322">
      <c r="A322" t="n">
        <v>321</v>
      </c>
      <c r="B322" t="n">
        <v>2014</v>
      </c>
      <c r="C322" t="inlineStr">
        <is>
          <t>Esabel Liu</t>
        </is>
      </c>
      <c r="D322">
        <f>HYPERLINK("https://ota.tournamentsoftware.com/player-profile/03274A3B-556F-4321-880B-2AF255E6A817", "Link")</f>
        <v/>
      </c>
      <c r="E322" s="3" t="n">
        <v>208.86</v>
      </c>
      <c r="F322" s="4" t="n">
        <v>21</v>
      </c>
      <c r="G322" t="inlineStr">
        <is>
          <t>British Columbia</t>
        </is>
      </c>
      <c r="H322" t="inlineStr">
        <is>
          <t>North Vancouver Tennis Centre</t>
        </is>
      </c>
      <c r="I322" t="n">
        <v>30.1</v>
      </c>
      <c r="J322" s="4" t="n">
        <v>226</v>
      </c>
      <c r="K322" t="inlineStr">
        <is>
          <t>140 / 86</t>
        </is>
      </c>
      <c r="L322" t="inlineStr">
        <is>
          <t>32 / 20</t>
        </is>
      </c>
      <c r="M322" s="5" t="n">
        <v>0.62</v>
      </c>
      <c r="N322" s="5" t="n">
        <v>0.62</v>
      </c>
    </row>
    <row r="323">
      <c r="A323" t="n">
        <v>322</v>
      </c>
      <c r="B323" t="n">
        <v>2014</v>
      </c>
      <c r="C323" t="inlineStr">
        <is>
          <t>Vida Jeftic</t>
        </is>
      </c>
      <c r="D323">
        <f>HYPERLINK("https://ota.tournamentsoftware.com/player-profile/5A42C908-572E-4E42-A8CB-609FCF083DE9", "Link")</f>
        <v/>
      </c>
      <c r="E323" s="3" t="n">
        <v>206.56</v>
      </c>
      <c r="F323" s="4" t="n">
        <v>10</v>
      </c>
      <c r="G323" t="inlineStr">
        <is>
          <t>Ontario Tennis Association</t>
        </is>
      </c>
      <c r="H323" t="inlineStr">
        <is>
          <t>Parkside Tennis Club</t>
        </is>
      </c>
      <c r="I323" t="n">
        <v>30.9</v>
      </c>
      <c r="J323" s="4" t="n">
        <v>38</v>
      </c>
      <c r="K323" t="inlineStr">
        <is>
          <t>27 / 11</t>
        </is>
      </c>
      <c r="L323" t="inlineStr">
        <is>
          <t>11 / 4</t>
        </is>
      </c>
      <c r="M323" s="5" t="n">
        <v>0.71</v>
      </c>
      <c r="N323" s="5" t="n">
        <v>0.73</v>
      </c>
    </row>
    <row r="324">
      <c r="A324" t="n">
        <v>323</v>
      </c>
      <c r="B324" t="n">
        <v>2014</v>
      </c>
      <c r="C324" t="inlineStr">
        <is>
          <t>Alexandra Strgacic</t>
        </is>
      </c>
      <c r="D324">
        <f>HYPERLINK("https://ota.tournamentsoftware.com/player-profile/C809B120-C1B7-4F85-B411-257E3DC9B63B", "Link")</f>
        <v/>
      </c>
      <c r="E324" s="3" t="n">
        <v>205.183</v>
      </c>
      <c r="F324" s="4" t="n">
        <v>7</v>
      </c>
      <c r="G324" t="inlineStr">
        <is>
          <t>Ontario Tennis Association</t>
        </is>
      </c>
      <c r="H324" t="inlineStr">
        <is>
          <t>Advantage Tennis International at Veneto</t>
        </is>
      </c>
      <c r="I324" t="n">
        <v>33.5</v>
      </c>
      <c r="J324" s="4" t="n">
        <v>165</v>
      </c>
      <c r="K324" t="inlineStr">
        <is>
          <t>96 / 69</t>
        </is>
      </c>
      <c r="L324" t="inlineStr">
        <is>
          <t>3 / 5</t>
        </is>
      </c>
      <c r="M324" s="5" t="n">
        <v>0.58</v>
      </c>
      <c r="N324" s="5" t="n">
        <v>0.38</v>
      </c>
    </row>
    <row r="325">
      <c r="A325" t="n">
        <v>324</v>
      </c>
      <c r="B325" t="n">
        <v>2014</v>
      </c>
      <c r="C325" t="inlineStr">
        <is>
          <t>Freya Jiaxin He</t>
        </is>
      </c>
      <c r="D325">
        <f>HYPERLINK("https://ota.tournamentsoftware.com/player-profile/8C1C07F2-C769-4A85-8385-40B14C9CD709", "Link")</f>
        <v/>
      </c>
      <c r="E325" s="3" t="n">
        <v>203.592</v>
      </c>
      <c r="F325" s="4" t="n">
        <v>6</v>
      </c>
      <c r="G325" t="inlineStr">
        <is>
          <t>Tennis Prince Edward Island</t>
        </is>
      </c>
      <c r="H325" t="inlineStr">
        <is>
          <t>Charlottetown Recreation Tennis Group</t>
        </is>
      </c>
      <c r="I325" t="n">
        <v>32</v>
      </c>
      <c r="J325" s="4" t="n">
        <v>102</v>
      </c>
      <c r="K325" t="inlineStr">
        <is>
          <t>56 / 46</t>
        </is>
      </c>
      <c r="L325" t="inlineStr">
        <is>
          <t>17 / 7</t>
        </is>
      </c>
      <c r="M325" s="5" t="n">
        <v>0.55</v>
      </c>
      <c r="N325" s="5" t="n">
        <v>0.71</v>
      </c>
    </row>
    <row r="326">
      <c r="A326" t="n">
        <v>325</v>
      </c>
      <c r="B326" t="n">
        <v>2012</v>
      </c>
      <c r="C326" t="inlineStr">
        <is>
          <t>Victoria Trempe</t>
        </is>
      </c>
      <c r="D326">
        <f>HYPERLINK("https://ota.tournamentsoftware.com/player-profile/90EB2857-D907-47BD-ABB6-AAED21876912", "Link")</f>
        <v/>
      </c>
      <c r="E326" s="3" t="n">
        <v>203.573</v>
      </c>
      <c r="F326" s="4" t="n">
        <v>8</v>
      </c>
      <c r="G326" t="inlineStr">
        <is>
          <t>Tennis Québec</t>
        </is>
      </c>
      <c r="H326" t="inlineStr">
        <is>
          <t>Club Sportif Côte-de-Liesse</t>
        </is>
      </c>
      <c r="I326" t="n">
        <v>34</v>
      </c>
      <c r="J326" s="4" t="n">
        <v>122</v>
      </c>
      <c r="K326" t="inlineStr">
        <is>
          <t>45 / 77</t>
        </is>
      </c>
      <c r="L326" t="inlineStr">
        <is>
          <t>2 / 4</t>
        </is>
      </c>
      <c r="M326" s="5" t="n">
        <v>0.37</v>
      </c>
      <c r="N326" s="5" t="n">
        <v>0.33</v>
      </c>
    </row>
    <row r="327">
      <c r="A327" t="n">
        <v>326</v>
      </c>
      <c r="B327" t="n">
        <v>2014</v>
      </c>
      <c r="C327" t="inlineStr">
        <is>
          <t>Mila Alexandra Voros</t>
        </is>
      </c>
      <c r="D327">
        <f>HYPERLINK("https://ota.tournamentsoftware.com/player-profile/96155B79-5199-481D-8AF1-A174FA860401", "Link")</f>
        <v/>
      </c>
      <c r="E327" s="3" t="n">
        <v>203.548</v>
      </c>
      <c r="F327" s="4" t="n">
        <v>15</v>
      </c>
      <c r="G327" t="inlineStr">
        <is>
          <t>Ontario Tennis Association</t>
        </is>
      </c>
      <c r="H327" t="inlineStr">
        <is>
          <t>GSM Tennis Club</t>
        </is>
      </c>
      <c r="I327" t="n">
        <v>34.9</v>
      </c>
      <c r="J327" s="4" t="n">
        <v>134</v>
      </c>
      <c r="K327" t="inlineStr">
        <is>
          <t>58 / 76</t>
        </is>
      </c>
      <c r="L327" t="inlineStr">
        <is>
          <t>7 / 13</t>
        </is>
      </c>
      <c r="M327" s="5" t="n">
        <v>0.43</v>
      </c>
      <c r="N327" s="5" t="n">
        <v>0.35</v>
      </c>
    </row>
    <row r="328">
      <c r="A328" t="n">
        <v>327</v>
      </c>
      <c r="B328" t="n">
        <v>2015</v>
      </c>
      <c r="C328" t="inlineStr">
        <is>
          <t>Hannah D'Souza</t>
        </is>
      </c>
      <c r="D328">
        <f>HYPERLINK("https://ota.tournamentsoftware.com/player-profile/6516E6BE-4D11-4CDB-8F62-FFE106E8A899", "Link")</f>
        <v/>
      </c>
      <c r="E328" s="3" t="n">
        <v>202.773</v>
      </c>
      <c r="F328" s="4" t="n">
        <v>28</v>
      </c>
      <c r="G328" t="inlineStr">
        <is>
          <t>Ontario Tennis Association</t>
        </is>
      </c>
      <c r="H328" t="inlineStr">
        <is>
          <t>No Club</t>
        </is>
      </c>
      <c r="I328" t="n">
        <v>34.6</v>
      </c>
      <c r="J328" s="4" t="n">
        <v>152</v>
      </c>
      <c r="K328" t="inlineStr">
        <is>
          <t>60 / 92</t>
        </is>
      </c>
      <c r="L328" t="inlineStr">
        <is>
          <t>16 / 23</t>
        </is>
      </c>
      <c r="M328" s="5" t="n">
        <v>0.39</v>
      </c>
      <c r="N328" s="5" t="n">
        <v>0.41</v>
      </c>
    </row>
    <row r="329">
      <c r="A329" t="n">
        <v>328</v>
      </c>
      <c r="B329" t="n">
        <v>2012</v>
      </c>
      <c r="C329" t="inlineStr">
        <is>
          <t>Harsimran Kaur Sandhu</t>
        </is>
      </c>
      <c r="D329">
        <f>HYPERLINK("https://ota.tournamentsoftware.com/player-profile/10345BBC-2CC8-4DA1-AA88-2730495B6CB8", "Link")</f>
        <v/>
      </c>
      <c r="E329" s="3" t="n">
        <v>201.384</v>
      </c>
      <c r="F329" s="4" t="n">
        <v>22</v>
      </c>
      <c r="G329" t="inlineStr">
        <is>
          <t>Ontario Tennis Association</t>
        </is>
      </c>
      <c r="H329" t="inlineStr">
        <is>
          <t>Premier Racquet Clubs – Mississauga</t>
        </is>
      </c>
      <c r="I329" t="inlineStr">
        <is>
          <t>unavailable</t>
        </is>
      </c>
      <c r="J329" s="4" t="n">
        <v>100</v>
      </c>
      <c r="K329" t="inlineStr">
        <is>
          <t>44 / 56</t>
        </is>
      </c>
      <c r="L329" t="inlineStr">
        <is>
          <t>19 / 17</t>
        </is>
      </c>
      <c r="M329" s="5" t="n">
        <v>0.44</v>
      </c>
      <c r="N329" s="5" t="n">
        <v>0.53</v>
      </c>
    </row>
    <row r="330">
      <c r="A330" t="n">
        <v>329</v>
      </c>
      <c r="B330" t="n">
        <v>2015</v>
      </c>
      <c r="C330" t="inlineStr">
        <is>
          <t>Kayla Chevez</t>
        </is>
      </c>
      <c r="D330">
        <f>HYPERLINK("https://ota.tournamentsoftware.com/player-profile/EE941149-B269-44AA-A65B-D00099EE4086", "Link")</f>
        <v/>
      </c>
      <c r="E330" s="3" t="n">
        <v>201.354</v>
      </c>
      <c r="F330" s="4" t="n">
        <v>25</v>
      </c>
      <c r="G330" t="inlineStr">
        <is>
          <t>Tennis Québec</t>
        </is>
      </c>
      <c r="H330" t="inlineStr">
        <is>
          <t>Tennis Montréal Excellence</t>
        </is>
      </c>
      <c r="I330" t="n">
        <v>34.5</v>
      </c>
      <c r="J330" s="4" t="n">
        <v>141</v>
      </c>
      <c r="K330" t="inlineStr">
        <is>
          <t>69 / 72</t>
        </is>
      </c>
      <c r="L330" t="inlineStr">
        <is>
          <t>18 / 21</t>
        </is>
      </c>
      <c r="M330" s="5" t="n">
        <v>0.49</v>
      </c>
      <c r="N330" s="5" t="n">
        <v>0.46</v>
      </c>
    </row>
    <row r="331">
      <c r="A331" t="n">
        <v>330</v>
      </c>
      <c r="B331" t="n">
        <v>2014</v>
      </c>
      <c r="C331" t="inlineStr">
        <is>
          <t>Lana Kasumovic</t>
        </is>
      </c>
      <c r="D331">
        <f>HYPERLINK("https://ota.tournamentsoftware.com/player-profile/7F2BA85F-A3DF-40B8-9457-1DD55A7C11FB", "Link")</f>
        <v/>
      </c>
      <c r="E331" s="3" t="n">
        <v>200.268</v>
      </c>
      <c r="F331" s="4" t="n">
        <v>24</v>
      </c>
      <c r="G331" t="inlineStr">
        <is>
          <t>Ontario Tennis Association</t>
        </is>
      </c>
      <c r="H331" t="inlineStr">
        <is>
          <t>Rideau Sports Centre</t>
        </is>
      </c>
      <c r="I331" t="n">
        <v>34.1</v>
      </c>
      <c r="J331" s="4" t="n">
        <v>141</v>
      </c>
      <c r="K331" t="inlineStr">
        <is>
          <t>47 / 94</t>
        </is>
      </c>
      <c r="L331" t="inlineStr">
        <is>
          <t>21 / 19</t>
        </is>
      </c>
      <c r="M331" s="5" t="n">
        <v>0.33</v>
      </c>
      <c r="N331" s="5" t="n">
        <v>0.53</v>
      </c>
    </row>
    <row r="332">
      <c r="A332" t="n">
        <v>331</v>
      </c>
      <c r="B332" t="n">
        <v>2016</v>
      </c>
      <c r="C332" t="inlineStr">
        <is>
          <t>Minna TAN</t>
        </is>
      </c>
      <c r="D332">
        <f>HYPERLINK("https://ota.tournamentsoftware.com/player-profile/4830D271-776A-41F3-B5D9-B5D2EC272CB4", "Link")</f>
        <v/>
      </c>
      <c r="E332" s="3" t="n">
        <v>199.43</v>
      </c>
      <c r="F332" s="4" t="n">
        <v>9</v>
      </c>
      <c r="G332" t="inlineStr">
        <is>
          <t>Tennis Québec</t>
        </is>
      </c>
      <c r="H332" t="inlineStr">
        <is>
          <t>Tennis Ile- des- Soeurs</t>
        </is>
      </c>
      <c r="I332" t="n">
        <v>32.9</v>
      </c>
      <c r="J332" s="4" t="n">
        <v>81</v>
      </c>
      <c r="K332" t="inlineStr">
        <is>
          <t>49 / 32</t>
        </is>
      </c>
      <c r="L332" t="inlineStr">
        <is>
          <t>18 / 7</t>
        </is>
      </c>
      <c r="M332" s="5" t="n">
        <v>0.6</v>
      </c>
      <c r="N332" s="5" t="n">
        <v>0.72</v>
      </c>
    </row>
    <row r="333">
      <c r="A333" t="n">
        <v>332</v>
      </c>
      <c r="B333" t="n">
        <v>2013</v>
      </c>
      <c r="C333" t="inlineStr">
        <is>
          <t>Ana Sofia Prieto Echandia</t>
        </is>
      </c>
      <c r="D333">
        <f>HYPERLINK("https://ota.tournamentsoftware.com/player-profile/0A98F660-17C5-4374-B63C-9B5B0E183AF0", "Link")</f>
        <v/>
      </c>
      <c r="E333" s="3" t="n">
        <v>198.964</v>
      </c>
      <c r="F333" s="4" t="n">
        <v>8</v>
      </c>
      <c r="G333" t="inlineStr">
        <is>
          <t>Tennis Québec</t>
        </is>
      </c>
      <c r="H333" t="inlineStr">
        <is>
          <t>Tennis Ile- des- Soeurs</t>
        </is>
      </c>
      <c r="I333" t="n">
        <v>33.4</v>
      </c>
      <c r="J333" s="4" t="n">
        <v>33</v>
      </c>
      <c r="K333" t="inlineStr">
        <is>
          <t>19 / 14</t>
        </is>
      </c>
      <c r="L333" t="inlineStr">
        <is>
          <t>2 / 6</t>
        </is>
      </c>
      <c r="M333" s="5" t="n">
        <v>0.58</v>
      </c>
      <c r="N333" s="5" t="n">
        <v>0.25</v>
      </c>
    </row>
    <row r="334">
      <c r="A334" t="n">
        <v>333</v>
      </c>
      <c r="B334" t="n">
        <v>2014</v>
      </c>
      <c r="C334" t="inlineStr">
        <is>
          <t>Mariah Jorge-Eman</t>
        </is>
      </c>
      <c r="D334">
        <f>HYPERLINK("https://ota.tournamentsoftware.com/player-profile/B6887B12-5A2B-48B9-8A94-164305BBBBBE", "Link")</f>
        <v/>
      </c>
      <c r="E334" s="3" t="n">
        <v>198.746</v>
      </c>
      <c r="F334" s="4" t="n">
        <v>21</v>
      </c>
      <c r="G334" t="inlineStr">
        <is>
          <t>Ontario Tennis Association</t>
        </is>
      </c>
      <c r="H334" t="inlineStr">
        <is>
          <t>Premier Racquet Clubs – Mississauga</t>
        </is>
      </c>
      <c r="I334" t="n">
        <v>33.6</v>
      </c>
      <c r="J334" s="4" t="n">
        <v>102</v>
      </c>
      <c r="K334" t="inlineStr">
        <is>
          <t>48 / 54</t>
        </is>
      </c>
      <c r="L334" t="inlineStr">
        <is>
          <t>15 / 14</t>
        </is>
      </c>
      <c r="M334" s="5" t="n">
        <v>0.47</v>
      </c>
      <c r="N334" s="5" t="n">
        <v>0.52</v>
      </c>
    </row>
    <row r="335">
      <c r="A335" t="n">
        <v>334</v>
      </c>
      <c r="B335" t="n">
        <v>2016</v>
      </c>
      <c r="C335" t="inlineStr">
        <is>
          <t>Victoria Chang</t>
        </is>
      </c>
      <c r="D335">
        <f>HYPERLINK("https://ota.tournamentsoftware.com/player-profile/A391B4A7-44C6-4D9F-9A04-161A8B22E0C3", "Link")</f>
        <v/>
      </c>
      <c r="E335" s="3" t="n">
        <v>198.093</v>
      </c>
      <c r="F335" s="4" t="n">
        <v>14</v>
      </c>
      <c r="G335" t="inlineStr">
        <is>
          <t>Ontario Tennis Association</t>
        </is>
      </c>
      <c r="H335" t="inlineStr">
        <is>
          <t>Richmond Hill Country Club</t>
        </is>
      </c>
      <c r="I335" t="n">
        <v>32.2</v>
      </c>
      <c r="J335" s="4" t="n">
        <v>109</v>
      </c>
      <c r="K335" t="inlineStr">
        <is>
          <t>83 / 26</t>
        </is>
      </c>
      <c r="L335" t="inlineStr">
        <is>
          <t>35 / 10</t>
        </is>
      </c>
      <c r="M335" s="5" t="n">
        <v>0.76</v>
      </c>
      <c r="N335" s="5" t="n">
        <v>0.78</v>
      </c>
    </row>
    <row r="336">
      <c r="A336" t="n">
        <v>335</v>
      </c>
      <c r="B336" t="n">
        <v>2013</v>
      </c>
      <c r="C336" t="inlineStr">
        <is>
          <t>Eliza Willow Nguyen</t>
        </is>
      </c>
      <c r="D336">
        <f>HYPERLINK("https://ota.tournamentsoftware.com/player-profile/1A3AE60F-B4FB-4C4C-AE09-5D730884AC0A", "Link")</f>
        <v/>
      </c>
      <c r="E336" s="3" t="n">
        <v>198.067</v>
      </c>
      <c r="F336" s="4" t="n">
        <v>12</v>
      </c>
      <c r="G336" t="inlineStr">
        <is>
          <t>Tennis Alberta</t>
        </is>
      </c>
      <c r="H336" t="inlineStr">
        <is>
          <t>Saville Community Sports Centre</t>
        </is>
      </c>
      <c r="I336" t="n">
        <v>33.1</v>
      </c>
      <c r="J336" s="4" t="n">
        <v>143</v>
      </c>
      <c r="K336" t="inlineStr">
        <is>
          <t>66 / 77</t>
        </is>
      </c>
      <c r="L336" t="inlineStr">
        <is>
          <t>10 / 13</t>
        </is>
      </c>
      <c r="M336" s="5" t="n">
        <v>0.46</v>
      </c>
      <c r="N336" s="5" t="n">
        <v>0.43</v>
      </c>
    </row>
    <row r="337">
      <c r="A337" t="n">
        <v>336</v>
      </c>
      <c r="B337" t="n">
        <v>2014</v>
      </c>
      <c r="C337" t="inlineStr">
        <is>
          <t>Ella Meng</t>
        </is>
      </c>
      <c r="D337">
        <f>HYPERLINK("https://ota.tournamentsoftware.com/player-profile/B7EC0DBA-A6B8-49FA-A398-63ABEF8384E7", "Link")</f>
        <v/>
      </c>
      <c r="E337" s="3" t="n">
        <v>194.534</v>
      </c>
      <c r="F337" s="4" t="n">
        <v>12</v>
      </c>
      <c r="G337" t="inlineStr">
        <is>
          <t>Ontario Tennis Association</t>
        </is>
      </c>
      <c r="H337" t="inlineStr">
        <is>
          <t>Marilyn Redvers Tennis Club</t>
        </is>
      </c>
      <c r="I337" t="n">
        <v>34</v>
      </c>
      <c r="J337" s="4" t="n">
        <v>84</v>
      </c>
      <c r="K337" t="inlineStr">
        <is>
          <t>30 / 54</t>
        </is>
      </c>
      <c r="L337" t="inlineStr">
        <is>
          <t>11 / 12</t>
        </is>
      </c>
      <c r="M337" s="5" t="n">
        <v>0.36</v>
      </c>
      <c r="N337" s="5" t="n">
        <v>0.48</v>
      </c>
    </row>
    <row r="338">
      <c r="A338" t="n">
        <v>337</v>
      </c>
      <c r="B338" t="n">
        <v>2012</v>
      </c>
      <c r="C338" t="inlineStr">
        <is>
          <t>Carys Miles</t>
        </is>
      </c>
      <c r="D338">
        <f>HYPERLINK("https://ota.tournamentsoftware.com/player-profile/7FCFD8F6-5B52-4825-B8AA-B72BF77A3298", "Link")</f>
        <v/>
      </c>
      <c r="E338" s="3" t="n">
        <v>194.325</v>
      </c>
      <c r="F338" s="4" t="n">
        <v>15</v>
      </c>
      <c r="G338" t="inlineStr">
        <is>
          <t>Tennis Alberta</t>
        </is>
      </c>
      <c r="H338" t="inlineStr">
        <is>
          <t>Osten &amp; Victor Alberta Tennis Centre</t>
        </is>
      </c>
      <c r="I338" t="n">
        <v>31.1</v>
      </c>
      <c r="J338" s="4" t="n">
        <v>200</v>
      </c>
      <c r="K338" t="inlineStr">
        <is>
          <t>98 / 102</t>
        </is>
      </c>
      <c r="L338" t="inlineStr">
        <is>
          <t>4 / 9</t>
        </is>
      </c>
      <c r="M338" s="5" t="n">
        <v>0.49</v>
      </c>
      <c r="N338" s="5" t="n">
        <v>0.31</v>
      </c>
    </row>
    <row r="339">
      <c r="A339" t="n">
        <v>338</v>
      </c>
      <c r="B339" t="n">
        <v>2015</v>
      </c>
      <c r="C339" t="inlineStr">
        <is>
          <t>Emma Echeverri Vujicic</t>
        </is>
      </c>
      <c r="D339">
        <f>HYPERLINK("https://ota.tournamentsoftware.com/player-profile/644C3F8A-163C-4BEA-8EBD-9263F89347F9", "Link")</f>
        <v/>
      </c>
      <c r="E339" s="3" t="n">
        <v>194.237</v>
      </c>
      <c r="F339" s="4" t="n">
        <v>21</v>
      </c>
      <c r="G339" t="inlineStr">
        <is>
          <t>Ontario Tennis Association</t>
        </is>
      </c>
      <c r="H339" t="inlineStr">
        <is>
          <t>Mayfair West Fitness &amp; Racquet Club</t>
        </is>
      </c>
      <c r="I339" t="n">
        <v>33.8</v>
      </c>
      <c r="J339" s="4" t="n">
        <v>130</v>
      </c>
      <c r="K339" t="inlineStr">
        <is>
          <t>63 / 67</t>
        </is>
      </c>
      <c r="L339" t="inlineStr">
        <is>
          <t>24 / 13</t>
        </is>
      </c>
      <c r="M339" s="5" t="n">
        <v>0.48</v>
      </c>
      <c r="N339" s="5" t="n">
        <v>0.65</v>
      </c>
    </row>
    <row r="340">
      <c r="A340" t="n">
        <v>339</v>
      </c>
      <c r="B340" t="n">
        <v>2012</v>
      </c>
      <c r="C340" t="inlineStr">
        <is>
          <t>Gabrielle Siewe Meliatou</t>
        </is>
      </c>
      <c r="D340">
        <f>HYPERLINK("https://ota.tournamentsoftware.com/player-profile/7E53A46A-6CF0-4DB8-9382-FCE1966714A8", "Link")</f>
        <v/>
      </c>
      <c r="E340" s="3" t="n">
        <v>192.866</v>
      </c>
      <c r="F340" s="4" t="n">
        <v>19</v>
      </c>
      <c r="G340" t="inlineStr">
        <is>
          <t>Tennis Québec</t>
        </is>
      </c>
      <c r="H340" t="inlineStr">
        <is>
          <t>SANI Sport</t>
        </is>
      </c>
      <c r="I340" t="n">
        <v>35.5</v>
      </c>
      <c r="J340" s="4" t="n">
        <v>78</v>
      </c>
      <c r="K340" t="inlineStr">
        <is>
          <t>24 / 54</t>
        </is>
      </c>
      <c r="L340" t="inlineStr">
        <is>
          <t>5 / 11</t>
        </is>
      </c>
      <c r="M340" s="5" t="n">
        <v>0.31</v>
      </c>
      <c r="N340" s="5" t="n">
        <v>0.31</v>
      </c>
    </row>
    <row r="341">
      <c r="A341" t="n">
        <v>340</v>
      </c>
      <c r="B341" t="n">
        <v>2015</v>
      </c>
      <c r="C341" t="inlineStr">
        <is>
          <t>Olivia Ormandy</t>
        </is>
      </c>
      <c r="D341">
        <f>HYPERLINK("https://ota.tournamentsoftware.com/player-profile/C2722647-7EFC-4E85-B2ED-55E77949843B", "Link")</f>
        <v/>
      </c>
      <c r="E341" s="3" t="n">
        <v>190.2</v>
      </c>
      <c r="F341" s="4" t="n">
        <v>27</v>
      </c>
      <c r="G341" t="inlineStr">
        <is>
          <t>Tennis Québec</t>
        </is>
      </c>
      <c r="H341" t="inlineStr">
        <is>
          <t>Tennis Interclub Piedmont</t>
        </is>
      </c>
      <c r="I341" t="n">
        <v>33.2</v>
      </c>
      <c r="J341" s="4" t="n">
        <v>190</v>
      </c>
      <c r="K341" t="inlineStr">
        <is>
          <t>92 / 98</t>
        </is>
      </c>
      <c r="L341" t="inlineStr">
        <is>
          <t>20 / 24</t>
        </is>
      </c>
      <c r="M341" s="5" t="n">
        <v>0.48</v>
      </c>
      <c r="N341" s="5" t="n">
        <v>0.45</v>
      </c>
    </row>
    <row r="342">
      <c r="A342" t="n">
        <v>341</v>
      </c>
      <c r="B342" t="n">
        <v>2012</v>
      </c>
      <c r="C342" t="inlineStr">
        <is>
          <t>Sabrina Sajjad</t>
        </is>
      </c>
      <c r="D342">
        <f>HYPERLINK("https://ota.tournamentsoftware.com/player-profile/6C7EB560-0C6C-49E6-9B42-49009727ED3D", "Link")</f>
        <v/>
      </c>
      <c r="E342" s="3" t="n">
        <v>189.48</v>
      </c>
      <c r="F342" s="4" t="n">
        <v>15</v>
      </c>
      <c r="G342" t="inlineStr">
        <is>
          <t>Ontario Tennis Association</t>
        </is>
      </c>
      <c r="H342" t="inlineStr">
        <is>
          <t>No Club</t>
        </is>
      </c>
      <c r="I342" t="n">
        <v>33.7</v>
      </c>
      <c r="J342" s="4" t="n">
        <v>68</v>
      </c>
      <c r="K342" t="inlineStr">
        <is>
          <t>35 / 33</t>
        </is>
      </c>
      <c r="L342" t="inlineStr">
        <is>
          <t>8 / 9</t>
        </is>
      </c>
      <c r="M342" s="5" t="n">
        <v>0.51</v>
      </c>
      <c r="N342" s="5" t="n">
        <v>0.47</v>
      </c>
    </row>
    <row r="343">
      <c r="A343" t="n">
        <v>342</v>
      </c>
      <c r="B343" t="n">
        <v>2014</v>
      </c>
      <c r="C343" t="inlineStr">
        <is>
          <t>Payton Isabelle JOHNSTON</t>
        </is>
      </c>
      <c r="D343">
        <f>HYPERLINK("https://ota.tournamentsoftware.com/player-profile/30639279-6EB4-43A0-806A-9F7E6209EBA5", "Link")</f>
        <v/>
      </c>
      <c r="E343" s="3" t="n">
        <v>189.449</v>
      </c>
      <c r="F343" s="4" t="n">
        <v>11</v>
      </c>
      <c r="G343" t="inlineStr">
        <is>
          <t>Tennis Nova Scotia</t>
        </is>
      </c>
      <c r="H343" t="inlineStr">
        <is>
          <t>Gordon Hughes Tennis Club</t>
        </is>
      </c>
      <c r="I343" t="n">
        <v>34.3</v>
      </c>
      <c r="J343" s="4" t="n">
        <v>96</v>
      </c>
      <c r="K343" t="inlineStr">
        <is>
          <t>49 / 47</t>
        </is>
      </c>
      <c r="L343" t="inlineStr">
        <is>
          <t>18 / 21</t>
        </is>
      </c>
      <c r="M343" s="5" t="n">
        <v>0.51</v>
      </c>
      <c r="N343" s="5" t="n">
        <v>0.46</v>
      </c>
    </row>
    <row r="344">
      <c r="A344" t="n">
        <v>343</v>
      </c>
      <c r="B344" t="n">
        <v>2013</v>
      </c>
      <c r="C344" t="inlineStr">
        <is>
          <t>Ophélia Carbonneau</t>
        </is>
      </c>
      <c r="D344">
        <f>HYPERLINK("https://ota.tournamentsoftware.com/player-profile/8B592B8F-8B82-48EF-9CDD-0CBA40EBB412", "Link")</f>
        <v/>
      </c>
      <c r="E344" s="3" t="n">
        <v>188.358</v>
      </c>
      <c r="F344" s="4" t="n">
        <v>16</v>
      </c>
      <c r="G344" t="inlineStr">
        <is>
          <t>Tennis Québec</t>
        </is>
      </c>
      <c r="H344" t="inlineStr">
        <is>
          <t>Tennis Interclub Piedmont</t>
        </is>
      </c>
      <c r="I344" t="n">
        <v>36.4</v>
      </c>
      <c r="J344" s="4" t="n">
        <v>105</v>
      </c>
      <c r="K344" t="inlineStr">
        <is>
          <t>30 / 75</t>
        </is>
      </c>
      <c r="L344" t="inlineStr">
        <is>
          <t>6 / 12</t>
        </is>
      </c>
      <c r="M344" s="5" t="n">
        <v>0.29</v>
      </c>
      <c r="N344" s="5" t="n">
        <v>0.33</v>
      </c>
    </row>
    <row r="345">
      <c r="A345" t="n">
        <v>344</v>
      </c>
      <c r="B345" t="n">
        <v>2016</v>
      </c>
      <c r="C345" t="inlineStr">
        <is>
          <t>Emily Zheng</t>
        </is>
      </c>
      <c r="D345">
        <f>HYPERLINK("https://ota.tournamentsoftware.com/player-profile/6AB11A61-4852-4958-84E1-2773676D29C2", "Link")</f>
        <v/>
      </c>
      <c r="E345" s="3" t="n">
        <v>187.89</v>
      </c>
      <c r="F345" s="4" t="n">
        <v>28</v>
      </c>
      <c r="G345" t="inlineStr">
        <is>
          <t>Ontario Tennis Association</t>
        </is>
      </c>
      <c r="H345" t="inlineStr">
        <is>
          <t>Toronto Cricket Skating &amp; Curling</t>
        </is>
      </c>
      <c r="I345" t="n">
        <v>33.2</v>
      </c>
      <c r="J345" s="4" t="n">
        <v>108</v>
      </c>
      <c r="K345" t="inlineStr">
        <is>
          <t>44 / 64</t>
        </is>
      </c>
      <c r="L345" t="inlineStr">
        <is>
          <t>23 / 14</t>
        </is>
      </c>
      <c r="M345" s="5" t="n">
        <v>0.41</v>
      </c>
      <c r="N345" s="5" t="n">
        <v>0.62</v>
      </c>
    </row>
    <row r="346">
      <c r="A346" t="n">
        <v>345</v>
      </c>
      <c r="B346" t="n">
        <v>2012</v>
      </c>
      <c r="C346" t="inlineStr">
        <is>
          <t>Ruoyu Wang</t>
        </is>
      </c>
      <c r="D346">
        <f>HYPERLINK("https://ota.tournamentsoftware.com/player-profile/BF1A51BB-FF4F-417F-AE41-0914B75C7FF1", "Link")</f>
        <v/>
      </c>
      <c r="E346" s="3" t="n">
        <v>187.562</v>
      </c>
      <c r="F346" s="4" t="n">
        <v>12</v>
      </c>
      <c r="G346" t="inlineStr">
        <is>
          <t>Tennis Québec</t>
        </is>
      </c>
      <c r="H346" t="inlineStr">
        <is>
          <t>Tennis 13</t>
        </is>
      </c>
      <c r="I346" t="inlineStr">
        <is>
          <t>unavailable</t>
        </is>
      </c>
      <c r="J346" s="4" t="n">
        <v>19</v>
      </c>
      <c r="K346" t="inlineStr">
        <is>
          <t>5 / 14</t>
        </is>
      </c>
      <c r="L346" t="inlineStr">
        <is>
          <t>4 / 8</t>
        </is>
      </c>
      <c r="M346" s="5" t="n">
        <v>0.26</v>
      </c>
      <c r="N346" s="5" t="n">
        <v>0.33</v>
      </c>
    </row>
    <row r="347">
      <c r="A347" t="n">
        <v>346</v>
      </c>
      <c r="B347" t="n">
        <v>2012</v>
      </c>
      <c r="C347" t="inlineStr">
        <is>
          <t>Angelica Rose Spyrka</t>
        </is>
      </c>
      <c r="D347">
        <f>HYPERLINK("https://ota.tournamentsoftware.com/player-profile/7A8F99DB-3ADA-4FDB-AC08-5095AAF01985", "Link")</f>
        <v/>
      </c>
      <c r="E347" s="3" t="n">
        <v>186.118</v>
      </c>
      <c r="F347" s="4" t="n">
        <v>15</v>
      </c>
      <c r="G347" t="inlineStr">
        <is>
          <t>British Columbia</t>
        </is>
      </c>
      <c r="H347" t="inlineStr">
        <is>
          <t>Vanguard Tennis Academy</t>
        </is>
      </c>
      <c r="I347" t="n">
        <v>33.3</v>
      </c>
      <c r="J347" s="4" t="n">
        <v>74</v>
      </c>
      <c r="K347" t="inlineStr">
        <is>
          <t>32 / 42</t>
        </is>
      </c>
      <c r="L347" t="inlineStr">
        <is>
          <t>6 / 10</t>
        </is>
      </c>
      <c r="M347" s="5" t="n">
        <v>0.43</v>
      </c>
      <c r="N347" s="5" t="n">
        <v>0.38</v>
      </c>
    </row>
    <row r="348">
      <c r="A348" t="n">
        <v>347</v>
      </c>
      <c r="B348" t="n">
        <v>2013</v>
      </c>
      <c r="C348" t="inlineStr">
        <is>
          <t>Alma Safinia</t>
        </is>
      </c>
      <c r="D348">
        <f>HYPERLINK("https://ota.tournamentsoftware.com/player-profile/5EF88718-BF69-42BC-A643-1C11174AD1CB", "Link")</f>
        <v/>
      </c>
      <c r="E348" s="3" t="n">
        <v>185.426</v>
      </c>
      <c r="F348" s="4" t="n">
        <v>1</v>
      </c>
      <c r="G348" t="inlineStr">
        <is>
          <t>Tennis Nova Scotia</t>
        </is>
      </c>
      <c r="H348" t="inlineStr">
        <is>
          <t>Atlantic Tennis Centre</t>
        </is>
      </c>
      <c r="I348" t="n">
        <v>32.7</v>
      </c>
      <c r="J348" s="4" t="n">
        <v>26</v>
      </c>
      <c r="K348" t="inlineStr">
        <is>
          <t>13 / 13</t>
        </is>
      </c>
      <c r="L348" t="inlineStr">
        <is>
          <t>2 / 5</t>
        </is>
      </c>
      <c r="M348" s="5" t="n">
        <v>0.5</v>
      </c>
      <c r="N348" s="5" t="n">
        <v>0.29</v>
      </c>
    </row>
    <row r="349">
      <c r="A349" t="n">
        <v>348</v>
      </c>
      <c r="B349" t="n">
        <v>2013</v>
      </c>
      <c r="C349" t="inlineStr">
        <is>
          <t>Alysha Alexis</t>
        </is>
      </c>
      <c r="D349">
        <f>HYPERLINK("https://ota.tournamentsoftware.com/player-profile/42191CE6-0E1E-460D-80E0-9A7FF78DA6C6", "Link")</f>
        <v/>
      </c>
      <c r="E349" s="3" t="n">
        <v>185.03</v>
      </c>
      <c r="F349" s="4" t="n">
        <v>18</v>
      </c>
      <c r="G349" t="inlineStr">
        <is>
          <t>Tennis Québec</t>
        </is>
      </c>
      <c r="H349" t="inlineStr">
        <is>
          <t>Académie Tennis Momentum (club extérieur)</t>
        </is>
      </c>
      <c r="I349" t="n">
        <v>33.9</v>
      </c>
      <c r="J349" s="4" t="n">
        <v>68</v>
      </c>
      <c r="K349" t="inlineStr">
        <is>
          <t>32 / 36</t>
        </is>
      </c>
      <c r="L349" t="inlineStr">
        <is>
          <t>12 / 12</t>
        </is>
      </c>
      <c r="M349" s="5" t="n">
        <v>0.47</v>
      </c>
      <c r="N349" s="5" t="n">
        <v>0.5</v>
      </c>
    </row>
    <row r="350">
      <c r="A350" t="n">
        <v>349</v>
      </c>
      <c r="B350" t="n">
        <v>2014</v>
      </c>
      <c r="C350" t="inlineStr">
        <is>
          <t>Amelia Rogette Hinnawi</t>
        </is>
      </c>
      <c r="D350">
        <f>HYPERLINK("https://ota.tournamentsoftware.com/player-profile/1DADE780-E571-45F1-BC6D-21B72637C0B7", "Link")</f>
        <v/>
      </c>
      <c r="E350" s="3" t="n">
        <v>184.213</v>
      </c>
      <c r="F350" s="4" t="n">
        <v>23</v>
      </c>
      <c r="G350" t="inlineStr">
        <is>
          <t>Tennis Québec</t>
        </is>
      </c>
      <c r="H350" t="inlineStr">
        <is>
          <t>Tennis Ile- des- Soeurs</t>
        </is>
      </c>
      <c r="I350" t="inlineStr">
        <is>
          <t>unavailable</t>
        </is>
      </c>
      <c r="J350" s="4" t="n">
        <v>135</v>
      </c>
      <c r="K350" t="inlineStr">
        <is>
          <t>42 / 93</t>
        </is>
      </c>
      <c r="L350" t="inlineStr">
        <is>
          <t>12 / 21</t>
        </is>
      </c>
      <c r="M350" s="5" t="n">
        <v>0.31</v>
      </c>
      <c r="N350" s="5" t="n">
        <v>0.36</v>
      </c>
    </row>
    <row r="351">
      <c r="A351" t="n">
        <v>350</v>
      </c>
      <c r="B351" t="n">
        <v>2013</v>
      </c>
      <c r="C351" t="inlineStr">
        <is>
          <t>Victoria Pellerin</t>
        </is>
      </c>
      <c r="D351">
        <f>HYPERLINK("https://ota.tournamentsoftware.com/player-profile/097573BE-64EA-4951-9B1B-3779B5938722", "Link")</f>
        <v/>
      </c>
      <c r="E351" s="3" t="n">
        <v>181.263</v>
      </c>
      <c r="F351" s="4" t="n">
        <v>15</v>
      </c>
      <c r="G351" t="inlineStr">
        <is>
          <t>Tennis Québec</t>
        </is>
      </c>
      <c r="H351" t="inlineStr">
        <is>
          <t>Centre récréatif de Repentigny / Académie Tennis Momentum</t>
        </is>
      </c>
      <c r="I351" t="n">
        <v>36.6</v>
      </c>
      <c r="J351" s="4" t="n">
        <v>56</v>
      </c>
      <c r="K351" t="inlineStr">
        <is>
          <t>16 / 40</t>
        </is>
      </c>
      <c r="L351" t="inlineStr">
        <is>
          <t>4 / 12</t>
        </is>
      </c>
      <c r="M351" s="5" t="n">
        <v>0.29</v>
      </c>
      <c r="N351" s="5" t="n">
        <v>0.25</v>
      </c>
    </row>
    <row r="352">
      <c r="A352" t="n">
        <v>351</v>
      </c>
      <c r="B352" t="n">
        <v>2013</v>
      </c>
      <c r="C352" t="inlineStr">
        <is>
          <t>Sophie Pothel</t>
        </is>
      </c>
      <c r="D352">
        <f>HYPERLINK("https://ota.tournamentsoftware.com/player-profile/21DD6509-0C4D-4711-BEB0-DC2D198520FD", "Link")</f>
        <v/>
      </c>
      <c r="E352" s="3" t="n">
        <v>179.691</v>
      </c>
      <c r="F352" s="4" t="n">
        <v>14</v>
      </c>
      <c r="G352" t="inlineStr">
        <is>
          <t>Tennis Québec</t>
        </is>
      </c>
      <c r="H352" t="inlineStr">
        <is>
          <t>Tennis Ile- des- Soeurs</t>
        </is>
      </c>
      <c r="I352" t="inlineStr">
        <is>
          <t>unavailable</t>
        </is>
      </c>
      <c r="J352" s="4" t="n">
        <v>54</v>
      </c>
      <c r="K352" t="inlineStr">
        <is>
          <t>9 / 45</t>
        </is>
      </c>
      <c r="L352" t="inlineStr">
        <is>
          <t>4 / 13</t>
        </is>
      </c>
      <c r="M352" s="5" t="n">
        <v>0.17</v>
      </c>
      <c r="N352" s="5" t="n">
        <v>0.24</v>
      </c>
    </row>
    <row r="353">
      <c r="A353" t="n">
        <v>352</v>
      </c>
      <c r="B353" t="n">
        <v>2015</v>
      </c>
      <c r="C353" t="inlineStr">
        <is>
          <t>Jesi Myra Kumaran</t>
        </is>
      </c>
      <c r="D353">
        <f>HYPERLINK("https://ota.tournamentsoftware.com/player-profile/8DE19A2A-095B-4432-92FE-7CA64D28B7F1", "Link")</f>
        <v/>
      </c>
      <c r="E353" s="3" t="n">
        <v>179.454</v>
      </c>
      <c r="F353" s="4" t="n">
        <v>34</v>
      </c>
      <c r="G353" t="inlineStr">
        <is>
          <t>Ontario Tennis Association</t>
        </is>
      </c>
      <c r="H353" t="inlineStr">
        <is>
          <t>Valan Tennis Academy</t>
        </is>
      </c>
      <c r="I353" t="n">
        <v>36.7</v>
      </c>
      <c r="J353" s="4" t="n">
        <v>196</v>
      </c>
      <c r="K353" t="inlineStr">
        <is>
          <t>69 / 127</t>
        </is>
      </c>
      <c r="L353" t="inlineStr">
        <is>
          <t>15 / 30</t>
        </is>
      </c>
      <c r="M353" s="5" t="n">
        <v>0.35</v>
      </c>
      <c r="N353" s="5" t="n">
        <v>0.33</v>
      </c>
    </row>
    <row r="354">
      <c r="A354" t="n">
        <v>353</v>
      </c>
      <c r="B354" t="n">
        <v>2015</v>
      </c>
      <c r="C354" t="inlineStr">
        <is>
          <t>Brielle York</t>
        </is>
      </c>
      <c r="D354">
        <f>HYPERLINK("https://ota.tournamentsoftware.com/player-profile/C0B1A514-EDF7-4907-9E4D-D3B8C705EB1D", "Link")</f>
        <v/>
      </c>
      <c r="E354" s="3" t="n">
        <v>177.941</v>
      </c>
      <c r="F354" s="4" t="n">
        <v>16</v>
      </c>
      <c r="G354" t="inlineStr">
        <is>
          <t>Tennis Alberta</t>
        </is>
      </c>
      <c r="H354" t="inlineStr">
        <is>
          <t>Aforza</t>
        </is>
      </c>
      <c r="I354" t="n">
        <v>36.3</v>
      </c>
      <c r="J354" s="4" t="n">
        <v>144</v>
      </c>
      <c r="K354" t="inlineStr">
        <is>
          <t>68 / 76</t>
        </is>
      </c>
      <c r="L354" t="inlineStr">
        <is>
          <t>13 / 21</t>
        </is>
      </c>
      <c r="M354" s="5" t="n">
        <v>0.47</v>
      </c>
      <c r="N354" s="5" t="n">
        <v>0.38</v>
      </c>
    </row>
    <row r="355">
      <c r="A355" t="n">
        <v>354</v>
      </c>
      <c r="B355" t="n">
        <v>2012</v>
      </c>
      <c r="C355" t="inlineStr">
        <is>
          <t>Charlianne Grace Kiss</t>
        </is>
      </c>
      <c r="D355">
        <f>HYPERLINK("https://ota.tournamentsoftware.com/player-profile/09C918D2-187B-42AF-836D-E31A35062CB3", "Link")</f>
        <v/>
      </c>
      <c r="E355" s="3" t="n">
        <v>176.12</v>
      </c>
      <c r="F355" s="4" t="n">
        <v>10</v>
      </c>
      <c r="G355" t="inlineStr">
        <is>
          <t>Tennis Alberta</t>
        </is>
      </c>
      <c r="H355" t="inlineStr">
        <is>
          <t>Saville Community Sports Centre</t>
        </is>
      </c>
      <c r="I355" t="n">
        <v>35.9</v>
      </c>
      <c r="J355" s="4" t="n">
        <v>72</v>
      </c>
      <c r="K355" t="inlineStr">
        <is>
          <t>27 / 45</t>
        </is>
      </c>
      <c r="L355" t="inlineStr">
        <is>
          <t>9 / 15</t>
        </is>
      </c>
      <c r="M355" s="5" t="n">
        <v>0.38</v>
      </c>
      <c r="N355" s="5" t="n">
        <v>0.38</v>
      </c>
    </row>
    <row r="356">
      <c r="A356" t="n">
        <v>355</v>
      </c>
      <c r="B356" t="n">
        <v>2015</v>
      </c>
      <c r="C356" t="inlineStr">
        <is>
          <t>Kynarra Tayt Burthwright</t>
        </is>
      </c>
      <c r="D356">
        <f>HYPERLINK("https://ota.tournamentsoftware.com/player-profile/54340729-CFE8-4AE6-B072-4BD29664CBEC", "Link")</f>
        <v/>
      </c>
      <c r="E356" s="3" t="n">
        <v>175.793</v>
      </c>
      <c r="F356" s="4" t="n">
        <v>20</v>
      </c>
      <c r="G356" t="inlineStr">
        <is>
          <t>Ontario Tennis Association</t>
        </is>
      </c>
      <c r="H356" t="inlineStr">
        <is>
          <t>Newmarket Community Tennis Club</t>
        </is>
      </c>
      <c r="I356" t="n">
        <v>35.3</v>
      </c>
      <c r="J356" s="4" t="n">
        <v>120</v>
      </c>
      <c r="K356" t="inlineStr">
        <is>
          <t>62 / 58</t>
        </is>
      </c>
      <c r="L356" t="inlineStr">
        <is>
          <t>25 / 25</t>
        </is>
      </c>
      <c r="M356" s="5" t="n">
        <v>0.52</v>
      </c>
      <c r="N356" s="5" t="n">
        <v>0.5</v>
      </c>
    </row>
    <row r="357">
      <c r="A357" t="n">
        <v>356</v>
      </c>
      <c r="B357" t="n">
        <v>2014</v>
      </c>
      <c r="C357" t="inlineStr">
        <is>
          <t>Nadia Stuparyk</t>
        </is>
      </c>
      <c r="D357">
        <f>HYPERLINK("https://ota.tournamentsoftware.com/player-profile/05ABA68F-2EB2-4BFB-B6CA-677BDD1DCDCA", "Link")</f>
        <v/>
      </c>
      <c r="E357" s="3" t="n">
        <v>173.522</v>
      </c>
      <c r="F357" s="4" t="n">
        <v>35</v>
      </c>
      <c r="G357" t="inlineStr">
        <is>
          <t>Ontario Tennis Association</t>
        </is>
      </c>
      <c r="H357" t="inlineStr">
        <is>
          <t>Parkside Tennis Club</t>
        </is>
      </c>
      <c r="I357" t="n">
        <v>33.2</v>
      </c>
      <c r="J357" s="4" t="n">
        <v>181</v>
      </c>
      <c r="K357" t="inlineStr">
        <is>
          <t>86 / 95</t>
        </is>
      </c>
      <c r="L357" t="inlineStr">
        <is>
          <t>21 / 19</t>
        </is>
      </c>
      <c r="M357" s="5" t="n">
        <v>0.48</v>
      </c>
      <c r="N357" s="5" t="n">
        <v>0.53</v>
      </c>
    </row>
    <row r="358">
      <c r="A358" t="n">
        <v>357</v>
      </c>
      <c r="B358" t="n">
        <v>2015</v>
      </c>
      <c r="C358" t="inlineStr">
        <is>
          <t>Isla J Green</t>
        </is>
      </c>
      <c r="D358">
        <f>HYPERLINK("https://ota.tournamentsoftware.com/player-profile/B2E098BE-DB7E-4756-BD31-93298500E09D", "Link")</f>
        <v/>
      </c>
      <c r="E358" s="3" t="n">
        <v>173.154</v>
      </c>
      <c r="F358" s="4" t="n">
        <v>23</v>
      </c>
      <c r="G358" t="inlineStr">
        <is>
          <t>Ontario Tennis Association</t>
        </is>
      </c>
      <c r="H358" t="inlineStr">
        <is>
          <t>Advantage Tennis International at Veneto</t>
        </is>
      </c>
      <c r="I358" t="n">
        <v>32.3</v>
      </c>
      <c r="J358" s="4" t="n">
        <v>238</v>
      </c>
      <c r="K358" t="inlineStr">
        <is>
          <t>159 / 79</t>
        </is>
      </c>
      <c r="L358" t="inlineStr">
        <is>
          <t>32 / 16</t>
        </is>
      </c>
      <c r="M358" s="5" t="n">
        <v>0.67</v>
      </c>
      <c r="N358" s="5" t="n">
        <v>0.67</v>
      </c>
    </row>
    <row r="359">
      <c r="A359" t="n">
        <v>358</v>
      </c>
      <c r="B359" t="n">
        <v>2012</v>
      </c>
      <c r="C359" t="inlineStr">
        <is>
          <t>Riley Lynn Banath</t>
        </is>
      </c>
      <c r="D359">
        <f>HYPERLINK("https://ota.tournamentsoftware.com/player-profile/4B613A1C-293C-4701-B6BA-BEC5F8EBDA29", "Link")</f>
        <v/>
      </c>
      <c r="E359" s="3" t="n">
        <v>173.105</v>
      </c>
      <c r="F359" s="4" t="n">
        <v>13</v>
      </c>
      <c r="G359" t="inlineStr">
        <is>
          <t>British Columbia</t>
        </is>
      </c>
      <c r="H359" t="inlineStr">
        <is>
          <t>Arbutus Club</t>
        </is>
      </c>
      <c r="I359" t="n">
        <v>37.4</v>
      </c>
      <c r="J359" s="4" t="n">
        <v>44</v>
      </c>
      <c r="K359" t="inlineStr">
        <is>
          <t>9 / 35</t>
        </is>
      </c>
      <c r="L359" t="inlineStr">
        <is>
          <t>5 / 20</t>
        </is>
      </c>
      <c r="M359" s="5" t="n">
        <v>0.2</v>
      </c>
      <c r="N359" s="5" t="n">
        <v>0.2</v>
      </c>
    </row>
    <row r="360">
      <c r="A360" t="n">
        <v>359</v>
      </c>
      <c r="B360" t="n">
        <v>2012</v>
      </c>
      <c r="C360" t="inlineStr">
        <is>
          <t>Amelia Jee</t>
        </is>
      </c>
      <c r="D360">
        <f>HYPERLINK("https://ota.tournamentsoftware.com/player-profile/485EA829-3893-4703-AF9A-1CF8D304CE5D", "Link")</f>
        <v/>
      </c>
      <c r="E360" s="3" t="n">
        <v>173.084</v>
      </c>
      <c r="F360" s="4" t="n">
        <v>12</v>
      </c>
      <c r="G360" t="inlineStr">
        <is>
          <t>Ontario Tennis Association</t>
        </is>
      </c>
      <c r="H360" t="inlineStr">
        <is>
          <t>Toronto Cricket Skating &amp; Curling</t>
        </is>
      </c>
      <c r="I360" t="n">
        <v>32.8</v>
      </c>
      <c r="J360" s="4" t="n">
        <v>123</v>
      </c>
      <c r="K360" t="inlineStr">
        <is>
          <t>52 / 71</t>
        </is>
      </c>
      <c r="L360" t="inlineStr">
        <is>
          <t>10 / 12</t>
        </is>
      </c>
      <c r="M360" s="5" t="n">
        <v>0.42</v>
      </c>
      <c r="N360" s="5" t="n">
        <v>0.45</v>
      </c>
    </row>
    <row r="361">
      <c r="A361" t="n">
        <v>360</v>
      </c>
      <c r="B361" t="n">
        <v>2016</v>
      </c>
      <c r="C361" t="inlineStr">
        <is>
          <t>Tanishka Varishtha Tripathi</t>
        </is>
      </c>
      <c r="D361">
        <f>HYPERLINK("https://ota.tournamentsoftware.com/player-profile/C966D3AB-F944-4405-A712-C5FA591776A1", "Link")</f>
        <v/>
      </c>
      <c r="E361" s="3" t="n">
        <v>172.289</v>
      </c>
      <c r="F361" s="4" t="n">
        <v>12</v>
      </c>
      <c r="G361" t="inlineStr">
        <is>
          <t>Ontario Tennis Association</t>
        </is>
      </c>
      <c r="H361" t="inlineStr">
        <is>
          <t>Tennis Outaouais Performance (TOP) ON</t>
        </is>
      </c>
      <c r="I361" t="n">
        <v>32.8</v>
      </c>
      <c r="J361" s="4" t="n">
        <v>136</v>
      </c>
      <c r="K361" t="inlineStr">
        <is>
          <t>97 / 39</t>
        </is>
      </c>
      <c r="L361" t="inlineStr">
        <is>
          <t>20 / 12</t>
        </is>
      </c>
      <c r="M361" s="5" t="n">
        <v>0.71</v>
      </c>
      <c r="N361" s="5" t="n">
        <v>0.62</v>
      </c>
    </row>
    <row r="362">
      <c r="A362" t="n">
        <v>361</v>
      </c>
      <c r="B362" t="n">
        <v>2013</v>
      </c>
      <c r="C362" t="inlineStr">
        <is>
          <t>Alice Laganière</t>
        </is>
      </c>
      <c r="D362">
        <f>HYPERLINK("https://ota.tournamentsoftware.com/player-profile/C9532D29-EE9A-4084-ACB5-2DBCAD4DF862", "Link")</f>
        <v/>
      </c>
      <c r="E362" s="3" t="n">
        <v>171.17</v>
      </c>
      <c r="F362" s="4" t="n">
        <v>10</v>
      </c>
      <c r="G362" t="inlineStr">
        <is>
          <t>Tennis Québec</t>
        </is>
      </c>
      <c r="H362" t="inlineStr">
        <is>
          <t>Club de tennis intérieur Saguenay / École de tennis Delisle-Poirel</t>
        </is>
      </c>
      <c r="I362" t="n">
        <v>35.4</v>
      </c>
      <c r="J362" s="4" t="n">
        <v>39</v>
      </c>
      <c r="K362" t="inlineStr">
        <is>
          <t>13 / 26</t>
        </is>
      </c>
      <c r="L362" t="inlineStr">
        <is>
          <t>1 / 6</t>
        </is>
      </c>
      <c r="M362" s="5" t="n">
        <v>0.33</v>
      </c>
      <c r="N362" s="5" t="n">
        <v>0.14</v>
      </c>
    </row>
    <row r="363">
      <c r="A363" t="n">
        <v>362</v>
      </c>
      <c r="B363" t="n">
        <v>2015</v>
      </c>
      <c r="C363" t="inlineStr">
        <is>
          <t>Ruichu Rachel Piao</t>
        </is>
      </c>
      <c r="D363">
        <f>HYPERLINK("https://ota.tournamentsoftware.com/player-profile/13F65932-C96D-4F89-B571-4AA7315B2EEB", "Link")</f>
        <v/>
      </c>
      <c r="E363" s="3" t="n">
        <v>170.967</v>
      </c>
      <c r="F363" s="4" t="n">
        <v>14</v>
      </c>
      <c r="G363" t="inlineStr">
        <is>
          <t>Tennis Québec</t>
        </is>
      </c>
      <c r="H363" t="inlineStr">
        <is>
          <t>Tennis Ile- des- Soeurs</t>
        </is>
      </c>
      <c r="I363" t="inlineStr">
        <is>
          <t>unavailable</t>
        </is>
      </c>
      <c r="J363" s="4" t="n">
        <v>74</v>
      </c>
      <c r="K363" t="inlineStr">
        <is>
          <t>34 / 40</t>
        </is>
      </c>
      <c r="L363" t="inlineStr">
        <is>
          <t>7 / 12</t>
        </is>
      </c>
      <c r="M363" s="5" t="n">
        <v>0.46</v>
      </c>
      <c r="N363" s="5" t="n">
        <v>0.37</v>
      </c>
    </row>
    <row r="364">
      <c r="A364" t="n">
        <v>363</v>
      </c>
      <c r="B364" t="n">
        <v>2016</v>
      </c>
      <c r="C364" t="inlineStr">
        <is>
          <t>Dorothy Ning</t>
        </is>
      </c>
      <c r="D364">
        <f>HYPERLINK("https://ota.tournamentsoftware.com/player-profile/15BEDAE4-AB73-4AE9-B466-BA81BCA77DB1", "Link")</f>
        <v/>
      </c>
      <c r="E364" s="3" t="n">
        <v>170.72</v>
      </c>
      <c r="F364" s="4" t="n">
        <v>21</v>
      </c>
      <c r="G364" t="inlineStr">
        <is>
          <t>Ontario Tennis Association</t>
        </is>
      </c>
      <c r="H364" t="inlineStr">
        <is>
          <t>Toronto Tennis Academy</t>
        </is>
      </c>
      <c r="I364" t="inlineStr">
        <is>
          <t>unavailable</t>
        </is>
      </c>
      <c r="J364" s="4" t="n">
        <v>149</v>
      </c>
      <c r="K364" t="inlineStr">
        <is>
          <t>80 / 69</t>
        </is>
      </c>
      <c r="L364" t="inlineStr">
        <is>
          <t>21 / 14</t>
        </is>
      </c>
      <c r="M364" s="5" t="n">
        <v>0.54</v>
      </c>
      <c r="N364" s="5" t="n">
        <v>0.6</v>
      </c>
    </row>
    <row r="365">
      <c r="A365" t="n">
        <v>364</v>
      </c>
      <c r="B365" t="n">
        <v>2015</v>
      </c>
      <c r="C365" t="inlineStr">
        <is>
          <t>Adelaide Mossop</t>
        </is>
      </c>
      <c r="D365">
        <f>HYPERLINK("https://ota.tournamentsoftware.com/player-profile/0BA4F4DB-3133-41DE-9EE3-39EB4A609399", "Link")</f>
        <v/>
      </c>
      <c r="E365" s="3" t="n">
        <v>170.614</v>
      </c>
      <c r="F365" s="4" t="n">
        <v>11</v>
      </c>
      <c r="G365" t="inlineStr">
        <is>
          <t>Tennis Nova Scotia</t>
        </is>
      </c>
      <c r="H365" t="inlineStr">
        <is>
          <t>Atlantic Tennis Centre</t>
        </is>
      </c>
      <c r="I365" t="n">
        <v>35.9</v>
      </c>
      <c r="J365" s="4" t="n">
        <v>164</v>
      </c>
      <c r="K365" t="inlineStr">
        <is>
          <t>66 / 98</t>
        </is>
      </c>
      <c r="L365" t="inlineStr">
        <is>
          <t>15 / 25</t>
        </is>
      </c>
      <c r="M365" s="5" t="n">
        <v>0.4</v>
      </c>
      <c r="N365" s="5" t="n">
        <v>0.38</v>
      </c>
    </row>
    <row r="366">
      <c r="A366" t="n">
        <v>365</v>
      </c>
      <c r="B366" t="n">
        <v>2012</v>
      </c>
      <c r="C366" t="inlineStr">
        <is>
          <t>Mavis Li</t>
        </is>
      </c>
      <c r="D366">
        <f>HYPERLINK("https://ota.tournamentsoftware.com/player-profile/FC8D1AE6-D9A0-409A-A095-1B2C12EDB359", "Link")</f>
        <v/>
      </c>
      <c r="E366" s="3" t="n">
        <v>168.577</v>
      </c>
      <c r="F366" s="4" t="n">
        <v>21</v>
      </c>
      <c r="G366" t="inlineStr">
        <is>
          <t>Ontario Tennis Association</t>
        </is>
      </c>
      <c r="H366" t="inlineStr">
        <is>
          <t>Blackmore Tennis Club</t>
        </is>
      </c>
      <c r="I366" t="n">
        <v>36.4</v>
      </c>
      <c r="J366" s="4" t="n">
        <v>64</v>
      </c>
      <c r="K366" t="inlineStr">
        <is>
          <t>22 / 42</t>
        </is>
      </c>
      <c r="L366" t="inlineStr">
        <is>
          <t>7 / 25</t>
        </is>
      </c>
      <c r="M366" s="5" t="n">
        <v>0.34</v>
      </c>
      <c r="N366" s="5" t="n">
        <v>0.22</v>
      </c>
    </row>
    <row r="367">
      <c r="A367" t="n">
        <v>366</v>
      </c>
      <c r="B367" t="n">
        <v>2015</v>
      </c>
      <c r="C367" t="inlineStr">
        <is>
          <t>Nora Firoozi</t>
        </is>
      </c>
      <c r="D367">
        <f>HYPERLINK("https://ota.tournamentsoftware.com/player-profile/328F4CA8-B72D-4F94-9BB6-3F666B5E0706", "Link")</f>
        <v/>
      </c>
      <c r="E367" s="3" t="n">
        <v>167.643</v>
      </c>
      <c r="F367" s="4" t="n">
        <v>18</v>
      </c>
      <c r="G367" t="inlineStr">
        <is>
          <t>British Columbia</t>
        </is>
      </c>
      <c r="H367" t="inlineStr">
        <is>
          <t>North Vancouver Tennis Centre</t>
        </is>
      </c>
      <c r="I367" t="n">
        <v>33.5</v>
      </c>
      <c r="J367" s="4" t="n">
        <v>165</v>
      </c>
      <c r="K367" t="inlineStr">
        <is>
          <t>81 / 84</t>
        </is>
      </c>
      <c r="L367" t="inlineStr">
        <is>
          <t>15 / 18</t>
        </is>
      </c>
      <c r="M367" s="5" t="n">
        <v>0.49</v>
      </c>
      <c r="N367" s="5" t="n">
        <v>0.45</v>
      </c>
    </row>
    <row r="368">
      <c r="A368" t="n">
        <v>367</v>
      </c>
      <c r="B368" t="n">
        <v>2014</v>
      </c>
      <c r="C368" t="inlineStr">
        <is>
          <t>Hunter Anne Wilkinson</t>
        </is>
      </c>
      <c r="D368">
        <f>HYPERLINK("https://ota.tournamentsoftware.com/player-profile/EB893DF0-DCAD-49C8-BAB9-0D044090A656", "Link")</f>
        <v/>
      </c>
      <c r="E368" s="3" t="n">
        <v>167.587</v>
      </c>
      <c r="F368" s="4" t="n">
        <v>19</v>
      </c>
      <c r="G368" t="inlineStr">
        <is>
          <t>Ontario Tennis Association</t>
        </is>
      </c>
      <c r="H368" t="inlineStr">
        <is>
          <t>GSM Tennis Club</t>
        </is>
      </c>
      <c r="I368" t="n">
        <v>34.2</v>
      </c>
      <c r="J368" s="4" t="n">
        <v>182</v>
      </c>
      <c r="K368" t="inlineStr">
        <is>
          <t>87 / 95</t>
        </is>
      </c>
      <c r="L368" t="inlineStr">
        <is>
          <t>10 / 12</t>
        </is>
      </c>
      <c r="M368" s="5" t="n">
        <v>0.48</v>
      </c>
      <c r="N368" s="5" t="n">
        <v>0.45</v>
      </c>
    </row>
    <row r="369">
      <c r="A369" t="n">
        <v>368</v>
      </c>
      <c r="B369" t="n">
        <v>2012</v>
      </c>
      <c r="C369" t="inlineStr">
        <is>
          <t>Naomi Lucy McCrank</t>
        </is>
      </c>
      <c r="D369">
        <f>HYPERLINK("https://ota.tournamentsoftware.com/player-profile/68E80EA0-3999-4449-8E0B-83CC30E1EF77", "Link")</f>
        <v/>
      </c>
      <c r="E369" s="3" t="n">
        <v>166.417</v>
      </c>
      <c r="F369" s="4" t="n">
        <v>15</v>
      </c>
      <c r="G369" t="inlineStr">
        <is>
          <t>Tennis Alberta</t>
        </is>
      </c>
      <c r="H369" t="inlineStr">
        <is>
          <t>Aforza</t>
        </is>
      </c>
      <c r="I369" t="n">
        <v>33.5</v>
      </c>
      <c r="J369" s="4" t="n">
        <v>80</v>
      </c>
      <c r="K369" t="inlineStr">
        <is>
          <t>24 / 56</t>
        </is>
      </c>
      <c r="L369" t="inlineStr">
        <is>
          <t>8 / 11</t>
        </is>
      </c>
      <c r="M369" s="5" t="n">
        <v>0.3</v>
      </c>
      <c r="N369" s="5" t="n">
        <v>0.42</v>
      </c>
    </row>
    <row r="370">
      <c r="A370" t="n">
        <v>369</v>
      </c>
      <c r="B370" t="n">
        <v>2014</v>
      </c>
      <c r="C370" t="inlineStr">
        <is>
          <t>Sahana Bath</t>
        </is>
      </c>
      <c r="D370">
        <f>HYPERLINK("https://ota.tournamentsoftware.com/player-profile/25E19F82-227F-4B69-8295-16AA8F4F207F", "Link")</f>
        <v/>
      </c>
      <c r="E370" s="3" t="n">
        <v>166.164</v>
      </c>
      <c r="F370" s="4" t="n">
        <v>22</v>
      </c>
      <c r="G370" t="inlineStr">
        <is>
          <t>British Columbia</t>
        </is>
      </c>
      <c r="H370" t="inlineStr">
        <is>
          <t>The Tennis Centre</t>
        </is>
      </c>
      <c r="I370" t="n">
        <v>32.4</v>
      </c>
      <c r="J370" s="4" t="n">
        <v>171</v>
      </c>
      <c r="K370" t="inlineStr">
        <is>
          <t>98 / 73</t>
        </is>
      </c>
      <c r="L370" t="inlineStr">
        <is>
          <t>43 / 20</t>
        </is>
      </c>
      <c r="M370" s="5" t="n">
        <v>0.57</v>
      </c>
      <c r="N370" s="5" t="n">
        <v>0.68</v>
      </c>
    </row>
    <row r="371">
      <c r="A371" t="n">
        <v>370</v>
      </c>
      <c r="B371" t="n">
        <v>2014</v>
      </c>
      <c r="C371" t="inlineStr">
        <is>
          <t>Grace Li</t>
        </is>
      </c>
      <c r="D371">
        <f>HYPERLINK("https://ota.tournamentsoftware.com/player-profile/5B95D38D-7E3D-4B41-B418-6B2307ED0863", "Link")</f>
        <v/>
      </c>
      <c r="E371" s="3" t="n">
        <v>166.105</v>
      </c>
      <c r="F371" s="4" t="n">
        <v>19</v>
      </c>
      <c r="G371" t="inlineStr">
        <is>
          <t>Tennis Québec</t>
        </is>
      </c>
      <c r="H371" t="inlineStr">
        <is>
          <t>Tennis 13</t>
        </is>
      </c>
      <c r="I371" t="n">
        <v>35.1</v>
      </c>
      <c r="J371" s="4" t="n">
        <v>165</v>
      </c>
      <c r="K371" t="inlineStr">
        <is>
          <t>71 / 94</t>
        </is>
      </c>
      <c r="L371" t="inlineStr">
        <is>
          <t>7 / 13</t>
        </is>
      </c>
      <c r="M371" s="5" t="n">
        <v>0.43</v>
      </c>
      <c r="N371" s="5" t="n">
        <v>0.35</v>
      </c>
    </row>
    <row r="372">
      <c r="A372" t="n">
        <v>371</v>
      </c>
      <c r="B372" t="n">
        <v>2013</v>
      </c>
      <c r="C372" t="inlineStr">
        <is>
          <t>Adriana Juliana Tambini</t>
        </is>
      </c>
      <c r="D372">
        <f>HYPERLINK("https://ota.tournamentsoftware.com/player-profile/7D7985A7-C189-4AE6-9641-F7EA5AE89364", "Link")</f>
        <v/>
      </c>
      <c r="E372" s="3" t="n">
        <v>165.937</v>
      </c>
      <c r="F372" s="4" t="n">
        <v>7</v>
      </c>
      <c r="G372" t="inlineStr">
        <is>
          <t>Ontario Tennis Association</t>
        </is>
      </c>
      <c r="H372" t="inlineStr">
        <is>
          <t>Headwaters Racquet Club</t>
        </is>
      </c>
      <c r="I372" t="n">
        <v>38.5</v>
      </c>
      <c r="J372" s="4" t="n">
        <v>23</v>
      </c>
      <c r="K372" t="inlineStr">
        <is>
          <t>12 / 11</t>
        </is>
      </c>
      <c r="L372" t="inlineStr">
        <is>
          <t>7 / 10</t>
        </is>
      </c>
      <c r="M372" s="5" t="n">
        <v>0.52</v>
      </c>
      <c r="N372" s="5" t="n">
        <v>0.41</v>
      </c>
    </row>
    <row r="373">
      <c r="A373" t="n">
        <v>372</v>
      </c>
      <c r="B373" t="n">
        <v>2012</v>
      </c>
      <c r="C373" t="inlineStr">
        <is>
          <t>Sophia Zhang</t>
        </is>
      </c>
      <c r="D373">
        <f>HYPERLINK("https://ota.tournamentsoftware.com/player-profile/2BBD611B-69D1-4A97-AAC3-1D897498B21A", "Link")</f>
        <v/>
      </c>
      <c r="E373" s="3" t="n">
        <v>160.591</v>
      </c>
      <c r="F373" s="4" t="n">
        <v>11</v>
      </c>
      <c r="G373" t="inlineStr">
        <is>
          <t>Ontario Tennis Association</t>
        </is>
      </c>
      <c r="H373" t="inlineStr">
        <is>
          <t>Burlington Tennis Club</t>
        </is>
      </c>
      <c r="I373" t="inlineStr">
        <is>
          <t>unavailable</t>
        </is>
      </c>
      <c r="J373" s="4" t="n">
        <v>38</v>
      </c>
      <c r="K373" t="inlineStr">
        <is>
          <t>17 / 21</t>
        </is>
      </c>
      <c r="L373" t="inlineStr">
        <is>
          <t>11 / 10</t>
        </is>
      </c>
      <c r="M373" s="5" t="n">
        <v>0.45</v>
      </c>
      <c r="N373" s="5" t="n">
        <v>0.52</v>
      </c>
    </row>
    <row r="374">
      <c r="A374" t="n">
        <v>373</v>
      </c>
      <c r="B374" t="n">
        <v>2014</v>
      </c>
      <c r="C374" t="inlineStr">
        <is>
          <t>Eve Martel</t>
        </is>
      </c>
      <c r="D374">
        <f>HYPERLINK("https://ota.tournamentsoftware.com/player-profile/590DE091-4FC9-494D-A8AC-45DB223E71D8", "Link")</f>
        <v/>
      </c>
      <c r="E374" s="3" t="n">
        <v>160.307</v>
      </c>
      <c r="F374" s="4" t="n">
        <v>20</v>
      </c>
      <c r="G374" t="inlineStr">
        <is>
          <t>Tennis Québec</t>
        </is>
      </c>
      <c r="H374" t="inlineStr">
        <is>
          <t>Club Avantage Multi-sports / Académie de tennis Hérisset Bordeleau</t>
        </is>
      </c>
      <c r="I374" t="inlineStr">
        <is>
          <t>unavailable</t>
        </is>
      </c>
      <c r="J374" s="4" t="n">
        <v>127</v>
      </c>
      <c r="K374" t="inlineStr">
        <is>
          <t>41 / 86</t>
        </is>
      </c>
      <c r="L374" t="inlineStr">
        <is>
          <t>12 / 14</t>
        </is>
      </c>
      <c r="M374" s="5" t="n">
        <v>0.32</v>
      </c>
      <c r="N374" s="5" t="n">
        <v>0.46</v>
      </c>
    </row>
    <row r="375">
      <c r="A375" t="n">
        <v>374</v>
      </c>
      <c r="B375" t="n">
        <v>2013</v>
      </c>
      <c r="C375" t="inlineStr">
        <is>
          <t>Nisa Karim</t>
        </is>
      </c>
      <c r="D375">
        <f>HYPERLINK("https://ota.tournamentsoftware.com/player-profile/11CB5752-5D45-47AB-82AD-AC3D554873E5", "Link")</f>
        <v/>
      </c>
      <c r="E375" s="3" t="n">
        <v>159.711</v>
      </c>
      <c r="F375" s="4" t="n">
        <v>15</v>
      </c>
      <c r="G375" t="inlineStr">
        <is>
          <t>British Columbia</t>
        </is>
      </c>
      <c r="H375" t="inlineStr">
        <is>
          <t>Arbutus Club</t>
        </is>
      </c>
      <c r="I375" t="n">
        <v>34.9</v>
      </c>
      <c r="J375" s="4" t="n">
        <v>92</v>
      </c>
      <c r="K375" t="inlineStr">
        <is>
          <t>48 / 44</t>
        </is>
      </c>
      <c r="L375" t="inlineStr">
        <is>
          <t>14 / 18</t>
        </is>
      </c>
      <c r="M375" s="5" t="n">
        <v>0.52</v>
      </c>
      <c r="N375" s="5" t="n">
        <v>0.44</v>
      </c>
    </row>
    <row r="376">
      <c r="A376" t="n">
        <v>375</v>
      </c>
      <c r="B376" t="n">
        <v>2013</v>
      </c>
      <c r="C376" t="inlineStr">
        <is>
          <t>Jaheema Jajah Joseph</t>
        </is>
      </c>
      <c r="D376">
        <f>HYPERLINK("https://ota.tournamentsoftware.com/player-profile/2C08ABD4-0853-4E02-96D6-4CBDA8251E2A", "Link")</f>
        <v/>
      </c>
      <c r="E376" s="3" t="n">
        <v>157.451</v>
      </c>
      <c r="F376" s="4" t="n">
        <v>19</v>
      </c>
      <c r="G376" t="inlineStr">
        <is>
          <t>Tennis Québec</t>
        </is>
      </c>
      <c r="H376" t="inlineStr">
        <is>
          <t>Tennis Montréal</t>
        </is>
      </c>
      <c r="I376" t="inlineStr">
        <is>
          <t>unavailable</t>
        </is>
      </c>
      <c r="J376" s="4" t="inlineStr"/>
      <c r="K376" t="inlineStr">
        <is>
          <t>unavailable</t>
        </is>
      </c>
      <c r="L376" t="inlineStr">
        <is>
          <t>unavailable</t>
        </is>
      </c>
      <c r="M376" s="5" t="inlineStr"/>
      <c r="N376" s="5" t="inlineStr"/>
    </row>
    <row r="377">
      <c r="A377" t="n">
        <v>376</v>
      </c>
      <c r="B377" t="n">
        <v>2017</v>
      </c>
      <c r="C377" t="inlineStr">
        <is>
          <t>Yuetwing, Doris Li</t>
        </is>
      </c>
      <c r="D377">
        <f>HYPERLINK("https://ota.tournamentsoftware.com/player-profile/C901A65F-E3DE-47DE-A4BC-21149FEBA20C", "Link")</f>
        <v/>
      </c>
      <c r="E377" s="3" t="n">
        <v>157.026</v>
      </c>
      <c r="F377" s="4" t="n">
        <v>4</v>
      </c>
      <c r="G377" t="inlineStr">
        <is>
          <t>Ontario Tennis Association</t>
        </is>
      </c>
      <c r="H377" t="inlineStr">
        <is>
          <t>No Club</t>
        </is>
      </c>
      <c r="I377" t="n">
        <v>32.8</v>
      </c>
      <c r="J377" s="4" t="n">
        <v>16</v>
      </c>
      <c r="K377" t="inlineStr">
        <is>
          <t>14 / 2</t>
        </is>
      </c>
      <c r="L377" t="inlineStr">
        <is>
          <t>10 / 2</t>
        </is>
      </c>
      <c r="M377" s="5" t="n">
        <v>0.88</v>
      </c>
      <c r="N377" s="5" t="n">
        <v>0.83</v>
      </c>
    </row>
    <row r="378">
      <c r="A378" t="n">
        <v>377</v>
      </c>
      <c r="B378" t="n">
        <v>2015</v>
      </c>
      <c r="C378" t="inlineStr">
        <is>
          <t>Mikaëlla Jean-Bart</t>
        </is>
      </c>
      <c r="D378">
        <f>HYPERLINK("https://ota.tournamentsoftware.com/player-profile/5309814B-24E5-4F46-920F-74FD0DAF8C7D", "Link")</f>
        <v/>
      </c>
      <c r="E378" s="3" t="n">
        <v>156.089</v>
      </c>
      <c r="F378" s="4" t="n">
        <v>14</v>
      </c>
      <c r="G378" t="inlineStr">
        <is>
          <t>Tennis Québec</t>
        </is>
      </c>
      <c r="H378" t="inlineStr">
        <is>
          <t>Centre récréatif de Repentigny / Académie Tennis Momentum</t>
        </is>
      </c>
      <c r="I378" t="n">
        <v>34.2</v>
      </c>
      <c r="J378" s="4" t="n">
        <v>72</v>
      </c>
      <c r="K378" t="inlineStr">
        <is>
          <t>29 / 43</t>
        </is>
      </c>
      <c r="L378" t="inlineStr">
        <is>
          <t>12 / 15</t>
        </is>
      </c>
      <c r="M378" s="5" t="n">
        <v>0.4</v>
      </c>
      <c r="N378" s="5" t="n">
        <v>0.44</v>
      </c>
    </row>
    <row r="379">
      <c r="A379" t="n">
        <v>378</v>
      </c>
      <c r="B379" t="n">
        <v>2013</v>
      </c>
      <c r="C379" t="inlineStr">
        <is>
          <t>Kate Penalba</t>
        </is>
      </c>
      <c r="D379">
        <f>HYPERLINK("https://ota.tournamentsoftware.com/player-profile/C3F08CFB-765E-4234-8D01-16CB3E717037", "Link")</f>
        <v/>
      </c>
      <c r="E379" s="3" t="n">
        <v>154.591</v>
      </c>
      <c r="F379" s="4" t="n">
        <v>15</v>
      </c>
      <c r="G379" t="inlineStr">
        <is>
          <t>Ontario Tennis Association</t>
        </is>
      </c>
      <c r="H379" t="inlineStr">
        <is>
          <t>Henry Farm Tennis Club</t>
        </is>
      </c>
      <c r="I379" t="n">
        <v>34.9</v>
      </c>
      <c r="J379" s="4" t="n">
        <v>126</v>
      </c>
      <c r="K379" t="inlineStr">
        <is>
          <t>51 / 75</t>
        </is>
      </c>
      <c r="L379" t="inlineStr">
        <is>
          <t>8 / 14</t>
        </is>
      </c>
      <c r="M379" s="5" t="n">
        <v>0.4</v>
      </c>
      <c r="N379" s="5" t="n">
        <v>0.36</v>
      </c>
    </row>
    <row r="380">
      <c r="A380" t="n">
        <v>379</v>
      </c>
      <c r="B380" t="n">
        <v>2013</v>
      </c>
      <c r="C380" t="inlineStr">
        <is>
          <t>Gabrielle Pompa</t>
        </is>
      </c>
      <c r="D380">
        <f>HYPERLINK("https://ota.tournamentsoftware.com/player-profile/668A29C0-962F-4DAD-B317-933787C09DCF", "Link")</f>
        <v/>
      </c>
      <c r="E380" s="3" t="n">
        <v>153.753</v>
      </c>
      <c r="F380" s="4" t="n">
        <v>7</v>
      </c>
      <c r="G380" t="inlineStr">
        <is>
          <t>Tennis Alberta</t>
        </is>
      </c>
      <c r="H380" t="inlineStr">
        <is>
          <t>Aforza</t>
        </is>
      </c>
      <c r="I380" t="n">
        <v>29.2</v>
      </c>
      <c r="J380" s="4" t="n">
        <v>162</v>
      </c>
      <c r="K380" t="inlineStr">
        <is>
          <t>111 / 51</t>
        </is>
      </c>
      <c r="L380" t="inlineStr">
        <is>
          <t>6 / 4</t>
        </is>
      </c>
      <c r="M380" s="5" t="n">
        <v>0.6899999999999999</v>
      </c>
      <c r="N380" s="5" t="n">
        <v>0.6</v>
      </c>
    </row>
    <row r="381">
      <c r="A381" t="n">
        <v>380</v>
      </c>
      <c r="B381" t="n">
        <v>2017</v>
      </c>
      <c r="C381" t="inlineStr">
        <is>
          <t>Nalayah Smith</t>
        </is>
      </c>
      <c r="D381">
        <f>HYPERLINK("https://ota.tournamentsoftware.com/player-profile/6F913BA8-58BB-4BEE-9CA1-8E064E1332B8", "Link")</f>
        <v/>
      </c>
      <c r="E381" s="3" t="n">
        <v>153.154</v>
      </c>
      <c r="F381" s="4" t="n">
        <v>18</v>
      </c>
      <c r="G381" t="inlineStr">
        <is>
          <t>Ontario Tennis Association</t>
        </is>
      </c>
      <c r="H381" t="inlineStr">
        <is>
          <t>SmartVMC Racquetsports by ACE</t>
        </is>
      </c>
      <c r="I381" t="n">
        <v>33.3</v>
      </c>
      <c r="J381" s="4" t="n">
        <v>130</v>
      </c>
      <c r="K381" t="inlineStr">
        <is>
          <t>83 / 47</t>
        </is>
      </c>
      <c r="L381" t="inlineStr">
        <is>
          <t>28 / 14</t>
        </is>
      </c>
      <c r="M381" s="5" t="n">
        <v>0.64</v>
      </c>
      <c r="N381" s="5" t="n">
        <v>0.67</v>
      </c>
    </row>
    <row r="382">
      <c r="A382" t="n">
        <v>381</v>
      </c>
      <c r="B382" t="n">
        <v>2014</v>
      </c>
      <c r="C382" t="inlineStr">
        <is>
          <t>Andrea Robles Sgambatti</t>
        </is>
      </c>
      <c r="D382">
        <f>HYPERLINK("https://ota.tournamentsoftware.com/player-profile/842B5763-8026-4DFF-BD28-4FA110C3A345", "Link")</f>
        <v/>
      </c>
      <c r="E382" s="3" t="n">
        <v>152.162</v>
      </c>
      <c r="F382" s="4" t="n">
        <v>17</v>
      </c>
      <c r="G382" t="inlineStr">
        <is>
          <t>Tennis Alberta</t>
        </is>
      </c>
      <c r="H382" t="inlineStr">
        <is>
          <t>Osten &amp; Victor Alberta Tennis Centre</t>
        </is>
      </c>
      <c r="I382" t="n">
        <v>34.2</v>
      </c>
      <c r="J382" s="4" t="n">
        <v>150</v>
      </c>
      <c r="K382" t="inlineStr">
        <is>
          <t>62 / 88</t>
        </is>
      </c>
      <c r="L382" t="inlineStr">
        <is>
          <t>13 / 20</t>
        </is>
      </c>
      <c r="M382" s="5" t="n">
        <v>0.41</v>
      </c>
      <c r="N382" s="5" t="n">
        <v>0.39</v>
      </c>
    </row>
    <row r="383">
      <c r="A383" t="n">
        <v>382</v>
      </c>
      <c r="B383" t="n">
        <v>2017</v>
      </c>
      <c r="C383" t="inlineStr">
        <is>
          <t>Ella Nicolaeva</t>
        </is>
      </c>
      <c r="D383">
        <f>HYPERLINK("https://ota.tournamentsoftware.com/player-profile/7A11DAF6-4353-49AB-8591-07AB86D11272", "Link")</f>
        <v/>
      </c>
      <c r="E383" s="3" t="n">
        <v>150.858</v>
      </c>
      <c r="F383" s="4" t="n">
        <v>35</v>
      </c>
      <c r="G383" t="inlineStr">
        <is>
          <t>Ontario Tennis Association</t>
        </is>
      </c>
      <c r="H383" t="inlineStr">
        <is>
          <t>Valan Tennis Academy</t>
        </is>
      </c>
      <c r="I383" t="n">
        <v>34.1</v>
      </c>
      <c r="J383" s="4" t="n">
        <v>183</v>
      </c>
      <c r="K383" t="inlineStr">
        <is>
          <t>128 / 55</t>
        </is>
      </c>
      <c r="L383" t="inlineStr">
        <is>
          <t>39 / 25</t>
        </is>
      </c>
      <c r="M383" s="5" t="n">
        <v>0.7</v>
      </c>
      <c r="N383" s="5" t="n">
        <v>0.61</v>
      </c>
    </row>
    <row r="384">
      <c r="A384" t="n">
        <v>383</v>
      </c>
      <c r="B384" t="n">
        <v>2014</v>
      </c>
      <c r="C384" t="inlineStr">
        <is>
          <t>Rain Yu Chan</t>
        </is>
      </c>
      <c r="D384">
        <f>HYPERLINK("https://ota.tournamentsoftware.com/player-profile/BF26AD2D-BAAC-4E82-A862-14039C1584F2", "Link")</f>
        <v/>
      </c>
      <c r="E384" s="3" t="n">
        <v>150.379</v>
      </c>
      <c r="F384" s="4" t="n">
        <v>33</v>
      </c>
      <c r="G384" t="inlineStr">
        <is>
          <t>British Columbia</t>
        </is>
      </c>
      <c r="H384" t="inlineStr">
        <is>
          <t>Burnaby Tennis Club</t>
        </is>
      </c>
      <c r="I384" t="inlineStr">
        <is>
          <t>unavailable</t>
        </is>
      </c>
      <c r="J384" s="4" t="n">
        <v>201</v>
      </c>
      <c r="K384" t="inlineStr">
        <is>
          <t>94 / 107</t>
        </is>
      </c>
      <c r="L384" t="inlineStr">
        <is>
          <t>28 / 30</t>
        </is>
      </c>
      <c r="M384" s="5" t="n">
        <v>0.47</v>
      </c>
      <c r="N384" s="5" t="n">
        <v>0.48</v>
      </c>
    </row>
    <row r="385">
      <c r="A385" t="n">
        <v>384</v>
      </c>
      <c r="B385" t="n">
        <v>2013</v>
      </c>
      <c r="C385" t="inlineStr">
        <is>
          <t>Aarushi Pal</t>
        </is>
      </c>
      <c r="D385">
        <f>HYPERLINK("https://ota.tournamentsoftware.com/player-profile/F5E1E459-0A97-4C1F-8F37-D8CEF64DA1FA", "Link")</f>
        <v/>
      </c>
      <c r="E385" s="3" t="n">
        <v>149.571</v>
      </c>
      <c r="F385" s="4" t="n">
        <v>14</v>
      </c>
      <c r="G385" t="inlineStr">
        <is>
          <t>Tennis Alberta</t>
        </is>
      </c>
      <c r="H385" t="inlineStr">
        <is>
          <t>Osten &amp; Victor Alberta Tennis Centre</t>
        </is>
      </c>
      <c r="I385" t="n">
        <v>33.8</v>
      </c>
      <c r="J385" s="4" t="n">
        <v>165</v>
      </c>
      <c r="K385" t="inlineStr">
        <is>
          <t>81 / 84</t>
        </is>
      </c>
      <c r="L385" t="inlineStr">
        <is>
          <t>5 / 12</t>
        </is>
      </c>
      <c r="M385" s="5" t="n">
        <v>0.49</v>
      </c>
      <c r="N385" s="5" t="n">
        <v>0.29</v>
      </c>
    </row>
    <row r="386">
      <c r="A386" t="n">
        <v>385</v>
      </c>
      <c r="B386" t="n">
        <v>2012</v>
      </c>
      <c r="C386" t="inlineStr">
        <is>
          <t>Aila Olivia Brimacombe</t>
        </is>
      </c>
      <c r="D386">
        <f>HYPERLINK("https://ota.tournamentsoftware.com/player-profile/665F5A6C-3B65-4541-A5CF-6A84DC235104", "Link")</f>
        <v/>
      </c>
      <c r="E386" s="3" t="n">
        <v>147.688</v>
      </c>
      <c r="F386" s="4" t="n">
        <v>23</v>
      </c>
      <c r="G386" t="inlineStr">
        <is>
          <t>British Columbia</t>
        </is>
      </c>
      <c r="H386" t="inlineStr">
        <is>
          <t>West Vancouver Tennis Club</t>
        </is>
      </c>
      <c r="I386" t="n">
        <v>35.6</v>
      </c>
      <c r="J386" s="4" t="n">
        <v>115</v>
      </c>
      <c r="K386" t="inlineStr">
        <is>
          <t>19 / 96</t>
        </is>
      </c>
      <c r="L386" t="inlineStr">
        <is>
          <t>9 / 31</t>
        </is>
      </c>
      <c r="M386" s="5" t="n">
        <v>0.17</v>
      </c>
      <c r="N386" s="5" t="n">
        <v>0.23</v>
      </c>
    </row>
    <row r="387">
      <c r="A387" t="n">
        <v>386</v>
      </c>
      <c r="B387" t="n">
        <v>2013</v>
      </c>
      <c r="C387" t="inlineStr">
        <is>
          <t>Renée Jugalbot</t>
        </is>
      </c>
      <c r="D387">
        <f>HYPERLINK("https://ota.tournamentsoftware.com/player-profile/A487A79B-AB42-4314-BD75-6EFD99F64BC7", "Link")</f>
        <v/>
      </c>
      <c r="E387" s="3" t="n">
        <v>147.673</v>
      </c>
      <c r="F387" s="4" t="n">
        <v>25</v>
      </c>
      <c r="G387" t="inlineStr">
        <is>
          <t>Ontario Tennis Association</t>
        </is>
      </c>
      <c r="H387" t="inlineStr">
        <is>
          <t>Rosedale Tennis Club (Hamilton)</t>
        </is>
      </c>
      <c r="I387" t="n">
        <v>36.4</v>
      </c>
      <c r="J387" s="4" t="n">
        <v>84</v>
      </c>
      <c r="K387" t="inlineStr">
        <is>
          <t>34 / 50</t>
        </is>
      </c>
      <c r="L387" t="inlineStr">
        <is>
          <t>16 / 23</t>
        </is>
      </c>
      <c r="M387" s="5" t="n">
        <v>0.4</v>
      </c>
      <c r="N387" s="5" t="n">
        <v>0.41</v>
      </c>
    </row>
    <row r="388">
      <c r="A388" t="n">
        <v>387</v>
      </c>
      <c r="B388" t="n">
        <v>2015</v>
      </c>
      <c r="C388" t="inlineStr">
        <is>
          <t>Stefaniia Grimailo</t>
        </is>
      </c>
      <c r="D388">
        <f>HYPERLINK("https://ota.tournamentsoftware.com/player-profile/63AAF188-F773-4BFA-B6C2-97B1DFB9AF3A", "Link")</f>
        <v/>
      </c>
      <c r="E388" s="3" t="n">
        <v>147.389</v>
      </c>
      <c r="F388" s="4" t="n">
        <v>9</v>
      </c>
      <c r="G388" t="inlineStr">
        <is>
          <t>Tennis Manitoba</t>
        </is>
      </c>
      <c r="H388" t="inlineStr">
        <is>
          <t>Winnipeg Winter Club</t>
        </is>
      </c>
      <c r="I388" t="n">
        <v>38.6</v>
      </c>
      <c r="J388" s="4" t="n">
        <v>64</v>
      </c>
      <c r="K388" t="inlineStr">
        <is>
          <t>9 / 55</t>
        </is>
      </c>
      <c r="L388" t="inlineStr">
        <is>
          <t>2 / 25</t>
        </is>
      </c>
      <c r="M388" s="5" t="n">
        <v>0.14</v>
      </c>
      <c r="N388" s="5" t="n">
        <v>0.07000000000000001</v>
      </c>
    </row>
    <row r="389">
      <c r="A389" t="n">
        <v>388</v>
      </c>
      <c r="B389" t="n">
        <v>2012</v>
      </c>
      <c r="C389" t="inlineStr">
        <is>
          <t>Gaëlle Jodoin</t>
        </is>
      </c>
      <c r="D389">
        <f>HYPERLINK("https://ota.tournamentsoftware.com/player-profile/A3792AFC-E32E-4258-8FA9-9240021C6401", "Link")</f>
        <v/>
      </c>
      <c r="E389" s="3" t="n">
        <v>147.089</v>
      </c>
      <c r="F389" s="4" t="n">
        <v>5</v>
      </c>
      <c r="G389" t="inlineStr">
        <is>
          <t>Tennis Québec</t>
        </is>
      </c>
      <c r="H389" t="inlineStr">
        <is>
          <t>Tennis 13</t>
        </is>
      </c>
      <c r="I389" t="n">
        <v>38.5</v>
      </c>
      <c r="J389" s="4" t="n">
        <v>87</v>
      </c>
      <c r="K389" t="inlineStr">
        <is>
          <t>14 / 73</t>
        </is>
      </c>
      <c r="L389" t="inlineStr">
        <is>
          <t>0 / 3</t>
        </is>
      </c>
      <c r="M389" s="5" t="n">
        <v>0.16</v>
      </c>
      <c r="N389" s="5" t="n">
        <v>0</v>
      </c>
    </row>
    <row r="390">
      <c r="A390" t="n">
        <v>389</v>
      </c>
      <c r="B390" t="n">
        <v>2012</v>
      </c>
      <c r="C390" t="inlineStr">
        <is>
          <t>Chloe Park</t>
        </is>
      </c>
      <c r="D390">
        <f>HYPERLINK("https://ota.tournamentsoftware.com/player-profile/FD8FB9A4-F5D9-4A90-AA66-D8E6FC3D3BC5", "Link")</f>
        <v/>
      </c>
      <c r="E390" s="3" t="n">
        <v>146.362</v>
      </c>
      <c r="F390" s="4" t="n">
        <v>4</v>
      </c>
      <c r="G390" t="inlineStr">
        <is>
          <t>Tennis Prince Edward Island</t>
        </is>
      </c>
      <c r="H390" t="inlineStr">
        <is>
          <t>No Club</t>
        </is>
      </c>
      <c r="I390" t="n">
        <v>36.6</v>
      </c>
      <c r="J390" s="4" t="n">
        <v>48</v>
      </c>
      <c r="K390" t="inlineStr">
        <is>
          <t>9 / 39</t>
        </is>
      </c>
      <c r="L390" t="inlineStr">
        <is>
          <t>4 / 8</t>
        </is>
      </c>
      <c r="M390" s="5" t="n">
        <v>0.19</v>
      </c>
      <c r="N390" s="5" t="n">
        <v>0.33</v>
      </c>
    </row>
    <row r="391">
      <c r="A391" t="n">
        <v>390</v>
      </c>
      <c r="B391" t="n">
        <v>2015</v>
      </c>
      <c r="C391" t="inlineStr">
        <is>
          <t>Emma Lucenti</t>
        </is>
      </c>
      <c r="D391">
        <f>HYPERLINK("https://ota.tournamentsoftware.com/player-profile/F174A813-5F1A-4B24-BDFF-B6E6160FE2EB", "Link")</f>
        <v/>
      </c>
      <c r="E391" s="3" t="n">
        <v>146.068</v>
      </c>
      <c r="F391" s="4" t="n">
        <v>10</v>
      </c>
      <c r="G391" t="inlineStr">
        <is>
          <t>Ontario Tennis Association</t>
        </is>
      </c>
      <c r="H391" t="inlineStr">
        <is>
          <t>SmartVMC Racquetsports by ACE</t>
        </is>
      </c>
      <c r="I391" t="n">
        <v>35.7</v>
      </c>
      <c r="J391" s="4" t="n">
        <v>81</v>
      </c>
      <c r="K391" t="inlineStr">
        <is>
          <t>28 / 53</t>
        </is>
      </c>
      <c r="L391" t="inlineStr">
        <is>
          <t>7 / 11</t>
        </is>
      </c>
      <c r="M391" s="5" t="n">
        <v>0.35</v>
      </c>
      <c r="N391" s="5" t="n">
        <v>0.39</v>
      </c>
    </row>
    <row r="392">
      <c r="A392" t="n">
        <v>391</v>
      </c>
      <c r="B392" t="n">
        <v>2015</v>
      </c>
      <c r="C392" t="inlineStr">
        <is>
          <t>Elaina York</t>
        </is>
      </c>
      <c r="D392">
        <f>HYPERLINK("https://ota.tournamentsoftware.com/player-profile/7D4D2F10-C754-4560-B490-903FD1C70ADE", "Link")</f>
        <v/>
      </c>
      <c r="E392" s="3" t="n">
        <v>145.952</v>
      </c>
      <c r="F392" s="4" t="n">
        <v>16</v>
      </c>
      <c r="G392" t="inlineStr">
        <is>
          <t>Tennis Alberta</t>
        </is>
      </c>
      <c r="H392" t="inlineStr">
        <is>
          <t>Aforza</t>
        </is>
      </c>
      <c r="I392" t="n">
        <v>34.9</v>
      </c>
      <c r="J392" s="4" t="n">
        <v>149</v>
      </c>
      <c r="K392" t="inlineStr">
        <is>
          <t>61 / 88</t>
        </is>
      </c>
      <c r="L392" t="inlineStr">
        <is>
          <t>15 / 23</t>
        </is>
      </c>
      <c r="M392" s="5" t="n">
        <v>0.41</v>
      </c>
      <c r="N392" s="5" t="n">
        <v>0.39</v>
      </c>
    </row>
    <row r="393">
      <c r="A393" t="n">
        <v>392</v>
      </c>
      <c r="B393" t="n">
        <v>2014</v>
      </c>
      <c r="C393" t="inlineStr">
        <is>
          <t>Sofia Zhuchenko</t>
        </is>
      </c>
      <c r="D393">
        <f>HYPERLINK("https://ota.tournamentsoftware.com/player-profile/F633DD21-A0C3-4CAC-B560-7222D07936B7", "Link")</f>
        <v/>
      </c>
      <c r="E393" s="3" t="n">
        <v>145.261</v>
      </c>
      <c r="F393" s="4" t="n">
        <v>15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33.5</v>
      </c>
      <c r="J393" s="4" t="n">
        <v>111</v>
      </c>
      <c r="K393" t="inlineStr">
        <is>
          <t>43 / 68</t>
        </is>
      </c>
      <c r="L393" t="inlineStr">
        <is>
          <t>13 / 18</t>
        </is>
      </c>
      <c r="M393" s="5" t="n">
        <v>0.39</v>
      </c>
      <c r="N393" s="5" t="n">
        <v>0.42</v>
      </c>
    </row>
    <row r="394">
      <c r="A394" t="n">
        <v>393</v>
      </c>
      <c r="B394" t="n">
        <v>2013</v>
      </c>
      <c r="C394" t="inlineStr">
        <is>
          <t>Diya Vasudeva</t>
        </is>
      </c>
      <c r="D394">
        <f>HYPERLINK("https://ota.tournamentsoftware.com/player-profile/81C22EEF-F10A-4447-AF45-2B9B6D1A7F5B", "Link")</f>
        <v/>
      </c>
      <c r="E394" s="3" t="n">
        <v>145.02</v>
      </c>
      <c r="F394" s="4" t="n">
        <v>8</v>
      </c>
      <c r="G394" t="inlineStr">
        <is>
          <t>Ontario Tennis Association</t>
        </is>
      </c>
      <c r="H394" t="inlineStr">
        <is>
          <t>ACE Tennis - Burlington</t>
        </is>
      </c>
      <c r="I394" t="n">
        <v>36.3</v>
      </c>
      <c r="J394" s="4" t="n">
        <v>99</v>
      </c>
      <c r="K394" t="inlineStr">
        <is>
          <t>34 / 65</t>
        </is>
      </c>
      <c r="L394" t="inlineStr">
        <is>
          <t>5 / 10</t>
        </is>
      </c>
      <c r="M394" s="5" t="n">
        <v>0.34</v>
      </c>
      <c r="N394" s="5" t="n">
        <v>0.33</v>
      </c>
    </row>
    <row r="395">
      <c r="A395" t="n">
        <v>394</v>
      </c>
      <c r="B395" t="n">
        <v>2014</v>
      </c>
      <c r="C395" t="inlineStr">
        <is>
          <t>Kira Wong</t>
        </is>
      </c>
      <c r="D395">
        <f>HYPERLINK("https://ota.tournamentsoftware.com/player-profile/E305B648-4548-45A0-B043-623E1473C7E5", "Link")</f>
        <v/>
      </c>
      <c r="E395" s="3" t="n">
        <v>144.621</v>
      </c>
      <c r="F395" s="4" t="n">
        <v>24</v>
      </c>
      <c r="G395" t="inlineStr">
        <is>
          <t>Tennis Alberta</t>
        </is>
      </c>
      <c r="H395" t="inlineStr">
        <is>
          <t>Aforza</t>
        </is>
      </c>
      <c r="I395" t="n">
        <v>35.2</v>
      </c>
      <c r="J395" s="4" t="n">
        <v>130</v>
      </c>
      <c r="K395" t="inlineStr">
        <is>
          <t>48 / 82</t>
        </is>
      </c>
      <c r="L395" t="inlineStr">
        <is>
          <t>24 / 28</t>
        </is>
      </c>
      <c r="M395" s="5" t="n">
        <v>0.37</v>
      </c>
      <c r="N395" s="5" t="n">
        <v>0.46</v>
      </c>
    </row>
    <row r="396">
      <c r="A396" t="n">
        <v>395</v>
      </c>
      <c r="B396" t="n">
        <v>2012</v>
      </c>
      <c r="C396" t="inlineStr">
        <is>
          <t>Xinyi Zhang</t>
        </is>
      </c>
      <c r="D396">
        <f>HYPERLINK("https://ota.tournamentsoftware.com/player-profile/BCC8B346-C184-4803-9CC2-592D143B667B", "Link")</f>
        <v/>
      </c>
      <c r="E396" s="3" t="n">
        <v>144.06</v>
      </c>
      <c r="F396" s="4" t="n">
        <v>15</v>
      </c>
      <c r="G396" t="inlineStr">
        <is>
          <t>Ontario Tennis Association</t>
        </is>
      </c>
      <c r="H396" t="inlineStr">
        <is>
          <t>Marilyn Redvers Tennis Club</t>
        </is>
      </c>
      <c r="I396" t="n">
        <v>34.3</v>
      </c>
      <c r="J396" s="4" t="n">
        <v>47</v>
      </c>
      <c r="K396" t="inlineStr">
        <is>
          <t>23 / 24</t>
        </is>
      </c>
      <c r="L396" t="inlineStr">
        <is>
          <t>12 / 16</t>
        </is>
      </c>
      <c r="M396" s="5" t="n">
        <v>0.49</v>
      </c>
      <c r="N396" s="5" t="n">
        <v>0.43</v>
      </c>
    </row>
    <row r="397">
      <c r="A397" t="n">
        <v>396</v>
      </c>
      <c r="B397" t="n">
        <v>2016</v>
      </c>
      <c r="C397" t="inlineStr">
        <is>
          <t>Milana Piazza</t>
        </is>
      </c>
      <c r="D397">
        <f>HYPERLINK("https://ota.tournamentsoftware.com/player-profile/4CDBB0C3-0D8B-4D7B-873C-3CEC65600FA0", "Link")</f>
        <v/>
      </c>
      <c r="E397" s="3" t="n">
        <v>144.058</v>
      </c>
      <c r="F397" s="4" t="n">
        <v>12</v>
      </c>
      <c r="G397" t="inlineStr">
        <is>
          <t>Tennis Québec</t>
        </is>
      </c>
      <c r="H397" t="inlineStr">
        <is>
          <t>Tennis 13</t>
        </is>
      </c>
      <c r="I397" t="n">
        <v>32.8</v>
      </c>
      <c r="J397" s="4" t="n">
        <v>92</v>
      </c>
      <c r="K397" t="inlineStr">
        <is>
          <t>56 / 36</t>
        </is>
      </c>
      <c r="L397" t="inlineStr">
        <is>
          <t>23 / 8</t>
        </is>
      </c>
      <c r="M397" s="5" t="n">
        <v>0.61</v>
      </c>
      <c r="N397" s="5" t="n">
        <v>0.74</v>
      </c>
    </row>
    <row r="398">
      <c r="A398" t="n">
        <v>397</v>
      </c>
      <c r="B398" t="n">
        <v>2015</v>
      </c>
      <c r="C398" t="inlineStr">
        <is>
          <t>Vera Toptounov</t>
        </is>
      </c>
      <c r="D398">
        <f>HYPERLINK("https://ota.tournamentsoftware.com/player-profile/6AC05446-ED22-406D-9460-F30F3FC8B16B", "Link")</f>
        <v/>
      </c>
      <c r="E398" s="3" t="n">
        <v>144.013</v>
      </c>
      <c r="F398" s="4" t="n">
        <v>19</v>
      </c>
      <c r="G398" t="inlineStr">
        <is>
          <t>Ontario Tennis Association</t>
        </is>
      </c>
      <c r="H398" t="inlineStr">
        <is>
          <t>SmartVMC Racquetsports by ACE</t>
        </is>
      </c>
      <c r="I398" t="n">
        <v>35.5</v>
      </c>
      <c r="J398" s="4" t="n">
        <v>105</v>
      </c>
      <c r="K398" t="inlineStr">
        <is>
          <t>46 / 59</t>
        </is>
      </c>
      <c r="L398" t="inlineStr">
        <is>
          <t>12 / 15</t>
        </is>
      </c>
      <c r="M398" s="5" t="n">
        <v>0.44</v>
      </c>
      <c r="N398" s="5" t="n">
        <v>0.44</v>
      </c>
    </row>
    <row r="399">
      <c r="A399" t="n">
        <v>398</v>
      </c>
      <c r="B399" t="n">
        <v>2014</v>
      </c>
      <c r="C399" t="inlineStr">
        <is>
          <t>Grace Wu</t>
        </is>
      </c>
      <c r="D399">
        <f>HYPERLINK("https://ota.tournamentsoftware.com/player-profile/0E55C3D7-7F72-4CDB-9BC3-2D90797931A5", "Link")</f>
        <v/>
      </c>
      <c r="E399" s="3" t="n">
        <v>142.818</v>
      </c>
      <c r="F399" s="4" t="n">
        <v>8</v>
      </c>
      <c r="G399" t="inlineStr">
        <is>
          <t>British Columbia</t>
        </is>
      </c>
      <c r="H399" t="inlineStr">
        <is>
          <t>The Tennis Centre</t>
        </is>
      </c>
      <c r="I399" t="n">
        <v>32.1</v>
      </c>
      <c r="J399" s="4" t="n">
        <v>96</v>
      </c>
      <c r="K399" t="inlineStr">
        <is>
          <t>63 / 33</t>
        </is>
      </c>
      <c r="L399" t="inlineStr">
        <is>
          <t>3 / 4</t>
        </is>
      </c>
      <c r="M399" s="5" t="n">
        <v>0.66</v>
      </c>
      <c r="N399" s="5" t="n">
        <v>0.43</v>
      </c>
    </row>
    <row r="400">
      <c r="A400" t="n">
        <v>399</v>
      </c>
      <c r="B400" t="n">
        <v>2015</v>
      </c>
      <c r="C400" t="inlineStr">
        <is>
          <t>Theia Zhang</t>
        </is>
      </c>
      <c r="D400">
        <f>HYPERLINK("https://ota.tournamentsoftware.com/player-profile/8628DB3F-1A24-45E1-A1F1-727AFFD593DD", "Link")</f>
        <v/>
      </c>
      <c r="E400" s="3" t="n">
        <v>142.594</v>
      </c>
      <c r="F400" s="4" t="n">
        <v>11</v>
      </c>
      <c r="G400" t="inlineStr">
        <is>
          <t>Ontario Tennis Association</t>
        </is>
      </c>
      <c r="H400" t="inlineStr">
        <is>
          <t>Premier Racquet Clubs – Mississauga</t>
        </is>
      </c>
      <c r="I400" t="n">
        <v>35.8</v>
      </c>
      <c r="J400" s="4" t="n">
        <v>102</v>
      </c>
      <c r="K400" t="inlineStr">
        <is>
          <t>48 / 54</t>
        </is>
      </c>
      <c r="L400" t="inlineStr">
        <is>
          <t>1 / 6</t>
        </is>
      </c>
      <c r="M400" s="5" t="n">
        <v>0.47</v>
      </c>
      <c r="N400" s="5" t="n">
        <v>0.14</v>
      </c>
    </row>
    <row r="401">
      <c r="A401" t="n">
        <v>400</v>
      </c>
      <c r="B401" t="n">
        <v>2012</v>
      </c>
      <c r="C401" t="inlineStr">
        <is>
          <t>Stefaniia Petrova</t>
        </is>
      </c>
      <c r="D401">
        <f>HYPERLINK("https://ota.tournamentsoftware.com/player-profile/23727B96-731B-4DBB-9789-81399E2B9950", "Link")</f>
        <v/>
      </c>
      <c r="E401" s="3" t="n">
        <v>141.48</v>
      </c>
      <c r="F401" s="4" t="n">
        <v>3</v>
      </c>
      <c r="G401" t="inlineStr">
        <is>
          <t>Ontario Tennis Association</t>
        </is>
      </c>
      <c r="H401" t="inlineStr">
        <is>
          <t>No Club</t>
        </is>
      </c>
      <c r="I401" t="n">
        <v>28.7</v>
      </c>
      <c r="J401" s="4" t="n">
        <v>301</v>
      </c>
      <c r="K401" t="inlineStr">
        <is>
          <t>177 / 124</t>
        </is>
      </c>
      <c r="L401" t="inlineStr">
        <is>
          <t>0 / 0</t>
        </is>
      </c>
      <c r="M401" s="5" t="n">
        <v>0.59</v>
      </c>
      <c r="N401" s="5" t="n">
        <v>0</v>
      </c>
    </row>
    <row r="402">
      <c r="A402" t="n">
        <v>401</v>
      </c>
      <c r="B402" t="n">
        <v>2012</v>
      </c>
      <c r="C402" t="inlineStr">
        <is>
          <t>Naomi Brown</t>
        </is>
      </c>
      <c r="D402">
        <f>HYPERLINK("https://ota.tournamentsoftware.com/player-profile/3302BB60-F05F-49BC-8E90-BE5B9A063576", "Link")</f>
        <v/>
      </c>
      <c r="E402" s="3" t="n">
        <v>141.455</v>
      </c>
      <c r="F402" s="4" t="n">
        <v>6</v>
      </c>
      <c r="G402" t="inlineStr">
        <is>
          <t>Ontario Tennis Association</t>
        </is>
      </c>
      <c r="H402" t="inlineStr">
        <is>
          <t>Milton Tennis Club</t>
        </is>
      </c>
      <c r="I402" t="inlineStr">
        <is>
          <t>unavailable</t>
        </is>
      </c>
      <c r="J402" s="4" t="n">
        <v>77</v>
      </c>
      <c r="K402" t="inlineStr">
        <is>
          <t>34 / 43</t>
        </is>
      </c>
      <c r="L402" t="inlineStr">
        <is>
          <t>6 / 5</t>
        </is>
      </c>
      <c r="M402" s="5" t="n">
        <v>0.44</v>
      </c>
      <c r="N402" s="5" t="n">
        <v>0.55</v>
      </c>
    </row>
    <row r="403">
      <c r="A403" t="n">
        <v>402</v>
      </c>
      <c r="B403" t="n">
        <v>2012</v>
      </c>
      <c r="C403" t="inlineStr">
        <is>
          <t>Spencer Xie</t>
        </is>
      </c>
      <c r="D403">
        <f>HYPERLINK("https://ota.tournamentsoftware.com/player-profile/E8C882F3-740E-4E76-A249-7FC036AFD1F8", "Link")</f>
        <v/>
      </c>
      <c r="E403" s="3" t="n">
        <v>138.244</v>
      </c>
      <c r="F403" s="4" t="n">
        <v>13</v>
      </c>
      <c r="G403" t="inlineStr">
        <is>
          <t>Ontario Tennis Association</t>
        </is>
      </c>
      <c r="H403" t="inlineStr">
        <is>
          <t>Granite Club</t>
        </is>
      </c>
      <c r="I403" t="n">
        <v>35.2</v>
      </c>
      <c r="J403" s="4" t="n">
        <v>71</v>
      </c>
      <c r="K403" t="inlineStr">
        <is>
          <t>19 / 52</t>
        </is>
      </c>
      <c r="L403" t="inlineStr">
        <is>
          <t>6 / 13</t>
        </is>
      </c>
      <c r="M403" s="5" t="n">
        <v>0.27</v>
      </c>
      <c r="N403" s="5" t="n">
        <v>0.32</v>
      </c>
    </row>
    <row r="404">
      <c r="A404" t="n">
        <v>403</v>
      </c>
      <c r="B404" t="n">
        <v>2012</v>
      </c>
      <c r="C404" t="inlineStr">
        <is>
          <t>Emily Zhang</t>
        </is>
      </c>
      <c r="D404">
        <f>HYPERLINK("https://ota.tournamentsoftware.com/player-profile/927E8E34-8FE2-4B37-81C7-621F5326585C", "Link")</f>
        <v/>
      </c>
      <c r="E404" s="3" t="n">
        <v>135.836</v>
      </c>
      <c r="F404" s="4" t="n">
        <v>9</v>
      </c>
      <c r="G404" t="inlineStr">
        <is>
          <t>Ontario Tennis Association</t>
        </is>
      </c>
      <c r="H404" t="inlineStr">
        <is>
          <t>Blackmore Tennis Club</t>
        </is>
      </c>
      <c r="I404" t="inlineStr">
        <is>
          <t>unavailable</t>
        </is>
      </c>
      <c r="J404" s="4" t="n">
        <v>48</v>
      </c>
      <c r="K404" t="inlineStr">
        <is>
          <t>10 / 38</t>
        </is>
      </c>
      <c r="L404" t="inlineStr">
        <is>
          <t>1 / 3</t>
        </is>
      </c>
      <c r="M404" s="5" t="n">
        <v>0.21</v>
      </c>
      <c r="N404" s="5" t="n">
        <v>0.25</v>
      </c>
    </row>
    <row r="405">
      <c r="A405" t="n">
        <v>404</v>
      </c>
      <c r="B405" t="n">
        <v>2012</v>
      </c>
      <c r="C405" t="inlineStr">
        <is>
          <t>Sophia Hamel</t>
        </is>
      </c>
      <c r="D405">
        <f>HYPERLINK("https://ota.tournamentsoftware.com/player-profile/D6C2A4EC-5F86-459B-A81E-7C31F47AD78D", "Link")</f>
        <v/>
      </c>
      <c r="E405" s="3" t="n">
        <v>135.331</v>
      </c>
      <c r="F405" s="4" t="n">
        <v>9</v>
      </c>
      <c r="G405" t="inlineStr">
        <is>
          <t>Tennis Québec</t>
        </is>
      </c>
      <c r="H405" t="inlineStr">
        <is>
          <t>Rouge et Or - Université Laval</t>
        </is>
      </c>
      <c r="I405" t="n">
        <v>35</v>
      </c>
      <c r="J405" s="4" t="n">
        <v>71</v>
      </c>
      <c r="K405" t="inlineStr">
        <is>
          <t>15 / 56</t>
        </is>
      </c>
      <c r="L405" t="inlineStr">
        <is>
          <t>6 / 11</t>
        </is>
      </c>
      <c r="M405" s="5" t="n">
        <v>0.21</v>
      </c>
      <c r="N405" s="5" t="n">
        <v>0.35</v>
      </c>
    </row>
    <row r="406">
      <c r="A406" t="n">
        <v>405</v>
      </c>
      <c r="B406" t="n">
        <v>2013</v>
      </c>
      <c r="C406" t="inlineStr">
        <is>
          <t>Audrey Ziqi Liu</t>
        </is>
      </c>
      <c r="D406">
        <f>HYPERLINK("https://ota.tournamentsoftware.com/player-profile/C2E6156A-D7ED-45A1-B728-0FA7A8D2D6A1", "Link")</f>
        <v/>
      </c>
      <c r="E406" s="3" t="n">
        <v>134.423</v>
      </c>
      <c r="F406" s="4" t="n">
        <v>10</v>
      </c>
      <c r="G406" t="inlineStr">
        <is>
          <t>British Columbia</t>
        </is>
      </c>
      <c r="H406" t="inlineStr">
        <is>
          <t>UBC Tennis Centre</t>
        </is>
      </c>
      <c r="I406" t="n">
        <v>34.8</v>
      </c>
      <c r="J406" s="4" t="n">
        <v>26</v>
      </c>
      <c r="K406" t="inlineStr">
        <is>
          <t>8 / 18</t>
        </is>
      </c>
      <c r="L406" t="inlineStr">
        <is>
          <t>7 / 16</t>
        </is>
      </c>
      <c r="M406" s="5" t="n">
        <v>0.31</v>
      </c>
      <c r="N406" s="5" t="n">
        <v>0.3</v>
      </c>
    </row>
    <row r="407">
      <c r="A407" t="n">
        <v>406</v>
      </c>
      <c r="B407" t="n">
        <v>2014</v>
      </c>
      <c r="C407" t="inlineStr">
        <is>
          <t>Melissa Yi Nuo Yang</t>
        </is>
      </c>
      <c r="D407">
        <f>HYPERLINK("https://ota.tournamentsoftware.com/player-profile/870FB276-B8EA-4586-B0F5-B2318D4B1CD6", "Link")</f>
        <v/>
      </c>
      <c r="E407" s="3" t="n">
        <v>134.37</v>
      </c>
      <c r="F407" s="4" t="n">
        <v>17</v>
      </c>
      <c r="G407" t="inlineStr">
        <is>
          <t>Tennis Québec</t>
        </is>
      </c>
      <c r="H407" t="inlineStr">
        <is>
          <t>Club Sportif Côte-de-Liesse</t>
        </is>
      </c>
      <c r="I407" t="n">
        <v>33.2</v>
      </c>
      <c r="J407" s="4" t="n">
        <v>83</v>
      </c>
      <c r="K407" t="inlineStr">
        <is>
          <t>41 / 42</t>
        </is>
      </c>
      <c r="L407" t="inlineStr">
        <is>
          <t>21 / 11</t>
        </is>
      </c>
      <c r="M407" s="5" t="n">
        <v>0.49</v>
      </c>
      <c r="N407" s="5" t="n">
        <v>0.66</v>
      </c>
    </row>
    <row r="408">
      <c r="A408" t="n">
        <v>407</v>
      </c>
      <c r="B408" t="n">
        <v>2015</v>
      </c>
      <c r="C408" t="inlineStr">
        <is>
          <t>Anya De Lain</t>
        </is>
      </c>
      <c r="D408">
        <f>HYPERLINK("https://ota.tournamentsoftware.com/player-profile/563B79E2-A8FE-4D68-B224-8FB6861F2D7F", "Link")</f>
        <v/>
      </c>
      <c r="E408" s="3" t="n">
        <v>134.241</v>
      </c>
      <c r="F408" s="4" t="n">
        <v>13</v>
      </c>
      <c r="G408" t="inlineStr">
        <is>
          <t>Tennis Québec</t>
        </is>
      </c>
      <c r="H408" t="inlineStr">
        <is>
          <t>EB Tennis inc.</t>
        </is>
      </c>
      <c r="I408" t="n">
        <v>39.7</v>
      </c>
      <c r="J408" s="4" t="n">
        <v>88</v>
      </c>
      <c r="K408" t="inlineStr">
        <is>
          <t>16 / 72</t>
        </is>
      </c>
      <c r="L408" t="inlineStr">
        <is>
          <t>2 / 16</t>
        </is>
      </c>
      <c r="M408" s="5" t="n">
        <v>0.18</v>
      </c>
      <c r="N408" s="5" t="n">
        <v>0.11</v>
      </c>
    </row>
    <row r="409">
      <c r="A409" t="n">
        <v>408</v>
      </c>
      <c r="B409" t="n">
        <v>2015</v>
      </c>
      <c r="C409" t="inlineStr">
        <is>
          <t>Blake Badger</t>
        </is>
      </c>
      <c r="D409">
        <f>HYPERLINK("https://ota.tournamentsoftware.com/player-profile/33B72483-1E5D-4043-8C06-81F76F0504E6", "Link")</f>
        <v/>
      </c>
      <c r="E409" s="3" t="n">
        <v>133.817</v>
      </c>
      <c r="F409" s="4" t="n">
        <v>4</v>
      </c>
      <c r="G409" t="inlineStr">
        <is>
          <t>Tennis Saskatchewan</t>
        </is>
      </c>
      <c r="H409" t="inlineStr">
        <is>
          <t>Lakeshore Tennis Club</t>
        </is>
      </c>
      <c r="I409" t="n">
        <v>38.3</v>
      </c>
      <c r="J409" s="4" t="n">
        <v>63</v>
      </c>
      <c r="K409" t="inlineStr">
        <is>
          <t>20 / 43</t>
        </is>
      </c>
      <c r="L409" t="inlineStr">
        <is>
          <t>2 / 7</t>
        </is>
      </c>
      <c r="M409" s="5" t="n">
        <v>0.32</v>
      </c>
      <c r="N409" s="5" t="n">
        <v>0.22</v>
      </c>
    </row>
    <row r="410">
      <c r="A410" t="n">
        <v>409</v>
      </c>
      <c r="B410" t="n">
        <v>2014</v>
      </c>
      <c r="C410" t="inlineStr">
        <is>
          <t>Jaynaëlle Isaac</t>
        </is>
      </c>
      <c r="D410">
        <f>HYPERLINK("https://ota.tournamentsoftware.com/player-profile/6748F07C-41D2-4D26-87D9-8636B60DC389", "Link")</f>
        <v/>
      </c>
      <c r="E410" s="3" t="n">
        <v>132.874</v>
      </c>
      <c r="F410" s="4" t="n">
        <v>11</v>
      </c>
      <c r="G410" t="inlineStr">
        <is>
          <t>Tennis Québec</t>
        </is>
      </c>
      <c r="H410" t="inlineStr">
        <is>
          <t>No Club</t>
        </is>
      </c>
      <c r="I410" t="n">
        <v>32.4</v>
      </c>
      <c r="J410" s="4" t="n">
        <v>124</v>
      </c>
      <c r="K410" t="inlineStr">
        <is>
          <t>49 / 75</t>
        </is>
      </c>
      <c r="L410" t="inlineStr">
        <is>
          <t>9 / 11</t>
        </is>
      </c>
      <c r="M410" s="5" t="n">
        <v>0.4</v>
      </c>
      <c r="N410" s="5" t="n">
        <v>0.45</v>
      </c>
    </row>
    <row r="411">
      <c r="A411" t="n">
        <v>410</v>
      </c>
      <c r="B411" t="n">
        <v>2013</v>
      </c>
      <c r="C411" t="inlineStr">
        <is>
          <t>Olivia Xing</t>
        </is>
      </c>
      <c r="D411">
        <f>HYPERLINK("https://ota.tournamentsoftware.com/player-profile/03475BC0-CC60-490A-8E94-0D82D43C8EDC", "Link")</f>
        <v/>
      </c>
      <c r="E411" s="3" t="n">
        <v>132.497</v>
      </c>
      <c r="F411" s="4" t="n">
        <v>17</v>
      </c>
      <c r="G411" t="inlineStr">
        <is>
          <t>British Columbia</t>
        </is>
      </c>
      <c r="H411" t="inlineStr">
        <is>
          <t>Vancouver Lawn Tennis and Badminton Club</t>
        </is>
      </c>
      <c r="I411" t="inlineStr">
        <is>
          <t>unavailable</t>
        </is>
      </c>
      <c r="J411" s="4" t="n">
        <v>117</v>
      </c>
      <c r="K411" t="inlineStr">
        <is>
          <t>57 / 60</t>
        </is>
      </c>
      <c r="L411" t="inlineStr">
        <is>
          <t>10 / 13</t>
        </is>
      </c>
      <c r="M411" s="5" t="n">
        <v>0.49</v>
      </c>
      <c r="N411" s="5" t="n">
        <v>0.43</v>
      </c>
    </row>
    <row r="412">
      <c r="A412" t="n">
        <v>411</v>
      </c>
      <c r="B412" t="n">
        <v>2013</v>
      </c>
      <c r="C412" t="inlineStr">
        <is>
          <t>Zoé Pilon</t>
        </is>
      </c>
      <c r="D412">
        <f>HYPERLINK("https://ota.tournamentsoftware.com/player-profile/5CF92DF6-CB3B-4E9E-9D03-B9CC6481DEBA", "Link")</f>
        <v/>
      </c>
      <c r="E412" s="3" t="n">
        <v>131.911</v>
      </c>
      <c r="F412" s="4" t="n">
        <v>11</v>
      </c>
      <c r="G412" t="inlineStr">
        <is>
          <t>Tennis Québec</t>
        </is>
      </c>
      <c r="H412" t="inlineStr">
        <is>
          <t>Tennis Interclub Piedmont</t>
        </is>
      </c>
      <c r="I412" t="n">
        <v>37.4</v>
      </c>
      <c r="J412" s="4" t="n">
        <v>21</v>
      </c>
      <c r="K412" t="inlineStr">
        <is>
          <t>7 / 14</t>
        </is>
      </c>
      <c r="L412" t="inlineStr">
        <is>
          <t>3 / 11</t>
        </is>
      </c>
      <c r="M412" s="5" t="n">
        <v>0.33</v>
      </c>
      <c r="N412" s="5" t="n">
        <v>0.21</v>
      </c>
    </row>
    <row r="413">
      <c r="A413" t="n">
        <v>412</v>
      </c>
      <c r="B413" t="n">
        <v>2015</v>
      </c>
      <c r="C413" t="inlineStr">
        <is>
          <t>Athisayah Viji</t>
        </is>
      </c>
      <c r="D413">
        <f>HYPERLINK("https://ota.tournamentsoftware.com/player-profile/C8684F68-4EF9-414D-BDA9-FC73111C2DB8", "Link")</f>
        <v/>
      </c>
      <c r="E413" s="3" t="n">
        <v>131.362</v>
      </c>
      <c r="F413" s="4" t="n">
        <v>18</v>
      </c>
      <c r="G413" t="inlineStr">
        <is>
          <t>British Columbia</t>
        </is>
      </c>
      <c r="H413" t="inlineStr">
        <is>
          <t>The Tennis Centre</t>
        </is>
      </c>
      <c r="I413" t="n">
        <v>31.6</v>
      </c>
      <c r="J413" s="4" t="n">
        <v>120</v>
      </c>
      <c r="K413" t="inlineStr">
        <is>
          <t>71 / 49</t>
        </is>
      </c>
      <c r="L413" t="inlineStr">
        <is>
          <t>31 / 14</t>
        </is>
      </c>
      <c r="M413" s="5" t="n">
        <v>0.59</v>
      </c>
      <c r="N413" s="5" t="n">
        <v>0.6899999999999999</v>
      </c>
    </row>
    <row r="414">
      <c r="A414" t="n">
        <v>413</v>
      </c>
      <c r="B414" t="n">
        <v>2014</v>
      </c>
      <c r="C414" t="inlineStr">
        <is>
          <t>Olivia Weiwei Kong</t>
        </is>
      </c>
      <c r="D414">
        <f>HYPERLINK("https://ota.tournamentsoftware.com/player-profile/D959AEB1-2F72-4DC3-9FC0-C7595A80CDA0", "Link")</f>
        <v/>
      </c>
      <c r="E414" s="3" t="n">
        <v>130.887</v>
      </c>
      <c r="F414" s="4" t="n">
        <v>6</v>
      </c>
      <c r="G414" t="inlineStr">
        <is>
          <t>Tennis Saskatchewan</t>
        </is>
      </c>
      <c r="H414" t="inlineStr">
        <is>
          <t>Lakeshore Tennis Club</t>
        </is>
      </c>
      <c r="I414" t="n">
        <v>35.8</v>
      </c>
      <c r="J414" s="4" t="n">
        <v>91</v>
      </c>
      <c r="K414" t="inlineStr">
        <is>
          <t>23 / 68</t>
        </is>
      </c>
      <c r="L414" t="inlineStr">
        <is>
          <t>4 / 11</t>
        </is>
      </c>
      <c r="M414" s="5" t="n">
        <v>0.25</v>
      </c>
      <c r="N414" s="5" t="n">
        <v>0.27</v>
      </c>
    </row>
    <row r="415">
      <c r="A415" t="n">
        <v>414</v>
      </c>
      <c r="B415" t="n">
        <v>2016</v>
      </c>
      <c r="C415" t="inlineStr">
        <is>
          <t>Amaranna Ugwunze</t>
        </is>
      </c>
      <c r="D415">
        <f>HYPERLINK("https://ota.tournamentsoftware.com/player-profile/2C6CBEBE-C5D2-4EC5-B283-CB703335834E", "Link")</f>
        <v/>
      </c>
      <c r="E415" s="3" t="n">
        <v>130.824</v>
      </c>
      <c r="F415" s="4" t="n">
        <v>17</v>
      </c>
      <c r="G415" t="inlineStr">
        <is>
          <t>Ontario Tennis Association</t>
        </is>
      </c>
      <c r="H415" t="inlineStr">
        <is>
          <t>Ontario Racquet Club</t>
        </is>
      </c>
      <c r="I415" t="n">
        <v>34.1</v>
      </c>
      <c r="J415" s="4" t="n">
        <v>89</v>
      </c>
      <c r="K415" t="inlineStr">
        <is>
          <t>47 / 42</t>
        </is>
      </c>
      <c r="L415" t="inlineStr">
        <is>
          <t>23 / 14</t>
        </is>
      </c>
      <c r="M415" s="5" t="n">
        <v>0.53</v>
      </c>
      <c r="N415" s="5" t="n">
        <v>0.62</v>
      </c>
    </row>
    <row r="416">
      <c r="A416" t="n">
        <v>415</v>
      </c>
      <c r="B416" t="n">
        <v>2012</v>
      </c>
      <c r="C416" t="inlineStr">
        <is>
          <t>Eliana Yiannacouras</t>
        </is>
      </c>
      <c r="D416">
        <f>HYPERLINK("https://ota.tournamentsoftware.com/player-profile/B77AA2DD-5FF4-4B16-8ABD-E6ED22D4B5E1", "Link")</f>
        <v/>
      </c>
      <c r="E416" s="3" t="n">
        <v>130.395</v>
      </c>
      <c r="F416" s="4" t="n">
        <v>12</v>
      </c>
      <c r="G416" t="inlineStr">
        <is>
          <t>Ontario Tennis Association</t>
        </is>
      </c>
      <c r="H416" t="inlineStr">
        <is>
          <t>The Supreme Court Tennis Club</t>
        </is>
      </c>
      <c r="I416" t="n">
        <v>35</v>
      </c>
      <c r="J416" s="4" t="n">
        <v>95</v>
      </c>
      <c r="K416" t="inlineStr">
        <is>
          <t>24 / 71</t>
        </is>
      </c>
      <c r="L416" t="inlineStr">
        <is>
          <t>5 / 8</t>
        </is>
      </c>
      <c r="M416" s="5" t="n">
        <v>0.25</v>
      </c>
      <c r="N416" s="5" t="n">
        <v>0.38</v>
      </c>
    </row>
    <row r="417">
      <c r="A417" t="n">
        <v>416</v>
      </c>
      <c r="B417" t="n">
        <v>2013</v>
      </c>
      <c r="C417" t="inlineStr">
        <is>
          <t>Alyxandra Grace Bellot Wildeman</t>
        </is>
      </c>
      <c r="D417">
        <f>HYPERLINK("https://ota.tournamentsoftware.com/player-profile/E2171261-67FD-4CFA-B4F2-64D9B979CCE5", "Link")</f>
        <v/>
      </c>
      <c r="E417" s="3" t="n">
        <v>129.593</v>
      </c>
      <c r="F417" s="4" t="n">
        <v>12</v>
      </c>
      <c r="G417" t="inlineStr">
        <is>
          <t>British Columbia</t>
        </is>
      </c>
      <c r="H417" t="inlineStr">
        <is>
          <t>Vanguard Tennis Academy</t>
        </is>
      </c>
      <c r="I417" t="n">
        <v>34</v>
      </c>
      <c r="J417" s="4" t="n">
        <v>123</v>
      </c>
      <c r="K417" t="inlineStr">
        <is>
          <t>54 / 69</t>
        </is>
      </c>
      <c r="L417" t="inlineStr">
        <is>
          <t>10 / 11</t>
        </is>
      </c>
      <c r="M417" s="5" t="n">
        <v>0.44</v>
      </c>
      <c r="N417" s="5" t="n">
        <v>0.48</v>
      </c>
    </row>
    <row r="418">
      <c r="A418" t="n">
        <v>417</v>
      </c>
      <c r="B418" t="n">
        <v>2014</v>
      </c>
      <c r="C418" t="inlineStr">
        <is>
          <t>Scarlett Hannah Yip</t>
        </is>
      </c>
      <c r="D418">
        <f>HYPERLINK("https://ota.tournamentsoftware.com/player-profile/D01B38C8-E207-4D1F-B33D-970B1F8BDC78", "Link")</f>
        <v/>
      </c>
      <c r="E418" s="3" t="n">
        <v>128.523</v>
      </c>
      <c r="F418" s="4" t="n">
        <v>12</v>
      </c>
      <c r="G418" t="inlineStr">
        <is>
          <t>Tennis Alberta</t>
        </is>
      </c>
      <c r="H418" t="inlineStr">
        <is>
          <t>Osten &amp; Victor Alberta Tennis Centre</t>
        </is>
      </c>
      <c r="I418" t="n">
        <v>33.7</v>
      </c>
      <c r="J418" s="4" t="n">
        <v>146</v>
      </c>
      <c r="K418" t="inlineStr">
        <is>
          <t>65 / 81</t>
        </is>
      </c>
      <c r="L418" t="inlineStr">
        <is>
          <t>6 / 8</t>
        </is>
      </c>
      <c r="M418" s="5" t="n">
        <v>0.45</v>
      </c>
      <c r="N418" s="5" t="n">
        <v>0.43</v>
      </c>
    </row>
    <row r="419">
      <c r="A419" t="n">
        <v>418</v>
      </c>
      <c r="B419" t="n">
        <v>2014</v>
      </c>
      <c r="C419" t="inlineStr">
        <is>
          <t>Afsoune Wassel</t>
        </is>
      </c>
      <c r="D419">
        <f>HYPERLINK("https://ota.tournamentsoftware.com/player-profile/72D5D7A1-94DE-47DF-B01E-F83205C53092", "Link")</f>
        <v/>
      </c>
      <c r="E419" s="3" t="n">
        <v>128.099</v>
      </c>
      <c r="F419" s="4" t="n">
        <v>22</v>
      </c>
      <c r="G419" t="inlineStr">
        <is>
          <t>Tennis Québec</t>
        </is>
      </c>
      <c r="H419" t="inlineStr">
        <is>
          <t>SANI Sport</t>
        </is>
      </c>
      <c r="I419" t="n">
        <v>34.7</v>
      </c>
      <c r="J419" s="4" t="n">
        <v>118</v>
      </c>
      <c r="K419" t="inlineStr">
        <is>
          <t>59 / 59</t>
        </is>
      </c>
      <c r="L419" t="inlineStr">
        <is>
          <t>7 / 13</t>
        </is>
      </c>
      <c r="M419" s="5" t="n">
        <v>0.5</v>
      </c>
      <c r="N419" s="5" t="n">
        <v>0.35</v>
      </c>
    </row>
    <row r="420">
      <c r="A420" t="n">
        <v>419</v>
      </c>
      <c r="B420" t="n">
        <v>2014</v>
      </c>
      <c r="C420" t="inlineStr">
        <is>
          <t>Mikayla Avani Mahanandan</t>
        </is>
      </c>
      <c r="D420">
        <f>HYPERLINK("https://ota.tournamentsoftware.com/player-profile/DAFD5F0F-733D-4242-B572-5905268B6041", "Link")</f>
        <v/>
      </c>
      <c r="E420" s="3" t="n">
        <v>127.05</v>
      </c>
      <c r="F420" s="4" t="n">
        <v>22</v>
      </c>
      <c r="G420" t="inlineStr">
        <is>
          <t>Ontario Tennis Association</t>
        </is>
      </c>
      <c r="H420" t="inlineStr">
        <is>
          <t>Premier Racquet Clubs – Mississauga</t>
        </is>
      </c>
      <c r="I420" t="inlineStr">
        <is>
          <t>unavailable</t>
        </is>
      </c>
      <c r="J420" s="4" t="n">
        <v>107</v>
      </c>
      <c r="K420" t="inlineStr">
        <is>
          <t>37 / 70</t>
        </is>
      </c>
      <c r="L420" t="inlineStr">
        <is>
          <t>13 / 21</t>
        </is>
      </c>
      <c r="M420" s="5" t="n">
        <v>0.35</v>
      </c>
      <c r="N420" s="5" t="n">
        <v>0.38</v>
      </c>
    </row>
    <row r="421">
      <c r="A421" t="n">
        <v>420</v>
      </c>
      <c r="B421" t="n">
        <v>2015</v>
      </c>
      <c r="C421" t="inlineStr">
        <is>
          <t>Isla Suokas</t>
        </is>
      </c>
      <c r="D421">
        <f>HYPERLINK("https://ota.tournamentsoftware.com/player-profile/4CF0CDA6-2600-4F1B-8775-31212B766E74", "Link")</f>
        <v/>
      </c>
      <c r="E421" s="3" t="n">
        <v>126</v>
      </c>
      <c r="F421" s="4" t="n">
        <v>21</v>
      </c>
      <c r="G421" t="inlineStr">
        <is>
          <t>Ontario Tennis Association</t>
        </is>
      </c>
      <c r="H421" t="inlineStr">
        <is>
          <t>Boulevard Club</t>
        </is>
      </c>
      <c r="I421" t="n">
        <v>34.9</v>
      </c>
      <c r="J421" s="4" t="n">
        <v>98</v>
      </c>
      <c r="K421" t="inlineStr">
        <is>
          <t>59 / 39</t>
        </is>
      </c>
      <c r="L421" t="inlineStr">
        <is>
          <t>24 / 16</t>
        </is>
      </c>
      <c r="M421" s="5" t="n">
        <v>0.6</v>
      </c>
      <c r="N421" s="5" t="n">
        <v>0.6</v>
      </c>
    </row>
    <row r="422">
      <c r="A422" t="n">
        <v>421</v>
      </c>
      <c r="B422" t="n">
        <v>2015</v>
      </c>
      <c r="C422" t="inlineStr">
        <is>
          <t>Xinyue Grace zhu</t>
        </is>
      </c>
      <c r="D422">
        <f>HYPERLINK("https://ota.tournamentsoftware.com/player-profile/9C1D6B37-A27B-4B15-8F8F-72E6D4418B50", "Link")</f>
        <v/>
      </c>
      <c r="E422" s="3" t="n">
        <v>124.998</v>
      </c>
      <c r="F422" s="4" t="n">
        <v>13</v>
      </c>
      <c r="G422" t="inlineStr">
        <is>
          <t>British Columbia</t>
        </is>
      </c>
      <c r="H422" t="inlineStr">
        <is>
          <t>North Vancouver Tennis Centre</t>
        </is>
      </c>
      <c r="I422" t="inlineStr">
        <is>
          <t>unavailable</t>
        </is>
      </c>
      <c r="J422" s="4" t="n">
        <v>184</v>
      </c>
      <c r="K422" t="inlineStr">
        <is>
          <t>111 / 73</t>
        </is>
      </c>
      <c r="L422" t="inlineStr">
        <is>
          <t>12 / 10</t>
        </is>
      </c>
      <c r="M422" s="5" t="n">
        <v>0.6</v>
      </c>
      <c r="N422" s="5" t="n">
        <v>0.55</v>
      </c>
    </row>
    <row r="423">
      <c r="A423" t="n">
        <v>422</v>
      </c>
      <c r="B423" t="n">
        <v>2013</v>
      </c>
      <c r="C423" t="inlineStr">
        <is>
          <t>Ella Iva Mavretic</t>
        </is>
      </c>
      <c r="D423">
        <f>HYPERLINK("https://ota.tournamentsoftware.com/player-profile/CF99D041-FAEF-47A9-BBE6-3D6335355408", "Link")</f>
        <v/>
      </c>
      <c r="E423" s="3" t="n">
        <v>123.973</v>
      </c>
      <c r="F423" s="4" t="n">
        <v>11</v>
      </c>
      <c r="G423" t="inlineStr">
        <is>
          <t>Ontario Tennis Association</t>
        </is>
      </c>
      <c r="H423" t="inlineStr">
        <is>
          <t>Pinafore Park</t>
        </is>
      </c>
      <c r="I423" t="n">
        <v>35.2</v>
      </c>
      <c r="J423" s="4" t="n">
        <v>196</v>
      </c>
      <c r="K423" t="inlineStr">
        <is>
          <t>87 / 109</t>
        </is>
      </c>
      <c r="L423" t="inlineStr">
        <is>
          <t>3 / 5</t>
        </is>
      </c>
      <c r="M423" s="5" t="n">
        <v>0.44</v>
      </c>
      <c r="N423" s="5" t="n">
        <v>0.38</v>
      </c>
    </row>
    <row r="424">
      <c r="A424" t="n">
        <v>423</v>
      </c>
      <c r="B424" t="n">
        <v>2015</v>
      </c>
      <c r="C424" t="inlineStr">
        <is>
          <t>Chloe Zhiyan Bai</t>
        </is>
      </c>
      <c r="D424">
        <f>HYPERLINK("https://ota.tournamentsoftware.com/player-profile/D190414C-9B0E-4001-86BC-CD88F7FCF827", "Link")</f>
        <v/>
      </c>
      <c r="E424" s="3" t="n">
        <v>123.895</v>
      </c>
      <c r="F424" s="4" t="n">
        <v>27</v>
      </c>
      <c r="G424" t="inlineStr">
        <is>
          <t>British Columbia</t>
        </is>
      </c>
      <c r="H424" t="inlineStr">
        <is>
          <t>Tennis BC Hub @ Richmond</t>
        </is>
      </c>
      <c r="I424" t="inlineStr">
        <is>
          <t>unavailable</t>
        </is>
      </c>
      <c r="J424" s="4" t="n">
        <v>172</v>
      </c>
      <c r="K424" t="inlineStr">
        <is>
          <t>79 / 93</t>
        </is>
      </c>
      <c r="L424" t="inlineStr">
        <is>
          <t>26 / 20</t>
        </is>
      </c>
      <c r="M424" s="5" t="n">
        <v>0.46</v>
      </c>
      <c r="N424" s="5" t="n">
        <v>0.57</v>
      </c>
    </row>
    <row r="425">
      <c r="A425" t="n">
        <v>424</v>
      </c>
      <c r="B425" t="n">
        <v>2014</v>
      </c>
      <c r="C425" t="inlineStr">
        <is>
          <t>Olivia Lee</t>
        </is>
      </c>
      <c r="D425">
        <f>HYPERLINK("https://ota.tournamentsoftware.com/player-profile/DEF89846-A0EF-4373-B8DC-8305F756E612", "Link")</f>
        <v/>
      </c>
      <c r="E425" s="3" t="n">
        <v>122.446</v>
      </c>
      <c r="F425" s="4" t="n">
        <v>25</v>
      </c>
      <c r="G425" t="inlineStr">
        <is>
          <t>Tennis Québec</t>
        </is>
      </c>
      <c r="H425" t="inlineStr">
        <is>
          <t>SANI Sport</t>
        </is>
      </c>
      <c r="I425" t="n">
        <v>36.4</v>
      </c>
      <c r="J425" s="4" t="n">
        <v>110</v>
      </c>
      <c r="K425" t="inlineStr">
        <is>
          <t>41 / 69</t>
        </is>
      </c>
      <c r="L425" t="inlineStr">
        <is>
          <t>11 / 21</t>
        </is>
      </c>
      <c r="M425" s="5" t="n">
        <v>0.37</v>
      </c>
      <c r="N425" s="5" t="n">
        <v>0.34</v>
      </c>
    </row>
    <row r="426">
      <c r="A426" t="n">
        <v>425</v>
      </c>
      <c r="B426" t="n">
        <v>2013</v>
      </c>
      <c r="C426" t="inlineStr">
        <is>
          <t>Ellie Patricia Wilson</t>
        </is>
      </c>
      <c r="D426">
        <f>HYPERLINK("https://ota.tournamentsoftware.com/player-profile/CB4D2A63-DEA3-4EB8-9085-4317BC39804E", "Link")</f>
        <v/>
      </c>
      <c r="E426" s="3" t="n">
        <v>119.767</v>
      </c>
      <c r="F426" s="4" t="n">
        <v>10</v>
      </c>
      <c r="G426" t="inlineStr">
        <is>
          <t>Ontario Tennis Association</t>
        </is>
      </c>
      <c r="H426" t="inlineStr">
        <is>
          <t>Milton Tennis Club</t>
        </is>
      </c>
      <c r="I426" t="n">
        <v>34.4</v>
      </c>
      <c r="J426" s="4" t="n">
        <v>64</v>
      </c>
      <c r="K426" t="inlineStr">
        <is>
          <t>23 / 41</t>
        </is>
      </c>
      <c r="L426" t="inlineStr">
        <is>
          <t>2 / 4</t>
        </is>
      </c>
      <c r="M426" s="5" t="n">
        <v>0.36</v>
      </c>
      <c r="N426" s="5" t="n">
        <v>0.33</v>
      </c>
    </row>
    <row r="427">
      <c r="A427" t="n">
        <v>426</v>
      </c>
      <c r="B427" t="n">
        <v>2014</v>
      </c>
      <c r="C427" t="inlineStr">
        <is>
          <t>Ranica Li</t>
        </is>
      </c>
      <c r="D427">
        <f>HYPERLINK("https://ota.tournamentsoftware.com/player-profile/5C189397-D536-4086-AA1D-1AD29C093438", "Link")</f>
        <v/>
      </c>
      <c r="E427" s="3" t="n">
        <v>118.051</v>
      </c>
      <c r="F427" s="4" t="n">
        <v>17</v>
      </c>
      <c r="G427" t="inlineStr">
        <is>
          <t>British Columbia</t>
        </is>
      </c>
      <c r="H427" t="inlineStr">
        <is>
          <t>The Tennis Centre</t>
        </is>
      </c>
      <c r="I427" t="n">
        <v>32.6</v>
      </c>
      <c r="J427" s="4" t="n">
        <v>86</v>
      </c>
      <c r="K427" t="inlineStr">
        <is>
          <t>49 / 37</t>
        </is>
      </c>
      <c r="L427" t="inlineStr">
        <is>
          <t>25 / 14</t>
        </is>
      </c>
      <c r="M427" s="5" t="n">
        <v>0.57</v>
      </c>
      <c r="N427" s="5" t="n">
        <v>0.64</v>
      </c>
    </row>
    <row r="428">
      <c r="A428" t="n">
        <v>427</v>
      </c>
      <c r="B428" t="n">
        <v>2012</v>
      </c>
      <c r="C428" t="inlineStr">
        <is>
          <t>Myra Chowdhary</t>
        </is>
      </c>
      <c r="D428">
        <f>HYPERLINK("https://ota.tournamentsoftware.com/player-profile/CE7139B1-580D-4EF4-A747-D0E1E897EAFB", "Link")</f>
        <v/>
      </c>
      <c r="E428" s="3" t="n">
        <v>118.026</v>
      </c>
      <c r="F428" s="4" t="n">
        <v>8</v>
      </c>
      <c r="G428" t="inlineStr">
        <is>
          <t>Ontario Tennis Association</t>
        </is>
      </c>
      <c r="H428" t="inlineStr">
        <is>
          <t>Youngs Sportsplex</t>
        </is>
      </c>
      <c r="I428" t="n">
        <v>38.8</v>
      </c>
      <c r="J428" s="4" t="n">
        <v>38</v>
      </c>
      <c r="K428" t="inlineStr">
        <is>
          <t>12 / 26</t>
        </is>
      </c>
      <c r="L428" t="inlineStr">
        <is>
          <t>4 / 10</t>
        </is>
      </c>
      <c r="M428" s="5" t="n">
        <v>0.32</v>
      </c>
      <c r="N428" s="5" t="n">
        <v>0.29</v>
      </c>
    </row>
    <row r="429">
      <c r="A429" t="n">
        <v>428</v>
      </c>
      <c r="B429" t="n">
        <v>2013</v>
      </c>
      <c r="C429" t="inlineStr">
        <is>
          <t>Zaria Antonella Tambini</t>
        </is>
      </c>
      <c r="D429">
        <f>HYPERLINK("https://ota.tournamentsoftware.com/player-profile/92DDE685-2967-4CDD-8CA6-2827E6AC3AEB", "Link")</f>
        <v/>
      </c>
      <c r="E429" s="3" t="n">
        <v>117.899</v>
      </c>
      <c r="F429" s="4" t="n">
        <v>7</v>
      </c>
      <c r="G429" t="inlineStr">
        <is>
          <t>Ontario Tennis Association</t>
        </is>
      </c>
      <c r="H429" t="inlineStr">
        <is>
          <t>Headwaters Racquet Club</t>
        </is>
      </c>
      <c r="I429" t="n">
        <v>38</v>
      </c>
      <c r="J429" s="4" t="n">
        <v>25</v>
      </c>
      <c r="K429" t="inlineStr">
        <is>
          <t>10 / 15</t>
        </is>
      </c>
      <c r="L429" t="inlineStr">
        <is>
          <t>5 / 13</t>
        </is>
      </c>
      <c r="M429" s="5" t="n">
        <v>0.4</v>
      </c>
      <c r="N429" s="5" t="n">
        <v>0.28</v>
      </c>
    </row>
    <row r="430">
      <c r="A430" t="n">
        <v>429</v>
      </c>
      <c r="B430" t="n">
        <v>2015</v>
      </c>
      <c r="C430" t="inlineStr">
        <is>
          <t>Grace Raymond</t>
        </is>
      </c>
      <c r="D430">
        <f>HYPERLINK("https://ota.tournamentsoftware.com/player-profile/879338D5-D59E-4EA6-A8E9-135220F52905", "Link")</f>
        <v/>
      </c>
      <c r="E430" s="3" t="n">
        <v>117.654</v>
      </c>
      <c r="F430" s="4" t="n">
        <v>14</v>
      </c>
      <c r="G430" t="inlineStr">
        <is>
          <t>Tennis Alberta</t>
        </is>
      </c>
      <c r="H430" t="inlineStr">
        <is>
          <t>Osten &amp; Victor Alberta Tennis Centre</t>
        </is>
      </c>
      <c r="I430" t="n">
        <v>35.7</v>
      </c>
      <c r="J430" s="4" t="n">
        <v>69</v>
      </c>
      <c r="K430" t="inlineStr">
        <is>
          <t>30 / 39</t>
        </is>
      </c>
      <c r="L430" t="inlineStr">
        <is>
          <t>5 / 10</t>
        </is>
      </c>
      <c r="M430" s="5" t="n">
        <v>0.43</v>
      </c>
      <c r="N430" s="5" t="n">
        <v>0.33</v>
      </c>
    </row>
    <row r="431">
      <c r="A431" t="n">
        <v>430</v>
      </c>
      <c r="B431" t="n">
        <v>2015</v>
      </c>
      <c r="C431" t="inlineStr">
        <is>
          <t>Emma Plugaru</t>
        </is>
      </c>
      <c r="D431">
        <f>HYPERLINK("https://ota.tournamentsoftware.com/player-profile/A8C9C47A-4B9A-43CD-97A6-5516A6BAA15D", "Link")</f>
        <v/>
      </c>
      <c r="E431" s="3" t="n">
        <v>117.51</v>
      </c>
      <c r="F431" s="4" t="n">
        <v>16</v>
      </c>
      <c r="G431" t="inlineStr">
        <is>
          <t>Tennis Québec</t>
        </is>
      </c>
      <c r="H431" t="inlineStr">
        <is>
          <t>Tennis 13</t>
        </is>
      </c>
      <c r="I431" t="n">
        <v>33.6</v>
      </c>
      <c r="J431" s="4" t="n">
        <v>131</v>
      </c>
      <c r="K431" t="inlineStr">
        <is>
          <t>72 / 59</t>
        </is>
      </c>
      <c r="L431" t="inlineStr">
        <is>
          <t>19 / 10</t>
        </is>
      </c>
      <c r="M431" s="5" t="n">
        <v>0.55</v>
      </c>
      <c r="N431" s="5" t="n">
        <v>0.66</v>
      </c>
    </row>
    <row r="432">
      <c r="A432" t="n">
        <v>431</v>
      </c>
      <c r="B432" t="n">
        <v>2013</v>
      </c>
      <c r="C432" t="inlineStr">
        <is>
          <t>Eva Eile</t>
        </is>
      </c>
      <c r="D432">
        <f>HYPERLINK("https://ota.tournamentsoftware.com/player-profile/EE5E7036-3979-48DF-A095-8C40584653EF", "Link")</f>
        <v/>
      </c>
      <c r="E432" s="3" t="n">
        <v>116.833</v>
      </c>
      <c r="F432" s="4" t="n">
        <v>13</v>
      </c>
      <c r="G432" t="inlineStr">
        <is>
          <t>Tennis Québec</t>
        </is>
      </c>
      <c r="H432" t="inlineStr">
        <is>
          <t>Midtown Le Sporting Club Sanctuaire</t>
        </is>
      </c>
      <c r="I432" t="n">
        <v>39</v>
      </c>
      <c r="J432" s="4" t="n">
        <v>22</v>
      </c>
      <c r="K432" t="inlineStr">
        <is>
          <t>3 / 19</t>
        </is>
      </c>
      <c r="L432" t="inlineStr">
        <is>
          <t>0 / 8</t>
        </is>
      </c>
      <c r="M432" s="5" t="n">
        <v>0.14</v>
      </c>
      <c r="N432" s="5" t="n">
        <v>0</v>
      </c>
    </row>
    <row r="433">
      <c r="A433" t="n">
        <v>432</v>
      </c>
      <c r="B433" t="n">
        <v>2015</v>
      </c>
      <c r="C433" t="inlineStr">
        <is>
          <t>Mia Pan</t>
        </is>
      </c>
      <c r="D433">
        <f>HYPERLINK("https://ota.tournamentsoftware.com/player-profile/AC58096C-5119-4221-95E0-C06E89FC8EFF", "Link")</f>
        <v/>
      </c>
      <c r="E433" s="3" t="n">
        <v>116.37</v>
      </c>
      <c r="F433" s="4" t="n">
        <v>17</v>
      </c>
      <c r="G433" t="inlineStr">
        <is>
          <t>British Columbia</t>
        </is>
      </c>
      <c r="H433" t="inlineStr">
        <is>
          <t>Vanguard Tennis Academy</t>
        </is>
      </c>
      <c r="I433" t="inlineStr">
        <is>
          <t>unavailable</t>
        </is>
      </c>
      <c r="J433" s="4" t="n">
        <v>123</v>
      </c>
      <c r="K433" t="inlineStr">
        <is>
          <t>70 / 53</t>
        </is>
      </c>
      <c r="L433" t="inlineStr">
        <is>
          <t>26 / 19</t>
        </is>
      </c>
      <c r="M433" s="5" t="n">
        <v>0.57</v>
      </c>
      <c r="N433" s="5" t="n">
        <v>0.58</v>
      </c>
    </row>
    <row r="434">
      <c r="A434" t="n">
        <v>433</v>
      </c>
      <c r="B434" t="n">
        <v>2015</v>
      </c>
      <c r="C434" t="inlineStr">
        <is>
          <t>Sofia Bulynko</t>
        </is>
      </c>
      <c r="D434">
        <f>HYPERLINK("https://ota.tournamentsoftware.com/player-profile/88C213E0-0960-44DC-B9B0-66B1ADEE699B", "Link")</f>
        <v/>
      </c>
      <c r="E434" s="3" t="n">
        <v>116.274</v>
      </c>
      <c r="F434" s="4" t="n">
        <v>10</v>
      </c>
      <c r="G434" t="inlineStr">
        <is>
          <t>Ontario Tennis Association</t>
        </is>
      </c>
      <c r="H434" t="inlineStr">
        <is>
          <t>National Tennis School</t>
        </is>
      </c>
      <c r="I434" t="n">
        <v>35.5</v>
      </c>
      <c r="J434" s="4" t="n">
        <v>53</v>
      </c>
      <c r="K434" t="inlineStr">
        <is>
          <t>27 / 26</t>
        </is>
      </c>
      <c r="L434" t="inlineStr">
        <is>
          <t>10 / 9</t>
        </is>
      </c>
      <c r="M434" s="5" t="n">
        <v>0.51</v>
      </c>
      <c r="N434" s="5" t="n">
        <v>0.53</v>
      </c>
    </row>
    <row r="435">
      <c r="A435" t="n">
        <v>434</v>
      </c>
      <c r="B435" t="n">
        <v>2014</v>
      </c>
      <c r="C435" t="inlineStr">
        <is>
          <t>Bella Beiqi Zhao</t>
        </is>
      </c>
      <c r="D435">
        <f>HYPERLINK("https://ota.tournamentsoftware.com/player-profile/440C1FD3-B189-4153-99D4-C9B6B43D7D03", "Link")</f>
        <v/>
      </c>
      <c r="E435" s="3" t="n">
        <v>116.048</v>
      </c>
      <c r="F435" s="4" t="n">
        <v>27</v>
      </c>
      <c r="G435" t="inlineStr">
        <is>
          <t>British Columbia</t>
        </is>
      </c>
      <c r="H435" t="inlineStr">
        <is>
          <t>No Club</t>
        </is>
      </c>
      <c r="I435" t="n">
        <v>32.8</v>
      </c>
      <c r="J435" s="4" t="n">
        <v>205</v>
      </c>
      <c r="K435" t="inlineStr">
        <is>
          <t>82 / 123</t>
        </is>
      </c>
      <c r="L435" t="inlineStr">
        <is>
          <t>20 / 23</t>
        </is>
      </c>
      <c r="M435" s="5" t="n">
        <v>0.4</v>
      </c>
      <c r="N435" s="5" t="n">
        <v>0.47</v>
      </c>
    </row>
    <row r="436">
      <c r="A436" t="n">
        <v>435</v>
      </c>
      <c r="B436" t="n">
        <v>2014</v>
      </c>
      <c r="C436" t="inlineStr">
        <is>
          <t>myra Malik</t>
        </is>
      </c>
      <c r="D436">
        <f>HYPERLINK("https://ota.tournamentsoftware.com/player-profile/B5B677E5-44EA-48DD-95B7-05BF38E3758B", "Link")</f>
        <v/>
      </c>
      <c r="E436" s="3" t="n">
        <v>116.004</v>
      </c>
      <c r="F436" s="4" t="n">
        <v>25</v>
      </c>
      <c r="G436" t="inlineStr">
        <is>
          <t>British Columbia</t>
        </is>
      </c>
      <c r="H436" t="inlineStr">
        <is>
          <t>The Tennis Centre</t>
        </is>
      </c>
      <c r="I436" t="n">
        <v>33.3</v>
      </c>
      <c r="J436" s="4" t="n">
        <v>64</v>
      </c>
      <c r="K436" t="inlineStr">
        <is>
          <t>29 / 35</t>
        </is>
      </c>
      <c r="L436" t="inlineStr">
        <is>
          <t>22 / 21</t>
        </is>
      </c>
      <c r="M436" s="5" t="n">
        <v>0.45</v>
      </c>
      <c r="N436" s="5" t="n">
        <v>0.51</v>
      </c>
    </row>
    <row r="437">
      <c r="A437" t="n">
        <v>436</v>
      </c>
      <c r="B437" t="n">
        <v>2012</v>
      </c>
      <c r="C437" t="inlineStr">
        <is>
          <t>Daniella Maria SAUCEDO</t>
        </is>
      </c>
      <c r="D437">
        <f>HYPERLINK("https://ota.tournamentsoftware.com/player-profile/45A852A0-99BB-4449-9FC4-8CAEBA4B404C", "Link")</f>
        <v/>
      </c>
      <c r="E437" s="3" t="n">
        <v>115.56</v>
      </c>
      <c r="F437" s="4" t="n">
        <v>6</v>
      </c>
      <c r="G437" t="inlineStr">
        <is>
          <t>Ontario Tennis Association</t>
        </is>
      </c>
      <c r="H437" t="inlineStr">
        <is>
          <t>City of Oakville</t>
        </is>
      </c>
      <c r="I437" t="inlineStr">
        <is>
          <t>unavailable</t>
        </is>
      </c>
      <c r="J437" s="4" t="n">
        <v>137</v>
      </c>
      <c r="K437" t="inlineStr">
        <is>
          <t>72 / 65</t>
        </is>
      </c>
      <c r="L437" t="inlineStr">
        <is>
          <t>0 / 0</t>
        </is>
      </c>
      <c r="M437" s="5" t="n">
        <v>0.53</v>
      </c>
      <c r="N437" s="5" t="n">
        <v>0</v>
      </c>
    </row>
    <row r="438">
      <c r="A438" t="n">
        <v>437</v>
      </c>
      <c r="B438" t="n">
        <v>2013</v>
      </c>
      <c r="C438" t="inlineStr">
        <is>
          <t>Murphy Mofei Gao</t>
        </is>
      </c>
      <c r="D438">
        <f>HYPERLINK("https://ota.tournamentsoftware.com/player-profile/64A4B4DB-7753-451A-A411-16FC49084860", "Link")</f>
        <v/>
      </c>
      <c r="E438" s="3" t="n">
        <v>115.547</v>
      </c>
      <c r="F438" s="4" t="n">
        <v>17</v>
      </c>
      <c r="G438" t="inlineStr">
        <is>
          <t>British Columbia</t>
        </is>
      </c>
      <c r="H438" t="inlineStr">
        <is>
          <t>No Club</t>
        </is>
      </c>
      <c r="I438" t="n">
        <v>37.4</v>
      </c>
      <c r="J438" s="4" t="n">
        <v>138</v>
      </c>
      <c r="K438" t="inlineStr">
        <is>
          <t>18 / 120</t>
        </is>
      </c>
      <c r="L438" t="inlineStr">
        <is>
          <t>3 / 24</t>
        </is>
      </c>
      <c r="M438" s="5" t="n">
        <v>0.13</v>
      </c>
      <c r="N438" s="5" t="n">
        <v>0.11</v>
      </c>
    </row>
    <row r="439">
      <c r="A439" t="n">
        <v>438</v>
      </c>
      <c r="B439" t="n">
        <v>2013</v>
      </c>
      <c r="C439" t="inlineStr">
        <is>
          <t>LEAH SHOJAIE</t>
        </is>
      </c>
      <c r="D439">
        <f>HYPERLINK("https://ota.tournamentsoftware.com/player-profile/A1DEEE7E-F9FE-4AA1-9DCF-5A3FDD2E189E", "Link")</f>
        <v/>
      </c>
      <c r="E439" s="3" t="n">
        <v>114.984</v>
      </c>
      <c r="F439" s="4" t="n">
        <v>10</v>
      </c>
      <c r="G439" t="inlineStr">
        <is>
          <t>Ontario Tennis Association</t>
        </is>
      </c>
      <c r="H439" t="inlineStr">
        <is>
          <t>Valan Tennis Academy</t>
        </is>
      </c>
      <c r="I439" t="n">
        <v>36.6</v>
      </c>
      <c r="J439" s="4" t="n">
        <v>15</v>
      </c>
      <c r="K439" t="inlineStr">
        <is>
          <t>4 / 11</t>
        </is>
      </c>
      <c r="L439" t="inlineStr">
        <is>
          <t>4 / 11</t>
        </is>
      </c>
      <c r="M439" s="5" t="n">
        <v>0.27</v>
      </c>
      <c r="N439" s="5" t="n">
        <v>0.27</v>
      </c>
    </row>
    <row r="440">
      <c r="A440" t="n">
        <v>439</v>
      </c>
      <c r="B440" t="n">
        <v>2015</v>
      </c>
      <c r="C440" t="inlineStr">
        <is>
          <t>Juliet Lauture</t>
        </is>
      </c>
      <c r="D440">
        <f>HYPERLINK("https://ota.tournamentsoftware.com/player-profile/70FC879C-9BB0-4123-BE70-BCB588C22C80", "Link")</f>
        <v/>
      </c>
      <c r="E440" s="3" t="n">
        <v>114.228</v>
      </c>
      <c r="F440" s="4" t="n">
        <v>23</v>
      </c>
      <c r="G440" t="inlineStr">
        <is>
          <t>Tennis Québec</t>
        </is>
      </c>
      <c r="H440" t="inlineStr">
        <is>
          <t>Club Sportif Côte-de-Liesse</t>
        </is>
      </c>
      <c r="I440" t="n">
        <v>35.6</v>
      </c>
      <c r="J440" s="4" t="n">
        <v>106</v>
      </c>
      <c r="K440" t="inlineStr">
        <is>
          <t>59 / 47</t>
        </is>
      </c>
      <c r="L440" t="inlineStr">
        <is>
          <t>20 / 19</t>
        </is>
      </c>
      <c r="M440" s="5" t="n">
        <v>0.5600000000000001</v>
      </c>
      <c r="N440" s="5" t="n">
        <v>0.51</v>
      </c>
    </row>
    <row r="441">
      <c r="A441" t="n">
        <v>440</v>
      </c>
      <c r="B441" t="n">
        <v>2012</v>
      </c>
      <c r="C441" t="inlineStr">
        <is>
          <t>Zeyu (Anne) Xu</t>
        </is>
      </c>
      <c r="D441">
        <f>HYPERLINK("https://ota.tournamentsoftware.com/player-profile/7D4E0E2F-DC2C-4911-BF16-A07E84364BB7", "Link")</f>
        <v/>
      </c>
      <c r="E441" s="3" t="n">
        <v>113.598</v>
      </c>
      <c r="F441" s="4" t="n">
        <v>9</v>
      </c>
      <c r="G441" t="inlineStr">
        <is>
          <t>British Columbia</t>
        </is>
      </c>
      <c r="H441" t="inlineStr">
        <is>
          <t>Tennis BC Hub @ Richmond</t>
        </is>
      </c>
      <c r="I441" t="n">
        <v>34.6</v>
      </c>
      <c r="J441" s="4" t="n">
        <v>109</v>
      </c>
      <c r="K441" t="inlineStr">
        <is>
          <t>26 / 83</t>
        </is>
      </c>
      <c r="L441" t="inlineStr">
        <is>
          <t>4 / 13</t>
        </is>
      </c>
      <c r="M441" s="5" t="n">
        <v>0.24</v>
      </c>
      <c r="N441" s="5" t="n">
        <v>0.24</v>
      </c>
    </row>
    <row r="442">
      <c r="A442" t="n">
        <v>441</v>
      </c>
      <c r="B442" t="n">
        <v>2015</v>
      </c>
      <c r="C442" t="inlineStr">
        <is>
          <t>Misia Ania Pietras</t>
        </is>
      </c>
      <c r="D442">
        <f>HYPERLINK("https://ota.tournamentsoftware.com/player-profile/81A2D044-B79D-4C29-B0B3-9E7AF48F2811", "Link")</f>
        <v/>
      </c>
      <c r="E442" s="3" t="n">
        <v>113.264</v>
      </c>
      <c r="F442" s="4" t="n">
        <v>15</v>
      </c>
      <c r="G442" t="inlineStr">
        <is>
          <t>Ontario Tennis Association</t>
        </is>
      </c>
      <c r="H442" t="inlineStr">
        <is>
          <t>The Tennis School</t>
        </is>
      </c>
      <c r="I442" t="n">
        <v>35.2</v>
      </c>
      <c r="J442" s="4" t="n">
        <v>56</v>
      </c>
      <c r="K442" t="inlineStr">
        <is>
          <t>32 / 24</t>
        </is>
      </c>
      <c r="L442" t="inlineStr">
        <is>
          <t>15 / 9</t>
        </is>
      </c>
      <c r="M442" s="5" t="n">
        <v>0.57</v>
      </c>
      <c r="N442" s="5" t="n">
        <v>0.62</v>
      </c>
    </row>
    <row r="443">
      <c r="A443" t="n">
        <v>442</v>
      </c>
      <c r="B443" t="n">
        <v>2013</v>
      </c>
      <c r="C443" t="inlineStr">
        <is>
          <t>Stella Marion Thoms</t>
        </is>
      </c>
      <c r="D443">
        <f>HYPERLINK("https://ota.tournamentsoftware.com/player-profile/26731833-04E0-4736-BC60-733715112E5E", "Link")</f>
        <v/>
      </c>
      <c r="E443" s="3" t="n">
        <v>113.237</v>
      </c>
      <c r="F443" s="4" t="n">
        <v>7</v>
      </c>
      <c r="G443" t="inlineStr">
        <is>
          <t>Tennis Newfoundland &amp; Labrador</t>
        </is>
      </c>
      <c r="H443" t="inlineStr">
        <is>
          <t>Riverdale Tennis Club</t>
        </is>
      </c>
      <c r="I443" t="n">
        <v>34.7</v>
      </c>
      <c r="J443" s="4" t="n">
        <v>44</v>
      </c>
      <c r="K443" t="inlineStr">
        <is>
          <t>25 / 19</t>
        </is>
      </c>
      <c r="L443" t="inlineStr">
        <is>
          <t>5 / 7</t>
        </is>
      </c>
      <c r="M443" s="5" t="n">
        <v>0.57</v>
      </c>
      <c r="N443" s="5" t="n">
        <v>0.42</v>
      </c>
    </row>
    <row r="444">
      <c r="A444" t="n">
        <v>443</v>
      </c>
      <c r="B444" t="n">
        <v>2014</v>
      </c>
      <c r="C444" t="inlineStr">
        <is>
          <t>Maxine Andrea Subsuban</t>
        </is>
      </c>
      <c r="D444">
        <f>HYPERLINK("https://ota.tournamentsoftware.com/player-profile/330D8089-39D5-4A22-8596-8BAAF8D4E02E", "Link")</f>
        <v/>
      </c>
      <c r="E444" s="3" t="n">
        <v>112.585</v>
      </c>
      <c r="F444" s="4" t="n">
        <v>10</v>
      </c>
      <c r="G444" t="inlineStr">
        <is>
          <t>Tennis Alberta</t>
        </is>
      </c>
      <c r="H444" t="inlineStr">
        <is>
          <t>Osten &amp; Victor Alberta Tennis Centre</t>
        </is>
      </c>
      <c r="I444" t="inlineStr">
        <is>
          <t>unavailable</t>
        </is>
      </c>
      <c r="J444" s="4" t="n">
        <v>103</v>
      </c>
      <c r="K444" t="inlineStr">
        <is>
          <t>42 / 61</t>
        </is>
      </c>
      <c r="L444" t="inlineStr">
        <is>
          <t>8 / 10</t>
        </is>
      </c>
      <c r="M444" s="5" t="n">
        <v>0.41</v>
      </c>
      <c r="N444" s="5" t="n">
        <v>0.44</v>
      </c>
    </row>
    <row r="445">
      <c r="A445" t="n">
        <v>444</v>
      </c>
      <c r="B445" t="n">
        <v>2014</v>
      </c>
      <c r="C445" t="inlineStr">
        <is>
          <t>Sonia Leung</t>
        </is>
      </c>
      <c r="D445">
        <f>HYPERLINK("https://ota.tournamentsoftware.com/player-profile/CCA302B0-3E0B-42DA-BCF9-B1A9AF0035E5", "Link")</f>
        <v/>
      </c>
      <c r="E445" s="3" t="n">
        <v>112.32</v>
      </c>
      <c r="F445" s="4" t="n">
        <v>16</v>
      </c>
      <c r="G445" t="inlineStr">
        <is>
          <t>Ontario Tennis Association</t>
        </is>
      </c>
      <c r="H445" t="inlineStr">
        <is>
          <t>Toronto Tennis Academy</t>
        </is>
      </c>
      <c r="I445" t="n">
        <v>35</v>
      </c>
      <c r="J445" s="4" t="n">
        <v>61</v>
      </c>
      <c r="K445" t="inlineStr">
        <is>
          <t>29 / 32</t>
        </is>
      </c>
      <c r="L445" t="inlineStr">
        <is>
          <t>20 / 12</t>
        </is>
      </c>
      <c r="M445" s="5" t="n">
        <v>0.48</v>
      </c>
      <c r="N445" s="5" t="n">
        <v>0.62</v>
      </c>
    </row>
    <row r="446">
      <c r="A446" t="n">
        <v>445</v>
      </c>
      <c r="B446" t="n">
        <v>2015</v>
      </c>
      <c r="C446" t="inlineStr">
        <is>
          <t>Arianna Marquez</t>
        </is>
      </c>
      <c r="D446">
        <f>HYPERLINK("https://ota.tournamentsoftware.com/player-profile/ABB23AE3-6EC2-498B-AA4D-BB89BCBF0088", "Link")</f>
        <v/>
      </c>
      <c r="E446" s="3" t="n">
        <v>112.229</v>
      </c>
      <c r="F446" s="4" t="n">
        <v>16</v>
      </c>
      <c r="G446" t="inlineStr">
        <is>
          <t>Tennis Alberta</t>
        </is>
      </c>
      <c r="H446" t="inlineStr">
        <is>
          <t>Saville Community Sports Centre</t>
        </is>
      </c>
      <c r="I446" t="n">
        <v>33.6</v>
      </c>
      <c r="J446" s="4" t="n">
        <v>141</v>
      </c>
      <c r="K446" t="inlineStr">
        <is>
          <t>90 / 51</t>
        </is>
      </c>
      <c r="L446" t="inlineStr">
        <is>
          <t>14 / 17</t>
        </is>
      </c>
      <c r="M446" s="5" t="n">
        <v>0.64</v>
      </c>
      <c r="N446" s="5" t="n">
        <v>0.45</v>
      </c>
    </row>
    <row r="447">
      <c r="A447" t="n">
        <v>446</v>
      </c>
      <c r="B447" t="n">
        <v>2015</v>
      </c>
      <c r="C447" t="inlineStr">
        <is>
          <t>Allison Penev</t>
        </is>
      </c>
      <c r="D447">
        <f>HYPERLINK("https://ota.tournamentsoftware.com/player-profile/C34C7D86-0233-454A-9C07-62AD41AF32CE", "Link")</f>
        <v/>
      </c>
      <c r="E447" s="3" t="n">
        <v>112.122</v>
      </c>
      <c r="F447" s="4" t="n">
        <v>20</v>
      </c>
      <c r="G447" t="inlineStr">
        <is>
          <t>Tennis Québec</t>
        </is>
      </c>
      <c r="H447" t="inlineStr">
        <is>
          <t>Carrefour Multisports</t>
        </is>
      </c>
      <c r="I447" t="n">
        <v>36.4</v>
      </c>
      <c r="J447" s="4" t="n">
        <v>151</v>
      </c>
      <c r="K447" t="inlineStr">
        <is>
          <t>64 / 87</t>
        </is>
      </c>
      <c r="L447" t="inlineStr">
        <is>
          <t>6 / 17</t>
        </is>
      </c>
      <c r="M447" s="5" t="n">
        <v>0.42</v>
      </c>
      <c r="N447" s="5" t="n">
        <v>0.26</v>
      </c>
    </row>
    <row r="448">
      <c r="A448" t="n">
        <v>447</v>
      </c>
      <c r="B448" t="n">
        <v>2012</v>
      </c>
      <c r="C448" t="inlineStr">
        <is>
          <t>Isabella Sofia Zrnic</t>
        </is>
      </c>
      <c r="D448">
        <f>HYPERLINK("https://ota.tournamentsoftware.com/player-profile/C8963CF4-1E95-43AF-B92C-08778B2BA616", "Link")</f>
        <v/>
      </c>
      <c r="E448" s="3" t="n">
        <v>112.046</v>
      </c>
      <c r="F448" s="4" t="n">
        <v>13</v>
      </c>
      <c r="G448" t="inlineStr">
        <is>
          <t>Ontario Tennis Association</t>
        </is>
      </c>
      <c r="H448" t="inlineStr">
        <is>
          <t>Lawrence Park Tennis Club</t>
        </is>
      </c>
      <c r="I448" t="n">
        <v>35.4</v>
      </c>
      <c r="J448" s="4" t="n">
        <v>66</v>
      </c>
      <c r="K448" t="inlineStr">
        <is>
          <t>27 / 39</t>
        </is>
      </c>
      <c r="L448" t="inlineStr">
        <is>
          <t>6 / 9</t>
        </is>
      </c>
      <c r="M448" s="5" t="n">
        <v>0.41</v>
      </c>
      <c r="N448" s="5" t="n">
        <v>0.4</v>
      </c>
    </row>
    <row r="449">
      <c r="A449" t="n">
        <v>448</v>
      </c>
      <c r="B449" t="n">
        <v>2013</v>
      </c>
      <c r="C449" t="inlineStr">
        <is>
          <t>Darcia Rabezandriny</t>
        </is>
      </c>
      <c r="D449">
        <f>HYPERLINK("https://ota.tournamentsoftware.com/player-profile/52069260-9644-4FA6-A8E4-10B4E037765E", "Link")</f>
        <v/>
      </c>
      <c r="E449" s="3" t="n">
        <v>110.988</v>
      </c>
      <c r="F449" s="4" t="n">
        <v>9</v>
      </c>
      <c r="G449" t="inlineStr">
        <is>
          <t>Tennis Québec</t>
        </is>
      </c>
      <c r="H449" t="inlineStr">
        <is>
          <t>AA Autre club</t>
        </is>
      </c>
      <c r="I449" t="n">
        <v>34.6</v>
      </c>
      <c r="J449" s="4" t="n">
        <v>157</v>
      </c>
      <c r="K449" t="inlineStr">
        <is>
          <t>82 / 75</t>
        </is>
      </c>
      <c r="L449" t="inlineStr">
        <is>
          <t>7 / 8</t>
        </is>
      </c>
      <c r="M449" s="5" t="n">
        <v>0.52</v>
      </c>
      <c r="N449" s="5" t="n">
        <v>0.47</v>
      </c>
    </row>
    <row r="450">
      <c r="A450" t="n">
        <v>449</v>
      </c>
      <c r="B450" t="n">
        <v>2014</v>
      </c>
      <c r="C450" t="inlineStr">
        <is>
          <t>Audrey JIA</t>
        </is>
      </c>
      <c r="D450">
        <f>HYPERLINK("https://ota.tournamentsoftware.com/player-profile/3F7A519A-489C-490B-9AA2-F4FCBBCA474F", "Link")</f>
        <v/>
      </c>
      <c r="E450" s="3" t="n">
        <v>110.649</v>
      </c>
      <c r="F450" s="4" t="n">
        <v>17</v>
      </c>
      <c r="G450" t="inlineStr">
        <is>
          <t>Ontario Tennis Association</t>
        </is>
      </c>
      <c r="H450" t="inlineStr">
        <is>
          <t>Newmarket Community Tennis Club</t>
        </is>
      </c>
      <c r="I450" t="inlineStr">
        <is>
          <t>unavailable</t>
        </is>
      </c>
      <c r="J450" s="4" t="n">
        <v>88</v>
      </c>
      <c r="K450" t="inlineStr">
        <is>
          <t>48 / 40</t>
        </is>
      </c>
      <c r="L450" t="inlineStr">
        <is>
          <t>31 / 13</t>
        </is>
      </c>
      <c r="M450" s="5" t="n">
        <v>0.55</v>
      </c>
      <c r="N450" s="5" t="n">
        <v>0.7</v>
      </c>
    </row>
    <row r="451">
      <c r="A451" t="n">
        <v>450</v>
      </c>
      <c r="B451" t="n">
        <v>2013</v>
      </c>
      <c r="C451" t="inlineStr">
        <is>
          <t>LeeZann Lai</t>
        </is>
      </c>
      <c r="D451">
        <f>HYPERLINK("https://ota.tournamentsoftware.com/player-profile/F653FB3B-D606-4799-98B3-B9B8F7D1D120", "Link")</f>
        <v/>
      </c>
      <c r="E451" s="3" t="n">
        <v>110.16</v>
      </c>
      <c r="F451" s="4" t="n">
        <v>14</v>
      </c>
      <c r="G451" t="inlineStr">
        <is>
          <t>Ontario Tennis Association</t>
        </is>
      </c>
      <c r="H451" t="inlineStr">
        <is>
          <t>Don Mills Tennis Club</t>
        </is>
      </c>
      <c r="I451" t="n">
        <v>34.6</v>
      </c>
      <c r="J451" s="4" t="n">
        <v>53</v>
      </c>
      <c r="K451" t="inlineStr">
        <is>
          <t>22 / 31</t>
        </is>
      </c>
      <c r="L451" t="inlineStr">
        <is>
          <t>6 / 11</t>
        </is>
      </c>
      <c r="M451" s="5" t="n">
        <v>0.42</v>
      </c>
      <c r="N451" s="5" t="n">
        <v>0.35</v>
      </c>
    </row>
    <row r="452">
      <c r="A452" t="n">
        <v>451</v>
      </c>
      <c r="B452" t="n">
        <v>2015</v>
      </c>
      <c r="C452" t="inlineStr">
        <is>
          <t>Namasya Nakul</t>
        </is>
      </c>
      <c r="D452">
        <f>HYPERLINK("https://ota.tournamentsoftware.com/player-profile/30AB6566-4805-4DA5-90A9-E6D59F3D0D64", "Link")</f>
        <v/>
      </c>
      <c r="E452" s="3" t="n">
        <v>109.619</v>
      </c>
      <c r="F452" s="4" t="n">
        <v>17</v>
      </c>
      <c r="G452" t="inlineStr">
        <is>
          <t>British Columbia</t>
        </is>
      </c>
      <c r="H452" t="inlineStr">
        <is>
          <t>Richmond Country Club</t>
        </is>
      </c>
      <c r="I452" t="n">
        <v>33.2</v>
      </c>
      <c r="J452" s="4" t="n">
        <v>115</v>
      </c>
      <c r="K452" t="inlineStr">
        <is>
          <t>62 / 53</t>
        </is>
      </c>
      <c r="L452" t="inlineStr">
        <is>
          <t>22 / 17</t>
        </is>
      </c>
      <c r="M452" s="5" t="n">
        <v>0.54</v>
      </c>
      <c r="N452" s="5" t="n">
        <v>0.5600000000000001</v>
      </c>
    </row>
    <row r="453">
      <c r="A453" t="n">
        <v>452</v>
      </c>
      <c r="B453" t="n">
        <v>2012</v>
      </c>
      <c r="C453" t="inlineStr">
        <is>
          <t>Rachael Qing Xu</t>
        </is>
      </c>
      <c r="D453">
        <f>HYPERLINK("https://ota.tournamentsoftware.com/player-profile/EF0FB6C4-F27A-45FB-BD75-3C3F4D9EF188", "Link")</f>
        <v/>
      </c>
      <c r="E453" s="3" t="n">
        <v>108.876</v>
      </c>
      <c r="F453" s="4" t="n">
        <v>2</v>
      </c>
      <c r="G453" t="inlineStr">
        <is>
          <t>Ontario Tennis Association</t>
        </is>
      </c>
      <c r="H453" t="inlineStr">
        <is>
          <t>Rosedale Tennis Club (Hamilton)</t>
        </is>
      </c>
      <c r="I453" t="n">
        <v>37.2</v>
      </c>
      <c r="J453" s="4" t="n">
        <v>55</v>
      </c>
      <c r="K453" t="inlineStr">
        <is>
          <t>20 / 35</t>
        </is>
      </c>
      <c r="L453" t="inlineStr">
        <is>
          <t>0 / 0</t>
        </is>
      </c>
      <c r="M453" s="5" t="n">
        <v>0.36</v>
      </c>
      <c r="N453" s="5" t="n">
        <v>0</v>
      </c>
    </row>
    <row r="454">
      <c r="A454" t="n">
        <v>453</v>
      </c>
      <c r="B454" t="n">
        <v>2014</v>
      </c>
      <c r="C454" t="inlineStr">
        <is>
          <t>SHANAYA CHAUDHARY</t>
        </is>
      </c>
      <c r="D454">
        <f>HYPERLINK("https://ota.tournamentsoftware.com/player-profile/72814258-2663-4B9E-9EB1-0A804D79578E", "Link")</f>
        <v/>
      </c>
      <c r="E454" s="3" t="n">
        <v>107.581</v>
      </c>
      <c r="F454" s="4" t="n">
        <v>8</v>
      </c>
      <c r="G454" t="inlineStr">
        <is>
          <t>Ontario Tennis Association</t>
        </is>
      </c>
      <c r="H454" t="inlineStr">
        <is>
          <t>Waterloo Tennis Club</t>
        </is>
      </c>
      <c r="I454" t="inlineStr">
        <is>
          <t>unavailable</t>
        </is>
      </c>
      <c r="J454" s="4" t="n">
        <v>20</v>
      </c>
      <c r="K454" t="inlineStr">
        <is>
          <t>13 / 7</t>
        </is>
      </c>
      <c r="L454" t="inlineStr">
        <is>
          <t>9 / 4</t>
        </is>
      </c>
      <c r="M454" s="5" t="n">
        <v>0.65</v>
      </c>
      <c r="N454" s="5" t="n">
        <v>0.6899999999999999</v>
      </c>
    </row>
    <row r="455">
      <c r="A455" t="n">
        <v>454</v>
      </c>
      <c r="B455" t="n">
        <v>2014</v>
      </c>
      <c r="C455" t="inlineStr">
        <is>
          <t>Emily Ke</t>
        </is>
      </c>
      <c r="D455">
        <f>HYPERLINK("https://ota.tournamentsoftware.com/player-profile/D0843107-5FBA-4EB4-8781-B60B5E7E1319", "Link")</f>
        <v/>
      </c>
      <c r="E455" s="3" t="n">
        <v>107.414</v>
      </c>
      <c r="F455" s="4" t="n">
        <v>14</v>
      </c>
      <c r="G455" t="inlineStr">
        <is>
          <t>Ontario Tennis Association</t>
        </is>
      </c>
      <c r="H455" t="inlineStr">
        <is>
          <t>Mayfair East Racquet Club</t>
        </is>
      </c>
      <c r="I455" t="n">
        <v>36.2</v>
      </c>
      <c r="J455" s="4" t="n">
        <v>108</v>
      </c>
      <c r="K455" t="inlineStr">
        <is>
          <t>38 / 70</t>
        </is>
      </c>
      <c r="L455" t="inlineStr">
        <is>
          <t>4 / 6</t>
        </is>
      </c>
      <c r="M455" s="5" t="n">
        <v>0.35</v>
      </c>
      <c r="N455" s="5" t="n">
        <v>0.4</v>
      </c>
    </row>
    <row r="456">
      <c r="A456" t="n">
        <v>455</v>
      </c>
      <c r="B456" t="n">
        <v>2012</v>
      </c>
      <c r="C456" t="inlineStr">
        <is>
          <t>Clémence Martin</t>
        </is>
      </c>
      <c r="D456">
        <f>HYPERLINK("https://ota.tournamentsoftware.com/player-profile/CF2B02DD-EFB8-49FD-8774-B98F78A30C1A", "Link")</f>
        <v/>
      </c>
      <c r="E456" s="3" t="n">
        <v>107.179</v>
      </c>
      <c r="F456" s="4" t="n">
        <v>4</v>
      </c>
      <c r="G456" t="inlineStr">
        <is>
          <t>Tennis Québec</t>
        </is>
      </c>
      <c r="H456" t="inlineStr">
        <is>
          <t>Centre sportif Sport Scène / Élite Tennis Académie</t>
        </is>
      </c>
      <c r="I456" t="inlineStr">
        <is>
          <t>unavailable</t>
        </is>
      </c>
      <c r="J456" s="4" t="inlineStr"/>
      <c r="K456" t="inlineStr">
        <is>
          <t>unavailable</t>
        </is>
      </c>
      <c r="L456" t="inlineStr">
        <is>
          <t>unavailable</t>
        </is>
      </c>
      <c r="M456" s="5" t="inlineStr"/>
      <c r="N456" s="5" t="inlineStr"/>
    </row>
    <row r="457">
      <c r="A457" t="n">
        <v>456</v>
      </c>
      <c r="B457" t="n">
        <v>2014</v>
      </c>
      <c r="C457" t="inlineStr">
        <is>
          <t>Abigail Curilscaia</t>
        </is>
      </c>
      <c r="D457">
        <f>HYPERLINK("https://ota.tournamentsoftware.com/player-profile/275CB740-D9DB-4B51-8864-93A2F0D91A3B", "Link")</f>
        <v/>
      </c>
      <c r="E457" s="3" t="n">
        <v>105.422</v>
      </c>
      <c r="F457" s="4" t="n">
        <v>13</v>
      </c>
      <c r="G457" t="inlineStr">
        <is>
          <t>Tennis Alberta</t>
        </is>
      </c>
      <c r="H457" t="inlineStr">
        <is>
          <t>Aforza</t>
        </is>
      </c>
      <c r="I457" t="n">
        <v>32</v>
      </c>
      <c r="J457" s="4" t="n">
        <v>91</v>
      </c>
      <c r="K457" t="inlineStr">
        <is>
          <t>40 / 51</t>
        </is>
      </c>
      <c r="L457" t="inlineStr">
        <is>
          <t>17 / 10</t>
        </is>
      </c>
      <c r="M457" s="5" t="n">
        <v>0.44</v>
      </c>
      <c r="N457" s="5" t="n">
        <v>0.63</v>
      </c>
    </row>
    <row r="458">
      <c r="A458" t="n">
        <v>457</v>
      </c>
      <c r="B458" t="n">
        <v>2013</v>
      </c>
      <c r="C458" t="inlineStr">
        <is>
          <t>Sofia Anne Brunetto</t>
        </is>
      </c>
      <c r="D458">
        <f>HYPERLINK("https://ota.tournamentsoftware.com/player-profile/C2843F1F-C701-4853-A79C-051450F19D77", "Link")</f>
        <v/>
      </c>
      <c r="E458" s="3" t="n">
        <v>104.939</v>
      </c>
      <c r="F458" s="4" t="n">
        <v>7</v>
      </c>
      <c r="G458" t="inlineStr">
        <is>
          <t>Ontario Tennis Association</t>
        </is>
      </c>
      <c r="H458" t="inlineStr">
        <is>
          <t>Zekelman Tennis Centre</t>
        </is>
      </c>
      <c r="I458" t="n">
        <v>33.3</v>
      </c>
      <c r="J458" s="4" t="n">
        <v>19</v>
      </c>
      <c r="K458" t="inlineStr">
        <is>
          <t>8 / 11</t>
        </is>
      </c>
      <c r="L458" t="inlineStr">
        <is>
          <t>3 / 6</t>
        </is>
      </c>
      <c r="M458" s="5" t="n">
        <v>0.42</v>
      </c>
      <c r="N458" s="5" t="n">
        <v>0.33</v>
      </c>
    </row>
    <row r="459">
      <c r="A459" t="n">
        <v>458</v>
      </c>
      <c r="B459" t="n">
        <v>2016</v>
      </c>
      <c r="C459" t="inlineStr">
        <is>
          <t>Paulina Mangal</t>
        </is>
      </c>
      <c r="D459">
        <f>HYPERLINK("https://ota.tournamentsoftware.com/player-profile/ADDD5986-263D-4338-B6C0-6F72A2AC55F7", "Link")</f>
        <v/>
      </c>
      <c r="E459" s="3" t="n">
        <v>103.751</v>
      </c>
      <c r="F459" s="4" t="n">
        <v>21</v>
      </c>
      <c r="G459" t="inlineStr">
        <is>
          <t>Ontario Tennis Association</t>
        </is>
      </c>
      <c r="H459" t="inlineStr">
        <is>
          <t>Premier Racquet Clubs – Mississauga</t>
        </is>
      </c>
      <c r="I459" t="n">
        <v>36.1</v>
      </c>
      <c r="J459" s="4" t="n">
        <v>176</v>
      </c>
      <c r="K459" t="inlineStr">
        <is>
          <t>74 / 102</t>
        </is>
      </c>
      <c r="L459" t="inlineStr">
        <is>
          <t>15 / 17</t>
        </is>
      </c>
      <c r="M459" s="5" t="n">
        <v>0.42</v>
      </c>
      <c r="N459" s="5" t="n">
        <v>0.47</v>
      </c>
    </row>
    <row r="460">
      <c r="A460" t="n">
        <v>459</v>
      </c>
      <c r="B460" t="n">
        <v>2015</v>
      </c>
      <c r="C460" t="inlineStr">
        <is>
          <t>Anna Guzina-McLeod</t>
        </is>
      </c>
      <c r="D460">
        <f>HYPERLINK("https://ota.tournamentsoftware.com/player-profile/55F5BC4F-092C-4C72-BFDC-3F60E618D778", "Link")</f>
        <v/>
      </c>
      <c r="E460" s="3" t="n">
        <v>103.216</v>
      </c>
      <c r="F460" s="4" t="n">
        <v>16</v>
      </c>
      <c r="G460" t="inlineStr">
        <is>
          <t>Ontario Tennis Association</t>
        </is>
      </c>
      <c r="H460" t="inlineStr">
        <is>
          <t>Rideau Sports Centre</t>
        </is>
      </c>
      <c r="I460" t="inlineStr">
        <is>
          <t>unavailable</t>
        </is>
      </c>
      <c r="J460" s="4" t="n">
        <v>113</v>
      </c>
      <c r="K460" t="inlineStr">
        <is>
          <t>66 / 47</t>
        </is>
      </c>
      <c r="L460" t="inlineStr">
        <is>
          <t>10 / 14</t>
        </is>
      </c>
      <c r="M460" s="5" t="n">
        <v>0.58</v>
      </c>
      <c r="N460" s="5" t="n">
        <v>0.42</v>
      </c>
    </row>
    <row r="461">
      <c r="A461" t="n">
        <v>460</v>
      </c>
      <c r="B461" t="n">
        <v>2013</v>
      </c>
      <c r="C461" t="inlineStr">
        <is>
          <t>Khaliya Karim</t>
        </is>
      </c>
      <c r="D461">
        <f>HYPERLINK("https://ota.tournamentsoftware.com/player-profile/3982667F-BB84-4AC0-B470-E67D90581DB9", "Link")</f>
        <v/>
      </c>
      <c r="E461" s="3" t="n">
        <v>102.585</v>
      </c>
      <c r="F461" s="4" t="n">
        <v>17</v>
      </c>
      <c r="G461" t="inlineStr">
        <is>
          <t>British Columbia</t>
        </is>
      </c>
      <c r="H461" t="inlineStr">
        <is>
          <t>Arbutus Club</t>
        </is>
      </c>
      <c r="I461" t="n">
        <v>35.6</v>
      </c>
      <c r="J461" s="4" t="n">
        <v>86</v>
      </c>
      <c r="K461" t="inlineStr">
        <is>
          <t>16 / 70</t>
        </is>
      </c>
      <c r="L461" t="inlineStr">
        <is>
          <t>12 / 23</t>
        </is>
      </c>
      <c r="M461" s="5" t="n">
        <v>0.19</v>
      </c>
      <c r="N461" s="5" t="n">
        <v>0.34</v>
      </c>
    </row>
    <row r="462">
      <c r="A462" t="n">
        <v>461</v>
      </c>
      <c r="B462" t="n">
        <v>2014</v>
      </c>
      <c r="C462" t="inlineStr">
        <is>
          <t>Ananya Rao</t>
        </is>
      </c>
      <c r="D462">
        <f>HYPERLINK("https://ota.tournamentsoftware.com/player-profile/D12578BD-BDAF-471D-B53C-09B281C916CB", "Link")</f>
        <v/>
      </c>
      <c r="E462" s="3" t="n">
        <v>102.512</v>
      </c>
      <c r="F462" s="4" t="n">
        <v>16</v>
      </c>
      <c r="G462" t="inlineStr">
        <is>
          <t>Ontario Tennis Association</t>
        </is>
      </c>
      <c r="H462" t="inlineStr">
        <is>
          <t>Carleton Tennis Centre</t>
        </is>
      </c>
      <c r="I462" t="n">
        <v>36.8</v>
      </c>
      <c r="J462" s="4" t="n">
        <v>93</v>
      </c>
      <c r="K462" t="inlineStr">
        <is>
          <t>29 / 64</t>
        </is>
      </c>
      <c r="L462" t="inlineStr">
        <is>
          <t>6 / 9</t>
        </is>
      </c>
      <c r="M462" s="5" t="n">
        <v>0.31</v>
      </c>
      <c r="N462" s="5" t="n">
        <v>0.4</v>
      </c>
    </row>
    <row r="463">
      <c r="A463" t="n">
        <v>462</v>
      </c>
      <c r="B463" t="n">
        <v>2014</v>
      </c>
      <c r="C463" t="inlineStr">
        <is>
          <t>Scarlett Habeebkutty</t>
        </is>
      </c>
      <c r="D463">
        <f>HYPERLINK("https://ota.tournamentsoftware.com/player-profile/B3E7011D-10BF-4CEB-9D49-F24BAE1BE1A2", "Link")</f>
        <v/>
      </c>
      <c r="E463" s="3" t="n">
        <v>102.277</v>
      </c>
      <c r="F463" s="4" t="n">
        <v>5</v>
      </c>
      <c r="G463" t="inlineStr">
        <is>
          <t>Tennis Saskatchewan</t>
        </is>
      </c>
      <c r="H463" t="inlineStr">
        <is>
          <t>Lakeshore Tennis Club</t>
        </is>
      </c>
      <c r="I463" t="n">
        <v>40</v>
      </c>
      <c r="J463" s="4" t="n">
        <v>14</v>
      </c>
      <c r="K463" t="inlineStr">
        <is>
          <t>0 / 14</t>
        </is>
      </c>
      <c r="L463" t="inlineStr">
        <is>
          <t>0 / 14</t>
        </is>
      </c>
      <c r="M463" s="5" t="n">
        <v>0</v>
      </c>
      <c r="N463" s="5" t="n">
        <v>0</v>
      </c>
    </row>
    <row r="464">
      <c r="A464" t="n">
        <v>463</v>
      </c>
      <c r="B464" t="n">
        <v>2015</v>
      </c>
      <c r="C464" t="inlineStr">
        <is>
          <t>Sofia Nasrallah</t>
        </is>
      </c>
      <c r="D464">
        <f>HYPERLINK("https://ota.tournamentsoftware.com/player-profile/FAA88C80-170D-40C3-8A88-6B81077D1F02", "Link")</f>
        <v/>
      </c>
      <c r="E464" s="3" t="n">
        <v>102.129</v>
      </c>
      <c r="F464" s="4" t="n">
        <v>23</v>
      </c>
      <c r="G464" t="inlineStr">
        <is>
          <t>Tennis Québec</t>
        </is>
      </c>
      <c r="H464" t="inlineStr">
        <is>
          <t>Carrefour Multisports</t>
        </is>
      </c>
      <c r="I464" t="n">
        <v>36.8</v>
      </c>
      <c r="J464" s="4" t="n">
        <v>154</v>
      </c>
      <c r="K464" t="inlineStr">
        <is>
          <t>52 / 102</t>
        </is>
      </c>
      <c r="L464" t="inlineStr">
        <is>
          <t>9 / 19</t>
        </is>
      </c>
      <c r="M464" s="5" t="n">
        <v>0.34</v>
      </c>
      <c r="N464" s="5" t="n">
        <v>0.32</v>
      </c>
    </row>
    <row r="465">
      <c r="A465" t="n">
        <v>464</v>
      </c>
      <c r="B465" t="n">
        <v>2013</v>
      </c>
      <c r="C465" t="inlineStr">
        <is>
          <t>Aditi Varma</t>
        </is>
      </c>
      <c r="D465">
        <f>HYPERLINK("https://ota.tournamentsoftware.com/player-profile/EE1E4950-6BCE-4CAA-921A-C5201D737DFF", "Link")</f>
        <v/>
      </c>
      <c r="E465" s="3" t="n">
        <v>101.941</v>
      </c>
      <c r="F465" s="4" t="n">
        <v>9</v>
      </c>
      <c r="G465" t="inlineStr">
        <is>
          <t>Ontario Tennis Association</t>
        </is>
      </c>
      <c r="H465" t="inlineStr">
        <is>
          <t>Ontario Racquet Club</t>
        </is>
      </c>
      <c r="I465" t="n">
        <v>34.9</v>
      </c>
      <c r="J465" s="4" t="n">
        <v>87</v>
      </c>
      <c r="K465" t="inlineStr">
        <is>
          <t>26 / 61</t>
        </is>
      </c>
      <c r="L465" t="inlineStr">
        <is>
          <t>2 / 5</t>
        </is>
      </c>
      <c r="M465" s="5" t="n">
        <v>0.3</v>
      </c>
      <c r="N465" s="5" t="n">
        <v>0.29</v>
      </c>
    </row>
    <row r="466">
      <c r="A466" t="n">
        <v>465</v>
      </c>
      <c r="B466" t="n">
        <v>2014</v>
      </c>
      <c r="C466" t="inlineStr">
        <is>
          <t>Gabriella Geronimo</t>
        </is>
      </c>
      <c r="D466">
        <f>HYPERLINK("https://ota.tournamentsoftware.com/player-profile/E075895A-C22F-4FDB-9A95-CCD353169906", "Link")</f>
        <v/>
      </c>
      <c r="E466" s="3" t="n">
        <v>101.108</v>
      </c>
      <c r="F466" s="4" t="n">
        <v>8</v>
      </c>
      <c r="G466" t="inlineStr">
        <is>
          <t>Ontario Tennis Association</t>
        </is>
      </c>
      <c r="H466" t="inlineStr">
        <is>
          <t>Albion Gardens Tennis Club</t>
        </is>
      </c>
      <c r="I466" t="n">
        <v>33.8</v>
      </c>
      <c r="J466" s="4" t="n">
        <v>200</v>
      </c>
      <c r="K466" t="inlineStr">
        <is>
          <t>113 / 87</t>
        </is>
      </c>
      <c r="L466" t="inlineStr">
        <is>
          <t>5 / 1</t>
        </is>
      </c>
      <c r="M466" s="5" t="n">
        <v>0.5600000000000001</v>
      </c>
      <c r="N466" s="5" t="n">
        <v>0.83</v>
      </c>
    </row>
    <row r="467">
      <c r="A467" t="n">
        <v>466</v>
      </c>
      <c r="B467" t="n">
        <v>2012</v>
      </c>
      <c r="C467" t="inlineStr">
        <is>
          <t>aashka vishal devaiya</t>
        </is>
      </c>
      <c r="D467">
        <f>HYPERLINK("https://ota.tournamentsoftware.com/player-profile/99C1CB63-E70E-4FB5-A115-3A252251FA67", "Link")</f>
        <v/>
      </c>
      <c r="E467" s="3" t="n">
        <v>100.829</v>
      </c>
      <c r="F467" s="4" t="n">
        <v>1</v>
      </c>
      <c r="G467" t="inlineStr">
        <is>
          <t>British Columbia</t>
        </is>
      </c>
      <c r="H467" t="inlineStr">
        <is>
          <t>No Club</t>
        </is>
      </c>
      <c r="I467" t="inlineStr">
        <is>
          <t>unavailable</t>
        </is>
      </c>
      <c r="J467" s="4" t="n">
        <v>3</v>
      </c>
      <c r="K467" t="inlineStr">
        <is>
          <t>2 / 1</t>
        </is>
      </c>
      <c r="L467" t="inlineStr">
        <is>
          <t>2 / 1</t>
        </is>
      </c>
      <c r="M467" s="5" t="n">
        <v>0.67</v>
      </c>
      <c r="N467" s="5" t="n">
        <v>0.67</v>
      </c>
    </row>
    <row r="468">
      <c r="A468" t="n">
        <v>467</v>
      </c>
      <c r="B468" t="n">
        <v>2012</v>
      </c>
      <c r="C468" t="inlineStr">
        <is>
          <t>Selena Wazelle</t>
        </is>
      </c>
      <c r="D468">
        <f>HYPERLINK("https://ota.tournamentsoftware.com/player-profile/B596341F-BD27-43AF-8888-AAD072F39AFB", "Link")</f>
        <v/>
      </c>
      <c r="E468" s="3" t="n">
        <v>100.44</v>
      </c>
      <c r="F468" s="4" t="n">
        <v>3</v>
      </c>
      <c r="G468" t="inlineStr">
        <is>
          <t>British Columbia</t>
        </is>
      </c>
      <c r="H468" t="inlineStr">
        <is>
          <t>No Club</t>
        </is>
      </c>
      <c r="I468" t="n">
        <v>30.1</v>
      </c>
      <c r="J468" s="4" t="n">
        <v>159</v>
      </c>
      <c r="K468" t="inlineStr">
        <is>
          <t>89 / 70</t>
        </is>
      </c>
      <c r="L468" t="inlineStr">
        <is>
          <t>0 / 0</t>
        </is>
      </c>
      <c r="M468" s="5" t="n">
        <v>0.5600000000000001</v>
      </c>
      <c r="N468" s="5" t="n">
        <v>0</v>
      </c>
    </row>
    <row r="469">
      <c r="A469" t="n">
        <v>468</v>
      </c>
      <c r="B469" t="n">
        <v>2012</v>
      </c>
      <c r="C469" t="inlineStr">
        <is>
          <t>Emma Fedeyko</t>
        </is>
      </c>
      <c r="D469">
        <f>HYPERLINK("https://ota.tournamentsoftware.com/player-profile/62E06657-0480-40D7-B491-B99DA20E11DF", "Link")</f>
        <v/>
      </c>
      <c r="E469" s="3" t="n">
        <v>99.619</v>
      </c>
      <c r="F469" s="4" t="n">
        <v>8</v>
      </c>
      <c r="G469" t="inlineStr">
        <is>
          <t>Ontario Tennis Association</t>
        </is>
      </c>
      <c r="H469" t="inlineStr">
        <is>
          <t>Ontario Racquet Club</t>
        </is>
      </c>
      <c r="I469" t="n">
        <v>35.5</v>
      </c>
      <c r="J469" s="4" t="n">
        <v>52</v>
      </c>
      <c r="K469" t="inlineStr">
        <is>
          <t>19 / 33</t>
        </is>
      </c>
      <c r="L469" t="inlineStr">
        <is>
          <t>3 / 5</t>
        </is>
      </c>
      <c r="M469" s="5" t="n">
        <v>0.37</v>
      </c>
      <c r="N469" s="5" t="n">
        <v>0.38</v>
      </c>
    </row>
    <row r="470">
      <c r="A470" t="n">
        <v>469</v>
      </c>
      <c r="B470" t="n">
        <v>2013</v>
      </c>
      <c r="C470" t="inlineStr">
        <is>
          <t>Isabelle Duvinage</t>
        </is>
      </c>
      <c r="D470">
        <f>HYPERLINK("https://ota.tournamentsoftware.com/player-profile/7B9DB032-AD8C-41C5-A138-CF844016B7C1", "Link")</f>
        <v/>
      </c>
      <c r="E470" s="3" t="n">
        <v>99.39100000000001</v>
      </c>
      <c r="F470" s="4" t="n">
        <v>5</v>
      </c>
      <c r="G470" t="inlineStr">
        <is>
          <t>Ontario Tennis Association</t>
        </is>
      </c>
      <c r="H470" t="inlineStr">
        <is>
          <t>Kew Gardens Tennis Club</t>
        </is>
      </c>
      <c r="I470" t="n">
        <v>37.9</v>
      </c>
      <c r="J470" s="4" t="n">
        <v>37</v>
      </c>
      <c r="K470" t="inlineStr">
        <is>
          <t>12 / 25</t>
        </is>
      </c>
      <c r="L470" t="inlineStr">
        <is>
          <t>1 / 5</t>
        </is>
      </c>
      <c r="M470" s="5" t="n">
        <v>0.32</v>
      </c>
      <c r="N470" s="5" t="n">
        <v>0.17</v>
      </c>
    </row>
    <row r="471">
      <c r="A471" t="n">
        <v>470</v>
      </c>
      <c r="B471" t="n">
        <v>2014</v>
      </c>
      <c r="C471" t="inlineStr">
        <is>
          <t>Chloe Esther Yeung</t>
        </is>
      </c>
      <c r="D471">
        <f>HYPERLINK("https://ota.tournamentsoftware.com/player-profile/A0100B59-21FE-4244-87C6-16B2DE0DBB96", "Link")</f>
        <v/>
      </c>
      <c r="E471" s="3" t="n">
        <v>99.27800000000001</v>
      </c>
      <c r="F471" s="4" t="n">
        <v>13</v>
      </c>
      <c r="G471" t="inlineStr">
        <is>
          <t>Ontario Tennis Association</t>
        </is>
      </c>
      <c r="H471" t="inlineStr">
        <is>
          <t>Mayfair East Racquet Club</t>
        </is>
      </c>
      <c r="I471" t="n">
        <v>36.6</v>
      </c>
      <c r="J471" s="4" t="n">
        <v>106</v>
      </c>
      <c r="K471" t="inlineStr">
        <is>
          <t>45 / 61</t>
        </is>
      </c>
      <c r="L471" t="inlineStr">
        <is>
          <t>3 / 9</t>
        </is>
      </c>
      <c r="M471" s="5" t="n">
        <v>0.42</v>
      </c>
      <c r="N471" s="5" t="n">
        <v>0.25</v>
      </c>
    </row>
    <row r="472">
      <c r="A472" t="n">
        <v>471</v>
      </c>
      <c r="B472" t="n">
        <v>2013</v>
      </c>
      <c r="C472" t="inlineStr">
        <is>
          <t>Kaylie Kam</t>
        </is>
      </c>
      <c r="D472">
        <f>HYPERLINK("https://ota.tournamentsoftware.com/player-profile/29B7928E-12B2-4691-8B4A-1DE557B4F068", "Link")</f>
        <v/>
      </c>
      <c r="E472" s="3" t="n">
        <v>98.657</v>
      </c>
      <c r="F472" s="4" t="n">
        <v>14</v>
      </c>
      <c r="G472" t="inlineStr">
        <is>
          <t>Ontario Tennis Association</t>
        </is>
      </c>
      <c r="H472" t="inlineStr">
        <is>
          <t>Blackmore Tennis Club</t>
        </is>
      </c>
      <c r="I472" t="n">
        <v>34.1</v>
      </c>
      <c r="J472" s="4" t="n">
        <v>56</v>
      </c>
      <c r="K472" t="inlineStr">
        <is>
          <t>37 / 19</t>
        </is>
      </c>
      <c r="L472" t="inlineStr">
        <is>
          <t>11 / 11</t>
        </is>
      </c>
      <c r="M472" s="5" t="n">
        <v>0.66</v>
      </c>
      <c r="N472" s="5" t="n">
        <v>0.5</v>
      </c>
    </row>
    <row r="473">
      <c r="A473" t="n">
        <v>472</v>
      </c>
      <c r="B473" t="n">
        <v>2012</v>
      </c>
      <c r="C473" t="inlineStr">
        <is>
          <t>Emily Lyn</t>
        </is>
      </c>
      <c r="D473">
        <f>HYPERLINK("https://ota.tournamentsoftware.com/player-profile/952E408B-05E4-4A69-8AAE-E4D164512A9E", "Link")</f>
        <v/>
      </c>
      <c r="E473" s="3" t="n">
        <v>98.52</v>
      </c>
      <c r="F473" s="4" t="n">
        <v>9</v>
      </c>
      <c r="G473" t="inlineStr">
        <is>
          <t>Ontario Tennis Association</t>
        </is>
      </c>
      <c r="H473" t="inlineStr">
        <is>
          <t>Markham Tennis Club</t>
        </is>
      </c>
      <c r="I473" t="n">
        <v>36</v>
      </c>
      <c r="J473" s="4" t="n">
        <v>103</v>
      </c>
      <c r="K473" t="inlineStr">
        <is>
          <t>61 / 42</t>
        </is>
      </c>
      <c r="L473" t="inlineStr">
        <is>
          <t>5 / 6</t>
        </is>
      </c>
      <c r="M473" s="5" t="n">
        <v>0.59</v>
      </c>
      <c r="N473" s="5" t="n">
        <v>0.45</v>
      </c>
    </row>
    <row r="474">
      <c r="A474" t="n">
        <v>473</v>
      </c>
      <c r="B474" t="n">
        <v>2014</v>
      </c>
      <c r="C474" t="inlineStr">
        <is>
          <t>Avril Kymber Lin</t>
        </is>
      </c>
      <c r="D474">
        <f>HYPERLINK("https://ota.tournamentsoftware.com/player-profile/6CFCC91C-A66C-46B5-8430-D2D78CE3EE4B", "Link")</f>
        <v/>
      </c>
      <c r="E474" s="3" t="n">
        <v>98.492</v>
      </c>
      <c r="F474" s="4" t="n">
        <v>13</v>
      </c>
      <c r="G474" t="inlineStr">
        <is>
          <t>Tennis Alberta</t>
        </is>
      </c>
      <c r="H474" t="inlineStr">
        <is>
          <t>Brookside Court &amp; Wellness</t>
        </is>
      </c>
      <c r="I474" t="inlineStr">
        <is>
          <t>unavailable</t>
        </is>
      </c>
      <c r="J474" s="4" t="n">
        <v>101</v>
      </c>
      <c r="K474" t="inlineStr">
        <is>
          <t>40 / 61</t>
        </is>
      </c>
      <c r="L474" t="inlineStr">
        <is>
          <t>10 / 16</t>
        </is>
      </c>
      <c r="M474" s="5" t="n">
        <v>0.4</v>
      </c>
      <c r="N474" s="5" t="n">
        <v>0.38</v>
      </c>
    </row>
    <row r="475">
      <c r="A475" t="n">
        <v>474</v>
      </c>
      <c r="B475" t="n">
        <v>2015</v>
      </c>
      <c r="C475" t="inlineStr">
        <is>
          <t>Mila Venturelli</t>
        </is>
      </c>
      <c r="D475">
        <f>HYPERLINK("https://ota.tournamentsoftware.com/player-profile/BCA3B83C-81C0-4469-B3DA-4E3234E6CA0A", "Link")</f>
        <v/>
      </c>
      <c r="E475" s="3" t="n">
        <v>98.126</v>
      </c>
      <c r="F475" s="4" t="n">
        <v>20</v>
      </c>
      <c r="G475" t="inlineStr">
        <is>
          <t>Tennis Québec</t>
        </is>
      </c>
      <c r="H475" t="inlineStr">
        <is>
          <t>Tennis 13</t>
        </is>
      </c>
      <c r="I475" t="n">
        <v>36.9</v>
      </c>
      <c r="J475" s="4" t="n">
        <v>87</v>
      </c>
      <c r="K475" t="inlineStr">
        <is>
          <t>35 / 52</t>
        </is>
      </c>
      <c r="L475" t="inlineStr">
        <is>
          <t>7 / 15</t>
        </is>
      </c>
      <c r="M475" s="5" t="n">
        <v>0.4</v>
      </c>
      <c r="N475" s="5" t="n">
        <v>0.32</v>
      </c>
    </row>
    <row r="476">
      <c r="A476" t="n">
        <v>475</v>
      </c>
      <c r="B476" t="n">
        <v>2012</v>
      </c>
      <c r="C476" t="inlineStr">
        <is>
          <t>Alice Le</t>
        </is>
      </c>
      <c r="D476">
        <f>HYPERLINK("https://ota.tournamentsoftware.com/player-profile/762C717D-CB5B-4A61-877E-C235D5E4911F", "Link")</f>
        <v/>
      </c>
      <c r="E476" s="3" t="n">
        <v>98.04000000000001</v>
      </c>
      <c r="F476" s="4" t="n">
        <v>4</v>
      </c>
      <c r="G476" t="inlineStr">
        <is>
          <t>British Columbia</t>
        </is>
      </c>
      <c r="H476" t="inlineStr">
        <is>
          <t>City of Vancouver</t>
        </is>
      </c>
      <c r="I476" t="inlineStr">
        <is>
          <t>unavailable</t>
        </is>
      </c>
      <c r="J476" s="4" t="n">
        <v>10</v>
      </c>
      <c r="K476" t="inlineStr">
        <is>
          <t>7 / 3</t>
        </is>
      </c>
      <c r="L476" t="inlineStr">
        <is>
          <t>1 / 1</t>
        </is>
      </c>
      <c r="M476" s="5" t="n">
        <v>0.7</v>
      </c>
      <c r="N476" s="5" t="n">
        <v>0.5</v>
      </c>
    </row>
    <row r="477">
      <c r="A477" t="n">
        <v>476</v>
      </c>
      <c r="B477" t="n">
        <v>2015</v>
      </c>
      <c r="C477" t="inlineStr">
        <is>
          <t>Violet Ton-That</t>
        </is>
      </c>
      <c r="D477">
        <f>HYPERLINK("https://ota.tournamentsoftware.com/player-profile/2832D590-1D78-4B7F-B573-E2D932040ADB", "Link")</f>
        <v/>
      </c>
      <c r="E477" s="3" t="n">
        <v>96.917</v>
      </c>
      <c r="F477" s="4" t="n">
        <v>12</v>
      </c>
      <c r="G477" t="inlineStr">
        <is>
          <t>Tennis Québec</t>
        </is>
      </c>
      <c r="H477" t="inlineStr">
        <is>
          <t>Tennis Montréal Excellence</t>
        </is>
      </c>
      <c r="I477" t="n">
        <v>35.7</v>
      </c>
      <c r="J477" s="4" t="n">
        <v>63</v>
      </c>
      <c r="K477" t="inlineStr">
        <is>
          <t>29 / 34</t>
        </is>
      </c>
      <c r="L477" t="inlineStr">
        <is>
          <t>8 / 10</t>
        </is>
      </c>
      <c r="M477" s="5" t="n">
        <v>0.46</v>
      </c>
      <c r="N477" s="5" t="n">
        <v>0.44</v>
      </c>
    </row>
    <row r="478">
      <c r="A478" t="n">
        <v>477</v>
      </c>
      <c r="B478" t="n">
        <v>2017</v>
      </c>
      <c r="C478" t="inlineStr">
        <is>
          <t>Amelia Alhakim</t>
        </is>
      </c>
      <c r="D478">
        <f>HYPERLINK("https://ota.tournamentsoftware.com/player-profile/0B954ECB-D503-4C36-BD94-6D389AF0D202", "Link")</f>
        <v/>
      </c>
      <c r="E478" s="3" t="n">
        <v>96.36</v>
      </c>
      <c r="F478" s="4" t="n">
        <v>13</v>
      </c>
      <c r="G478" t="inlineStr">
        <is>
          <t>Ontario Tennis Association</t>
        </is>
      </c>
      <c r="H478" t="inlineStr">
        <is>
          <t>Zekelman Tennis Centre</t>
        </is>
      </c>
      <c r="I478" t="n">
        <v>34.4</v>
      </c>
      <c r="J478" s="4" t="n">
        <v>40</v>
      </c>
      <c r="K478" t="inlineStr">
        <is>
          <t>23 / 17</t>
        </is>
      </c>
      <c r="L478" t="inlineStr">
        <is>
          <t>19 / 12</t>
        </is>
      </c>
      <c r="M478" s="5" t="n">
        <v>0.57</v>
      </c>
      <c r="N478" s="5" t="n">
        <v>0.61</v>
      </c>
    </row>
    <row r="479">
      <c r="A479" t="n">
        <v>478</v>
      </c>
      <c r="B479" t="n">
        <v>2014</v>
      </c>
      <c r="C479" t="inlineStr">
        <is>
          <t>Zoey Folashakin</t>
        </is>
      </c>
      <c r="D479">
        <f>HYPERLINK("https://ota.tournamentsoftware.com/player-profile/3301B942-3C8E-4FE4-9470-6F68EC47669D", "Link")</f>
        <v/>
      </c>
      <c r="E479" s="3" t="n">
        <v>95.544</v>
      </c>
      <c r="F479" s="4" t="n">
        <v>22</v>
      </c>
      <c r="G479" t="inlineStr">
        <is>
          <t>Ontario Tennis Association</t>
        </is>
      </c>
      <c r="H479" t="inlineStr">
        <is>
          <t>Joshua Creek Golf &amp; Tennis</t>
        </is>
      </c>
      <c r="I479" t="n">
        <v>36.6</v>
      </c>
      <c r="J479" s="4" t="n">
        <v>68</v>
      </c>
      <c r="K479" t="inlineStr">
        <is>
          <t>15 / 53</t>
        </is>
      </c>
      <c r="L479" t="inlineStr">
        <is>
          <t>11 / 14</t>
        </is>
      </c>
      <c r="M479" s="5" t="n">
        <v>0.22</v>
      </c>
      <c r="N479" s="5" t="n">
        <v>0.44</v>
      </c>
    </row>
    <row r="480">
      <c r="A480" t="n">
        <v>479</v>
      </c>
      <c r="B480" t="n">
        <v>2015</v>
      </c>
      <c r="C480" t="inlineStr">
        <is>
          <t>Kaliya Summer Miserre-Garrecht</t>
        </is>
      </c>
      <c r="D480">
        <f>HYPERLINK("https://ota.tournamentsoftware.com/player-profile/C178309B-9B10-4C79-99B5-DD8E37FCC1EF", "Link")</f>
        <v/>
      </c>
      <c r="E480" s="3" t="n">
        <v>94.80200000000001</v>
      </c>
      <c r="F480" s="4" t="n">
        <v>23</v>
      </c>
      <c r="G480" t="inlineStr">
        <is>
          <t>British Columbia</t>
        </is>
      </c>
      <c r="H480" t="inlineStr">
        <is>
          <t>Vanguard Tennis Academy</t>
        </is>
      </c>
      <c r="I480" t="n">
        <v>36.4</v>
      </c>
      <c r="J480" s="4" t="n">
        <v>138</v>
      </c>
      <c r="K480" t="inlineStr">
        <is>
          <t>60 / 78</t>
        </is>
      </c>
      <c r="L480" t="inlineStr">
        <is>
          <t>15 / 25</t>
        </is>
      </c>
      <c r="M480" s="5" t="n">
        <v>0.43</v>
      </c>
      <c r="N480" s="5" t="n">
        <v>0.38</v>
      </c>
    </row>
    <row r="481">
      <c r="A481" t="n">
        <v>480</v>
      </c>
      <c r="B481" t="n">
        <v>2012</v>
      </c>
      <c r="C481" t="inlineStr">
        <is>
          <t>Karolina Klepinin</t>
        </is>
      </c>
      <c r="D481">
        <f>HYPERLINK("https://ota.tournamentsoftware.com/player-profile/A0474BDB-A63B-423A-90FB-FAAA726E2052", "Link")</f>
        <v/>
      </c>
      <c r="E481" s="3" t="n">
        <v>94.729</v>
      </c>
      <c r="F481" s="4" t="n">
        <v>6</v>
      </c>
      <c r="G481" t="inlineStr">
        <is>
          <t>Ontario Tennis Association</t>
        </is>
      </c>
      <c r="H481" t="inlineStr">
        <is>
          <t>ON North Central No Club</t>
        </is>
      </c>
      <c r="I481" t="n">
        <v>36.4</v>
      </c>
      <c r="J481" s="4" t="n">
        <v>52</v>
      </c>
      <c r="K481" t="inlineStr">
        <is>
          <t>14 / 38</t>
        </is>
      </c>
      <c r="L481" t="inlineStr">
        <is>
          <t>3 / 7</t>
        </is>
      </c>
      <c r="M481" s="5" t="n">
        <v>0.27</v>
      </c>
      <c r="N481" s="5" t="n">
        <v>0.3</v>
      </c>
    </row>
    <row r="482">
      <c r="A482" t="n">
        <v>481</v>
      </c>
      <c r="B482" t="n">
        <v>2013</v>
      </c>
      <c r="C482" t="inlineStr">
        <is>
          <t>Chelsea Yuxin Lan</t>
        </is>
      </c>
      <c r="D482">
        <f>HYPERLINK("https://ota.tournamentsoftware.com/player-profile/D861FE8B-CCB2-4222-BA9C-EBD5C1FECE32", "Link")</f>
        <v/>
      </c>
      <c r="E482" s="3" t="n">
        <v>94.627</v>
      </c>
      <c r="F482" s="4" t="n">
        <v>15</v>
      </c>
      <c r="G482" t="inlineStr">
        <is>
          <t>British Columbia</t>
        </is>
      </c>
      <c r="H482" t="inlineStr">
        <is>
          <t>Hollyburn Country Club</t>
        </is>
      </c>
      <c r="I482" t="inlineStr">
        <is>
          <t>unavailable</t>
        </is>
      </c>
      <c r="J482" s="4" t="n">
        <v>115</v>
      </c>
      <c r="K482" t="inlineStr">
        <is>
          <t>34 / 81</t>
        </is>
      </c>
      <c r="L482" t="inlineStr">
        <is>
          <t>2 / 18</t>
        </is>
      </c>
      <c r="M482" s="5" t="n">
        <v>0.3</v>
      </c>
      <c r="N482" s="5" t="n">
        <v>0.1</v>
      </c>
    </row>
    <row r="483">
      <c r="A483" t="n">
        <v>482</v>
      </c>
      <c r="B483" t="n">
        <v>2012</v>
      </c>
      <c r="C483" t="inlineStr">
        <is>
          <t>Alyssa Grace Clouden</t>
        </is>
      </c>
      <c r="D483">
        <f>HYPERLINK("https://ota.tournamentsoftware.com/player-profile/85FC5E76-6ACD-4520-94D0-C05BABDC2184", "Link")</f>
        <v/>
      </c>
      <c r="E483" s="3" t="n">
        <v>94.176</v>
      </c>
      <c r="F483" s="4" t="n">
        <v>12</v>
      </c>
      <c r="G483" t="inlineStr">
        <is>
          <t>Ontario Tennis Association</t>
        </is>
      </c>
      <c r="H483" t="inlineStr">
        <is>
          <t>Headwaters Racquet Club</t>
        </is>
      </c>
      <c r="I483" t="n">
        <v>36.7</v>
      </c>
      <c r="J483" s="4" t="n">
        <v>49</v>
      </c>
      <c r="K483" t="inlineStr">
        <is>
          <t>21 / 28</t>
        </is>
      </c>
      <c r="L483" t="inlineStr">
        <is>
          <t>6 / 12</t>
        </is>
      </c>
      <c r="M483" s="5" t="n">
        <v>0.43</v>
      </c>
      <c r="N483" s="5" t="n">
        <v>0.33</v>
      </c>
    </row>
    <row r="484">
      <c r="A484" t="n">
        <v>483</v>
      </c>
      <c r="B484" t="n">
        <v>2012</v>
      </c>
      <c r="C484" t="inlineStr">
        <is>
          <t>Tiana Amede-Bramwell</t>
        </is>
      </c>
      <c r="D484">
        <f>HYPERLINK("https://ota.tournamentsoftware.com/player-profile/BC31A25D-C48C-47FD-A0A3-D600EA315675", "Link")</f>
        <v/>
      </c>
      <c r="E484" s="3" t="n">
        <v>93.628</v>
      </c>
      <c r="F484" s="4" t="n">
        <v>10</v>
      </c>
      <c r="G484" t="inlineStr">
        <is>
          <t>Ontario Tennis Association</t>
        </is>
      </c>
      <c r="H484" t="inlineStr">
        <is>
          <t>Credit Valley Tennis Club</t>
        </is>
      </c>
      <c r="I484" t="n">
        <v>39.4</v>
      </c>
      <c r="J484" s="4" t="n">
        <v>39</v>
      </c>
      <c r="K484" t="inlineStr">
        <is>
          <t>8 / 31</t>
        </is>
      </c>
      <c r="L484" t="inlineStr">
        <is>
          <t>8 / 28</t>
        </is>
      </c>
      <c r="M484" s="5" t="n">
        <v>0.21</v>
      </c>
      <c r="N484" s="5" t="n">
        <v>0.22</v>
      </c>
    </row>
    <row r="485">
      <c r="A485" t="n">
        <v>484</v>
      </c>
      <c r="B485" t="n">
        <v>2016</v>
      </c>
      <c r="C485" t="inlineStr">
        <is>
          <t>Chenlin Wang</t>
        </is>
      </c>
      <c r="D485">
        <f>HYPERLINK("https://ota.tournamentsoftware.com/player-profile/9F8A5A74-B5B7-41F1-A513-DA87D68CAFFE", "Link")</f>
        <v/>
      </c>
      <c r="E485" s="3" t="n">
        <v>93.203</v>
      </c>
      <c r="F485" s="4" t="n">
        <v>29</v>
      </c>
      <c r="G485" t="inlineStr">
        <is>
          <t>British Columbia</t>
        </is>
      </c>
      <c r="H485" t="inlineStr">
        <is>
          <t>UBC Tennis Centre</t>
        </is>
      </c>
      <c r="I485" t="inlineStr">
        <is>
          <t>unavailable</t>
        </is>
      </c>
      <c r="J485" s="4" t="n">
        <v>155</v>
      </c>
      <c r="K485" t="inlineStr">
        <is>
          <t>84 / 71</t>
        </is>
      </c>
      <c r="L485" t="inlineStr">
        <is>
          <t>32 / 22</t>
        </is>
      </c>
      <c r="M485" s="5" t="n">
        <v>0.54</v>
      </c>
      <c r="N485" s="5" t="n">
        <v>0.59</v>
      </c>
    </row>
    <row r="486">
      <c r="A486" t="n">
        <v>485</v>
      </c>
      <c r="B486" t="n">
        <v>2015</v>
      </c>
      <c r="C486" t="inlineStr">
        <is>
          <t>Joey Wu</t>
        </is>
      </c>
      <c r="D486">
        <f>HYPERLINK("https://ota.tournamentsoftware.com/player-profile/5271198B-7814-4938-9A9E-61E10CC7CCA6", "Link")</f>
        <v/>
      </c>
      <c r="E486" s="3" t="n">
        <v>92.84</v>
      </c>
      <c r="F486" s="4" t="n">
        <v>26</v>
      </c>
      <c r="G486" t="inlineStr">
        <is>
          <t>British Columbia</t>
        </is>
      </c>
      <c r="H486" t="inlineStr">
        <is>
          <t>City of Richmond</t>
        </is>
      </c>
      <c r="I486" t="inlineStr">
        <is>
          <t>unavailable</t>
        </is>
      </c>
      <c r="J486" s="4" t="n">
        <v>120</v>
      </c>
      <c r="K486" t="inlineStr">
        <is>
          <t>72 / 48</t>
        </is>
      </c>
      <c r="L486" t="inlineStr">
        <is>
          <t>17 / 24</t>
        </is>
      </c>
      <c r="M486" s="5" t="n">
        <v>0.6</v>
      </c>
      <c r="N486" s="5" t="n">
        <v>0.41</v>
      </c>
    </row>
    <row r="487">
      <c r="A487" t="n">
        <v>486</v>
      </c>
      <c r="B487" t="n">
        <v>2014</v>
      </c>
      <c r="C487" t="inlineStr">
        <is>
          <t>cataleya florina zadarojnea</t>
        </is>
      </c>
      <c r="D487">
        <f>HYPERLINK("https://ota.tournamentsoftware.com/player-profile/EAEB7B00-5E1C-47F6-8FF3-1537E07A8B59", "Link")</f>
        <v/>
      </c>
      <c r="E487" s="3" t="n">
        <v>92.57599999999999</v>
      </c>
      <c r="F487" s="4" t="n">
        <v>24</v>
      </c>
      <c r="G487" t="inlineStr">
        <is>
          <t>Ontario Tennis Association</t>
        </is>
      </c>
      <c r="H487" t="inlineStr">
        <is>
          <t>Premier Racquet Clubs – Mississauga</t>
        </is>
      </c>
      <c r="I487" t="n">
        <v>36.9</v>
      </c>
      <c r="J487" s="4" t="n">
        <v>35</v>
      </c>
      <c r="K487" t="inlineStr">
        <is>
          <t>11 / 24</t>
        </is>
      </c>
      <c r="L487" t="inlineStr">
        <is>
          <t>7 / 17</t>
        </is>
      </c>
      <c r="M487" s="5" t="n">
        <v>0.31</v>
      </c>
      <c r="N487" s="5" t="n">
        <v>0.29</v>
      </c>
    </row>
    <row r="488">
      <c r="A488" t="n">
        <v>487</v>
      </c>
      <c r="B488" t="n">
        <v>2016</v>
      </c>
      <c r="C488" t="inlineStr">
        <is>
          <t>Eva Yanakieva</t>
        </is>
      </c>
      <c r="D488">
        <f>HYPERLINK("https://ota.tournamentsoftware.com/player-profile/7FBBEC05-D20C-448B-93F1-1F8C6BA80758", "Link")</f>
        <v/>
      </c>
      <c r="E488" s="3" t="n">
        <v>91.93300000000001</v>
      </c>
      <c r="F488" s="4" t="n">
        <v>18</v>
      </c>
      <c r="G488" t="inlineStr">
        <is>
          <t>Tennis Québec</t>
        </is>
      </c>
      <c r="H488" t="inlineStr">
        <is>
          <t>Tennis Montréal Excellence</t>
        </is>
      </c>
      <c r="I488" t="n">
        <v>35.9</v>
      </c>
      <c r="J488" s="4" t="n">
        <v>171</v>
      </c>
      <c r="K488" t="inlineStr">
        <is>
          <t>82 / 89</t>
        </is>
      </c>
      <c r="L488" t="inlineStr">
        <is>
          <t>21 / 21</t>
        </is>
      </c>
      <c r="M488" s="5" t="n">
        <v>0.48</v>
      </c>
      <c r="N488" s="5" t="n">
        <v>0.5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91.819</v>
      </c>
      <c r="F489" s="4" t="n">
        <v>4</v>
      </c>
      <c r="G489" t="inlineStr">
        <is>
          <t>Tennis Nova Scotia</t>
        </is>
      </c>
      <c r="H489" t="inlineStr">
        <is>
          <t>HEADSTART</t>
        </is>
      </c>
      <c r="I489" t="n">
        <v>36.8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2016</v>
      </c>
      <c r="C490" t="inlineStr">
        <is>
          <t>Lydia Yinuo Xu</t>
        </is>
      </c>
      <c r="D490">
        <f>HYPERLINK("https://ota.tournamentsoftware.com/player-profile/515F94D6-B979-4BBE-98E6-48CFEF4CE395", "Link")</f>
        <v/>
      </c>
      <c r="E490" s="3" t="n">
        <v>91.8</v>
      </c>
      <c r="F490" s="4" t="n">
        <v>11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35</v>
      </c>
      <c r="J490" s="4" t="n">
        <v>154</v>
      </c>
      <c r="K490" t="inlineStr">
        <is>
          <t>72 / 82</t>
        </is>
      </c>
      <c r="L490" t="inlineStr">
        <is>
          <t>26 / 12</t>
        </is>
      </c>
      <c r="M490" s="5" t="n">
        <v>0.47</v>
      </c>
      <c r="N490" s="5" t="n">
        <v>0.68</v>
      </c>
    </row>
    <row r="491">
      <c r="A491" t="n">
        <v>490</v>
      </c>
      <c r="B491" t="n">
        <v>2016</v>
      </c>
      <c r="C491" t="inlineStr">
        <is>
          <t>Kassidy, Chin Yau Lau</t>
        </is>
      </c>
      <c r="D491">
        <f>HYPERLINK("https://ota.tournamentsoftware.com/player-profile/725BC980-EB67-418A-9A78-144DF7D7CE7E", "Link")</f>
        <v/>
      </c>
      <c r="E491" s="3" t="n">
        <v>91.27200000000001</v>
      </c>
      <c r="F491" s="4" t="n">
        <v>17</v>
      </c>
      <c r="G491" t="inlineStr">
        <is>
          <t>Ontario Tennis Association</t>
        </is>
      </c>
      <c r="H491" t="inlineStr">
        <is>
          <t>No Club</t>
        </is>
      </c>
      <c r="I491" t="n">
        <v>35.4</v>
      </c>
      <c r="J491" s="4" t="n">
        <v>47</v>
      </c>
      <c r="K491" t="inlineStr">
        <is>
          <t>29 / 18</t>
        </is>
      </c>
      <c r="L491" t="inlineStr">
        <is>
          <t>29 / 18</t>
        </is>
      </c>
      <c r="M491" s="5" t="n">
        <v>0.62</v>
      </c>
      <c r="N491" s="5" t="n">
        <v>0.62</v>
      </c>
    </row>
    <row r="492">
      <c r="A492" t="n">
        <v>491</v>
      </c>
      <c r="B492" t="n">
        <v>2014</v>
      </c>
      <c r="C492" t="inlineStr">
        <is>
          <t>Maylis Ilmane</t>
        </is>
      </c>
      <c r="D492">
        <f>HYPERLINK("https://ota.tournamentsoftware.com/player-profile/8AD3E1E2-82F0-490F-B772-6E9AA24959CC", "Link")</f>
        <v/>
      </c>
      <c r="E492" s="3" t="n">
        <v>90.08799999999999</v>
      </c>
      <c r="F492" s="4" t="n">
        <v>10</v>
      </c>
      <c r="G492" t="inlineStr">
        <is>
          <t>Tennis Québec</t>
        </is>
      </c>
      <c r="H492" t="inlineStr">
        <is>
          <t>Centre récréatif de Repentigny / Académie Tennis Momentum</t>
        </is>
      </c>
      <c r="I492" t="n">
        <v>35.4</v>
      </c>
      <c r="J492" s="4" t="n">
        <v>60</v>
      </c>
      <c r="K492" t="inlineStr">
        <is>
          <t>25 / 35</t>
        </is>
      </c>
      <c r="L492" t="inlineStr">
        <is>
          <t>7 / 6</t>
        </is>
      </c>
      <c r="M492" s="5" t="n">
        <v>0.42</v>
      </c>
      <c r="N492" s="5" t="n">
        <v>0.54</v>
      </c>
    </row>
    <row r="493">
      <c r="A493" t="n">
        <v>492</v>
      </c>
      <c r="B493" t="n">
        <v>2015</v>
      </c>
      <c r="C493" t="inlineStr">
        <is>
          <t>Larissa Bulynko</t>
        </is>
      </c>
      <c r="D493">
        <f>HYPERLINK("https://ota.tournamentsoftware.com/player-profile/387B3C19-006B-446B-A1CE-226F349C0C24", "Link")</f>
        <v/>
      </c>
      <c r="E493" s="3" t="n">
        <v>89.874</v>
      </c>
      <c r="F493" s="4" t="n">
        <v>11</v>
      </c>
      <c r="G493" t="inlineStr">
        <is>
          <t>Ontario Tennis Association</t>
        </is>
      </c>
      <c r="H493" t="inlineStr">
        <is>
          <t>National Tennis School</t>
        </is>
      </c>
      <c r="I493" t="n">
        <v>37.2</v>
      </c>
      <c r="J493" s="4" t="n">
        <v>54</v>
      </c>
      <c r="K493" t="inlineStr">
        <is>
          <t>21 / 33</t>
        </is>
      </c>
      <c r="L493" t="inlineStr">
        <is>
          <t>6 / 10</t>
        </is>
      </c>
      <c r="M493" s="5" t="n">
        <v>0.39</v>
      </c>
      <c r="N493" s="5" t="n">
        <v>0.38</v>
      </c>
    </row>
    <row r="494">
      <c r="A494" t="n">
        <v>493</v>
      </c>
      <c r="B494" t="n">
        <v>2014</v>
      </c>
      <c r="C494" t="inlineStr">
        <is>
          <t>Olivia Hesse</t>
        </is>
      </c>
      <c r="D494">
        <f>HYPERLINK("https://ota.tournamentsoftware.com/player-profile/18AF6D11-FB26-470D-81A9-00DC98F16884", "Link")</f>
        <v/>
      </c>
      <c r="E494" s="3" t="n">
        <v>89.529</v>
      </c>
      <c r="F494" s="4" t="n">
        <v>11</v>
      </c>
      <c r="G494" t="inlineStr">
        <is>
          <t>Ontario Tennis Association</t>
        </is>
      </c>
      <c r="H494" t="inlineStr">
        <is>
          <t>Boulevard Club</t>
        </is>
      </c>
      <c r="I494" t="n">
        <v>36</v>
      </c>
      <c r="J494" s="4" t="n">
        <v>66</v>
      </c>
      <c r="K494" t="inlineStr">
        <is>
          <t>26 / 40</t>
        </is>
      </c>
      <c r="L494" t="inlineStr">
        <is>
          <t>8 / 11</t>
        </is>
      </c>
      <c r="M494" s="5" t="n">
        <v>0.39</v>
      </c>
      <c r="N494" s="5" t="n">
        <v>0.42</v>
      </c>
    </row>
    <row r="495">
      <c r="A495" t="n">
        <v>494</v>
      </c>
      <c r="B495" t="n">
        <v>2015</v>
      </c>
      <c r="C495" t="inlineStr">
        <is>
          <t>Maranata Okubazgi</t>
        </is>
      </c>
      <c r="D495">
        <f>HYPERLINK("https://ota.tournamentsoftware.com/player-profile/D41680BB-0D07-401E-A1E3-7ECB40E4830A", "Link")</f>
        <v/>
      </c>
      <c r="E495" s="3" t="n">
        <v>87.59999999999999</v>
      </c>
      <c r="F495" s="4" t="n">
        <v>14</v>
      </c>
      <c r="G495" t="inlineStr">
        <is>
          <t>Ontario Tennis Association</t>
        </is>
      </c>
      <c r="H495" t="inlineStr">
        <is>
          <t>The Tennis School</t>
        </is>
      </c>
      <c r="I495" t="n">
        <v>35</v>
      </c>
      <c r="J495" s="4" t="n">
        <v>92</v>
      </c>
      <c r="K495" t="inlineStr">
        <is>
          <t>53 / 39</t>
        </is>
      </c>
      <c r="L495" t="inlineStr">
        <is>
          <t>14 / 11</t>
        </is>
      </c>
      <c r="M495" s="5" t="n">
        <v>0.58</v>
      </c>
      <c r="N495" s="5" t="n">
        <v>0.5600000000000001</v>
      </c>
    </row>
    <row r="496">
      <c r="A496" t="n">
        <v>495</v>
      </c>
      <c r="B496" t="n">
        <v>2015</v>
      </c>
      <c r="C496" t="inlineStr">
        <is>
          <t>Olivia An Yi Ta</t>
        </is>
      </c>
      <c r="D496">
        <f>HYPERLINK("https://ota.tournamentsoftware.com/player-profile/F718058C-465B-4AEB-BACA-80FE5B3917B6", "Link")</f>
        <v/>
      </c>
      <c r="E496" s="3" t="n">
        <v>85.59099999999999</v>
      </c>
      <c r="F496" s="4" t="n">
        <v>13</v>
      </c>
      <c r="G496" t="inlineStr">
        <is>
          <t>Ontario Tennis Association</t>
        </is>
      </c>
      <c r="H496" t="inlineStr">
        <is>
          <t>Lambton Golf &amp; Country Club</t>
        </is>
      </c>
      <c r="I496" t="inlineStr">
        <is>
          <t>unavailable</t>
        </is>
      </c>
      <c r="J496" s="4" t="n">
        <v>62</v>
      </c>
      <c r="K496" t="inlineStr">
        <is>
          <t>15 / 47</t>
        </is>
      </c>
      <c r="L496" t="inlineStr">
        <is>
          <t>6 / 9</t>
        </is>
      </c>
      <c r="M496" s="5" t="n">
        <v>0.24</v>
      </c>
      <c r="N496" s="5" t="n">
        <v>0.4</v>
      </c>
    </row>
    <row r="497">
      <c r="A497" t="n">
        <v>496</v>
      </c>
      <c r="B497" t="n">
        <v>2016</v>
      </c>
      <c r="C497" t="inlineStr">
        <is>
          <t>Evelyn May</t>
        </is>
      </c>
      <c r="D497">
        <f>HYPERLINK("https://ota.tournamentsoftware.com/player-profile/ABFB9C06-ABE9-4B21-BF57-67179CC1CD5D", "Link")</f>
        <v/>
      </c>
      <c r="E497" s="3" t="n">
        <v>83.914</v>
      </c>
      <c r="F497" s="4" t="n">
        <v>14</v>
      </c>
      <c r="G497" t="inlineStr">
        <is>
          <t>Tennis Québec</t>
        </is>
      </c>
      <c r="H497" t="inlineStr">
        <is>
          <t>Tennis 13 / Académie Ménard et associé</t>
        </is>
      </c>
      <c r="I497" t="n">
        <v>33.6</v>
      </c>
      <c r="J497" s="4" t="n">
        <v>181</v>
      </c>
      <c r="K497" t="inlineStr">
        <is>
          <t>112 / 69</t>
        </is>
      </c>
      <c r="L497" t="inlineStr">
        <is>
          <t>15 / 13</t>
        </is>
      </c>
      <c r="M497" s="5" t="n">
        <v>0.62</v>
      </c>
      <c r="N497" s="5" t="n">
        <v>0.54</v>
      </c>
    </row>
    <row r="498">
      <c r="A498" t="n">
        <v>497</v>
      </c>
      <c r="B498" t="n">
        <v>2013</v>
      </c>
      <c r="C498" t="inlineStr">
        <is>
          <t>Avonlyn Long</t>
        </is>
      </c>
      <c r="D498">
        <f>HYPERLINK("https://ota.tournamentsoftware.com/player-profile/750061EB-6049-44F3-9B6E-4DE9428D7158", "Link")</f>
        <v/>
      </c>
      <c r="E498" s="3" t="n">
        <v>83.592</v>
      </c>
      <c r="F498" s="4" t="n">
        <v>3</v>
      </c>
      <c r="G498" t="inlineStr">
        <is>
          <t>Ontario Tennis Association</t>
        </is>
      </c>
      <c r="H498" t="inlineStr">
        <is>
          <t>Carleton Tennis Centre</t>
        </is>
      </c>
      <c r="I498" t="n">
        <v>39</v>
      </c>
      <c r="J498" s="4" t="n">
        <v>12</v>
      </c>
      <c r="K498" t="inlineStr">
        <is>
          <t>1 / 11</t>
        </is>
      </c>
      <c r="L498" t="inlineStr">
        <is>
          <t>1 / 3</t>
        </is>
      </c>
      <c r="M498" s="5" t="n">
        <v>0.08</v>
      </c>
      <c r="N498" s="5" t="n">
        <v>0.25</v>
      </c>
    </row>
    <row r="499">
      <c r="A499" t="n">
        <v>498</v>
      </c>
      <c r="B499" t="n">
        <v>2013</v>
      </c>
      <c r="C499" t="inlineStr">
        <is>
          <t>Helena Nastic</t>
        </is>
      </c>
      <c r="D499">
        <f>HYPERLINK("https://ota.tournamentsoftware.com/player-profile/384CD39C-50E9-4DF1-B1AD-85571147C1F9", "Link")</f>
        <v/>
      </c>
      <c r="E499" s="3" t="n">
        <v>83.06399999999999</v>
      </c>
      <c r="F499" s="4" t="n">
        <v>8</v>
      </c>
      <c r="G499" t="inlineStr">
        <is>
          <t>Ontario Tennis Association</t>
        </is>
      </c>
      <c r="H499" t="inlineStr">
        <is>
          <t>Royal City Tennis Club</t>
        </is>
      </c>
      <c r="I499" t="inlineStr">
        <is>
          <t>unavailable</t>
        </is>
      </c>
      <c r="J499" s="4" t="n">
        <v>38</v>
      </c>
      <c r="K499" t="inlineStr">
        <is>
          <t>19 / 19</t>
        </is>
      </c>
      <c r="L499" t="inlineStr">
        <is>
          <t>0 / 5</t>
        </is>
      </c>
      <c r="M499" s="5" t="n">
        <v>0.5</v>
      </c>
      <c r="N499" s="5" t="n">
        <v>0</v>
      </c>
    </row>
    <row r="500">
      <c r="A500" t="n">
        <v>499</v>
      </c>
      <c r="B500" t="n">
        <v>2013</v>
      </c>
      <c r="C500" t="inlineStr">
        <is>
          <t>Mathilda Adaline Manning</t>
        </is>
      </c>
      <c r="D500">
        <f>HYPERLINK("https://ota.tournamentsoftware.com/player-profile/68249616-27A6-4807-9978-802C0CDC784E", "Link")</f>
        <v/>
      </c>
      <c r="E500" s="3" t="n">
        <v>82</v>
      </c>
      <c r="F500" s="4" t="n">
        <v>5</v>
      </c>
      <c r="G500" t="inlineStr">
        <is>
          <t>Ontario Tennis Association</t>
        </is>
      </c>
      <c r="H500" t="inlineStr">
        <is>
          <t>Niagara Academy of Tennis</t>
        </is>
      </c>
      <c r="I500" t="n">
        <v>29.2</v>
      </c>
      <c r="J500" s="4" t="n">
        <v>12</v>
      </c>
      <c r="K500" t="inlineStr">
        <is>
          <t>8 / 4</t>
        </is>
      </c>
      <c r="L500" t="inlineStr">
        <is>
          <t>0 / 0</t>
        </is>
      </c>
      <c r="M500" s="5" t="n">
        <v>0.67</v>
      </c>
      <c r="N500" s="5" t="n">
        <v>0</v>
      </c>
    </row>
    <row r="501">
      <c r="A501" t="n">
        <v>500</v>
      </c>
      <c r="B501" t="n">
        <v>2013</v>
      </c>
      <c r="C501" t="inlineStr">
        <is>
          <t>Emilia Sofia Urkedal</t>
        </is>
      </c>
      <c r="D501">
        <f>HYPERLINK("https://ota.tournamentsoftware.com/player-profile/381713CB-202F-43FD-B96F-4B364BE2EE52", "Link")</f>
        <v/>
      </c>
      <c r="E501" s="3" t="n">
        <v>81.57299999999999</v>
      </c>
      <c r="F501" s="4" t="n">
        <v>7</v>
      </c>
      <c r="G501" t="inlineStr">
        <is>
          <t>Ontario Tennis Association</t>
        </is>
      </c>
      <c r="H501" t="inlineStr">
        <is>
          <t>Greenhills Golf Club</t>
        </is>
      </c>
      <c r="I501" t="n">
        <v>37</v>
      </c>
      <c r="J501" s="4" t="n">
        <v>69</v>
      </c>
      <c r="K501" t="inlineStr">
        <is>
          <t>17 / 52</t>
        </is>
      </c>
      <c r="L501" t="inlineStr">
        <is>
          <t>4 / 7</t>
        </is>
      </c>
      <c r="M501" s="5" t="n">
        <v>0.25</v>
      </c>
      <c r="N501" s="5" t="n">
        <v>0.36</v>
      </c>
    </row>
    <row r="502">
      <c r="A502" t="n">
        <v>501</v>
      </c>
      <c r="B502" t="n">
        <v>2015</v>
      </c>
      <c r="C502" t="inlineStr">
        <is>
          <t>Ellieann Jean Baker</t>
        </is>
      </c>
      <c r="D502">
        <f>HYPERLINK("https://ota.tournamentsoftware.com/player-profile/059CF7FD-B4FA-4522-AF55-9B2138153D9C", "Link")</f>
        <v/>
      </c>
      <c r="E502" s="3" t="n">
        <v>81.10299999999999</v>
      </c>
      <c r="F502" s="4" t="n">
        <v>9</v>
      </c>
      <c r="G502" t="inlineStr">
        <is>
          <t>Tennis Alberta</t>
        </is>
      </c>
      <c r="H502" t="inlineStr">
        <is>
          <t>Aforza</t>
        </is>
      </c>
      <c r="I502" t="n">
        <v>36.8</v>
      </c>
      <c r="J502" s="4" t="n">
        <v>109</v>
      </c>
      <c r="K502" t="inlineStr">
        <is>
          <t>45 / 64</t>
        </is>
      </c>
      <c r="L502" t="inlineStr">
        <is>
          <t>4 / 11</t>
        </is>
      </c>
      <c r="M502" s="5" t="n">
        <v>0.41</v>
      </c>
      <c r="N502" s="5" t="n">
        <v>0.27</v>
      </c>
    </row>
    <row r="503">
      <c r="A503" t="n">
        <v>502</v>
      </c>
      <c r="B503" t="n">
        <v>2013</v>
      </c>
      <c r="C503" t="inlineStr">
        <is>
          <t>Victoria maya Carinci</t>
        </is>
      </c>
      <c r="D503">
        <f>HYPERLINK("https://ota.tournamentsoftware.com/player-profile/767AAF86-8D36-4699-8113-86AA6DA60CE4", "Link")</f>
        <v/>
      </c>
      <c r="E503" s="3" t="n">
        <v>80.878</v>
      </c>
      <c r="F503" s="4" t="n">
        <v>12</v>
      </c>
      <c r="G503" t="inlineStr">
        <is>
          <t>Ontario Tennis Association</t>
        </is>
      </c>
      <c r="H503" t="inlineStr">
        <is>
          <t>Concord Tennis Academy</t>
        </is>
      </c>
      <c r="I503" t="n">
        <v>39.5</v>
      </c>
      <c r="J503" s="4" t="n">
        <v>38</v>
      </c>
      <c r="K503" t="inlineStr">
        <is>
          <t>8 / 30</t>
        </is>
      </c>
      <c r="L503" t="inlineStr">
        <is>
          <t>0 / 9</t>
        </is>
      </c>
      <c r="M503" s="5" t="n">
        <v>0.21</v>
      </c>
      <c r="N503" s="5" t="n">
        <v>0</v>
      </c>
    </row>
    <row r="504">
      <c r="A504" t="n">
        <v>503</v>
      </c>
      <c r="B504" t="n">
        <v>2016</v>
      </c>
      <c r="C504" t="inlineStr">
        <is>
          <t>LUXI YANG</t>
        </is>
      </c>
      <c r="D504">
        <f>HYPERLINK("https://ota.tournamentsoftware.com/player-profile/00CB777C-F17D-4A37-8393-1F4E5A4F3C39", "Link")</f>
        <v/>
      </c>
      <c r="E504" s="3" t="n">
        <v>80.59999999999999</v>
      </c>
      <c r="F504" s="4" t="n">
        <v>9</v>
      </c>
      <c r="G504" t="inlineStr">
        <is>
          <t>British Columbia</t>
        </is>
      </c>
      <c r="H504" t="inlineStr">
        <is>
          <t>The Tennis Centre</t>
        </is>
      </c>
      <c r="I504" t="n">
        <v>32.5</v>
      </c>
      <c r="J504" s="4" t="n">
        <v>78</v>
      </c>
      <c r="K504" t="inlineStr">
        <is>
          <t>62 / 16</t>
        </is>
      </c>
      <c r="L504" t="inlineStr">
        <is>
          <t>25 / 6</t>
        </is>
      </c>
      <c r="M504" s="5" t="n">
        <v>0.79</v>
      </c>
      <c r="N504" s="5" t="n">
        <v>0.8100000000000001</v>
      </c>
    </row>
    <row r="505">
      <c r="A505" t="n">
        <v>504</v>
      </c>
      <c r="B505" t="n">
        <v>2015</v>
      </c>
      <c r="C505" t="inlineStr">
        <is>
          <t>Doreen Bowen Mao</t>
        </is>
      </c>
      <c r="D505">
        <f>HYPERLINK("https://ota.tournamentsoftware.com/player-profile/24478EB2-203F-4DE3-92C9-B16D9A60F77F", "Link")</f>
        <v/>
      </c>
      <c r="E505" s="3" t="n">
        <v>80.43600000000001</v>
      </c>
      <c r="F505" s="4" t="n">
        <v>15</v>
      </c>
      <c r="G505" t="inlineStr">
        <is>
          <t>Ontario Tennis Association</t>
        </is>
      </c>
      <c r="H505" t="inlineStr">
        <is>
          <t>Joshua Creek Golf &amp; Tennis</t>
        </is>
      </c>
      <c r="I505" t="n">
        <v>37.2</v>
      </c>
      <c r="J505" s="4" t="n">
        <v>79</v>
      </c>
      <c r="K505" t="inlineStr">
        <is>
          <t>33 / 46</t>
        </is>
      </c>
      <c r="L505" t="inlineStr">
        <is>
          <t>18 / 21</t>
        </is>
      </c>
      <c r="M505" s="5" t="n">
        <v>0.42</v>
      </c>
      <c r="N505" s="5" t="n">
        <v>0.46</v>
      </c>
    </row>
    <row r="506">
      <c r="A506" t="n">
        <v>505</v>
      </c>
      <c r="B506" t="n">
        <v>2013</v>
      </c>
      <c r="C506" t="inlineStr">
        <is>
          <t>Avery Hao</t>
        </is>
      </c>
      <c r="D506">
        <f>HYPERLINK("https://ota.tournamentsoftware.com/player-profile/4D297E0A-97AD-4487-A64F-403E8B3ACA30", "Link")</f>
        <v/>
      </c>
      <c r="E506" s="3" t="n">
        <v>80.40000000000001</v>
      </c>
      <c r="F506" s="4" t="n">
        <v>4</v>
      </c>
      <c r="G506" t="inlineStr">
        <is>
          <t>Ontario Tennis Association</t>
        </is>
      </c>
      <c r="H506" t="inlineStr">
        <is>
          <t>Elmridge Tennis Club</t>
        </is>
      </c>
      <c r="I506" t="n">
        <v>39.3</v>
      </c>
      <c r="J506" s="4" t="n">
        <v>14</v>
      </c>
      <c r="K506" t="inlineStr">
        <is>
          <t>4 / 10</t>
        </is>
      </c>
      <c r="L506" t="inlineStr">
        <is>
          <t>0 / 4</t>
        </is>
      </c>
      <c r="M506" s="5" t="n">
        <v>0.29</v>
      </c>
      <c r="N506" s="5" t="n">
        <v>0</v>
      </c>
    </row>
    <row r="507">
      <c r="A507" t="n">
        <v>506</v>
      </c>
      <c r="B507" t="n">
        <v>2015</v>
      </c>
      <c r="C507" t="inlineStr">
        <is>
          <t>Savannah Billings</t>
        </is>
      </c>
      <c r="D507">
        <f>HYPERLINK("https://ota.tournamentsoftware.com/player-profile/3C86C2A1-7881-4E07-A889-C842F4C67652", "Link")</f>
        <v/>
      </c>
      <c r="E507" s="3" t="n">
        <v>79.464</v>
      </c>
      <c r="F507" s="4" t="n">
        <v>5</v>
      </c>
      <c r="G507" t="inlineStr">
        <is>
          <t>Tennis Québec</t>
        </is>
      </c>
      <c r="H507" t="inlineStr">
        <is>
          <t>Club Avantage Multi-sports / Académie de tennis Hérisset Bordeleau</t>
        </is>
      </c>
      <c r="I507" t="n">
        <v>30.4</v>
      </c>
      <c r="J507" s="4" t="n">
        <v>13</v>
      </c>
      <c r="K507" t="inlineStr">
        <is>
          <t>8 / 5</t>
        </is>
      </c>
      <c r="L507" t="inlineStr">
        <is>
          <t>8 / 3</t>
        </is>
      </c>
      <c r="M507" s="5" t="n">
        <v>0.62</v>
      </c>
      <c r="N507" s="5" t="n">
        <v>0.73</v>
      </c>
    </row>
    <row r="508">
      <c r="A508" t="n">
        <v>507</v>
      </c>
      <c r="B508" t="n">
        <v>2015</v>
      </c>
      <c r="C508" t="inlineStr">
        <is>
          <t>Mia Gidaro</t>
        </is>
      </c>
      <c r="D508">
        <f>HYPERLINK("https://ota.tournamentsoftware.com/player-profile/17357D82-FEBE-483D-8054-F1F6B85AD8A5", "Link")</f>
        <v/>
      </c>
      <c r="E508" s="3" t="n">
        <v>79.46299999999999</v>
      </c>
      <c r="F508" s="4" t="n">
        <v>12</v>
      </c>
      <c r="G508" t="inlineStr">
        <is>
          <t>Ontario Tennis Association</t>
        </is>
      </c>
      <c r="H508" t="inlineStr">
        <is>
          <t>Baby Point Tennis Club</t>
        </is>
      </c>
      <c r="I508" t="n">
        <v>37.1</v>
      </c>
      <c r="J508" s="4" t="n">
        <v>61</v>
      </c>
      <c r="K508" t="inlineStr">
        <is>
          <t>24 / 37</t>
        </is>
      </c>
      <c r="L508" t="inlineStr">
        <is>
          <t>3 / 7</t>
        </is>
      </c>
      <c r="M508" s="5" t="n">
        <v>0.39</v>
      </c>
      <c r="N508" s="5" t="n">
        <v>0.3</v>
      </c>
    </row>
    <row r="509">
      <c r="A509" t="n">
        <v>508</v>
      </c>
      <c r="B509" t="n">
        <v>2014</v>
      </c>
      <c r="C509" t="inlineStr">
        <is>
          <t>Clarice de Azevedo Guedes</t>
        </is>
      </c>
      <c r="D509">
        <f>HYPERLINK("https://ota.tournamentsoftware.com/player-profile/027DF0F1-69E8-4220-8263-B26C4D1AFC70", "Link")</f>
        <v/>
      </c>
      <c r="E509" s="3" t="n">
        <v>79.407</v>
      </c>
      <c r="F509" s="4" t="n">
        <v>15</v>
      </c>
      <c r="G509" t="inlineStr">
        <is>
          <t>Tennis Québec</t>
        </is>
      </c>
      <c r="H509" t="inlineStr">
        <is>
          <t>Tennis 13</t>
        </is>
      </c>
      <c r="I509" t="inlineStr">
        <is>
          <t>unavailable</t>
        </is>
      </c>
      <c r="J509" s="4" t="n">
        <v>64</v>
      </c>
      <c r="K509" t="inlineStr">
        <is>
          <t>26 / 38</t>
        </is>
      </c>
      <c r="L509" t="inlineStr">
        <is>
          <t>12 / 12</t>
        </is>
      </c>
      <c r="M509" s="5" t="n">
        <v>0.41</v>
      </c>
      <c r="N509" s="5" t="n">
        <v>0.5</v>
      </c>
    </row>
    <row r="510">
      <c r="A510" t="n">
        <v>509</v>
      </c>
      <c r="B510" t="n">
        <v>2015</v>
      </c>
      <c r="C510" t="inlineStr">
        <is>
          <t>Abigail Csima</t>
        </is>
      </c>
      <c r="D510">
        <f>HYPERLINK("https://ota.tournamentsoftware.com/player-profile/6F3C1A53-8070-482F-B046-BE875C66F4B8", "Link")</f>
        <v/>
      </c>
      <c r="E510" s="3" t="n">
        <v>79.28700000000001</v>
      </c>
      <c r="F510" s="4" t="n">
        <v>14</v>
      </c>
      <c r="G510" t="inlineStr">
        <is>
          <t>Ontario Tennis Association</t>
        </is>
      </c>
      <c r="H510" t="inlineStr">
        <is>
          <t>Waterloo Tennis Club</t>
        </is>
      </c>
      <c r="I510" t="n">
        <v>38.3</v>
      </c>
      <c r="J510" s="4" t="n">
        <v>59</v>
      </c>
      <c r="K510" t="inlineStr">
        <is>
          <t>12 / 47</t>
        </is>
      </c>
      <c r="L510" t="inlineStr">
        <is>
          <t>3 / 13</t>
        </is>
      </c>
      <c r="M510" s="5" t="n">
        <v>0.2</v>
      </c>
      <c r="N510" s="5" t="n">
        <v>0.19</v>
      </c>
    </row>
    <row r="511">
      <c r="A511" t="n">
        <v>510</v>
      </c>
      <c r="B511" t="n">
        <v>2014</v>
      </c>
      <c r="C511" t="inlineStr">
        <is>
          <t>Aditri Mundhra</t>
        </is>
      </c>
      <c r="D511">
        <f>HYPERLINK("https://ota.tournamentsoftware.com/player-profile/C7A9A9F1-2DF6-42CD-AA71-F15C9BFFA6EB", "Link")</f>
        <v/>
      </c>
      <c r="E511" s="3" t="n">
        <v>78.45099999999999</v>
      </c>
      <c r="F511" s="4" t="n">
        <v>16</v>
      </c>
      <c r="G511" t="inlineStr">
        <is>
          <t>British Columbia</t>
        </is>
      </c>
      <c r="H511" t="inlineStr">
        <is>
          <t>The Tennis Centre</t>
        </is>
      </c>
      <c r="I511" t="n">
        <v>34.9</v>
      </c>
      <c r="J511" s="4" t="n">
        <v>47</v>
      </c>
      <c r="K511" t="inlineStr">
        <is>
          <t>18 / 29</t>
        </is>
      </c>
      <c r="L511" t="inlineStr">
        <is>
          <t>14 / 16</t>
        </is>
      </c>
      <c r="M511" s="5" t="n">
        <v>0.38</v>
      </c>
      <c r="N511" s="5" t="n">
        <v>0.47</v>
      </c>
    </row>
    <row r="512">
      <c r="A512" t="n">
        <v>511</v>
      </c>
      <c r="B512" t="n">
        <v>2013</v>
      </c>
      <c r="C512" t="inlineStr">
        <is>
          <t>Presley Pellegrino</t>
        </is>
      </c>
      <c r="D512">
        <f>HYPERLINK("https://ota.tournamentsoftware.com/player-profile/A7978533-179E-4FC4-8D48-C160FA6FF2E3", "Link")</f>
        <v/>
      </c>
      <c r="E512" s="3" t="n">
        <v>76.878</v>
      </c>
      <c r="F512" s="4" t="n">
        <v>4</v>
      </c>
      <c r="G512" t="inlineStr">
        <is>
          <t>Ontario Tennis Association</t>
        </is>
      </c>
      <c r="H512" t="inlineStr">
        <is>
          <t>No Club</t>
        </is>
      </c>
      <c r="I512" t="n">
        <v>35.1</v>
      </c>
      <c r="J512" s="4" t="n">
        <v>97</v>
      </c>
      <c r="K512" t="inlineStr">
        <is>
          <t>40 / 57</t>
        </is>
      </c>
      <c r="L512" t="inlineStr">
        <is>
          <t>2 / 2</t>
        </is>
      </c>
      <c r="M512" s="5" t="n">
        <v>0.41</v>
      </c>
      <c r="N512" s="5" t="n">
        <v>0.5</v>
      </c>
    </row>
    <row r="513">
      <c r="A513" t="n">
        <v>512</v>
      </c>
      <c r="B513" t="n">
        <v>2014</v>
      </c>
      <c r="C513" t="inlineStr">
        <is>
          <t>Yue Zhang</t>
        </is>
      </c>
      <c r="D513">
        <f>HYPERLINK("https://ota.tournamentsoftware.com/player-profile/85239D79-7080-4052-A527-EE7F087184E4", "Link")</f>
        <v/>
      </c>
      <c r="E513" s="3" t="n">
        <v>76.623</v>
      </c>
      <c r="F513" s="4" t="n">
        <v>6</v>
      </c>
      <c r="G513" t="inlineStr">
        <is>
          <t>Tennis Nova Scotia</t>
        </is>
      </c>
      <c r="H513" t="inlineStr">
        <is>
          <t>Atlantic Tennis Centre</t>
        </is>
      </c>
      <c r="I513" t="n">
        <v>38.1</v>
      </c>
      <c r="J513" s="4" t="n">
        <v>38</v>
      </c>
      <c r="K513" t="inlineStr">
        <is>
          <t>15 / 23</t>
        </is>
      </c>
      <c r="L513" t="inlineStr">
        <is>
          <t>6 / 12</t>
        </is>
      </c>
      <c r="M513" s="5" t="n">
        <v>0.39</v>
      </c>
      <c r="N513" s="5" t="n">
        <v>0.33</v>
      </c>
    </row>
    <row r="514">
      <c r="A514" t="n">
        <v>513</v>
      </c>
      <c r="B514" t="n">
        <v>2012</v>
      </c>
      <c r="C514" t="inlineStr">
        <is>
          <t>Aaisha Rathod</t>
        </is>
      </c>
      <c r="D514">
        <f>HYPERLINK("https://ota.tournamentsoftware.com/player-profile/3CFF2AC0-C5A1-461F-91D3-0CD8EAFC5609", "Link")</f>
        <v/>
      </c>
      <c r="E514" s="3" t="n">
        <v>76.19199999999999</v>
      </c>
      <c r="F514" s="4" t="n">
        <v>12</v>
      </c>
      <c r="G514" t="inlineStr">
        <is>
          <t>Ontario Tennis Association</t>
        </is>
      </c>
      <c r="H514" t="inlineStr">
        <is>
          <t>Premier Racquet Clubs – Mississauga</t>
        </is>
      </c>
      <c r="I514" t="n">
        <v>39.4</v>
      </c>
      <c r="J514" s="4" t="n">
        <v>74</v>
      </c>
      <c r="K514" t="inlineStr">
        <is>
          <t>3 / 71</t>
        </is>
      </c>
      <c r="L514" t="inlineStr">
        <is>
          <t>1 / 8</t>
        </is>
      </c>
      <c r="M514" s="5" t="n">
        <v>0.04</v>
      </c>
      <c r="N514" s="5" t="n">
        <v>0.11</v>
      </c>
    </row>
    <row r="515">
      <c r="A515" t="n">
        <v>514</v>
      </c>
      <c r="B515" t="n">
        <v>2013</v>
      </c>
      <c r="C515" t="inlineStr">
        <is>
          <t>Zean Whyte Omayan Gerongco</t>
        </is>
      </c>
      <c r="D515">
        <f>HYPERLINK("https://ota.tournamentsoftware.com/player-profile/95E8FC8D-AC41-4C9F-8192-23788254309B", "Link")</f>
        <v/>
      </c>
      <c r="E515" s="3" t="n">
        <v>74.577</v>
      </c>
      <c r="F515" s="4" t="n">
        <v>5</v>
      </c>
      <c r="G515" t="inlineStr">
        <is>
          <t>Ontario Tennis Association</t>
        </is>
      </c>
      <c r="H515" t="inlineStr">
        <is>
          <t>Fountainhead Tennis Club</t>
        </is>
      </c>
      <c r="I515" t="n">
        <v>32.8</v>
      </c>
      <c r="J515" s="4" t="n">
        <v>167</v>
      </c>
      <c r="K515" t="inlineStr">
        <is>
          <t>95 / 72</t>
        </is>
      </c>
      <c r="L515" t="inlineStr">
        <is>
          <t>0 / 0</t>
        </is>
      </c>
      <c r="M515" s="5" t="n">
        <v>0.57</v>
      </c>
      <c r="N515" s="5" t="n">
        <v>0</v>
      </c>
    </row>
    <row r="516">
      <c r="A516" t="n">
        <v>515</v>
      </c>
      <c r="B516" t="n">
        <v>2015</v>
      </c>
      <c r="C516" t="inlineStr">
        <is>
          <t>zhiyi li</t>
        </is>
      </c>
      <c r="D516">
        <f>HYPERLINK("https://ota.tournamentsoftware.com/player-profile/262E56E9-3220-45C2-961D-ACE763C5C345", "Link")</f>
        <v/>
      </c>
      <c r="E516" s="3" t="n">
        <v>74.52</v>
      </c>
      <c r="F516" s="4" t="n">
        <v>10</v>
      </c>
      <c r="G516" t="inlineStr">
        <is>
          <t>Ontario Tennis Association</t>
        </is>
      </c>
      <c r="H516" t="inlineStr">
        <is>
          <t>Rideau Sports Centre</t>
        </is>
      </c>
      <c r="I516" t="n">
        <v>35.8</v>
      </c>
      <c r="J516" s="4" t="n">
        <v>83</v>
      </c>
      <c r="K516" t="inlineStr">
        <is>
          <t>44 / 39</t>
        </is>
      </c>
      <c r="L516" t="inlineStr">
        <is>
          <t>8 / 9</t>
        </is>
      </c>
      <c r="M516" s="5" t="n">
        <v>0.53</v>
      </c>
      <c r="N516" s="5" t="n">
        <v>0.47</v>
      </c>
    </row>
    <row r="517">
      <c r="A517" t="n">
        <v>516</v>
      </c>
      <c r="B517" t="n">
        <v>2014</v>
      </c>
      <c r="C517" t="inlineStr">
        <is>
          <t>Ava Amiripour</t>
        </is>
      </c>
      <c r="D517">
        <f>HYPERLINK("https://ota.tournamentsoftware.com/player-profile/C08AB363-A302-4023-8D6D-B732D837DADF", "Link")</f>
        <v/>
      </c>
      <c r="E517" s="3" t="n">
        <v>74.288</v>
      </c>
      <c r="F517" s="4" t="n">
        <v>4</v>
      </c>
      <c r="G517" t="inlineStr">
        <is>
          <t>Ontario Tennis Association</t>
        </is>
      </c>
      <c r="H517" t="inlineStr">
        <is>
          <t>No Club</t>
        </is>
      </c>
      <c r="I517" t="n">
        <v>37.7</v>
      </c>
      <c r="J517" s="4" t="n">
        <v>7</v>
      </c>
      <c r="K517" t="inlineStr">
        <is>
          <t>1 / 6</t>
        </is>
      </c>
      <c r="L517" t="inlineStr">
        <is>
          <t>1 / 5</t>
        </is>
      </c>
      <c r="M517" s="5" t="n">
        <v>0.14</v>
      </c>
      <c r="N517" s="5" t="n">
        <v>0.17</v>
      </c>
    </row>
    <row r="518">
      <c r="A518" t="n">
        <v>517</v>
      </c>
      <c r="B518" t="n">
        <v>2013</v>
      </c>
      <c r="C518" t="inlineStr">
        <is>
          <t>Emma Victoria Chan</t>
        </is>
      </c>
      <c r="D518">
        <f>HYPERLINK("https://ota.tournamentsoftware.com/player-profile/29822B25-6004-4E31-822F-CF8FF1CD9AB7", "Link")</f>
        <v/>
      </c>
      <c r="E518" s="3" t="n">
        <v>74.184</v>
      </c>
      <c r="F518" s="4" t="n">
        <v>8</v>
      </c>
      <c r="G518" t="inlineStr">
        <is>
          <t>Ontario Tennis Association</t>
        </is>
      </c>
      <c r="H518" t="inlineStr">
        <is>
          <t>Joshua Creek Golf &amp; Tennis</t>
        </is>
      </c>
      <c r="I518" t="n">
        <v>36.4</v>
      </c>
      <c r="J518" s="4" t="n">
        <v>64</v>
      </c>
      <c r="K518" t="inlineStr">
        <is>
          <t>40 / 24</t>
        </is>
      </c>
      <c r="L518" t="inlineStr">
        <is>
          <t>12 / 4</t>
        </is>
      </c>
      <c r="M518" s="5" t="n">
        <v>0.62</v>
      </c>
      <c r="N518" s="5" t="n">
        <v>0.75</v>
      </c>
    </row>
    <row r="519">
      <c r="A519" t="n">
        <v>518</v>
      </c>
      <c r="B519" t="n">
        <v>2013</v>
      </c>
      <c r="C519" t="inlineStr">
        <is>
          <t>Lolia Abdrabou</t>
        </is>
      </c>
      <c r="D519">
        <f>HYPERLINK("https://ota.tournamentsoftware.com/player-profile/02101E1E-CCDA-437A-A3E7-8CBDBA76F674", "Link")</f>
        <v/>
      </c>
      <c r="E519" s="3" t="n">
        <v>72.959</v>
      </c>
      <c r="F519" s="4" t="n">
        <v>4</v>
      </c>
      <c r="G519" t="inlineStr">
        <is>
          <t>Tennis Nova Scotia</t>
        </is>
      </c>
      <c r="H519" t="inlineStr">
        <is>
          <t>HEADSTART</t>
        </is>
      </c>
      <c r="I519" t="n">
        <v>35.6</v>
      </c>
      <c r="J519" s="4" t="n">
        <v>22</v>
      </c>
      <c r="K519" t="inlineStr">
        <is>
          <t>13 / 9</t>
        </is>
      </c>
      <c r="L519" t="inlineStr">
        <is>
          <t>2 / 4</t>
        </is>
      </c>
      <c r="M519" s="5" t="n">
        <v>0.59</v>
      </c>
      <c r="N519" s="5" t="n">
        <v>0.33</v>
      </c>
    </row>
    <row r="520">
      <c r="A520" t="n">
        <v>519</v>
      </c>
      <c r="B520" t="n">
        <v>2016</v>
      </c>
      <c r="C520" t="inlineStr">
        <is>
          <t>Grace SHI</t>
        </is>
      </c>
      <c r="D520">
        <f>HYPERLINK("https://ota.tournamentsoftware.com/player-profile/71A1D6E1-33D1-46A0-AF21-F397AE1BA314", "Link")</f>
        <v/>
      </c>
      <c r="E520" s="3" t="n">
        <v>70.416</v>
      </c>
      <c r="F520" s="4" t="n">
        <v>10</v>
      </c>
      <c r="G520" t="inlineStr">
        <is>
          <t>British Columbia</t>
        </is>
      </c>
      <c r="H520" t="inlineStr">
        <is>
          <t>No Club</t>
        </is>
      </c>
      <c r="I520" t="n">
        <v>38.4</v>
      </c>
      <c r="J520" s="4" t="n">
        <v>48</v>
      </c>
      <c r="K520" t="inlineStr">
        <is>
          <t>16 / 32</t>
        </is>
      </c>
      <c r="L520" t="inlineStr">
        <is>
          <t>9 / 13</t>
        </is>
      </c>
      <c r="M520" s="5" t="n">
        <v>0.33</v>
      </c>
      <c r="N520" s="5" t="n">
        <v>0.41</v>
      </c>
    </row>
    <row r="521">
      <c r="A521" t="n">
        <v>520</v>
      </c>
      <c r="B521" t="n">
        <v>2014</v>
      </c>
      <c r="C521" t="inlineStr">
        <is>
          <t>Sarah Huang</t>
        </is>
      </c>
      <c r="D521">
        <f>HYPERLINK("https://ota.tournamentsoftware.com/player-profile/535A9ABE-481C-45C4-9357-B8FD9305232E", "Link")</f>
        <v/>
      </c>
      <c r="E521" s="3" t="n">
        <v>70.36199999999999</v>
      </c>
      <c r="F521" s="4" t="n">
        <v>14</v>
      </c>
      <c r="G521" t="inlineStr">
        <is>
          <t>Ontario Tennis Association</t>
        </is>
      </c>
      <c r="H521" t="inlineStr">
        <is>
          <t>Premier Racquet Club</t>
        </is>
      </c>
      <c r="I521" t="n">
        <v>37</v>
      </c>
      <c r="J521" s="4" t="n">
        <v>109</v>
      </c>
      <c r="K521" t="inlineStr">
        <is>
          <t>36 / 73</t>
        </is>
      </c>
      <c r="L521" t="inlineStr">
        <is>
          <t>2 / 6</t>
        </is>
      </c>
      <c r="M521" s="5" t="n">
        <v>0.33</v>
      </c>
      <c r="N521" s="5" t="n">
        <v>0.25</v>
      </c>
    </row>
    <row r="522">
      <c r="A522" t="n">
        <v>521</v>
      </c>
      <c r="B522" t="n">
        <v>2013</v>
      </c>
      <c r="C522" t="inlineStr">
        <is>
          <t>Lydia Squires-Sturge</t>
        </is>
      </c>
      <c r="D522">
        <f>HYPERLINK("https://ota.tournamentsoftware.com/player-profile/AD6D5BEF-6293-4DE8-BF13-52E1A33EF28B", "Link")</f>
        <v/>
      </c>
      <c r="E522" s="3" t="n">
        <v>69.855</v>
      </c>
      <c r="F522" s="4" t="n">
        <v>5</v>
      </c>
      <c r="G522" t="inlineStr">
        <is>
          <t>Tennis Newfoundland &amp; Labrador</t>
        </is>
      </c>
      <c r="H522" t="inlineStr">
        <is>
          <t>Mount Pearl Tennis Club</t>
        </is>
      </c>
      <c r="I522" t="inlineStr">
        <is>
          <t>unavailable</t>
        </is>
      </c>
      <c r="J522" s="4" t="n">
        <v>23</v>
      </c>
      <c r="K522" t="inlineStr">
        <is>
          <t>7 / 16</t>
        </is>
      </c>
      <c r="L522" t="inlineStr">
        <is>
          <t>0 / 4</t>
        </is>
      </c>
      <c r="M522" s="5" t="n">
        <v>0.3</v>
      </c>
      <c r="N522" s="5" t="n">
        <v>0</v>
      </c>
    </row>
    <row r="523">
      <c r="A523" t="n">
        <v>522</v>
      </c>
      <c r="B523" t="n">
        <v>2013</v>
      </c>
      <c r="C523" t="inlineStr">
        <is>
          <t>Lilya Youssef</t>
        </is>
      </c>
      <c r="D523">
        <f>HYPERLINK("https://ota.tournamentsoftware.com/player-profile/E4A52F0A-7400-4236-ACEF-6680D7FB1262", "Link")</f>
        <v/>
      </c>
      <c r="E523" s="3" t="n">
        <v>69.61</v>
      </c>
      <c r="F523" s="4" t="n">
        <v>3</v>
      </c>
      <c r="G523" t="inlineStr">
        <is>
          <t>Tennis Québec</t>
        </is>
      </c>
      <c r="H523" t="inlineStr">
        <is>
          <t>Tennis 13</t>
        </is>
      </c>
      <c r="I523" t="inlineStr">
        <is>
          <t>unavailable</t>
        </is>
      </c>
      <c r="J523" s="4" t="n">
        <v>10</v>
      </c>
      <c r="K523" t="inlineStr">
        <is>
          <t>5 / 5</t>
        </is>
      </c>
      <c r="L523" t="inlineStr">
        <is>
          <t>5 / 5</t>
        </is>
      </c>
      <c r="M523" s="5" t="n">
        <v>0.5</v>
      </c>
      <c r="N523" s="5" t="n">
        <v>0.5</v>
      </c>
    </row>
    <row r="524">
      <c r="A524" t="n">
        <v>523</v>
      </c>
      <c r="B524" t="n">
        <v>2015</v>
      </c>
      <c r="C524" t="inlineStr">
        <is>
          <t>Cara Tereza Nyakahuma</t>
        </is>
      </c>
      <c r="D524">
        <f>HYPERLINK("https://ota.tournamentsoftware.com/player-profile/AFC2100D-E6CB-4B13-AD01-0EBC56083397", "Link")</f>
        <v/>
      </c>
      <c r="E524" s="3" t="n">
        <v>69.328</v>
      </c>
      <c r="F524" s="4" t="n">
        <v>7</v>
      </c>
      <c r="G524" t="inlineStr">
        <is>
          <t>Ontario Tennis Association</t>
        </is>
      </c>
      <c r="H524" t="inlineStr">
        <is>
          <t>Intercounty Tennis Association</t>
        </is>
      </c>
      <c r="I524" t="inlineStr">
        <is>
          <t>unavailable</t>
        </is>
      </c>
      <c r="J524" s="4" t="n">
        <v>142</v>
      </c>
      <c r="K524" t="inlineStr">
        <is>
          <t>90 / 52</t>
        </is>
      </c>
      <c r="L524" t="inlineStr">
        <is>
          <t>7 / 3</t>
        </is>
      </c>
      <c r="M524" s="5" t="n">
        <v>0.63</v>
      </c>
      <c r="N524" s="5" t="n">
        <v>0.7</v>
      </c>
    </row>
    <row r="525">
      <c r="A525" t="n">
        <v>524</v>
      </c>
      <c r="B525" t="n">
        <v>2015</v>
      </c>
      <c r="C525" t="inlineStr">
        <is>
          <t>Emilia Ho</t>
        </is>
      </c>
      <c r="D525">
        <f>HYPERLINK("https://ota.tournamentsoftware.com/player-profile/91D4EC27-5C11-4119-B45C-F3809BFF1CF1", "Link")</f>
        <v/>
      </c>
      <c r="E525" s="3" t="n">
        <v>69.21299999999999</v>
      </c>
      <c r="F525" s="4" t="n">
        <v>17</v>
      </c>
      <c r="G525" t="inlineStr">
        <is>
          <t>Tennis Alberta</t>
        </is>
      </c>
      <c r="H525" t="inlineStr">
        <is>
          <t>Osten &amp; Victor Alberta Tennis Centre</t>
        </is>
      </c>
      <c r="I525" t="n">
        <v>34.6</v>
      </c>
      <c r="J525" s="4" t="n">
        <v>135</v>
      </c>
      <c r="K525" t="inlineStr">
        <is>
          <t>70 / 65</t>
        </is>
      </c>
      <c r="L525" t="inlineStr">
        <is>
          <t>16 / 17</t>
        </is>
      </c>
      <c r="M525" s="5" t="n">
        <v>0.52</v>
      </c>
      <c r="N525" s="5" t="n">
        <v>0.48</v>
      </c>
    </row>
    <row r="526">
      <c r="A526" t="n">
        <v>525</v>
      </c>
      <c r="B526" t="n">
        <v>2014</v>
      </c>
      <c r="C526" t="inlineStr">
        <is>
          <t>Alexis Sokol</t>
        </is>
      </c>
      <c r="D526">
        <f>HYPERLINK("https://ota.tournamentsoftware.com/player-profile/8337D953-FBB9-45F2-B72A-FF18B572FA6A", "Link")</f>
        <v/>
      </c>
      <c r="E526" s="3" t="n">
        <v>68.806</v>
      </c>
      <c r="F526" s="4" t="n">
        <v>9</v>
      </c>
      <c r="G526" t="inlineStr">
        <is>
          <t>Tennis Alberta</t>
        </is>
      </c>
      <c r="H526" t="inlineStr">
        <is>
          <t>Saville Community Sports Centre</t>
        </is>
      </c>
      <c r="I526" t="n">
        <v>36.5</v>
      </c>
      <c r="J526" s="4" t="n">
        <v>21</v>
      </c>
      <c r="K526" t="inlineStr">
        <is>
          <t>8 / 13</t>
        </is>
      </c>
      <c r="L526" t="inlineStr">
        <is>
          <t>6 / 9</t>
        </is>
      </c>
      <c r="M526" s="5" t="n">
        <v>0.38</v>
      </c>
      <c r="N526" s="5" t="n">
        <v>0.4</v>
      </c>
    </row>
    <row r="527">
      <c r="A527" t="n">
        <v>526</v>
      </c>
      <c r="B527" t="n">
        <v>2014</v>
      </c>
      <c r="C527" t="inlineStr">
        <is>
          <t>Kaitlynn Xie</t>
        </is>
      </c>
      <c r="D527">
        <f>HYPERLINK("https://ota.tournamentsoftware.com/player-profile/25655CF4-99DC-4E1E-BE40-C11FF6785117", "Link")</f>
        <v/>
      </c>
      <c r="E527" s="3" t="n">
        <v>68.715</v>
      </c>
      <c r="F527" s="4" t="n">
        <v>8</v>
      </c>
      <c r="G527" t="inlineStr">
        <is>
          <t>Tennis Alberta</t>
        </is>
      </c>
      <c r="H527" t="inlineStr">
        <is>
          <t>Saville Community Sports Centre</t>
        </is>
      </c>
      <c r="I527" t="n">
        <v>34.2</v>
      </c>
      <c r="J527" s="4" t="n">
        <v>57</v>
      </c>
      <c r="K527" t="inlineStr">
        <is>
          <t>19 / 38</t>
        </is>
      </c>
      <c r="L527" t="inlineStr">
        <is>
          <t>7 / 12</t>
        </is>
      </c>
      <c r="M527" s="5" t="n">
        <v>0.33</v>
      </c>
      <c r="N527" s="5" t="n">
        <v>0.37</v>
      </c>
    </row>
    <row r="528">
      <c r="A528" t="n">
        <v>527</v>
      </c>
      <c r="B528" t="n">
        <v>2014</v>
      </c>
      <c r="C528" t="inlineStr">
        <is>
          <t>Sareen Kaur Hehar</t>
        </is>
      </c>
      <c r="D528">
        <f>HYPERLINK("https://ota.tournamentsoftware.com/player-profile/07D185FB-AE5B-444B-BAE8-058B536108E2", "Link")</f>
        <v/>
      </c>
      <c r="E528" s="3" t="n">
        <v>67.908</v>
      </c>
      <c r="F528" s="4" t="n">
        <v>13</v>
      </c>
      <c r="G528" t="inlineStr">
        <is>
          <t>British Columbia</t>
        </is>
      </c>
      <c r="H528" t="inlineStr">
        <is>
          <t>No Club</t>
        </is>
      </c>
      <c r="I528" t="n">
        <v>35.7</v>
      </c>
      <c r="J528" s="4" t="n">
        <v>197</v>
      </c>
      <c r="K528" t="inlineStr">
        <is>
          <t>75 / 122</t>
        </is>
      </c>
      <c r="L528" t="inlineStr">
        <is>
          <t>5 / 10</t>
        </is>
      </c>
      <c r="M528" s="5" t="n">
        <v>0.38</v>
      </c>
      <c r="N528" s="5" t="n">
        <v>0.33</v>
      </c>
    </row>
    <row r="529">
      <c r="A529" t="n">
        <v>528</v>
      </c>
      <c r="B529" t="n">
        <v>2014</v>
      </c>
      <c r="C529" t="inlineStr">
        <is>
          <t>Mioara Oulima Bouyela</t>
        </is>
      </c>
      <c r="D529">
        <f>HYPERLINK("https://ota.tournamentsoftware.com/player-profile/44DDF62F-2675-4E36-B215-8515347ABD9E", "Link")</f>
        <v/>
      </c>
      <c r="E529" s="3" t="n">
        <v>67.357</v>
      </c>
      <c r="F529" s="4" t="n">
        <v>14</v>
      </c>
      <c r="G529" t="inlineStr">
        <is>
          <t>Tennis Québec</t>
        </is>
      </c>
      <c r="H529" t="inlineStr">
        <is>
          <t>Tennis 13</t>
        </is>
      </c>
      <c r="I529" t="n">
        <v>37.9</v>
      </c>
      <c r="J529" s="4" t="n">
        <v>81</v>
      </c>
      <c r="K529" t="inlineStr">
        <is>
          <t>33 / 48</t>
        </is>
      </c>
      <c r="L529" t="inlineStr">
        <is>
          <t>9 / 12</t>
        </is>
      </c>
      <c r="M529" s="5" t="n">
        <v>0.41</v>
      </c>
      <c r="N529" s="5" t="n">
        <v>0.43</v>
      </c>
    </row>
    <row r="530">
      <c r="A530" t="n">
        <v>529</v>
      </c>
      <c r="B530" t="n">
        <v>2013</v>
      </c>
      <c r="C530" t="inlineStr">
        <is>
          <t>Camélia Duong</t>
        </is>
      </c>
      <c r="D530">
        <f>HYPERLINK("https://ota.tournamentsoftware.com/player-profile/86B52BC3-1BF6-4334-8E35-8F6D2AF1C95B", "Link")</f>
        <v/>
      </c>
      <c r="E530" s="3" t="n">
        <v>67.227</v>
      </c>
      <c r="F530" s="4" t="n">
        <v>11</v>
      </c>
      <c r="G530" t="inlineStr">
        <is>
          <t>Tennis Québec</t>
        </is>
      </c>
      <c r="H530" t="inlineStr">
        <is>
          <t>Tennis Ile- des- Soeurs</t>
        </is>
      </c>
      <c r="I530" t="n">
        <v>38.3</v>
      </c>
      <c r="J530" s="4" t="n">
        <v>58</v>
      </c>
      <c r="K530" t="inlineStr">
        <is>
          <t>9 / 49</t>
        </is>
      </c>
      <c r="L530" t="inlineStr">
        <is>
          <t>1 / 6</t>
        </is>
      </c>
      <c r="M530" s="5" t="n">
        <v>0.16</v>
      </c>
      <c r="N530" s="5" t="n">
        <v>0.14</v>
      </c>
    </row>
    <row r="531">
      <c r="A531" t="n">
        <v>530</v>
      </c>
      <c r="B531" t="n">
        <v>2014</v>
      </c>
      <c r="C531" t="inlineStr">
        <is>
          <t>Melissa Elena Rusu</t>
        </is>
      </c>
      <c r="D531">
        <f>HYPERLINK("https://ota.tournamentsoftware.com/player-profile/9F55033D-1DF5-465D-A3A2-401E58DF9FEB", "Link")</f>
        <v/>
      </c>
      <c r="E531" s="3" t="n">
        <v>67.018</v>
      </c>
      <c r="F531" s="4" t="n">
        <v>15</v>
      </c>
      <c r="G531" t="inlineStr">
        <is>
          <t>Tennis Québec</t>
        </is>
      </c>
      <c r="H531" t="inlineStr">
        <is>
          <t>Carrefour Multisports - Haute Performance</t>
        </is>
      </c>
      <c r="I531" t="n">
        <v>37.7</v>
      </c>
      <c r="J531" s="4" t="n">
        <v>55</v>
      </c>
      <c r="K531" t="inlineStr">
        <is>
          <t>18 / 37</t>
        </is>
      </c>
      <c r="L531" t="inlineStr">
        <is>
          <t>3 / 14</t>
        </is>
      </c>
      <c r="M531" s="5" t="n">
        <v>0.33</v>
      </c>
      <c r="N531" s="5" t="n">
        <v>0.18</v>
      </c>
    </row>
    <row r="532">
      <c r="A532" t="n">
        <v>531</v>
      </c>
      <c r="B532" t="n">
        <v>2017</v>
      </c>
      <c r="C532" t="inlineStr">
        <is>
          <t>Siena Yang-frome</t>
        </is>
      </c>
      <c r="D532">
        <f>HYPERLINK("https://ota.tournamentsoftware.com/player-profile/07E78FFD-E9BB-462A-8A5B-4456E8FEB96D", "Link")</f>
        <v/>
      </c>
      <c r="E532" s="3" t="n">
        <v>66.974</v>
      </c>
      <c r="F532" s="4" t="n">
        <v>11</v>
      </c>
      <c r="G532" t="inlineStr">
        <is>
          <t>Ontario Tennis Association</t>
        </is>
      </c>
      <c r="H532" t="inlineStr">
        <is>
          <t>ACE Tennis - Burlington</t>
        </is>
      </c>
      <c r="I532" t="n">
        <v>36.1</v>
      </c>
      <c r="J532" s="4" t="n">
        <v>83</v>
      </c>
      <c r="K532" t="inlineStr">
        <is>
          <t>48 / 35</t>
        </is>
      </c>
      <c r="L532" t="inlineStr">
        <is>
          <t>10 / 12</t>
        </is>
      </c>
      <c r="M532" s="5" t="n">
        <v>0.58</v>
      </c>
      <c r="N532" s="5" t="n">
        <v>0.45</v>
      </c>
    </row>
    <row r="533">
      <c r="A533" t="n">
        <v>532</v>
      </c>
      <c r="B533" t="n">
        <v>2015</v>
      </c>
      <c r="C533" t="inlineStr">
        <is>
          <t>Brielle Ramirez Balos</t>
        </is>
      </c>
      <c r="D533">
        <f>HYPERLINK("https://ota.tournamentsoftware.com/player-profile/2F36BC35-A108-44F9-B705-6F2246749033", "Link")</f>
        <v/>
      </c>
      <c r="E533" s="3" t="n">
        <v>66.29000000000001</v>
      </c>
      <c r="F533" s="4" t="n">
        <v>9</v>
      </c>
      <c r="G533" t="inlineStr">
        <is>
          <t>Tennis Alberta</t>
        </is>
      </c>
      <c r="H533" t="inlineStr">
        <is>
          <t>Saville Community Sports Centre</t>
        </is>
      </c>
      <c r="I533" t="inlineStr">
        <is>
          <t>unavailable</t>
        </is>
      </c>
      <c r="J533" s="4" t="n">
        <v>65</v>
      </c>
      <c r="K533" t="inlineStr">
        <is>
          <t>37 / 28</t>
        </is>
      </c>
      <c r="L533" t="inlineStr">
        <is>
          <t>15 / 9</t>
        </is>
      </c>
      <c r="M533" s="5" t="n">
        <v>0.57</v>
      </c>
      <c r="N533" s="5" t="n">
        <v>0.62</v>
      </c>
    </row>
    <row r="534">
      <c r="A534" t="n">
        <v>533</v>
      </c>
      <c r="B534" t="n">
        <v>2017</v>
      </c>
      <c r="C534" t="inlineStr">
        <is>
          <t>Chen Xi Zhou Kong</t>
        </is>
      </c>
      <c r="D534">
        <f>HYPERLINK("https://ota.tournamentsoftware.com/player-profile/E5CD94C9-63F9-419B-A6E9-CCB6DEF8B502", "Link")</f>
        <v/>
      </c>
      <c r="E534" s="3" t="n">
        <v>66</v>
      </c>
      <c r="F534" s="4" t="n">
        <v>20</v>
      </c>
      <c r="G534" t="inlineStr">
        <is>
          <t>Tennis Québec</t>
        </is>
      </c>
      <c r="H534" t="inlineStr">
        <is>
          <t>Académie Tennis Momentum (club extérieur)</t>
        </is>
      </c>
      <c r="I534" t="inlineStr">
        <is>
          <t>unavailable</t>
        </is>
      </c>
      <c r="J534" s="4" t="n">
        <v>117</v>
      </c>
      <c r="K534" t="inlineStr">
        <is>
          <t>55 / 62</t>
        </is>
      </c>
      <c r="L534" t="inlineStr">
        <is>
          <t>38 / 35</t>
        </is>
      </c>
      <c r="M534" s="5" t="n">
        <v>0.47</v>
      </c>
      <c r="N534" s="5" t="n">
        <v>0.52</v>
      </c>
    </row>
    <row r="535">
      <c r="A535" t="n">
        <v>534</v>
      </c>
      <c r="B535" t="n">
        <v>2015</v>
      </c>
      <c r="C535" t="inlineStr">
        <is>
          <t>Myra Shukla</t>
        </is>
      </c>
      <c r="D535">
        <f>HYPERLINK("https://ota.tournamentsoftware.com/player-profile/2F4B1A1D-35AC-45A0-9F5D-6D5533376D9A", "Link")</f>
        <v/>
      </c>
      <c r="E535" s="3" t="n">
        <v>65.806</v>
      </c>
      <c r="F535" s="4" t="n">
        <v>5</v>
      </c>
      <c r="G535" t="inlineStr">
        <is>
          <t>Ontario Tennis Association</t>
        </is>
      </c>
      <c r="H535" t="inlineStr">
        <is>
          <t>Veneto Tennis Club</t>
        </is>
      </c>
      <c r="I535" t="n">
        <v>36.4</v>
      </c>
      <c r="J535" s="4" t="n">
        <v>82</v>
      </c>
      <c r="K535" t="inlineStr">
        <is>
          <t>34 / 48</t>
        </is>
      </c>
      <c r="L535" t="inlineStr">
        <is>
          <t>1 / 5</t>
        </is>
      </c>
      <c r="M535" s="5" t="n">
        <v>0.41</v>
      </c>
      <c r="N535" s="5" t="n">
        <v>0.17</v>
      </c>
    </row>
    <row r="536">
      <c r="A536" t="n">
        <v>535</v>
      </c>
      <c r="B536" t="n">
        <v>2012</v>
      </c>
      <c r="C536" t="inlineStr">
        <is>
          <t>Diya Anand</t>
        </is>
      </c>
      <c r="D536">
        <f>HYPERLINK("https://ota.tournamentsoftware.com/player-profile/3939C1EF-E95B-4DD4-9208-81F6E4D5387F", "Link")</f>
        <v/>
      </c>
      <c r="E536" s="3" t="n">
        <v>65.70999999999999</v>
      </c>
      <c r="F536" s="4" t="n">
        <v>5</v>
      </c>
      <c r="G536" t="inlineStr">
        <is>
          <t>Ontario Tennis Association</t>
        </is>
      </c>
      <c r="H536" t="inlineStr">
        <is>
          <t>Rosedale Tennis Club (Hamilton)</t>
        </is>
      </c>
      <c r="I536" t="inlineStr">
        <is>
          <t>unavailable</t>
        </is>
      </c>
      <c r="J536" s="4" t="n">
        <v>20</v>
      </c>
      <c r="K536" t="inlineStr">
        <is>
          <t>4 / 16</t>
        </is>
      </c>
      <c r="L536" t="inlineStr">
        <is>
          <t>1 / 6</t>
        </is>
      </c>
      <c r="M536" s="5" t="n">
        <v>0.2</v>
      </c>
      <c r="N536" s="5" t="n">
        <v>0.14</v>
      </c>
    </row>
    <row r="537">
      <c r="A537" t="n">
        <v>536</v>
      </c>
      <c r="B537" t="n">
        <v>2015</v>
      </c>
      <c r="C537" t="inlineStr">
        <is>
          <t>Mataya Victoria Jan</t>
        </is>
      </c>
      <c r="D537">
        <f>HYPERLINK("https://ota.tournamentsoftware.com/player-profile/52A288CA-2524-4398-A498-9546CE531A78", "Link")</f>
        <v/>
      </c>
      <c r="E537" s="3" t="n">
        <v>65.431</v>
      </c>
      <c r="F537" s="4" t="n">
        <v>7</v>
      </c>
      <c r="G537" t="inlineStr">
        <is>
          <t>Ontario Tennis Association</t>
        </is>
      </c>
      <c r="H537" t="inlineStr">
        <is>
          <t>Tennis Centre West Ottawa</t>
        </is>
      </c>
      <c r="I537" t="n">
        <v>39.8</v>
      </c>
      <c r="J537" s="4" t="n">
        <v>12</v>
      </c>
      <c r="K537" t="inlineStr">
        <is>
          <t>0 / 12</t>
        </is>
      </c>
      <c r="L537" t="inlineStr">
        <is>
          <t>0 / 7</t>
        </is>
      </c>
      <c r="M537" s="5" t="n">
        <v>0</v>
      </c>
      <c r="N537" s="5" t="n">
        <v>0</v>
      </c>
    </row>
    <row r="538">
      <c r="A538" t="n">
        <v>537</v>
      </c>
      <c r="B538" t="n">
        <v>2013</v>
      </c>
      <c r="C538" t="inlineStr">
        <is>
          <t>Robyn Abigail Allen</t>
        </is>
      </c>
      <c r="D538">
        <f>HYPERLINK("https://ota.tournamentsoftware.com/player-profile/248A3F67-26CE-43CB-A1BB-A426F8AC9211", "Link")</f>
        <v/>
      </c>
      <c r="E538" s="3" t="n">
        <v>65.42700000000001</v>
      </c>
      <c r="F538" s="4" t="n">
        <v>4</v>
      </c>
      <c r="G538" t="inlineStr">
        <is>
          <t>Ontario Tennis Association</t>
        </is>
      </c>
      <c r="H538" t="inlineStr">
        <is>
          <t>Waterloo Tennis Club</t>
        </is>
      </c>
      <c r="I538" t="inlineStr">
        <is>
          <t>unavailable</t>
        </is>
      </c>
      <c r="J538" s="4" t="n">
        <v>24</v>
      </c>
      <c r="K538" t="inlineStr">
        <is>
          <t>5 / 19</t>
        </is>
      </c>
      <c r="L538" t="inlineStr">
        <is>
          <t>2 / 12</t>
        </is>
      </c>
      <c r="M538" s="5" t="n">
        <v>0.21</v>
      </c>
      <c r="N538" s="5" t="n">
        <v>0.14</v>
      </c>
    </row>
    <row r="539">
      <c r="A539" t="n">
        <v>538</v>
      </c>
      <c r="B539" t="n">
        <v>2015</v>
      </c>
      <c r="C539" t="inlineStr">
        <is>
          <t>Alexandria Gianvito</t>
        </is>
      </c>
      <c r="D539">
        <f>HYPERLINK("https://ota.tournamentsoftware.com/player-profile/4A4D327B-3019-4349-8F36-0769D584A4FA", "Link")</f>
        <v/>
      </c>
      <c r="E539" s="3" t="n">
        <v>64.84999999999999</v>
      </c>
      <c r="F539" s="4" t="n">
        <v>6</v>
      </c>
      <c r="G539" t="inlineStr">
        <is>
          <t>Tennis Québec</t>
        </is>
      </c>
      <c r="H539" t="inlineStr">
        <is>
          <t>No Club</t>
        </is>
      </c>
      <c r="I539" t="inlineStr">
        <is>
          <t>unavailable</t>
        </is>
      </c>
      <c r="J539" s="4" t="n">
        <v>50</v>
      </c>
      <c r="K539" t="inlineStr">
        <is>
          <t>13 / 37</t>
        </is>
      </c>
      <c r="L539" t="inlineStr">
        <is>
          <t>1 / 5</t>
        </is>
      </c>
      <c r="M539" s="5" t="n">
        <v>0.26</v>
      </c>
      <c r="N539" s="5" t="n">
        <v>0.17</v>
      </c>
    </row>
    <row r="540">
      <c r="A540" t="n">
        <v>539</v>
      </c>
      <c r="B540" t="n">
        <v>2012</v>
      </c>
      <c r="C540" t="inlineStr">
        <is>
          <t>Jemima Edwards</t>
        </is>
      </c>
      <c r="D540">
        <f>HYPERLINK("https://ota.tournamentsoftware.com/player-profile/89C8AA4C-1698-4049-8B88-9B77FC5C4B9B", "Link")</f>
        <v/>
      </c>
      <c r="E540" s="3" t="n">
        <v>64</v>
      </c>
      <c r="F540" s="4" t="n">
        <v>2</v>
      </c>
      <c r="G540" t="inlineStr">
        <is>
          <t>Ontario Tennis Association</t>
        </is>
      </c>
      <c r="H540" t="inlineStr">
        <is>
          <t>Rideau Sports Centre</t>
        </is>
      </c>
      <c r="I540" t="n">
        <v>32.5</v>
      </c>
      <c r="J540" s="4" t="n">
        <v>77</v>
      </c>
      <c r="K540" t="inlineStr">
        <is>
          <t>39 / 38</t>
        </is>
      </c>
      <c r="L540" t="inlineStr">
        <is>
          <t>3 / 1</t>
        </is>
      </c>
      <c r="M540" s="5" t="n">
        <v>0.51</v>
      </c>
      <c r="N540" s="5" t="n">
        <v>0.75</v>
      </c>
    </row>
    <row r="541">
      <c r="A541" t="n">
        <v>540</v>
      </c>
      <c r="B541" t="n">
        <v>2013</v>
      </c>
      <c r="C541" t="inlineStr">
        <is>
          <t>Audrey Humeniuk</t>
        </is>
      </c>
      <c r="D541">
        <f>HYPERLINK("https://ota.tournamentsoftware.com/player-profile/468D56FB-0ABD-4840-82FB-F2B1EB075075", "Link")</f>
        <v/>
      </c>
      <c r="E541" s="3" t="n">
        <v>63.86</v>
      </c>
      <c r="F541" s="4" t="n">
        <v>4</v>
      </c>
      <c r="G541" t="inlineStr">
        <is>
          <t>Ontario Tennis Association</t>
        </is>
      </c>
      <c r="H541" t="inlineStr">
        <is>
          <t>Tennis Centre West Ottawa</t>
        </is>
      </c>
      <c r="I541" t="n">
        <v>39.9</v>
      </c>
      <c r="J541" s="4" t="n">
        <v>8</v>
      </c>
      <c r="K541" t="inlineStr">
        <is>
          <t>1 / 7</t>
        </is>
      </c>
      <c r="L541" t="inlineStr">
        <is>
          <t>0 / 3</t>
        </is>
      </c>
      <c r="M541" s="5" t="n">
        <v>0.12</v>
      </c>
      <c r="N541" s="5" t="n">
        <v>0</v>
      </c>
    </row>
    <row r="542">
      <c r="A542" t="n">
        <v>541</v>
      </c>
      <c r="B542" t="n">
        <v>2013</v>
      </c>
      <c r="C542" t="inlineStr">
        <is>
          <t>Deborah Zhao</t>
        </is>
      </c>
      <c r="D542">
        <f>HYPERLINK("https://ota.tournamentsoftware.com/player-profile/F6904719-B024-412B-8805-0CEB145651FD", "Link")</f>
        <v/>
      </c>
      <c r="E542" s="3" t="n">
        <v>63.288</v>
      </c>
      <c r="F542" s="4" t="n">
        <v>3</v>
      </c>
      <c r="G542" t="inlineStr">
        <is>
          <t>Tennis Prince Edward Island</t>
        </is>
      </c>
      <c r="H542" t="inlineStr">
        <is>
          <t>Charlottetown Recreation Tennis Group</t>
        </is>
      </c>
      <c r="I542" t="n">
        <v>36.6</v>
      </c>
      <c r="J542" s="4" t="n">
        <v>136</v>
      </c>
      <c r="K542" t="inlineStr">
        <is>
          <t>65 / 71</t>
        </is>
      </c>
      <c r="L542" t="inlineStr">
        <is>
          <t>3 / 7</t>
        </is>
      </c>
      <c r="M542" s="5" t="n">
        <v>0.48</v>
      </c>
      <c r="N542" s="5" t="n">
        <v>0.3</v>
      </c>
    </row>
    <row r="543">
      <c r="A543" t="n">
        <v>542</v>
      </c>
      <c r="B543" t="n">
        <v>2015</v>
      </c>
      <c r="C543" t="inlineStr">
        <is>
          <t>Aayushi Gautam</t>
        </is>
      </c>
      <c r="D543">
        <f>HYPERLINK("https://ota.tournamentsoftware.com/player-profile/A24CEE26-7629-46B9-89B0-12B054D2DFB9", "Link")</f>
        <v/>
      </c>
      <c r="E543" s="3" t="n">
        <v>63.275</v>
      </c>
      <c r="F543" s="4" t="n">
        <v>13</v>
      </c>
      <c r="G543" t="inlineStr">
        <is>
          <t>Tennis Alberta</t>
        </is>
      </c>
      <c r="H543" t="inlineStr">
        <is>
          <t>Saville Community Sports Centre</t>
        </is>
      </c>
      <c r="I543" t="n">
        <v>33.6</v>
      </c>
      <c r="J543" s="4" t="n">
        <v>152</v>
      </c>
      <c r="K543" t="inlineStr">
        <is>
          <t>90 / 62</t>
        </is>
      </c>
      <c r="L543" t="inlineStr">
        <is>
          <t>16 / 8</t>
        </is>
      </c>
      <c r="M543" s="5" t="n">
        <v>0.59</v>
      </c>
      <c r="N543" s="5" t="n">
        <v>0.67</v>
      </c>
    </row>
    <row r="544">
      <c r="A544" t="n">
        <v>543</v>
      </c>
      <c r="B544" t="n">
        <v>2012</v>
      </c>
      <c r="C544" t="inlineStr">
        <is>
          <t>kate zixi ye</t>
        </is>
      </c>
      <c r="D544">
        <f>HYPERLINK("https://ota.tournamentsoftware.com/player-profile/0A8F7797-88F4-49C6-8F3D-6079B8242406", "Link")</f>
        <v/>
      </c>
      <c r="E544" s="3" t="n">
        <v>62.909</v>
      </c>
      <c r="F544" s="4" t="n">
        <v>5</v>
      </c>
      <c r="G544" t="inlineStr">
        <is>
          <t>Ontario Tennis Association</t>
        </is>
      </c>
      <c r="H544" t="inlineStr">
        <is>
          <t>No Club</t>
        </is>
      </c>
      <c r="I544" t="n">
        <v>37.9</v>
      </c>
      <c r="J544" s="4" t="n">
        <v>11</v>
      </c>
      <c r="K544" t="inlineStr">
        <is>
          <t>2 / 9</t>
        </is>
      </c>
      <c r="L544" t="inlineStr">
        <is>
          <t>1 / 4</t>
        </is>
      </c>
      <c r="M544" s="5" t="n">
        <v>0.18</v>
      </c>
      <c r="N544" s="5" t="n">
        <v>0.2</v>
      </c>
    </row>
    <row r="545">
      <c r="A545" t="n">
        <v>544</v>
      </c>
      <c r="B545" t="n">
        <v>2013</v>
      </c>
      <c r="C545" t="inlineStr">
        <is>
          <t>Vina BLANCHARD</t>
        </is>
      </c>
      <c r="D545">
        <f>HYPERLINK("https://ota.tournamentsoftware.com/player-profile/B5AD0E2A-4843-4177-AD96-5A3203B5C718", "Link")</f>
        <v/>
      </c>
      <c r="E545" s="3" t="n">
        <v>62.695</v>
      </c>
      <c r="F545" s="4" t="n">
        <v>6</v>
      </c>
      <c r="G545" t="inlineStr">
        <is>
          <t>Ontario Tennis Association</t>
        </is>
      </c>
      <c r="H545" t="inlineStr">
        <is>
          <t>Ontario Racquet Club</t>
        </is>
      </c>
      <c r="I545" t="inlineStr">
        <is>
          <t>unavailable</t>
        </is>
      </c>
      <c r="J545" s="4" t="n">
        <v>25</v>
      </c>
      <c r="K545" t="inlineStr">
        <is>
          <t>11 / 14</t>
        </is>
      </c>
      <c r="L545" t="inlineStr">
        <is>
          <t>2 / 8</t>
        </is>
      </c>
      <c r="M545" s="5" t="n">
        <v>0.44</v>
      </c>
      <c r="N545" s="5" t="n">
        <v>0.2</v>
      </c>
    </row>
    <row r="546">
      <c r="A546" t="n">
        <v>545</v>
      </c>
      <c r="B546" t="n">
        <v>2012</v>
      </c>
      <c r="C546" t="inlineStr">
        <is>
          <t>Hannah Ines Fischer-Kandelas</t>
        </is>
      </c>
      <c r="D546">
        <f>HYPERLINK("https://ota.tournamentsoftware.com/player-profile/672C977E-EE19-4DD0-AE73-F6FCDD2EE1E1", "Link")</f>
        <v/>
      </c>
      <c r="E546" s="3" t="n">
        <v>62.453</v>
      </c>
      <c r="F546" s="4" t="n">
        <v>4</v>
      </c>
      <c r="G546" t="inlineStr">
        <is>
          <t>Ontario Tennis Association</t>
        </is>
      </c>
      <c r="H546" t="inlineStr">
        <is>
          <t>Wychwood Tennis Club</t>
        </is>
      </c>
      <c r="I546" t="n">
        <v>39.1</v>
      </c>
      <c r="J546" s="4" t="n">
        <v>22</v>
      </c>
      <c r="K546" t="inlineStr">
        <is>
          <t>9 / 13</t>
        </is>
      </c>
      <c r="L546" t="inlineStr">
        <is>
          <t>2 / 7</t>
        </is>
      </c>
      <c r="M546" s="5" t="n">
        <v>0.41</v>
      </c>
      <c r="N546" s="5" t="n">
        <v>0.22</v>
      </c>
    </row>
    <row r="547">
      <c r="A547" t="n">
        <v>546</v>
      </c>
      <c r="B547" t="n">
        <v>2016</v>
      </c>
      <c r="C547" t="inlineStr">
        <is>
          <t>Hayley Bryce</t>
        </is>
      </c>
      <c r="D547">
        <f>HYPERLINK("https://ota.tournamentsoftware.com/player-profile/B433F420-A779-4270-B32A-8DE5FF43BD05", "Link")</f>
        <v/>
      </c>
      <c r="E547" s="3" t="n">
        <v>62.412</v>
      </c>
      <c r="F547" s="4" t="n">
        <v>11</v>
      </c>
      <c r="G547" t="inlineStr">
        <is>
          <t>Ontario Tennis Association</t>
        </is>
      </c>
      <c r="H547" t="inlineStr">
        <is>
          <t>SmartVMC Racquetsports by ACE</t>
        </is>
      </c>
      <c r="I547" t="inlineStr">
        <is>
          <t>unavailable</t>
        </is>
      </c>
      <c r="J547" s="4" t="n">
        <v>76</v>
      </c>
      <c r="K547" t="inlineStr">
        <is>
          <t>34 / 42</t>
        </is>
      </c>
      <c r="L547" t="inlineStr">
        <is>
          <t>17 / 20</t>
        </is>
      </c>
      <c r="M547" s="5" t="n">
        <v>0.45</v>
      </c>
      <c r="N547" s="5" t="n">
        <v>0.46</v>
      </c>
    </row>
    <row r="548">
      <c r="A548" t="n">
        <v>547</v>
      </c>
      <c r="B548" t="n">
        <v>2014</v>
      </c>
      <c r="C548" t="inlineStr">
        <is>
          <t>Chloe Huang</t>
        </is>
      </c>
      <c r="D548">
        <f>HYPERLINK("https://ota.tournamentsoftware.com/player-profile/F00195EB-06BF-48AD-9E24-7FA037871F13", "Link")</f>
        <v/>
      </c>
      <c r="E548" s="3" t="n">
        <v>62.111</v>
      </c>
      <c r="F548" s="4" t="n">
        <v>3</v>
      </c>
      <c r="G548" t="inlineStr">
        <is>
          <t>Ontario Tennis Association</t>
        </is>
      </c>
      <c r="H548" t="inlineStr">
        <is>
          <t>Richmond Hill Country Club</t>
        </is>
      </c>
      <c r="I548" t="n">
        <v>38.8</v>
      </c>
      <c r="J548" s="4" t="n">
        <v>54</v>
      </c>
      <c r="K548" t="inlineStr">
        <is>
          <t>20 / 34</t>
        </is>
      </c>
      <c r="L548" t="inlineStr">
        <is>
          <t>0 / 3</t>
        </is>
      </c>
      <c r="M548" s="5" t="n">
        <v>0.37</v>
      </c>
      <c r="N548" s="5" t="n">
        <v>0</v>
      </c>
    </row>
    <row r="549">
      <c r="A549" t="n">
        <v>548</v>
      </c>
      <c r="B549" t="n">
        <v>2012</v>
      </c>
      <c r="C549" t="inlineStr">
        <is>
          <t>Alice Zhang</t>
        </is>
      </c>
      <c r="D549">
        <f>HYPERLINK("https://ota.tournamentsoftware.com/player-profile/D65C72B6-843B-48BF-A073-AE5080F1EA2D", "Link")</f>
        <v/>
      </c>
      <c r="E549" s="3" t="n">
        <v>61.807</v>
      </c>
      <c r="F549" s="4" t="n">
        <v>4</v>
      </c>
      <c r="G549" t="inlineStr">
        <is>
          <t>Ontario Tennis Association</t>
        </is>
      </c>
      <c r="H549" t="inlineStr">
        <is>
          <t>ACE Tennis - Burlington</t>
        </is>
      </c>
      <c r="I549" t="n">
        <v>37.2</v>
      </c>
      <c r="J549" s="4" t="n">
        <v>10</v>
      </c>
      <c r="K549" t="inlineStr">
        <is>
          <t>2 / 8</t>
        </is>
      </c>
      <c r="L549" t="inlineStr">
        <is>
          <t>2 / 6</t>
        </is>
      </c>
      <c r="M549" s="5" t="n">
        <v>0.2</v>
      </c>
      <c r="N549" s="5" t="n">
        <v>0.25</v>
      </c>
    </row>
    <row r="550">
      <c r="A550" t="n">
        <v>549</v>
      </c>
      <c r="B550" t="n">
        <v>2015</v>
      </c>
      <c r="C550" t="inlineStr">
        <is>
          <t>Clara Surprenant</t>
        </is>
      </c>
      <c r="D550">
        <f>HYPERLINK("https://ota.tournamentsoftware.com/player-profile/82684D26-C7AE-41C6-893D-5E94585A41D7", "Link")</f>
        <v/>
      </c>
      <c r="E550" s="3" t="n">
        <v>60.705</v>
      </c>
      <c r="F550" s="4" t="n">
        <v>6</v>
      </c>
      <c r="G550" t="inlineStr">
        <is>
          <t>Tennis Québec</t>
        </is>
      </c>
      <c r="H550" t="inlineStr">
        <is>
          <t>SANI Sport</t>
        </is>
      </c>
      <c r="I550" t="n">
        <v>36.6</v>
      </c>
      <c r="J550" s="4" t="n">
        <v>85</v>
      </c>
      <c r="K550" t="inlineStr">
        <is>
          <t>40 / 45</t>
        </is>
      </c>
      <c r="L550" t="inlineStr">
        <is>
          <t>2 / 4</t>
        </is>
      </c>
      <c r="M550" s="5" t="n">
        <v>0.47</v>
      </c>
      <c r="N550" s="5" t="n">
        <v>0.33</v>
      </c>
    </row>
    <row r="551">
      <c r="A551" t="n">
        <v>550</v>
      </c>
      <c r="B551" t="n">
        <v>2014</v>
      </c>
      <c r="C551" t="inlineStr">
        <is>
          <t>Minnie Jinwen Xu</t>
        </is>
      </c>
      <c r="D551">
        <f>HYPERLINK("https://ota.tournamentsoftware.com/player-profile/617AABE9-B600-4656-9194-77743DDDC351", "Link")</f>
        <v/>
      </c>
      <c r="E551" s="3" t="n">
        <v>60.695</v>
      </c>
      <c r="F551" s="4" t="n">
        <v>12</v>
      </c>
      <c r="G551" t="inlineStr">
        <is>
          <t>British Columbia</t>
        </is>
      </c>
      <c r="H551" t="inlineStr">
        <is>
          <t>The Tennis Centre</t>
        </is>
      </c>
      <c r="I551" t="n">
        <v>35.4</v>
      </c>
      <c r="J551" s="4" t="n">
        <v>128</v>
      </c>
      <c r="K551" t="inlineStr">
        <is>
          <t>67 / 61</t>
        </is>
      </c>
      <c r="L551" t="inlineStr">
        <is>
          <t>13 / 12</t>
        </is>
      </c>
      <c r="M551" s="5" t="n">
        <v>0.52</v>
      </c>
      <c r="N551" s="5" t="n">
        <v>0.52</v>
      </c>
    </row>
    <row r="552">
      <c r="A552" t="n">
        <v>551</v>
      </c>
      <c r="B552" t="n">
        <v>2014</v>
      </c>
      <c r="C552" t="inlineStr">
        <is>
          <t>Bo Brisson</t>
        </is>
      </c>
      <c r="D552">
        <f>HYPERLINK("https://ota.tournamentsoftware.com/player-profile/836F9923-C4A5-42E1-8BF0-0788DAB02146", "Link")</f>
        <v/>
      </c>
      <c r="E552" s="3" t="n">
        <v>59.608</v>
      </c>
      <c r="F552" s="4" t="n">
        <v>6</v>
      </c>
      <c r="G552" t="inlineStr">
        <is>
          <t>Ontario Tennis Association</t>
        </is>
      </c>
      <c r="H552" t="inlineStr">
        <is>
          <t>GSM Tennis Club</t>
        </is>
      </c>
      <c r="I552" t="inlineStr">
        <is>
          <t>unavailable</t>
        </is>
      </c>
      <c r="J552" s="4" t="n">
        <v>117</v>
      </c>
      <c r="K552" t="inlineStr">
        <is>
          <t>38 / 79</t>
        </is>
      </c>
      <c r="L552" t="inlineStr">
        <is>
          <t>4 / 3</t>
        </is>
      </c>
      <c r="M552" s="5" t="n">
        <v>0.32</v>
      </c>
      <c r="N552" s="5" t="n">
        <v>0.57</v>
      </c>
    </row>
    <row r="553">
      <c r="A553" t="n">
        <v>552</v>
      </c>
      <c r="B553" t="n">
        <v>2014</v>
      </c>
      <c r="C553" t="inlineStr">
        <is>
          <t>Tara Nastic</t>
        </is>
      </c>
      <c r="D553">
        <f>HYPERLINK("https://ota.tournamentsoftware.com/player-profile/43FF8AFD-A54E-4011-88C7-132B60B568E8", "Link")</f>
        <v/>
      </c>
      <c r="E553" s="3" t="n">
        <v>59.373</v>
      </c>
      <c r="F553" s="4" t="n">
        <v>5</v>
      </c>
      <c r="G553" t="inlineStr">
        <is>
          <t>Ontario Tennis Association</t>
        </is>
      </c>
      <c r="H553" t="inlineStr">
        <is>
          <t>Royal City Tennis Club</t>
        </is>
      </c>
      <c r="I553" t="inlineStr">
        <is>
          <t>unavailable</t>
        </is>
      </c>
      <c r="J553" s="4" t="inlineStr"/>
      <c r="K553" t="inlineStr">
        <is>
          <t>unavailable</t>
        </is>
      </c>
      <c r="L553" t="inlineStr">
        <is>
          <t>unavailable</t>
        </is>
      </c>
      <c r="M553" s="5" t="inlineStr"/>
      <c r="N553" s="5" t="inlineStr"/>
    </row>
    <row r="554">
      <c r="A554" t="n">
        <v>553</v>
      </c>
      <c r="B554" t="n">
        <v>2013</v>
      </c>
      <c r="C554" t="inlineStr">
        <is>
          <t>Noa Anne Broere</t>
        </is>
      </c>
      <c r="D554">
        <f>HYPERLINK("https://ota.tournamentsoftware.com/player-profile/A5724AD9-99FF-4D46-A565-ED1BBCAE83F4", "Link")</f>
        <v/>
      </c>
      <c r="E554" s="3" t="n">
        <v>59.291</v>
      </c>
      <c r="F554" s="4" t="n">
        <v>17</v>
      </c>
      <c r="G554" t="inlineStr">
        <is>
          <t>British Columbia</t>
        </is>
      </c>
      <c r="H554" t="inlineStr">
        <is>
          <t>Vancouver Lawn Tennis and Badminton Club</t>
        </is>
      </c>
      <c r="I554" t="n">
        <v>35</v>
      </c>
      <c r="J554" s="4" t="n">
        <v>75</v>
      </c>
      <c r="K554" t="inlineStr">
        <is>
          <t>30 / 45</t>
        </is>
      </c>
      <c r="L554" t="inlineStr">
        <is>
          <t>9 / 14</t>
        </is>
      </c>
      <c r="M554" s="5" t="n">
        <v>0.4</v>
      </c>
      <c r="N554" s="5" t="n">
        <v>0.39</v>
      </c>
    </row>
    <row r="555">
      <c r="A555" t="n">
        <v>554</v>
      </c>
      <c r="B555" t="n">
        <v>2014</v>
      </c>
      <c r="C555" t="inlineStr">
        <is>
          <t>Victoria Guiral</t>
        </is>
      </c>
      <c r="D555">
        <f>HYPERLINK("https://ota.tournamentsoftware.com/player-profile/1DC3BD6C-A3EA-46CB-A6B3-CB5D3D2F1E7D", "Link")</f>
        <v/>
      </c>
      <c r="E555" s="3" t="n">
        <v>59.121</v>
      </c>
      <c r="F555" s="4" t="n">
        <v>4</v>
      </c>
      <c r="G555" t="inlineStr">
        <is>
          <t>Tennis Québec</t>
        </is>
      </c>
      <c r="H555" t="inlineStr">
        <is>
          <t>Tennis Interclub Piedmont</t>
        </is>
      </c>
      <c r="I555" t="n">
        <v>38.8</v>
      </c>
      <c r="J555" s="4" t="n">
        <v>18</v>
      </c>
      <c r="K555" t="inlineStr">
        <is>
          <t>6 / 12</t>
        </is>
      </c>
      <c r="L555" t="inlineStr">
        <is>
          <t>1 / 5</t>
        </is>
      </c>
      <c r="M555" s="5" t="n">
        <v>0.33</v>
      </c>
      <c r="N555" s="5" t="n">
        <v>0.17</v>
      </c>
    </row>
    <row r="556">
      <c r="A556" t="n">
        <v>555</v>
      </c>
      <c r="B556" t="n">
        <v>2015</v>
      </c>
      <c r="C556" t="inlineStr">
        <is>
          <t>Aria MARTIN</t>
        </is>
      </c>
      <c r="D556">
        <f>HYPERLINK("https://ota.tournamentsoftware.com/player-profile/220708AF-B049-4C3B-83FA-C1AAC60269C5", "Link")</f>
        <v/>
      </c>
      <c r="E556" s="3" t="n">
        <v>58.434</v>
      </c>
      <c r="F556" s="4" t="n">
        <v>16</v>
      </c>
      <c r="G556" t="inlineStr">
        <is>
          <t>British Columbia</t>
        </is>
      </c>
      <c r="H556" t="inlineStr">
        <is>
          <t>Vancouver Lawn Tennis and Badminton Club</t>
        </is>
      </c>
      <c r="I556" t="n">
        <v>35.1</v>
      </c>
      <c r="J556" s="4" t="n">
        <v>133</v>
      </c>
      <c r="K556" t="inlineStr">
        <is>
          <t>53 / 80</t>
        </is>
      </c>
      <c r="L556" t="inlineStr">
        <is>
          <t>24 / 17</t>
        </is>
      </c>
      <c r="M556" s="5" t="n">
        <v>0.4</v>
      </c>
      <c r="N556" s="5" t="n">
        <v>0.59</v>
      </c>
    </row>
    <row r="557">
      <c r="A557" t="n">
        <v>556</v>
      </c>
      <c r="B557" t="n">
        <v>2015</v>
      </c>
      <c r="C557" t="inlineStr">
        <is>
          <t>Ava Gracia Hurley</t>
        </is>
      </c>
      <c r="D557">
        <f>HYPERLINK("https://ota.tournamentsoftware.com/player-profile/DC3D1043-9FBA-467F-8103-AE9D0DEEF066", "Link")</f>
        <v/>
      </c>
      <c r="E557" s="3" t="n">
        <v>58.41</v>
      </c>
      <c r="F557" s="4" t="n">
        <v>10</v>
      </c>
      <c r="G557" t="inlineStr">
        <is>
          <t>Ontario Tennis Association</t>
        </is>
      </c>
      <c r="H557" t="inlineStr">
        <is>
          <t>Manotick Tennis Club</t>
        </is>
      </c>
      <c r="I557" t="inlineStr">
        <is>
          <t>unavailable</t>
        </is>
      </c>
      <c r="J557" s="4" t="n">
        <v>32</v>
      </c>
      <c r="K557" t="inlineStr">
        <is>
          <t>13 / 19</t>
        </is>
      </c>
      <c r="L557" t="inlineStr">
        <is>
          <t>5 / 8</t>
        </is>
      </c>
      <c r="M557" s="5" t="n">
        <v>0.41</v>
      </c>
      <c r="N557" s="5" t="n">
        <v>0.38</v>
      </c>
    </row>
    <row r="558">
      <c r="A558" t="n">
        <v>557</v>
      </c>
      <c r="B558" t="n">
        <v>2014</v>
      </c>
      <c r="C558" t="inlineStr">
        <is>
          <t>Hui-Xin Chen</t>
        </is>
      </c>
      <c r="D558">
        <f>HYPERLINK("https://ota.tournamentsoftware.com/player-profile/755E1358-E624-498A-A129-DA058D259A1E", "Link")</f>
        <v/>
      </c>
      <c r="E558" s="3" t="n">
        <v>58.236</v>
      </c>
      <c r="F558" s="4" t="n">
        <v>10</v>
      </c>
      <c r="G558" t="inlineStr">
        <is>
          <t>British Columbia</t>
        </is>
      </c>
      <c r="H558" t="inlineStr">
        <is>
          <t>No Club</t>
        </is>
      </c>
      <c r="I558" t="inlineStr">
        <is>
          <t>unavailable</t>
        </is>
      </c>
      <c r="J558" s="4" t="n">
        <v>104</v>
      </c>
      <c r="K558" t="inlineStr">
        <is>
          <t>35 / 69</t>
        </is>
      </c>
      <c r="L558" t="inlineStr">
        <is>
          <t>12 / 12</t>
        </is>
      </c>
      <c r="M558" s="5" t="n">
        <v>0.34</v>
      </c>
      <c r="N558" s="5" t="n">
        <v>0.5</v>
      </c>
    </row>
    <row r="559">
      <c r="A559" t="n">
        <v>558</v>
      </c>
      <c r="B559" t="n">
        <v>2015</v>
      </c>
      <c r="C559" t="inlineStr">
        <is>
          <t>Maeva Kaur Dhillon</t>
        </is>
      </c>
      <c r="D559">
        <f>HYPERLINK("https://ota.tournamentsoftware.com/player-profile/1E3A662C-1993-423F-99BB-0CD2F93CC62A", "Link")</f>
        <v/>
      </c>
      <c r="E559" s="3" t="n">
        <v>58.125</v>
      </c>
      <c r="F559" s="4" t="n">
        <v>10</v>
      </c>
      <c r="G559" t="inlineStr">
        <is>
          <t>Tennis Alberta</t>
        </is>
      </c>
      <c r="H559" t="inlineStr">
        <is>
          <t>Saville Community Sports Centre</t>
        </is>
      </c>
      <c r="I559" t="n">
        <v>37.4</v>
      </c>
      <c r="J559" s="4" t="n">
        <v>74</v>
      </c>
      <c r="K559" t="inlineStr">
        <is>
          <t>22 / 52</t>
        </is>
      </c>
      <c r="L559" t="inlineStr">
        <is>
          <t>5 / 9</t>
        </is>
      </c>
      <c r="M559" s="5" t="n">
        <v>0.3</v>
      </c>
      <c r="N559" s="5" t="n">
        <v>0.36</v>
      </c>
    </row>
    <row r="560">
      <c r="A560" t="n">
        <v>559</v>
      </c>
      <c r="B560" t="n">
        <v>2013</v>
      </c>
      <c r="C560" t="inlineStr">
        <is>
          <t>Gabrielle Galgay</t>
        </is>
      </c>
      <c r="D560">
        <f>HYPERLINK("https://ota.tournamentsoftware.com/player-profile/1A26365B-FAA0-4130-8F92-B67D497E82D9", "Link")</f>
        <v/>
      </c>
      <c r="E560" s="3" t="n">
        <v>57.069</v>
      </c>
      <c r="F560" s="4" t="n">
        <v>4</v>
      </c>
      <c r="G560" t="inlineStr">
        <is>
          <t>Ontario Tennis Association</t>
        </is>
      </c>
      <c r="H560" t="inlineStr">
        <is>
          <t>No Club</t>
        </is>
      </c>
      <c r="I560" t="n">
        <v>34.3</v>
      </c>
      <c r="J560" s="4" t="n">
        <v>10</v>
      </c>
      <c r="K560" t="inlineStr">
        <is>
          <t>4 / 6</t>
        </is>
      </c>
      <c r="L560" t="inlineStr">
        <is>
          <t>1 / 3</t>
        </is>
      </c>
      <c r="M560" s="5" t="n">
        <v>0.4</v>
      </c>
      <c r="N560" s="5" t="n">
        <v>0.25</v>
      </c>
    </row>
    <row r="561">
      <c r="A561" t="n">
        <v>560</v>
      </c>
      <c r="B561" t="n">
        <v>2013</v>
      </c>
      <c r="C561" t="inlineStr">
        <is>
          <t>Grace Christina Lawrence</t>
        </is>
      </c>
      <c r="D561">
        <f>HYPERLINK("https://ota.tournamentsoftware.com/player-profile/9FEF2F9B-F202-41CF-8B36-42B1520055E0", "Link")</f>
        <v/>
      </c>
      <c r="E561" s="3" t="n">
        <v>57.027</v>
      </c>
      <c r="F561" s="4" t="n">
        <v>10</v>
      </c>
      <c r="G561" t="inlineStr">
        <is>
          <t>Ontario Tennis Association</t>
        </is>
      </c>
      <c r="H561" t="inlineStr">
        <is>
          <t>Toronto Lawn Tennis Club</t>
        </is>
      </c>
      <c r="I561" t="n">
        <v>35.9</v>
      </c>
      <c r="J561" s="4" t="n">
        <v>107</v>
      </c>
      <c r="K561" t="inlineStr">
        <is>
          <t>48 / 59</t>
        </is>
      </c>
      <c r="L561" t="inlineStr">
        <is>
          <t>4 / 4</t>
        </is>
      </c>
      <c r="M561" s="5" t="n">
        <v>0.45</v>
      </c>
      <c r="N561" s="5" t="n">
        <v>0.5</v>
      </c>
    </row>
    <row r="562">
      <c r="A562" t="n">
        <v>561</v>
      </c>
      <c r="B562" t="n">
        <v>2012</v>
      </c>
      <c r="C562" t="inlineStr">
        <is>
          <t>Chloe Teng</t>
        </is>
      </c>
      <c r="D562">
        <f>HYPERLINK("https://ota.tournamentsoftware.com/player-profile/F5AC5875-4E89-4D3E-BF17-24986F702240", "Link")</f>
        <v/>
      </c>
      <c r="E562" s="3" t="n">
        <v>56.87</v>
      </c>
      <c r="F562" s="4" t="n">
        <v>10</v>
      </c>
      <c r="G562" t="inlineStr">
        <is>
          <t>Ontario Tennis Association</t>
        </is>
      </c>
      <c r="H562" t="inlineStr">
        <is>
          <t>Tennis Clubs of Canada</t>
        </is>
      </c>
      <c r="I562" t="n">
        <v>38</v>
      </c>
      <c r="J562" s="4" t="n">
        <v>38</v>
      </c>
      <c r="K562" t="inlineStr">
        <is>
          <t>10 / 28</t>
        </is>
      </c>
      <c r="L562" t="inlineStr">
        <is>
          <t>7 / 17</t>
        </is>
      </c>
      <c r="M562" s="5" t="n">
        <v>0.26</v>
      </c>
      <c r="N562" s="5" t="n">
        <v>0.29</v>
      </c>
    </row>
    <row r="563">
      <c r="A563" t="n">
        <v>562</v>
      </c>
      <c r="B563" t="n">
        <v>2013</v>
      </c>
      <c r="C563" t="inlineStr">
        <is>
          <t>Quinn Pfaff</t>
        </is>
      </c>
      <c r="D563">
        <f>HYPERLINK("https://ota.tournamentsoftware.com/player-profile/4EE4E18D-7D9C-41F4-B172-783EBB13EF00", "Link")</f>
        <v/>
      </c>
      <c r="E563" s="3" t="n">
        <v>56.091</v>
      </c>
      <c r="F563" s="4" t="n">
        <v>3</v>
      </c>
      <c r="G563" t="inlineStr">
        <is>
          <t>Ontario Tennis Association</t>
        </is>
      </c>
      <c r="H563" t="inlineStr">
        <is>
          <t>Maitland Country Club</t>
        </is>
      </c>
      <c r="I563" t="n">
        <v>37.4</v>
      </c>
      <c r="J563" s="4" t="n">
        <v>3</v>
      </c>
      <c r="K563" t="inlineStr">
        <is>
          <t>0 / 3</t>
        </is>
      </c>
      <c r="L563" t="inlineStr">
        <is>
          <t>0 / 2</t>
        </is>
      </c>
      <c r="M563" s="5" t="n">
        <v>0</v>
      </c>
      <c r="N563" s="5" t="n">
        <v>0</v>
      </c>
    </row>
    <row r="564">
      <c r="A564" t="n">
        <v>563</v>
      </c>
      <c r="B564" t="n">
        <v>2015</v>
      </c>
      <c r="C564" t="inlineStr">
        <is>
          <t>Ella Bloom Chulak</t>
        </is>
      </c>
      <c r="D564">
        <f>HYPERLINK("https://ota.tournamentsoftware.com/player-profile/3DBBE08D-DBAA-43E3-BCD3-2820667C7A24", "Link")</f>
        <v/>
      </c>
      <c r="E564" s="3" t="n">
        <v>55.96</v>
      </c>
      <c r="F564" s="4" t="n">
        <v>10</v>
      </c>
      <c r="G564" t="inlineStr">
        <is>
          <t>Ontario Tennis Association</t>
        </is>
      </c>
      <c r="H564" t="inlineStr">
        <is>
          <t>Richmondhill Golf &amp; Country Club</t>
        </is>
      </c>
      <c r="I564" t="n">
        <v>35.7</v>
      </c>
      <c r="J564" s="4" t="n">
        <v>82</v>
      </c>
      <c r="K564" t="inlineStr">
        <is>
          <t>33 / 49</t>
        </is>
      </c>
      <c r="L564" t="inlineStr">
        <is>
          <t>9 / 7</t>
        </is>
      </c>
      <c r="M564" s="5" t="n">
        <v>0.4</v>
      </c>
      <c r="N564" s="5" t="n">
        <v>0.5600000000000001</v>
      </c>
    </row>
    <row r="565">
      <c r="A565" t="n">
        <v>564</v>
      </c>
      <c r="B565" t="n">
        <v>2015</v>
      </c>
      <c r="C565" t="inlineStr">
        <is>
          <t>Madeleine Penelope Haun</t>
        </is>
      </c>
      <c r="D565">
        <f>HYPERLINK("https://ota.tournamentsoftware.com/player-profile/6F8A0525-0D8F-4263-8F76-0B8CF4B34D42", "Link")</f>
        <v/>
      </c>
      <c r="E565" s="3" t="n">
        <v>55.31</v>
      </c>
      <c r="F565" s="4" t="n">
        <v>10</v>
      </c>
      <c r="G565" t="inlineStr">
        <is>
          <t>Tennis Alberta</t>
        </is>
      </c>
      <c r="H565" t="inlineStr">
        <is>
          <t>Osten &amp; Victor Alberta Tennis Centre</t>
        </is>
      </c>
      <c r="I565" t="n">
        <v>37.3</v>
      </c>
      <c r="J565" s="4" t="n">
        <v>152</v>
      </c>
      <c r="K565" t="inlineStr">
        <is>
          <t>82 / 70</t>
        </is>
      </c>
      <c r="L565" t="inlineStr">
        <is>
          <t>5 / 8</t>
        </is>
      </c>
      <c r="M565" s="5" t="n">
        <v>0.54</v>
      </c>
      <c r="N565" s="5" t="n">
        <v>0.38</v>
      </c>
    </row>
    <row r="566">
      <c r="A566" t="n">
        <v>565</v>
      </c>
      <c r="B566" t="n">
        <v>2012</v>
      </c>
      <c r="C566" t="inlineStr">
        <is>
          <t>Karmi Singh</t>
        </is>
      </c>
      <c r="D566">
        <f>HYPERLINK("https://ota.tournamentsoftware.com/player-profile/B68DC1C1-BC37-443E-AB03-601E1E7E72A2", "Link")</f>
        <v/>
      </c>
      <c r="E566" s="3" t="n">
        <v>54.499</v>
      </c>
      <c r="F566" s="4" t="n">
        <v>4</v>
      </c>
      <c r="G566" t="inlineStr">
        <is>
          <t>Ontario Tennis Association</t>
        </is>
      </c>
      <c r="H566" t="inlineStr">
        <is>
          <t>Ontario Racquet Club</t>
        </is>
      </c>
      <c r="I566" t="inlineStr">
        <is>
          <t>unavailable</t>
        </is>
      </c>
      <c r="J566" s="4" t="n">
        <v>59</v>
      </c>
      <c r="K566" t="inlineStr">
        <is>
          <t>26 / 33</t>
        </is>
      </c>
      <c r="L566" t="inlineStr">
        <is>
          <t>1 / 5</t>
        </is>
      </c>
      <c r="M566" s="5" t="n">
        <v>0.44</v>
      </c>
      <c r="N566" s="5" t="n">
        <v>0.17</v>
      </c>
    </row>
    <row r="567">
      <c r="A567" t="n">
        <v>566</v>
      </c>
      <c r="B567" t="n">
        <v>2012</v>
      </c>
      <c r="C567" t="inlineStr">
        <is>
          <t>ONYEKACHUKWU MAGDALENE OGBATUE</t>
        </is>
      </c>
      <c r="D567">
        <f>HYPERLINK("https://ota.tournamentsoftware.com/player-profile/34FAC6AA-945B-40B3-BDE9-3F8B4198659B", "Link")</f>
        <v/>
      </c>
      <c r="E567" s="3" t="n">
        <v>54.418</v>
      </c>
      <c r="F567" s="4" t="n">
        <v>4</v>
      </c>
      <c r="G567" t="inlineStr">
        <is>
          <t>Ontario Tennis Association</t>
        </is>
      </c>
      <c r="H567" t="inlineStr">
        <is>
          <t>Matchpoint Tennis</t>
        </is>
      </c>
      <c r="I567" t="n">
        <v>35.5</v>
      </c>
      <c r="J567" s="4" t="n">
        <v>13</v>
      </c>
      <c r="K567" t="inlineStr">
        <is>
          <t>8 / 5</t>
        </is>
      </c>
      <c r="L567" t="inlineStr">
        <is>
          <t>8 / 5</t>
        </is>
      </c>
      <c r="M567" s="5" t="n">
        <v>0.62</v>
      </c>
      <c r="N567" s="5" t="n">
        <v>0.62</v>
      </c>
    </row>
    <row r="568">
      <c r="A568" t="n">
        <v>567</v>
      </c>
      <c r="B568" t="n">
        <v>2016</v>
      </c>
      <c r="C568" t="inlineStr">
        <is>
          <t>Vianna Mostashari</t>
        </is>
      </c>
      <c r="D568">
        <f>HYPERLINK("https://ota.tournamentsoftware.com/player-profile/670B74EC-3F81-45DD-8F9B-AEE768B61639", "Link")</f>
        <v/>
      </c>
      <c r="E568" s="3" t="n">
        <v>53.984</v>
      </c>
      <c r="F568" s="4" t="n">
        <v>10</v>
      </c>
      <c r="G568" t="inlineStr">
        <is>
          <t>British Columbia</t>
        </is>
      </c>
      <c r="H568" t="inlineStr">
        <is>
          <t>North Vancouver Tennis Centre</t>
        </is>
      </c>
      <c r="I568" t="n">
        <v>35.9</v>
      </c>
      <c r="J568" s="4" t="n">
        <v>154</v>
      </c>
      <c r="K568" t="inlineStr">
        <is>
          <t>86 / 68</t>
        </is>
      </c>
      <c r="L568" t="inlineStr">
        <is>
          <t>6 / 15</t>
        </is>
      </c>
      <c r="M568" s="5" t="n">
        <v>0.5600000000000001</v>
      </c>
      <c r="N568" s="5" t="n">
        <v>0.29</v>
      </c>
    </row>
    <row r="569">
      <c r="A569" t="n">
        <v>568</v>
      </c>
      <c r="B569" t="n">
        <v>2016</v>
      </c>
      <c r="C569" t="inlineStr">
        <is>
          <t>Saanvi Sharma</t>
        </is>
      </c>
      <c r="D569">
        <f>HYPERLINK("https://ota.tournamentsoftware.com/player-profile/CE1D7CD8-1C3C-4F68-B568-48AC24E75437", "Link")</f>
        <v/>
      </c>
      <c r="E569" s="3" t="n">
        <v>53.28</v>
      </c>
      <c r="F569" s="4" t="n">
        <v>4</v>
      </c>
      <c r="G569" t="inlineStr">
        <is>
          <t>Tennis Québec</t>
        </is>
      </c>
      <c r="H569" t="inlineStr">
        <is>
          <t>Tennis Ile- des- Soeurs</t>
        </is>
      </c>
      <c r="I569" t="n">
        <v>37</v>
      </c>
      <c r="J569" s="4" t="n">
        <v>88</v>
      </c>
      <c r="K569" t="inlineStr">
        <is>
          <t>43 / 45</t>
        </is>
      </c>
      <c r="L569" t="inlineStr">
        <is>
          <t>12 / 8</t>
        </is>
      </c>
      <c r="M569" s="5" t="n">
        <v>0.49</v>
      </c>
      <c r="N569" s="5" t="n">
        <v>0.6</v>
      </c>
    </row>
    <row r="570">
      <c r="A570" t="n">
        <v>569</v>
      </c>
      <c r="B570" t="n">
        <v>2013</v>
      </c>
      <c r="C570" t="inlineStr">
        <is>
          <t>Julia Soldatov</t>
        </is>
      </c>
      <c r="D570">
        <f>HYPERLINK("https://ota.tournamentsoftware.com/player-profile/9CDD8F0E-2B06-4818-8B32-A0ED95A9E6DF", "Link")</f>
        <v/>
      </c>
      <c r="E570" s="3" t="n">
        <v>53.274</v>
      </c>
      <c r="F570" s="4" t="n">
        <v>5</v>
      </c>
      <c r="G570" t="inlineStr">
        <is>
          <t>Ontario Tennis Association</t>
        </is>
      </c>
      <c r="H570" t="inlineStr">
        <is>
          <t>Newmarket Community Tennis Club</t>
        </is>
      </c>
      <c r="I570" t="n">
        <v>39</v>
      </c>
      <c r="J570" s="4" t="n">
        <v>19</v>
      </c>
      <c r="K570" t="inlineStr">
        <is>
          <t>6 / 13</t>
        </is>
      </c>
      <c r="L570" t="inlineStr">
        <is>
          <t>6 / 13</t>
        </is>
      </c>
      <c r="M570" s="5" t="n">
        <v>0.32</v>
      </c>
      <c r="N570" s="5" t="n">
        <v>0.32</v>
      </c>
    </row>
    <row r="571">
      <c r="A571" t="n">
        <v>570</v>
      </c>
      <c r="B571" t="n">
        <v>2012</v>
      </c>
      <c r="C571" t="inlineStr">
        <is>
          <t>Daisy Brown</t>
        </is>
      </c>
      <c r="D571">
        <f>HYPERLINK("https://ota.tournamentsoftware.com/player-profile/9CF1A8A4-6BA5-46C8-92F4-3E802A738811", "Link")</f>
        <v/>
      </c>
      <c r="E571" s="3" t="n">
        <v>52.543</v>
      </c>
      <c r="F571" s="4" t="n">
        <v>5</v>
      </c>
      <c r="G571" t="inlineStr">
        <is>
          <t>British Columbia</t>
        </is>
      </c>
      <c r="H571" t="inlineStr">
        <is>
          <t>Oak Bay Recreation Centre</t>
        </is>
      </c>
      <c r="I571" t="n">
        <v>35.4</v>
      </c>
      <c r="J571" s="4" t="n">
        <v>59</v>
      </c>
      <c r="K571" t="inlineStr">
        <is>
          <t>33 / 26</t>
        </is>
      </c>
      <c r="L571" t="inlineStr">
        <is>
          <t>3 / 4</t>
        </is>
      </c>
      <c r="M571" s="5" t="n">
        <v>0.5600000000000001</v>
      </c>
      <c r="N571" s="5" t="n">
        <v>0.43</v>
      </c>
    </row>
    <row r="572">
      <c r="A572" t="n">
        <v>571</v>
      </c>
      <c r="B572" t="n">
        <v>2014</v>
      </c>
      <c r="C572" t="inlineStr">
        <is>
          <t>Julia Jzmati</t>
        </is>
      </c>
      <c r="D572">
        <f>HYPERLINK("https://ota.tournamentsoftware.com/player-profile/2AADF196-C892-43B1-9128-5338F8D87E95", "Link")</f>
        <v/>
      </c>
      <c r="E572" s="3" t="n">
        <v>52.454</v>
      </c>
      <c r="F572" s="4" t="n">
        <v>11</v>
      </c>
      <c r="G572" t="inlineStr">
        <is>
          <t>Ontario Tennis Association</t>
        </is>
      </c>
      <c r="H572" t="inlineStr">
        <is>
          <t>Rideau Sports Centre</t>
        </is>
      </c>
      <c r="I572" t="n">
        <v>39.5</v>
      </c>
      <c r="J572" s="4" t="n">
        <v>29</v>
      </c>
      <c r="K572" t="inlineStr">
        <is>
          <t>5 / 24</t>
        </is>
      </c>
      <c r="L572" t="inlineStr">
        <is>
          <t>1 / 9</t>
        </is>
      </c>
      <c r="M572" s="5" t="n">
        <v>0.17</v>
      </c>
      <c r="N572" s="5" t="n">
        <v>0.1</v>
      </c>
    </row>
    <row r="573">
      <c r="A573" t="n">
        <v>572</v>
      </c>
      <c r="B573" t="n">
        <v>2015</v>
      </c>
      <c r="C573" t="inlineStr">
        <is>
          <t>Dania Ahmed</t>
        </is>
      </c>
      <c r="D573">
        <f>HYPERLINK("https://ota.tournamentsoftware.com/player-profile/3A4EF5D7-2C40-4E2A-A979-D3231C03A93C", "Link")</f>
        <v/>
      </c>
      <c r="E573" s="3" t="n">
        <v>51.709</v>
      </c>
      <c r="F573" s="4" t="n">
        <v>11</v>
      </c>
      <c r="G573" t="inlineStr">
        <is>
          <t>Ontario Tennis Association</t>
        </is>
      </c>
      <c r="H573" t="inlineStr">
        <is>
          <t>Waterloo Tennis Club</t>
        </is>
      </c>
      <c r="I573" t="n">
        <v>37</v>
      </c>
      <c r="J573" s="4" t="n">
        <v>83</v>
      </c>
      <c r="K573" t="inlineStr">
        <is>
          <t>50 / 33</t>
        </is>
      </c>
      <c r="L573" t="inlineStr">
        <is>
          <t>3 / 8</t>
        </is>
      </c>
      <c r="M573" s="5" t="n">
        <v>0.6</v>
      </c>
      <c r="N573" s="5" t="n">
        <v>0.27</v>
      </c>
    </row>
    <row r="574">
      <c r="A574" t="n">
        <v>573</v>
      </c>
      <c r="B574" t="n">
        <v>2015</v>
      </c>
      <c r="C574" t="inlineStr">
        <is>
          <t>Karina Lee Griffin</t>
        </is>
      </c>
      <c r="D574">
        <f>HYPERLINK("https://ota.tournamentsoftware.com/player-profile/51794C7A-992F-4A4D-9983-0483174644A1", "Link")</f>
        <v/>
      </c>
      <c r="E574" s="3" t="n">
        <v>51.11</v>
      </c>
      <c r="F574" s="4" t="n">
        <v>17</v>
      </c>
      <c r="G574" t="inlineStr">
        <is>
          <t>British Columbia</t>
        </is>
      </c>
      <c r="H574" t="inlineStr">
        <is>
          <t>North Vancouver Tennis Centre</t>
        </is>
      </c>
      <c r="I574" t="n">
        <v>35.6</v>
      </c>
      <c r="J574" s="4" t="n">
        <v>150</v>
      </c>
      <c r="K574" t="inlineStr">
        <is>
          <t>70 / 80</t>
        </is>
      </c>
      <c r="L574" t="inlineStr">
        <is>
          <t>9 / 18</t>
        </is>
      </c>
      <c r="M574" s="5" t="n">
        <v>0.47</v>
      </c>
      <c r="N574" s="5" t="n">
        <v>0.33</v>
      </c>
    </row>
    <row r="575">
      <c r="A575" t="n">
        <v>574</v>
      </c>
      <c r="B575" t="n">
        <v>2014</v>
      </c>
      <c r="C575" t="inlineStr">
        <is>
          <t>Shaghun Dhillon</t>
        </is>
      </c>
      <c r="D575">
        <f>HYPERLINK("https://ota.tournamentsoftware.com/player-profile/97B5DEDE-AA93-468B-902A-462AB9B42432", "Link")</f>
        <v/>
      </c>
      <c r="E575" s="3" t="n">
        <v>50.879</v>
      </c>
      <c r="F575" s="4" t="n">
        <v>9</v>
      </c>
      <c r="G575" t="inlineStr">
        <is>
          <t>Ontario Tennis Association</t>
        </is>
      </c>
      <c r="H575" t="inlineStr">
        <is>
          <t>Premier Racquet Club</t>
        </is>
      </c>
      <c r="I575" t="n">
        <v>36.9</v>
      </c>
      <c r="J575" s="4" t="n">
        <v>51</v>
      </c>
      <c r="K575" t="inlineStr">
        <is>
          <t>29 / 22</t>
        </is>
      </c>
      <c r="L575" t="inlineStr">
        <is>
          <t>23 / 16</t>
        </is>
      </c>
      <c r="M575" s="5" t="n">
        <v>0.57</v>
      </c>
      <c r="N575" s="5" t="n">
        <v>0.59</v>
      </c>
    </row>
    <row r="576">
      <c r="A576" t="n">
        <v>575</v>
      </c>
      <c r="B576" t="n">
        <v>2014</v>
      </c>
      <c r="C576" t="inlineStr">
        <is>
          <t>Ann Ha</t>
        </is>
      </c>
      <c r="D576">
        <f>HYPERLINK("https://ota.tournamentsoftware.com/player-profile/139E73DD-882F-4509-9B0C-BB790DA8399D", "Link")</f>
        <v/>
      </c>
      <c r="E576" s="3" t="n">
        <v>50.846</v>
      </c>
      <c r="F576" s="4" t="n">
        <v>3</v>
      </c>
      <c r="G576" t="inlineStr">
        <is>
          <t>Tennis Saskatchewan</t>
        </is>
      </c>
      <c r="H576" t="inlineStr">
        <is>
          <t>Lakewood Indoor Tennis Centre</t>
        </is>
      </c>
      <c r="I576" t="inlineStr">
        <is>
          <t>unavailable</t>
        </is>
      </c>
      <c r="J576" s="4" t="n">
        <v>9</v>
      </c>
      <c r="K576" t="inlineStr">
        <is>
          <t>1 / 8</t>
        </is>
      </c>
      <c r="L576" t="inlineStr">
        <is>
          <t>1 / 8</t>
        </is>
      </c>
      <c r="M576" s="5" t="n">
        <v>0.11</v>
      </c>
      <c r="N576" s="5" t="n">
        <v>0.11</v>
      </c>
    </row>
    <row r="577">
      <c r="A577" t="n">
        <v>576</v>
      </c>
      <c r="B577" t="n">
        <v>2012</v>
      </c>
      <c r="C577" t="inlineStr">
        <is>
          <t>Elise Chan</t>
        </is>
      </c>
      <c r="D577">
        <f>HYPERLINK("https://ota.tournamentsoftware.com/player-profile/74C14A51-A560-4368-85E6-96F13264726F", "Link")</f>
        <v/>
      </c>
      <c r="E577" s="3" t="n">
        <v>50.266</v>
      </c>
      <c r="F577" s="4" t="n">
        <v>4</v>
      </c>
      <c r="G577" t="inlineStr">
        <is>
          <t>Ontario Tennis Association</t>
        </is>
      </c>
      <c r="H577" t="inlineStr">
        <is>
          <t>Rideau Sports Centre</t>
        </is>
      </c>
      <c r="I577" t="n">
        <v>38.4</v>
      </c>
      <c r="J577" s="4" t="n">
        <v>3</v>
      </c>
      <c r="K577" t="inlineStr">
        <is>
          <t>0 / 3</t>
        </is>
      </c>
      <c r="L577" t="inlineStr">
        <is>
          <t>0 / 3</t>
        </is>
      </c>
      <c r="M577" s="5" t="n">
        <v>0</v>
      </c>
      <c r="N577" s="5" t="n">
        <v>0</v>
      </c>
    </row>
    <row r="578">
      <c r="A578" t="n">
        <v>577</v>
      </c>
      <c r="B578" t="n">
        <v>2014</v>
      </c>
      <c r="C578" t="inlineStr">
        <is>
          <t>Sofia Morisette</t>
        </is>
      </c>
      <c r="D578">
        <f>HYPERLINK("https://ota.tournamentsoftware.com/player-profile/F99611AC-3485-4574-897D-68151916B40D", "Link")</f>
        <v/>
      </c>
      <c r="E578" s="3" t="n">
        <v>50.011</v>
      </c>
      <c r="F578" s="4" t="n">
        <v>4</v>
      </c>
      <c r="G578" t="inlineStr">
        <is>
          <t>British Columbia</t>
        </is>
      </c>
      <c r="H578" t="inlineStr">
        <is>
          <t>Tennis BC Hub @ Richmond</t>
        </is>
      </c>
      <c r="I578" t="n">
        <v>35.8</v>
      </c>
      <c r="J578" s="4" t="n">
        <v>128</v>
      </c>
      <c r="K578" t="inlineStr">
        <is>
          <t>51 / 77</t>
        </is>
      </c>
      <c r="L578" t="inlineStr">
        <is>
          <t>2 / 6</t>
        </is>
      </c>
      <c r="M578" s="5" t="n">
        <v>0.4</v>
      </c>
      <c r="N578" s="5" t="n">
        <v>0.25</v>
      </c>
    </row>
    <row r="579">
      <c r="A579" t="n">
        <v>578</v>
      </c>
      <c r="B579" t="n">
        <v>2014</v>
      </c>
      <c r="C579" t="inlineStr">
        <is>
          <t>Emma Ghantous</t>
        </is>
      </c>
      <c r="D579">
        <f>HYPERLINK("https://ota.tournamentsoftware.com/player-profile/0EA6BF71-F3BF-4EA7-95F6-B80CD551F4FB", "Link")</f>
        <v/>
      </c>
      <c r="E579" s="3" t="n">
        <v>49.68</v>
      </c>
      <c r="F579" s="4" t="n">
        <v>2</v>
      </c>
      <c r="G579" t="inlineStr">
        <is>
          <t>Tennis Québec</t>
        </is>
      </c>
      <c r="H579" t="inlineStr">
        <is>
          <t>Tennis 13</t>
        </is>
      </c>
      <c r="I579" t="n">
        <v>33.4</v>
      </c>
      <c r="J579" s="4" t="n">
        <v>126</v>
      </c>
      <c r="K579" t="inlineStr">
        <is>
          <t>77 / 49</t>
        </is>
      </c>
      <c r="L579" t="inlineStr">
        <is>
          <t>0 / 0</t>
        </is>
      </c>
      <c r="M579" s="5" t="n">
        <v>0.61</v>
      </c>
      <c r="N579" s="5" t="n">
        <v>0</v>
      </c>
    </row>
    <row r="580">
      <c r="A580" t="n">
        <v>579</v>
      </c>
      <c r="B580" t="n">
        <v>2013</v>
      </c>
      <c r="C580" t="inlineStr">
        <is>
          <t>Noa Margaux Dery</t>
        </is>
      </c>
      <c r="D580">
        <f>HYPERLINK("https://ota.tournamentsoftware.com/player-profile/2BE09915-8A78-4187-839F-E3A10E233213", "Link")</f>
        <v/>
      </c>
      <c r="E580" s="3" t="n">
        <v>49.366</v>
      </c>
      <c r="F580" s="4" t="n">
        <v>7</v>
      </c>
      <c r="G580" t="inlineStr">
        <is>
          <t>Tennis Québec</t>
        </is>
      </c>
      <c r="H580" t="inlineStr">
        <is>
          <t>Club Sportif Côte-de-Liesse</t>
        </is>
      </c>
      <c r="I580" t="n">
        <v>36.2</v>
      </c>
      <c r="J580" s="4" t="n">
        <v>33</v>
      </c>
      <c r="K580" t="inlineStr">
        <is>
          <t>11 / 22</t>
        </is>
      </c>
      <c r="L580" t="inlineStr">
        <is>
          <t>4 / 3</t>
        </is>
      </c>
      <c r="M580" s="5" t="n">
        <v>0.33</v>
      </c>
      <c r="N580" s="5" t="n">
        <v>0.57</v>
      </c>
    </row>
    <row r="581">
      <c r="A581" t="n">
        <v>580</v>
      </c>
      <c r="B581" t="n">
        <v>2015</v>
      </c>
      <c r="C581" t="inlineStr">
        <is>
          <t>Sofia Kiselenko</t>
        </is>
      </c>
      <c r="D581">
        <f>HYPERLINK("https://ota.tournamentsoftware.com/player-profile/8164E8EB-17A8-4270-A12B-31EFF18C9343", "Link")</f>
        <v/>
      </c>
      <c r="E581" s="3" t="n">
        <v>49.342</v>
      </c>
      <c r="F581" s="4" t="n">
        <v>15</v>
      </c>
      <c r="G581" t="inlineStr">
        <is>
          <t>Tennis Alberta</t>
        </is>
      </c>
      <c r="H581" t="inlineStr">
        <is>
          <t>Osten &amp; Victor Alberta Tennis Centre</t>
        </is>
      </c>
      <c r="I581" t="n">
        <v>37.3</v>
      </c>
      <c r="J581" s="4" t="n">
        <v>130</v>
      </c>
      <c r="K581" t="inlineStr">
        <is>
          <t>42 / 88</t>
        </is>
      </c>
      <c r="L581" t="inlineStr">
        <is>
          <t>10 / 14</t>
        </is>
      </c>
      <c r="M581" s="5" t="n">
        <v>0.32</v>
      </c>
      <c r="N581" s="5" t="n">
        <v>0.42</v>
      </c>
    </row>
    <row r="582">
      <c r="A582" t="n">
        <v>581</v>
      </c>
      <c r="B582" t="n">
        <v>2017</v>
      </c>
      <c r="C582" t="inlineStr">
        <is>
          <t>Vivian Spurrell</t>
        </is>
      </c>
      <c r="D582">
        <f>HYPERLINK("https://ota.tournamentsoftware.com/player-profile/9CFE670B-9D8C-4BC2-8DDB-1C78F17AE1FF", "Link")</f>
        <v/>
      </c>
      <c r="E582" s="3" t="n">
        <v>49.126</v>
      </c>
      <c r="F582" s="4" t="n">
        <v>3</v>
      </c>
      <c r="G582" t="inlineStr">
        <is>
          <t>Tennis Newfoundland &amp; Labrador</t>
        </is>
      </c>
      <c r="H582" t="inlineStr">
        <is>
          <t>Greenbelt Tennis Club</t>
        </is>
      </c>
      <c r="I582" t="inlineStr">
        <is>
          <t>unavailable</t>
        </is>
      </c>
      <c r="J582" s="4" t="n">
        <v>20</v>
      </c>
      <c r="K582" t="inlineStr">
        <is>
          <t>15 / 5</t>
        </is>
      </c>
      <c r="L582" t="inlineStr">
        <is>
          <t>11 / 3</t>
        </is>
      </c>
      <c r="M582" s="5" t="n">
        <v>0.75</v>
      </c>
      <c r="N582" s="5" t="n">
        <v>0.79</v>
      </c>
    </row>
    <row r="583">
      <c r="A583" t="n">
        <v>582</v>
      </c>
      <c r="B583" t="n">
        <v>2014</v>
      </c>
      <c r="C583" t="inlineStr">
        <is>
          <t>Mathilde Langis</t>
        </is>
      </c>
      <c r="D583">
        <f>HYPERLINK("https://ota.tournamentsoftware.com/player-profile/39929D79-FF7E-4461-9561-38C5D88AE666", "Link")</f>
        <v/>
      </c>
      <c r="E583" s="3" t="n">
        <v>48.716</v>
      </c>
      <c r="F583" s="4" t="n">
        <v>5</v>
      </c>
      <c r="G583" t="inlineStr">
        <is>
          <t>Tennis Québec</t>
        </is>
      </c>
      <c r="H583" t="inlineStr">
        <is>
          <t>Académie de tennis UNI(T)</t>
        </is>
      </c>
      <c r="I583" t="n">
        <v>36.2</v>
      </c>
      <c r="J583" s="4" t="n">
        <v>72</v>
      </c>
      <c r="K583" t="inlineStr">
        <is>
          <t>31 / 41</t>
        </is>
      </c>
      <c r="L583" t="inlineStr">
        <is>
          <t>1 / 2</t>
        </is>
      </c>
      <c r="M583" s="5" t="n">
        <v>0.43</v>
      </c>
      <c r="N583" s="5" t="n">
        <v>0.33</v>
      </c>
    </row>
    <row r="584">
      <c r="A584" t="n">
        <v>583</v>
      </c>
      <c r="B584" t="n">
        <v>2015</v>
      </c>
      <c r="C584" t="inlineStr">
        <is>
          <t>Aubrey Baldinelli</t>
        </is>
      </c>
      <c r="D584">
        <f>HYPERLINK("https://ota.tournamentsoftware.com/player-profile/4C52D449-95CA-49A9-B524-B01117EAD86C", "Link")</f>
        <v/>
      </c>
      <c r="E584" s="3" t="n">
        <v>48.55</v>
      </c>
      <c r="F584" s="4" t="n">
        <v>10</v>
      </c>
      <c r="G584" t="inlineStr">
        <is>
          <t>Ontario Tennis Association</t>
        </is>
      </c>
      <c r="H584" t="inlineStr">
        <is>
          <t>Youngs Sportsplex</t>
        </is>
      </c>
      <c r="I584" t="n">
        <v>37.3</v>
      </c>
      <c r="J584" s="4" t="n">
        <v>43</v>
      </c>
      <c r="K584" t="inlineStr">
        <is>
          <t>22 / 21</t>
        </is>
      </c>
      <c r="L584" t="inlineStr">
        <is>
          <t>5 / 13</t>
        </is>
      </c>
      <c r="M584" s="5" t="n">
        <v>0.51</v>
      </c>
      <c r="N584" s="5" t="n">
        <v>0.28</v>
      </c>
    </row>
    <row r="585">
      <c r="A585" t="n">
        <v>584</v>
      </c>
      <c r="B585" t="n">
        <v>2015</v>
      </c>
      <c r="C585" t="inlineStr">
        <is>
          <t>Miadel Flores</t>
        </is>
      </c>
      <c r="D585">
        <f>HYPERLINK("https://ota.tournamentsoftware.com/player-profile/19F5DCB9-D4C1-477E-9443-DA276E9A30BC", "Link")</f>
        <v/>
      </c>
      <c r="E585" s="3" t="n">
        <v>48.438</v>
      </c>
      <c r="F585" s="4" t="n">
        <v>4</v>
      </c>
      <c r="G585" t="inlineStr">
        <is>
          <t>Tennis Québec</t>
        </is>
      </c>
      <c r="H585" t="inlineStr">
        <is>
          <t>No Club</t>
        </is>
      </c>
      <c r="I585" t="n">
        <v>40</v>
      </c>
      <c r="J585" s="4" t="n">
        <v>5</v>
      </c>
      <c r="K585" t="inlineStr">
        <is>
          <t>1 / 4</t>
        </is>
      </c>
      <c r="L585" t="inlineStr">
        <is>
          <t>1 / 4</t>
        </is>
      </c>
      <c r="M585" s="5" t="n">
        <v>0.2</v>
      </c>
      <c r="N585" s="5" t="n">
        <v>0.2</v>
      </c>
    </row>
    <row r="586">
      <c r="A586" t="n">
        <v>585</v>
      </c>
      <c r="B586" t="n">
        <v>2014</v>
      </c>
      <c r="C586" t="inlineStr">
        <is>
          <t>Tess Marie Trenholm</t>
        </is>
      </c>
      <c r="D586">
        <f>HYPERLINK("https://ota.tournamentsoftware.com/player-profile/37DD9223-BE00-45F7-9DE9-3EA92F74CD7B", "Link")</f>
        <v/>
      </c>
      <c r="E586" s="3" t="n">
        <v>48.421</v>
      </c>
      <c r="F586" s="4" t="n">
        <v>16</v>
      </c>
      <c r="G586" t="inlineStr">
        <is>
          <t>Ontario Tennis Association</t>
        </is>
      </c>
      <c r="H586" t="inlineStr">
        <is>
          <t>Ontario Racquet Club</t>
        </is>
      </c>
      <c r="I586" t="n">
        <v>38.7</v>
      </c>
      <c r="J586" s="4" t="n">
        <v>92</v>
      </c>
      <c r="K586" t="inlineStr">
        <is>
          <t>25 / 67</t>
        </is>
      </c>
      <c r="L586" t="inlineStr">
        <is>
          <t>6 / 12</t>
        </is>
      </c>
      <c r="M586" s="5" t="n">
        <v>0.27</v>
      </c>
      <c r="N586" s="5" t="n">
        <v>0.33</v>
      </c>
    </row>
    <row r="587">
      <c r="A587" t="n">
        <v>586</v>
      </c>
      <c r="B587" t="n">
        <v>2012</v>
      </c>
      <c r="C587" t="inlineStr">
        <is>
          <t>Allison Wu</t>
        </is>
      </c>
      <c r="D587">
        <f>HYPERLINK("https://ota.tournamentsoftware.com/player-profile/5B6A5CCB-4E85-427C-99E0-E2078ED2493C", "Link")</f>
        <v/>
      </c>
      <c r="E587" s="3" t="n">
        <v>48.368</v>
      </c>
      <c r="F587" s="4" t="n">
        <v>5</v>
      </c>
      <c r="G587" t="inlineStr">
        <is>
          <t>British Columbia</t>
        </is>
      </c>
      <c r="H587" t="inlineStr">
        <is>
          <t>Coquitlam Tennis Club</t>
        </is>
      </c>
      <c r="I587" t="n">
        <v>39.4</v>
      </c>
      <c r="J587" s="4" t="n">
        <v>54</v>
      </c>
      <c r="K587" t="inlineStr">
        <is>
          <t>9 / 45</t>
        </is>
      </c>
      <c r="L587" t="inlineStr">
        <is>
          <t>0 / 4</t>
        </is>
      </c>
      <c r="M587" s="5" t="n">
        <v>0.17</v>
      </c>
      <c r="N587" s="5" t="n">
        <v>0</v>
      </c>
    </row>
    <row r="588">
      <c r="A588" t="n">
        <v>587</v>
      </c>
      <c r="B588" t="n">
        <v>2013</v>
      </c>
      <c r="C588" t="inlineStr">
        <is>
          <t>Gloria Yang</t>
        </is>
      </c>
      <c r="D588">
        <f>HYPERLINK("https://ota.tournamentsoftware.com/player-profile/93D03535-4A4B-4898-A531-8F0DB9BA8BD8", "Link")</f>
        <v/>
      </c>
      <c r="E588" s="3" t="n">
        <v>48.153</v>
      </c>
      <c r="F588" s="4" t="n">
        <v>2</v>
      </c>
      <c r="G588" t="inlineStr">
        <is>
          <t>Tennis Prince Edward Island</t>
        </is>
      </c>
      <c r="H588" t="inlineStr">
        <is>
          <t>Royalty Racquet Centre</t>
        </is>
      </c>
      <c r="I588" t="inlineStr">
        <is>
          <t>unavailable</t>
        </is>
      </c>
      <c r="J588" s="4" t="n">
        <v>19</v>
      </c>
      <c r="K588" t="inlineStr">
        <is>
          <t>7 / 12</t>
        </is>
      </c>
      <c r="L588" t="inlineStr">
        <is>
          <t>3 / 8</t>
        </is>
      </c>
      <c r="M588" s="5" t="n">
        <v>0.37</v>
      </c>
      <c r="N588" s="5" t="n">
        <v>0.27</v>
      </c>
    </row>
    <row r="589">
      <c r="A589" t="n">
        <v>588</v>
      </c>
      <c r="B589" t="n">
        <v>2015</v>
      </c>
      <c r="C589" t="inlineStr">
        <is>
          <t>Scarlett Chan</t>
        </is>
      </c>
      <c r="D589">
        <f>HYPERLINK("https://ota.tournamentsoftware.com/player-profile/FC173056-E1A0-4194-9722-D15B8524262F", "Link")</f>
        <v/>
      </c>
      <c r="E589" s="3" t="n">
        <v>48.124</v>
      </c>
      <c r="F589" s="4" t="n">
        <v>5</v>
      </c>
      <c r="G589" t="inlineStr">
        <is>
          <t>Ontario Tennis Association</t>
        </is>
      </c>
      <c r="H589" t="inlineStr">
        <is>
          <t>Mayfair East Racquet Club</t>
        </is>
      </c>
      <c r="I589" t="n">
        <v>37.2</v>
      </c>
      <c r="J589" s="4" t="n">
        <v>81</v>
      </c>
      <c r="K589" t="inlineStr">
        <is>
          <t>48 / 33</t>
        </is>
      </c>
      <c r="L589" t="inlineStr">
        <is>
          <t>4 / 7</t>
        </is>
      </c>
      <c r="M589" s="5" t="n">
        <v>0.59</v>
      </c>
      <c r="N589" s="5" t="n">
        <v>0.36</v>
      </c>
    </row>
    <row r="590">
      <c r="A590" t="n">
        <v>589</v>
      </c>
      <c r="B590" t="n">
        <v>2016</v>
      </c>
      <c r="C590" t="inlineStr">
        <is>
          <t>Xirui Ding</t>
        </is>
      </c>
      <c r="D590">
        <f>HYPERLINK("https://ota.tournamentsoftware.com/player-profile/6DC46DF7-2964-4ED2-9C01-D39C773C942F", "Link")</f>
        <v/>
      </c>
      <c r="E590" s="3" t="n">
        <v>47.605</v>
      </c>
      <c r="F590" s="4" t="n">
        <v>6</v>
      </c>
      <c r="G590" t="inlineStr">
        <is>
          <t>Ontario Tennis Association</t>
        </is>
      </c>
      <c r="H590" t="inlineStr">
        <is>
          <t>Valan Tennis Academy</t>
        </is>
      </c>
      <c r="I590" t="n">
        <v>38.3</v>
      </c>
      <c r="J590" s="4" t="n">
        <v>93</v>
      </c>
      <c r="K590" t="inlineStr">
        <is>
          <t>57 / 36</t>
        </is>
      </c>
      <c r="L590" t="inlineStr">
        <is>
          <t>52 / 27</t>
        </is>
      </c>
      <c r="M590" s="5" t="n">
        <v>0.61</v>
      </c>
      <c r="N590" s="5" t="n">
        <v>0.66</v>
      </c>
    </row>
    <row r="591">
      <c r="A591" t="n">
        <v>590</v>
      </c>
      <c r="B591" t="n">
        <v>2012</v>
      </c>
      <c r="C591" t="inlineStr">
        <is>
          <t>Nora Skogen</t>
        </is>
      </c>
      <c r="D591">
        <f>HYPERLINK("https://ota.tournamentsoftware.com/player-profile/84E488EE-ABCE-4936-AC77-DCF33DA7BE52", "Link")</f>
        <v/>
      </c>
      <c r="E591" s="3" t="n">
        <v>47.579</v>
      </c>
      <c r="F591" s="4" t="n">
        <v>2</v>
      </c>
      <c r="G591" t="inlineStr">
        <is>
          <t>British Columbia</t>
        </is>
      </c>
      <c r="H591" t="inlineStr">
        <is>
          <t>Hollyburn Country Club</t>
        </is>
      </c>
      <c r="I591" t="n">
        <v>32.3</v>
      </c>
      <c r="J591" s="4" t="n">
        <v>164</v>
      </c>
      <c r="K591" t="inlineStr">
        <is>
          <t>79 / 85</t>
        </is>
      </c>
      <c r="L591" t="inlineStr">
        <is>
          <t>1 / 1</t>
        </is>
      </c>
      <c r="M591" s="5" t="n">
        <v>0.48</v>
      </c>
      <c r="N591" s="5" t="n">
        <v>0.5</v>
      </c>
    </row>
    <row r="592">
      <c r="A592" t="n">
        <v>591</v>
      </c>
      <c r="B592" t="n">
        <v>2014</v>
      </c>
      <c r="C592" t="inlineStr">
        <is>
          <t>Charlotte Adeline Ratchford</t>
        </is>
      </c>
      <c r="D592">
        <f>HYPERLINK("https://ota.tournamentsoftware.com/player-profile/552DF1FC-65F6-48FE-8B31-884C1DC273DB", "Link")</f>
        <v/>
      </c>
      <c r="E592" s="3" t="n">
        <v>45.516</v>
      </c>
      <c r="F592" s="4" t="n">
        <v>15</v>
      </c>
      <c r="G592" t="inlineStr">
        <is>
          <t>British Columbia</t>
        </is>
      </c>
      <c r="H592" t="inlineStr">
        <is>
          <t>Jericho Tennis Club</t>
        </is>
      </c>
      <c r="I592" t="n">
        <v>37.1</v>
      </c>
      <c r="J592" s="4" t="n">
        <v>41</v>
      </c>
      <c r="K592" t="inlineStr">
        <is>
          <t>13 / 28</t>
        </is>
      </c>
      <c r="L592" t="inlineStr">
        <is>
          <t>11 / 23</t>
        </is>
      </c>
      <c r="M592" s="5" t="n">
        <v>0.32</v>
      </c>
      <c r="N592" s="5" t="n">
        <v>0.32</v>
      </c>
    </row>
    <row r="593">
      <c r="A593" t="n">
        <v>592</v>
      </c>
      <c r="B593" t="n">
        <v>2015</v>
      </c>
      <c r="C593" t="inlineStr">
        <is>
          <t>Kinsley Jade Lin</t>
        </is>
      </c>
      <c r="D593">
        <f>HYPERLINK("https://ota.tournamentsoftware.com/player-profile/1FF4FA2D-412B-4E4A-AE72-948C7BC68D73", "Link")</f>
        <v/>
      </c>
      <c r="E593" s="3" t="n">
        <v>44.956</v>
      </c>
      <c r="F593" s="4" t="n">
        <v>9</v>
      </c>
      <c r="G593" t="inlineStr">
        <is>
          <t>Ontario Tennis Association</t>
        </is>
      </c>
      <c r="H593" t="inlineStr">
        <is>
          <t>The Tennis School</t>
        </is>
      </c>
      <c r="I593" t="n">
        <v>37</v>
      </c>
      <c r="J593" s="4" t="n">
        <v>90</v>
      </c>
      <c r="K593" t="inlineStr">
        <is>
          <t>40 / 50</t>
        </is>
      </c>
      <c r="L593" t="inlineStr">
        <is>
          <t>5 / 7</t>
        </is>
      </c>
      <c r="M593" s="5" t="n">
        <v>0.44</v>
      </c>
      <c r="N593" s="5" t="n">
        <v>0.42</v>
      </c>
    </row>
    <row r="594">
      <c r="A594" t="n">
        <v>593</v>
      </c>
      <c r="B594" t="n">
        <v>2015</v>
      </c>
      <c r="C594" t="inlineStr">
        <is>
          <t>LILLIAN LI</t>
        </is>
      </c>
      <c r="D594">
        <f>HYPERLINK("https://ota.tournamentsoftware.com/player-profile/6381808D-332A-4694-9A60-DD4214A2A2F0", "Link")</f>
        <v/>
      </c>
      <c r="E594" s="3" t="n">
        <v>44.713</v>
      </c>
      <c r="F594" s="4" t="n">
        <v>8</v>
      </c>
      <c r="G594" t="inlineStr">
        <is>
          <t>Ontario Tennis Association</t>
        </is>
      </c>
      <c r="H594" t="inlineStr">
        <is>
          <t>Rideau Sports Centre</t>
        </is>
      </c>
      <c r="I594" t="n">
        <v>39.7</v>
      </c>
      <c r="J594" s="4" t="n">
        <v>19</v>
      </c>
      <c r="K594" t="inlineStr">
        <is>
          <t>4 / 15</t>
        </is>
      </c>
      <c r="L594" t="inlineStr">
        <is>
          <t>0 / 8</t>
        </is>
      </c>
      <c r="M594" s="5" t="n">
        <v>0.21</v>
      </c>
      <c r="N594" s="5" t="n">
        <v>0</v>
      </c>
    </row>
    <row r="595">
      <c r="A595" t="n">
        <v>594</v>
      </c>
      <c r="B595" t="n">
        <v>2015</v>
      </c>
      <c r="C595" t="inlineStr">
        <is>
          <t>Alexia Lionis</t>
        </is>
      </c>
      <c r="D595">
        <f>HYPERLINK("https://ota.tournamentsoftware.com/player-profile/C2079715-4A8A-4F16-A5F2-10633FCB08AA", "Link")</f>
        <v/>
      </c>
      <c r="E595" s="3" t="n">
        <v>44.665</v>
      </c>
      <c r="F595" s="4" t="n">
        <v>5</v>
      </c>
      <c r="G595" t="inlineStr">
        <is>
          <t>Ontario Tennis Association</t>
        </is>
      </c>
      <c r="H595" t="inlineStr">
        <is>
          <t>Ontario Racquet Club</t>
        </is>
      </c>
      <c r="I595" t="inlineStr">
        <is>
          <t>unavailable</t>
        </is>
      </c>
      <c r="J595" s="4" t="n">
        <v>76</v>
      </c>
      <c r="K595" t="inlineStr">
        <is>
          <t>34 / 42</t>
        </is>
      </c>
      <c r="L595" t="inlineStr">
        <is>
          <t>5 / 8</t>
        </is>
      </c>
      <c r="M595" s="5" t="n">
        <v>0.45</v>
      </c>
      <c r="N595" s="5" t="n">
        <v>0.38</v>
      </c>
    </row>
    <row r="596">
      <c r="A596" t="n">
        <v>595</v>
      </c>
      <c r="B596" t="n">
        <v>2016</v>
      </c>
      <c r="C596" t="inlineStr">
        <is>
          <t>Ziqi Yu</t>
        </is>
      </c>
      <c r="D596">
        <f>HYPERLINK("https://ota.tournamentsoftware.com/player-profile/89FEB2A7-669B-4D40-A67D-54016F42DA82", "Link")</f>
        <v/>
      </c>
      <c r="E596" s="3" t="n">
        <v>44.539</v>
      </c>
      <c r="F596" s="4" t="n">
        <v>13</v>
      </c>
      <c r="G596" t="inlineStr">
        <is>
          <t>Ontario Tennis Association</t>
        </is>
      </c>
      <c r="H596" t="inlineStr">
        <is>
          <t>Blackmore Tennis Club</t>
        </is>
      </c>
      <c r="I596" t="n">
        <v>35</v>
      </c>
      <c r="J596" s="4" t="n">
        <v>93</v>
      </c>
      <c r="K596" t="inlineStr">
        <is>
          <t>60 / 33</t>
        </is>
      </c>
      <c r="L596" t="inlineStr">
        <is>
          <t>24 / 14</t>
        </is>
      </c>
      <c r="M596" s="5" t="n">
        <v>0.65</v>
      </c>
      <c r="N596" s="5" t="n">
        <v>0.63</v>
      </c>
    </row>
    <row r="597">
      <c r="A597" t="n">
        <v>596</v>
      </c>
      <c r="B597" t="n">
        <v>2014</v>
      </c>
      <c r="C597" t="inlineStr">
        <is>
          <t>Victoria Kycia Block</t>
        </is>
      </c>
      <c r="D597">
        <f>HYPERLINK("https://ota.tournamentsoftware.com/player-profile/1F978CA6-97AC-4A84-BBEB-B431DDD9A28B", "Link")</f>
        <v/>
      </c>
      <c r="E597" s="3" t="n">
        <v>43.73</v>
      </c>
      <c r="F597" s="4" t="n">
        <v>11</v>
      </c>
      <c r="G597" t="inlineStr">
        <is>
          <t>Tennis Alberta</t>
        </is>
      </c>
      <c r="H597" t="inlineStr">
        <is>
          <t>Saville Community Sports Centre</t>
        </is>
      </c>
      <c r="I597" t="n">
        <v>35.3</v>
      </c>
      <c r="J597" s="4" t="n">
        <v>45</v>
      </c>
      <c r="K597" t="inlineStr">
        <is>
          <t>13 / 32</t>
        </is>
      </c>
      <c r="L597" t="inlineStr">
        <is>
          <t>6 / 9</t>
        </is>
      </c>
      <c r="M597" s="5" t="n">
        <v>0.29</v>
      </c>
      <c r="N597" s="5" t="n">
        <v>0.4</v>
      </c>
    </row>
    <row r="598">
      <c r="A598" t="n">
        <v>597</v>
      </c>
      <c r="B598" t="n">
        <v>2017</v>
      </c>
      <c r="C598" t="inlineStr">
        <is>
          <t>Arianna Fernanda Chacon</t>
        </is>
      </c>
      <c r="D598">
        <f>HYPERLINK("https://ota.tournamentsoftware.com/player-profile/3B36D99D-C9E7-48A2-BC06-6AD3725AC12E", "Link")</f>
        <v/>
      </c>
      <c r="E598" s="3" t="n">
        <v>43.336</v>
      </c>
      <c r="F598" s="4" t="n">
        <v>13</v>
      </c>
      <c r="G598" t="inlineStr">
        <is>
          <t>Tennis Alberta</t>
        </is>
      </c>
      <c r="H598" t="inlineStr">
        <is>
          <t>Aforza</t>
        </is>
      </c>
      <c r="I598" t="n">
        <v>34.5</v>
      </c>
      <c r="J598" s="4" t="n">
        <v>195</v>
      </c>
      <c r="K598" t="inlineStr">
        <is>
          <t>102 / 93</t>
        </is>
      </c>
      <c r="L598" t="inlineStr">
        <is>
          <t>29 / 17</t>
        </is>
      </c>
      <c r="M598" s="5" t="n">
        <v>0.52</v>
      </c>
      <c r="N598" s="5" t="n">
        <v>0.63</v>
      </c>
    </row>
    <row r="599">
      <c r="A599" t="n">
        <v>598</v>
      </c>
      <c r="B599" t="n">
        <v>2013</v>
      </c>
      <c r="C599" t="inlineStr">
        <is>
          <t>Emma Isabella Lamacchia</t>
        </is>
      </c>
      <c r="D599">
        <f>HYPERLINK("https://ota.tournamentsoftware.com/player-profile/13408327-82EC-4D4E-B3D1-9FA084C53782", "Link")</f>
        <v/>
      </c>
      <c r="E599" s="3" t="n">
        <v>43.33</v>
      </c>
      <c r="F599" s="4" t="n">
        <v>3</v>
      </c>
      <c r="G599" t="inlineStr">
        <is>
          <t>Ontario Tennis Association</t>
        </is>
      </c>
      <c r="H599" t="inlineStr">
        <is>
          <t>Advantage Tennis International at Veneto</t>
        </is>
      </c>
      <c r="I599" t="n">
        <v>39.9</v>
      </c>
      <c r="J599" s="4" t="n">
        <v>19</v>
      </c>
      <c r="K599" t="inlineStr">
        <is>
          <t>2 / 17</t>
        </is>
      </c>
      <c r="L599" t="inlineStr">
        <is>
          <t>2 / 17</t>
        </is>
      </c>
      <c r="M599" s="5" t="n">
        <v>0.11</v>
      </c>
      <c r="N599" s="5" t="n">
        <v>0.11</v>
      </c>
    </row>
    <row r="600">
      <c r="A600" t="n">
        <v>599</v>
      </c>
      <c r="B600" t="n">
        <v>2012</v>
      </c>
      <c r="C600" t="inlineStr">
        <is>
          <t>Valeria Taborda - Valverde</t>
        </is>
      </c>
      <c r="D600">
        <f>HYPERLINK("https://ota.tournamentsoftware.com/player-profile/E0201B38-AEE1-4BAC-B0FB-FA389A1FFEA8", "Link")</f>
        <v/>
      </c>
      <c r="E600" s="3" t="n">
        <v>43.272</v>
      </c>
      <c r="F600" s="4" t="n">
        <v>2</v>
      </c>
      <c r="G600" t="inlineStr">
        <is>
          <t>Ontario Tennis Association</t>
        </is>
      </c>
      <c r="H600" t="inlineStr">
        <is>
          <t>Port Hope Racquet Club</t>
        </is>
      </c>
      <c r="I600" t="inlineStr">
        <is>
          <t>unavailable</t>
        </is>
      </c>
      <c r="J600" s="4" t="n">
        <v>35</v>
      </c>
      <c r="K600" t="inlineStr">
        <is>
          <t>13 / 22</t>
        </is>
      </c>
      <c r="L600" t="inlineStr">
        <is>
          <t>1 / 1</t>
        </is>
      </c>
      <c r="M600" s="5" t="n">
        <v>0.37</v>
      </c>
      <c r="N600" s="5" t="n">
        <v>0.5</v>
      </c>
    </row>
    <row r="601">
      <c r="A601" t="n">
        <v>600</v>
      </c>
      <c r="B601" t="n">
        <v>2012</v>
      </c>
      <c r="C601" t="inlineStr">
        <is>
          <t>Aurélie Houde</t>
        </is>
      </c>
      <c r="D601">
        <f>HYPERLINK("https://ota.tournamentsoftware.com/player-profile/F697AB49-11E9-42EF-B0E6-5DF0E77AF99C", "Link")</f>
        <v/>
      </c>
      <c r="E601" s="3" t="n">
        <v>43.226</v>
      </c>
      <c r="F601" s="4" t="n">
        <v>5</v>
      </c>
      <c r="G601" t="inlineStr">
        <is>
          <t>Tennis Québec</t>
        </is>
      </c>
      <c r="H601" t="inlineStr">
        <is>
          <t>Association de tennis de Drummondville</t>
        </is>
      </c>
      <c r="I601" t="n">
        <v>39.7</v>
      </c>
      <c r="J601" s="4" t="n">
        <v>22</v>
      </c>
      <c r="K601" t="inlineStr">
        <is>
          <t>1 / 21</t>
        </is>
      </c>
      <c r="L601" t="inlineStr">
        <is>
          <t>0 / 3</t>
        </is>
      </c>
      <c r="M601" s="5" t="n">
        <v>0.05</v>
      </c>
      <c r="N601" s="5" t="n">
        <v>0</v>
      </c>
    </row>
    <row r="602">
      <c r="A602" t="n">
        <v>601</v>
      </c>
      <c r="B602" t="n">
        <v>2014</v>
      </c>
      <c r="C602" t="inlineStr">
        <is>
          <t>Ann-Mayelle Veillard</t>
        </is>
      </c>
      <c r="D602">
        <f>HYPERLINK("https://ota.tournamentsoftware.com/player-profile/C734CB2A-2E7E-46C5-B1F0-69D754EF8527", "Link")</f>
        <v/>
      </c>
      <c r="E602" s="3" t="n">
        <v>42.328</v>
      </c>
      <c r="F602" s="4" t="n">
        <v>11</v>
      </c>
      <c r="G602" t="inlineStr">
        <is>
          <t>Tennis Québec</t>
        </is>
      </c>
      <c r="H602" t="inlineStr">
        <is>
          <t>No Club</t>
        </is>
      </c>
      <c r="I602" t="inlineStr">
        <is>
          <t>unavailable</t>
        </is>
      </c>
      <c r="J602" s="4" t="n">
        <v>22</v>
      </c>
      <c r="K602" t="inlineStr">
        <is>
          <t>10 / 12</t>
        </is>
      </c>
      <c r="L602" t="inlineStr">
        <is>
          <t>10 / 12</t>
        </is>
      </c>
      <c r="M602" s="5" t="n">
        <v>0.45</v>
      </c>
      <c r="N602" s="5" t="n">
        <v>0.45</v>
      </c>
    </row>
    <row r="603">
      <c r="A603" t="n">
        <v>602</v>
      </c>
      <c r="B603" t="n">
        <v>2012</v>
      </c>
      <c r="C603" t="inlineStr">
        <is>
          <t>Mackenzie Quek</t>
        </is>
      </c>
      <c r="D603">
        <f>HYPERLINK("https://ota.tournamentsoftware.com/player-profile/51407A91-7051-4BC3-B583-F0DC1E06E113", "Link")</f>
        <v/>
      </c>
      <c r="E603" s="3" t="n">
        <v>42.274</v>
      </c>
      <c r="F603" s="4" t="n">
        <v>4</v>
      </c>
      <c r="G603" t="inlineStr">
        <is>
          <t>Ontario Tennis Association</t>
        </is>
      </c>
      <c r="H603" t="inlineStr">
        <is>
          <t>Concord Tennis Academy</t>
        </is>
      </c>
      <c r="I603" t="inlineStr">
        <is>
          <t>unavailable</t>
        </is>
      </c>
      <c r="J603" s="4" t="n">
        <v>13</v>
      </c>
      <c r="K603" t="inlineStr">
        <is>
          <t>3 / 10</t>
        </is>
      </c>
      <c r="L603" t="inlineStr">
        <is>
          <t>3 / 10</t>
        </is>
      </c>
      <c r="M603" s="5" t="n">
        <v>0.23</v>
      </c>
      <c r="N603" s="5" t="n">
        <v>0.23</v>
      </c>
    </row>
    <row r="604">
      <c r="A604" t="n">
        <v>603</v>
      </c>
      <c r="B604" t="n">
        <v>2015</v>
      </c>
      <c r="C604" t="inlineStr">
        <is>
          <t>Mia Kojic</t>
        </is>
      </c>
      <c r="D604">
        <f>HYPERLINK("https://ota.tournamentsoftware.com/player-profile/1573DFB3-8189-4CE9-AAAC-9ADF1738AD9C", "Link")</f>
        <v/>
      </c>
      <c r="E604" s="3" t="n">
        <v>41.917</v>
      </c>
      <c r="F604" s="4" t="n">
        <v>7</v>
      </c>
      <c r="G604" t="inlineStr">
        <is>
          <t>Ontario Tennis Association</t>
        </is>
      </c>
      <c r="H604" t="inlineStr">
        <is>
          <t>Ontario Racquet Club</t>
        </is>
      </c>
      <c r="I604" t="n">
        <v>36.7</v>
      </c>
      <c r="J604" s="4" t="n">
        <v>95</v>
      </c>
      <c r="K604" t="inlineStr">
        <is>
          <t>41 / 54</t>
        </is>
      </c>
      <c r="L604" t="inlineStr">
        <is>
          <t>5 / 9</t>
        </is>
      </c>
      <c r="M604" s="5" t="n">
        <v>0.43</v>
      </c>
      <c r="N604" s="5" t="n">
        <v>0.36</v>
      </c>
    </row>
    <row r="605">
      <c r="A605" t="n">
        <v>604</v>
      </c>
      <c r="B605" t="n">
        <v>2014</v>
      </c>
      <c r="C605" t="inlineStr">
        <is>
          <t>Chloe Leblond</t>
        </is>
      </c>
      <c r="D605">
        <f>HYPERLINK("https://ota.tournamentsoftware.com/player-profile/B25C8E1B-DD5B-45CB-A94E-27B9E436CCF5", "Link")</f>
        <v/>
      </c>
      <c r="E605" s="3" t="n">
        <v>41.903</v>
      </c>
      <c r="F605" s="4" t="n">
        <v>5</v>
      </c>
      <c r="G605" t="inlineStr">
        <is>
          <t>Ontario Tennis Association</t>
        </is>
      </c>
      <c r="H605" t="inlineStr">
        <is>
          <t>Tam Heather Tennis Club</t>
        </is>
      </c>
      <c r="I605" t="inlineStr">
        <is>
          <t>unavailable</t>
        </is>
      </c>
      <c r="J605" s="4" t="n">
        <v>59</v>
      </c>
      <c r="K605" t="inlineStr">
        <is>
          <t>31 / 28</t>
        </is>
      </c>
      <c r="L605" t="inlineStr">
        <is>
          <t>6 / 4</t>
        </is>
      </c>
      <c r="M605" s="5" t="n">
        <v>0.53</v>
      </c>
      <c r="N605" s="5" t="n">
        <v>0.6</v>
      </c>
    </row>
    <row r="606">
      <c r="A606" t="n">
        <v>605</v>
      </c>
      <c r="B606" t="n">
        <v>2013</v>
      </c>
      <c r="C606" t="inlineStr">
        <is>
          <t>Hengxi Celine Du</t>
        </is>
      </c>
      <c r="D606">
        <f>HYPERLINK("https://ota.tournamentsoftware.com/player-profile/7011B5E4-06D4-4830-95A3-18CF46BE4ED0", "Link")</f>
        <v/>
      </c>
      <c r="E606" s="3" t="n">
        <v>41.83</v>
      </c>
      <c r="F606" s="4" t="n">
        <v>2</v>
      </c>
      <c r="G606" t="inlineStr">
        <is>
          <t>Ontario Tennis Association</t>
        </is>
      </c>
      <c r="H606" t="inlineStr">
        <is>
          <t>Premier Racquet Clubs – Mississauga</t>
        </is>
      </c>
      <c r="I606" t="inlineStr">
        <is>
          <t>unavailable</t>
        </is>
      </c>
      <c r="J606" s="4" t="n">
        <v>20</v>
      </c>
      <c r="K606" t="inlineStr">
        <is>
          <t>6 / 14</t>
        </is>
      </c>
      <c r="L606" t="inlineStr">
        <is>
          <t>5 / 7</t>
        </is>
      </c>
      <c r="M606" s="5" t="n">
        <v>0.3</v>
      </c>
      <c r="N606" s="5" t="n">
        <v>0.42</v>
      </c>
    </row>
    <row r="607">
      <c r="A607" t="n">
        <v>606</v>
      </c>
      <c r="B607" t="n">
        <v>2014</v>
      </c>
      <c r="C607" t="inlineStr">
        <is>
          <t>Melina Ioannidis</t>
        </is>
      </c>
      <c r="D607">
        <f>HYPERLINK("https://ota.tournamentsoftware.com/player-profile/7105A5E6-611D-4531-9016-F7FBEE3F6368", "Link")</f>
        <v/>
      </c>
      <c r="E607" s="3" t="n">
        <v>41.56</v>
      </c>
      <c r="F607" s="4" t="n">
        <v>6</v>
      </c>
      <c r="G607" t="inlineStr">
        <is>
          <t>Ontario Tennis Association</t>
        </is>
      </c>
      <c r="H607" t="inlineStr">
        <is>
          <t>Aurora Community Tennis Club</t>
        </is>
      </c>
      <c r="I607" t="n">
        <v>37</v>
      </c>
      <c r="J607" s="4" t="n">
        <v>61</v>
      </c>
      <c r="K607" t="inlineStr">
        <is>
          <t>34 / 27</t>
        </is>
      </c>
      <c r="L607" t="inlineStr">
        <is>
          <t>4 / 5</t>
        </is>
      </c>
      <c r="M607" s="5" t="n">
        <v>0.5600000000000001</v>
      </c>
      <c r="N607" s="5" t="n">
        <v>0.44</v>
      </c>
    </row>
    <row r="608">
      <c r="A608" t="n">
        <v>607</v>
      </c>
      <c r="B608" t="n">
        <v>2015</v>
      </c>
      <c r="C608" t="inlineStr">
        <is>
          <t>Juliette Tremblay</t>
        </is>
      </c>
      <c r="D608">
        <f>HYPERLINK("https://ota.tournamentsoftware.com/player-profile/94E82DA2-01EF-471F-BB0F-8CEAA1C42076", "Link")</f>
        <v/>
      </c>
      <c r="E608" s="3" t="n">
        <v>41.328</v>
      </c>
      <c r="F608" s="4" t="n">
        <v>9</v>
      </c>
      <c r="G608" t="inlineStr">
        <is>
          <t>Tennis Québec</t>
        </is>
      </c>
      <c r="H608" t="inlineStr">
        <is>
          <t>Tennis Outaouais Performance (TOP)</t>
        </is>
      </c>
      <c r="I608" t="n">
        <v>37.6</v>
      </c>
      <c r="J608" s="4" t="n">
        <v>52</v>
      </c>
      <c r="K608" t="inlineStr">
        <is>
          <t>16 / 36</t>
        </is>
      </c>
      <c r="L608" t="inlineStr">
        <is>
          <t>5 / 11</t>
        </is>
      </c>
      <c r="M608" s="5" t="n">
        <v>0.31</v>
      </c>
      <c r="N608" s="5" t="n">
        <v>0.31</v>
      </c>
    </row>
    <row r="609">
      <c r="A609" t="n">
        <v>608</v>
      </c>
      <c r="B609" t="n">
        <v>2014</v>
      </c>
      <c r="C609" t="inlineStr">
        <is>
          <t>Alena Sui</t>
        </is>
      </c>
      <c r="D609">
        <f>HYPERLINK("https://ota.tournamentsoftware.com/player-profile/92B690E9-D6C6-410C-A457-5AC3927E933A", "Link")</f>
        <v/>
      </c>
      <c r="E609" s="3" t="n">
        <v>41.268</v>
      </c>
      <c r="F609" s="4" t="n">
        <v>11</v>
      </c>
      <c r="G609" t="inlineStr">
        <is>
          <t>British Columbia</t>
        </is>
      </c>
      <c r="H609" t="inlineStr">
        <is>
          <t>No Club</t>
        </is>
      </c>
      <c r="I609" t="n">
        <v>38.4</v>
      </c>
      <c r="J609" s="4" t="n">
        <v>77</v>
      </c>
      <c r="K609" t="inlineStr">
        <is>
          <t>35 / 42</t>
        </is>
      </c>
      <c r="L609" t="inlineStr">
        <is>
          <t>15 / 20</t>
        </is>
      </c>
      <c r="M609" s="5" t="n">
        <v>0.45</v>
      </c>
      <c r="N609" s="5" t="n">
        <v>0.43</v>
      </c>
    </row>
    <row r="610">
      <c r="A610" t="n">
        <v>609</v>
      </c>
      <c r="B610" t="n">
        <v>2015</v>
      </c>
      <c r="C610" t="inlineStr">
        <is>
          <t>Lillian Tooryani</t>
        </is>
      </c>
      <c r="D610">
        <f>HYPERLINK("https://ota.tournamentsoftware.com/player-profile/B149ED5D-E26B-4577-8AAB-620DB4A7A85F", "Link")</f>
        <v/>
      </c>
      <c r="E610" s="3" t="n">
        <v>41.04</v>
      </c>
      <c r="F610" s="4" t="n">
        <v>11</v>
      </c>
      <c r="G610" t="inlineStr">
        <is>
          <t>Ontario Tennis Association</t>
        </is>
      </c>
      <c r="H610" t="inlineStr">
        <is>
          <t>Mayfair West Fitness &amp; Racquet Club</t>
        </is>
      </c>
      <c r="I610" t="n">
        <v>37.2</v>
      </c>
      <c r="J610" s="4" t="n">
        <v>41</v>
      </c>
      <c r="K610" t="inlineStr">
        <is>
          <t>16 / 25</t>
        </is>
      </c>
      <c r="L610" t="inlineStr">
        <is>
          <t>13 / 12</t>
        </is>
      </c>
      <c r="M610" s="5" t="n">
        <v>0.39</v>
      </c>
      <c r="N610" s="5" t="n">
        <v>0.52</v>
      </c>
    </row>
    <row r="611">
      <c r="A611" t="n">
        <v>610</v>
      </c>
      <c r="B611" t="n">
        <v>2015</v>
      </c>
      <c r="C611" t="inlineStr">
        <is>
          <t>ALICE Wan yee Wong</t>
        </is>
      </c>
      <c r="D611">
        <f>HYPERLINK("https://ota.tournamentsoftware.com/player-profile/1B8AB01B-692B-4E5E-B513-A24155329374", "Link")</f>
        <v/>
      </c>
      <c r="E611" s="3" t="n">
        <v>40.564</v>
      </c>
      <c r="F611" s="4" t="n">
        <v>12</v>
      </c>
      <c r="G611" t="inlineStr">
        <is>
          <t>British Columbia</t>
        </is>
      </c>
      <c r="H611" t="inlineStr">
        <is>
          <t>The Tennis Centre</t>
        </is>
      </c>
      <c r="I611" t="n">
        <v>35</v>
      </c>
      <c r="J611" s="4" t="n">
        <v>118</v>
      </c>
      <c r="K611" t="inlineStr">
        <is>
          <t>56 / 62</t>
        </is>
      </c>
      <c r="L611" t="inlineStr">
        <is>
          <t>16 / 13</t>
        </is>
      </c>
      <c r="M611" s="5" t="n">
        <v>0.47</v>
      </c>
      <c r="N611" s="5" t="n">
        <v>0.55</v>
      </c>
    </row>
    <row r="612">
      <c r="A612" t="n">
        <v>611</v>
      </c>
      <c r="B612" t="n">
        <v>2016</v>
      </c>
      <c r="C612" t="inlineStr">
        <is>
          <t>Anne Cherednychenko</t>
        </is>
      </c>
      <c r="D612">
        <f>HYPERLINK("https://ota.tournamentsoftware.com/player-profile/8FB2FF81-D0FE-4491-B99E-18BAAFE1E3CD", "Link")</f>
        <v/>
      </c>
      <c r="E612" s="3" t="n">
        <v>40.335</v>
      </c>
      <c r="F612" s="4" t="n">
        <v>8</v>
      </c>
      <c r="G612" t="inlineStr">
        <is>
          <t>Tennis Québec</t>
        </is>
      </c>
      <c r="H612" t="inlineStr">
        <is>
          <t>No Club</t>
        </is>
      </c>
      <c r="I612" t="n">
        <v>35.8</v>
      </c>
      <c r="J612" s="4" t="n">
        <v>62</v>
      </c>
      <c r="K612" t="inlineStr">
        <is>
          <t>37 / 25</t>
        </is>
      </c>
      <c r="L612" t="inlineStr">
        <is>
          <t>13 / 11</t>
        </is>
      </c>
      <c r="M612" s="5" t="n">
        <v>0.6</v>
      </c>
      <c r="N612" s="5" t="n">
        <v>0.54</v>
      </c>
    </row>
    <row r="613">
      <c r="A613" t="n">
        <v>612</v>
      </c>
      <c r="B613" t="n">
        <v>2014</v>
      </c>
      <c r="C613" t="inlineStr">
        <is>
          <t>Laura Gyori</t>
        </is>
      </c>
      <c r="D613">
        <f>HYPERLINK("https://ota.tournamentsoftware.com/player-profile/5A55107A-8C3C-4255-8453-79017D4120E3", "Link")</f>
        <v/>
      </c>
      <c r="E613" s="3" t="n">
        <v>39.952</v>
      </c>
      <c r="F613" s="4" t="n">
        <v>4</v>
      </c>
      <c r="G613" t="inlineStr">
        <is>
          <t>Ontario Tennis Association</t>
        </is>
      </c>
      <c r="H613" t="inlineStr">
        <is>
          <t>Rideau Sports Centre</t>
        </is>
      </c>
      <c r="I613" t="inlineStr">
        <is>
          <t>unavailable</t>
        </is>
      </c>
      <c r="J613" s="4" t="n">
        <v>15</v>
      </c>
      <c r="K613" t="inlineStr">
        <is>
          <t>4 / 11</t>
        </is>
      </c>
      <c r="L613" t="inlineStr">
        <is>
          <t>2 / 4</t>
        </is>
      </c>
      <c r="M613" s="5" t="n">
        <v>0.27</v>
      </c>
      <c r="N613" s="5" t="n">
        <v>0.33</v>
      </c>
    </row>
    <row r="614">
      <c r="A614" t="n">
        <v>613</v>
      </c>
      <c r="B614" t="n">
        <v>2013</v>
      </c>
      <c r="C614" t="inlineStr">
        <is>
          <t>Mengge(Maya) Xu</t>
        </is>
      </c>
      <c r="D614">
        <f>HYPERLINK("https://ota.tournamentsoftware.com/player-profile/9CD6D408-1A72-4E0B-A9C9-DD675B785873", "Link")</f>
        <v/>
      </c>
      <c r="E614" s="3" t="n">
        <v>38.66</v>
      </c>
      <c r="F614" s="4" t="n">
        <v>6</v>
      </c>
      <c r="G614" t="inlineStr">
        <is>
          <t>Ontario Tennis Association</t>
        </is>
      </c>
      <c r="H614" t="inlineStr">
        <is>
          <t>Markham Tennis Club</t>
        </is>
      </c>
      <c r="I614" t="n">
        <v>39.4</v>
      </c>
      <c r="J614" s="4" t="n">
        <v>23</v>
      </c>
      <c r="K614" t="inlineStr">
        <is>
          <t>7 / 16</t>
        </is>
      </c>
      <c r="L614" t="inlineStr">
        <is>
          <t>2 / 4</t>
        </is>
      </c>
      <c r="M614" s="5" t="n">
        <v>0.3</v>
      </c>
      <c r="N614" s="5" t="n">
        <v>0.33</v>
      </c>
    </row>
    <row r="615">
      <c r="A615" t="n">
        <v>614</v>
      </c>
      <c r="B615" t="n">
        <v>2013</v>
      </c>
      <c r="C615" t="inlineStr">
        <is>
          <t>Kate Lalli</t>
        </is>
      </c>
      <c r="D615">
        <f>HYPERLINK("https://ota.tournamentsoftware.com/player-profile/37A0CF8B-C4DF-49F1-946F-E349A3E42015", "Link")</f>
        <v/>
      </c>
      <c r="E615" s="3" t="n">
        <v>38.609</v>
      </c>
      <c r="F615" s="4" t="n">
        <v>4</v>
      </c>
      <c r="G615" t="inlineStr">
        <is>
          <t>Tennis Québec</t>
        </is>
      </c>
      <c r="H615" t="inlineStr">
        <is>
          <t>No Club</t>
        </is>
      </c>
      <c r="I615" t="n">
        <v>37.6</v>
      </c>
      <c r="J615" s="4" t="n">
        <v>15</v>
      </c>
      <c r="K615" t="inlineStr">
        <is>
          <t>4 / 11</t>
        </is>
      </c>
      <c r="L615" t="inlineStr">
        <is>
          <t>1 / 6</t>
        </is>
      </c>
      <c r="M615" s="5" t="n">
        <v>0.27</v>
      </c>
      <c r="N615" s="5" t="n">
        <v>0.14</v>
      </c>
    </row>
    <row r="616">
      <c r="A616" t="n">
        <v>615</v>
      </c>
      <c r="B616" t="n">
        <v>2016</v>
      </c>
      <c r="C616" t="inlineStr">
        <is>
          <t>Olivia Yueer Hao</t>
        </is>
      </c>
      <c r="D616">
        <f>HYPERLINK("https://ota.tournamentsoftware.com/player-profile/61C0E090-4E32-499F-86FE-FFD674DD6128", "Link")</f>
        <v/>
      </c>
      <c r="E616" s="3" t="n">
        <v>38.377</v>
      </c>
      <c r="F616" s="4" t="n">
        <v>7</v>
      </c>
      <c r="G616" t="inlineStr">
        <is>
          <t>Ontario Tennis Association</t>
        </is>
      </c>
      <c r="H616" t="inlineStr">
        <is>
          <t>Valan Tennis Academy</t>
        </is>
      </c>
      <c r="I616" t="n">
        <v>38.3</v>
      </c>
      <c r="J616" s="4" t="n">
        <v>68</v>
      </c>
      <c r="K616" t="inlineStr">
        <is>
          <t>31 / 37</t>
        </is>
      </c>
      <c r="L616" t="inlineStr">
        <is>
          <t>27 / 22</t>
        </is>
      </c>
      <c r="M616" s="5" t="n">
        <v>0.46</v>
      </c>
      <c r="N616" s="5" t="n">
        <v>0.55</v>
      </c>
    </row>
    <row r="617">
      <c r="A617" t="n">
        <v>616</v>
      </c>
      <c r="B617" t="n">
        <v>2012</v>
      </c>
      <c r="C617" t="inlineStr">
        <is>
          <t>LUCY HA</t>
        </is>
      </c>
      <c r="D617">
        <f>HYPERLINK("https://ota.tournamentsoftware.com/player-profile/5289FB1D-8B94-446A-83C5-187068CE2F5D", "Link")</f>
        <v/>
      </c>
      <c r="E617" s="3" t="n">
        <v>38.367</v>
      </c>
      <c r="F617" s="4" t="n">
        <v>4</v>
      </c>
      <c r="G617" t="inlineStr">
        <is>
          <t>British Columbia</t>
        </is>
      </c>
      <c r="H617" t="inlineStr">
        <is>
          <t>Tennis BC Hub @ Richmond</t>
        </is>
      </c>
      <c r="I617" t="n">
        <v>37.7</v>
      </c>
      <c r="J617" s="4" t="n">
        <v>28</v>
      </c>
      <c r="K617" t="inlineStr">
        <is>
          <t>4 / 24</t>
        </is>
      </c>
      <c r="L617" t="inlineStr">
        <is>
          <t>0 / 2</t>
        </is>
      </c>
      <c r="M617" s="5" t="n">
        <v>0.14</v>
      </c>
      <c r="N617" s="5" t="n">
        <v>0</v>
      </c>
    </row>
    <row r="618">
      <c r="A618" t="n">
        <v>617</v>
      </c>
      <c r="B618" t="n">
        <v>2013</v>
      </c>
      <c r="C618" t="inlineStr">
        <is>
          <t>Yu Nohara</t>
        </is>
      </c>
      <c r="D618">
        <f>HYPERLINK("https://ota.tournamentsoftware.com/player-profile/4AB57DE3-C832-4B9F-8F8F-AECBF5EE5A81", "Link")</f>
        <v/>
      </c>
      <c r="E618" s="3" t="n">
        <v>38.216</v>
      </c>
      <c r="F618" s="4" t="n">
        <v>4</v>
      </c>
      <c r="G618" t="inlineStr">
        <is>
          <t>British Columbia</t>
        </is>
      </c>
      <c r="H618" t="inlineStr">
        <is>
          <t>Tennis for Life</t>
        </is>
      </c>
      <c r="I618" t="n">
        <v>37.5</v>
      </c>
      <c r="J618" s="4" t="n">
        <v>20</v>
      </c>
      <c r="K618" t="inlineStr">
        <is>
          <t>9 / 11</t>
        </is>
      </c>
      <c r="L618" t="inlineStr">
        <is>
          <t>1 / 3</t>
        </is>
      </c>
      <c r="M618" s="5" t="n">
        <v>0.45</v>
      </c>
      <c r="N618" s="5" t="n">
        <v>0.25</v>
      </c>
    </row>
    <row r="619">
      <c r="A619" t="n">
        <v>618</v>
      </c>
      <c r="B619" t="n">
        <v>2013</v>
      </c>
      <c r="C619" t="inlineStr">
        <is>
          <t>Daniella Adekoya</t>
        </is>
      </c>
      <c r="D619">
        <f>HYPERLINK("https://ota.tournamentsoftware.com/player-profile/1AE7E627-3ED1-4E93-9C7E-52183DBA7410", "Link")</f>
        <v/>
      </c>
      <c r="E619" s="3" t="n">
        <v>38.016</v>
      </c>
      <c r="F619" s="4" t="n">
        <v>3</v>
      </c>
      <c r="G619" t="inlineStr">
        <is>
          <t>Ontario Tennis Association</t>
        </is>
      </c>
      <c r="H619" t="inlineStr">
        <is>
          <t>Rideau Sports Centre</t>
        </is>
      </c>
      <c r="I619" t="n">
        <v>37.1</v>
      </c>
      <c r="J619" s="4" t="n">
        <v>25</v>
      </c>
      <c r="K619" t="inlineStr">
        <is>
          <t>7 / 18</t>
        </is>
      </c>
      <c r="L619" t="inlineStr">
        <is>
          <t>0 / 1</t>
        </is>
      </c>
      <c r="M619" s="5" t="n">
        <v>0.28</v>
      </c>
      <c r="N619" s="5" t="n">
        <v>0</v>
      </c>
    </row>
    <row r="620">
      <c r="A620" t="n">
        <v>619</v>
      </c>
      <c r="B620" t="n">
        <v>2017</v>
      </c>
      <c r="C620" t="inlineStr">
        <is>
          <t>Aria Bloom</t>
        </is>
      </c>
      <c r="D620">
        <f>HYPERLINK("https://ota.tournamentsoftware.com/player-profile/7C30BE00-7F15-42B9-BA96-B3B2895898A0", "Link")</f>
        <v/>
      </c>
      <c r="E620" s="3" t="n">
        <v>38.002</v>
      </c>
      <c r="F620" s="4" t="n">
        <v>6</v>
      </c>
      <c r="G620" t="inlineStr">
        <is>
          <t>Tennis Alberta</t>
        </is>
      </c>
      <c r="H620" t="inlineStr">
        <is>
          <t>Osten &amp; Victor Alberta Tennis Centre</t>
        </is>
      </c>
      <c r="I620" t="n">
        <v>34.5</v>
      </c>
      <c r="J620" s="4" t="n">
        <v>115</v>
      </c>
      <c r="K620" t="inlineStr">
        <is>
          <t>86 / 29</t>
        </is>
      </c>
      <c r="L620" t="inlineStr">
        <is>
          <t>32 / 6</t>
        </is>
      </c>
      <c r="M620" s="5" t="n">
        <v>0.75</v>
      </c>
      <c r="N620" s="5" t="n">
        <v>0.84</v>
      </c>
    </row>
    <row r="621">
      <c r="A621" t="n">
        <v>620</v>
      </c>
      <c r="B621" t="n">
        <v>2012</v>
      </c>
      <c r="C621" t="inlineStr">
        <is>
          <t>Juanita Valeria Ruiz</t>
        </is>
      </c>
      <c r="D621">
        <f>HYPERLINK("https://ota.tournamentsoftware.com/player-profile/60CB93B1-F620-4737-8F49-B06F794F4103", "Link")</f>
        <v/>
      </c>
      <c r="E621" s="3" t="n">
        <v>37.961</v>
      </c>
      <c r="F621" s="4" t="n">
        <v>3</v>
      </c>
      <c r="G621" t="inlineStr">
        <is>
          <t>Ontario Tennis Association</t>
        </is>
      </c>
      <c r="H621" t="inlineStr">
        <is>
          <t>No Club</t>
        </is>
      </c>
      <c r="I621" t="inlineStr">
        <is>
          <t>unavailable</t>
        </is>
      </c>
      <c r="J621" s="4" t="n">
        <v>69</v>
      </c>
      <c r="K621" t="inlineStr">
        <is>
          <t>26 / 43</t>
        </is>
      </c>
      <c r="L621" t="inlineStr">
        <is>
          <t>0 / 0</t>
        </is>
      </c>
      <c r="M621" s="5" t="n">
        <v>0.38</v>
      </c>
      <c r="N621" s="5" t="n">
        <v>0</v>
      </c>
    </row>
    <row r="622">
      <c r="A622" t="n">
        <v>621</v>
      </c>
      <c r="B622" t="n">
        <v>2015</v>
      </c>
      <c r="C622" t="inlineStr">
        <is>
          <t>Anna Bella Grozdanovski</t>
        </is>
      </c>
      <c r="D622">
        <f>HYPERLINK("https://ota.tournamentsoftware.com/player-profile/C1BD78E7-5BB0-4BD0-9D53-DA02A232F8A0", "Link")</f>
        <v/>
      </c>
      <c r="E622" s="3" t="n">
        <v>37.548</v>
      </c>
      <c r="F622" s="4" t="n">
        <v>4</v>
      </c>
      <c r="G622" t="inlineStr">
        <is>
          <t>Ontario Tennis Association</t>
        </is>
      </c>
      <c r="H622" t="inlineStr">
        <is>
          <t>No Club</t>
        </is>
      </c>
      <c r="I622" t="n">
        <v>37.6</v>
      </c>
      <c r="J622" s="4" t="n">
        <v>36</v>
      </c>
      <c r="K622" t="inlineStr">
        <is>
          <t>17 / 19</t>
        </is>
      </c>
      <c r="L622" t="inlineStr">
        <is>
          <t>8 / 4</t>
        </is>
      </c>
      <c r="M622" s="5" t="n">
        <v>0.47</v>
      </c>
      <c r="N622" s="5" t="n">
        <v>0.67</v>
      </c>
    </row>
    <row r="623">
      <c r="A623" t="n">
        <v>622</v>
      </c>
      <c r="B623" t="n">
        <v>2013</v>
      </c>
      <c r="C623" t="inlineStr">
        <is>
          <t>Alexa Ardeleanu</t>
        </is>
      </c>
      <c r="D623">
        <f>HYPERLINK("https://ota.tournamentsoftware.com/player-profile/109D0444-3430-4CBD-A2CA-522592228926", "Link")</f>
        <v/>
      </c>
      <c r="E623" s="3" t="n">
        <v>37.397</v>
      </c>
      <c r="F623" s="4" t="n">
        <v>3</v>
      </c>
      <c r="G623" t="inlineStr">
        <is>
          <t>Ontario Tennis Association</t>
        </is>
      </c>
      <c r="H623" t="inlineStr">
        <is>
          <t>No Club</t>
        </is>
      </c>
      <c r="I623" t="n">
        <v>37.8</v>
      </c>
      <c r="J623" s="4" t="n">
        <v>5</v>
      </c>
      <c r="K623" t="inlineStr">
        <is>
          <t>1 / 4</t>
        </is>
      </c>
      <c r="L623" t="inlineStr">
        <is>
          <t>1 / 4</t>
        </is>
      </c>
      <c r="M623" s="5" t="n">
        <v>0.2</v>
      </c>
      <c r="N623" s="5" t="n">
        <v>0.2</v>
      </c>
    </row>
    <row r="624">
      <c r="A624" t="n">
        <v>623</v>
      </c>
      <c r="B624" t="n">
        <v>2016</v>
      </c>
      <c r="C624" t="inlineStr">
        <is>
          <t>Abigail Jianing Zhou</t>
        </is>
      </c>
      <c r="D624">
        <f>HYPERLINK("https://ota.tournamentsoftware.com/player-profile/E53B2389-2E47-459E-9543-5DBB506C324A", "Link")</f>
        <v/>
      </c>
      <c r="E624" s="3" t="n">
        <v>36.72</v>
      </c>
      <c r="F624" s="4" t="n">
        <v>13</v>
      </c>
      <c r="G624" t="inlineStr">
        <is>
          <t>Ontario Tennis Association</t>
        </is>
      </c>
      <c r="H624" t="inlineStr">
        <is>
          <t>Joshua Creek Golf &amp; Tennis</t>
        </is>
      </c>
      <c r="I624" t="n">
        <v>38</v>
      </c>
      <c r="J624" s="4" t="n">
        <v>147</v>
      </c>
      <c r="K624" t="inlineStr">
        <is>
          <t>59 / 88</t>
        </is>
      </c>
      <c r="L624" t="inlineStr">
        <is>
          <t>21 / 23</t>
        </is>
      </c>
      <c r="M624" s="5" t="n">
        <v>0.4</v>
      </c>
      <c r="N624" s="5" t="n">
        <v>0.48</v>
      </c>
    </row>
    <row r="625">
      <c r="A625" t="n">
        <v>623</v>
      </c>
      <c r="B625" t="n">
        <v>2016</v>
      </c>
      <c r="C625" t="inlineStr">
        <is>
          <t>Kiara Krishnan</t>
        </is>
      </c>
      <c r="D625">
        <f>HYPERLINK("https://ota.tournamentsoftware.com/player-profile/50D3305E-63D5-4EFB-B53F-B64E463DE26E", "Link")</f>
        <v/>
      </c>
      <c r="E625" s="3" t="n">
        <v>36.72</v>
      </c>
      <c r="F625" s="4" t="n">
        <v>27</v>
      </c>
      <c r="G625" t="inlineStr">
        <is>
          <t>Ontario Tennis Association</t>
        </is>
      </c>
      <c r="H625" t="inlineStr">
        <is>
          <t>Toronto Tennis Academy</t>
        </is>
      </c>
      <c r="I625" t="n">
        <v>38.3</v>
      </c>
      <c r="J625" s="4" t="n">
        <v>246</v>
      </c>
      <c r="K625" t="inlineStr">
        <is>
          <t>98 / 148</t>
        </is>
      </c>
      <c r="L625" t="inlineStr">
        <is>
          <t>11 / 31</t>
        </is>
      </c>
      <c r="M625" s="5" t="n">
        <v>0.4</v>
      </c>
      <c r="N625" s="5" t="n">
        <v>0.26</v>
      </c>
    </row>
    <row r="626">
      <c r="A626" t="n">
        <v>625</v>
      </c>
      <c r="B626" t="n">
        <v>2015</v>
      </c>
      <c r="C626" t="inlineStr">
        <is>
          <t>Sloane Burdick</t>
        </is>
      </c>
      <c r="D626">
        <f>HYPERLINK("https://ota.tournamentsoftware.com/player-profile/B4ED1890-6E53-4FCC-9711-828BDD90CD1F", "Link")</f>
        <v/>
      </c>
      <c r="E626" s="3" t="n">
        <v>36.168</v>
      </c>
      <c r="F626" s="4" t="n">
        <v>8</v>
      </c>
      <c r="G626" t="inlineStr">
        <is>
          <t>British Columbia</t>
        </is>
      </c>
      <c r="H626" t="inlineStr">
        <is>
          <t>Vanguard Tennis Academy</t>
        </is>
      </c>
      <c r="I626" t="n">
        <v>36.8</v>
      </c>
      <c r="J626" s="4" t="n">
        <v>71</v>
      </c>
      <c r="K626" t="inlineStr">
        <is>
          <t>35 / 36</t>
        </is>
      </c>
      <c r="L626" t="inlineStr">
        <is>
          <t>8 / 9</t>
        </is>
      </c>
      <c r="M626" s="5" t="n">
        <v>0.49</v>
      </c>
      <c r="N626" s="5" t="n">
        <v>0.47</v>
      </c>
    </row>
    <row r="627">
      <c r="A627" t="n">
        <v>626</v>
      </c>
      <c r="B627" t="n">
        <v>2015</v>
      </c>
      <c r="C627" t="inlineStr">
        <is>
          <t>Allegra Gill</t>
        </is>
      </c>
      <c r="D627">
        <f>HYPERLINK("https://ota.tournamentsoftware.com/player-profile/74E5B02E-036C-4D6F-B122-5C8FEF79A927", "Link")</f>
        <v/>
      </c>
      <c r="E627" s="3" t="n">
        <v>35.726</v>
      </c>
      <c r="F627" s="4" t="n">
        <v>5</v>
      </c>
      <c r="G627" t="inlineStr">
        <is>
          <t>Ontario Tennis Association</t>
        </is>
      </c>
      <c r="H627" t="inlineStr">
        <is>
          <t>Zekelman Tennis Centre</t>
        </is>
      </c>
      <c r="I627" t="n">
        <v>39.5</v>
      </c>
      <c r="J627" s="4" t="n">
        <v>92</v>
      </c>
      <c r="K627" t="inlineStr">
        <is>
          <t>14 / 78</t>
        </is>
      </c>
      <c r="L627" t="inlineStr">
        <is>
          <t>7 / 16</t>
        </is>
      </c>
      <c r="M627" s="5" t="n">
        <v>0.15</v>
      </c>
      <c r="N627" s="5" t="n">
        <v>0.3</v>
      </c>
    </row>
    <row r="628">
      <c r="A628" t="n">
        <v>627</v>
      </c>
      <c r="B628" t="n">
        <v>2015</v>
      </c>
      <c r="C628" t="inlineStr">
        <is>
          <t>Victoria Guo</t>
        </is>
      </c>
      <c r="D628">
        <f>HYPERLINK("https://ota.tournamentsoftware.com/player-profile/54FA7561-0327-4A42-A5FE-A5519116069C", "Link")</f>
        <v/>
      </c>
      <c r="E628" s="3" t="n">
        <v>35.632</v>
      </c>
      <c r="F628" s="4" t="n">
        <v>4</v>
      </c>
      <c r="G628" t="inlineStr">
        <is>
          <t>Ontario Tennis Association</t>
        </is>
      </c>
      <c r="H628" t="inlineStr">
        <is>
          <t>Craig Henry</t>
        </is>
      </c>
      <c r="I628" t="n">
        <v>39.3</v>
      </c>
      <c r="J628" s="4" t="n">
        <v>27</v>
      </c>
      <c r="K628" t="inlineStr">
        <is>
          <t>10 / 17</t>
        </is>
      </c>
      <c r="L628" t="inlineStr">
        <is>
          <t>1 / 4</t>
        </is>
      </c>
      <c r="M628" s="5" t="n">
        <v>0.37</v>
      </c>
      <c r="N628" s="5" t="n">
        <v>0.2</v>
      </c>
    </row>
    <row r="629">
      <c r="A629" t="n">
        <v>628</v>
      </c>
      <c r="B629" t="n">
        <v>2013</v>
      </c>
      <c r="C629" t="inlineStr">
        <is>
          <t>Mehak Garg</t>
        </is>
      </c>
      <c r="D629">
        <f>HYPERLINK("https://ota.tournamentsoftware.com/player-profile/2FA47597-FC2B-4F26-80C4-912C2FC70064", "Link")</f>
        <v/>
      </c>
      <c r="E629" s="3" t="n">
        <v>35.51</v>
      </c>
      <c r="F629" s="4" t="n">
        <v>1</v>
      </c>
      <c r="G629" t="inlineStr">
        <is>
          <t>Tennis Saskatchewan</t>
        </is>
      </c>
      <c r="H629" t="inlineStr">
        <is>
          <t>Lakewood Indoor Tennis Centre</t>
        </is>
      </c>
      <c r="I629" t="inlineStr">
        <is>
          <t>unavailable</t>
        </is>
      </c>
      <c r="J629" s="4" t="inlineStr"/>
      <c r="K629" t="inlineStr">
        <is>
          <t>unavailable</t>
        </is>
      </c>
      <c r="L629" t="inlineStr">
        <is>
          <t>unavailable</t>
        </is>
      </c>
      <c r="M629" s="5" t="inlineStr"/>
      <c r="N629" s="5" t="inlineStr"/>
    </row>
    <row r="630">
      <c r="A630" t="n">
        <v>629</v>
      </c>
      <c r="B630" t="n">
        <v>2014</v>
      </c>
      <c r="C630" t="inlineStr">
        <is>
          <t>Violette Hébert</t>
        </is>
      </c>
      <c r="D630">
        <f>HYPERLINK("https://ota.tournamentsoftware.com/player-profile/53615BF8-C3DB-4C99-8745-F5A7E4DC7C2E", "Link")</f>
        <v/>
      </c>
      <c r="E630" s="3" t="n">
        <v>35.466</v>
      </c>
      <c r="F630" s="4" t="n">
        <v>10</v>
      </c>
      <c r="G630" t="inlineStr">
        <is>
          <t>Tennis Québec</t>
        </is>
      </c>
      <c r="H630" t="inlineStr">
        <is>
          <t>EB Tennis inc.</t>
        </is>
      </c>
      <c r="I630" t="n">
        <v>39.2</v>
      </c>
      <c r="J630" s="4" t="n">
        <v>49</v>
      </c>
      <c r="K630" t="inlineStr">
        <is>
          <t>14 / 35</t>
        </is>
      </c>
      <c r="L630" t="inlineStr">
        <is>
          <t>4 / 13</t>
        </is>
      </c>
      <c r="M630" s="5" t="n">
        <v>0.29</v>
      </c>
      <c r="N630" s="5" t="n">
        <v>0.24</v>
      </c>
    </row>
    <row r="631">
      <c r="A631" t="n">
        <v>630</v>
      </c>
      <c r="B631" t="n">
        <v>2013</v>
      </c>
      <c r="C631" t="inlineStr">
        <is>
          <t>Anika Surtani</t>
        </is>
      </c>
      <c r="D631">
        <f>HYPERLINK("https://ota.tournamentsoftware.com/player-profile/8434E356-BD3E-4FDA-9513-46F335FD471C", "Link")</f>
        <v/>
      </c>
      <c r="E631" s="3" t="n">
        <v>35.236</v>
      </c>
      <c r="F631" s="4" t="n">
        <v>5</v>
      </c>
      <c r="G631" t="inlineStr">
        <is>
          <t>Ontario Tennis Association</t>
        </is>
      </c>
      <c r="H631" t="inlineStr">
        <is>
          <t>Boulevard Club</t>
        </is>
      </c>
      <c r="I631" t="inlineStr">
        <is>
          <t>unavailable</t>
        </is>
      </c>
      <c r="J631" s="4" t="n">
        <v>16</v>
      </c>
      <c r="K631" t="inlineStr">
        <is>
          <t>4 / 12</t>
        </is>
      </c>
      <c r="L631" t="inlineStr">
        <is>
          <t>2 / 4</t>
        </is>
      </c>
      <c r="M631" s="5" t="n">
        <v>0.25</v>
      </c>
      <c r="N631" s="5" t="n">
        <v>0.33</v>
      </c>
    </row>
    <row r="632">
      <c r="A632" t="n">
        <v>631</v>
      </c>
      <c r="B632" t="n">
        <v>2015</v>
      </c>
      <c r="C632" t="inlineStr">
        <is>
          <t>Nya BLANCHARD</t>
        </is>
      </c>
      <c r="D632">
        <f>HYPERLINK("https://ota.tournamentsoftware.com/player-profile/E8E00722-2274-4657-BCF4-B20EEBB0EB21", "Link")</f>
        <v/>
      </c>
      <c r="E632" s="3" t="n">
        <v>34.903</v>
      </c>
      <c r="F632" s="4" t="n">
        <v>6</v>
      </c>
      <c r="G632" t="inlineStr">
        <is>
          <t>Ontario Tennis Association</t>
        </is>
      </c>
      <c r="H632" t="inlineStr">
        <is>
          <t>Ontario Racquet Club</t>
        </is>
      </c>
      <c r="I632" t="n">
        <v>35.7</v>
      </c>
      <c r="J632" s="4" t="n">
        <v>41</v>
      </c>
      <c r="K632" t="inlineStr">
        <is>
          <t>23 / 18</t>
        </is>
      </c>
      <c r="L632" t="inlineStr">
        <is>
          <t>8 / 7</t>
        </is>
      </c>
      <c r="M632" s="5" t="n">
        <v>0.5600000000000001</v>
      </c>
      <c r="N632" s="5" t="n">
        <v>0.53</v>
      </c>
    </row>
    <row r="633">
      <c r="A633" t="n">
        <v>632</v>
      </c>
      <c r="B633" t="n">
        <v>2012</v>
      </c>
      <c r="C633" t="inlineStr">
        <is>
          <t>Capri Metelitsa</t>
        </is>
      </c>
      <c r="D633">
        <f>HYPERLINK("https://ota.tournamentsoftware.com/player-profile/AD54A68E-D415-4925-B832-8287172FB727", "Link")</f>
        <v/>
      </c>
      <c r="E633" s="3" t="n">
        <v>34.735</v>
      </c>
      <c r="F633" s="4" t="n">
        <v>10</v>
      </c>
      <c r="G633" t="inlineStr">
        <is>
          <t>Tennis Alberta</t>
        </is>
      </c>
      <c r="H633" t="inlineStr">
        <is>
          <t>Aforza</t>
        </is>
      </c>
      <c r="I633" t="n">
        <v>36.4</v>
      </c>
      <c r="J633" s="4" t="n">
        <v>50</v>
      </c>
      <c r="K633" t="inlineStr">
        <is>
          <t>23 / 27</t>
        </is>
      </c>
      <c r="L633" t="inlineStr">
        <is>
          <t>2 / 8</t>
        </is>
      </c>
      <c r="M633" s="5" t="n">
        <v>0.46</v>
      </c>
      <c r="N633" s="5" t="n">
        <v>0.2</v>
      </c>
    </row>
    <row r="634">
      <c r="A634" t="n">
        <v>633</v>
      </c>
      <c r="B634" t="n">
        <v>2013</v>
      </c>
      <c r="C634" t="inlineStr">
        <is>
          <t>Lingxi Sun</t>
        </is>
      </c>
      <c r="D634">
        <f>HYPERLINK("https://ota.tournamentsoftware.com/player-profile/09E8E557-02B1-46EF-87E8-A28C42A56E9D", "Link")</f>
        <v/>
      </c>
      <c r="E634" s="3" t="n">
        <v>34.041</v>
      </c>
      <c r="F634" s="4" t="n">
        <v>4</v>
      </c>
      <c r="G634" t="inlineStr">
        <is>
          <t>British Columbia</t>
        </is>
      </c>
      <c r="H634" t="inlineStr">
        <is>
          <t>UBC Tennis Centre</t>
        </is>
      </c>
      <c r="I634" t="n">
        <v>32.4</v>
      </c>
      <c r="J634" s="4" t="n">
        <v>39</v>
      </c>
      <c r="K634" t="inlineStr">
        <is>
          <t>23 / 16</t>
        </is>
      </c>
      <c r="L634" t="inlineStr">
        <is>
          <t>0 / 0</t>
        </is>
      </c>
      <c r="M634" s="5" t="n">
        <v>0.59</v>
      </c>
      <c r="N634" s="5" t="n">
        <v>0</v>
      </c>
    </row>
    <row r="635">
      <c r="A635" t="n">
        <v>634</v>
      </c>
      <c r="B635" t="n">
        <v>2015</v>
      </c>
      <c r="C635" t="inlineStr">
        <is>
          <t>Olivia Mary Hipwell</t>
        </is>
      </c>
      <c r="D635">
        <f>HYPERLINK("https://ota.tournamentsoftware.com/player-profile/1595D3E6-D4CF-4ADE-B136-FD5AC473C7F7", "Link")</f>
        <v/>
      </c>
      <c r="E635" s="3" t="n">
        <v>33.917</v>
      </c>
      <c r="F635" s="4" t="n">
        <v>7</v>
      </c>
      <c r="G635" t="inlineStr">
        <is>
          <t>Ontario Tennis Association</t>
        </is>
      </c>
      <c r="H635" t="inlineStr">
        <is>
          <t>Ontario Racquet Club</t>
        </is>
      </c>
      <c r="I635" t="inlineStr">
        <is>
          <t>unavailable</t>
        </is>
      </c>
      <c r="J635" s="4" t="n">
        <v>79</v>
      </c>
      <c r="K635" t="inlineStr">
        <is>
          <t>28 / 51</t>
        </is>
      </c>
      <c r="L635" t="inlineStr">
        <is>
          <t>4 / 9</t>
        </is>
      </c>
      <c r="M635" s="5" t="n">
        <v>0.35</v>
      </c>
      <c r="N635" s="5" t="n">
        <v>0.31</v>
      </c>
    </row>
    <row r="636">
      <c r="A636" t="n">
        <v>635</v>
      </c>
      <c r="B636" t="n">
        <v>2014</v>
      </c>
      <c r="C636" t="inlineStr">
        <is>
          <t>Georgena Banquicio</t>
        </is>
      </c>
      <c r="D636">
        <f>HYPERLINK("https://ota.tournamentsoftware.com/player-profile/AB3893CF-B68D-4258-893E-E7C3FB601465", "Link")</f>
        <v/>
      </c>
      <c r="E636" s="3" t="n">
        <v>33.663</v>
      </c>
      <c r="F636" s="4" t="n">
        <v>5</v>
      </c>
      <c r="G636" t="inlineStr">
        <is>
          <t>Tennis New Brunswick</t>
        </is>
      </c>
      <c r="H636" t="inlineStr">
        <is>
          <t>Abony Family Tennis Center</t>
        </is>
      </c>
      <c r="I636" t="n">
        <v>37.4</v>
      </c>
      <c r="J636" s="4" t="n">
        <v>72</v>
      </c>
      <c r="K636" t="inlineStr">
        <is>
          <t>34 / 38</t>
        </is>
      </c>
      <c r="L636" t="inlineStr">
        <is>
          <t>2 / 6</t>
        </is>
      </c>
      <c r="M636" s="5" t="n">
        <v>0.47</v>
      </c>
      <c r="N636" s="5" t="n">
        <v>0.25</v>
      </c>
    </row>
    <row r="637">
      <c r="A637" t="n">
        <v>636</v>
      </c>
      <c r="B637" t="n">
        <v>2013</v>
      </c>
      <c r="C637" t="inlineStr">
        <is>
          <t>SOPHIA MARIA TRULESCU</t>
        </is>
      </c>
      <c r="D637">
        <f>HYPERLINK("https://ota.tournamentsoftware.com/player-profile/A41CCD9F-8BEB-4085-842F-8E5A7DA612FF", "Link")</f>
        <v/>
      </c>
      <c r="E637" s="3" t="n">
        <v>33.35</v>
      </c>
      <c r="F637" s="4" t="n">
        <v>2</v>
      </c>
      <c r="G637" t="inlineStr">
        <is>
          <t>Ontario Tennis Association</t>
        </is>
      </c>
      <c r="H637" t="inlineStr">
        <is>
          <t>Rosedale Tennis Club (Hamilton)</t>
        </is>
      </c>
      <c r="I637" t="n">
        <v>34.4</v>
      </c>
      <c r="J637" s="4" t="n">
        <v>55</v>
      </c>
      <c r="K637" t="inlineStr">
        <is>
          <t>41 / 14</t>
        </is>
      </c>
      <c r="L637" t="inlineStr">
        <is>
          <t>4 / 2</t>
        </is>
      </c>
      <c r="M637" s="5" t="n">
        <v>0.75</v>
      </c>
      <c r="N637" s="5" t="n">
        <v>0.67</v>
      </c>
    </row>
    <row r="638">
      <c r="A638" t="n">
        <v>637</v>
      </c>
      <c r="B638" t="n">
        <v>2014</v>
      </c>
      <c r="C638" t="inlineStr">
        <is>
          <t>Victoria Dorvius</t>
        </is>
      </c>
      <c r="D638">
        <f>HYPERLINK("https://ota.tournamentsoftware.com/player-profile/0742AD15-E29E-4761-9ABC-EF929E7499C5", "Link")</f>
        <v/>
      </c>
      <c r="E638" s="3" t="n">
        <v>33.305</v>
      </c>
      <c r="F638" s="4" t="n">
        <v>3</v>
      </c>
      <c r="G638" t="inlineStr">
        <is>
          <t>Tennis Québec</t>
        </is>
      </c>
      <c r="H638" t="inlineStr">
        <is>
          <t>No Club</t>
        </is>
      </c>
      <c r="I638" t="n">
        <v>40</v>
      </c>
      <c r="J638" s="4" t="n">
        <v>8</v>
      </c>
      <c r="K638" t="inlineStr">
        <is>
          <t>0 / 8</t>
        </is>
      </c>
      <c r="L638" t="inlineStr">
        <is>
          <t>0 / 3</t>
        </is>
      </c>
      <c r="M638" s="5" t="n">
        <v>0</v>
      </c>
      <c r="N638" s="5" t="n">
        <v>0</v>
      </c>
    </row>
    <row r="639">
      <c r="A639" t="n">
        <v>638</v>
      </c>
      <c r="B639" t="n">
        <v>2016</v>
      </c>
      <c r="C639" t="inlineStr">
        <is>
          <t>Eliana Gamboa Puentevella</t>
        </is>
      </c>
      <c r="D639">
        <f>HYPERLINK("https://ota.tournamentsoftware.com/player-profile/F092EBD2-5997-4E03-AED5-C7E2E614192B", "Link")</f>
        <v/>
      </c>
      <c r="E639" s="3" t="n">
        <v>32.902</v>
      </c>
      <c r="F639" s="4" t="n">
        <v>10</v>
      </c>
      <c r="G639" t="inlineStr">
        <is>
          <t>British Columbia</t>
        </is>
      </c>
      <c r="H639" t="inlineStr">
        <is>
          <t>Suncoast Racquet Club</t>
        </is>
      </c>
      <c r="I639" t="n">
        <v>37.1</v>
      </c>
      <c r="J639" s="4" t="n">
        <v>122</v>
      </c>
      <c r="K639" t="inlineStr">
        <is>
          <t>58 / 64</t>
        </is>
      </c>
      <c r="L639" t="inlineStr">
        <is>
          <t>28 / 20</t>
        </is>
      </c>
      <c r="M639" s="5" t="n">
        <v>0.48</v>
      </c>
      <c r="N639" s="5" t="n">
        <v>0.58</v>
      </c>
    </row>
    <row r="640">
      <c r="A640" t="n">
        <v>639</v>
      </c>
      <c r="B640" t="n">
        <v>2015</v>
      </c>
      <c r="C640" t="inlineStr">
        <is>
          <t>Enlin Fan</t>
        </is>
      </c>
      <c r="D640">
        <f>HYPERLINK("https://ota.tournamentsoftware.com/player-profile/0F38D490-CA76-4A12-BE87-0BAC308EDC74", "Link")</f>
        <v/>
      </c>
      <c r="E640" s="3" t="n">
        <v>32.538</v>
      </c>
      <c r="F640" s="4" t="n">
        <v>6</v>
      </c>
      <c r="G640" t="inlineStr">
        <is>
          <t>British Columbia</t>
        </is>
      </c>
      <c r="H640" t="inlineStr">
        <is>
          <t>The Tennis Centre</t>
        </is>
      </c>
      <c r="I640" t="inlineStr">
        <is>
          <t>unavailable</t>
        </is>
      </c>
      <c r="J640" s="4" t="n">
        <v>93</v>
      </c>
      <c r="K640" t="inlineStr">
        <is>
          <t>42 / 51</t>
        </is>
      </c>
      <c r="L640" t="inlineStr">
        <is>
          <t>7 / 6</t>
        </is>
      </c>
      <c r="M640" s="5" t="n">
        <v>0.45</v>
      </c>
      <c r="N640" s="5" t="n">
        <v>0.54</v>
      </c>
    </row>
    <row r="641">
      <c r="A641" t="n">
        <v>640</v>
      </c>
      <c r="B641" t="n">
        <v>2015</v>
      </c>
      <c r="C641" t="inlineStr">
        <is>
          <t>GAURI BHARDWAJ</t>
        </is>
      </c>
      <c r="D641">
        <f>HYPERLINK("https://ota.tournamentsoftware.com/player-profile/7D0915D9-E26B-4DD0-AA8A-90DD2833C0F8", "Link")</f>
        <v/>
      </c>
      <c r="E641" s="3" t="n">
        <v>32.49</v>
      </c>
      <c r="F641" s="4" t="n">
        <v>6</v>
      </c>
      <c r="G641" t="inlineStr">
        <is>
          <t>Ontario Tennis Association</t>
        </is>
      </c>
      <c r="H641" t="inlineStr">
        <is>
          <t>Premier Racquet Clubs – Mississauga</t>
        </is>
      </c>
      <c r="I641" t="n">
        <v>37.6</v>
      </c>
      <c r="J641" s="4" t="n">
        <v>105</v>
      </c>
      <c r="K641" t="inlineStr">
        <is>
          <t>38 / 67</t>
        </is>
      </c>
      <c r="L641" t="inlineStr">
        <is>
          <t>3 / 3</t>
        </is>
      </c>
      <c r="M641" s="5" t="n">
        <v>0.36</v>
      </c>
      <c r="N641" s="5" t="n">
        <v>0.5</v>
      </c>
    </row>
    <row r="642">
      <c r="A642" t="n">
        <v>641</v>
      </c>
      <c r="B642" t="n">
        <v>2015</v>
      </c>
      <c r="C642" t="inlineStr">
        <is>
          <t>Piper Harrison</t>
        </is>
      </c>
      <c r="D642">
        <f>HYPERLINK("https://ota.tournamentsoftware.com/player-profile/8FD01254-4DB3-4BFF-A784-65DB87717C42", "Link")</f>
        <v/>
      </c>
      <c r="E642" s="3" t="n">
        <v>31.992</v>
      </c>
      <c r="F642" s="4" t="n">
        <v>7</v>
      </c>
      <c r="G642" t="inlineStr">
        <is>
          <t>Ontario Tennis Association</t>
        </is>
      </c>
      <c r="H642" t="inlineStr">
        <is>
          <t>Boulevard Club</t>
        </is>
      </c>
      <c r="I642" t="n">
        <v>38.6</v>
      </c>
      <c r="J642" s="4" t="n">
        <v>56</v>
      </c>
      <c r="K642" t="inlineStr">
        <is>
          <t>18 / 38</t>
        </is>
      </c>
      <c r="L642" t="inlineStr">
        <is>
          <t>6 / 10</t>
        </is>
      </c>
      <c r="M642" s="5" t="n">
        <v>0.32</v>
      </c>
      <c r="N642" s="5" t="n">
        <v>0.38</v>
      </c>
    </row>
    <row r="643">
      <c r="A643" t="n">
        <v>642</v>
      </c>
      <c r="B643" t="n">
        <v>2012</v>
      </c>
      <c r="C643" t="inlineStr">
        <is>
          <t>Rosalie Lanthier</t>
        </is>
      </c>
      <c r="D643">
        <f>HYPERLINK("https://ota.tournamentsoftware.com/player-profile/7853B67E-AF4D-4FFF-9839-6455ACC0C941", "Link")</f>
        <v/>
      </c>
      <c r="E643" s="3" t="n">
        <v>31.759</v>
      </c>
      <c r="F643" s="4" t="n">
        <v>5</v>
      </c>
      <c r="G643" t="inlineStr">
        <is>
          <t>Tennis Québec</t>
        </is>
      </c>
      <c r="H643" t="inlineStr">
        <is>
          <t>EB Tennis inc.</t>
        </is>
      </c>
      <c r="I643" t="n">
        <v>40</v>
      </c>
      <c r="J643" s="4" t="n">
        <v>15</v>
      </c>
      <c r="K643" t="inlineStr">
        <is>
          <t>1 / 14</t>
        </is>
      </c>
      <c r="L643" t="inlineStr">
        <is>
          <t>0 / 4</t>
        </is>
      </c>
      <c r="M643" s="5" t="n">
        <v>0.07000000000000001</v>
      </c>
      <c r="N643" s="5" t="n">
        <v>0</v>
      </c>
    </row>
    <row r="644">
      <c r="A644" t="n">
        <v>643</v>
      </c>
      <c r="B644" t="n">
        <v>2016</v>
      </c>
      <c r="C644" t="inlineStr">
        <is>
          <t>Talia Petrovski</t>
        </is>
      </c>
      <c r="D644">
        <f>HYPERLINK("https://ota.tournamentsoftware.com/player-profile/85787F1F-708B-4576-AEFA-F82C6105B16E", "Link")</f>
        <v/>
      </c>
      <c r="E644" s="3" t="n">
        <v>31.234</v>
      </c>
      <c r="F644" s="4" t="n">
        <v>17</v>
      </c>
      <c r="G644" t="inlineStr">
        <is>
          <t>British Columbia</t>
        </is>
      </c>
      <c r="H644" t="inlineStr">
        <is>
          <t>Tennis for Life</t>
        </is>
      </c>
      <c r="I644" t="n">
        <v>35.8</v>
      </c>
      <c r="J644" s="4" t="n">
        <v>139</v>
      </c>
      <c r="K644" t="inlineStr">
        <is>
          <t>78 / 61</t>
        </is>
      </c>
      <c r="L644" t="inlineStr">
        <is>
          <t>48 / 23</t>
        </is>
      </c>
      <c r="M644" s="5" t="n">
        <v>0.5600000000000001</v>
      </c>
      <c r="N644" s="5" t="n">
        <v>0.68</v>
      </c>
    </row>
    <row r="645">
      <c r="A645" t="n">
        <v>644</v>
      </c>
      <c r="B645" t="n">
        <v>2016</v>
      </c>
      <c r="C645" t="inlineStr">
        <is>
          <t>Lily Chen</t>
        </is>
      </c>
      <c r="D645">
        <f>HYPERLINK("https://ota.tournamentsoftware.com/player-profile/A6A0EB19-7DDD-4B25-B81C-FCA911081AB5", "Link")</f>
        <v/>
      </c>
      <c r="E645" s="3" t="n">
        <v>31.117</v>
      </c>
      <c r="F645" s="4" t="n">
        <v>15</v>
      </c>
      <c r="G645" t="inlineStr">
        <is>
          <t>British Columbia</t>
        </is>
      </c>
      <c r="H645" t="inlineStr">
        <is>
          <t>No Club</t>
        </is>
      </c>
      <c r="I645" t="n">
        <v>36.2</v>
      </c>
      <c r="J645" s="4" t="n">
        <v>100</v>
      </c>
      <c r="K645" t="inlineStr">
        <is>
          <t>39 / 61</t>
        </is>
      </c>
      <c r="L645" t="inlineStr">
        <is>
          <t>12 / 18</t>
        </is>
      </c>
      <c r="M645" s="5" t="n">
        <v>0.39</v>
      </c>
      <c r="N645" s="5" t="n">
        <v>0.4</v>
      </c>
    </row>
    <row r="646">
      <c r="A646" t="n">
        <v>645</v>
      </c>
      <c r="B646" t="n">
        <v>2014</v>
      </c>
      <c r="C646" t="inlineStr">
        <is>
          <t>Ignatia Walsh</t>
        </is>
      </c>
      <c r="D646">
        <f>HYPERLINK("https://ota.tournamentsoftware.com/player-profile/AEC8F080-693E-4608-867A-22E590A9E567", "Link")</f>
        <v/>
      </c>
      <c r="E646" s="3" t="n">
        <v>30.526</v>
      </c>
      <c r="F646" s="4" t="n">
        <v>14</v>
      </c>
      <c r="G646" t="inlineStr">
        <is>
          <t>Ontario Tennis Association</t>
        </is>
      </c>
      <c r="H646" t="inlineStr">
        <is>
          <t>Premier Racquet Clubs – Mississauga</t>
        </is>
      </c>
      <c r="I646" t="inlineStr">
        <is>
          <t>unavailable</t>
        </is>
      </c>
      <c r="J646" s="4" t="n">
        <v>53</v>
      </c>
      <c r="K646" t="inlineStr">
        <is>
          <t>13 / 40</t>
        </is>
      </c>
      <c r="L646" t="inlineStr">
        <is>
          <t>6 / 16</t>
        </is>
      </c>
      <c r="M646" s="5" t="n">
        <v>0.25</v>
      </c>
      <c r="N646" s="5" t="n">
        <v>0.27</v>
      </c>
    </row>
    <row r="647">
      <c r="A647" t="n">
        <v>646</v>
      </c>
      <c r="B647" t="n">
        <v>2015</v>
      </c>
      <c r="C647" t="inlineStr">
        <is>
          <t>Ziba Forooghian</t>
        </is>
      </c>
      <c r="D647">
        <f>HYPERLINK("https://ota.tournamentsoftware.com/player-profile/F7878057-CB20-46E1-B220-553040C8AC48", "Link")</f>
        <v/>
      </c>
      <c r="E647" s="3" t="n">
        <v>30.012</v>
      </c>
      <c r="F647" s="4" t="n">
        <v>17</v>
      </c>
      <c r="G647" t="inlineStr">
        <is>
          <t>British Columbia</t>
        </is>
      </c>
      <c r="H647" t="inlineStr">
        <is>
          <t>Arbutus Club</t>
        </is>
      </c>
      <c r="I647" t="n">
        <v>36.9</v>
      </c>
      <c r="J647" s="4" t="n">
        <v>77</v>
      </c>
      <c r="K647" t="inlineStr">
        <is>
          <t>25 / 52</t>
        </is>
      </c>
      <c r="L647" t="inlineStr">
        <is>
          <t>12 / 29</t>
        </is>
      </c>
      <c r="M647" s="5" t="n">
        <v>0.32</v>
      </c>
      <c r="N647" s="5" t="n">
        <v>0.29</v>
      </c>
    </row>
    <row r="648">
      <c r="A648" t="n">
        <v>647</v>
      </c>
      <c r="B648" t="n">
        <v>2013</v>
      </c>
      <c r="C648" t="inlineStr">
        <is>
          <t>Naia Luke</t>
        </is>
      </c>
      <c r="D648">
        <f>HYPERLINK("https://ota.tournamentsoftware.com/player-profile/E8620DEC-5B72-4D85-9171-1F914B105E62", "Link")</f>
        <v/>
      </c>
      <c r="E648" s="3" t="n">
        <v>29.894</v>
      </c>
      <c r="F648" s="4" t="n">
        <v>4</v>
      </c>
      <c r="G648" t="inlineStr">
        <is>
          <t>British Columbia</t>
        </is>
      </c>
      <c r="H648" t="inlineStr">
        <is>
          <t>Jericho Tennis Club</t>
        </is>
      </c>
      <c r="I648" t="n">
        <v>39.5</v>
      </c>
      <c r="J648" s="4" t="n">
        <v>39</v>
      </c>
      <c r="K648" t="inlineStr">
        <is>
          <t>9 / 30</t>
        </is>
      </c>
      <c r="L648" t="inlineStr">
        <is>
          <t>0 / 5</t>
        </is>
      </c>
      <c r="M648" s="5" t="n">
        <v>0.23</v>
      </c>
      <c r="N648" s="5" t="n">
        <v>0</v>
      </c>
    </row>
    <row r="649">
      <c r="A649" t="n">
        <v>648</v>
      </c>
      <c r="B649" t="n">
        <v>2014</v>
      </c>
      <c r="C649" t="inlineStr">
        <is>
          <t>Sophie Vivienne Ma</t>
        </is>
      </c>
      <c r="D649">
        <f>HYPERLINK("https://ota.tournamentsoftware.com/player-profile/5BFCC3E7-799D-4957-B35C-26164F771CAB", "Link")</f>
        <v/>
      </c>
      <c r="E649" s="3" t="n">
        <v>29.867</v>
      </c>
      <c r="F649" s="4" t="n">
        <v>7</v>
      </c>
      <c r="G649" t="inlineStr">
        <is>
          <t>Ontario Tennis Association</t>
        </is>
      </c>
      <c r="H649" t="inlineStr">
        <is>
          <t>NYTA Winter Tennis Club</t>
        </is>
      </c>
      <c r="I649" t="n">
        <v>38.9</v>
      </c>
      <c r="J649" s="4" t="n">
        <v>52</v>
      </c>
      <c r="K649" t="inlineStr">
        <is>
          <t>17 / 35</t>
        </is>
      </c>
      <c r="L649" t="inlineStr">
        <is>
          <t>2 / 8</t>
        </is>
      </c>
      <c r="M649" s="5" t="n">
        <v>0.33</v>
      </c>
      <c r="N649" s="5" t="n">
        <v>0.2</v>
      </c>
    </row>
    <row r="650">
      <c r="A650" t="n">
        <v>649</v>
      </c>
      <c r="B650" t="n">
        <v>2016</v>
      </c>
      <c r="C650" t="inlineStr">
        <is>
          <t>Chloe Garikimukkula</t>
        </is>
      </c>
      <c r="D650">
        <f>HYPERLINK("https://ota.tournamentsoftware.com/player-profile/8B630DA5-F61E-4159-9316-7EA463790908", "Link")</f>
        <v/>
      </c>
      <c r="E650" s="3" t="n">
        <v>29.448</v>
      </c>
      <c r="F650" s="4" t="n">
        <v>9</v>
      </c>
      <c r="G650" t="inlineStr">
        <is>
          <t>Ontario Tennis Association</t>
        </is>
      </c>
      <c r="H650" t="inlineStr">
        <is>
          <t>Burlington Tennis Club</t>
        </is>
      </c>
      <c r="I650" t="n">
        <v>36.9</v>
      </c>
      <c r="J650" s="4" t="n">
        <v>96</v>
      </c>
      <c r="K650" t="inlineStr">
        <is>
          <t>56 / 40</t>
        </is>
      </c>
      <c r="L650" t="inlineStr">
        <is>
          <t>37 / 25</t>
        </is>
      </c>
      <c r="M650" s="5" t="n">
        <v>0.58</v>
      </c>
      <c r="N650" s="5" t="n">
        <v>0.6</v>
      </c>
    </row>
    <row r="651">
      <c r="A651" t="n">
        <v>650</v>
      </c>
      <c r="B651" t="n">
        <v>2012</v>
      </c>
      <c r="C651" t="inlineStr">
        <is>
          <t>Remy Quinn Durocher</t>
        </is>
      </c>
      <c r="D651">
        <f>HYPERLINK("https://ota.tournamentsoftware.com/player-profile/64BF8C80-3EDB-464A-896D-5D47CC387451", "Link")</f>
        <v/>
      </c>
      <c r="E651" s="3" t="n">
        <v>29.376</v>
      </c>
      <c r="F651" s="4" t="n">
        <v>1</v>
      </c>
      <c r="G651" t="inlineStr">
        <is>
          <t>Tennis Prince Edward Island</t>
        </is>
      </c>
      <c r="H651" t="inlineStr">
        <is>
          <t>Stratford Tennis Club</t>
        </is>
      </c>
      <c r="I651" t="n">
        <v>40</v>
      </c>
      <c r="J651" s="4" t="n">
        <v>8</v>
      </c>
      <c r="K651" t="inlineStr">
        <is>
          <t>1 / 7</t>
        </is>
      </c>
      <c r="L651" t="inlineStr">
        <is>
          <t>0 / 2</t>
        </is>
      </c>
      <c r="M651" s="5" t="n">
        <v>0.12</v>
      </c>
      <c r="N651" s="5" t="n">
        <v>0</v>
      </c>
    </row>
    <row r="652">
      <c r="A652" t="n">
        <v>651</v>
      </c>
      <c r="B652" t="n">
        <v>2013</v>
      </c>
      <c r="C652" t="inlineStr">
        <is>
          <t>Brooklyn Desjardins</t>
        </is>
      </c>
      <c r="D652">
        <f>HYPERLINK("https://ota.tournamentsoftware.com/player-profile/EDCAF363-81B5-4378-83DC-E36CD3ACC539", "Link")</f>
        <v/>
      </c>
      <c r="E652" s="3" t="n">
        <v>29.163</v>
      </c>
      <c r="F652" s="4" t="n">
        <v>4</v>
      </c>
      <c r="G652" t="inlineStr">
        <is>
          <t>Tennis Québec</t>
        </is>
      </c>
      <c r="H652" t="inlineStr">
        <is>
          <t>Club Sportif Côte-de-Liesse</t>
        </is>
      </c>
      <c r="I652" t="n">
        <v>37.7</v>
      </c>
      <c r="J652" s="4" t="n">
        <v>49</v>
      </c>
      <c r="K652" t="inlineStr">
        <is>
          <t>19 / 30</t>
        </is>
      </c>
      <c r="L652" t="inlineStr">
        <is>
          <t>0 / 0</t>
        </is>
      </c>
      <c r="M652" s="5" t="n">
        <v>0.39</v>
      </c>
      <c r="N652" s="5" t="n">
        <v>0</v>
      </c>
    </row>
    <row r="653">
      <c r="A653" t="n">
        <v>652</v>
      </c>
      <c r="B653" t="n">
        <v>2016</v>
      </c>
      <c r="C653" t="inlineStr">
        <is>
          <t>Madison Dionne</t>
        </is>
      </c>
      <c r="D653">
        <f>HYPERLINK("https://ota.tournamentsoftware.com/player-profile/E7A43ABD-96E4-46C3-84A5-BAF14D846E4C", "Link")</f>
        <v/>
      </c>
      <c r="E653" s="3" t="n">
        <v>29.157</v>
      </c>
      <c r="F653" s="4" t="n">
        <v>7</v>
      </c>
      <c r="G653" t="inlineStr">
        <is>
          <t>Ontario Tennis Association</t>
        </is>
      </c>
      <c r="H653" t="inlineStr">
        <is>
          <t>Ontario Racquet Club</t>
        </is>
      </c>
      <c r="I653" t="n">
        <v>37.3</v>
      </c>
      <c r="J653" s="4" t="n">
        <v>94</v>
      </c>
      <c r="K653" t="inlineStr">
        <is>
          <t>28 / 66</t>
        </is>
      </c>
      <c r="L653" t="inlineStr">
        <is>
          <t>12 / 12</t>
        </is>
      </c>
      <c r="M653" s="5" t="n">
        <v>0.3</v>
      </c>
      <c r="N653" s="5" t="n">
        <v>0.5</v>
      </c>
    </row>
    <row r="654">
      <c r="A654" t="n">
        <v>653</v>
      </c>
      <c r="B654" t="n">
        <v>2015</v>
      </c>
      <c r="C654" t="inlineStr">
        <is>
          <t>Iris RuiYing Cen</t>
        </is>
      </c>
      <c r="D654">
        <f>HYPERLINK("https://ota.tournamentsoftware.com/player-profile/D53FD847-C5AE-41A6-BFB8-EE8B251EDFBF", "Link")</f>
        <v/>
      </c>
      <c r="E654" s="3" t="n">
        <v>29.111</v>
      </c>
      <c r="F654" s="4" t="n">
        <v>7</v>
      </c>
      <c r="G654" t="inlineStr">
        <is>
          <t>Ontario Tennis Association</t>
        </is>
      </c>
      <c r="H654" t="inlineStr">
        <is>
          <t>Meadowvale West Tennis Club</t>
        </is>
      </c>
      <c r="I654" t="n">
        <v>38.1</v>
      </c>
      <c r="J654" s="4" t="n">
        <v>77</v>
      </c>
      <c r="K654" t="inlineStr">
        <is>
          <t>20 / 57</t>
        </is>
      </c>
      <c r="L654" t="inlineStr">
        <is>
          <t>2 / 4</t>
        </is>
      </c>
      <c r="M654" s="5" t="n">
        <v>0.26</v>
      </c>
      <c r="N654" s="5" t="n">
        <v>0.33</v>
      </c>
    </row>
    <row r="655">
      <c r="A655" t="n">
        <v>654</v>
      </c>
      <c r="B655" t="n">
        <v>2014</v>
      </c>
      <c r="C655" t="inlineStr">
        <is>
          <t>Mila Khayretdinova</t>
        </is>
      </c>
      <c r="D655">
        <f>HYPERLINK("https://ota.tournamentsoftware.com/player-profile/04DE0A72-CDB6-4637-88E8-378348327654", "Link")</f>
        <v/>
      </c>
      <c r="E655" s="3" t="n">
        <v>28.855</v>
      </c>
      <c r="F655" s="4" t="n">
        <v>7</v>
      </c>
      <c r="G655" t="inlineStr">
        <is>
          <t>Tennis Québec</t>
        </is>
      </c>
      <c r="H655" t="inlineStr">
        <is>
          <t>No Club</t>
        </is>
      </c>
      <c r="I655" t="n">
        <v>39.1</v>
      </c>
      <c r="J655" s="4" t="n">
        <v>41</v>
      </c>
      <c r="K655" t="inlineStr">
        <is>
          <t>3 / 38</t>
        </is>
      </c>
      <c r="L655" t="inlineStr">
        <is>
          <t>3 / 6</t>
        </is>
      </c>
      <c r="M655" s="5" t="n">
        <v>0.07000000000000001</v>
      </c>
      <c r="N655" s="5" t="n">
        <v>0.33</v>
      </c>
    </row>
    <row r="656">
      <c r="A656" t="n">
        <v>655</v>
      </c>
      <c r="B656" t="n">
        <v>2013</v>
      </c>
      <c r="C656" t="inlineStr">
        <is>
          <t>TIFFANY ZHENG</t>
        </is>
      </c>
      <c r="D656">
        <f>HYPERLINK("https://ota.tournamentsoftware.com/player-profile/59B34621-D499-450A-BDB3-B38C363BEAD1", "Link")</f>
        <v/>
      </c>
      <c r="E656" s="3" t="n">
        <v>28.481</v>
      </c>
      <c r="F656" s="4" t="n">
        <v>1</v>
      </c>
      <c r="G656" t="inlineStr">
        <is>
          <t>Ontario Tennis Association</t>
        </is>
      </c>
      <c r="H656" t="inlineStr">
        <is>
          <t>Carleton Tennis Centre</t>
        </is>
      </c>
      <c r="I656" t="n">
        <v>34</v>
      </c>
      <c r="J656" s="4" t="n">
        <v>1</v>
      </c>
      <c r="K656" t="inlineStr">
        <is>
          <t>1 / 0</t>
        </is>
      </c>
      <c r="L656" t="inlineStr">
        <is>
          <t>1 / 0</t>
        </is>
      </c>
      <c r="M656" s="5" t="n">
        <v>1</v>
      </c>
      <c r="N656" s="5" t="n">
        <v>1</v>
      </c>
    </row>
    <row r="657">
      <c r="A657" t="n">
        <v>656</v>
      </c>
      <c r="B657" t="n">
        <v>2013</v>
      </c>
      <c r="C657" t="inlineStr">
        <is>
          <t>Meryem Besri Besri</t>
        </is>
      </c>
      <c r="D657">
        <f>HYPERLINK("https://ota.tournamentsoftware.com/player-profile/24E638E5-93ED-46F3-95E6-F944EA4EAAE7", "Link")</f>
        <v/>
      </c>
      <c r="E657" s="3" t="n">
        <v>28.425</v>
      </c>
      <c r="F657" s="4" t="n">
        <v>3</v>
      </c>
      <c r="G657" t="inlineStr">
        <is>
          <t>Tennis Alberta</t>
        </is>
      </c>
      <c r="H657" t="inlineStr">
        <is>
          <t>Calgary - Public</t>
        </is>
      </c>
      <c r="I657" t="n">
        <v>32</v>
      </c>
      <c r="J657" s="4" t="n">
        <v>6</v>
      </c>
      <c r="K657" t="inlineStr">
        <is>
          <t>3 / 3</t>
        </is>
      </c>
      <c r="L657" t="inlineStr">
        <is>
          <t>3 / 3</t>
        </is>
      </c>
      <c r="M657" s="5" t="n">
        <v>0.5</v>
      </c>
      <c r="N657" s="5" t="n">
        <v>0.5</v>
      </c>
    </row>
    <row r="658">
      <c r="A658" t="n">
        <v>657</v>
      </c>
      <c r="B658" t="n">
        <v>2015</v>
      </c>
      <c r="C658" t="inlineStr">
        <is>
          <t>Asena Kiamil</t>
        </is>
      </c>
      <c r="D658">
        <f>HYPERLINK("https://ota.tournamentsoftware.com/player-profile/E9A72281-6B76-4B36-9040-E802436447FA", "Link")</f>
        <v/>
      </c>
      <c r="E658" s="3" t="n">
        <v>28.371</v>
      </c>
      <c r="F658" s="4" t="n">
        <v>5</v>
      </c>
      <c r="G658" t="inlineStr">
        <is>
          <t>Ontario Tennis Association</t>
        </is>
      </c>
      <c r="H658" t="inlineStr">
        <is>
          <t>Royal City Tennis Club</t>
        </is>
      </c>
      <c r="I658" t="n">
        <v>37.7</v>
      </c>
      <c r="J658" s="4" t="n">
        <v>84</v>
      </c>
      <c r="K658" t="inlineStr">
        <is>
          <t>45 / 39</t>
        </is>
      </c>
      <c r="L658" t="inlineStr">
        <is>
          <t>3 / 5</t>
        </is>
      </c>
      <c r="M658" s="5" t="n">
        <v>0.54</v>
      </c>
      <c r="N658" s="5" t="n">
        <v>0.38</v>
      </c>
    </row>
    <row r="659">
      <c r="A659" t="n">
        <v>658</v>
      </c>
      <c r="B659" t="n">
        <v>2016</v>
      </c>
      <c r="C659" t="inlineStr">
        <is>
          <t>Flora Ziyue Wang</t>
        </is>
      </c>
      <c r="D659">
        <f>HYPERLINK("https://ota.tournamentsoftware.com/player-profile/65435931-BBD0-46BD-839E-4188787640BE", "Link")</f>
        <v/>
      </c>
      <c r="E659" s="3" t="n">
        <v>28.368</v>
      </c>
      <c r="F659" s="4" t="n">
        <v>6</v>
      </c>
      <c r="G659" t="inlineStr">
        <is>
          <t>Ontario Tennis Association</t>
        </is>
      </c>
      <c r="H659" t="inlineStr">
        <is>
          <t>Unionville Tennis Club</t>
        </is>
      </c>
      <c r="I659" t="n">
        <v>35.1</v>
      </c>
      <c r="J659" s="4" t="n">
        <v>81</v>
      </c>
      <c r="K659" t="inlineStr">
        <is>
          <t>42 / 39</t>
        </is>
      </c>
      <c r="L659" t="inlineStr">
        <is>
          <t>15 / 8</t>
        </is>
      </c>
      <c r="M659" s="5" t="n">
        <v>0.52</v>
      </c>
      <c r="N659" s="5" t="n">
        <v>0.65</v>
      </c>
    </row>
    <row r="660">
      <c r="A660" t="n">
        <v>659</v>
      </c>
      <c r="B660" t="n">
        <v>2016</v>
      </c>
      <c r="C660" t="inlineStr">
        <is>
          <t>Ama Marie Elvira Kouadio</t>
        </is>
      </c>
      <c r="D660">
        <f>HYPERLINK("https://ota.tournamentsoftware.com/player-profile/25362040-6649-44FF-A97B-DDFA8FFF0B73", "Link")</f>
        <v/>
      </c>
      <c r="E660" s="3" t="n">
        <v>27.991</v>
      </c>
      <c r="F660" s="4" t="n">
        <v>3</v>
      </c>
      <c r="G660" t="inlineStr">
        <is>
          <t>Tennis Québec</t>
        </is>
      </c>
      <c r="H660" t="inlineStr">
        <is>
          <t>Carrefour Multisports</t>
        </is>
      </c>
      <c r="I660" t="n">
        <v>34.4</v>
      </c>
      <c r="J660" s="4" t="n">
        <v>65</v>
      </c>
      <c r="K660" t="inlineStr">
        <is>
          <t>41 / 24</t>
        </is>
      </c>
      <c r="L660" t="inlineStr">
        <is>
          <t>5 / 4</t>
        </is>
      </c>
      <c r="M660" s="5" t="n">
        <v>0.63</v>
      </c>
      <c r="N660" s="5" t="n">
        <v>0.5600000000000001</v>
      </c>
    </row>
    <row r="661">
      <c r="A661" t="n">
        <v>660</v>
      </c>
      <c r="B661" t="n">
        <v>2013</v>
      </c>
      <c r="C661" t="inlineStr">
        <is>
          <t>Phoebe Xu</t>
        </is>
      </c>
      <c r="D661">
        <f>HYPERLINK("https://ota.tournamentsoftware.com/player-profile/278C7B40-F6F9-4402-A8BF-F8069FAF9612", "Link")</f>
        <v/>
      </c>
      <c r="E661" s="3" t="n">
        <v>27.864</v>
      </c>
      <c r="F661" s="4" t="n">
        <v>2</v>
      </c>
      <c r="G661" t="inlineStr">
        <is>
          <t>Ontario Tennis Association</t>
        </is>
      </c>
      <c r="H661" t="inlineStr">
        <is>
          <t>Sandy Beach Tennis Club</t>
        </is>
      </c>
      <c r="I661" t="n">
        <v>32</v>
      </c>
      <c r="J661" s="4" t="n">
        <v>89</v>
      </c>
      <c r="K661" t="inlineStr">
        <is>
          <t>50 / 39</t>
        </is>
      </c>
      <c r="L661" t="inlineStr">
        <is>
          <t>1 / 1</t>
        </is>
      </c>
      <c r="M661" s="5" t="n">
        <v>0.5600000000000001</v>
      </c>
      <c r="N661" s="5" t="n">
        <v>0.5</v>
      </c>
    </row>
    <row r="662">
      <c r="A662" t="n">
        <v>661</v>
      </c>
      <c r="B662" t="n">
        <v>2015</v>
      </c>
      <c r="C662" t="inlineStr">
        <is>
          <t>Parine Jani</t>
        </is>
      </c>
      <c r="D662">
        <f>HYPERLINK("https://ota.tournamentsoftware.com/player-profile/DEF6C92A-14C0-4DEB-A4E3-22B40C75E14A", "Link")</f>
        <v/>
      </c>
      <c r="E662" s="3" t="n">
        <v>27.46</v>
      </c>
      <c r="F662" s="4" t="n">
        <v>4</v>
      </c>
      <c r="G662" t="inlineStr">
        <is>
          <t>Ontario Tennis Association</t>
        </is>
      </c>
      <c r="H662" t="inlineStr">
        <is>
          <t>Unionville Tennis Club</t>
        </is>
      </c>
      <c r="I662" t="n">
        <v>40</v>
      </c>
      <c r="J662" s="4" t="n">
        <v>42</v>
      </c>
      <c r="K662" t="inlineStr">
        <is>
          <t>7 / 35</t>
        </is>
      </c>
      <c r="L662" t="inlineStr">
        <is>
          <t>1 / 10</t>
        </is>
      </c>
      <c r="M662" s="5" t="n">
        <v>0.17</v>
      </c>
      <c r="N662" s="5" t="n">
        <v>0.09</v>
      </c>
    </row>
    <row r="663">
      <c r="A663" t="n">
        <v>662</v>
      </c>
      <c r="B663" t="n">
        <v>2012</v>
      </c>
      <c r="C663" t="inlineStr">
        <is>
          <t>Emma Gao</t>
        </is>
      </c>
      <c r="D663">
        <f>HYPERLINK("https://ota.tournamentsoftware.com/player-profile/C88BC343-3DFB-493C-85F2-14F8A90F6D68", "Link")</f>
        <v/>
      </c>
      <c r="E663" s="3" t="n">
        <v>27.439</v>
      </c>
      <c r="F663" s="4" t="n">
        <v>3</v>
      </c>
      <c r="G663" t="inlineStr">
        <is>
          <t>British Columbia</t>
        </is>
      </c>
      <c r="H663" t="inlineStr">
        <is>
          <t>Tennis for Life</t>
        </is>
      </c>
      <c r="I663" t="inlineStr">
        <is>
          <t>unavailable</t>
        </is>
      </c>
      <c r="J663" s="4" t="n">
        <v>33</v>
      </c>
      <c r="K663" t="inlineStr">
        <is>
          <t>9 / 24</t>
        </is>
      </c>
      <c r="L663" t="inlineStr">
        <is>
          <t>0 / 5</t>
        </is>
      </c>
      <c r="M663" s="5" t="n">
        <v>0.27</v>
      </c>
      <c r="N663" s="5" t="n">
        <v>0</v>
      </c>
    </row>
    <row r="664">
      <c r="A664" t="n">
        <v>663</v>
      </c>
      <c r="B664" t="n">
        <v>2012</v>
      </c>
      <c r="C664" t="inlineStr">
        <is>
          <t>Adelaide Morgan</t>
        </is>
      </c>
      <c r="D664">
        <f>HYPERLINK("https://ota.tournamentsoftware.com/player-profile/349677AB-87B2-407B-BDFF-04EE8550EE87", "Link")</f>
        <v/>
      </c>
      <c r="E664" s="3" t="n">
        <v>27.259</v>
      </c>
      <c r="F664" s="4" t="n">
        <v>2</v>
      </c>
      <c r="G664" t="inlineStr">
        <is>
          <t>Ontario Tennis Association</t>
        </is>
      </c>
      <c r="H664" t="inlineStr">
        <is>
          <t>Eglinton Flats Winter Tennis Club</t>
        </is>
      </c>
      <c r="I664" t="inlineStr">
        <is>
          <t>unavailable</t>
        </is>
      </c>
      <c r="J664" s="4" t="n">
        <v>15</v>
      </c>
      <c r="K664" t="inlineStr">
        <is>
          <t>5 / 10</t>
        </is>
      </c>
      <c r="L664" t="inlineStr">
        <is>
          <t>0 / 4</t>
        </is>
      </c>
      <c r="M664" s="5" t="n">
        <v>0.33</v>
      </c>
      <c r="N664" s="5" t="n">
        <v>0</v>
      </c>
    </row>
    <row r="665">
      <c r="A665" t="n">
        <v>664</v>
      </c>
      <c r="B665" t="n">
        <v>2012</v>
      </c>
      <c r="C665" t="inlineStr">
        <is>
          <t>Tallulah Oakes</t>
        </is>
      </c>
      <c r="D665">
        <f>HYPERLINK("https://ota.tournamentsoftware.com/player-profile/B5372F0A-C15A-4DDD-A97C-9E3BACE4A05E", "Link")</f>
        <v/>
      </c>
      <c r="E665" s="3" t="n">
        <v>26.613</v>
      </c>
      <c r="F665" s="4" t="n">
        <v>2</v>
      </c>
      <c r="G665" t="inlineStr">
        <is>
          <t>British Columbia</t>
        </is>
      </c>
      <c r="H665" t="inlineStr">
        <is>
          <t>Hollyburn Country Club</t>
        </is>
      </c>
      <c r="I665" t="n">
        <v>35.3</v>
      </c>
      <c r="J665" s="4" t="n">
        <v>72</v>
      </c>
      <c r="K665" t="inlineStr">
        <is>
          <t>27 / 45</t>
        </is>
      </c>
      <c r="L665" t="inlineStr">
        <is>
          <t>1 / 2</t>
        </is>
      </c>
      <c r="M665" s="5" t="n">
        <v>0.38</v>
      </c>
      <c r="N665" s="5" t="n">
        <v>0.33</v>
      </c>
    </row>
    <row r="666">
      <c r="A666" t="n">
        <v>665</v>
      </c>
      <c r="B666" t="n">
        <v>2012</v>
      </c>
      <c r="C666" t="inlineStr">
        <is>
          <t>Kira Karstoff</t>
        </is>
      </c>
      <c r="D666">
        <f>HYPERLINK("https://ota.tournamentsoftware.com/player-profile/1755679B-A50B-4F8F-B603-0578043F7638", "Link")</f>
        <v/>
      </c>
      <c r="E666" s="3" t="n">
        <v>26.611</v>
      </c>
      <c r="F666" s="4" t="n">
        <v>2</v>
      </c>
      <c r="G666" t="inlineStr">
        <is>
          <t>Ontario Tennis Association</t>
        </is>
      </c>
      <c r="H666" t="inlineStr">
        <is>
          <t>Toronto Cricket Skating &amp; Curling</t>
        </is>
      </c>
      <c r="I666" t="inlineStr">
        <is>
          <t>unavailable</t>
        </is>
      </c>
      <c r="J666" s="4" t="n">
        <v>48</v>
      </c>
      <c r="K666" t="inlineStr">
        <is>
          <t>21 / 27</t>
        </is>
      </c>
      <c r="L666" t="inlineStr">
        <is>
          <t>2 / 4</t>
        </is>
      </c>
      <c r="M666" s="5" t="n">
        <v>0.44</v>
      </c>
      <c r="N666" s="5" t="n">
        <v>0.33</v>
      </c>
    </row>
    <row r="667">
      <c r="A667" t="n">
        <v>666</v>
      </c>
      <c r="B667" t="n">
        <v>2013</v>
      </c>
      <c r="C667" t="inlineStr">
        <is>
          <t>Mayssa Maddouri</t>
        </is>
      </c>
      <c r="D667">
        <f>HYPERLINK("https://ota.tournamentsoftware.com/player-profile/911D4DB6-C985-4A43-8264-359A0386F2C5", "Link")</f>
        <v/>
      </c>
      <c r="E667" s="3" t="n">
        <v>26.568</v>
      </c>
      <c r="F667" s="4" t="n">
        <v>2</v>
      </c>
      <c r="G667" t="inlineStr">
        <is>
          <t>Tennis Québec</t>
        </is>
      </c>
      <c r="H667" t="inlineStr">
        <is>
          <t>EB Tennis inc.</t>
        </is>
      </c>
      <c r="I667" t="inlineStr">
        <is>
          <t>unavailable</t>
        </is>
      </c>
      <c r="J667" s="4" t="n">
        <v>3</v>
      </c>
      <c r="K667" t="inlineStr">
        <is>
          <t>0 / 3</t>
        </is>
      </c>
      <c r="L667" t="inlineStr">
        <is>
          <t>0 / 3</t>
        </is>
      </c>
      <c r="M667" s="5" t="n">
        <v>0</v>
      </c>
      <c r="N667" s="5" t="n">
        <v>0</v>
      </c>
    </row>
    <row r="668">
      <c r="A668" t="n">
        <v>667</v>
      </c>
      <c r="B668" t="n">
        <v>2012</v>
      </c>
      <c r="C668" t="inlineStr">
        <is>
          <t>Erica Amy Els</t>
        </is>
      </c>
      <c r="D668">
        <f>HYPERLINK("https://ota.tournamentsoftware.com/player-profile/2D6CC49A-BAE5-4768-9244-8FB4F1D2CABC", "Link")</f>
        <v/>
      </c>
      <c r="E668" s="3" t="n">
        <v>26.417</v>
      </c>
      <c r="F668" s="4" t="n">
        <v>5</v>
      </c>
      <c r="G668" t="inlineStr">
        <is>
          <t>Tennis Alberta</t>
        </is>
      </c>
      <c r="H668" t="inlineStr">
        <is>
          <t>No Club</t>
        </is>
      </c>
      <c r="I668" t="n">
        <v>39.2</v>
      </c>
      <c r="J668" s="4" t="n">
        <v>9</v>
      </c>
      <c r="K668" t="inlineStr">
        <is>
          <t>1 / 8</t>
        </is>
      </c>
      <c r="L668" t="inlineStr">
        <is>
          <t>1 / 8</t>
        </is>
      </c>
      <c r="M668" s="5" t="n">
        <v>0.11</v>
      </c>
      <c r="N668" s="5" t="n">
        <v>0.11</v>
      </c>
    </row>
    <row r="669">
      <c r="A669" t="n">
        <v>668</v>
      </c>
      <c r="B669" t="n">
        <v>2014</v>
      </c>
      <c r="C669" t="inlineStr">
        <is>
          <t>Audrey Lu</t>
        </is>
      </c>
      <c r="D669">
        <f>HYPERLINK("https://ota.tournamentsoftware.com/player-profile/01588371-7322-467B-AA75-DDD8230D1899", "Link")</f>
        <v/>
      </c>
      <c r="E669" s="3" t="n">
        <v>26.154</v>
      </c>
      <c r="F669" s="4" t="n">
        <v>6</v>
      </c>
      <c r="G669" t="inlineStr">
        <is>
          <t>Ontario Tennis Association</t>
        </is>
      </c>
      <c r="H669" t="inlineStr">
        <is>
          <t>Toronto Cricket Skating &amp; Curling</t>
        </is>
      </c>
      <c r="I669" t="inlineStr">
        <is>
          <t>unavailable</t>
        </is>
      </c>
      <c r="J669" s="4" t="n">
        <v>24</v>
      </c>
      <c r="K669" t="inlineStr">
        <is>
          <t>10 / 14</t>
        </is>
      </c>
      <c r="L669" t="inlineStr">
        <is>
          <t>10 / 11</t>
        </is>
      </c>
      <c r="M669" s="5" t="n">
        <v>0.42</v>
      </c>
      <c r="N669" s="5" t="n">
        <v>0.48</v>
      </c>
    </row>
    <row r="670">
      <c r="A670" t="n">
        <v>669</v>
      </c>
      <c r="B670" t="n">
        <v>2017</v>
      </c>
      <c r="C670" t="inlineStr">
        <is>
          <t>Anastasia Savtchenko</t>
        </is>
      </c>
      <c r="D670">
        <f>HYPERLINK("https://ota.tournamentsoftware.com/player-profile/FF881545-63C4-4D7F-B9E4-0A8D65FB9607", "Link")</f>
        <v/>
      </c>
      <c r="E670" s="3" t="n">
        <v>25.92</v>
      </c>
      <c r="F670" s="4" t="n">
        <v>5</v>
      </c>
      <c r="G670" t="inlineStr">
        <is>
          <t>Ontario Tennis Association</t>
        </is>
      </c>
      <c r="H670" t="inlineStr">
        <is>
          <t>Valan Tennis Academy</t>
        </is>
      </c>
      <c r="I670" t="inlineStr">
        <is>
          <t>unavailable</t>
        </is>
      </c>
      <c r="J670" s="4" t="n">
        <v>91</v>
      </c>
      <c r="K670" t="inlineStr">
        <is>
          <t>51 / 40</t>
        </is>
      </c>
      <c r="L670" t="inlineStr">
        <is>
          <t>15 / 11</t>
        </is>
      </c>
      <c r="M670" s="5" t="n">
        <v>0.5600000000000001</v>
      </c>
      <c r="N670" s="5" t="n">
        <v>0.58</v>
      </c>
    </row>
    <row r="671">
      <c r="A671" t="n">
        <v>670</v>
      </c>
      <c r="B671" t="n">
        <v>2015</v>
      </c>
      <c r="C671" t="inlineStr">
        <is>
          <t>Charlotte Harvey</t>
        </is>
      </c>
      <c r="D671">
        <f>HYPERLINK("https://ota.tournamentsoftware.com/player-profile/222A5F1C-DAD0-4E2A-B035-6A15561C1E0A", "Link")</f>
        <v/>
      </c>
      <c r="E671" s="3" t="n">
        <v>25.848</v>
      </c>
      <c r="F671" s="4" t="n">
        <v>3</v>
      </c>
      <c r="G671" t="inlineStr">
        <is>
          <t>Tennis Québec</t>
        </is>
      </c>
      <c r="H671" t="inlineStr">
        <is>
          <t>Les Tennis de Rimouski (intérieur)</t>
        </is>
      </c>
      <c r="I671" t="n">
        <v>36.8</v>
      </c>
      <c r="J671" s="4" t="n">
        <v>11</v>
      </c>
      <c r="K671" t="inlineStr">
        <is>
          <t>6 / 5</t>
        </is>
      </c>
      <c r="L671" t="inlineStr">
        <is>
          <t>4 / 4</t>
        </is>
      </c>
      <c r="M671" s="5" t="n">
        <v>0.55</v>
      </c>
      <c r="N671" s="5" t="n">
        <v>0.5</v>
      </c>
    </row>
    <row r="672">
      <c r="A672" t="n">
        <v>671</v>
      </c>
      <c r="B672" t="n">
        <v>2015</v>
      </c>
      <c r="C672" t="inlineStr">
        <is>
          <t>Isadora Xu</t>
        </is>
      </c>
      <c r="D672">
        <f>HYPERLINK("https://ota.tournamentsoftware.com/player-profile/78173253-32AB-4E0D-8618-AEF874C973EC", "Link")</f>
        <v/>
      </c>
      <c r="E672" s="3" t="n">
        <v>25.746</v>
      </c>
      <c r="F672" s="4" t="n">
        <v>11</v>
      </c>
      <c r="G672" t="inlineStr">
        <is>
          <t>British Columbia</t>
        </is>
      </c>
      <c r="H672" t="inlineStr">
        <is>
          <t>Arbutus Club</t>
        </is>
      </c>
      <c r="I672" t="n">
        <v>39.3</v>
      </c>
      <c r="J672" s="4" t="n">
        <v>46</v>
      </c>
      <c r="K672" t="inlineStr">
        <is>
          <t>19 / 27</t>
        </is>
      </c>
      <c r="L672" t="inlineStr">
        <is>
          <t>15 / 21</t>
        </is>
      </c>
      <c r="M672" s="5" t="n">
        <v>0.41</v>
      </c>
      <c r="N672" s="5" t="n">
        <v>0.42</v>
      </c>
    </row>
    <row r="673">
      <c r="A673" t="n">
        <v>672</v>
      </c>
      <c r="B673" t="n">
        <v>2012</v>
      </c>
      <c r="C673" t="inlineStr">
        <is>
          <t>Harper Van Beveren</t>
        </is>
      </c>
      <c r="D673">
        <f>HYPERLINK("https://ota.tournamentsoftware.com/player-profile/5981FBA6-1FF9-4CF8-8DE2-DDB8BFEA4094", "Link")</f>
        <v/>
      </c>
      <c r="E673" s="3" t="n">
        <v>25.531</v>
      </c>
      <c r="F673" s="4" t="n">
        <v>2</v>
      </c>
      <c r="G673" t="inlineStr">
        <is>
          <t>Ontario Tennis Association</t>
        </is>
      </c>
      <c r="H673" t="inlineStr">
        <is>
          <t>Rosedale Tennis Club (Hamilton)</t>
        </is>
      </c>
      <c r="I673" t="inlineStr">
        <is>
          <t>unavailable</t>
        </is>
      </c>
      <c r="J673" s="4" t="n">
        <v>16</v>
      </c>
      <c r="K673" t="inlineStr">
        <is>
          <t>5 / 11</t>
        </is>
      </c>
      <c r="L673" t="inlineStr">
        <is>
          <t>1 / 1</t>
        </is>
      </c>
      <c r="M673" s="5" t="n">
        <v>0.31</v>
      </c>
      <c r="N673" s="5" t="n">
        <v>0.5</v>
      </c>
    </row>
    <row r="674">
      <c r="A674" t="n">
        <v>673</v>
      </c>
      <c r="B674" t="n">
        <v>2013</v>
      </c>
      <c r="C674" t="inlineStr">
        <is>
          <t>Robin Lee</t>
        </is>
      </c>
      <c r="D674">
        <f>HYPERLINK("https://ota.tournamentsoftware.com/player-profile/0DB12770-F2FF-469C-87ED-5B5A242C6A08", "Link")</f>
        <v/>
      </c>
      <c r="E674" s="3" t="n">
        <v>25.431</v>
      </c>
      <c r="F674" s="4" t="n">
        <v>5</v>
      </c>
      <c r="G674" t="inlineStr">
        <is>
          <t>Ontario Tennis Association</t>
        </is>
      </c>
      <c r="H674" t="inlineStr">
        <is>
          <t>No Club</t>
        </is>
      </c>
      <c r="I674" t="n">
        <v>39.2</v>
      </c>
      <c r="J674" s="4" t="n">
        <v>58</v>
      </c>
      <c r="K674" t="inlineStr">
        <is>
          <t>11 / 47</t>
        </is>
      </c>
      <c r="L674" t="inlineStr">
        <is>
          <t>0 / 0</t>
        </is>
      </c>
      <c r="M674" s="5" t="n">
        <v>0.19</v>
      </c>
      <c r="N674" s="5" t="n">
        <v>0</v>
      </c>
    </row>
    <row r="675">
      <c r="A675" t="n">
        <v>674</v>
      </c>
      <c r="B675" t="n">
        <v>2014</v>
      </c>
      <c r="C675" t="inlineStr">
        <is>
          <t>Mia Krusarovski</t>
        </is>
      </c>
      <c r="D675">
        <f>HYPERLINK("https://ota.tournamentsoftware.com/player-profile/BE8F67EB-3C85-4EE8-8915-58C34DCD86C7", "Link")</f>
        <v/>
      </c>
      <c r="E675" s="3" t="n">
        <v>25.17</v>
      </c>
      <c r="F675" s="4" t="n">
        <v>3</v>
      </c>
      <c r="G675" t="inlineStr">
        <is>
          <t>Ontario Tennis Association</t>
        </is>
      </c>
      <c r="H675" t="inlineStr">
        <is>
          <t>Zekelman Tennis Centre</t>
        </is>
      </c>
      <c r="I675" t="n">
        <v>34.8</v>
      </c>
      <c r="J675" s="4" t="n">
        <v>16</v>
      </c>
      <c r="K675" t="inlineStr">
        <is>
          <t>5 / 11</t>
        </is>
      </c>
      <c r="L675" t="inlineStr">
        <is>
          <t>4 / 2</t>
        </is>
      </c>
      <c r="M675" s="5" t="n">
        <v>0.31</v>
      </c>
      <c r="N675" s="5" t="n">
        <v>0.67</v>
      </c>
    </row>
    <row r="676">
      <c r="A676" t="n">
        <v>675</v>
      </c>
      <c r="B676" t="n">
        <v>2014</v>
      </c>
      <c r="C676" t="inlineStr">
        <is>
          <t>Adrianna Rajchel</t>
        </is>
      </c>
      <c r="D676">
        <f>HYPERLINK("https://ota.tournamentsoftware.com/player-profile/CF345FA9-9F2F-4BDB-8B66-131A15D8B231", "Link")</f>
        <v/>
      </c>
      <c r="E676" s="3" t="n">
        <v>24.832</v>
      </c>
      <c r="F676" s="4" t="n">
        <v>3</v>
      </c>
      <c r="G676" t="inlineStr">
        <is>
          <t>Ontario Tennis Association</t>
        </is>
      </c>
      <c r="H676" t="inlineStr">
        <is>
          <t>Carleton Tennis Centre</t>
        </is>
      </c>
      <c r="I676" t="n">
        <v>38.5</v>
      </c>
      <c r="J676" s="4" t="n">
        <v>15</v>
      </c>
      <c r="K676" t="inlineStr">
        <is>
          <t>4 / 11</t>
        </is>
      </c>
      <c r="L676" t="inlineStr">
        <is>
          <t>1 / 3</t>
        </is>
      </c>
      <c r="M676" s="5" t="n">
        <v>0.27</v>
      </c>
      <c r="N676" s="5" t="n">
        <v>0.25</v>
      </c>
    </row>
    <row r="677">
      <c r="A677" t="n">
        <v>676</v>
      </c>
      <c r="B677" t="n">
        <v>2013</v>
      </c>
      <c r="C677" t="inlineStr">
        <is>
          <t>Caroline Chuyi Wang</t>
        </is>
      </c>
      <c r="D677">
        <f>HYPERLINK("https://ota.tournamentsoftware.com/player-profile/3F052198-DCE4-4852-8FA0-B0793E67B6FC", "Link")</f>
        <v/>
      </c>
      <c r="E677" s="3" t="n">
        <v>24.728</v>
      </c>
      <c r="F677" s="4" t="n">
        <v>3</v>
      </c>
      <c r="G677" t="inlineStr">
        <is>
          <t>British Columbia</t>
        </is>
      </c>
      <c r="H677" t="inlineStr">
        <is>
          <t>Richmond Country Club</t>
        </is>
      </c>
      <c r="I677" t="n">
        <v>38.3</v>
      </c>
      <c r="J677" s="4" t="n">
        <v>23</v>
      </c>
      <c r="K677" t="inlineStr">
        <is>
          <t>10 / 13</t>
        </is>
      </c>
      <c r="L677" t="inlineStr">
        <is>
          <t>10 / 13</t>
        </is>
      </c>
      <c r="M677" s="5" t="n">
        <v>0.43</v>
      </c>
      <c r="N677" s="5" t="n">
        <v>0.43</v>
      </c>
    </row>
    <row r="678">
      <c r="A678" t="n">
        <v>677</v>
      </c>
      <c r="B678" t="n">
        <v>2016</v>
      </c>
      <c r="C678" t="inlineStr">
        <is>
          <t>Jessie DONG</t>
        </is>
      </c>
      <c r="D678">
        <f>HYPERLINK("https://ota.tournamentsoftware.com/player-profile/DD46DDC2-A0FA-4A57-9C2B-207D02D3DFB6", "Link")</f>
        <v/>
      </c>
      <c r="E678" s="3" t="n">
        <v>24.6</v>
      </c>
      <c r="F678" s="4" t="n">
        <v>5</v>
      </c>
      <c r="G678" t="inlineStr">
        <is>
          <t>Ontario Tennis Association</t>
        </is>
      </c>
      <c r="H678" t="inlineStr">
        <is>
          <t>Burlington Hall Sporting Club</t>
        </is>
      </c>
      <c r="I678" t="n">
        <v>38.7</v>
      </c>
      <c r="J678" s="4" t="n">
        <v>53</v>
      </c>
      <c r="K678" t="inlineStr">
        <is>
          <t>22 / 31</t>
        </is>
      </c>
      <c r="L678" t="inlineStr">
        <is>
          <t>22 / 31</t>
        </is>
      </c>
      <c r="M678" s="5" t="n">
        <v>0.42</v>
      </c>
      <c r="N678" s="5" t="n">
        <v>0.42</v>
      </c>
    </row>
    <row r="679">
      <c r="A679" t="n">
        <v>678</v>
      </c>
      <c r="B679" t="n">
        <v>2015</v>
      </c>
      <c r="C679" t="inlineStr">
        <is>
          <t>Milana Maor</t>
        </is>
      </c>
      <c r="D679">
        <f>HYPERLINK("https://ota.tournamentsoftware.com/player-profile/EFC2E194-22E1-4017-A2E8-0B41E7DB9101", "Link")</f>
        <v/>
      </c>
      <c r="E679" s="3" t="n">
        <v>24.284</v>
      </c>
      <c r="F679" s="4" t="n">
        <v>6</v>
      </c>
      <c r="G679" t="inlineStr">
        <is>
          <t>Ontario Tennis Association</t>
        </is>
      </c>
      <c r="H679" t="inlineStr">
        <is>
          <t>No Club</t>
        </is>
      </c>
      <c r="I679" t="n">
        <v>37.3</v>
      </c>
      <c r="J679" s="4" t="n">
        <v>52</v>
      </c>
      <c r="K679" t="inlineStr">
        <is>
          <t>21 / 31</t>
        </is>
      </c>
      <c r="L679" t="inlineStr">
        <is>
          <t>4 / 12</t>
        </is>
      </c>
      <c r="M679" s="5" t="n">
        <v>0.4</v>
      </c>
      <c r="N679" s="5" t="n">
        <v>0.25</v>
      </c>
    </row>
    <row r="680">
      <c r="A680" t="n">
        <v>679</v>
      </c>
      <c r="B680" t="n">
        <v>2012</v>
      </c>
      <c r="C680" t="inlineStr">
        <is>
          <t>Naomi Lau</t>
        </is>
      </c>
      <c r="D680">
        <f>HYPERLINK("https://ota.tournamentsoftware.com/player-profile/0A97F4BF-4260-46FD-AB50-BFA06A31A239", "Link")</f>
        <v/>
      </c>
      <c r="E680" s="3" t="n">
        <v>24.089</v>
      </c>
      <c r="F680" s="4" t="n">
        <v>2</v>
      </c>
      <c r="G680" t="inlineStr">
        <is>
          <t>Ontario Tennis Association</t>
        </is>
      </c>
      <c r="H680" t="inlineStr">
        <is>
          <t>Central Tennis Club</t>
        </is>
      </c>
      <c r="I680" t="n">
        <v>37.2</v>
      </c>
      <c r="J680" s="4" t="n">
        <v>32</v>
      </c>
      <c r="K680" t="inlineStr">
        <is>
          <t>12 / 20</t>
        </is>
      </c>
      <c r="L680" t="inlineStr">
        <is>
          <t>6 / 6</t>
        </is>
      </c>
      <c r="M680" s="5" t="n">
        <v>0.38</v>
      </c>
      <c r="N680" s="5" t="n">
        <v>0.5</v>
      </c>
    </row>
    <row r="681">
      <c r="A681" t="n">
        <v>680</v>
      </c>
      <c r="B681" t="n">
        <v>2015</v>
      </c>
      <c r="C681" t="inlineStr">
        <is>
          <t>Diana Troitska</t>
        </is>
      </c>
      <c r="D681">
        <f>HYPERLINK("https://ota.tournamentsoftware.com/player-profile/6F22C01B-A1B6-4624-8606-C4D0FEB24026", "Link")</f>
        <v/>
      </c>
      <c r="E681" s="3" t="n">
        <v>23.546</v>
      </c>
      <c r="F681" s="4" t="n">
        <v>2</v>
      </c>
      <c r="G681" t="inlineStr">
        <is>
          <t>Tennis Québec</t>
        </is>
      </c>
      <c r="H681" t="inlineStr">
        <is>
          <t>No Club</t>
        </is>
      </c>
      <c r="I681" t="inlineStr">
        <is>
          <t>unavailable</t>
        </is>
      </c>
      <c r="J681" s="4" t="n">
        <v>13</v>
      </c>
      <c r="K681" t="inlineStr">
        <is>
          <t>2 / 11</t>
        </is>
      </c>
      <c r="L681" t="inlineStr">
        <is>
          <t>0 / 1</t>
        </is>
      </c>
      <c r="M681" s="5" t="n">
        <v>0.15</v>
      </c>
      <c r="N681" s="5" t="n">
        <v>0</v>
      </c>
    </row>
    <row r="682">
      <c r="A682" t="n">
        <v>681</v>
      </c>
      <c r="B682" t="n">
        <v>2012</v>
      </c>
      <c r="C682" t="inlineStr">
        <is>
          <t>Nika Yaghoubi</t>
        </is>
      </c>
      <c r="D682">
        <f>HYPERLINK("https://ota.tournamentsoftware.com/player-profile/D6970753-702D-4123-8798-708EAC6B7E32", "Link")</f>
        <v/>
      </c>
      <c r="E682" s="3" t="n">
        <v>23.448</v>
      </c>
      <c r="F682" s="4" t="n">
        <v>2</v>
      </c>
      <c r="G682" t="inlineStr">
        <is>
          <t>Tennis Alberta</t>
        </is>
      </c>
      <c r="H682" t="inlineStr">
        <is>
          <t>Saville Community Sports Centre</t>
        </is>
      </c>
      <c r="I682" t="n">
        <v>35.1</v>
      </c>
      <c r="J682" s="4" t="n">
        <v>12</v>
      </c>
      <c r="K682" t="inlineStr">
        <is>
          <t>6 / 6</t>
        </is>
      </c>
      <c r="L682" t="inlineStr">
        <is>
          <t>6 / 6</t>
        </is>
      </c>
      <c r="M682" s="5" t="n">
        <v>0.5</v>
      </c>
      <c r="N682" s="5" t="n">
        <v>0.5</v>
      </c>
    </row>
    <row r="683">
      <c r="A683" t="n">
        <v>682</v>
      </c>
      <c r="B683" t="n">
        <v>2015</v>
      </c>
      <c r="C683" t="inlineStr">
        <is>
          <t>Cassia Contreras</t>
        </is>
      </c>
      <c r="D683">
        <f>HYPERLINK("https://ota.tournamentsoftware.com/player-profile/84692E6B-274F-4FC9-9179-D4BC6F34FCEE", "Link")</f>
        <v/>
      </c>
      <c r="E683" s="3" t="n">
        <v>23.208</v>
      </c>
      <c r="F683" s="4" t="n">
        <v>4</v>
      </c>
      <c r="G683" t="inlineStr">
        <is>
          <t>Ontario Tennis Association</t>
        </is>
      </c>
      <c r="H683" t="inlineStr">
        <is>
          <t>Toronto Tennis Academy</t>
        </is>
      </c>
      <c r="I683" t="inlineStr">
        <is>
          <t>unavailable</t>
        </is>
      </c>
      <c r="J683" s="4" t="n">
        <v>50</v>
      </c>
      <c r="K683" t="inlineStr">
        <is>
          <t>18 / 32</t>
        </is>
      </c>
      <c r="L683" t="inlineStr">
        <is>
          <t>5 / 7</t>
        </is>
      </c>
      <c r="M683" s="5" t="n">
        <v>0.36</v>
      </c>
      <c r="N683" s="5" t="n">
        <v>0.42</v>
      </c>
    </row>
    <row r="684">
      <c r="A684" t="n">
        <v>683</v>
      </c>
      <c r="B684" t="n">
        <v>2015</v>
      </c>
      <c r="C684" t="inlineStr">
        <is>
          <t>Margot Couture</t>
        </is>
      </c>
      <c r="D684">
        <f>HYPERLINK("https://ota.tournamentsoftware.com/player-profile/7DE265DB-E3E6-4C4E-90BD-199DB99DCAEB", "Link")</f>
        <v/>
      </c>
      <c r="E684" s="3" t="n">
        <v>23.186</v>
      </c>
      <c r="F684" s="4" t="n">
        <v>5</v>
      </c>
      <c r="G684" t="inlineStr">
        <is>
          <t>Tennis Québec</t>
        </is>
      </c>
      <c r="H684" t="inlineStr">
        <is>
          <t>SANI Sport</t>
        </is>
      </c>
      <c r="I684" t="n">
        <v>38.1</v>
      </c>
      <c r="J684" s="4" t="n">
        <v>27</v>
      </c>
      <c r="K684" t="inlineStr">
        <is>
          <t>7 / 20</t>
        </is>
      </c>
      <c r="L684" t="inlineStr">
        <is>
          <t>2 / 5</t>
        </is>
      </c>
      <c r="M684" s="5" t="n">
        <v>0.26</v>
      </c>
      <c r="N684" s="5" t="n">
        <v>0.29</v>
      </c>
    </row>
    <row r="685">
      <c r="A685" t="n">
        <v>684</v>
      </c>
      <c r="B685" t="n">
        <v>2015</v>
      </c>
      <c r="C685" t="inlineStr">
        <is>
          <t>Eliana Green</t>
        </is>
      </c>
      <c r="D685">
        <f>HYPERLINK("https://ota.tournamentsoftware.com/player-profile/6AF8FC12-BD58-4E7C-B446-1CAAB9ADE85D", "Link")</f>
        <v/>
      </c>
      <c r="E685" s="3" t="n">
        <v>23.112</v>
      </c>
      <c r="F685" s="4" t="n">
        <v>1</v>
      </c>
      <c r="G685" t="inlineStr">
        <is>
          <t>Tennis Saskatchewan</t>
        </is>
      </c>
      <c r="H685" t="inlineStr">
        <is>
          <t>Lakeshore Tennis Club</t>
        </is>
      </c>
      <c r="I685" t="n">
        <v>38.1</v>
      </c>
      <c r="J685" s="4" t="n">
        <v>32</v>
      </c>
      <c r="K685" t="inlineStr">
        <is>
          <t>5 / 27</t>
        </is>
      </c>
      <c r="L685" t="inlineStr">
        <is>
          <t>2 / 4</t>
        </is>
      </c>
      <c r="M685" s="5" t="n">
        <v>0.16</v>
      </c>
      <c r="N685" s="5" t="n">
        <v>0.33</v>
      </c>
    </row>
    <row r="686">
      <c r="A686" t="n">
        <v>685</v>
      </c>
      <c r="B686" t="n">
        <v>2014</v>
      </c>
      <c r="C686" t="inlineStr">
        <is>
          <t>Dina Chakri</t>
        </is>
      </c>
      <c r="D686">
        <f>HYPERLINK("https://ota.tournamentsoftware.com/player-profile/8824FD85-93E3-4F7D-8968-FC836D77769D", "Link")</f>
        <v/>
      </c>
      <c r="E686" s="3" t="n">
        <v>22.953</v>
      </c>
      <c r="F686" s="4" t="n">
        <v>7</v>
      </c>
      <c r="G686" t="inlineStr">
        <is>
          <t>Tennis Québec</t>
        </is>
      </c>
      <c r="H686" t="inlineStr">
        <is>
          <t>Tennis 13</t>
        </is>
      </c>
      <c r="I686" t="n">
        <v>38.9</v>
      </c>
      <c r="J686" s="4" t="n">
        <v>10</v>
      </c>
      <c r="K686" t="inlineStr">
        <is>
          <t>2 / 8</t>
        </is>
      </c>
      <c r="L686" t="inlineStr">
        <is>
          <t>2 / 8</t>
        </is>
      </c>
      <c r="M686" s="5" t="n">
        <v>0.2</v>
      </c>
      <c r="N686" s="5" t="n">
        <v>0.2</v>
      </c>
    </row>
    <row r="687">
      <c r="A687" t="n">
        <v>686</v>
      </c>
      <c r="B687" t="n">
        <v>2013</v>
      </c>
      <c r="C687" t="inlineStr">
        <is>
          <t>Kashvi Chaudhary</t>
        </is>
      </c>
      <c r="D687">
        <f>HYPERLINK("https://ota.tournamentsoftware.com/player-profile/0597AAB7-43E9-42CF-B00B-4928F8A2A1CD", "Link")</f>
        <v/>
      </c>
      <c r="E687" s="3" t="n">
        <v>22.919</v>
      </c>
      <c r="F687" s="4" t="n">
        <v>4</v>
      </c>
      <c r="G687" t="inlineStr">
        <is>
          <t>Ontario Tennis Association</t>
        </is>
      </c>
      <c r="H687" t="inlineStr">
        <is>
          <t>Brampton Tennis Club</t>
        </is>
      </c>
      <c r="I687" t="n">
        <v>39.9</v>
      </c>
      <c r="J687" s="4" t="n">
        <v>14</v>
      </c>
      <c r="K687" t="inlineStr">
        <is>
          <t>2 / 12</t>
        </is>
      </c>
      <c r="L687" t="inlineStr">
        <is>
          <t>0 / 0</t>
        </is>
      </c>
      <c r="M687" s="5" t="n">
        <v>0.14</v>
      </c>
      <c r="N687" s="5" t="n">
        <v>0</v>
      </c>
    </row>
    <row r="688">
      <c r="A688" t="n">
        <v>687</v>
      </c>
      <c r="B688" t="n">
        <v>2014</v>
      </c>
      <c r="C688" t="inlineStr">
        <is>
          <t>Jasmine El Ouadi</t>
        </is>
      </c>
      <c r="D688">
        <f>HYPERLINK("https://ota.tournamentsoftware.com/player-profile/FBECFAB6-3ABF-4F1B-AD1C-230CB79A1119", "Link")</f>
        <v/>
      </c>
      <c r="E688" s="3" t="n">
        <v>22.903</v>
      </c>
      <c r="F688" s="4" t="n">
        <v>6</v>
      </c>
      <c r="G688" t="inlineStr">
        <is>
          <t>Tennis Alberta</t>
        </is>
      </c>
      <c r="H688" t="inlineStr">
        <is>
          <t>Calgary - Public</t>
        </is>
      </c>
      <c r="I688" t="n">
        <v>40</v>
      </c>
      <c r="J688" s="4" t="n">
        <v>11</v>
      </c>
      <c r="K688" t="inlineStr">
        <is>
          <t>0 / 11</t>
        </is>
      </c>
      <c r="L688" t="inlineStr">
        <is>
          <t>0 / 3</t>
        </is>
      </c>
      <c r="M688" s="5" t="n">
        <v>0</v>
      </c>
      <c r="N688" s="5" t="n">
        <v>0</v>
      </c>
    </row>
    <row r="689">
      <c r="A689" t="n">
        <v>688</v>
      </c>
      <c r="B689" t="n">
        <v>2016</v>
      </c>
      <c r="C689" t="inlineStr">
        <is>
          <t>Emma Yu</t>
        </is>
      </c>
      <c r="D689">
        <f>HYPERLINK("https://ota.tournamentsoftware.com/player-profile/08E91FF6-D5E8-42FC-9B0D-2002B0263706", "Link")</f>
        <v/>
      </c>
      <c r="E689" s="3" t="n">
        <v>22.896</v>
      </c>
      <c r="F689" s="4" t="n">
        <v>4</v>
      </c>
      <c r="G689" t="inlineStr">
        <is>
          <t>Tennis Nova Scotia</t>
        </is>
      </c>
      <c r="H689" t="inlineStr">
        <is>
          <t>Atlantic Tennis Centre</t>
        </is>
      </c>
      <c r="I689" t="n">
        <v>36.2</v>
      </c>
      <c r="J689" s="4" t="n">
        <v>38</v>
      </c>
      <c r="K689" t="inlineStr">
        <is>
          <t>21 / 17</t>
        </is>
      </c>
      <c r="L689" t="inlineStr">
        <is>
          <t>13 / 6</t>
        </is>
      </c>
      <c r="M689" s="5" t="n">
        <v>0.55</v>
      </c>
      <c r="N689" s="5" t="n">
        <v>0.68</v>
      </c>
    </row>
    <row r="690">
      <c r="A690" t="n">
        <v>689</v>
      </c>
      <c r="B690" t="n">
        <v>2013</v>
      </c>
      <c r="C690" t="inlineStr">
        <is>
          <t>Mariya Fedchyshyna</t>
        </is>
      </c>
      <c r="D690">
        <f>HYPERLINK("https://ota.tournamentsoftware.com/player-profile/5A64317A-A412-4DEB-A68D-94CE45EAE2DD", "Link")</f>
        <v/>
      </c>
      <c r="E690" s="3" t="n">
        <v>22.696</v>
      </c>
      <c r="F690" s="4" t="n">
        <v>2</v>
      </c>
      <c r="G690" t="inlineStr">
        <is>
          <t>British Columbia</t>
        </is>
      </c>
      <c r="H690" t="inlineStr">
        <is>
          <t>Oak Bay Recreation Centre</t>
        </is>
      </c>
      <c r="I690" t="inlineStr">
        <is>
          <t>unavailable</t>
        </is>
      </c>
      <c r="J690" s="4" t="n">
        <v>7</v>
      </c>
      <c r="K690" t="inlineStr">
        <is>
          <t>1 / 6</t>
        </is>
      </c>
      <c r="L690" t="inlineStr">
        <is>
          <t>1 / 4</t>
        </is>
      </c>
      <c r="M690" s="5" t="n">
        <v>0.14</v>
      </c>
      <c r="N690" s="5" t="n">
        <v>0.2</v>
      </c>
    </row>
    <row r="691">
      <c r="A691" t="n">
        <v>690</v>
      </c>
      <c r="B691" t="n">
        <v>2015</v>
      </c>
      <c r="C691" t="inlineStr">
        <is>
          <t>Laila Hilmi</t>
        </is>
      </c>
      <c r="D691">
        <f>HYPERLINK("https://ota.tournamentsoftware.com/player-profile/73A707F1-78B1-45FE-A608-D2E6AA82EA8F", "Link")</f>
        <v/>
      </c>
      <c r="E691" s="3" t="n">
        <v>22.595</v>
      </c>
      <c r="F691" s="4" t="n">
        <v>3</v>
      </c>
      <c r="G691" t="inlineStr">
        <is>
          <t>Tennis Québec</t>
        </is>
      </c>
      <c r="H691" t="inlineStr">
        <is>
          <t>Tennis Montréal Excellence</t>
        </is>
      </c>
      <c r="I691" t="inlineStr">
        <is>
          <t>unavailable</t>
        </is>
      </c>
      <c r="J691" s="4" t="n">
        <v>46</v>
      </c>
      <c r="K691" t="inlineStr">
        <is>
          <t>13 / 33</t>
        </is>
      </c>
      <c r="L691" t="inlineStr">
        <is>
          <t>4 / 3</t>
        </is>
      </c>
      <c r="M691" s="5" t="n">
        <v>0.28</v>
      </c>
      <c r="N691" s="5" t="n">
        <v>0.57</v>
      </c>
    </row>
    <row r="692">
      <c r="A692" t="n">
        <v>691</v>
      </c>
      <c r="B692" t="n">
        <v>2012</v>
      </c>
      <c r="C692" t="inlineStr">
        <is>
          <t>Ruike Ni</t>
        </is>
      </c>
      <c r="D692">
        <f>HYPERLINK("https://ota.tournamentsoftware.com/player-profile/862000EB-CE8E-4CA2-BA1E-5441407CA2E5", "Link")</f>
        <v/>
      </c>
      <c r="E692" s="3" t="n">
        <v>22.464</v>
      </c>
      <c r="F692" s="4" t="n">
        <v>2</v>
      </c>
      <c r="G692" t="inlineStr">
        <is>
          <t>British Columbia</t>
        </is>
      </c>
      <c r="H692" t="inlineStr">
        <is>
          <t>Tennis for Life</t>
        </is>
      </c>
      <c r="I692" t="n">
        <v>38.4</v>
      </c>
      <c r="J692" s="4" t="n">
        <v>7</v>
      </c>
      <c r="K692" t="inlineStr">
        <is>
          <t>2 / 5</t>
        </is>
      </c>
      <c r="L692" t="inlineStr">
        <is>
          <t>0 / 2</t>
        </is>
      </c>
      <c r="M692" s="5" t="n">
        <v>0.29</v>
      </c>
      <c r="N692" s="5" t="n">
        <v>0</v>
      </c>
    </row>
    <row r="693">
      <c r="A693" t="n">
        <v>692</v>
      </c>
      <c r="B693" t="n">
        <v>2014</v>
      </c>
      <c r="C693" t="inlineStr">
        <is>
          <t>Baani Kaur Saini</t>
        </is>
      </c>
      <c r="D693">
        <f>HYPERLINK("https://ota.tournamentsoftware.com/player-profile/F8A85050-87CB-4D78-BB4D-4D11F0D18229", "Link")</f>
        <v/>
      </c>
      <c r="E693" s="3" t="n">
        <v>22.434</v>
      </c>
      <c r="F693" s="4" t="n">
        <v>3</v>
      </c>
      <c r="G693" t="inlineStr">
        <is>
          <t>Ontario Tennis Association</t>
        </is>
      </c>
      <c r="H693" t="inlineStr">
        <is>
          <t>Bramalea Tennis Club</t>
        </is>
      </c>
      <c r="I693" t="n">
        <v>39.2</v>
      </c>
      <c r="J693" s="4" t="n">
        <v>5</v>
      </c>
      <c r="K693" t="inlineStr">
        <is>
          <t>0 / 5</t>
        </is>
      </c>
      <c r="L693" t="inlineStr">
        <is>
          <t>0 / 0</t>
        </is>
      </c>
      <c r="M693" s="5" t="n">
        <v>0</v>
      </c>
      <c r="N693" s="5" t="n">
        <v>0</v>
      </c>
    </row>
    <row r="694">
      <c r="A694" t="n">
        <v>693</v>
      </c>
      <c r="B694" t="n">
        <v>2014</v>
      </c>
      <c r="C694" t="inlineStr">
        <is>
          <t>Ariella Naomi Shegelman</t>
        </is>
      </c>
      <c r="D694">
        <f>HYPERLINK("https://ota.tournamentsoftware.com/player-profile/F4A076BF-B4C6-4301-B22A-3E13FD483AD5", "Link")</f>
        <v/>
      </c>
      <c r="E694" s="3" t="n">
        <v>22.405</v>
      </c>
      <c r="F694" s="4" t="n">
        <v>3</v>
      </c>
      <c r="G694" t="inlineStr">
        <is>
          <t>Ontario Tennis Association</t>
        </is>
      </c>
      <c r="H694" t="inlineStr">
        <is>
          <t>Concord Tennis Academy</t>
        </is>
      </c>
      <c r="I694" t="n">
        <v>35.9</v>
      </c>
      <c r="J694" s="4" t="n">
        <v>28</v>
      </c>
      <c r="K694" t="inlineStr">
        <is>
          <t>14 / 14</t>
        </is>
      </c>
      <c r="L694" t="inlineStr">
        <is>
          <t>4 / 4</t>
        </is>
      </c>
      <c r="M694" s="5" t="n">
        <v>0.5</v>
      </c>
      <c r="N694" s="5" t="n">
        <v>0.5</v>
      </c>
    </row>
    <row r="695">
      <c r="A695" t="n">
        <v>694</v>
      </c>
      <c r="B695" t="n">
        <v>2015</v>
      </c>
      <c r="C695" t="inlineStr">
        <is>
          <t>Mila Anglade</t>
        </is>
      </c>
      <c r="D695">
        <f>HYPERLINK("https://ota.tournamentsoftware.com/player-profile/05635752-0D80-4827-BA70-1CECB2BE0528", "Link")</f>
        <v/>
      </c>
      <c r="E695" s="3" t="n">
        <v>22.12</v>
      </c>
      <c r="F695" s="4" t="n">
        <v>4</v>
      </c>
      <c r="G695" t="inlineStr">
        <is>
          <t>Tennis Québec</t>
        </is>
      </c>
      <c r="H695" t="inlineStr">
        <is>
          <t>Carrefour Multisports</t>
        </is>
      </c>
      <c r="I695" t="inlineStr">
        <is>
          <t>unavailable</t>
        </is>
      </c>
      <c r="J695" s="4" t="n">
        <v>61</v>
      </c>
      <c r="K695" t="inlineStr">
        <is>
          <t>36 / 25</t>
        </is>
      </c>
      <c r="L695" t="inlineStr">
        <is>
          <t>5 / 2</t>
        </is>
      </c>
      <c r="M695" s="5" t="n">
        <v>0.59</v>
      </c>
      <c r="N695" s="5" t="n">
        <v>0.71</v>
      </c>
    </row>
    <row r="696">
      <c r="A696" t="n">
        <v>695</v>
      </c>
      <c r="B696" t="n">
        <v>2012</v>
      </c>
      <c r="C696" t="inlineStr">
        <is>
          <t>Belen Aldana</t>
        </is>
      </c>
      <c r="D696">
        <f>HYPERLINK("https://ota.tournamentsoftware.com/player-profile/403664F3-E594-4FFF-BEC0-1AF63F2F73E4", "Link")</f>
        <v/>
      </c>
      <c r="E696" s="3" t="n">
        <v>21.934</v>
      </c>
      <c r="F696" s="4" t="n">
        <v>5</v>
      </c>
      <c r="G696" t="inlineStr">
        <is>
          <t>Tennis Québec</t>
        </is>
      </c>
      <c r="H696" t="inlineStr">
        <is>
          <t>SANI Sport</t>
        </is>
      </c>
      <c r="I696" t="n">
        <v>38</v>
      </c>
      <c r="J696" s="4" t="n">
        <v>8</v>
      </c>
      <c r="K696" t="inlineStr">
        <is>
          <t>0 / 8</t>
        </is>
      </c>
      <c r="L696" t="inlineStr">
        <is>
          <t>0 / 8</t>
        </is>
      </c>
      <c r="M696" s="5" t="n">
        <v>0</v>
      </c>
      <c r="N696" s="5" t="n">
        <v>0</v>
      </c>
    </row>
    <row r="697">
      <c r="A697" t="n">
        <v>696</v>
      </c>
      <c r="B697" t="n">
        <v>2014</v>
      </c>
      <c r="C697" t="inlineStr">
        <is>
          <t>Mila Phoebe Madrid</t>
        </is>
      </c>
      <c r="D697">
        <f>HYPERLINK("https://ota.tournamentsoftware.com/player-profile/3994748B-2ED2-4F57-8907-B1AE9B874F9B", "Link")</f>
        <v/>
      </c>
      <c r="E697" s="3" t="n">
        <v>21.888</v>
      </c>
      <c r="F697" s="4" t="n">
        <v>2</v>
      </c>
      <c r="G697" t="inlineStr">
        <is>
          <t>Ontario Tennis Association</t>
        </is>
      </c>
      <c r="H697" t="inlineStr">
        <is>
          <t>Newmarket Winter Tennis Club</t>
        </is>
      </c>
      <c r="I697" t="inlineStr">
        <is>
          <t>unavailable</t>
        </is>
      </c>
      <c r="J697" s="4" t="n">
        <v>46</v>
      </c>
      <c r="K697" t="inlineStr">
        <is>
          <t>17 / 29</t>
        </is>
      </c>
      <c r="L697" t="inlineStr">
        <is>
          <t>10 / 3</t>
        </is>
      </c>
      <c r="M697" s="5" t="n">
        <v>0.37</v>
      </c>
      <c r="N697" s="5" t="n">
        <v>0.77</v>
      </c>
    </row>
    <row r="698">
      <c r="A698" t="n">
        <v>697</v>
      </c>
      <c r="B698" t="n">
        <v>2014</v>
      </c>
      <c r="C698" t="inlineStr">
        <is>
          <t>Camila Danielle Arias</t>
        </is>
      </c>
      <c r="D698">
        <f>HYPERLINK("https://ota.tournamentsoftware.com/player-profile/7E2B5B8F-95C7-4374-8F7F-D60E81CAB657", "Link")</f>
        <v/>
      </c>
      <c r="E698" s="3" t="n">
        <v>21.537</v>
      </c>
      <c r="F698" s="4" t="n">
        <v>6</v>
      </c>
      <c r="G698" t="inlineStr">
        <is>
          <t>Tennis Québec</t>
        </is>
      </c>
      <c r="H698" t="inlineStr">
        <is>
          <t>SANI Sport</t>
        </is>
      </c>
      <c r="I698" t="inlineStr">
        <is>
          <t>unavailable</t>
        </is>
      </c>
      <c r="J698" s="4" t="n">
        <v>40</v>
      </c>
      <c r="K698" t="inlineStr">
        <is>
          <t>13 / 27</t>
        </is>
      </c>
      <c r="L698" t="inlineStr">
        <is>
          <t>4 / 4</t>
        </is>
      </c>
      <c r="M698" s="5" t="n">
        <v>0.33</v>
      </c>
      <c r="N698" s="5" t="n">
        <v>0.5</v>
      </c>
    </row>
    <row r="699">
      <c r="A699" t="n">
        <v>698</v>
      </c>
      <c r="B699" t="n">
        <v>2015</v>
      </c>
      <c r="C699" t="inlineStr">
        <is>
          <t>Élisa Deschatelets</t>
        </is>
      </c>
      <c r="D699">
        <f>HYPERLINK("https://ota.tournamentsoftware.com/player-profile/C5ECD0AF-5510-44E4-897A-6A3A4D73CDEF", "Link")</f>
        <v/>
      </c>
      <c r="E699" s="3" t="n">
        <v>21.501</v>
      </c>
      <c r="F699" s="4" t="n">
        <v>4</v>
      </c>
      <c r="G699" t="inlineStr">
        <is>
          <t>Tennis Québec</t>
        </is>
      </c>
      <c r="H699" t="inlineStr">
        <is>
          <t>Centre Récréatif Rock Forest / École Tennestrie</t>
        </is>
      </c>
      <c r="I699" t="n">
        <v>40</v>
      </c>
      <c r="J699" s="4" t="n">
        <v>25</v>
      </c>
      <c r="K699" t="inlineStr">
        <is>
          <t>4 / 21</t>
        </is>
      </c>
      <c r="L699" t="inlineStr">
        <is>
          <t>0 / 7</t>
        </is>
      </c>
      <c r="M699" s="5" t="n">
        <v>0.16</v>
      </c>
      <c r="N699" s="5" t="n">
        <v>0</v>
      </c>
    </row>
    <row r="700">
      <c r="A700" t="n">
        <v>699</v>
      </c>
      <c r="B700" t="n">
        <v>2015</v>
      </c>
      <c r="C700" t="inlineStr">
        <is>
          <t>Tara Sepahsalari</t>
        </is>
      </c>
      <c r="D700">
        <f>HYPERLINK("https://ota.tournamentsoftware.com/player-profile/EB26731B-07C8-4C3E-8214-7DD265D4A843", "Link")</f>
        <v/>
      </c>
      <c r="E700" s="3" t="n">
        <v>21.226</v>
      </c>
      <c r="F700" s="4" t="n">
        <v>5</v>
      </c>
      <c r="G700" t="inlineStr">
        <is>
          <t>Tennis Québec</t>
        </is>
      </c>
      <c r="H700" t="inlineStr">
        <is>
          <t>EB Tennis inc.</t>
        </is>
      </c>
      <c r="I700" t="n">
        <v>40</v>
      </c>
      <c r="J700" s="4" t="n">
        <v>33</v>
      </c>
      <c r="K700" t="inlineStr">
        <is>
          <t>5 / 28</t>
        </is>
      </c>
      <c r="L700" t="inlineStr">
        <is>
          <t>1 / 8</t>
        </is>
      </c>
      <c r="M700" s="5" t="n">
        <v>0.15</v>
      </c>
      <c r="N700" s="5" t="n">
        <v>0.11</v>
      </c>
    </row>
    <row r="701">
      <c r="A701" t="n">
        <v>700</v>
      </c>
      <c r="B701" t="n">
        <v>2014</v>
      </c>
      <c r="C701" t="inlineStr">
        <is>
          <t>Mila Levac</t>
        </is>
      </c>
      <c r="D701">
        <f>HYPERLINK("https://ota.tournamentsoftware.com/player-profile/7F793D8E-41D7-4B70-87B7-9D30B32ED35F", "Link")</f>
        <v/>
      </c>
      <c r="E701" s="3" t="n">
        <v>20.827</v>
      </c>
      <c r="F701" s="4" t="n">
        <v>3</v>
      </c>
      <c r="G701" t="inlineStr">
        <is>
          <t>Ontario Tennis Association</t>
        </is>
      </c>
      <c r="H701" t="inlineStr">
        <is>
          <t>Rideau Sports Centre</t>
        </is>
      </c>
      <c r="I701" t="n">
        <v>39.2</v>
      </c>
      <c r="J701" s="4" t="n">
        <v>74</v>
      </c>
      <c r="K701" t="inlineStr">
        <is>
          <t>13 / 61</t>
        </is>
      </c>
      <c r="L701" t="inlineStr">
        <is>
          <t>0 / 3</t>
        </is>
      </c>
      <c r="M701" s="5" t="n">
        <v>0.18</v>
      </c>
      <c r="N701" s="5" t="n">
        <v>0</v>
      </c>
    </row>
    <row r="702">
      <c r="A702" t="n">
        <v>701</v>
      </c>
      <c r="B702" t="n">
        <v>2014</v>
      </c>
      <c r="C702" t="inlineStr">
        <is>
          <t>Adele Cui</t>
        </is>
      </c>
      <c r="D702">
        <f>HYPERLINK("https://ota.tournamentsoftware.com/player-profile/E096F094-0386-4439-807E-E147F97C754F", "Link")</f>
        <v/>
      </c>
      <c r="E702" s="3" t="n">
        <v>20.768</v>
      </c>
      <c r="F702" s="4" t="n">
        <v>6</v>
      </c>
      <c r="G702" t="inlineStr">
        <is>
          <t>British Columbia</t>
        </is>
      </c>
      <c r="H702" t="inlineStr">
        <is>
          <t>UBC Tennis Centre</t>
        </is>
      </c>
      <c r="I702" t="n">
        <v>35.8</v>
      </c>
      <c r="J702" s="4" t="n">
        <v>80</v>
      </c>
      <c r="K702" t="inlineStr">
        <is>
          <t>46 / 34</t>
        </is>
      </c>
      <c r="L702" t="inlineStr">
        <is>
          <t>1 / 4</t>
        </is>
      </c>
      <c r="M702" s="5" t="n">
        <v>0.57</v>
      </c>
      <c r="N702" s="5" t="n">
        <v>0.2</v>
      </c>
    </row>
    <row r="703">
      <c r="A703" t="n">
        <v>702</v>
      </c>
      <c r="B703" t="n">
        <v>2013</v>
      </c>
      <c r="C703" t="inlineStr">
        <is>
          <t>Vedika P Sant</t>
        </is>
      </c>
      <c r="D703">
        <f>HYPERLINK("https://ota.tournamentsoftware.com/player-profile/37441797-5F95-4518-997F-3F1602AC6E85", "Link")</f>
        <v/>
      </c>
      <c r="E703" s="3" t="n">
        <v>20.667</v>
      </c>
      <c r="F703" s="4" t="n">
        <v>1</v>
      </c>
      <c r="G703" t="inlineStr">
        <is>
          <t>Ontario Tennis Association</t>
        </is>
      </c>
      <c r="H703" t="inlineStr">
        <is>
          <t>Martingrove Tennis Club</t>
        </is>
      </c>
      <c r="I703" t="inlineStr">
        <is>
          <t>unavailable</t>
        </is>
      </c>
      <c r="J703" s="4" t="n">
        <v>8</v>
      </c>
      <c r="K703" t="inlineStr">
        <is>
          <t>2 / 6</t>
        </is>
      </c>
      <c r="L703" t="inlineStr">
        <is>
          <t>0 / 1</t>
        </is>
      </c>
      <c r="M703" s="5" t="n">
        <v>0.25</v>
      </c>
      <c r="N703" s="5" t="n">
        <v>0</v>
      </c>
    </row>
    <row r="704">
      <c r="A704" t="n">
        <v>703</v>
      </c>
      <c r="B704" t="n">
        <v>2013</v>
      </c>
      <c r="C704" t="inlineStr">
        <is>
          <t>Rebecca Maria Marcu</t>
        </is>
      </c>
      <c r="D704">
        <f>HYPERLINK("https://ota.tournamentsoftware.com/player-profile/1A9DB997-6193-4975-8534-F68D4F83BF32", "Link")</f>
        <v/>
      </c>
      <c r="E704" s="3" t="n">
        <v>20.131</v>
      </c>
      <c r="F704" s="4" t="n">
        <v>2</v>
      </c>
      <c r="G704" t="inlineStr">
        <is>
          <t>Ontario Tennis Association</t>
        </is>
      </c>
      <c r="H704" t="inlineStr">
        <is>
          <t>National Capital Tennis Association</t>
        </is>
      </c>
      <c r="I704" t="inlineStr">
        <is>
          <t>unavailable</t>
        </is>
      </c>
      <c r="J704" s="4" t="n">
        <v>4</v>
      </c>
      <c r="K704" t="inlineStr">
        <is>
          <t>1 / 3</t>
        </is>
      </c>
      <c r="L704" t="inlineStr">
        <is>
          <t>0 / 2</t>
        </is>
      </c>
      <c r="M704" s="5" t="n">
        <v>0.25</v>
      </c>
      <c r="N704" s="5" t="n">
        <v>0</v>
      </c>
    </row>
    <row r="705">
      <c r="A705" t="n">
        <v>704</v>
      </c>
      <c r="B705" t="n">
        <v>2014</v>
      </c>
      <c r="C705" t="inlineStr">
        <is>
          <t>Cheryl Elizabeth Ong</t>
        </is>
      </c>
      <c r="D705">
        <f>HYPERLINK("https://ota.tournamentsoftware.com/player-profile/11AC4E6A-0B03-4BB4-ACB7-333E7FD9064F", "Link")</f>
        <v/>
      </c>
      <c r="E705" s="3" t="n">
        <v>20.052</v>
      </c>
      <c r="F705" s="4" t="n">
        <v>9</v>
      </c>
      <c r="G705" t="inlineStr">
        <is>
          <t>British Columbia</t>
        </is>
      </c>
      <c r="H705" t="inlineStr">
        <is>
          <t>Tennis for Life</t>
        </is>
      </c>
      <c r="I705" t="inlineStr">
        <is>
          <t>unavailable</t>
        </is>
      </c>
      <c r="J705" s="4" t="n">
        <v>38</v>
      </c>
      <c r="K705" t="inlineStr">
        <is>
          <t>11 / 27</t>
        </is>
      </c>
      <c r="L705" t="inlineStr">
        <is>
          <t>7 / 11</t>
        </is>
      </c>
      <c r="M705" s="5" t="n">
        <v>0.29</v>
      </c>
      <c r="N705" s="5" t="n">
        <v>0.39</v>
      </c>
    </row>
    <row r="706">
      <c r="A706" t="n">
        <v>705</v>
      </c>
      <c r="B706" t="n">
        <v>2012</v>
      </c>
      <c r="C706" t="inlineStr">
        <is>
          <t>Emily Chai</t>
        </is>
      </c>
      <c r="D706">
        <f>HYPERLINK("https://ota.tournamentsoftware.com/player-profile/0DE38792-F237-4087-A5C1-369B6A3E0088", "Link")</f>
        <v/>
      </c>
      <c r="E706" s="3" t="n">
        <v>19.958</v>
      </c>
      <c r="F706" s="4" t="n">
        <v>2</v>
      </c>
      <c r="G706" t="inlineStr">
        <is>
          <t>Ontario Tennis Association</t>
        </is>
      </c>
      <c r="H706" t="inlineStr">
        <is>
          <t>ON Tennis Toronto No Club</t>
        </is>
      </c>
      <c r="I706" t="n">
        <v>38.4</v>
      </c>
      <c r="J706" s="4" t="n">
        <v>7</v>
      </c>
      <c r="K706" t="inlineStr">
        <is>
          <t>1 / 6</t>
        </is>
      </c>
      <c r="L706" t="inlineStr">
        <is>
          <t>1 / 6</t>
        </is>
      </c>
      <c r="M706" s="5" t="n">
        <v>0.14</v>
      </c>
      <c r="N706" s="5" t="n">
        <v>0.14</v>
      </c>
    </row>
    <row r="707">
      <c r="A707" t="n">
        <v>706</v>
      </c>
      <c r="B707" t="n">
        <v>2012</v>
      </c>
      <c r="C707" t="inlineStr">
        <is>
          <t>Yulli Anne Tsang</t>
        </is>
      </c>
      <c r="D707">
        <f>HYPERLINK("https://ota.tournamentsoftware.com/player-profile/E8CCFA74-9017-45A2-B403-724A9977CD1E", "Link")</f>
        <v/>
      </c>
      <c r="E707" s="3" t="n">
        <v>19.768</v>
      </c>
      <c r="F707" s="4" t="n">
        <v>5</v>
      </c>
      <c r="G707" t="inlineStr">
        <is>
          <t>Tennis Alberta</t>
        </is>
      </c>
      <c r="H707" t="inlineStr">
        <is>
          <t>Derrick Golf &amp; Winter Club</t>
        </is>
      </c>
      <c r="I707" t="n">
        <v>35.9</v>
      </c>
      <c r="J707" s="4" t="n">
        <v>28</v>
      </c>
      <c r="K707" t="inlineStr">
        <is>
          <t>9 / 19</t>
        </is>
      </c>
      <c r="L707" t="inlineStr">
        <is>
          <t>4 / 8</t>
        </is>
      </c>
      <c r="M707" s="5" t="n">
        <v>0.32</v>
      </c>
      <c r="N707" s="5" t="n">
        <v>0.33</v>
      </c>
    </row>
    <row r="708">
      <c r="A708" t="n">
        <v>707</v>
      </c>
      <c r="B708" t="n">
        <v>2014</v>
      </c>
      <c r="C708" t="inlineStr">
        <is>
          <t>Mia Mengchen Sun</t>
        </is>
      </c>
      <c r="D708">
        <f>HYPERLINK("https://ota.tournamentsoftware.com/player-profile/BFD3D157-D2B6-45BF-BE92-CACB69CCC59C", "Link")</f>
        <v/>
      </c>
      <c r="E708" s="3" t="n">
        <v>19.626</v>
      </c>
      <c r="F708" s="4" t="n">
        <v>5</v>
      </c>
      <c r="G708" t="inlineStr">
        <is>
          <t>Ontario Tennis Association</t>
        </is>
      </c>
      <c r="H708" t="inlineStr">
        <is>
          <t>Markham Tennis Club</t>
        </is>
      </c>
      <c r="I708" t="n">
        <v>37.9</v>
      </c>
      <c r="J708" s="4" t="n">
        <v>51</v>
      </c>
      <c r="K708" t="inlineStr">
        <is>
          <t>32 / 19</t>
        </is>
      </c>
      <c r="L708" t="inlineStr">
        <is>
          <t>0 / 0</t>
        </is>
      </c>
      <c r="M708" s="5" t="n">
        <v>0.63</v>
      </c>
      <c r="N708" s="5" t="n">
        <v>0</v>
      </c>
    </row>
    <row r="709">
      <c r="A709" t="n">
        <v>708</v>
      </c>
      <c r="B709" t="n">
        <v>2015</v>
      </c>
      <c r="C709" t="inlineStr">
        <is>
          <t>Isla Cowper</t>
        </is>
      </c>
      <c r="D709">
        <f>HYPERLINK("https://ota.tournamentsoftware.com/player-profile/B4F82BC2-5552-446F-89FC-C5F7C7A674B7", "Link")</f>
        <v/>
      </c>
      <c r="E709" s="3" t="n">
        <v>19.44</v>
      </c>
      <c r="F709" s="4" t="n">
        <v>5</v>
      </c>
      <c r="G709" t="inlineStr">
        <is>
          <t>Ontario Tennis Association</t>
        </is>
      </c>
      <c r="H709" t="inlineStr">
        <is>
          <t>Tam Heather Tennis Club</t>
        </is>
      </c>
      <c r="I709" t="n">
        <v>39.3</v>
      </c>
      <c r="J709" s="4" t="n">
        <v>65</v>
      </c>
      <c r="K709" t="inlineStr">
        <is>
          <t>27 / 38</t>
        </is>
      </c>
      <c r="L709" t="inlineStr">
        <is>
          <t>7 / 14</t>
        </is>
      </c>
      <c r="M709" s="5" t="n">
        <v>0.42</v>
      </c>
      <c r="N709" s="5" t="n">
        <v>0.33</v>
      </c>
    </row>
    <row r="710">
      <c r="A710" t="n">
        <v>709</v>
      </c>
      <c r="B710" t="n">
        <v>2012</v>
      </c>
      <c r="C710" t="inlineStr">
        <is>
          <t>Leah Lalonde</t>
        </is>
      </c>
      <c r="D710">
        <f>HYPERLINK("https://ota.tournamentsoftware.com/player-profile/00453502-5F0D-45E9-960B-731844BB2EE7", "Link")</f>
        <v/>
      </c>
      <c r="E710" s="3" t="n">
        <v>19.385</v>
      </c>
      <c r="F710" s="4" t="n">
        <v>1</v>
      </c>
      <c r="G710" t="inlineStr">
        <is>
          <t>Ontario Tennis Association</t>
        </is>
      </c>
      <c r="H710" t="inlineStr">
        <is>
          <t>North Bay Tennis Club</t>
        </is>
      </c>
      <c r="I710" t="inlineStr">
        <is>
          <t>unavailable</t>
        </is>
      </c>
      <c r="J710" s="4" t="n">
        <v>79</v>
      </c>
      <c r="K710" t="inlineStr">
        <is>
          <t>47 / 32</t>
        </is>
      </c>
      <c r="L710" t="inlineStr">
        <is>
          <t>0 / 0</t>
        </is>
      </c>
      <c r="M710" s="5" t="n">
        <v>0.59</v>
      </c>
      <c r="N710" s="5" t="n">
        <v>0</v>
      </c>
    </row>
    <row r="711">
      <c r="A711" t="n">
        <v>710</v>
      </c>
      <c r="B711" t="n">
        <v>2016</v>
      </c>
      <c r="C711" t="inlineStr">
        <is>
          <t>Brielle Han</t>
        </is>
      </c>
      <c r="D711">
        <f>HYPERLINK("https://ota.tournamentsoftware.com/player-profile/76F58D78-6F14-462B-9C79-943F718FD16A", "Link")</f>
        <v/>
      </c>
      <c r="E711" s="3" t="n">
        <v>19.341</v>
      </c>
      <c r="F711" s="4" t="n">
        <v>8</v>
      </c>
      <c r="G711" t="inlineStr">
        <is>
          <t>British Columbia</t>
        </is>
      </c>
      <c r="H711" t="inlineStr">
        <is>
          <t>North Vancouver Tennis Centre</t>
        </is>
      </c>
      <c r="I711" t="inlineStr">
        <is>
          <t>unavailable</t>
        </is>
      </c>
      <c r="J711" s="4" t="n">
        <v>197</v>
      </c>
      <c r="K711" t="inlineStr">
        <is>
          <t>67 / 130</t>
        </is>
      </c>
      <c r="L711" t="inlineStr">
        <is>
          <t>19 / 18</t>
        </is>
      </c>
      <c r="M711" s="5" t="n">
        <v>0.34</v>
      </c>
      <c r="N711" s="5" t="n">
        <v>0.51</v>
      </c>
    </row>
    <row r="712">
      <c r="A712" t="n">
        <v>711</v>
      </c>
      <c r="B712" t="n">
        <v>2014</v>
      </c>
      <c r="C712" t="inlineStr">
        <is>
          <t>Mia Baker</t>
        </is>
      </c>
      <c r="D712">
        <f>HYPERLINK("https://ota.tournamentsoftware.com/player-profile/ABFF2DBE-5CD7-451A-B77E-526F2DB67DA2", "Link")</f>
        <v/>
      </c>
      <c r="E712" s="3" t="n">
        <v>19.054</v>
      </c>
      <c r="F712" s="4" t="n">
        <v>9</v>
      </c>
      <c r="G712" t="inlineStr">
        <is>
          <t>Tennis Québec</t>
        </is>
      </c>
      <c r="H712" t="inlineStr">
        <is>
          <t>SANI Sport</t>
        </is>
      </c>
      <c r="I712" t="n">
        <v>40</v>
      </c>
      <c r="J712" s="4" t="n">
        <v>57</v>
      </c>
      <c r="K712" t="inlineStr">
        <is>
          <t>2 / 55</t>
        </is>
      </c>
      <c r="L712" t="inlineStr">
        <is>
          <t>0 / 10</t>
        </is>
      </c>
      <c r="M712" s="5" t="n">
        <v>0.04</v>
      </c>
      <c r="N712" s="5" t="n">
        <v>0</v>
      </c>
    </row>
    <row r="713">
      <c r="A713" t="n">
        <v>712</v>
      </c>
      <c r="B713" t="n">
        <v>2014</v>
      </c>
      <c r="C713" t="inlineStr">
        <is>
          <t>Camilia Aroub</t>
        </is>
      </c>
      <c r="D713">
        <f>HYPERLINK("https://ota.tournamentsoftware.com/player-profile/7CE0472D-53F2-438D-B060-8BB037C14F01", "Link")</f>
        <v/>
      </c>
      <c r="E713" s="3" t="n">
        <v>18.866</v>
      </c>
      <c r="F713" s="4" t="n">
        <v>8</v>
      </c>
      <c r="G713" t="inlineStr">
        <is>
          <t>Tennis Québec</t>
        </is>
      </c>
      <c r="H713" t="inlineStr">
        <is>
          <t>Club Sportif Côte-de-Liesse</t>
        </is>
      </c>
      <c r="I713" t="n">
        <v>40</v>
      </c>
      <c r="J713" s="4" t="n">
        <v>16</v>
      </c>
      <c r="K713" t="inlineStr">
        <is>
          <t>2 / 14</t>
        </is>
      </c>
      <c r="L713" t="inlineStr">
        <is>
          <t>2 / 11</t>
        </is>
      </c>
      <c r="M713" s="5" t="n">
        <v>0.12</v>
      </c>
      <c r="N713" s="5" t="n">
        <v>0.15</v>
      </c>
    </row>
    <row r="714">
      <c r="A714" t="n">
        <v>713</v>
      </c>
      <c r="B714" t="n">
        <v>2014</v>
      </c>
      <c r="C714" t="inlineStr">
        <is>
          <t>Olivia V. Jin</t>
        </is>
      </c>
      <c r="D714">
        <f>HYPERLINK("https://ota.tournamentsoftware.com/player-profile/88713252-C9AF-4DC4-B40D-11479A26EE47", "Link")</f>
        <v/>
      </c>
      <c r="E714" s="3" t="n">
        <v>18.821</v>
      </c>
      <c r="F714" s="4" t="n">
        <v>8</v>
      </c>
      <c r="G714" t="inlineStr">
        <is>
          <t>British Columbia</t>
        </is>
      </c>
      <c r="H714" t="inlineStr">
        <is>
          <t>Hollyburn Country Club</t>
        </is>
      </c>
      <c r="I714" t="n">
        <v>35.6</v>
      </c>
      <c r="J714" s="4" t="n">
        <v>85</v>
      </c>
      <c r="K714" t="inlineStr">
        <is>
          <t>26 / 59</t>
        </is>
      </c>
      <c r="L714" t="inlineStr">
        <is>
          <t>6 / 2</t>
        </is>
      </c>
      <c r="M714" s="5" t="n">
        <v>0.31</v>
      </c>
      <c r="N714" s="5" t="n">
        <v>0.75</v>
      </c>
    </row>
    <row r="715">
      <c r="A715" t="n">
        <v>714</v>
      </c>
      <c r="B715" t="n">
        <v>2014</v>
      </c>
      <c r="C715" t="inlineStr">
        <is>
          <t>kunyou Guan</t>
        </is>
      </c>
      <c r="D715">
        <f>HYPERLINK("https://ota.tournamentsoftware.com/player-profile/1F3E9C6C-8AD9-4B0B-B88C-410B372DBAF5", "Link")</f>
        <v/>
      </c>
      <c r="E715" s="3" t="n">
        <v>18.787</v>
      </c>
      <c r="F715" s="4" t="n">
        <v>5</v>
      </c>
      <c r="G715" t="inlineStr">
        <is>
          <t>Ontario Tennis Association</t>
        </is>
      </c>
      <c r="H715" t="inlineStr">
        <is>
          <t>Mayfair West Fitness &amp; Racquet Club</t>
        </is>
      </c>
      <c r="I715" t="n">
        <v>38.3</v>
      </c>
      <c r="J715" s="4" t="n">
        <v>36</v>
      </c>
      <c r="K715" t="inlineStr">
        <is>
          <t>18 / 18</t>
        </is>
      </c>
      <c r="L715" t="inlineStr">
        <is>
          <t>5 / 7</t>
        </is>
      </c>
      <c r="M715" s="5" t="n">
        <v>0.5</v>
      </c>
      <c r="N715" s="5" t="n">
        <v>0.42</v>
      </c>
    </row>
    <row r="716">
      <c r="A716" t="n">
        <v>715</v>
      </c>
      <c r="B716" t="n">
        <v>2012</v>
      </c>
      <c r="C716" t="inlineStr">
        <is>
          <t>Maddy Frances Hughes</t>
        </is>
      </c>
      <c r="D716">
        <f>HYPERLINK("https://ota.tournamentsoftware.com/player-profile/78566C46-653E-4667-ADCE-638FA56C318F", "Link")</f>
        <v/>
      </c>
      <c r="E716" s="3" t="n">
        <v>18.771</v>
      </c>
      <c r="F716" s="4" t="n">
        <v>2</v>
      </c>
      <c r="G716" t="inlineStr">
        <is>
          <t>Ontario Tennis Association</t>
        </is>
      </c>
      <c r="H716" t="inlineStr">
        <is>
          <t>Boulevard Club</t>
        </is>
      </c>
      <c r="I716" t="n">
        <v>37.7</v>
      </c>
      <c r="J716" s="4" t="n">
        <v>41</v>
      </c>
      <c r="K716" t="inlineStr">
        <is>
          <t>16 / 25</t>
        </is>
      </c>
      <c r="L716" t="inlineStr">
        <is>
          <t>4 / 7</t>
        </is>
      </c>
      <c r="M716" s="5" t="n">
        <v>0.39</v>
      </c>
      <c r="N716" s="5" t="n">
        <v>0.36</v>
      </c>
    </row>
    <row r="717">
      <c r="A717" t="n">
        <v>716</v>
      </c>
      <c r="B717" t="n">
        <v>2012</v>
      </c>
      <c r="C717" t="inlineStr">
        <is>
          <t>Diya Parkash</t>
        </is>
      </c>
      <c r="D717">
        <f>HYPERLINK("https://ota.tournamentsoftware.com/player-profile/73A3C93B-23D0-4FC2-9B92-CA5DFE4335FD", "Link")</f>
        <v/>
      </c>
      <c r="E717" s="3" t="n">
        <v>18.484</v>
      </c>
      <c r="F717" s="4" t="n">
        <v>1</v>
      </c>
      <c r="G717" t="inlineStr">
        <is>
          <t>Tennis Nova Scotia</t>
        </is>
      </c>
      <c r="H717" t="inlineStr">
        <is>
          <t>HEADSTART</t>
        </is>
      </c>
      <c r="I717" t="n">
        <v>36.8</v>
      </c>
      <c r="J717" s="4" t="n">
        <v>6</v>
      </c>
      <c r="K717" t="inlineStr">
        <is>
          <t>3 / 3</t>
        </is>
      </c>
      <c r="L717" t="inlineStr">
        <is>
          <t>3 / 3</t>
        </is>
      </c>
      <c r="M717" s="5" t="n">
        <v>0.5</v>
      </c>
      <c r="N717" s="5" t="n">
        <v>0.5</v>
      </c>
    </row>
    <row r="718">
      <c r="A718" t="n">
        <v>717</v>
      </c>
      <c r="B718" t="n">
        <v>2013</v>
      </c>
      <c r="C718" t="inlineStr">
        <is>
          <t>Eve Fuemana</t>
        </is>
      </c>
      <c r="D718">
        <f>HYPERLINK("https://ota.tournamentsoftware.com/player-profile/C6B89948-0347-4A82-9588-926B794A08CE", "Link")</f>
        <v/>
      </c>
      <c r="E718" s="3" t="n">
        <v>18.447</v>
      </c>
      <c r="F718" s="4" t="n">
        <v>1</v>
      </c>
      <c r="G718" t="inlineStr">
        <is>
          <t>Ontario Tennis Association</t>
        </is>
      </c>
      <c r="H718" t="inlineStr">
        <is>
          <t>Toronto Tennis City</t>
        </is>
      </c>
      <c r="I718" t="n">
        <v>27.7</v>
      </c>
      <c r="J718" s="4" t="n">
        <v>3</v>
      </c>
      <c r="K718" t="inlineStr">
        <is>
          <t>0 / 3</t>
        </is>
      </c>
      <c r="L718" t="inlineStr">
        <is>
          <t>0 / 1</t>
        </is>
      </c>
      <c r="M718" s="5" t="n">
        <v>0</v>
      </c>
      <c r="N718" s="5" t="n">
        <v>0</v>
      </c>
    </row>
    <row r="719">
      <c r="A719" t="n">
        <v>718</v>
      </c>
      <c r="B719" t="n">
        <v>2014</v>
      </c>
      <c r="C719" t="inlineStr">
        <is>
          <t>Éloïse Renaud</t>
        </is>
      </c>
      <c r="D719">
        <f>HYPERLINK("https://ota.tournamentsoftware.com/player-profile/B18DE2B4-0E8A-4263-8136-FCC7F7A61D01", "Link")</f>
        <v/>
      </c>
      <c r="E719" s="3" t="n">
        <v>18.36</v>
      </c>
      <c r="F719" s="4" t="n">
        <v>4</v>
      </c>
      <c r="G719" t="inlineStr">
        <is>
          <t>Tennis Québec</t>
        </is>
      </c>
      <c r="H719" t="inlineStr">
        <is>
          <t>Tennis 13</t>
        </is>
      </c>
      <c r="I719" t="inlineStr">
        <is>
          <t>unavailable</t>
        </is>
      </c>
      <c r="J719" s="4" t="n">
        <v>8</v>
      </c>
      <c r="K719" t="inlineStr">
        <is>
          <t>4 / 4</t>
        </is>
      </c>
      <c r="L719" t="inlineStr">
        <is>
          <t>1 / 2</t>
        </is>
      </c>
      <c r="M719" s="5" t="n">
        <v>0.5</v>
      </c>
      <c r="N719" s="5" t="n">
        <v>0.33</v>
      </c>
    </row>
    <row r="720">
      <c r="A720" t="n">
        <v>719</v>
      </c>
      <c r="B720" t="n">
        <v>2015</v>
      </c>
      <c r="C720" t="inlineStr">
        <is>
          <t>Simone Tremblay-Roy</t>
        </is>
      </c>
      <c r="D720">
        <f>HYPERLINK("https://ota.tournamentsoftware.com/player-profile/E7E1A20D-ED12-47F1-913D-3022C4BE6070", "Link")</f>
        <v/>
      </c>
      <c r="E720" s="3" t="n">
        <v>18.332</v>
      </c>
      <c r="F720" s="4" t="n">
        <v>2</v>
      </c>
      <c r="G720" t="inlineStr">
        <is>
          <t>Tennis Québec</t>
        </is>
      </c>
      <c r="H720" t="inlineStr">
        <is>
          <t>Club de tennis intérieur Saguenay</t>
        </is>
      </c>
      <c r="I720" t="n">
        <v>37.4</v>
      </c>
      <c r="J720" s="4" t="n">
        <v>7</v>
      </c>
      <c r="K720" t="inlineStr">
        <is>
          <t>4 / 3</t>
        </is>
      </c>
      <c r="L720" t="inlineStr">
        <is>
          <t>1 / 3</t>
        </is>
      </c>
      <c r="M720" s="5" t="n">
        <v>0.57</v>
      </c>
      <c r="N720" s="5" t="n">
        <v>0.25</v>
      </c>
    </row>
    <row r="721">
      <c r="A721" t="n">
        <v>720</v>
      </c>
      <c r="B721" t="n">
        <v>2015</v>
      </c>
      <c r="C721" t="inlineStr">
        <is>
          <t>Kenza Rachel Moulayess</t>
        </is>
      </c>
      <c r="D721">
        <f>HYPERLINK("https://ota.tournamentsoftware.com/player-profile/4C943CCE-9912-41DA-95F0-D98F8E86E816", "Link")</f>
        <v/>
      </c>
      <c r="E721" s="3" t="n">
        <v>17.928</v>
      </c>
      <c r="F721" s="4" t="n">
        <v>1</v>
      </c>
      <c r="G721" t="inlineStr">
        <is>
          <t>Tennis Québec</t>
        </is>
      </c>
      <c r="H721" t="inlineStr">
        <is>
          <t>Club Avantage Multi-sports / Académie de tennis Hérisset Bordeleau</t>
        </is>
      </c>
      <c r="I721" t="n">
        <v>33.2</v>
      </c>
      <c r="J721" s="4" t="n">
        <v>26</v>
      </c>
      <c r="K721" t="inlineStr">
        <is>
          <t>19 / 7</t>
        </is>
      </c>
      <c r="L721" t="inlineStr">
        <is>
          <t>0 / 0</t>
        </is>
      </c>
      <c r="M721" s="5" t="n">
        <v>0.73</v>
      </c>
      <c r="N721" s="5" t="n">
        <v>0</v>
      </c>
    </row>
    <row r="722">
      <c r="A722" t="n">
        <v>721</v>
      </c>
      <c r="B722" t="n">
        <v>2013</v>
      </c>
      <c r="C722" t="inlineStr">
        <is>
          <t>Blake Beck Sadler</t>
        </is>
      </c>
      <c r="D722">
        <f>HYPERLINK("https://ota.tournamentsoftware.com/player-profile/B44D5381-342B-4AF0-8200-EA0CEE1E54B7", "Link")</f>
        <v/>
      </c>
      <c r="E722" s="3" t="n">
        <v>17.916</v>
      </c>
      <c r="F722" s="4" t="n">
        <v>2</v>
      </c>
      <c r="G722" t="inlineStr">
        <is>
          <t>Ontario Tennis Association</t>
        </is>
      </c>
      <c r="H722" t="inlineStr">
        <is>
          <t>Ontario Racquet Club</t>
        </is>
      </c>
      <c r="I722" t="n">
        <v>35.9</v>
      </c>
      <c r="J722" s="4" t="n">
        <v>22</v>
      </c>
      <c r="K722" t="inlineStr">
        <is>
          <t>12 / 10</t>
        </is>
      </c>
      <c r="L722" t="inlineStr">
        <is>
          <t>1 / 1</t>
        </is>
      </c>
      <c r="M722" s="5" t="n">
        <v>0.55</v>
      </c>
      <c r="N722" s="5" t="n">
        <v>0.5</v>
      </c>
    </row>
    <row r="723">
      <c r="A723" t="n">
        <v>722</v>
      </c>
      <c r="B723" t="n">
        <v>2014</v>
      </c>
      <c r="C723" t="inlineStr">
        <is>
          <t>Sophia Marietta Dee</t>
        </is>
      </c>
      <c r="D723">
        <f>HYPERLINK("https://ota.tournamentsoftware.com/player-profile/C69F5ADB-3749-4D97-A809-250A73BB30C1", "Link")</f>
        <v/>
      </c>
      <c r="E723" s="3" t="n">
        <v>17.903</v>
      </c>
      <c r="F723" s="4" t="n">
        <v>6</v>
      </c>
      <c r="G723" t="inlineStr">
        <is>
          <t>British Columbia</t>
        </is>
      </c>
      <c r="H723" t="inlineStr">
        <is>
          <t>Arbutus Club</t>
        </is>
      </c>
      <c r="I723" t="n">
        <v>36.8</v>
      </c>
      <c r="J723" s="4" t="n">
        <v>40</v>
      </c>
      <c r="K723" t="inlineStr">
        <is>
          <t>14 / 26</t>
        </is>
      </c>
      <c r="L723" t="inlineStr">
        <is>
          <t>5 / 7</t>
        </is>
      </c>
      <c r="M723" s="5" t="n">
        <v>0.35</v>
      </c>
      <c r="N723" s="5" t="n">
        <v>0.42</v>
      </c>
    </row>
    <row r="724">
      <c r="A724" t="n">
        <v>723</v>
      </c>
      <c r="B724" t="n">
        <v>2015</v>
      </c>
      <c r="C724" t="inlineStr">
        <is>
          <t>Hannah Lewis</t>
        </is>
      </c>
      <c r="D724">
        <f>HYPERLINK("https://ota.tournamentsoftware.com/player-profile/B25290C5-DB82-4ED0-843D-33516AFF301F", "Link")</f>
        <v/>
      </c>
      <c r="E724" s="3" t="n">
        <v>17.568</v>
      </c>
      <c r="F724" s="4" t="n">
        <v>3</v>
      </c>
      <c r="G724" t="inlineStr">
        <is>
          <t>Ontario Tennis Association</t>
        </is>
      </c>
      <c r="H724" t="inlineStr">
        <is>
          <t>Tam Heather Tennis Club</t>
        </is>
      </c>
      <c r="I724" t="n">
        <v>37.6</v>
      </c>
      <c r="J724" s="4" t="n">
        <v>37</v>
      </c>
      <c r="K724" t="inlineStr">
        <is>
          <t>9 / 28</t>
        </is>
      </c>
      <c r="L724" t="inlineStr">
        <is>
          <t>8 / 11</t>
        </is>
      </c>
      <c r="M724" s="5" t="n">
        <v>0.24</v>
      </c>
      <c r="N724" s="5" t="n">
        <v>0.42</v>
      </c>
    </row>
    <row r="725">
      <c r="A725" t="n">
        <v>724</v>
      </c>
      <c r="B725" t="n">
        <v>2013</v>
      </c>
      <c r="C725" t="inlineStr">
        <is>
          <t>caitlin wong</t>
        </is>
      </c>
      <c r="D725">
        <f>HYPERLINK("https://ota.tournamentsoftware.com/player-profile/A6697051-116D-4981-AA23-11E1BF963FD3", "Link")</f>
        <v/>
      </c>
      <c r="E725" s="3" t="n">
        <v>17.486</v>
      </c>
      <c r="F725" s="4" t="n">
        <v>2</v>
      </c>
      <c r="G725" t="inlineStr">
        <is>
          <t>Ontario Tennis Association</t>
        </is>
      </c>
      <c r="H725" t="inlineStr">
        <is>
          <t>Blackmore Tennis Club</t>
        </is>
      </c>
      <c r="I725" t="n">
        <v>37.2</v>
      </c>
      <c r="J725" s="4" t="n">
        <v>56</v>
      </c>
      <c r="K725" t="inlineStr">
        <is>
          <t>29 / 27</t>
        </is>
      </c>
      <c r="L725" t="inlineStr">
        <is>
          <t>0 / 0</t>
        </is>
      </c>
      <c r="M725" s="5" t="n">
        <v>0.52</v>
      </c>
      <c r="N725" s="5" t="n">
        <v>0</v>
      </c>
    </row>
    <row r="726">
      <c r="A726" t="n">
        <v>725</v>
      </c>
      <c r="B726" t="n">
        <v>2013</v>
      </c>
      <c r="C726" t="inlineStr">
        <is>
          <t>Lily Pilipowicz</t>
        </is>
      </c>
      <c r="D726">
        <f>HYPERLINK("https://ota.tournamentsoftware.com/player-profile/B42CFB1E-4A07-4108-A904-8512C36C48D8", "Link")</f>
        <v/>
      </c>
      <c r="E726" s="3" t="n">
        <v>17.313</v>
      </c>
      <c r="F726" s="4" t="n">
        <v>4</v>
      </c>
      <c r="G726" t="inlineStr">
        <is>
          <t>Tennis Alberta</t>
        </is>
      </c>
      <c r="H726" t="inlineStr">
        <is>
          <t>Aforza</t>
        </is>
      </c>
      <c r="I726" t="n">
        <v>34</v>
      </c>
      <c r="J726" s="4" t="n">
        <v>40</v>
      </c>
      <c r="K726" t="inlineStr">
        <is>
          <t>19 / 21</t>
        </is>
      </c>
      <c r="L726" t="inlineStr">
        <is>
          <t>0 / 1</t>
        </is>
      </c>
      <c r="M726" s="5" t="n">
        <v>0.47</v>
      </c>
      <c r="N726" s="5" t="n">
        <v>0</v>
      </c>
    </row>
    <row r="727">
      <c r="A727" t="n">
        <v>726</v>
      </c>
      <c r="B727" t="n">
        <v>2014</v>
      </c>
      <c r="C727" t="inlineStr">
        <is>
          <t>Rehmat Kaur Sandhar</t>
        </is>
      </c>
      <c r="D727">
        <f>HYPERLINK("https://ota.tournamentsoftware.com/player-profile/F8357E3D-210F-40E0-BA8A-8FFDBD0DC17E", "Link")</f>
        <v/>
      </c>
      <c r="E727" s="3" t="n">
        <v>17.28</v>
      </c>
      <c r="F727" s="4" t="n">
        <v>2</v>
      </c>
      <c r="G727" t="inlineStr">
        <is>
          <t>Ontario Tennis Association</t>
        </is>
      </c>
      <c r="H727" t="inlineStr">
        <is>
          <t>ON Tennis Toronto No Club</t>
        </is>
      </c>
      <c r="I727" t="n">
        <v>36.7</v>
      </c>
      <c r="J727" s="4" t="n">
        <v>29</v>
      </c>
      <c r="K727" t="inlineStr">
        <is>
          <t>12 / 17</t>
        </is>
      </c>
      <c r="L727" t="inlineStr">
        <is>
          <t>12 / 14</t>
        </is>
      </c>
      <c r="M727" s="5" t="n">
        <v>0.41</v>
      </c>
      <c r="N727" s="5" t="n">
        <v>0.46</v>
      </c>
    </row>
    <row r="728">
      <c r="A728" t="n">
        <v>726</v>
      </c>
      <c r="B728" t="n">
        <v>2016</v>
      </c>
      <c r="C728" t="inlineStr">
        <is>
          <t>Nourine Chebitou</t>
        </is>
      </c>
      <c r="D728">
        <f>HYPERLINK("https://ota.tournamentsoftware.com/player-profile/7B847012-F77E-40EE-A816-39ABE1031DA9", "Link")</f>
        <v/>
      </c>
      <c r="E728" s="3" t="n">
        <v>17.28</v>
      </c>
      <c r="F728" s="4" t="n">
        <v>1</v>
      </c>
      <c r="G728" t="inlineStr">
        <is>
          <t>Tennis Québec</t>
        </is>
      </c>
      <c r="H728" t="inlineStr">
        <is>
          <t>SANI Sport</t>
        </is>
      </c>
      <c r="I728" t="n">
        <v>37.3</v>
      </c>
      <c r="J728" s="4" t="n">
        <v>5</v>
      </c>
      <c r="K728" t="inlineStr">
        <is>
          <t>1 / 4</t>
        </is>
      </c>
      <c r="L728" t="inlineStr">
        <is>
          <t>1 / 1</t>
        </is>
      </c>
      <c r="M728" s="5" t="n">
        <v>0.2</v>
      </c>
      <c r="N728" s="5" t="n">
        <v>0.5</v>
      </c>
    </row>
    <row r="729">
      <c r="A729" t="n">
        <v>728</v>
      </c>
      <c r="B729" t="n">
        <v>2012</v>
      </c>
      <c r="C729" t="inlineStr">
        <is>
          <t>Emily Solc</t>
        </is>
      </c>
      <c r="D729">
        <f>HYPERLINK("https://ota.tournamentsoftware.com/player-profile/0117F9E7-8DFA-459F-859A-F7CFC440388D", "Link")</f>
        <v/>
      </c>
      <c r="E729" s="3" t="n">
        <v>17.16</v>
      </c>
      <c r="F729" s="4" t="n">
        <v>1</v>
      </c>
      <c r="G729" t="inlineStr">
        <is>
          <t>Ontario Tennis Association</t>
        </is>
      </c>
      <c r="H729" t="inlineStr">
        <is>
          <t>Ajax Tennis Club</t>
        </is>
      </c>
      <c r="I729" t="n">
        <v>35.7</v>
      </c>
      <c r="J729" s="4" t="n">
        <v>15</v>
      </c>
      <c r="K729" t="inlineStr">
        <is>
          <t>6 / 9</t>
        </is>
      </c>
      <c r="L729" t="inlineStr">
        <is>
          <t>0 / 0</t>
        </is>
      </c>
      <c r="M729" s="5" t="n">
        <v>0.4</v>
      </c>
      <c r="N729" s="5" t="n">
        <v>0</v>
      </c>
    </row>
    <row r="730">
      <c r="A730" t="n">
        <v>729</v>
      </c>
      <c r="B730" t="n">
        <v>2012</v>
      </c>
      <c r="C730" t="inlineStr">
        <is>
          <t>Elise Weaser</t>
        </is>
      </c>
      <c r="D730">
        <f>HYPERLINK("https://ota.tournamentsoftware.com/player-profile/DA22DB71-D6D8-4605-B329-E9AEA5B14695", "Link")</f>
        <v/>
      </c>
      <c r="E730" s="3" t="n">
        <v>16.632</v>
      </c>
      <c r="F730" s="4" t="n">
        <v>1</v>
      </c>
      <c r="G730" t="inlineStr">
        <is>
          <t>Ontario Tennis Association</t>
        </is>
      </c>
      <c r="H730" t="inlineStr">
        <is>
          <t>Ontario Racquet Club</t>
        </is>
      </c>
      <c r="I730" t="n">
        <v>38</v>
      </c>
      <c r="J730" s="4" t="n">
        <v>28</v>
      </c>
      <c r="K730" t="inlineStr">
        <is>
          <t>6 / 22</t>
        </is>
      </c>
      <c r="L730" t="inlineStr">
        <is>
          <t>1 / 1</t>
        </is>
      </c>
      <c r="M730" s="5" t="n">
        <v>0.21</v>
      </c>
      <c r="N730" s="5" t="n">
        <v>0.5</v>
      </c>
    </row>
    <row r="731">
      <c r="A731" t="n">
        <v>730</v>
      </c>
      <c r="B731" t="n">
        <v>2013</v>
      </c>
      <c r="C731" t="inlineStr">
        <is>
          <t>Vasta Keshavarz</t>
        </is>
      </c>
      <c r="D731">
        <f>HYPERLINK("https://ota.tournamentsoftware.com/player-profile/601A80FC-EABC-4AF6-9B13-BEBCF22814BA", "Link")</f>
        <v/>
      </c>
      <c r="E731" s="3" t="n">
        <v>16.603</v>
      </c>
      <c r="F731" s="4" t="n">
        <v>4</v>
      </c>
      <c r="G731" t="inlineStr">
        <is>
          <t>British Columbia</t>
        </is>
      </c>
      <c r="H731" t="inlineStr">
        <is>
          <t>North Vancouver Tennis Centre</t>
        </is>
      </c>
      <c r="I731" t="inlineStr">
        <is>
          <t>unavailable</t>
        </is>
      </c>
      <c r="J731" s="4" t="n">
        <v>37</v>
      </c>
      <c r="K731" t="inlineStr">
        <is>
          <t>12 / 25</t>
        </is>
      </c>
      <c r="L731" t="inlineStr">
        <is>
          <t>4 / 18</t>
        </is>
      </c>
      <c r="M731" s="5" t="n">
        <v>0.32</v>
      </c>
      <c r="N731" s="5" t="n">
        <v>0.18</v>
      </c>
    </row>
    <row r="732">
      <c r="A732" t="n">
        <v>731</v>
      </c>
      <c r="B732" t="n">
        <v>2015</v>
      </c>
      <c r="C732" t="inlineStr">
        <is>
          <t>Léa Anténor</t>
        </is>
      </c>
      <c r="D732">
        <f>HYPERLINK("https://ota.tournamentsoftware.com/player-profile/C5888674-E1AF-487D-88CD-4864B4B9365E", "Link")</f>
        <v/>
      </c>
      <c r="E732" s="3" t="n">
        <v>16.489</v>
      </c>
      <c r="F732" s="4" t="n">
        <v>3</v>
      </c>
      <c r="G732" t="inlineStr">
        <is>
          <t>Tennis Québec</t>
        </is>
      </c>
      <c r="H732" t="inlineStr">
        <is>
          <t>No Club</t>
        </is>
      </c>
      <c r="I732" t="inlineStr">
        <is>
          <t>unavailable</t>
        </is>
      </c>
      <c r="J732" s="4" t="n">
        <v>2</v>
      </c>
      <c r="K732" t="inlineStr">
        <is>
          <t>0 / 2</t>
        </is>
      </c>
      <c r="L732" t="inlineStr">
        <is>
          <t>0 / 2</t>
        </is>
      </c>
      <c r="M732" s="5" t="n">
        <v>0</v>
      </c>
      <c r="N732" s="5" t="n">
        <v>0</v>
      </c>
    </row>
    <row r="733">
      <c r="A733" t="n">
        <v>732</v>
      </c>
      <c r="B733" t="n">
        <v>2014</v>
      </c>
      <c r="C733" t="inlineStr">
        <is>
          <t>Livia Hu</t>
        </is>
      </c>
      <c r="D733">
        <f>HYPERLINK("https://ota.tournamentsoftware.com/player-profile/F0626954-59DE-45D2-AE30-FCA903A00699", "Link")</f>
        <v/>
      </c>
      <c r="E733" s="3" t="n">
        <v>16.459</v>
      </c>
      <c r="F733" s="4" t="n">
        <v>2</v>
      </c>
      <c r="G733" t="inlineStr">
        <is>
          <t>Tennis Saskatchewan</t>
        </is>
      </c>
      <c r="H733" t="inlineStr">
        <is>
          <t>No Club</t>
        </is>
      </c>
      <c r="I733" t="n">
        <v>31.2</v>
      </c>
      <c r="J733" s="4" t="n">
        <v>36</v>
      </c>
      <c r="K733" t="inlineStr">
        <is>
          <t>21 / 15</t>
        </is>
      </c>
      <c r="L733" t="inlineStr">
        <is>
          <t>3 / 3</t>
        </is>
      </c>
      <c r="M733" s="5" t="n">
        <v>0.58</v>
      </c>
      <c r="N733" s="5" t="n">
        <v>0.5</v>
      </c>
    </row>
    <row r="734">
      <c r="A734" t="n">
        <v>733</v>
      </c>
      <c r="B734" t="n">
        <v>2015</v>
      </c>
      <c r="C734" t="inlineStr">
        <is>
          <t>Margaux Eile</t>
        </is>
      </c>
      <c r="D734">
        <f>HYPERLINK("https://ota.tournamentsoftware.com/player-profile/9023DCCB-FDAB-4759-A4C9-E99C2FD3C6AD", "Link")</f>
        <v/>
      </c>
      <c r="E734" s="3" t="n">
        <v>16.313</v>
      </c>
      <c r="F734" s="4" t="n">
        <v>6</v>
      </c>
      <c r="G734" t="inlineStr">
        <is>
          <t>Tennis Québec</t>
        </is>
      </c>
      <c r="H734" t="inlineStr">
        <is>
          <t>Midtown Le Sporting Club Sanctuaire</t>
        </is>
      </c>
      <c r="I734" t="inlineStr">
        <is>
          <t>unavailable</t>
        </is>
      </c>
      <c r="J734" s="4" t="n">
        <v>25</v>
      </c>
      <c r="K734" t="inlineStr">
        <is>
          <t>2 / 23</t>
        </is>
      </c>
      <c r="L734" t="inlineStr">
        <is>
          <t>0 / 6</t>
        </is>
      </c>
      <c r="M734" s="5" t="n">
        <v>0.08</v>
      </c>
      <c r="N734" s="5" t="n">
        <v>0</v>
      </c>
    </row>
    <row r="735">
      <c r="A735" t="n">
        <v>734</v>
      </c>
      <c r="B735" t="n">
        <v>2013</v>
      </c>
      <c r="C735" t="inlineStr">
        <is>
          <t>Aura Hayer</t>
        </is>
      </c>
      <c r="D735">
        <f>HYPERLINK("https://ota.tournamentsoftware.com/player-profile/969F22DA-6980-4E13-BAE2-6BD2D0C08F88", "Link")</f>
        <v/>
      </c>
      <c r="E735" s="3" t="n">
        <v>16.285</v>
      </c>
      <c r="F735" s="4" t="n">
        <v>3</v>
      </c>
      <c r="G735" t="inlineStr">
        <is>
          <t>British Columbia</t>
        </is>
      </c>
      <c r="H735" t="inlineStr">
        <is>
          <t>Sunshine Hills Tennis Club</t>
        </is>
      </c>
      <c r="I735" t="n">
        <v>38.5</v>
      </c>
      <c r="J735" s="4" t="n">
        <v>103</v>
      </c>
      <c r="K735" t="inlineStr">
        <is>
          <t>32 / 71</t>
        </is>
      </c>
      <c r="L735" t="inlineStr">
        <is>
          <t>2 / 5</t>
        </is>
      </c>
      <c r="M735" s="5" t="n">
        <v>0.31</v>
      </c>
      <c r="N735" s="5" t="n">
        <v>0.29</v>
      </c>
    </row>
    <row r="736">
      <c r="A736" t="n">
        <v>735</v>
      </c>
      <c r="B736" t="n">
        <v>2013</v>
      </c>
      <c r="C736" t="inlineStr">
        <is>
          <t>Kate Sumner</t>
        </is>
      </c>
      <c r="D736">
        <f>HYPERLINK("https://ota.tournamentsoftware.com/player-profile/42BF9410-8926-4C81-9B50-F1262CEF0360", "Link")</f>
        <v/>
      </c>
      <c r="E736" s="3" t="n">
        <v>16.027</v>
      </c>
      <c r="F736" s="4" t="n">
        <v>3</v>
      </c>
      <c r="G736" t="inlineStr">
        <is>
          <t>Ontario Tennis Association</t>
        </is>
      </c>
      <c r="H736" t="inlineStr">
        <is>
          <t>Toronto Cricket Skating &amp; Curling</t>
        </is>
      </c>
      <c r="I736" t="inlineStr">
        <is>
          <t>unavailable</t>
        </is>
      </c>
      <c r="J736" s="4" t="n">
        <v>33</v>
      </c>
      <c r="K736" t="inlineStr">
        <is>
          <t>11 / 22</t>
        </is>
      </c>
      <c r="L736" t="inlineStr">
        <is>
          <t>1 / 1</t>
        </is>
      </c>
      <c r="M736" s="5" t="n">
        <v>0.33</v>
      </c>
      <c r="N736" s="5" t="n">
        <v>0.5</v>
      </c>
    </row>
    <row r="737">
      <c r="A737" t="n">
        <v>736</v>
      </c>
      <c r="B737" t="n">
        <v>2017</v>
      </c>
      <c r="C737" t="inlineStr">
        <is>
          <t>Safiatou Ntentie Nchange</t>
        </is>
      </c>
      <c r="D737">
        <f>HYPERLINK("https://ota.tournamentsoftware.com/player-profile/5B1E15AE-3503-449A-B482-B98077F40A43", "Link")</f>
        <v/>
      </c>
      <c r="E737" s="3" t="n">
        <v>15.898</v>
      </c>
      <c r="F737" s="4" t="n">
        <v>6</v>
      </c>
      <c r="G737" t="inlineStr">
        <is>
          <t>Tennis Alberta</t>
        </is>
      </c>
      <c r="H737" t="inlineStr">
        <is>
          <t>No Club</t>
        </is>
      </c>
      <c r="I737" t="n">
        <v>36</v>
      </c>
      <c r="J737" s="4" t="n">
        <v>37</v>
      </c>
      <c r="K737" t="inlineStr">
        <is>
          <t>26 / 11</t>
        </is>
      </c>
      <c r="L737" t="inlineStr">
        <is>
          <t>22 / 10</t>
        </is>
      </c>
      <c r="M737" s="5" t="n">
        <v>0.7</v>
      </c>
      <c r="N737" s="5" t="n">
        <v>0.6899999999999999</v>
      </c>
    </row>
    <row r="738">
      <c r="A738" t="n">
        <v>737</v>
      </c>
      <c r="B738" t="n">
        <v>2014</v>
      </c>
      <c r="C738" t="inlineStr">
        <is>
          <t>Precious J. Mutiku</t>
        </is>
      </c>
      <c r="D738">
        <f>HYPERLINK("https://ota.tournamentsoftware.com/player-profile/60A61325-C72A-4622-B3AF-5291E7A5657A", "Link")</f>
        <v/>
      </c>
      <c r="E738" s="3" t="n">
        <v>15.059</v>
      </c>
      <c r="F738" s="4" t="n">
        <v>1</v>
      </c>
      <c r="G738" t="inlineStr">
        <is>
          <t>Tennis Manitoba</t>
        </is>
      </c>
      <c r="H738" t="inlineStr">
        <is>
          <t>Taylor Tennis</t>
        </is>
      </c>
      <c r="I738" t="n">
        <v>37</v>
      </c>
      <c r="J738" s="4" t="n">
        <v>3</v>
      </c>
      <c r="K738" t="inlineStr">
        <is>
          <t>1 / 2</t>
        </is>
      </c>
      <c r="L738" t="inlineStr">
        <is>
          <t>0 / 1</t>
        </is>
      </c>
      <c r="M738" s="5" t="n">
        <v>0.33</v>
      </c>
      <c r="N738" s="5" t="n">
        <v>0</v>
      </c>
    </row>
    <row r="739">
      <c r="A739" t="n">
        <v>738</v>
      </c>
      <c r="B739" t="n">
        <v>2016</v>
      </c>
      <c r="C739" t="inlineStr">
        <is>
          <t>Yuetian Caroline Guo</t>
        </is>
      </c>
      <c r="D739">
        <f>HYPERLINK("https://ota.tournamentsoftware.com/player-profile/D9EEB088-31A0-4FD1-A91B-A82319998935", "Link")</f>
        <v/>
      </c>
      <c r="E739" s="3" t="n">
        <v>15.034</v>
      </c>
      <c r="F739" s="4" t="n">
        <v>8</v>
      </c>
      <c r="G739" t="inlineStr">
        <is>
          <t>British Columbia</t>
        </is>
      </c>
      <c r="H739" t="inlineStr">
        <is>
          <t>The Tennis Centre</t>
        </is>
      </c>
      <c r="I739" t="n">
        <v>37.3</v>
      </c>
      <c r="J739" s="4" t="n">
        <v>98</v>
      </c>
      <c r="K739" t="inlineStr">
        <is>
          <t>56 / 42</t>
        </is>
      </c>
      <c r="L739" t="inlineStr">
        <is>
          <t>26 / 16</t>
        </is>
      </c>
      <c r="M739" s="5" t="n">
        <v>0.57</v>
      </c>
      <c r="N739" s="5" t="n">
        <v>0.62</v>
      </c>
    </row>
    <row r="740">
      <c r="A740" t="n">
        <v>739</v>
      </c>
      <c r="B740" t="n">
        <v>2013</v>
      </c>
      <c r="C740" t="inlineStr">
        <is>
          <t>Kensington Gavin</t>
        </is>
      </c>
      <c r="D740">
        <f>HYPERLINK("https://ota.tournamentsoftware.com/player-profile/A4C08F5F-BDB2-4714-9F20-18E924F0B20C", "Link")</f>
        <v/>
      </c>
      <c r="E740" s="3" t="n">
        <v>15</v>
      </c>
      <c r="F740" s="4" t="n">
        <v>1</v>
      </c>
      <c r="G740" t="inlineStr">
        <is>
          <t>British Columbia</t>
        </is>
      </c>
      <c r="H740" t="inlineStr">
        <is>
          <t>No Club</t>
        </is>
      </c>
      <c r="I740" t="n">
        <v>33.1</v>
      </c>
      <c r="J740" s="4" t="n">
        <v>121</v>
      </c>
      <c r="K740" t="inlineStr">
        <is>
          <t>70 / 51</t>
        </is>
      </c>
      <c r="L740" t="inlineStr">
        <is>
          <t>0 / 0</t>
        </is>
      </c>
      <c r="M740" s="5" t="n">
        <v>0.58</v>
      </c>
      <c r="N740" s="5" t="n">
        <v>0</v>
      </c>
    </row>
    <row r="741">
      <c r="A741" t="n">
        <v>740</v>
      </c>
      <c r="B741" t="n">
        <v>2012</v>
      </c>
      <c r="C741" t="inlineStr">
        <is>
          <t>Navia Kaylynn Barlow</t>
        </is>
      </c>
      <c r="D741">
        <f>HYPERLINK("https://ota.tournamentsoftware.com/player-profile/44A25362-E73B-4E09-954B-7A375954482B", "Link")</f>
        <v/>
      </c>
      <c r="E741" s="3" t="n">
        <v>14.647</v>
      </c>
      <c r="F741" s="4" t="n">
        <v>3</v>
      </c>
      <c r="G741" t="inlineStr">
        <is>
          <t>Tennis Alberta</t>
        </is>
      </c>
      <c r="H741" t="inlineStr">
        <is>
          <t>Derrick Golf &amp; Winter Club</t>
        </is>
      </c>
      <c r="I741" t="inlineStr">
        <is>
          <t>unavailable</t>
        </is>
      </c>
      <c r="J741" s="4" t="n">
        <v>6</v>
      </c>
      <c r="K741" t="inlineStr">
        <is>
          <t>2 / 4</t>
        </is>
      </c>
      <c r="L741" t="inlineStr">
        <is>
          <t>2 / 4</t>
        </is>
      </c>
      <c r="M741" s="5" t="n">
        <v>0.33</v>
      </c>
      <c r="N741" s="5" t="n">
        <v>0.33</v>
      </c>
    </row>
    <row r="742">
      <c r="A742" t="n">
        <v>741</v>
      </c>
      <c r="B742" t="n">
        <v>2015</v>
      </c>
      <c r="C742" t="inlineStr">
        <is>
          <t>Mira Akhoundova</t>
        </is>
      </c>
      <c r="D742">
        <f>HYPERLINK("https://ota.tournamentsoftware.com/player-profile/DFAA2C12-ED04-42F9-9711-F91A6745B43A", "Link")</f>
        <v/>
      </c>
      <c r="E742" s="3" t="n">
        <v>14.585</v>
      </c>
      <c r="F742" s="4" t="n">
        <v>3</v>
      </c>
      <c r="G742" t="inlineStr">
        <is>
          <t>Ontario Tennis Association</t>
        </is>
      </c>
      <c r="H742" t="inlineStr">
        <is>
          <t>Marilyn Redvers Tennis Club</t>
        </is>
      </c>
      <c r="I742" t="n">
        <v>40</v>
      </c>
      <c r="J742" s="4" t="n">
        <v>28</v>
      </c>
      <c r="K742" t="inlineStr">
        <is>
          <t>14 / 14</t>
        </is>
      </c>
      <c r="L742" t="inlineStr">
        <is>
          <t>5 / 9</t>
        </is>
      </c>
      <c r="M742" s="5" t="n">
        <v>0.5</v>
      </c>
      <c r="N742" s="5" t="n">
        <v>0.36</v>
      </c>
    </row>
    <row r="743">
      <c r="A743" t="n">
        <v>742</v>
      </c>
      <c r="B743" t="n">
        <v>2015</v>
      </c>
      <c r="C743" t="inlineStr">
        <is>
          <t>Nadia Mnyusiwalla</t>
        </is>
      </c>
      <c r="D743">
        <f>HYPERLINK("https://ota.tournamentsoftware.com/player-profile/0DB52458-FB00-472A-BE89-03A77FEBF08E", "Link")</f>
        <v/>
      </c>
      <c r="E743" s="3" t="n">
        <v>14.381</v>
      </c>
      <c r="F743" s="4" t="n">
        <v>3</v>
      </c>
      <c r="G743" t="inlineStr">
        <is>
          <t>Ontario Tennis Association</t>
        </is>
      </c>
      <c r="H743" t="inlineStr">
        <is>
          <t>Waterloo Tennis Club</t>
        </is>
      </c>
      <c r="I743" t="inlineStr">
        <is>
          <t>unavailable</t>
        </is>
      </c>
      <c r="J743" s="4" t="n">
        <v>54</v>
      </c>
      <c r="K743" t="inlineStr">
        <is>
          <t>15 / 39</t>
        </is>
      </c>
      <c r="L743" t="inlineStr">
        <is>
          <t>2 / 14</t>
        </is>
      </c>
      <c r="M743" s="5" t="n">
        <v>0.28</v>
      </c>
      <c r="N743" s="5" t="n">
        <v>0.12</v>
      </c>
    </row>
    <row r="744">
      <c r="A744" t="n">
        <v>743</v>
      </c>
      <c r="B744" t="n">
        <v>2014</v>
      </c>
      <c r="C744" t="inlineStr">
        <is>
          <t>Yuxin Bella Cao</t>
        </is>
      </c>
      <c r="D744">
        <f>HYPERLINK("https://ota.tournamentsoftware.com/player-profile/ECABBEB5-67C3-48F1-8CC6-A7628D8721E8", "Link")</f>
        <v/>
      </c>
      <c r="E744" s="3" t="n">
        <v>14.292</v>
      </c>
      <c r="F744" s="4" t="n">
        <v>3</v>
      </c>
      <c r="G744" t="inlineStr">
        <is>
          <t>Ontario Tennis Association</t>
        </is>
      </c>
      <c r="H744" t="inlineStr">
        <is>
          <t>ACE Tennis - Burlington</t>
        </is>
      </c>
      <c r="I744" t="n">
        <v>38.9</v>
      </c>
      <c r="J744" s="4" t="n">
        <v>38</v>
      </c>
      <c r="K744" t="inlineStr">
        <is>
          <t>11 / 27</t>
        </is>
      </c>
      <c r="L744" t="inlineStr">
        <is>
          <t>1 / 1</t>
        </is>
      </c>
      <c r="M744" s="5" t="n">
        <v>0.29</v>
      </c>
      <c r="N744" s="5" t="n">
        <v>0.5</v>
      </c>
    </row>
    <row r="745">
      <c r="A745" t="n">
        <v>744</v>
      </c>
      <c r="B745" t="n">
        <v>2014</v>
      </c>
      <c r="C745" t="inlineStr">
        <is>
          <t>Elise Hiu-Wing Lin</t>
        </is>
      </c>
      <c r="D745">
        <f>HYPERLINK("https://ota.tournamentsoftware.com/player-profile/6079C290-F004-492F-BD70-120B06A08264", "Link")</f>
        <v/>
      </c>
      <c r="E745" s="3" t="n">
        <v>14.283</v>
      </c>
      <c r="F745" s="4" t="n">
        <v>4</v>
      </c>
      <c r="G745" t="inlineStr">
        <is>
          <t>British Columbia</t>
        </is>
      </c>
      <c r="H745" t="inlineStr">
        <is>
          <t>No Club</t>
        </is>
      </c>
      <c r="I745" t="n">
        <v>36.3</v>
      </c>
      <c r="J745" s="4" t="n">
        <v>47</v>
      </c>
      <c r="K745" t="inlineStr">
        <is>
          <t>17 / 30</t>
        </is>
      </c>
      <c r="L745" t="inlineStr">
        <is>
          <t>4 / 5</t>
        </is>
      </c>
      <c r="M745" s="5" t="n">
        <v>0.36</v>
      </c>
      <c r="N745" s="5" t="n">
        <v>0.44</v>
      </c>
    </row>
    <row r="746">
      <c r="A746" t="n">
        <v>745</v>
      </c>
      <c r="B746" t="n">
        <v>2012</v>
      </c>
      <c r="C746" t="inlineStr">
        <is>
          <t>Renee Burton</t>
        </is>
      </c>
      <c r="D746">
        <f>HYPERLINK("https://ota.tournamentsoftware.com/player-profile/88D51E75-4EAF-4390-8A85-9E01D5A7B97C", "Link")</f>
        <v/>
      </c>
      <c r="E746" s="3" t="n">
        <v>14.11</v>
      </c>
      <c r="F746" s="4" t="n">
        <v>1</v>
      </c>
      <c r="G746" t="inlineStr">
        <is>
          <t>Ontario Tennis Association</t>
        </is>
      </c>
      <c r="H746" t="inlineStr">
        <is>
          <t>ACE Tennis - Burlington</t>
        </is>
      </c>
      <c r="I746" t="n">
        <v>35.9</v>
      </c>
      <c r="J746" s="4" t="n">
        <v>13</v>
      </c>
      <c r="K746" t="inlineStr">
        <is>
          <t>9 / 4</t>
        </is>
      </c>
      <c r="L746" t="inlineStr">
        <is>
          <t>9 / 4</t>
        </is>
      </c>
      <c r="M746" s="5" t="n">
        <v>0.6899999999999999</v>
      </c>
      <c r="N746" s="5" t="n">
        <v>0.6899999999999999</v>
      </c>
    </row>
    <row r="747">
      <c r="A747" t="n">
        <v>746</v>
      </c>
      <c r="B747" t="n">
        <v>2015</v>
      </c>
      <c r="C747" t="inlineStr">
        <is>
          <t>Nalla Isabella Lteif</t>
        </is>
      </c>
      <c r="D747">
        <f>HYPERLINK("https://ota.tournamentsoftware.com/player-profile/B0DC1A2D-B87B-4E66-A5EE-9C9F6EC668D4", "Link")</f>
        <v/>
      </c>
      <c r="E747" s="3" t="n">
        <v>13.839</v>
      </c>
      <c r="F747" s="4" t="n">
        <v>3</v>
      </c>
      <c r="G747" t="inlineStr">
        <is>
          <t>Tennis Québec</t>
        </is>
      </c>
      <c r="H747" t="inlineStr">
        <is>
          <t>Carrefour Multisports</t>
        </is>
      </c>
      <c r="I747" t="n">
        <v>39</v>
      </c>
      <c r="J747" s="4" t="n">
        <v>9</v>
      </c>
      <c r="K747" t="inlineStr">
        <is>
          <t>3 / 6</t>
        </is>
      </c>
      <c r="L747" t="inlineStr">
        <is>
          <t>1 / 3</t>
        </is>
      </c>
      <c r="M747" s="5" t="n">
        <v>0.33</v>
      </c>
      <c r="N747" s="5" t="n">
        <v>0.25</v>
      </c>
    </row>
    <row r="748">
      <c r="A748" t="n">
        <v>747</v>
      </c>
      <c r="B748" t="n">
        <v>2012</v>
      </c>
      <c r="C748" t="inlineStr">
        <is>
          <t>Julia Michelle Cipriano</t>
        </is>
      </c>
      <c r="D748">
        <f>HYPERLINK("https://ota.tournamentsoftware.com/player-profile/EC29FADF-ECEA-4CC3-AE9B-2987D1E47266", "Link")</f>
        <v/>
      </c>
      <c r="E748" s="3" t="n">
        <v>13.725</v>
      </c>
      <c r="F748" s="4" t="n">
        <v>2</v>
      </c>
      <c r="G748" t="inlineStr">
        <is>
          <t>British Columbia</t>
        </is>
      </c>
      <c r="H748" t="inlineStr">
        <is>
          <t>West Vancouver Tennis Club</t>
        </is>
      </c>
      <c r="I748" t="n">
        <v>37</v>
      </c>
      <c r="J748" s="4" t="n">
        <v>18</v>
      </c>
      <c r="K748" t="inlineStr">
        <is>
          <t>8 / 10</t>
        </is>
      </c>
      <c r="L748" t="inlineStr">
        <is>
          <t>6 / 6</t>
        </is>
      </c>
      <c r="M748" s="5" t="n">
        <v>0.44</v>
      </c>
      <c r="N748" s="5" t="n">
        <v>0.5</v>
      </c>
    </row>
    <row r="749">
      <c r="A749" t="n">
        <v>748</v>
      </c>
      <c r="B749" t="n">
        <v>2016</v>
      </c>
      <c r="C749" t="inlineStr">
        <is>
          <t>Joud Marmash</t>
        </is>
      </c>
      <c r="D749">
        <f>HYPERLINK("https://ota.tournamentsoftware.com/player-profile/7F8FB01C-3EB1-48B9-B051-119BB01F4118", "Link")</f>
        <v/>
      </c>
      <c r="E749" s="3" t="n">
        <v>13.68</v>
      </c>
      <c r="F749" s="4" t="n">
        <v>5</v>
      </c>
      <c r="G749" t="inlineStr">
        <is>
          <t>Ontario Tennis Association</t>
        </is>
      </c>
      <c r="H749" t="inlineStr">
        <is>
          <t>Zekelman Tennis Centre</t>
        </is>
      </c>
      <c r="I749" t="n">
        <v>37.5</v>
      </c>
      <c r="J749" s="4" t="n">
        <v>16</v>
      </c>
      <c r="K749" t="inlineStr">
        <is>
          <t>5 / 11</t>
        </is>
      </c>
      <c r="L749" t="inlineStr">
        <is>
          <t>5 / 11</t>
        </is>
      </c>
      <c r="M749" s="5" t="n">
        <v>0.31</v>
      </c>
      <c r="N749" s="5" t="n">
        <v>0.31</v>
      </c>
    </row>
    <row r="750">
      <c r="A750" t="n">
        <v>749</v>
      </c>
      <c r="B750" t="n">
        <v>2013</v>
      </c>
      <c r="C750" t="inlineStr">
        <is>
          <t>Nitya Myneni</t>
        </is>
      </c>
      <c r="D750">
        <f>HYPERLINK("https://ota.tournamentsoftware.com/player-profile/482EDD14-11AD-4221-B031-4CDB8348AC62", "Link")</f>
        <v/>
      </c>
      <c r="E750" s="3" t="n">
        <v>13.478</v>
      </c>
      <c r="F750" s="4" t="n">
        <v>2</v>
      </c>
      <c r="G750" t="inlineStr">
        <is>
          <t>British Columbia</t>
        </is>
      </c>
      <c r="H750" t="inlineStr">
        <is>
          <t>The Tennis Centre</t>
        </is>
      </c>
      <c r="I750" t="n">
        <v>40</v>
      </c>
      <c r="J750" s="4" t="n">
        <v>26</v>
      </c>
      <c r="K750" t="inlineStr">
        <is>
          <t>8 / 18</t>
        </is>
      </c>
      <c r="L750" t="inlineStr">
        <is>
          <t>0 / 4</t>
        </is>
      </c>
      <c r="M750" s="5" t="n">
        <v>0.31</v>
      </c>
      <c r="N750" s="5" t="n">
        <v>0</v>
      </c>
    </row>
    <row r="751">
      <c r="A751" t="n">
        <v>750</v>
      </c>
      <c r="B751" t="n">
        <v>2013</v>
      </c>
      <c r="C751" t="inlineStr">
        <is>
          <t>Hailey Johnson</t>
        </is>
      </c>
      <c r="D751">
        <f>HYPERLINK("https://ota.tournamentsoftware.com/player-profile/D4247C6C-DBD8-41D1-867E-D35290341BA8", "Link")</f>
        <v/>
      </c>
      <c r="E751" s="3" t="n">
        <v>13.23</v>
      </c>
      <c r="F751" s="4" t="n">
        <v>2</v>
      </c>
      <c r="G751" t="inlineStr">
        <is>
          <t>British Columbia</t>
        </is>
      </c>
      <c r="H751" t="inlineStr">
        <is>
          <t>Tennis for Life</t>
        </is>
      </c>
      <c r="I751" t="inlineStr">
        <is>
          <t>unavailable</t>
        </is>
      </c>
      <c r="J751" s="4" t="n">
        <v>49</v>
      </c>
      <c r="K751" t="inlineStr">
        <is>
          <t>28 / 21</t>
        </is>
      </c>
      <c r="L751" t="inlineStr">
        <is>
          <t>1 / 1</t>
        </is>
      </c>
      <c r="M751" s="5" t="n">
        <v>0.57</v>
      </c>
      <c r="N751" s="5" t="n">
        <v>0.5</v>
      </c>
    </row>
    <row r="752">
      <c r="A752" t="n">
        <v>751</v>
      </c>
      <c r="B752" t="n">
        <v>2014</v>
      </c>
      <c r="C752" t="inlineStr">
        <is>
          <t>Olivia Duthoit</t>
        </is>
      </c>
      <c r="D752">
        <f>HYPERLINK("https://ota.tournamentsoftware.com/player-profile/7ADA0A6D-C257-4896-AEB0-8E053AAA4B48", "Link")</f>
        <v/>
      </c>
      <c r="E752" s="3" t="n">
        <v>13.092</v>
      </c>
      <c r="F752" s="4" t="n">
        <v>2</v>
      </c>
      <c r="G752" t="inlineStr">
        <is>
          <t>Tennis Québec</t>
        </is>
      </c>
      <c r="H752" t="inlineStr">
        <is>
          <t>Club Avantage Multi-sports / Académie de tennis Hérisset Bordeleau</t>
        </is>
      </c>
      <c r="I752" t="n">
        <v>36.6</v>
      </c>
      <c r="J752" s="4" t="n">
        <v>18</v>
      </c>
      <c r="K752" t="inlineStr">
        <is>
          <t>3 / 15</t>
        </is>
      </c>
      <c r="L752" t="inlineStr">
        <is>
          <t>2 / 3</t>
        </is>
      </c>
      <c r="M752" s="5" t="n">
        <v>0.17</v>
      </c>
      <c r="N752" s="5" t="n">
        <v>0.4</v>
      </c>
    </row>
    <row r="753">
      <c r="A753" t="n">
        <v>752</v>
      </c>
      <c r="B753" t="n">
        <v>2017</v>
      </c>
      <c r="C753" t="inlineStr">
        <is>
          <t>Mackenzie Alexandra Greer</t>
        </is>
      </c>
      <c r="D753">
        <f>HYPERLINK("https://ota.tournamentsoftware.com/player-profile/E975EEBE-CD33-46CE-BFFF-1BB5A6FB8672", "Link")</f>
        <v/>
      </c>
      <c r="E753" s="3" t="n">
        <v>12.96</v>
      </c>
      <c r="F753" s="4" t="n">
        <v>2</v>
      </c>
      <c r="G753" t="inlineStr">
        <is>
          <t>Ontario Tennis Association</t>
        </is>
      </c>
      <c r="H753" t="inlineStr">
        <is>
          <t>Stefanovic Tennis Academy</t>
        </is>
      </c>
      <c r="I753" t="n">
        <v>36.4</v>
      </c>
      <c r="J753" s="4" t="n">
        <v>143</v>
      </c>
      <c r="K753" t="inlineStr">
        <is>
          <t>115 / 28</t>
        </is>
      </c>
      <c r="L753" t="inlineStr">
        <is>
          <t>71 / 10</t>
        </is>
      </c>
      <c r="M753" s="5" t="n">
        <v>0.8</v>
      </c>
      <c r="N753" s="5" t="n">
        <v>0.88</v>
      </c>
    </row>
    <row r="754">
      <c r="A754" t="n">
        <v>753</v>
      </c>
      <c r="B754" t="n">
        <v>2013</v>
      </c>
      <c r="C754" t="inlineStr">
        <is>
          <t>Addison Gilbertson</t>
        </is>
      </c>
      <c r="D754">
        <f>HYPERLINK("https://ota.tournamentsoftware.com/player-profile/C50AF072-EF16-4516-9D5D-42DF1D345F44", "Link")</f>
        <v/>
      </c>
      <c r="E754" s="3" t="n">
        <v>12.687</v>
      </c>
      <c r="F754" s="4" t="n">
        <v>5</v>
      </c>
      <c r="G754" t="inlineStr">
        <is>
          <t>Tennis Alberta</t>
        </is>
      </c>
      <c r="H754" t="inlineStr">
        <is>
          <t>Royal Glenora Club</t>
        </is>
      </c>
      <c r="I754" t="n">
        <v>38.1</v>
      </c>
      <c r="J754" s="4" t="n">
        <v>48</v>
      </c>
      <c r="K754" t="inlineStr">
        <is>
          <t>18 / 30</t>
        </is>
      </c>
      <c r="L754" t="inlineStr">
        <is>
          <t>1 / 4</t>
        </is>
      </c>
      <c r="M754" s="5" t="n">
        <v>0.38</v>
      </c>
      <c r="N754" s="5" t="n">
        <v>0.2</v>
      </c>
    </row>
    <row r="755">
      <c r="A755" t="n">
        <v>754</v>
      </c>
      <c r="B755" t="n">
        <v>2015</v>
      </c>
      <c r="C755" t="inlineStr">
        <is>
          <t>Mirra Tverskaia</t>
        </is>
      </c>
      <c r="D755">
        <f>HYPERLINK("https://ota.tournamentsoftware.com/player-profile/A09D283B-5C23-4F54-A304-0C0125F7637B", "Link")</f>
        <v/>
      </c>
      <c r="E755" s="3" t="n">
        <v>12.632</v>
      </c>
      <c r="F755" s="4" t="n">
        <v>3</v>
      </c>
      <c r="G755" t="inlineStr">
        <is>
          <t>Tennis Prince Edward Island</t>
        </is>
      </c>
      <c r="H755" t="inlineStr">
        <is>
          <t>Royalty Racquet Centre</t>
        </is>
      </c>
      <c r="I755" t="inlineStr">
        <is>
          <t>unavailable</t>
        </is>
      </c>
      <c r="J755" s="4" t="n">
        <v>39</v>
      </c>
      <c r="K755" t="inlineStr">
        <is>
          <t>14 / 25</t>
        </is>
      </c>
      <c r="L755" t="inlineStr">
        <is>
          <t>0 / 1</t>
        </is>
      </c>
      <c r="M755" s="5" t="n">
        <v>0.36</v>
      </c>
      <c r="N755" s="5" t="n">
        <v>0</v>
      </c>
    </row>
    <row r="756">
      <c r="A756" t="n">
        <v>755</v>
      </c>
      <c r="B756" t="n">
        <v>2015</v>
      </c>
      <c r="C756" t="inlineStr">
        <is>
          <t>Amelia Alexei</t>
        </is>
      </c>
      <c r="D756">
        <f>HYPERLINK("https://ota.tournamentsoftware.com/player-profile/7C4A6760-7216-46E2-B5F7-A7F51935EA6B", "Link")</f>
        <v/>
      </c>
      <c r="E756" s="3" t="n">
        <v>12.6</v>
      </c>
      <c r="F756" s="4" t="n">
        <v>2</v>
      </c>
      <c r="G756" t="inlineStr">
        <is>
          <t>Ontario Tennis Association</t>
        </is>
      </c>
      <c r="H756" t="inlineStr">
        <is>
          <t>Toronto Tennis Academy</t>
        </is>
      </c>
      <c r="I756" t="n">
        <v>37.3</v>
      </c>
      <c r="J756" s="4" t="n">
        <v>95</v>
      </c>
      <c r="K756" t="inlineStr">
        <is>
          <t>63 / 32</t>
        </is>
      </c>
      <c r="L756" t="inlineStr">
        <is>
          <t>0 / 0</t>
        </is>
      </c>
      <c r="M756" s="5" t="n">
        <v>0.66</v>
      </c>
      <c r="N756" s="5" t="n">
        <v>0</v>
      </c>
    </row>
    <row r="757">
      <c r="A757" t="n">
        <v>756</v>
      </c>
      <c r="B757" t="n">
        <v>2015</v>
      </c>
      <c r="C757" t="inlineStr">
        <is>
          <t>Charlotte Huiyan Li</t>
        </is>
      </c>
      <c r="D757">
        <f>HYPERLINK("https://ota.tournamentsoftware.com/player-profile/150EC5E4-980E-4649-9619-E10B11D9BA5E", "Link")</f>
        <v/>
      </c>
      <c r="E757" s="3" t="n">
        <v>12.528</v>
      </c>
      <c r="F757" s="4" t="n">
        <v>3</v>
      </c>
      <c r="G757" t="inlineStr">
        <is>
          <t>British Columbia</t>
        </is>
      </c>
      <c r="H757" t="inlineStr">
        <is>
          <t>Tennis for Life</t>
        </is>
      </c>
      <c r="I757" t="n">
        <v>36.2</v>
      </c>
      <c r="J757" s="4" t="n">
        <v>39</v>
      </c>
      <c r="K757" t="inlineStr">
        <is>
          <t>15 / 24</t>
        </is>
      </c>
      <c r="L757" t="inlineStr">
        <is>
          <t>2 / 2</t>
        </is>
      </c>
      <c r="M757" s="5" t="n">
        <v>0.38</v>
      </c>
      <c r="N757" s="5" t="n">
        <v>0.5</v>
      </c>
    </row>
    <row r="758">
      <c r="A758" t="n">
        <v>757</v>
      </c>
      <c r="B758" t="n">
        <v>2013</v>
      </c>
      <c r="C758" t="inlineStr">
        <is>
          <t>Felicia Mingfei Li</t>
        </is>
      </c>
      <c r="D758">
        <f>HYPERLINK("https://ota.tournamentsoftware.com/player-profile/32F60D7D-3E57-4800-9C5C-282147021863", "Link")</f>
        <v/>
      </c>
      <c r="E758" s="3" t="n">
        <v>12.378</v>
      </c>
      <c r="F758" s="4" t="n">
        <v>2</v>
      </c>
      <c r="G758" t="inlineStr">
        <is>
          <t>Ontario Tennis Association</t>
        </is>
      </c>
      <c r="H758" t="inlineStr">
        <is>
          <t>Marilyn Redvers Tennis Club</t>
        </is>
      </c>
      <c r="I758" t="n">
        <v>39.7</v>
      </c>
      <c r="J758" s="4" t="n">
        <v>31</v>
      </c>
      <c r="K758" t="inlineStr">
        <is>
          <t>9 / 22</t>
        </is>
      </c>
      <c r="L758" t="inlineStr">
        <is>
          <t>0 / 2</t>
        </is>
      </c>
      <c r="M758" s="5" t="n">
        <v>0.29</v>
      </c>
      <c r="N758" s="5" t="n">
        <v>0</v>
      </c>
    </row>
    <row r="759">
      <c r="A759" t="n">
        <v>758</v>
      </c>
      <c r="B759" t="n">
        <v>2012</v>
      </c>
      <c r="C759" t="inlineStr">
        <is>
          <t>Anzhuo Yi</t>
        </is>
      </c>
      <c r="D759">
        <f>HYPERLINK("https://ota.tournamentsoftware.com/player-profile/60444867-D5FF-4226-8841-4058D520099B", "Link")</f>
        <v/>
      </c>
      <c r="E759" s="3" t="n">
        <v>12.336</v>
      </c>
      <c r="F759" s="4" t="n">
        <v>1</v>
      </c>
      <c r="G759" t="inlineStr">
        <is>
          <t>Ontario Tennis Association</t>
        </is>
      </c>
      <c r="H759" t="inlineStr">
        <is>
          <t>Premier Racquet Clubs – Mississauga</t>
        </is>
      </c>
      <c r="I759" t="n">
        <v>37.7</v>
      </c>
      <c r="J759" s="4" t="n">
        <v>8</v>
      </c>
      <c r="K759" t="inlineStr">
        <is>
          <t>2 / 6</t>
        </is>
      </c>
      <c r="L759" t="inlineStr">
        <is>
          <t>2 / 6</t>
        </is>
      </c>
      <c r="M759" s="5" t="n">
        <v>0.25</v>
      </c>
      <c r="N759" s="5" t="n">
        <v>0.25</v>
      </c>
    </row>
    <row r="760">
      <c r="A760" t="n">
        <v>759</v>
      </c>
      <c r="B760" t="n">
        <v>2016</v>
      </c>
      <c r="C760" t="inlineStr">
        <is>
          <t>Eiman Javaid Khan</t>
        </is>
      </c>
      <c r="D760">
        <f>HYPERLINK("https://ota.tournamentsoftware.com/player-profile/417EBA88-24AB-42AB-9421-1764C4FCA777", "Link")</f>
        <v/>
      </c>
      <c r="E760" s="3" t="n">
        <v>12</v>
      </c>
      <c r="F760" s="4" t="n">
        <v>2</v>
      </c>
      <c r="G760" t="inlineStr">
        <is>
          <t>Tennis Newfoundland &amp; Labrador</t>
        </is>
      </c>
      <c r="H760" t="inlineStr">
        <is>
          <t>Greenbelt Tennis Club</t>
        </is>
      </c>
      <c r="I760" t="inlineStr">
        <is>
          <t>unavailable</t>
        </is>
      </c>
      <c r="J760" s="4" t="n">
        <v>14</v>
      </c>
      <c r="K760" t="inlineStr">
        <is>
          <t>4 / 10</t>
        </is>
      </c>
      <c r="L760" t="inlineStr">
        <is>
          <t>3 / 6</t>
        </is>
      </c>
      <c r="M760" s="5" t="n">
        <v>0.29</v>
      </c>
      <c r="N760" s="5" t="n">
        <v>0.33</v>
      </c>
    </row>
    <row r="761">
      <c r="A761" t="n">
        <v>760</v>
      </c>
      <c r="B761" t="n">
        <v>2014</v>
      </c>
      <c r="C761" t="inlineStr">
        <is>
          <t>Kayla Caden</t>
        </is>
      </c>
      <c r="D761">
        <f>HYPERLINK("https://ota.tournamentsoftware.com/player-profile/EB31E71A-90E6-4B10-9538-33BC7B66EA6E", "Link")</f>
        <v/>
      </c>
      <c r="E761" s="3" t="n">
        <v>11.809</v>
      </c>
      <c r="F761" s="4" t="n">
        <v>3</v>
      </c>
      <c r="G761" t="inlineStr">
        <is>
          <t>Tennis Québec</t>
        </is>
      </c>
      <c r="H761" t="inlineStr">
        <is>
          <t>Club de tennis St-Lambert</t>
        </is>
      </c>
      <c r="I761" t="n">
        <v>38.1</v>
      </c>
      <c r="J761" s="4" t="n">
        <v>11</v>
      </c>
      <c r="K761" t="inlineStr">
        <is>
          <t>4 / 7</t>
        </is>
      </c>
      <c r="L761" t="inlineStr">
        <is>
          <t>2 / 3</t>
        </is>
      </c>
      <c r="M761" s="5" t="n">
        <v>0.36</v>
      </c>
      <c r="N761" s="5" t="n">
        <v>0.4</v>
      </c>
    </row>
    <row r="762">
      <c r="A762" t="n">
        <v>761</v>
      </c>
      <c r="B762" t="n">
        <v>2016</v>
      </c>
      <c r="C762" t="inlineStr">
        <is>
          <t>Heidi Liu</t>
        </is>
      </c>
      <c r="D762">
        <f>HYPERLINK("https://ota.tournamentsoftware.com/player-profile/E3F0466B-50E4-4105-A35A-1BB6B1C1C09C", "Link")</f>
        <v/>
      </c>
      <c r="E762" s="3" t="n">
        <v>11.73</v>
      </c>
      <c r="F762" s="4" t="n">
        <v>5</v>
      </c>
      <c r="G762" t="inlineStr">
        <is>
          <t>British Columbia</t>
        </is>
      </c>
      <c r="H762" t="inlineStr">
        <is>
          <t>UBC Tennis Centre</t>
        </is>
      </c>
      <c r="I762" t="n">
        <v>38.6</v>
      </c>
      <c r="J762" s="4" t="n">
        <v>75</v>
      </c>
      <c r="K762" t="inlineStr">
        <is>
          <t>43 / 32</t>
        </is>
      </c>
      <c r="L762" t="inlineStr">
        <is>
          <t>20 / 19</t>
        </is>
      </c>
      <c r="M762" s="5" t="n">
        <v>0.57</v>
      </c>
      <c r="N762" s="5" t="n">
        <v>0.51</v>
      </c>
    </row>
    <row r="763">
      <c r="A763" t="n">
        <v>762</v>
      </c>
      <c r="B763" t="n">
        <v>2012</v>
      </c>
      <c r="C763" t="inlineStr">
        <is>
          <t>Angel Wen</t>
        </is>
      </c>
      <c r="D763">
        <f>HYPERLINK("https://ota.tournamentsoftware.com/player-profile/2BF37F0F-B2BA-4533-859D-5AFB82154AAC", "Link")</f>
        <v/>
      </c>
      <c r="E763" s="3" t="n">
        <v>11.664</v>
      </c>
      <c r="F763" s="4" t="n">
        <v>1</v>
      </c>
      <c r="G763" t="inlineStr">
        <is>
          <t>Tennis Nova Scotia</t>
        </is>
      </c>
      <c r="H763" t="inlineStr">
        <is>
          <t>Atlantic Tennis Centre</t>
        </is>
      </c>
      <c r="I763" t="n">
        <v>36.8</v>
      </c>
      <c r="J763" s="4" t="n">
        <v>2</v>
      </c>
      <c r="K763" t="inlineStr">
        <is>
          <t>0 / 2</t>
        </is>
      </c>
      <c r="L763" t="inlineStr">
        <is>
          <t>0 / 0</t>
        </is>
      </c>
      <c r="M763" s="5" t="n">
        <v>0</v>
      </c>
      <c r="N763" s="5" t="n">
        <v>0</v>
      </c>
    </row>
    <row r="764">
      <c r="A764" t="n">
        <v>763</v>
      </c>
      <c r="B764" t="n">
        <v>2013</v>
      </c>
      <c r="C764" t="inlineStr">
        <is>
          <t>Giselle Christine Lambert</t>
        </is>
      </c>
      <c r="D764">
        <f>HYPERLINK("https://ota.tournamentsoftware.com/player-profile/2E2CA1C3-86CC-418F-BF1B-9B9E4D99F292", "Link")</f>
        <v/>
      </c>
      <c r="E764" s="3" t="n">
        <v>11.48</v>
      </c>
      <c r="F764" s="4" t="n">
        <v>2</v>
      </c>
      <c r="G764" t="inlineStr">
        <is>
          <t>British Columbia</t>
        </is>
      </c>
      <c r="H764" t="inlineStr">
        <is>
          <t>Hollyburn Country Club</t>
        </is>
      </c>
      <c r="I764" t="n">
        <v>36.9</v>
      </c>
      <c r="J764" s="4" t="n">
        <v>44</v>
      </c>
      <c r="K764" t="inlineStr">
        <is>
          <t>10 / 34</t>
        </is>
      </c>
      <c r="L764" t="inlineStr">
        <is>
          <t>0 / 0</t>
        </is>
      </c>
      <c r="M764" s="5" t="n">
        <v>0.23</v>
      </c>
      <c r="N764" s="5" t="n">
        <v>0</v>
      </c>
    </row>
    <row r="765">
      <c r="A765" t="n">
        <v>764</v>
      </c>
      <c r="B765" t="n">
        <v>2015</v>
      </c>
      <c r="C765" t="inlineStr">
        <is>
          <t>Daisy Dai</t>
        </is>
      </c>
      <c r="D765">
        <f>HYPERLINK("https://ota.tournamentsoftware.com/player-profile/C64DEFB9-4BBC-4AA1-8CC8-9020440935AB", "Link")</f>
        <v/>
      </c>
      <c r="E765" s="3" t="n">
        <v>11.448</v>
      </c>
      <c r="F765" s="4" t="n">
        <v>1</v>
      </c>
      <c r="G765" t="inlineStr">
        <is>
          <t>Tennis Nova Scotia</t>
        </is>
      </c>
      <c r="H765" t="inlineStr">
        <is>
          <t>Atlantic Tennis Centre</t>
        </is>
      </c>
      <c r="I765" t="n">
        <v>35.3</v>
      </c>
      <c r="J765" s="4" t="n">
        <v>23</v>
      </c>
      <c r="K765" t="inlineStr">
        <is>
          <t>16 / 7</t>
        </is>
      </c>
      <c r="L765" t="inlineStr">
        <is>
          <t>4 / 2</t>
        </is>
      </c>
      <c r="M765" s="5" t="n">
        <v>0.7</v>
      </c>
      <c r="N765" s="5" t="n">
        <v>0.67</v>
      </c>
    </row>
    <row r="766">
      <c r="A766" t="n">
        <v>764</v>
      </c>
      <c r="B766" t="n">
        <v>2016</v>
      </c>
      <c r="C766" t="inlineStr">
        <is>
          <t>Harper Whitehead</t>
        </is>
      </c>
      <c r="D766">
        <f>HYPERLINK("https://ota.tournamentsoftware.com/player-profile/11F4D113-D7D4-48BC-9EC5-3040B116C96D", "Link")</f>
        <v/>
      </c>
      <c r="E766" s="3" t="n">
        <v>11.448</v>
      </c>
      <c r="F766" s="4" t="n">
        <v>8</v>
      </c>
      <c r="G766" t="inlineStr">
        <is>
          <t>Tennis Nova Scotia</t>
        </is>
      </c>
      <c r="H766" t="inlineStr">
        <is>
          <t>Atlantic Tennis Centre</t>
        </is>
      </c>
      <c r="I766" t="n">
        <v>38</v>
      </c>
      <c r="J766" s="4" t="n">
        <v>78</v>
      </c>
      <c r="K766" t="inlineStr">
        <is>
          <t>34 / 44</t>
        </is>
      </c>
      <c r="L766" t="inlineStr">
        <is>
          <t>9 / 14</t>
        </is>
      </c>
      <c r="M766" s="5" t="n">
        <v>0.44</v>
      </c>
      <c r="N766" s="5" t="n">
        <v>0.39</v>
      </c>
    </row>
    <row r="767">
      <c r="A767" t="n">
        <v>766</v>
      </c>
      <c r="B767" t="n">
        <v>2015</v>
      </c>
      <c r="C767" t="inlineStr">
        <is>
          <t>Cléony Le</t>
        </is>
      </c>
      <c r="D767">
        <f>HYPERLINK("https://ota.tournamentsoftware.com/player-profile/D1C4971B-CB54-436E-9303-C69424DC84AC", "Link")</f>
        <v/>
      </c>
      <c r="E767" s="3" t="n">
        <v>11.429</v>
      </c>
      <c r="F767" s="4" t="n">
        <v>1</v>
      </c>
      <c r="G767" t="inlineStr">
        <is>
          <t>Tennis Québec</t>
        </is>
      </c>
      <c r="H767" t="inlineStr">
        <is>
          <t>Centre récréatif de Repentigny / Académie Tennis Momentum</t>
        </is>
      </c>
      <c r="I767" t="n">
        <v>37</v>
      </c>
      <c r="J767" s="4" t="n">
        <v>32</v>
      </c>
      <c r="K767" t="inlineStr">
        <is>
          <t>15 / 17</t>
        </is>
      </c>
      <c r="L767" t="inlineStr">
        <is>
          <t>0 / 1</t>
        </is>
      </c>
      <c r="M767" s="5" t="n">
        <v>0.47</v>
      </c>
      <c r="N767" s="5" t="n">
        <v>0</v>
      </c>
    </row>
    <row r="768">
      <c r="A768" t="n">
        <v>767</v>
      </c>
      <c r="B768" t="n">
        <v>2012</v>
      </c>
      <c r="C768" t="inlineStr">
        <is>
          <t>Charley Burgess</t>
        </is>
      </c>
      <c r="D768">
        <f>HYPERLINK("https://ota.tournamentsoftware.com/player-profile/F7818ED5-A370-4D5D-9CAE-03309F03D5FD", "Link")</f>
        <v/>
      </c>
      <c r="E768" s="3" t="n">
        <v>11.301</v>
      </c>
      <c r="F768" s="4" t="n">
        <v>3</v>
      </c>
      <c r="G768" t="inlineStr">
        <is>
          <t>Tennis Alberta</t>
        </is>
      </c>
      <c r="H768" t="inlineStr">
        <is>
          <t>The Glencoe Club</t>
        </is>
      </c>
      <c r="I768" t="inlineStr">
        <is>
          <t>unavailable</t>
        </is>
      </c>
      <c r="J768" s="4" t="n">
        <v>52</v>
      </c>
      <c r="K768" t="inlineStr">
        <is>
          <t>23 / 29</t>
        </is>
      </c>
      <c r="L768" t="inlineStr">
        <is>
          <t>0 / 0</t>
        </is>
      </c>
      <c r="M768" s="5" t="n">
        <v>0.44</v>
      </c>
      <c r="N768" s="5" t="n">
        <v>0</v>
      </c>
    </row>
    <row r="769">
      <c r="A769" t="n">
        <v>768</v>
      </c>
      <c r="B769" t="n">
        <v>2014</v>
      </c>
      <c r="C769" t="inlineStr">
        <is>
          <t>Neiva George</t>
        </is>
      </c>
      <c r="D769">
        <f>HYPERLINK("https://ota.tournamentsoftware.com/player-profile/1A9BA311-0F1E-40A7-9341-ECED97AEEBBD", "Link")</f>
        <v/>
      </c>
      <c r="E769" s="3" t="n">
        <v>11.286</v>
      </c>
      <c r="F769" s="4" t="n">
        <v>2</v>
      </c>
      <c r="G769" t="inlineStr">
        <is>
          <t>Ontario Tennis Association</t>
        </is>
      </c>
      <c r="H769" t="inlineStr">
        <is>
          <t>Headwaters Racquet Club</t>
        </is>
      </c>
      <c r="I769" t="n">
        <v>36.8</v>
      </c>
      <c r="J769" s="4" t="n">
        <v>45</v>
      </c>
      <c r="K769" t="inlineStr">
        <is>
          <t>23 / 22</t>
        </is>
      </c>
      <c r="L769" t="inlineStr">
        <is>
          <t>7 / 4</t>
        </is>
      </c>
      <c r="M769" s="5" t="n">
        <v>0.51</v>
      </c>
      <c r="N769" s="5" t="n">
        <v>0.64</v>
      </c>
    </row>
    <row r="770">
      <c r="A770" t="n">
        <v>769</v>
      </c>
      <c r="B770" t="n">
        <v>2017</v>
      </c>
      <c r="C770" t="inlineStr">
        <is>
          <t>Erika ko</t>
        </is>
      </c>
      <c r="D770">
        <f>HYPERLINK("https://ota.tournamentsoftware.com/player-profile/63E3DB95-CFC7-47F5-8461-E32C50FD6342", "Link")</f>
        <v/>
      </c>
      <c r="E770" s="3" t="n">
        <v>11.16</v>
      </c>
      <c r="F770" s="4" t="n">
        <v>5</v>
      </c>
      <c r="G770" t="inlineStr">
        <is>
          <t>British Columbia</t>
        </is>
      </c>
      <c r="H770" t="inlineStr">
        <is>
          <t>Richmond Country Club</t>
        </is>
      </c>
      <c r="I770" t="n">
        <v>38.9</v>
      </c>
      <c r="J770" s="4" t="n">
        <v>133</v>
      </c>
      <c r="K770" t="inlineStr">
        <is>
          <t>60 / 73</t>
        </is>
      </c>
      <c r="L770" t="inlineStr">
        <is>
          <t>3 / 7</t>
        </is>
      </c>
      <c r="M770" s="5" t="n">
        <v>0.45</v>
      </c>
      <c r="N770" s="5" t="n">
        <v>0.3</v>
      </c>
    </row>
    <row r="771">
      <c r="A771" t="n">
        <v>770</v>
      </c>
      <c r="B771" t="n">
        <v>2016</v>
      </c>
      <c r="C771" t="inlineStr">
        <is>
          <t>Emma Hao</t>
        </is>
      </c>
      <c r="D771">
        <f>HYPERLINK("https://ota.tournamentsoftware.com/player-profile/144D222A-CD06-4355-817D-B27D5DB62B85", "Link")</f>
        <v/>
      </c>
      <c r="E771" s="3" t="n">
        <v>11.141</v>
      </c>
      <c r="F771" s="4" t="n">
        <v>3</v>
      </c>
      <c r="G771" t="inlineStr">
        <is>
          <t>Ontario Tennis Association</t>
        </is>
      </c>
      <c r="H771" t="inlineStr">
        <is>
          <t>Toronto Tennis City</t>
        </is>
      </c>
      <c r="I771" t="n">
        <v>37.6</v>
      </c>
      <c r="J771" s="4" t="n">
        <v>67</v>
      </c>
      <c r="K771" t="inlineStr">
        <is>
          <t>36 / 31</t>
        </is>
      </c>
      <c r="L771" t="inlineStr">
        <is>
          <t>16 / 7</t>
        </is>
      </c>
      <c r="M771" s="5" t="n">
        <v>0.54</v>
      </c>
      <c r="N771" s="5" t="n">
        <v>0.7</v>
      </c>
    </row>
    <row r="772">
      <c r="A772" t="n">
        <v>771</v>
      </c>
      <c r="B772" t="n">
        <v>2015</v>
      </c>
      <c r="C772" t="inlineStr">
        <is>
          <t>Marissa Grisedale</t>
        </is>
      </c>
      <c r="D772">
        <f>HYPERLINK("https://ota.tournamentsoftware.com/player-profile/FACB5C24-4DB7-463B-A373-69C70E1AC8E4", "Link")</f>
        <v/>
      </c>
      <c r="E772" s="3" t="n">
        <v>11.043</v>
      </c>
      <c r="F772" s="4" t="n">
        <v>3</v>
      </c>
      <c r="G772" t="inlineStr">
        <is>
          <t>British Columbia</t>
        </is>
      </c>
      <c r="H772" t="inlineStr">
        <is>
          <t>Commons Racquet Club at Predator Ridge</t>
        </is>
      </c>
      <c r="I772" t="n">
        <v>37.2</v>
      </c>
      <c r="J772" s="4" t="n">
        <v>40</v>
      </c>
      <c r="K772" t="inlineStr">
        <is>
          <t>20 / 20</t>
        </is>
      </c>
      <c r="L772" t="inlineStr">
        <is>
          <t>3 / 5</t>
        </is>
      </c>
      <c r="M772" s="5" t="n">
        <v>0.5</v>
      </c>
      <c r="N772" s="5" t="n">
        <v>0.38</v>
      </c>
    </row>
    <row r="773">
      <c r="A773" t="n">
        <v>772</v>
      </c>
      <c r="B773" t="n">
        <v>2012</v>
      </c>
      <c r="C773" t="inlineStr">
        <is>
          <t>Jeanne Ricard</t>
        </is>
      </c>
      <c r="D773">
        <f>HYPERLINK("https://ota.tournamentsoftware.com/player-profile/0C0EC550-1536-4AE2-9886-E59F56C6C34D", "Link")</f>
        <v/>
      </c>
      <c r="E773" s="3" t="n">
        <v>10.964</v>
      </c>
      <c r="F773" s="4" t="n">
        <v>2</v>
      </c>
      <c r="G773" t="inlineStr">
        <is>
          <t>Tennis Québec</t>
        </is>
      </c>
      <c r="H773" t="inlineStr">
        <is>
          <t>Académie Tennis Momentum (club extérieur)</t>
        </is>
      </c>
      <c r="I773" t="n">
        <v>39</v>
      </c>
      <c r="J773" s="4" t="n">
        <v>44</v>
      </c>
      <c r="K773" t="inlineStr">
        <is>
          <t>19 / 25</t>
        </is>
      </c>
      <c r="L773" t="inlineStr">
        <is>
          <t>0 / 0</t>
        </is>
      </c>
      <c r="M773" s="5" t="n">
        <v>0.43</v>
      </c>
      <c r="N773" s="5" t="n">
        <v>0</v>
      </c>
    </row>
    <row r="774">
      <c r="A774" t="n">
        <v>773</v>
      </c>
      <c r="B774" t="n">
        <v>2015</v>
      </c>
      <c r="C774" t="inlineStr">
        <is>
          <t>Fabiola Antonella Sanchez Ferreyra</t>
        </is>
      </c>
      <c r="D774">
        <f>HYPERLINK("https://ota.tournamentsoftware.com/player-profile/B37A6388-D965-4303-A37E-1111875A98DF", "Link")</f>
        <v/>
      </c>
      <c r="E774" s="3" t="n">
        <v>10.873</v>
      </c>
      <c r="F774" s="4" t="n">
        <v>1</v>
      </c>
      <c r="G774" t="inlineStr">
        <is>
          <t>Tennis Québec</t>
        </is>
      </c>
      <c r="H774" t="inlineStr">
        <is>
          <t>SANI Sport</t>
        </is>
      </c>
      <c r="I774" t="n">
        <v>39.4</v>
      </c>
      <c r="J774" s="4" t="n">
        <v>12</v>
      </c>
      <c r="K774" t="inlineStr">
        <is>
          <t>7 / 5</t>
        </is>
      </c>
      <c r="L774" t="inlineStr">
        <is>
          <t>0 / 1</t>
        </is>
      </c>
      <c r="M774" s="5" t="n">
        <v>0.58</v>
      </c>
      <c r="N774" s="5" t="n">
        <v>0</v>
      </c>
    </row>
    <row r="775">
      <c r="A775" t="n">
        <v>774</v>
      </c>
      <c r="B775" t="n">
        <v>2016</v>
      </c>
      <c r="C775" t="inlineStr">
        <is>
          <t>Stella Somerville</t>
        </is>
      </c>
      <c r="D775">
        <f>HYPERLINK("https://ota.tournamentsoftware.com/player-profile/87C92774-21A4-4A46-97F9-D656FA91A212", "Link")</f>
        <v/>
      </c>
      <c r="E775" s="3" t="n">
        <v>10.8</v>
      </c>
      <c r="F775" s="4" t="n">
        <v>4</v>
      </c>
      <c r="G775" t="inlineStr">
        <is>
          <t>Ontario Tennis Association</t>
        </is>
      </c>
      <c r="H775" t="inlineStr">
        <is>
          <t>Advantage Tennis International at Veneto</t>
        </is>
      </c>
      <c r="I775" t="n">
        <v>38</v>
      </c>
      <c r="J775" s="4" t="n">
        <v>81</v>
      </c>
      <c r="K775" t="inlineStr">
        <is>
          <t>36 / 45</t>
        </is>
      </c>
      <c r="L775" t="inlineStr">
        <is>
          <t>5 / 7</t>
        </is>
      </c>
      <c r="M775" s="5" t="n">
        <v>0.44</v>
      </c>
      <c r="N775" s="5" t="n">
        <v>0.42</v>
      </c>
    </row>
    <row r="776">
      <c r="A776" t="n">
        <v>774</v>
      </c>
      <c r="B776" t="n">
        <v>2015</v>
      </c>
      <c r="C776" t="inlineStr">
        <is>
          <t>Tamara Amad</t>
        </is>
      </c>
      <c r="D776">
        <f>HYPERLINK("https://ota.tournamentsoftware.com/player-profile/4DB13A7D-F9F2-45DD-AAD4-FA9987D24AC9", "Link")</f>
        <v/>
      </c>
      <c r="E776" s="3" t="n">
        <v>10.8</v>
      </c>
      <c r="F776" s="4" t="n">
        <v>1</v>
      </c>
      <c r="G776" t="inlineStr">
        <is>
          <t>Ontario Tennis Association</t>
        </is>
      </c>
      <c r="H776" t="inlineStr">
        <is>
          <t>Ontario Racquet Club</t>
        </is>
      </c>
      <c r="I776" t="inlineStr">
        <is>
          <t>unavailable</t>
        </is>
      </c>
      <c r="J776" s="4" t="n">
        <v>20</v>
      </c>
      <c r="K776" t="inlineStr">
        <is>
          <t>12 / 8</t>
        </is>
      </c>
      <c r="L776" t="inlineStr">
        <is>
          <t>3 / 3</t>
        </is>
      </c>
      <c r="M776" s="5" t="n">
        <v>0.6</v>
      </c>
      <c r="N776" s="5" t="n">
        <v>0.5</v>
      </c>
    </row>
    <row r="777">
      <c r="A777" t="n">
        <v>774</v>
      </c>
      <c r="B777" t="n">
        <v>2016</v>
      </c>
      <c r="C777" t="inlineStr">
        <is>
          <t>Archini Bera</t>
        </is>
      </c>
      <c r="D777">
        <f>HYPERLINK("https://ota.tournamentsoftware.com/player-profile/6FA68B83-6E0E-4A78-81A0-6004576A8E6E", "Link")</f>
        <v/>
      </c>
      <c r="E777" s="3" t="n">
        <v>10.8</v>
      </c>
      <c r="F777" s="4" t="n">
        <v>2</v>
      </c>
      <c r="G777" t="inlineStr">
        <is>
          <t>Ontario Tennis Association</t>
        </is>
      </c>
      <c r="H777" t="inlineStr">
        <is>
          <t>Rideau Sports Centre</t>
        </is>
      </c>
      <c r="I777" t="inlineStr">
        <is>
          <t>unavailable</t>
        </is>
      </c>
      <c r="J777" s="4" t="n">
        <v>49</v>
      </c>
      <c r="K777" t="inlineStr">
        <is>
          <t>30 / 19</t>
        </is>
      </c>
      <c r="L777" t="inlineStr">
        <is>
          <t>27 / 10</t>
        </is>
      </c>
      <c r="M777" s="5" t="n">
        <v>0.61</v>
      </c>
      <c r="N777" s="5" t="n">
        <v>0.73</v>
      </c>
    </row>
    <row r="778">
      <c r="A778" t="n">
        <v>774</v>
      </c>
      <c r="B778" t="n">
        <v>2012</v>
      </c>
      <c r="C778" t="inlineStr">
        <is>
          <t>Jiayi Emma Wang</t>
        </is>
      </c>
      <c r="D778">
        <f>HYPERLINK("https://ota.tournamentsoftware.com/player-profile/C6ED9D5C-83AD-4AC9-9DCE-1D21A2304573", "Link")</f>
        <v/>
      </c>
      <c r="E778" s="3" t="n">
        <v>10.8</v>
      </c>
      <c r="F778" s="4" t="n">
        <v>1</v>
      </c>
      <c r="G778" t="inlineStr">
        <is>
          <t>British Columbia</t>
        </is>
      </c>
      <c r="H778" t="inlineStr">
        <is>
          <t>No Club</t>
        </is>
      </c>
      <c r="I778" t="inlineStr">
        <is>
          <t>unavailable</t>
        </is>
      </c>
      <c r="J778" s="4" t="n">
        <v>12</v>
      </c>
      <c r="K778" t="inlineStr">
        <is>
          <t>2 / 10</t>
        </is>
      </c>
      <c r="L778" t="inlineStr">
        <is>
          <t>1 / 1</t>
        </is>
      </c>
      <c r="M778" s="5" t="n">
        <v>0.17</v>
      </c>
      <c r="N778" s="5" t="n">
        <v>0.5</v>
      </c>
    </row>
    <row r="779">
      <c r="A779" t="n">
        <v>774</v>
      </c>
      <c r="B779" t="n">
        <v>2015</v>
      </c>
      <c r="C779" t="inlineStr">
        <is>
          <t>Meera Ramanathan</t>
        </is>
      </c>
      <c r="D779">
        <f>HYPERLINK("https://ota.tournamentsoftware.com/player-profile/4BFD1C94-F572-47D9-8892-3117B37D58A1", "Link")</f>
        <v/>
      </c>
      <c r="E779" s="3" t="n">
        <v>10.8</v>
      </c>
      <c r="F779" s="4" t="n">
        <v>1</v>
      </c>
      <c r="G779" t="inlineStr">
        <is>
          <t>Ontario Tennis Association</t>
        </is>
      </c>
      <c r="H779" t="inlineStr">
        <is>
          <t>Rideau Sports Centre</t>
        </is>
      </c>
      <c r="I779" t="n">
        <v>38.1</v>
      </c>
      <c r="J779" s="4" t="n">
        <v>2</v>
      </c>
      <c r="K779" t="inlineStr">
        <is>
          <t>1 / 1</t>
        </is>
      </c>
      <c r="L779" t="inlineStr">
        <is>
          <t>1 / 1</t>
        </is>
      </c>
      <c r="M779" s="5" t="n">
        <v>0.5</v>
      </c>
      <c r="N779" s="5" t="n">
        <v>0.5</v>
      </c>
    </row>
    <row r="780">
      <c r="A780" t="n">
        <v>779</v>
      </c>
      <c r="B780" t="n">
        <v>2012</v>
      </c>
      <c r="C780" t="inlineStr">
        <is>
          <t>Sofia Kalchenko</t>
        </is>
      </c>
      <c r="D780">
        <f>HYPERLINK("https://ota.tournamentsoftware.com/player-profile/95371403-EC89-475C-B20A-60F935026FFA", "Link")</f>
        <v/>
      </c>
      <c r="E780" s="3" t="n">
        <v>10.627</v>
      </c>
      <c r="F780" s="4" t="n">
        <v>4</v>
      </c>
      <c r="G780" t="inlineStr">
        <is>
          <t>Tennis Alberta</t>
        </is>
      </c>
      <c r="H780" t="inlineStr">
        <is>
          <t>Aforza</t>
        </is>
      </c>
      <c r="I780" t="inlineStr">
        <is>
          <t>unavailable</t>
        </is>
      </c>
      <c r="J780" s="4" t="n">
        <v>41</v>
      </c>
      <c r="K780" t="inlineStr">
        <is>
          <t>20 / 21</t>
        </is>
      </c>
      <c r="L780" t="inlineStr">
        <is>
          <t>3 / 1</t>
        </is>
      </c>
      <c r="M780" s="5" t="n">
        <v>0.49</v>
      </c>
      <c r="N780" s="5" t="n">
        <v>0.75</v>
      </c>
    </row>
    <row r="781">
      <c r="A781" t="n">
        <v>780</v>
      </c>
      <c r="B781" t="n">
        <v>2015</v>
      </c>
      <c r="C781" t="inlineStr">
        <is>
          <t>Maggie Yang</t>
        </is>
      </c>
      <c r="D781">
        <f>HYPERLINK("https://ota.tournamentsoftware.com/player-profile/1188855E-2EBD-473C-B3CD-74B3CDDF9042", "Link")</f>
        <v/>
      </c>
      <c r="E781" s="3" t="n">
        <v>10.557</v>
      </c>
      <c r="F781" s="4" t="n">
        <v>2</v>
      </c>
      <c r="G781" t="inlineStr">
        <is>
          <t>Ontario Tennis Association</t>
        </is>
      </c>
      <c r="H781" t="inlineStr">
        <is>
          <t>Royal City Tennis Club</t>
        </is>
      </c>
      <c r="I781" t="n">
        <v>36.1</v>
      </c>
      <c r="J781" s="4" t="n">
        <v>27</v>
      </c>
      <c r="K781" t="inlineStr">
        <is>
          <t>10 / 17</t>
        </is>
      </c>
      <c r="L781" t="inlineStr">
        <is>
          <t>1 / 2</t>
        </is>
      </c>
      <c r="M781" s="5" t="n">
        <v>0.37</v>
      </c>
      <c r="N781" s="5" t="n">
        <v>0.33</v>
      </c>
    </row>
    <row r="782">
      <c r="A782" t="n">
        <v>781</v>
      </c>
      <c r="B782" t="n">
        <v>2015</v>
      </c>
      <c r="C782" t="inlineStr">
        <is>
          <t>ALYSSA MA</t>
        </is>
      </c>
      <c r="D782">
        <f>HYPERLINK("https://ota.tournamentsoftware.com/player-profile/7C80CDC4-31A2-4667-A2A3-AE7AD2699300", "Link")</f>
        <v/>
      </c>
      <c r="E782" s="3" t="n">
        <v>10.368</v>
      </c>
      <c r="F782" s="4" t="n">
        <v>2</v>
      </c>
      <c r="G782" t="inlineStr">
        <is>
          <t>Ontario Tennis Association</t>
        </is>
      </c>
      <c r="H782" t="inlineStr">
        <is>
          <t>Blackmore Tennis Club</t>
        </is>
      </c>
      <c r="I782" t="n">
        <v>36.4</v>
      </c>
      <c r="J782" s="4" t="n">
        <v>13</v>
      </c>
      <c r="K782" t="inlineStr">
        <is>
          <t>7 / 6</t>
        </is>
      </c>
      <c r="L782" t="inlineStr">
        <is>
          <t>1 / 3</t>
        </is>
      </c>
      <c r="M782" s="5" t="n">
        <v>0.54</v>
      </c>
      <c r="N782" s="5" t="n">
        <v>0.25</v>
      </c>
    </row>
    <row r="783">
      <c r="A783" t="n">
        <v>781</v>
      </c>
      <c r="B783" t="n">
        <v>2016</v>
      </c>
      <c r="C783" t="inlineStr">
        <is>
          <t>Madison Prsa</t>
        </is>
      </c>
      <c r="D783">
        <f>HYPERLINK("https://ota.tournamentsoftware.com/player-profile/E90BB9E9-F58B-415B-8202-1B024EFB9E36", "Link")</f>
        <v/>
      </c>
      <c r="E783" s="3" t="n">
        <v>10.368</v>
      </c>
      <c r="F783" s="4" t="n">
        <v>4</v>
      </c>
      <c r="G783" t="inlineStr">
        <is>
          <t>Ontario Tennis Association</t>
        </is>
      </c>
      <c r="H783" t="inlineStr">
        <is>
          <t>Advantage Tennis International at Veneto</t>
        </is>
      </c>
      <c r="I783" t="n">
        <v>37.5</v>
      </c>
      <c r="J783" s="4" t="n">
        <v>142</v>
      </c>
      <c r="K783" t="inlineStr">
        <is>
          <t>54 / 88</t>
        </is>
      </c>
      <c r="L783" t="inlineStr">
        <is>
          <t>13 / 20</t>
        </is>
      </c>
      <c r="M783" s="5" t="n">
        <v>0.38</v>
      </c>
      <c r="N783" s="5" t="n">
        <v>0.39</v>
      </c>
    </row>
    <row r="784">
      <c r="A784" t="n">
        <v>781</v>
      </c>
      <c r="B784" t="n">
        <v>2015</v>
      </c>
      <c r="C784" t="inlineStr">
        <is>
          <t>Emmanuelle Farah Kwin Onana</t>
        </is>
      </c>
      <c r="D784">
        <f>HYPERLINK("https://ota.tournamentsoftware.com/player-profile/7931DDBA-D7CA-40E8-97CF-DF1CA8113B24", "Link")</f>
        <v/>
      </c>
      <c r="E784" s="3" t="n">
        <v>10.368</v>
      </c>
      <c r="F784" s="4" t="n">
        <v>1</v>
      </c>
      <c r="G784" t="inlineStr">
        <is>
          <t>Tennis Québec</t>
        </is>
      </c>
      <c r="H784" t="inlineStr">
        <is>
          <t>Club de tennis de Gatineau</t>
        </is>
      </c>
      <c r="I784" t="inlineStr">
        <is>
          <t>unavailable</t>
        </is>
      </c>
      <c r="J784" s="4" t="n">
        <v>13</v>
      </c>
      <c r="K784" t="inlineStr">
        <is>
          <t>6 / 7</t>
        </is>
      </c>
      <c r="L784" t="inlineStr">
        <is>
          <t>0 / 1</t>
        </is>
      </c>
      <c r="M784" s="5" t="n">
        <v>0.46</v>
      </c>
      <c r="N784" s="5" t="n">
        <v>0</v>
      </c>
    </row>
    <row r="785">
      <c r="A785" t="n">
        <v>781</v>
      </c>
      <c r="B785" t="n">
        <v>2016</v>
      </c>
      <c r="C785" t="inlineStr">
        <is>
          <t>Alice Trépanier</t>
        </is>
      </c>
      <c r="D785">
        <f>HYPERLINK("https://ota.tournamentsoftware.com/player-profile/005FD3B5-057F-4BFE-B6D1-1D3CC87FBA27", "Link")</f>
        <v/>
      </c>
      <c r="E785" s="3" t="n">
        <v>10.368</v>
      </c>
      <c r="F785" s="4" t="n">
        <v>1</v>
      </c>
      <c r="G785" t="inlineStr">
        <is>
          <t>Tennis Québec</t>
        </is>
      </c>
      <c r="H785" t="inlineStr">
        <is>
          <t>Centre Récréatif Rock Forest</t>
        </is>
      </c>
      <c r="I785" t="inlineStr">
        <is>
          <t>unavailable</t>
        </is>
      </c>
      <c r="J785" s="4" t="n">
        <v>28</v>
      </c>
      <c r="K785" t="inlineStr">
        <is>
          <t>13 / 15</t>
        </is>
      </c>
      <c r="L785" t="inlineStr">
        <is>
          <t>9 / 7</t>
        </is>
      </c>
      <c r="M785" s="5" t="n">
        <v>0.46</v>
      </c>
      <c r="N785" s="5" t="n">
        <v>0.5600000000000001</v>
      </c>
    </row>
    <row r="786">
      <c r="A786" t="n">
        <v>785</v>
      </c>
      <c r="B786" t="n">
        <v>2014</v>
      </c>
      <c r="C786" t="inlineStr">
        <is>
          <t>Flore Laferrière</t>
        </is>
      </c>
      <c r="D786">
        <f>HYPERLINK("https://ota.tournamentsoftware.com/player-profile/14AB607F-E600-4113-85A8-3FA78DC9A248", "Link")</f>
        <v/>
      </c>
      <c r="E786" s="3" t="n">
        <v>10.149</v>
      </c>
      <c r="F786" s="4" t="n">
        <v>3</v>
      </c>
      <c r="G786" t="inlineStr">
        <is>
          <t>Tennis Québec</t>
        </is>
      </c>
      <c r="H786" t="inlineStr">
        <is>
          <t>Tennis 3R- l’Academie l’échange</t>
        </is>
      </c>
      <c r="I786" t="n">
        <v>39.6</v>
      </c>
      <c r="J786" s="4" t="n">
        <v>8</v>
      </c>
      <c r="K786" t="inlineStr">
        <is>
          <t>1 / 7</t>
        </is>
      </c>
      <c r="L786" t="inlineStr">
        <is>
          <t>0 / 3</t>
        </is>
      </c>
      <c r="M786" s="5" t="n">
        <v>0.12</v>
      </c>
      <c r="N786" s="5" t="n">
        <v>0</v>
      </c>
    </row>
    <row r="787">
      <c r="A787" t="n">
        <v>786</v>
      </c>
      <c r="B787" t="n">
        <v>2015</v>
      </c>
      <c r="C787" t="inlineStr">
        <is>
          <t>Autumn VandeCoevering</t>
        </is>
      </c>
      <c r="D787">
        <f>HYPERLINK("https://ota.tournamentsoftware.com/player-profile/1CD9DDAD-A036-4365-A97E-F88D56D4B94B", "Link")</f>
        <v/>
      </c>
      <c r="E787" s="3" t="n">
        <v>10.146</v>
      </c>
      <c r="F787" s="4" t="n">
        <v>2</v>
      </c>
      <c r="G787" t="inlineStr">
        <is>
          <t>Ontario Tennis Association</t>
        </is>
      </c>
      <c r="H787" t="inlineStr">
        <is>
          <t>Greenhills Golf Club</t>
        </is>
      </c>
      <c r="I787" t="inlineStr">
        <is>
          <t>unavailable</t>
        </is>
      </c>
      <c r="J787" s="4" t="n">
        <v>6</v>
      </c>
      <c r="K787" t="inlineStr">
        <is>
          <t>2 / 4</t>
        </is>
      </c>
      <c r="L787" t="inlineStr">
        <is>
          <t>2 / 4</t>
        </is>
      </c>
      <c r="M787" s="5" t="n">
        <v>0.33</v>
      </c>
      <c r="N787" s="5" t="n">
        <v>0.33</v>
      </c>
    </row>
    <row r="788">
      <c r="A788" t="n">
        <v>787</v>
      </c>
      <c r="B788" t="n">
        <v>2015</v>
      </c>
      <c r="C788" t="inlineStr">
        <is>
          <t>Jaelynn Lumandas</t>
        </is>
      </c>
      <c r="D788">
        <f>HYPERLINK("https://ota.tournamentsoftware.com/player-profile/586CE1E5-E974-4A42-B919-DE1FC94F6144", "Link")</f>
        <v/>
      </c>
      <c r="E788" s="3" t="n">
        <v>10.137</v>
      </c>
      <c r="F788" s="4" t="n">
        <v>3</v>
      </c>
      <c r="G788" t="inlineStr">
        <is>
          <t>Tennis Alberta</t>
        </is>
      </c>
      <c r="H788" t="inlineStr">
        <is>
          <t>Saville Community Sports Centre</t>
        </is>
      </c>
      <c r="I788" t="n">
        <v>40</v>
      </c>
      <c r="J788" s="4" t="n">
        <v>25</v>
      </c>
      <c r="K788" t="inlineStr">
        <is>
          <t>1 / 24</t>
        </is>
      </c>
      <c r="L788" t="inlineStr">
        <is>
          <t>0 / 4</t>
        </is>
      </c>
      <c r="M788" s="5" t="n">
        <v>0.04</v>
      </c>
      <c r="N788" s="5" t="n">
        <v>0</v>
      </c>
    </row>
    <row r="789">
      <c r="A789" t="n">
        <v>788</v>
      </c>
      <c r="B789" t="n">
        <v>2012</v>
      </c>
      <c r="C789" t="inlineStr">
        <is>
          <t>Elise Landry</t>
        </is>
      </c>
      <c r="D789">
        <f>HYPERLINK("https://ota.tournamentsoftware.com/player-profile/E61A7837-F4EB-4DDA-B26F-2D7CE7910B80", "Link")</f>
        <v/>
      </c>
      <c r="E789" s="3" t="n">
        <v>9.978999999999999</v>
      </c>
      <c r="F789" s="4" t="n">
        <v>1</v>
      </c>
      <c r="G789" t="inlineStr">
        <is>
          <t>Ontario Tennis Association</t>
        </is>
      </c>
      <c r="H789" t="inlineStr">
        <is>
          <t>Toronto Tennis City</t>
        </is>
      </c>
      <c r="I789" t="inlineStr">
        <is>
          <t>unavailable</t>
        </is>
      </c>
      <c r="J789" s="4" t="n">
        <v>5</v>
      </c>
      <c r="K789" t="inlineStr">
        <is>
          <t>4 / 1</t>
        </is>
      </c>
      <c r="L789" t="inlineStr">
        <is>
          <t>4 / 1</t>
        </is>
      </c>
      <c r="M789" s="5" t="n">
        <v>0.8</v>
      </c>
      <c r="N789" s="5" t="n">
        <v>0.8</v>
      </c>
    </row>
    <row r="790">
      <c r="A790" t="n">
        <v>789</v>
      </c>
      <c r="B790" t="n">
        <v>2012</v>
      </c>
      <c r="C790" t="inlineStr">
        <is>
          <t>Xiaoyue (Vivian) Zhang</t>
        </is>
      </c>
      <c r="D790">
        <f>HYPERLINK("https://ota.tournamentsoftware.com/player-profile/78AF63B4-51BB-4826-AFEB-269DB17B18ED", "Link")</f>
        <v/>
      </c>
      <c r="E790" s="3" t="n">
        <v>9.720000000000001</v>
      </c>
      <c r="F790" s="4" t="n">
        <v>1</v>
      </c>
      <c r="G790" t="inlineStr">
        <is>
          <t>British Columbia</t>
        </is>
      </c>
      <c r="H790" t="inlineStr">
        <is>
          <t>Coquitlam Tennis Club</t>
        </is>
      </c>
      <c r="I790" t="n">
        <v>37.6</v>
      </c>
      <c r="J790" s="4" t="n">
        <v>4</v>
      </c>
      <c r="K790" t="inlineStr">
        <is>
          <t>1 / 3</t>
        </is>
      </c>
      <c r="L790" t="inlineStr">
        <is>
          <t>0 / 0</t>
        </is>
      </c>
      <c r="M790" s="5" t="n">
        <v>0.25</v>
      </c>
      <c r="N790" s="5" t="n">
        <v>0</v>
      </c>
    </row>
    <row r="791">
      <c r="A791" t="n">
        <v>790</v>
      </c>
      <c r="B791" t="n">
        <v>2013</v>
      </c>
      <c r="C791" t="inlineStr">
        <is>
          <t>Anastasia Gorceac</t>
        </is>
      </c>
      <c r="D791">
        <f>HYPERLINK("https://ota.tournamentsoftware.com/player-profile/34DB6E68-DC2D-46A3-9FCF-82A58A1EDBE3", "Link")</f>
        <v/>
      </c>
      <c r="E791" s="3" t="n">
        <v>9.612</v>
      </c>
      <c r="F791" s="4" t="n">
        <v>2</v>
      </c>
      <c r="G791" t="inlineStr">
        <is>
          <t>Tennis Québec</t>
        </is>
      </c>
      <c r="H791" t="inlineStr">
        <is>
          <t>No Club</t>
        </is>
      </c>
      <c r="I791" t="n">
        <v>37.9</v>
      </c>
      <c r="J791" s="4" t="n">
        <v>8</v>
      </c>
      <c r="K791" t="inlineStr">
        <is>
          <t>4 / 4</t>
        </is>
      </c>
      <c r="L791" t="inlineStr">
        <is>
          <t>0 / 0</t>
        </is>
      </c>
      <c r="M791" s="5" t="n">
        <v>0.5</v>
      </c>
      <c r="N791" s="5" t="n">
        <v>0</v>
      </c>
    </row>
    <row r="792">
      <c r="A792" t="n">
        <v>791</v>
      </c>
      <c r="B792" t="n">
        <v>2015</v>
      </c>
      <c r="C792" t="inlineStr">
        <is>
          <t>Violet Rose Divell</t>
        </is>
      </c>
      <c r="D792">
        <f>HYPERLINK("https://ota.tournamentsoftware.com/player-profile/264EFCE5-2D5B-4014-A1E4-CF0F958237B9", "Link")</f>
        <v/>
      </c>
      <c r="E792" s="3" t="n">
        <v>9.598000000000001</v>
      </c>
      <c r="F792" s="4" t="n">
        <v>3</v>
      </c>
      <c r="G792" t="inlineStr">
        <is>
          <t>Tennis Québec</t>
        </is>
      </c>
      <c r="H792" t="inlineStr">
        <is>
          <t>Académie de tennis UNI(T)</t>
        </is>
      </c>
      <c r="I792" t="n">
        <v>39.4</v>
      </c>
      <c r="J792" s="4" t="n">
        <v>6</v>
      </c>
      <c r="K792" t="inlineStr">
        <is>
          <t>1 / 5</t>
        </is>
      </c>
      <c r="L792" t="inlineStr">
        <is>
          <t>1 / 5</t>
        </is>
      </c>
      <c r="M792" s="5" t="n">
        <v>0.17</v>
      </c>
      <c r="N792" s="5" t="n">
        <v>0.17</v>
      </c>
    </row>
    <row r="793">
      <c r="A793" t="n">
        <v>792</v>
      </c>
      <c r="B793" t="n">
        <v>2013</v>
      </c>
      <c r="C793" t="inlineStr">
        <is>
          <t>Yujin Cao</t>
        </is>
      </c>
      <c r="D793">
        <f>HYPERLINK("https://ota.tournamentsoftware.com/player-profile/8260D181-2742-4015-AD52-73D66B6FD70A", "Link")</f>
        <v/>
      </c>
      <c r="E793" s="3" t="n">
        <v>9.59</v>
      </c>
      <c r="F793" s="4" t="n">
        <v>2</v>
      </c>
      <c r="G793" t="inlineStr">
        <is>
          <t>Tennis Québec</t>
        </is>
      </c>
      <c r="H793" t="inlineStr">
        <is>
          <t>Tennis 13</t>
        </is>
      </c>
      <c r="I793" t="inlineStr">
        <is>
          <t>unavailable</t>
        </is>
      </c>
      <c r="J793" s="4" t="n">
        <v>5</v>
      </c>
      <c r="K793" t="inlineStr">
        <is>
          <t>2 / 3</t>
        </is>
      </c>
      <c r="L793" t="inlineStr">
        <is>
          <t>0 / 1</t>
        </is>
      </c>
      <c r="M793" s="5" t="n">
        <v>0.4</v>
      </c>
      <c r="N793" s="5" t="n">
        <v>0</v>
      </c>
    </row>
    <row r="794">
      <c r="A794" t="n">
        <v>793</v>
      </c>
      <c r="B794" t="n">
        <v>2014</v>
      </c>
      <c r="C794" t="inlineStr">
        <is>
          <t>Juliette Viel</t>
        </is>
      </c>
      <c r="D794">
        <f>HYPERLINK("https://ota.tournamentsoftware.com/player-profile/3C42B108-2BA4-41D7-8AE2-19A52170601F", "Link")</f>
        <v/>
      </c>
      <c r="E794" s="3" t="n">
        <v>9.555</v>
      </c>
      <c r="F794" s="4" t="n">
        <v>2</v>
      </c>
      <c r="G794" t="inlineStr">
        <is>
          <t>Tennis Québec</t>
        </is>
      </c>
      <c r="H794" t="inlineStr">
        <is>
          <t>Club de tennis de Rivière-du-Loup</t>
        </is>
      </c>
      <c r="I794" t="n">
        <v>35.1</v>
      </c>
      <c r="J794" s="4" t="n">
        <v>20</v>
      </c>
      <c r="K794" t="inlineStr">
        <is>
          <t>8 / 12</t>
        </is>
      </c>
      <c r="L794" t="inlineStr">
        <is>
          <t>1 / 2</t>
        </is>
      </c>
      <c r="M794" s="5" t="n">
        <v>0.4</v>
      </c>
      <c r="N794" s="5" t="n">
        <v>0.33</v>
      </c>
    </row>
    <row r="795">
      <c r="A795" t="n">
        <v>794</v>
      </c>
      <c r="B795" t="n">
        <v>2012</v>
      </c>
      <c r="C795" t="inlineStr">
        <is>
          <t>Eya Louati</t>
        </is>
      </c>
      <c r="D795">
        <f>HYPERLINK("https://ota.tournamentsoftware.com/player-profile/679317D4-2CCC-4345-A8E0-4E4AB637C148", "Link")</f>
        <v/>
      </c>
      <c r="E795" s="3" t="n">
        <v>9.504</v>
      </c>
      <c r="F795" s="4" t="n">
        <v>1</v>
      </c>
      <c r="G795" t="inlineStr">
        <is>
          <t>Tennis Québec</t>
        </is>
      </c>
      <c r="H795" t="inlineStr">
        <is>
          <t>SANI Sport</t>
        </is>
      </c>
      <c r="I795" t="inlineStr">
        <is>
          <t>unavailable</t>
        </is>
      </c>
      <c r="J795" s="4" t="n">
        <v>90</v>
      </c>
      <c r="K795" t="inlineStr">
        <is>
          <t>28 / 62</t>
        </is>
      </c>
      <c r="L795" t="inlineStr">
        <is>
          <t>1 / 2</t>
        </is>
      </c>
      <c r="M795" s="5" t="n">
        <v>0.31</v>
      </c>
      <c r="N795" s="5" t="n">
        <v>0.33</v>
      </c>
    </row>
    <row r="796">
      <c r="A796" t="n">
        <v>795</v>
      </c>
      <c r="B796" t="n">
        <v>2014</v>
      </c>
      <c r="C796" t="inlineStr">
        <is>
          <t>Yingshan Zoey Chen</t>
        </is>
      </c>
      <c r="D796">
        <f>HYPERLINK("https://ota.tournamentsoftware.com/player-profile/A4F9AF2C-7FB4-474F-BA3A-0E1AB32672E3", "Link")</f>
        <v/>
      </c>
      <c r="E796" s="3" t="n">
        <v>9.414999999999999</v>
      </c>
      <c r="F796" s="4" t="n">
        <v>3</v>
      </c>
      <c r="G796" t="inlineStr">
        <is>
          <t>Ontario Tennis Association</t>
        </is>
      </c>
      <c r="H796" t="inlineStr">
        <is>
          <t>Thornhill Country Club</t>
        </is>
      </c>
      <c r="I796" t="n">
        <v>38.5</v>
      </c>
      <c r="J796" s="4" t="n">
        <v>24</v>
      </c>
      <c r="K796" t="inlineStr">
        <is>
          <t>5 / 19</t>
        </is>
      </c>
      <c r="L796" t="inlineStr">
        <is>
          <t>2 / 4</t>
        </is>
      </c>
      <c r="M796" s="5" t="n">
        <v>0.21</v>
      </c>
      <c r="N796" s="5" t="n">
        <v>0.33</v>
      </c>
    </row>
    <row r="797">
      <c r="A797" t="n">
        <v>796</v>
      </c>
      <c r="B797" t="n">
        <v>2013</v>
      </c>
      <c r="C797" t="inlineStr">
        <is>
          <t>Harper Thompson</t>
        </is>
      </c>
      <c r="D797">
        <f>HYPERLINK("https://ota.tournamentsoftware.com/player-profile/D930EA05-6917-4BB8-9AD8-DE7F29C99324", "Link")</f>
        <v/>
      </c>
      <c r="E797" s="3" t="n">
        <v>8.938000000000001</v>
      </c>
      <c r="F797" s="4" t="n">
        <v>3</v>
      </c>
      <c r="G797" t="inlineStr">
        <is>
          <t>Tennis Alberta</t>
        </is>
      </c>
      <c r="H797" t="inlineStr">
        <is>
          <t>The Glencoe Club</t>
        </is>
      </c>
      <c r="I797" t="inlineStr">
        <is>
          <t>unavailable</t>
        </is>
      </c>
      <c r="J797" s="4" t="n">
        <v>44</v>
      </c>
      <c r="K797" t="inlineStr">
        <is>
          <t>2 / 42</t>
        </is>
      </c>
      <c r="L797" t="inlineStr">
        <is>
          <t>0 / 2</t>
        </is>
      </c>
      <c r="M797" s="5" t="n">
        <v>0.05</v>
      </c>
      <c r="N797" s="5" t="n">
        <v>0</v>
      </c>
    </row>
    <row r="798">
      <c r="A798" t="n">
        <v>797</v>
      </c>
      <c r="B798" t="n">
        <v>2014</v>
      </c>
      <c r="C798" t="inlineStr">
        <is>
          <t>Avery Rose Kon</t>
        </is>
      </c>
      <c r="D798">
        <f>HYPERLINK("https://ota.tournamentsoftware.com/player-profile/3F621439-578C-4BDD-A8A2-880ECC795615", "Link")</f>
        <v/>
      </c>
      <c r="E798" s="3" t="n">
        <v>8.888</v>
      </c>
      <c r="F798" s="4" t="n">
        <v>2</v>
      </c>
      <c r="G798" t="inlineStr">
        <is>
          <t>Ontario Tennis Association</t>
        </is>
      </c>
      <c r="H798" t="inlineStr">
        <is>
          <t>Toronto Lawn Tennis Club</t>
        </is>
      </c>
      <c r="I798" t="n">
        <v>36.6</v>
      </c>
      <c r="J798" s="4" t="n">
        <v>8</v>
      </c>
      <c r="K798" t="inlineStr">
        <is>
          <t>1 / 7</t>
        </is>
      </c>
      <c r="L798" t="inlineStr">
        <is>
          <t>0 / 2</t>
        </is>
      </c>
      <c r="M798" s="5" t="n">
        <v>0.12</v>
      </c>
      <c r="N798" s="5" t="n">
        <v>0</v>
      </c>
    </row>
    <row r="799">
      <c r="A799" t="n">
        <v>798</v>
      </c>
      <c r="B799" t="n">
        <v>2014</v>
      </c>
      <c r="C799" t="inlineStr">
        <is>
          <t>Annabelle Zhao</t>
        </is>
      </c>
      <c r="D799">
        <f>HYPERLINK("https://ota.tournamentsoftware.com/player-profile/F9367D16-E3B7-41BB-810F-85E4C6371542", "Link")</f>
        <v/>
      </c>
      <c r="E799" s="3" t="n">
        <v>8.882999999999999</v>
      </c>
      <c r="F799" s="4" t="n">
        <v>3</v>
      </c>
      <c r="G799" t="inlineStr">
        <is>
          <t>British Columbia</t>
        </is>
      </c>
      <c r="H799" t="inlineStr">
        <is>
          <t>The Tennis Centre</t>
        </is>
      </c>
      <c r="I799" t="n">
        <v>39</v>
      </c>
      <c r="J799" s="4" t="n">
        <v>61</v>
      </c>
      <c r="K799" t="inlineStr">
        <is>
          <t>30 / 31</t>
        </is>
      </c>
      <c r="L799" t="inlineStr">
        <is>
          <t>10 / 8</t>
        </is>
      </c>
      <c r="M799" s="5" t="n">
        <v>0.49</v>
      </c>
      <c r="N799" s="5" t="n">
        <v>0.5600000000000001</v>
      </c>
    </row>
    <row r="800">
      <c r="A800" t="n">
        <v>799</v>
      </c>
      <c r="B800" t="n">
        <v>2014</v>
      </c>
      <c r="C800" t="inlineStr">
        <is>
          <t>Jylian May II Mauricio Luces</t>
        </is>
      </c>
      <c r="D800">
        <f>HYPERLINK("https://ota.tournamentsoftware.com/player-profile/EE4C1547-2DEF-4E96-BA65-F8069863F09D", "Link")</f>
        <v/>
      </c>
      <c r="E800" s="3" t="n">
        <v>8.861000000000001</v>
      </c>
      <c r="F800" s="4" t="n">
        <v>7</v>
      </c>
      <c r="G800" t="inlineStr">
        <is>
          <t>Tennis Alberta</t>
        </is>
      </c>
      <c r="H800" t="inlineStr">
        <is>
          <t>Osten &amp; Victor Alberta Tennis Centre</t>
        </is>
      </c>
      <c r="I800" t="inlineStr">
        <is>
          <t>unavailable</t>
        </is>
      </c>
      <c r="J800" s="4" t="n">
        <v>33</v>
      </c>
      <c r="K800" t="inlineStr">
        <is>
          <t>6 / 27</t>
        </is>
      </c>
      <c r="L800" t="inlineStr">
        <is>
          <t>2 / 8</t>
        </is>
      </c>
      <c r="M800" s="5" t="n">
        <v>0.18</v>
      </c>
      <c r="N800" s="5" t="n">
        <v>0.2</v>
      </c>
    </row>
    <row r="801">
      <c r="A801" t="n">
        <v>800</v>
      </c>
      <c r="B801" t="n">
        <v>2013</v>
      </c>
      <c r="C801" t="inlineStr">
        <is>
          <t>Juliana Pena</t>
        </is>
      </c>
      <c r="D801">
        <f>HYPERLINK("https://ota.tournamentsoftware.com/player-profile/8F1CA811-953C-4FAC-980B-55D7FE7A6E50", "Link")</f>
        <v/>
      </c>
      <c r="E801" s="3" t="n">
        <v>8.813000000000001</v>
      </c>
      <c r="F801" s="4" t="n">
        <v>2</v>
      </c>
      <c r="G801" t="inlineStr">
        <is>
          <t>Tennis Québec</t>
        </is>
      </c>
      <c r="H801" t="inlineStr">
        <is>
          <t>Tennis Québec (région Montréal Ouest)</t>
        </is>
      </c>
      <c r="I801" t="inlineStr">
        <is>
          <t>unavailable</t>
        </is>
      </c>
      <c r="J801" s="4" t="n">
        <v>10</v>
      </c>
      <c r="K801" t="inlineStr">
        <is>
          <t>3 / 7</t>
        </is>
      </c>
      <c r="L801" t="inlineStr">
        <is>
          <t>0 / 0</t>
        </is>
      </c>
      <c r="M801" s="5" t="n">
        <v>0.3</v>
      </c>
      <c r="N801" s="5" t="n">
        <v>0</v>
      </c>
    </row>
    <row r="802">
      <c r="A802" t="n">
        <v>801</v>
      </c>
      <c r="B802" t="n">
        <v>2015</v>
      </c>
      <c r="C802" t="inlineStr">
        <is>
          <t>Isabella Maria Galati</t>
        </is>
      </c>
      <c r="D802">
        <f>HYPERLINK("https://ota.tournamentsoftware.com/player-profile/401ED85D-9EDD-4DED-B064-33902C7F4DF4", "Link")</f>
        <v/>
      </c>
      <c r="E802" s="3" t="n">
        <v>8.694000000000001</v>
      </c>
      <c r="F802" s="4" t="n">
        <v>2</v>
      </c>
      <c r="G802" t="inlineStr">
        <is>
          <t>Ontario Tennis Association</t>
        </is>
      </c>
      <c r="H802" t="inlineStr">
        <is>
          <t>Pickering Tennis Academy</t>
        </is>
      </c>
      <c r="I802" t="n">
        <v>37.6</v>
      </c>
      <c r="J802" s="4" t="n">
        <v>24</v>
      </c>
      <c r="K802" t="inlineStr">
        <is>
          <t>11 / 13</t>
        </is>
      </c>
      <c r="L802" t="inlineStr">
        <is>
          <t>5 / 2</t>
        </is>
      </c>
      <c r="M802" s="5" t="n">
        <v>0.46</v>
      </c>
      <c r="N802" s="5" t="n">
        <v>0.71</v>
      </c>
    </row>
    <row r="803">
      <c r="A803" t="n">
        <v>802</v>
      </c>
      <c r="B803" t="n">
        <v>2015</v>
      </c>
      <c r="C803" t="inlineStr">
        <is>
          <t>Chloe Brown</t>
        </is>
      </c>
      <c r="D803">
        <f>HYPERLINK("https://ota.tournamentsoftware.com/player-profile/E3B2C995-F41E-4C95-81DE-7B219EF03CBD", "Link")</f>
        <v/>
      </c>
      <c r="E803" s="3" t="n">
        <v>8.640000000000001</v>
      </c>
      <c r="F803" s="4" t="n">
        <v>4</v>
      </c>
      <c r="G803" t="inlineStr">
        <is>
          <t>British Columbia</t>
        </is>
      </c>
      <c r="H803" t="inlineStr">
        <is>
          <t>Commons Racquet Club at Predator Ridge</t>
        </is>
      </c>
      <c r="I803" t="n">
        <v>38.5</v>
      </c>
      <c r="J803" s="4" t="n">
        <v>25</v>
      </c>
      <c r="K803" t="inlineStr">
        <is>
          <t>10 / 15</t>
        </is>
      </c>
      <c r="L803" t="inlineStr">
        <is>
          <t>7 / 5</t>
        </is>
      </c>
      <c r="M803" s="5" t="n">
        <v>0.4</v>
      </c>
      <c r="N803" s="5" t="n">
        <v>0.58</v>
      </c>
    </row>
    <row r="804">
      <c r="A804" t="n">
        <v>802</v>
      </c>
      <c r="B804" t="n">
        <v>2014</v>
      </c>
      <c r="C804" t="inlineStr">
        <is>
          <t>Candice Cui</t>
        </is>
      </c>
      <c r="D804">
        <f>HYPERLINK("https://ota.tournamentsoftware.com/player-profile/389A79F0-4AEE-4BAD-A33E-98A21CD35738", "Link")</f>
        <v/>
      </c>
      <c r="E804" s="3" t="n">
        <v>8.640000000000001</v>
      </c>
      <c r="F804" s="4" t="n">
        <v>2</v>
      </c>
      <c r="G804" t="inlineStr">
        <is>
          <t>British Columbia</t>
        </is>
      </c>
      <c r="H804" t="inlineStr">
        <is>
          <t>Okanagan Mission Tennis Club Kelowna</t>
        </is>
      </c>
      <c r="I804" t="inlineStr">
        <is>
          <t>unavailable</t>
        </is>
      </c>
      <c r="J804" s="4" t="n">
        <v>30</v>
      </c>
      <c r="K804" t="inlineStr">
        <is>
          <t>11 / 19</t>
        </is>
      </c>
      <c r="L804" t="inlineStr">
        <is>
          <t>2 / 2</t>
        </is>
      </c>
      <c r="M804" s="5" t="n">
        <v>0.37</v>
      </c>
      <c r="N804" s="5" t="n">
        <v>0.5</v>
      </c>
    </row>
    <row r="805">
      <c r="A805" t="n">
        <v>804</v>
      </c>
      <c r="B805" t="n">
        <v>2013</v>
      </c>
      <c r="C805" t="inlineStr">
        <is>
          <t>Nya Robinson</t>
        </is>
      </c>
      <c r="D805">
        <f>HYPERLINK("https://ota.tournamentsoftware.com/player-profile/FCE45E04-6DF1-4A68-89D1-ACB65286BF31", "Link")</f>
        <v/>
      </c>
      <c r="E805" s="3" t="n">
        <v>8.449999999999999</v>
      </c>
      <c r="F805" s="4" t="n">
        <v>5</v>
      </c>
      <c r="G805" t="inlineStr">
        <is>
          <t>Tennis Alberta</t>
        </is>
      </c>
      <c r="H805" t="inlineStr">
        <is>
          <t>Osten &amp; Victor Alberta Tennis Centre</t>
        </is>
      </c>
      <c r="I805" t="n">
        <v>38.1</v>
      </c>
      <c r="J805" s="4" t="n">
        <v>17</v>
      </c>
      <c r="K805" t="inlineStr">
        <is>
          <t>7 / 10</t>
        </is>
      </c>
      <c r="L805" t="inlineStr">
        <is>
          <t>2 / 1</t>
        </is>
      </c>
      <c r="M805" s="5" t="n">
        <v>0.41</v>
      </c>
      <c r="N805" s="5" t="n">
        <v>0.67</v>
      </c>
    </row>
    <row r="806">
      <c r="A806" t="n">
        <v>805</v>
      </c>
      <c r="B806" t="n">
        <v>2012</v>
      </c>
      <c r="C806" t="inlineStr">
        <is>
          <t>Elisha Lee</t>
        </is>
      </c>
      <c r="D806">
        <f>HYPERLINK("https://ota.tournamentsoftware.com/player-profile/0D8F1552-F5AE-4BBB-B462-7DFD495EA5D1", "Link")</f>
        <v/>
      </c>
      <c r="E806" s="3" t="n">
        <v>8.423999999999999</v>
      </c>
      <c r="F806" s="4" t="n">
        <v>1</v>
      </c>
      <c r="G806" t="inlineStr">
        <is>
          <t>British Columbia</t>
        </is>
      </c>
      <c r="H806" t="inlineStr">
        <is>
          <t>Great West Fitness and Racquets Club</t>
        </is>
      </c>
      <c r="I806" t="n">
        <v>37.8</v>
      </c>
      <c r="J806" s="4" t="n">
        <v>49</v>
      </c>
      <c r="K806" t="inlineStr">
        <is>
          <t>20 / 29</t>
        </is>
      </c>
      <c r="L806" t="inlineStr">
        <is>
          <t>10 / 12</t>
        </is>
      </c>
      <c r="M806" s="5" t="n">
        <v>0.41</v>
      </c>
      <c r="N806" s="5" t="n">
        <v>0.45</v>
      </c>
    </row>
    <row r="807">
      <c r="A807" t="n">
        <v>805</v>
      </c>
      <c r="B807" t="n">
        <v>2013</v>
      </c>
      <c r="C807" t="inlineStr">
        <is>
          <t>KIanna Jia Christianson</t>
        </is>
      </c>
      <c r="D807">
        <f>HYPERLINK("https://ota.tournamentsoftware.com/player-profile/A76E75A0-5CAF-4017-8B3C-2D69366CF0FB", "Link")</f>
        <v/>
      </c>
      <c r="E807" s="3" t="n">
        <v>8.423999999999999</v>
      </c>
      <c r="F807" s="4" t="n">
        <v>1</v>
      </c>
      <c r="G807" t="inlineStr">
        <is>
          <t>British Columbia</t>
        </is>
      </c>
      <c r="H807" t="inlineStr">
        <is>
          <t>City of Burnaby</t>
        </is>
      </c>
      <c r="I807" t="n">
        <v>40</v>
      </c>
      <c r="J807" s="4" t="n">
        <v>10</v>
      </c>
      <c r="K807" t="inlineStr">
        <is>
          <t>5 / 5</t>
        </is>
      </c>
      <c r="L807" t="inlineStr">
        <is>
          <t>2 / 3</t>
        </is>
      </c>
      <c r="M807" s="5" t="n">
        <v>0.5</v>
      </c>
      <c r="N807" s="5" t="n">
        <v>0.4</v>
      </c>
    </row>
    <row r="808">
      <c r="A808" t="n">
        <v>807</v>
      </c>
      <c r="B808" t="n">
        <v>2015</v>
      </c>
      <c r="C808" t="inlineStr">
        <is>
          <t>Mila Sofia Galvez Bourgeois-Charbonneau</t>
        </is>
      </c>
      <c r="D808">
        <f>HYPERLINK("https://ota.tournamentsoftware.com/player-profile/4F9CCD8C-A7BD-4FA0-B17A-3689BD230A0C", "Link")</f>
        <v/>
      </c>
      <c r="E808" s="3" t="n">
        <v>8.298</v>
      </c>
      <c r="F808" s="4" t="n">
        <v>2</v>
      </c>
      <c r="G808" t="inlineStr">
        <is>
          <t>Tennis Québec</t>
        </is>
      </c>
      <c r="H808" t="inlineStr">
        <is>
          <t>AA Autre club</t>
        </is>
      </c>
      <c r="I808" t="n">
        <v>37.3</v>
      </c>
      <c r="J808" s="4" t="n">
        <v>10</v>
      </c>
      <c r="K808" t="inlineStr">
        <is>
          <t>5 / 5</t>
        </is>
      </c>
      <c r="L808" t="inlineStr">
        <is>
          <t>5 / 2</t>
        </is>
      </c>
      <c r="M808" s="5" t="n">
        <v>0.5</v>
      </c>
      <c r="N808" s="5" t="n">
        <v>0.71</v>
      </c>
    </row>
    <row r="809">
      <c r="A809" t="n">
        <v>808</v>
      </c>
      <c r="B809" t="n">
        <v>2016</v>
      </c>
      <c r="C809" t="inlineStr">
        <is>
          <t>Scarlett Prsa</t>
        </is>
      </c>
      <c r="D809">
        <f>HYPERLINK("https://ota.tournamentsoftware.com/player-profile/CDBDFDF5-0DDE-4F1C-B33B-F163CF134B52", "Link")</f>
        <v/>
      </c>
      <c r="E809" s="3" t="n">
        <v>8.105</v>
      </c>
      <c r="F809" s="4" t="n">
        <v>4</v>
      </c>
      <c r="G809" t="inlineStr">
        <is>
          <t>Ontario Tennis Association</t>
        </is>
      </c>
      <c r="H809" t="inlineStr">
        <is>
          <t>Advantage Tennis International at Veneto</t>
        </is>
      </c>
      <c r="I809" t="n">
        <v>38.1</v>
      </c>
      <c r="J809" s="4" t="n">
        <v>137</v>
      </c>
      <c r="K809" t="inlineStr">
        <is>
          <t>52 / 85</t>
        </is>
      </c>
      <c r="L809" t="inlineStr">
        <is>
          <t>16 / 19</t>
        </is>
      </c>
      <c r="M809" s="5" t="n">
        <v>0.38</v>
      </c>
      <c r="N809" s="5" t="n">
        <v>0.46</v>
      </c>
    </row>
    <row r="810">
      <c r="A810" t="n">
        <v>809</v>
      </c>
      <c r="B810" t="n">
        <v>2015</v>
      </c>
      <c r="C810" t="inlineStr">
        <is>
          <t>Sofia Belyavskaya</t>
        </is>
      </c>
      <c r="D810">
        <f>HYPERLINK("https://ota.tournamentsoftware.com/player-profile/103C1284-54D3-4E14-8B3B-D860AD353A8C", "Link")</f>
        <v/>
      </c>
      <c r="E810" s="3" t="n">
        <v>8.045999999999999</v>
      </c>
      <c r="F810" s="4" t="n">
        <v>3</v>
      </c>
      <c r="G810" t="inlineStr">
        <is>
          <t>British Columbia</t>
        </is>
      </c>
      <c r="H810" t="inlineStr">
        <is>
          <t>The Tennis Centre</t>
        </is>
      </c>
      <c r="I810" t="n">
        <v>37.2</v>
      </c>
      <c r="J810" s="4" t="n">
        <v>88</v>
      </c>
      <c r="K810" t="inlineStr">
        <is>
          <t>35 / 53</t>
        </is>
      </c>
      <c r="L810" t="inlineStr">
        <is>
          <t>2 / 5</t>
        </is>
      </c>
      <c r="M810" s="5" t="n">
        <v>0.4</v>
      </c>
      <c r="N810" s="5" t="n">
        <v>0.29</v>
      </c>
    </row>
    <row r="811">
      <c r="A811" t="n">
        <v>810</v>
      </c>
      <c r="B811" t="n">
        <v>2013</v>
      </c>
      <c r="C811" t="inlineStr">
        <is>
          <t>Anaya Mohammed Shurrab</t>
        </is>
      </c>
      <c r="D811">
        <f>HYPERLINK("https://ota.tournamentsoftware.com/player-profile/A4BA7F79-3B20-4355-B83D-7B81774D6C97", "Link")</f>
        <v/>
      </c>
      <c r="E811" s="3" t="n">
        <v>8.01</v>
      </c>
      <c r="F811" s="4" t="n">
        <v>1</v>
      </c>
      <c r="G811" t="inlineStr">
        <is>
          <t>Ontario Tennis Association</t>
        </is>
      </c>
      <c r="H811" t="inlineStr">
        <is>
          <t>Sudbury Indoor Tennis Centre</t>
        </is>
      </c>
      <c r="I811" t="n">
        <v>38.8</v>
      </c>
      <c r="J811" s="4" t="n">
        <v>2</v>
      </c>
      <c r="K811" t="inlineStr">
        <is>
          <t>0 / 2</t>
        </is>
      </c>
      <c r="L811" t="inlineStr">
        <is>
          <t>0 / 0</t>
        </is>
      </c>
      <c r="M811" s="5" t="n">
        <v>0</v>
      </c>
      <c r="N811" s="5" t="n">
        <v>0</v>
      </c>
    </row>
    <row r="812">
      <c r="A812" t="n">
        <v>810</v>
      </c>
      <c r="B812" t="n">
        <v>2014</v>
      </c>
      <c r="C812" t="inlineStr">
        <is>
          <t>Marie Renaud</t>
        </is>
      </c>
      <c r="D812">
        <f>HYPERLINK("https://ota.tournamentsoftware.com/player-profile/9538BC58-3E12-400B-B7A6-AA4E495D60F5", "Link")</f>
        <v/>
      </c>
      <c r="E812" s="3" t="n">
        <v>8.01</v>
      </c>
      <c r="F812" s="4" t="n">
        <v>1</v>
      </c>
      <c r="G812" t="inlineStr">
        <is>
          <t>Tennis Québec</t>
        </is>
      </c>
      <c r="H812" t="inlineStr">
        <is>
          <t>Les Tennis de Rimouski (intérieur)</t>
        </is>
      </c>
      <c r="I812" t="inlineStr">
        <is>
          <t>unavailable</t>
        </is>
      </c>
      <c r="J812" s="4" t="n">
        <v>3</v>
      </c>
      <c r="K812" t="inlineStr">
        <is>
          <t>1 / 2</t>
        </is>
      </c>
      <c r="L812" t="inlineStr">
        <is>
          <t>1 / 2</t>
        </is>
      </c>
      <c r="M812" s="5" t="n">
        <v>0.33</v>
      </c>
      <c r="N812" s="5" t="n">
        <v>0.33</v>
      </c>
    </row>
    <row r="813">
      <c r="A813" t="n">
        <v>812</v>
      </c>
      <c r="B813" t="n">
        <v>2015</v>
      </c>
      <c r="C813" t="inlineStr">
        <is>
          <t>Lyskha Ann Louis</t>
        </is>
      </c>
      <c r="D813">
        <f>HYPERLINK("https://ota.tournamentsoftware.com/player-profile/E63460EF-56D0-4F3C-845C-D047E7B9C366", "Link")</f>
        <v/>
      </c>
      <c r="E813" s="3" t="n">
        <v>7.906</v>
      </c>
      <c r="F813" s="4" t="n">
        <v>2</v>
      </c>
      <c r="G813" t="inlineStr">
        <is>
          <t>Tennis Québec</t>
        </is>
      </c>
      <c r="H813" t="inlineStr">
        <is>
          <t>Tennis 13</t>
        </is>
      </c>
      <c r="I813" t="n">
        <v>36.4</v>
      </c>
      <c r="J813" s="4" t="n">
        <v>9</v>
      </c>
      <c r="K813" t="inlineStr">
        <is>
          <t>4 / 5</t>
        </is>
      </c>
      <c r="L813" t="inlineStr">
        <is>
          <t>4 / 2</t>
        </is>
      </c>
      <c r="M813" s="5" t="n">
        <v>0.44</v>
      </c>
      <c r="N813" s="5" t="n">
        <v>0.67</v>
      </c>
    </row>
    <row r="814">
      <c r="A814" t="n">
        <v>813</v>
      </c>
      <c r="B814" t="n">
        <v>2013</v>
      </c>
      <c r="C814" t="inlineStr">
        <is>
          <t>Seher Sharma</t>
        </is>
      </c>
      <c r="D814">
        <f>HYPERLINK("https://ota.tournamentsoftware.com/player-profile/383B0843-9E5F-4A01-8304-C01EA147B7A2", "Link")</f>
        <v/>
      </c>
      <c r="E814" s="3" t="n">
        <v>7.892</v>
      </c>
      <c r="F814" s="4" t="n">
        <v>1</v>
      </c>
      <c r="G814" t="inlineStr">
        <is>
          <t>Ontario Tennis Association</t>
        </is>
      </c>
      <c r="H814" t="inlineStr">
        <is>
          <t>Glendale Tennis Club</t>
        </is>
      </c>
      <c r="I814" t="inlineStr">
        <is>
          <t>unavailable</t>
        </is>
      </c>
      <c r="J814" s="4" t="n">
        <v>15</v>
      </c>
      <c r="K814" t="inlineStr">
        <is>
          <t>4 / 11</t>
        </is>
      </c>
      <c r="L814" t="inlineStr">
        <is>
          <t>0 / 2</t>
        </is>
      </c>
      <c r="M814" s="5" t="n">
        <v>0.27</v>
      </c>
      <c r="N814" s="5" t="n">
        <v>0</v>
      </c>
    </row>
    <row r="815">
      <c r="A815" t="n">
        <v>814</v>
      </c>
      <c r="B815" t="n">
        <v>2014</v>
      </c>
      <c r="C815" t="inlineStr">
        <is>
          <t>Gloriana Shiqi Zhang</t>
        </is>
      </c>
      <c r="D815">
        <f>HYPERLINK("https://ota.tournamentsoftware.com/player-profile/2717E828-0882-43B7-ADDB-D078FFA580CF", "Link")</f>
        <v/>
      </c>
      <c r="E815" s="3" t="n">
        <v>7.776</v>
      </c>
      <c r="F815" s="4" t="n">
        <v>2</v>
      </c>
      <c r="G815" t="inlineStr">
        <is>
          <t>British Columbia</t>
        </is>
      </c>
      <c r="H815" t="inlineStr">
        <is>
          <t>Hollyburn Country Club</t>
        </is>
      </c>
      <c r="I815" t="inlineStr">
        <is>
          <t>unavailable</t>
        </is>
      </c>
      <c r="J815" s="4" t="n">
        <v>32</v>
      </c>
      <c r="K815" t="inlineStr">
        <is>
          <t>5 / 27</t>
        </is>
      </c>
      <c r="L815" t="inlineStr">
        <is>
          <t>0 / 0</t>
        </is>
      </c>
      <c r="M815" s="5" t="n">
        <v>0.16</v>
      </c>
      <c r="N815" s="5" t="n">
        <v>0</v>
      </c>
    </row>
    <row r="816">
      <c r="A816" t="n">
        <v>815</v>
      </c>
      <c r="B816" t="n">
        <v>2014</v>
      </c>
      <c r="C816" t="inlineStr">
        <is>
          <t>Madelyn Palsat</t>
        </is>
      </c>
      <c r="D816">
        <f>HYPERLINK("https://ota.tournamentsoftware.com/player-profile/B7A28D92-CC5D-460E-A752-75C63DAB2E9F", "Link")</f>
        <v/>
      </c>
      <c r="E816" s="3" t="n">
        <v>7.733</v>
      </c>
      <c r="F816" s="4" t="n">
        <v>5</v>
      </c>
      <c r="G816" t="inlineStr">
        <is>
          <t>Tennis Alberta</t>
        </is>
      </c>
      <c r="H816" t="inlineStr">
        <is>
          <t>Royal Glenora Club</t>
        </is>
      </c>
      <c r="I816" t="n">
        <v>37.9</v>
      </c>
      <c r="J816" s="4" t="n">
        <v>14</v>
      </c>
      <c r="K816" t="inlineStr">
        <is>
          <t>6 / 8</t>
        </is>
      </c>
      <c r="L816" t="inlineStr">
        <is>
          <t>6 / 8</t>
        </is>
      </c>
      <c r="M816" s="5" t="n">
        <v>0.43</v>
      </c>
      <c r="N816" s="5" t="n">
        <v>0.43</v>
      </c>
    </row>
    <row r="817">
      <c r="A817" t="n">
        <v>816</v>
      </c>
      <c r="B817" t="n">
        <v>2015</v>
      </c>
      <c r="C817" t="inlineStr">
        <is>
          <t>Dani Banquicio</t>
        </is>
      </c>
      <c r="D817">
        <f>HYPERLINK("https://ota.tournamentsoftware.com/player-profile/46430071-90F3-4471-A44B-9BE4F31E2D72", "Link")</f>
        <v/>
      </c>
      <c r="E817" s="3" t="n">
        <v>7.652</v>
      </c>
      <c r="F817" s="4" t="n">
        <v>2</v>
      </c>
      <c r="G817" t="inlineStr">
        <is>
          <t>Tennis New Brunswick</t>
        </is>
      </c>
      <c r="H817" t="inlineStr">
        <is>
          <t>Abony Family Tennis Center</t>
        </is>
      </c>
      <c r="I817" t="n">
        <v>40</v>
      </c>
      <c r="J817" s="4" t="n">
        <v>54</v>
      </c>
      <c r="K817" t="inlineStr">
        <is>
          <t>17 / 37</t>
        </is>
      </c>
      <c r="L817" t="inlineStr">
        <is>
          <t>3 / 7</t>
        </is>
      </c>
      <c r="M817" s="5" t="n">
        <v>0.31</v>
      </c>
      <c r="N817" s="5" t="n">
        <v>0.3</v>
      </c>
    </row>
    <row r="818">
      <c r="A818" t="n">
        <v>817</v>
      </c>
      <c r="B818" t="n">
        <v>2014</v>
      </c>
      <c r="C818" t="inlineStr">
        <is>
          <t>Audrey Dionne-Chen</t>
        </is>
      </c>
      <c r="D818">
        <f>HYPERLINK("https://ota.tournamentsoftware.com/player-profile/7AE565BD-506E-4133-AA69-F89B361E38C0", "Link")</f>
        <v/>
      </c>
      <c r="E818" s="3" t="n">
        <v>7.552</v>
      </c>
      <c r="F818" s="4" t="n">
        <v>1</v>
      </c>
      <c r="G818" t="inlineStr">
        <is>
          <t>Ontario Tennis Association</t>
        </is>
      </c>
      <c r="H818" t="inlineStr">
        <is>
          <t>Rideau Sports Centre</t>
        </is>
      </c>
      <c r="I818" t="n">
        <v>39.4</v>
      </c>
      <c r="J818" s="4" t="n">
        <v>14</v>
      </c>
      <c r="K818" t="inlineStr">
        <is>
          <t>4 / 10</t>
        </is>
      </c>
      <c r="L818" t="inlineStr">
        <is>
          <t>0 / 1</t>
        </is>
      </c>
      <c r="M818" s="5" t="n">
        <v>0.29</v>
      </c>
      <c r="N818" s="5" t="n">
        <v>0</v>
      </c>
    </row>
    <row r="819">
      <c r="A819" t="n">
        <v>818</v>
      </c>
      <c r="B819" t="n">
        <v>2013</v>
      </c>
      <c r="C819" t="inlineStr">
        <is>
          <t>rafaela pena</t>
        </is>
      </c>
      <c r="D819">
        <f>HYPERLINK("https://ota.tournamentsoftware.com/player-profile/A4EAF82E-5402-4B2B-B03B-0E790D9A9F99", "Link")</f>
        <v/>
      </c>
      <c r="E819" s="3" t="n">
        <v>7.174</v>
      </c>
      <c r="F819" s="4" t="n">
        <v>2</v>
      </c>
      <c r="G819" t="inlineStr">
        <is>
          <t>Tennis Québec</t>
        </is>
      </c>
      <c r="H819" t="inlineStr">
        <is>
          <t>Tennis Québec (région Montréal Ouest)</t>
        </is>
      </c>
      <c r="I819" t="inlineStr">
        <is>
          <t>unavailable</t>
        </is>
      </c>
      <c r="J819" s="4" t="n">
        <v>10</v>
      </c>
      <c r="K819" t="inlineStr">
        <is>
          <t>4 / 6</t>
        </is>
      </c>
      <c r="L819" t="inlineStr">
        <is>
          <t>0 / 0</t>
        </is>
      </c>
      <c r="M819" s="5" t="n">
        <v>0.4</v>
      </c>
      <c r="N819" s="5" t="n">
        <v>0</v>
      </c>
    </row>
    <row r="820">
      <c r="A820" t="n">
        <v>819</v>
      </c>
      <c r="B820" t="n">
        <v>2017</v>
      </c>
      <c r="C820" t="inlineStr">
        <is>
          <t>Kaja Gacanin</t>
        </is>
      </c>
      <c r="D820">
        <f>HYPERLINK("https://ota.tournamentsoftware.com/player-profile/51158AF8-F463-4974-AE1F-B1924D114B2F", "Link")</f>
        <v/>
      </c>
      <c r="E820" s="3" t="n">
        <v>6.84</v>
      </c>
      <c r="F820" s="4" t="n">
        <v>2</v>
      </c>
      <c r="G820" t="inlineStr">
        <is>
          <t>Ontario Tennis Association</t>
        </is>
      </c>
      <c r="H820" t="inlineStr">
        <is>
          <t>Zekelman Tennis Centre</t>
        </is>
      </c>
      <c r="I820" t="n">
        <v>38.6</v>
      </c>
      <c r="J820" s="4" t="n">
        <v>7</v>
      </c>
      <c r="K820" t="inlineStr">
        <is>
          <t>2 / 5</t>
        </is>
      </c>
      <c r="L820" t="inlineStr">
        <is>
          <t>2 / 5</t>
        </is>
      </c>
      <c r="M820" s="5" t="n">
        <v>0.29</v>
      </c>
      <c r="N820" s="5" t="n">
        <v>0.29</v>
      </c>
    </row>
    <row r="821">
      <c r="A821" t="n">
        <v>820</v>
      </c>
      <c r="B821" t="n">
        <v>2015</v>
      </c>
      <c r="C821" t="inlineStr">
        <is>
          <t>Ruby Mika Szakacs</t>
        </is>
      </c>
      <c r="D821">
        <f>HYPERLINK("https://ota.tournamentsoftware.com/player-profile/200B8C95-20A4-4F60-90C6-7E30A84EAEA7", "Link")</f>
        <v/>
      </c>
      <c r="E821" s="3" t="n">
        <v>6.607</v>
      </c>
      <c r="F821" s="4" t="n">
        <v>2</v>
      </c>
      <c r="G821" t="inlineStr">
        <is>
          <t>Ontario Tennis Association</t>
        </is>
      </c>
      <c r="H821" t="inlineStr">
        <is>
          <t>No Club</t>
        </is>
      </c>
      <c r="I821" t="n">
        <v>39.4</v>
      </c>
      <c r="J821" s="4" t="n">
        <v>55</v>
      </c>
      <c r="K821" t="inlineStr">
        <is>
          <t>28 / 27</t>
        </is>
      </c>
      <c r="L821" t="inlineStr">
        <is>
          <t>0 / 4</t>
        </is>
      </c>
      <c r="M821" s="5" t="n">
        <v>0.51</v>
      </c>
      <c r="N821" s="5" t="n">
        <v>0</v>
      </c>
    </row>
    <row r="822">
      <c r="A822" t="n">
        <v>820</v>
      </c>
      <c r="B822" t="n">
        <v>2014</v>
      </c>
      <c r="C822" t="inlineStr">
        <is>
          <t>Mantian Ellie Ni</t>
        </is>
      </c>
      <c r="D822">
        <f>HYPERLINK("https://ota.tournamentsoftware.com/player-profile/7FD8D72E-3679-4613-A482-A282508BEA32", "Link")</f>
        <v/>
      </c>
      <c r="E822" s="3" t="n">
        <v>6.607</v>
      </c>
      <c r="F822" s="4" t="n">
        <v>2</v>
      </c>
      <c r="G822" t="inlineStr">
        <is>
          <t>Ontario Tennis Association</t>
        </is>
      </c>
      <c r="H822" t="inlineStr">
        <is>
          <t>Premier Racquet Club</t>
        </is>
      </c>
      <c r="I822" t="n">
        <v>39.5</v>
      </c>
      <c r="J822" s="4" t="n">
        <v>23</v>
      </c>
      <c r="K822" t="inlineStr">
        <is>
          <t>7 / 16</t>
        </is>
      </c>
      <c r="L822" t="inlineStr">
        <is>
          <t>3 / 4</t>
        </is>
      </c>
      <c r="M822" s="5" t="n">
        <v>0.3</v>
      </c>
      <c r="N822" s="5" t="n">
        <v>0.43</v>
      </c>
    </row>
    <row r="823">
      <c r="A823" t="n">
        <v>822</v>
      </c>
      <c r="B823" t="n">
        <v>2015</v>
      </c>
      <c r="C823" t="inlineStr">
        <is>
          <t>Ivana Novatus Nguma</t>
        </is>
      </c>
      <c r="D823">
        <f>HYPERLINK("https://ota.tournamentsoftware.com/player-profile/152EACD1-B447-4FFD-B45D-419526079F6E", "Link")</f>
        <v/>
      </c>
      <c r="E823" s="3" t="n">
        <v>6.6</v>
      </c>
      <c r="F823" s="4" t="n">
        <v>1</v>
      </c>
      <c r="G823" t="inlineStr">
        <is>
          <t>Tennis Alberta</t>
        </is>
      </c>
      <c r="H823" t="inlineStr">
        <is>
          <t>Calgary Tennis Society</t>
        </is>
      </c>
      <c r="I823" t="n">
        <v>37.7</v>
      </c>
      <c r="J823" s="4" t="n">
        <v>22</v>
      </c>
      <c r="K823" t="inlineStr">
        <is>
          <t>11 / 11</t>
        </is>
      </c>
      <c r="L823" t="inlineStr">
        <is>
          <t>7 / 3</t>
        </is>
      </c>
      <c r="M823" s="5" t="n">
        <v>0.5</v>
      </c>
      <c r="N823" s="5" t="n">
        <v>0.7</v>
      </c>
    </row>
    <row r="824">
      <c r="A824" t="n">
        <v>823</v>
      </c>
      <c r="B824" t="n">
        <v>2015</v>
      </c>
      <c r="C824" t="inlineStr">
        <is>
          <t>Olive Allen</t>
        </is>
      </c>
      <c r="D824">
        <f>HYPERLINK("https://ota.tournamentsoftware.com/player-profile/B0709DF4-F657-4BE5-870B-1467DB919D18", "Link")</f>
        <v/>
      </c>
      <c r="E824" s="3" t="n">
        <v>6.48</v>
      </c>
      <c r="F824" s="4" t="n">
        <v>2</v>
      </c>
      <c r="G824" t="inlineStr">
        <is>
          <t>British Columbia</t>
        </is>
      </c>
      <c r="H824" t="inlineStr">
        <is>
          <t>Hollyburn Country Club</t>
        </is>
      </c>
      <c r="I824" t="n">
        <v>40</v>
      </c>
      <c r="J824" s="4" t="n">
        <v>35</v>
      </c>
      <c r="K824" t="inlineStr">
        <is>
          <t>12 / 23</t>
        </is>
      </c>
      <c r="L824" t="inlineStr">
        <is>
          <t>3 / 7</t>
        </is>
      </c>
      <c r="M824" s="5" t="n">
        <v>0.34</v>
      </c>
      <c r="N824" s="5" t="n">
        <v>0.3</v>
      </c>
    </row>
    <row r="825">
      <c r="A825" t="n">
        <v>823</v>
      </c>
      <c r="B825" t="n">
        <v>2015</v>
      </c>
      <c r="C825" t="inlineStr">
        <is>
          <t>Catherine Qu</t>
        </is>
      </c>
      <c r="D825">
        <f>HYPERLINK("https://ota.tournamentsoftware.com/player-profile/6BFBAA24-1779-441C-B7FC-7EF81219D270", "Link")</f>
        <v/>
      </c>
      <c r="E825" s="3" t="n">
        <v>6.48</v>
      </c>
      <c r="F825" s="4" t="n">
        <v>1</v>
      </c>
      <c r="G825" t="inlineStr">
        <is>
          <t>Ontario Tennis Association</t>
        </is>
      </c>
      <c r="H825" t="inlineStr">
        <is>
          <t>Royal City Tennis Club</t>
        </is>
      </c>
      <c r="I825" t="n">
        <v>36.4</v>
      </c>
      <c r="J825" s="4" t="n">
        <v>19</v>
      </c>
      <c r="K825" t="inlineStr">
        <is>
          <t>3 / 16</t>
        </is>
      </c>
      <c r="L825" t="inlineStr">
        <is>
          <t>1 / 1</t>
        </is>
      </c>
      <c r="M825" s="5" t="n">
        <v>0.16</v>
      </c>
      <c r="N825" s="5" t="n">
        <v>0.5</v>
      </c>
    </row>
    <row r="826">
      <c r="A826" t="n">
        <v>823</v>
      </c>
      <c r="B826" t="n">
        <v>2014</v>
      </c>
      <c r="C826" t="inlineStr">
        <is>
          <t>Vira Beskupska</t>
        </is>
      </c>
      <c r="D826">
        <f>HYPERLINK("https://ota.tournamentsoftware.com/player-profile/116FA89C-68A6-4FE9-ADC6-34260809351C", "Link")</f>
        <v/>
      </c>
      <c r="E826" s="3" t="n">
        <v>6.48</v>
      </c>
      <c r="F826" s="4" t="n">
        <v>1</v>
      </c>
      <c r="G826" t="inlineStr">
        <is>
          <t>Ontario Tennis Association</t>
        </is>
      </c>
      <c r="H826" t="inlineStr">
        <is>
          <t>National Tennis School</t>
        </is>
      </c>
      <c r="I826" t="inlineStr">
        <is>
          <t>unavailable</t>
        </is>
      </c>
      <c r="J826" s="4" t="n">
        <v>1</v>
      </c>
      <c r="K826" t="inlineStr">
        <is>
          <t>0 / 1</t>
        </is>
      </c>
      <c r="L826" t="inlineStr">
        <is>
          <t>0 / 1</t>
        </is>
      </c>
      <c r="M826" s="5" t="n">
        <v>0</v>
      </c>
      <c r="N826" s="5" t="n">
        <v>0</v>
      </c>
    </row>
    <row r="827">
      <c r="A827" t="n">
        <v>823</v>
      </c>
      <c r="B827" t="n">
        <v>2014</v>
      </c>
      <c r="C827" t="inlineStr">
        <is>
          <t>Saisha Sharma</t>
        </is>
      </c>
      <c r="D827">
        <f>HYPERLINK("https://ota.tournamentsoftware.com/player-profile/4141EEE9-8372-4477-B6C4-DE0E9616249B", "Link")</f>
        <v/>
      </c>
      <c r="E827" s="3" t="n">
        <v>6.48</v>
      </c>
      <c r="F827" s="4" t="n">
        <v>1</v>
      </c>
      <c r="G827" t="inlineStr">
        <is>
          <t>Ontario Tennis Association</t>
        </is>
      </c>
      <c r="H827" t="inlineStr">
        <is>
          <t>Premier Racquet Clubs – Brampton</t>
        </is>
      </c>
      <c r="I827" t="n">
        <v>37.1</v>
      </c>
      <c r="J827" s="4" t="n">
        <v>14</v>
      </c>
      <c r="K827" t="inlineStr">
        <is>
          <t>10 / 4</t>
        </is>
      </c>
      <c r="L827" t="inlineStr">
        <is>
          <t>10 / 4</t>
        </is>
      </c>
      <c r="M827" s="5" t="n">
        <v>0.71</v>
      </c>
      <c r="N827" s="5" t="n">
        <v>0.71</v>
      </c>
    </row>
    <row r="828">
      <c r="A828" t="n">
        <v>823</v>
      </c>
      <c r="B828" t="n">
        <v>2014</v>
      </c>
      <c r="C828" t="inlineStr">
        <is>
          <t>Elina Chai</t>
        </is>
      </c>
      <c r="D828">
        <f>HYPERLINK("https://ota.tournamentsoftware.com/player-profile/93EB3F3A-118C-460C-AB18-42D8F042E5A9", "Link")</f>
        <v/>
      </c>
      <c r="E828" s="3" t="n">
        <v>6.48</v>
      </c>
      <c r="F828" s="4" t="n">
        <v>1</v>
      </c>
      <c r="G828" t="inlineStr">
        <is>
          <t>Ontario Tennis Association</t>
        </is>
      </c>
      <c r="H828" t="inlineStr">
        <is>
          <t>ACE Tennis - Toronto Tennis City</t>
        </is>
      </c>
      <c r="I828" t="n">
        <v>38.5</v>
      </c>
      <c r="J828" s="4" t="n">
        <v>6</v>
      </c>
      <c r="K828" t="inlineStr">
        <is>
          <t>4 / 2</t>
        </is>
      </c>
      <c r="L828" t="inlineStr">
        <is>
          <t>4 / 2</t>
        </is>
      </c>
      <c r="M828" s="5" t="n">
        <v>0.67</v>
      </c>
      <c r="N828" s="5" t="n">
        <v>0.67</v>
      </c>
    </row>
    <row r="829">
      <c r="A829" t="n">
        <v>823</v>
      </c>
      <c r="B829" t="n">
        <v>2014</v>
      </c>
      <c r="C829" t="inlineStr">
        <is>
          <t>Mila Isaeva</t>
        </is>
      </c>
      <c r="D829">
        <f>HYPERLINK("https://ota.tournamentsoftware.com/player-profile/318B72C3-8E32-46E5-B532-524E3B59755C", "Link")</f>
        <v/>
      </c>
      <c r="E829" s="3" t="n">
        <v>6.48</v>
      </c>
      <c r="F829" s="4" t="n">
        <v>1</v>
      </c>
      <c r="G829" t="inlineStr">
        <is>
          <t>Ontario Tennis Association</t>
        </is>
      </c>
      <c r="H829" t="inlineStr">
        <is>
          <t>Tam Heather Tennis Club</t>
        </is>
      </c>
      <c r="I829" t="n">
        <v>38.3</v>
      </c>
      <c r="J829" s="4" t="n">
        <v>10</v>
      </c>
      <c r="K829" t="inlineStr">
        <is>
          <t>4 / 6</t>
        </is>
      </c>
      <c r="L829" t="inlineStr">
        <is>
          <t>2 / 3</t>
        </is>
      </c>
      <c r="M829" s="5" t="n">
        <v>0.4</v>
      </c>
      <c r="N829" s="5" t="n">
        <v>0.4</v>
      </c>
    </row>
    <row r="830">
      <c r="A830" t="n">
        <v>823</v>
      </c>
      <c r="B830" t="n">
        <v>2016</v>
      </c>
      <c r="C830" t="inlineStr">
        <is>
          <t>Charlotte Gordovin</t>
        </is>
      </c>
      <c r="D830">
        <f>HYPERLINK("https://ota.tournamentsoftware.com/player-profile/961D5F8B-09E8-477B-A5D4-F4815570D913", "Link")</f>
        <v/>
      </c>
      <c r="E830" s="3" t="n">
        <v>6.48</v>
      </c>
      <c r="F830" s="4" t="n">
        <v>2</v>
      </c>
      <c r="G830" t="inlineStr">
        <is>
          <t>Ontario Tennis Association</t>
        </is>
      </c>
      <c r="H830" t="inlineStr">
        <is>
          <t>ON Tennis Toronto No Club</t>
        </is>
      </c>
      <c r="I830" t="inlineStr">
        <is>
          <t>unavailable</t>
        </is>
      </c>
      <c r="J830" s="4" t="n">
        <v>84</v>
      </c>
      <c r="K830" t="inlineStr">
        <is>
          <t>41 / 43</t>
        </is>
      </c>
      <c r="L830" t="inlineStr">
        <is>
          <t>14 / 16</t>
        </is>
      </c>
      <c r="M830" s="5" t="n">
        <v>0.49</v>
      </c>
      <c r="N830" s="5" t="n">
        <v>0.47</v>
      </c>
    </row>
    <row r="831">
      <c r="A831" t="n">
        <v>823</v>
      </c>
      <c r="B831" t="n">
        <v>2017</v>
      </c>
      <c r="C831" t="inlineStr">
        <is>
          <t>Riley Yang</t>
        </is>
      </c>
      <c r="D831">
        <f>HYPERLINK("https://ota.tournamentsoftware.com/player-profile/26AD4F6A-B4DE-4D98-85C5-1F82427AD36B", "Link")</f>
        <v/>
      </c>
      <c r="E831" s="3" t="n">
        <v>6.48</v>
      </c>
      <c r="F831" s="4" t="n">
        <v>1</v>
      </c>
      <c r="G831" t="inlineStr">
        <is>
          <t>Ontario Tennis Association</t>
        </is>
      </c>
      <c r="H831" t="inlineStr">
        <is>
          <t>Mayfair West Fitness &amp; Racquet Club</t>
        </is>
      </c>
      <c r="I831" t="inlineStr">
        <is>
          <t>unavailable</t>
        </is>
      </c>
      <c r="J831" s="4" t="n">
        <v>163</v>
      </c>
      <c r="K831" t="inlineStr">
        <is>
          <t>84 / 79</t>
        </is>
      </c>
      <c r="L831" t="inlineStr">
        <is>
          <t>48 / 35</t>
        </is>
      </c>
      <c r="M831" s="5" t="n">
        <v>0.52</v>
      </c>
      <c r="N831" s="5" t="n">
        <v>0.58</v>
      </c>
    </row>
    <row r="832">
      <c r="A832" t="n">
        <v>831</v>
      </c>
      <c r="B832" t="n">
        <v>2015</v>
      </c>
      <c r="C832" t="inlineStr">
        <is>
          <t>Niveah Watt-Shelton</t>
        </is>
      </c>
      <c r="D832">
        <f>HYPERLINK("https://ota.tournamentsoftware.com/player-profile/2142B288-43FF-46B4-8037-BD18E957E823", "Link")</f>
        <v/>
      </c>
      <c r="E832" s="3" t="n">
        <v>6.33</v>
      </c>
      <c r="F832" s="4" t="n">
        <v>2</v>
      </c>
      <c r="G832" t="inlineStr">
        <is>
          <t>British Columbia</t>
        </is>
      </c>
      <c r="H832" t="inlineStr">
        <is>
          <t>UBC Tennis Centre</t>
        </is>
      </c>
      <c r="I832" t="inlineStr">
        <is>
          <t>unavailable</t>
        </is>
      </c>
      <c r="J832" s="4" t="n">
        <v>58</v>
      </c>
      <c r="K832" t="inlineStr">
        <is>
          <t>28 / 30</t>
        </is>
      </c>
      <c r="L832" t="inlineStr">
        <is>
          <t>8 / 8</t>
        </is>
      </c>
      <c r="M832" s="5" t="n">
        <v>0.48</v>
      </c>
      <c r="N832" s="5" t="n">
        <v>0.5</v>
      </c>
    </row>
    <row r="833">
      <c r="A833" t="n">
        <v>832</v>
      </c>
      <c r="B833" t="n">
        <v>2012</v>
      </c>
      <c r="C833" t="inlineStr">
        <is>
          <t>Feiran Zhang</t>
        </is>
      </c>
      <c r="D833">
        <f>HYPERLINK("https://ota.tournamentsoftware.com/player-profile/8FFC114F-FEF3-40BF-AF97-E338D1EA4209", "Link")</f>
        <v/>
      </c>
      <c r="E833" s="3" t="n">
        <v>6.248</v>
      </c>
      <c r="F833" s="4" t="n">
        <v>1</v>
      </c>
      <c r="G833" t="inlineStr">
        <is>
          <t>British Columbia</t>
        </is>
      </c>
      <c r="H833" t="inlineStr">
        <is>
          <t>No Club</t>
        </is>
      </c>
      <c r="I833" t="n">
        <v>38.1</v>
      </c>
      <c r="J833" s="4" t="n">
        <v>14</v>
      </c>
      <c r="K833" t="inlineStr">
        <is>
          <t>5 / 9</t>
        </is>
      </c>
      <c r="L833" t="inlineStr">
        <is>
          <t>2 / 3</t>
        </is>
      </c>
      <c r="M833" s="5" t="n">
        <v>0.36</v>
      </c>
      <c r="N833" s="5" t="n">
        <v>0.4</v>
      </c>
    </row>
    <row r="834">
      <c r="A834" t="n">
        <v>832</v>
      </c>
      <c r="B834" t="n">
        <v>2012</v>
      </c>
      <c r="C834" t="inlineStr">
        <is>
          <t>Huiran Zhang</t>
        </is>
      </c>
      <c r="D834">
        <f>HYPERLINK("https://ota.tournamentsoftware.com/player-profile/1E917C5C-2B33-48E2-908B-A812DD532CD4", "Link")</f>
        <v/>
      </c>
      <c r="E834" s="3" t="n">
        <v>6.248</v>
      </c>
      <c r="F834" s="4" t="n">
        <v>1</v>
      </c>
      <c r="G834" t="inlineStr">
        <is>
          <t>British Columbia</t>
        </is>
      </c>
      <c r="H834" t="inlineStr">
        <is>
          <t>No Club</t>
        </is>
      </c>
      <c r="I834" t="n">
        <v>37.6</v>
      </c>
      <c r="J834" s="4" t="n">
        <v>13</v>
      </c>
      <c r="K834" t="inlineStr">
        <is>
          <t>2 / 11</t>
        </is>
      </c>
      <c r="L834" t="inlineStr">
        <is>
          <t>1 / 4</t>
        </is>
      </c>
      <c r="M834" s="5" t="n">
        <v>0.15</v>
      </c>
      <c r="N834" s="5" t="n">
        <v>0.2</v>
      </c>
    </row>
    <row r="835">
      <c r="A835" t="n">
        <v>834</v>
      </c>
      <c r="B835" t="n">
        <v>2015</v>
      </c>
      <c r="C835" t="inlineStr">
        <is>
          <t>Lydia Hilborn</t>
        </is>
      </c>
      <c r="D835">
        <f>HYPERLINK("https://ota.tournamentsoftware.com/player-profile/30626EFD-AB33-4307-B2FA-1CF205F3C271", "Link")</f>
        <v/>
      </c>
      <c r="E835" s="3" t="n">
        <v>6.23</v>
      </c>
      <c r="F835" s="4" t="n">
        <v>1</v>
      </c>
      <c r="G835" t="inlineStr">
        <is>
          <t>Ontario Tennis Association</t>
        </is>
      </c>
      <c r="H835" t="inlineStr">
        <is>
          <t>Cutten Fields</t>
        </is>
      </c>
      <c r="I835" t="n">
        <v>37.5</v>
      </c>
      <c r="J835" s="4" t="n">
        <v>50</v>
      </c>
      <c r="K835" t="inlineStr">
        <is>
          <t>23 / 27</t>
        </is>
      </c>
      <c r="L835" t="inlineStr">
        <is>
          <t>0 / 0</t>
        </is>
      </c>
      <c r="M835" s="5" t="n">
        <v>0.46</v>
      </c>
      <c r="N835" s="5" t="n">
        <v>0</v>
      </c>
    </row>
    <row r="836">
      <c r="A836" t="n">
        <v>835</v>
      </c>
      <c r="B836" t="n">
        <v>2014</v>
      </c>
      <c r="C836" t="inlineStr">
        <is>
          <t>Abigale Julia Dioszeghy Beatty</t>
        </is>
      </c>
      <c r="D836">
        <f>HYPERLINK("https://ota.tournamentsoftware.com/player-profile/3376BA08-B4B7-40B5-A81E-8F995772526B", "Link")</f>
        <v/>
      </c>
      <c r="E836" s="3" t="n">
        <v>6.221</v>
      </c>
      <c r="F836" s="4" t="n">
        <v>4</v>
      </c>
      <c r="G836" t="inlineStr">
        <is>
          <t>Tennis Alberta</t>
        </is>
      </c>
      <c r="H836" t="inlineStr">
        <is>
          <t>Royal Glenora Club</t>
        </is>
      </c>
      <c r="I836" t="n">
        <v>37.8</v>
      </c>
      <c r="J836" s="4" t="n">
        <v>12</v>
      </c>
      <c r="K836" t="inlineStr">
        <is>
          <t>6 / 6</t>
        </is>
      </c>
      <c r="L836" t="inlineStr">
        <is>
          <t>6 / 6</t>
        </is>
      </c>
      <c r="M836" s="5" t="n">
        <v>0.5</v>
      </c>
      <c r="N836" s="5" t="n">
        <v>0.5</v>
      </c>
    </row>
    <row r="837">
      <c r="A837" t="n">
        <v>836</v>
      </c>
      <c r="B837" t="n">
        <v>2016</v>
      </c>
      <c r="C837" t="inlineStr">
        <is>
          <t>Samantha Bronwyn Daniell</t>
        </is>
      </c>
      <c r="D837">
        <f>HYPERLINK("https://ota.tournamentsoftware.com/player-profile/7D796AB4-F8DD-43AD-8451-41C0A3E3949A", "Link")</f>
        <v/>
      </c>
      <c r="E837" s="3" t="n">
        <v>6.106</v>
      </c>
      <c r="F837" s="4" t="n">
        <v>6</v>
      </c>
      <c r="G837" t="inlineStr">
        <is>
          <t>British Columbia</t>
        </is>
      </c>
      <c r="H837" t="inlineStr">
        <is>
          <t>The Tennis Centre</t>
        </is>
      </c>
      <c r="I837" t="n">
        <v>37.7</v>
      </c>
      <c r="J837" s="4" t="n">
        <v>121</v>
      </c>
      <c r="K837" t="inlineStr">
        <is>
          <t>61 / 60</t>
        </is>
      </c>
      <c r="L837" t="inlineStr">
        <is>
          <t>29 / 22</t>
        </is>
      </c>
      <c r="M837" s="5" t="n">
        <v>0.5</v>
      </c>
      <c r="N837" s="5" t="n">
        <v>0.57</v>
      </c>
    </row>
    <row r="838">
      <c r="A838" t="n">
        <v>837</v>
      </c>
      <c r="B838" t="n">
        <v>2015</v>
      </c>
      <c r="C838" t="inlineStr">
        <is>
          <t>Allison Zhang</t>
        </is>
      </c>
      <c r="D838">
        <f>HYPERLINK("https://ota.tournamentsoftware.com/player-profile/7EED065B-4139-4D18-B6C0-4800BB20D171", "Link")</f>
        <v/>
      </c>
      <c r="E838" s="3" t="n">
        <v>6</v>
      </c>
      <c r="F838" s="4" t="n">
        <v>1</v>
      </c>
      <c r="G838" t="inlineStr">
        <is>
          <t>Ontario Tennis Association</t>
        </is>
      </c>
      <c r="H838" t="inlineStr">
        <is>
          <t>No Club</t>
        </is>
      </c>
      <c r="I838" t="inlineStr">
        <is>
          <t>unavailable</t>
        </is>
      </c>
      <c r="J838" s="4" t="n">
        <v>23</v>
      </c>
      <c r="K838" t="inlineStr">
        <is>
          <t>4 / 19</t>
        </is>
      </c>
      <c r="L838" t="inlineStr">
        <is>
          <t>0 / 0</t>
        </is>
      </c>
      <c r="M838" s="5" t="n">
        <v>0.17</v>
      </c>
      <c r="N838" s="5" t="n">
        <v>0</v>
      </c>
    </row>
    <row r="839">
      <c r="A839" t="n">
        <v>837</v>
      </c>
      <c r="B839" t="n">
        <v>2014</v>
      </c>
      <c r="C839" t="inlineStr">
        <is>
          <t>Dina Karahotzitis</t>
        </is>
      </c>
      <c r="D839">
        <f>HYPERLINK("https://ota.tournamentsoftware.com/player-profile/741C9055-B842-4064-A339-E591B8FD72C4", "Link")</f>
        <v/>
      </c>
      <c r="E839" s="3" t="n">
        <v>6</v>
      </c>
      <c r="F839" s="4" t="n">
        <v>1</v>
      </c>
      <c r="G839" t="inlineStr">
        <is>
          <t>Ontario Tennis Association</t>
        </is>
      </c>
      <c r="H839" t="inlineStr">
        <is>
          <t>Mayfair West Fitness &amp; Racquet Club</t>
        </is>
      </c>
      <c r="I839" t="n">
        <v>34.9</v>
      </c>
      <c r="J839" s="4" t="n">
        <v>19</v>
      </c>
      <c r="K839" t="inlineStr">
        <is>
          <t>0 / 19</t>
        </is>
      </c>
      <c r="L839" t="inlineStr">
        <is>
          <t>0 / 0</t>
        </is>
      </c>
      <c r="M839" s="5" t="n">
        <v>0</v>
      </c>
      <c r="N839" s="5" t="n">
        <v>0</v>
      </c>
    </row>
    <row r="840">
      <c r="A840" t="n">
        <v>839</v>
      </c>
      <c r="B840" t="n">
        <v>2015</v>
      </c>
      <c r="C840" t="inlineStr">
        <is>
          <t>Vera Nino</t>
        </is>
      </c>
      <c r="D840">
        <f>HYPERLINK("https://ota.tournamentsoftware.com/player-profile/081EF9A9-B991-431D-B2FC-AC8426BD2711", "Link")</f>
        <v/>
      </c>
      <c r="E840" s="3" t="n">
        <v>5.803</v>
      </c>
      <c r="F840" s="4" t="n">
        <v>1</v>
      </c>
      <c r="G840" t="inlineStr">
        <is>
          <t>Ontario Tennis Association</t>
        </is>
      </c>
      <c r="H840" t="inlineStr">
        <is>
          <t>Zekelman Tennis Centre</t>
        </is>
      </c>
      <c r="I840" t="inlineStr">
        <is>
          <t>unavailable</t>
        </is>
      </c>
      <c r="J840" s="4" t="n">
        <v>6</v>
      </c>
      <c r="K840" t="inlineStr">
        <is>
          <t>0 / 6</t>
        </is>
      </c>
      <c r="L840" t="inlineStr">
        <is>
          <t>0 / 6</t>
        </is>
      </c>
      <c r="M840" s="5" t="n">
        <v>0</v>
      </c>
      <c r="N840" s="5" t="n">
        <v>0</v>
      </c>
    </row>
    <row r="841">
      <c r="A841" t="n">
        <v>840</v>
      </c>
      <c r="B841" t="n">
        <v>2013</v>
      </c>
      <c r="C841" t="inlineStr">
        <is>
          <t>Isabella Salum</t>
        </is>
      </c>
      <c r="D841">
        <f>HYPERLINK("https://ota.tournamentsoftware.com/player-profile/AD20BB62-5360-484E-820D-DA1E16118088", "Link")</f>
        <v/>
      </c>
      <c r="E841" s="3" t="n">
        <v>5.497</v>
      </c>
      <c r="F841" s="4" t="n">
        <v>1</v>
      </c>
      <c r="G841" t="inlineStr">
        <is>
          <t>British Columbia</t>
        </is>
      </c>
      <c r="H841" t="inlineStr">
        <is>
          <t>Bear Mountain Tennis Centre</t>
        </is>
      </c>
      <c r="I841" t="inlineStr">
        <is>
          <t>unavailable</t>
        </is>
      </c>
      <c r="J841" s="4" t="n">
        <v>23</v>
      </c>
      <c r="K841" t="inlineStr">
        <is>
          <t>6 / 17</t>
        </is>
      </c>
      <c r="L841" t="inlineStr">
        <is>
          <t>1 / 2</t>
        </is>
      </c>
      <c r="M841" s="5" t="n">
        <v>0.26</v>
      </c>
      <c r="N841" s="5" t="n">
        <v>0.33</v>
      </c>
    </row>
    <row r="842">
      <c r="A842" t="n">
        <v>840</v>
      </c>
      <c r="B842" t="n">
        <v>2014</v>
      </c>
      <c r="C842" t="inlineStr">
        <is>
          <t>Anabelle Duchesne</t>
        </is>
      </c>
      <c r="D842">
        <f>HYPERLINK("https://ota.tournamentsoftware.com/player-profile/3D9B7A28-72A0-4133-925D-142C95DC7FA9", "Link")</f>
        <v/>
      </c>
      <c r="E842" s="3" t="n">
        <v>5.497</v>
      </c>
      <c r="F842" s="4" t="n">
        <v>1</v>
      </c>
      <c r="G842" t="inlineStr">
        <is>
          <t>Tennis Québec</t>
        </is>
      </c>
      <c r="H842" t="inlineStr">
        <is>
          <t>Les Tennis de Rimouski (intérieur)</t>
        </is>
      </c>
      <c r="I842" t="n">
        <v>39.8</v>
      </c>
      <c r="J842" s="4" t="n">
        <v>3</v>
      </c>
      <c r="K842" t="inlineStr">
        <is>
          <t>0 / 3</t>
        </is>
      </c>
      <c r="L842" t="inlineStr">
        <is>
          <t>0 / 3</t>
        </is>
      </c>
      <c r="M842" s="5" t="n">
        <v>0</v>
      </c>
      <c r="N842" s="5" t="n">
        <v>0</v>
      </c>
    </row>
    <row r="843">
      <c r="A843" t="n">
        <v>842</v>
      </c>
      <c r="B843" t="n">
        <v>2013</v>
      </c>
      <c r="C843" t="inlineStr">
        <is>
          <t>Eve Bussière</t>
        </is>
      </c>
      <c r="D843">
        <f>HYPERLINK("https://ota.tournamentsoftware.com/player-profile/01D291A9-D1EC-4A34-907D-E221D9B25023", "Link")</f>
        <v/>
      </c>
      <c r="E843" s="3" t="n">
        <v>5.408</v>
      </c>
      <c r="F843" s="4" t="n">
        <v>2</v>
      </c>
      <c r="G843" t="inlineStr">
        <is>
          <t>Tennis Québec</t>
        </is>
      </c>
      <c r="H843" t="inlineStr">
        <is>
          <t>No Club</t>
        </is>
      </c>
      <c r="I843" t="inlineStr">
        <is>
          <t>unavailable</t>
        </is>
      </c>
      <c r="J843" s="4" t="n">
        <v>10</v>
      </c>
      <c r="K843" t="inlineStr">
        <is>
          <t>2 / 8</t>
        </is>
      </c>
      <c r="L843" t="inlineStr">
        <is>
          <t>0 / 0</t>
        </is>
      </c>
      <c r="M843" s="5" t="n">
        <v>0.2</v>
      </c>
      <c r="N843" s="5" t="n">
        <v>0</v>
      </c>
    </row>
    <row r="844">
      <c r="A844" t="n">
        <v>843</v>
      </c>
      <c r="B844" t="n">
        <v>2012</v>
      </c>
      <c r="C844" t="inlineStr">
        <is>
          <t>Emma Thomson</t>
        </is>
      </c>
      <c r="D844">
        <f>HYPERLINK("https://ota.tournamentsoftware.com/player-profile/EE28DE8E-EE8A-4FBB-885B-733BCB8A08C4", "Link")</f>
        <v/>
      </c>
      <c r="E844" s="3" t="n">
        <v>5.404</v>
      </c>
      <c r="F844" s="4" t="n">
        <v>3</v>
      </c>
      <c r="G844" t="inlineStr">
        <is>
          <t>Tennis Alberta</t>
        </is>
      </c>
      <c r="H844" t="inlineStr">
        <is>
          <t>Osten &amp; Victor Alberta Tennis Centre</t>
        </is>
      </c>
      <c r="I844" t="inlineStr">
        <is>
          <t>unavailable</t>
        </is>
      </c>
      <c r="J844" s="4" t="n">
        <v>6</v>
      </c>
      <c r="K844" t="inlineStr">
        <is>
          <t>1 / 5</t>
        </is>
      </c>
      <c r="L844" t="inlineStr">
        <is>
          <t>1 / 1</t>
        </is>
      </c>
      <c r="M844" s="5" t="n">
        <v>0.17</v>
      </c>
      <c r="N844" s="5" t="n">
        <v>0.5</v>
      </c>
    </row>
    <row r="845">
      <c r="A845" t="n">
        <v>844</v>
      </c>
      <c r="B845" t="n">
        <v>2016</v>
      </c>
      <c r="C845" t="inlineStr">
        <is>
          <t>Hazel Geng</t>
        </is>
      </c>
      <c r="D845">
        <f>HYPERLINK("https://ota.tournamentsoftware.com/player-profile/00BB4A74-B4FB-4FAC-B874-79D9E778FAAE", "Link")</f>
        <v/>
      </c>
      <c r="E845" s="3" t="n">
        <v>5.152</v>
      </c>
      <c r="F845" s="4" t="n">
        <v>2</v>
      </c>
      <c r="G845" t="inlineStr">
        <is>
          <t>British Columbia</t>
        </is>
      </c>
      <c r="H845" t="inlineStr">
        <is>
          <t>Vancouver Lawn Tennis and Badminton Club</t>
        </is>
      </c>
      <c r="I845" t="n">
        <v>37.8</v>
      </c>
      <c r="J845" s="4" t="n">
        <v>42</v>
      </c>
      <c r="K845" t="inlineStr">
        <is>
          <t>10 / 32</t>
        </is>
      </c>
      <c r="L845" t="inlineStr">
        <is>
          <t>3 / 4</t>
        </is>
      </c>
      <c r="M845" s="5" t="n">
        <v>0.24</v>
      </c>
      <c r="N845" s="5" t="n">
        <v>0.43</v>
      </c>
    </row>
    <row r="846">
      <c r="A846" t="n">
        <v>845</v>
      </c>
      <c r="B846" t="n">
        <v>2016</v>
      </c>
      <c r="C846" t="inlineStr">
        <is>
          <t>Marusya Bakaeva</t>
        </is>
      </c>
      <c r="D846">
        <f>HYPERLINK("https://ota.tournamentsoftware.com/player-profile/B7C51186-F387-4E99-B849-E8275BB7C0E9", "Link")</f>
        <v/>
      </c>
      <c r="E846" s="3" t="n">
        <v>5.125</v>
      </c>
      <c r="F846" s="4" t="n">
        <v>1</v>
      </c>
      <c r="G846" t="inlineStr">
        <is>
          <t>Ontario Tennis Association</t>
        </is>
      </c>
      <c r="H846" t="inlineStr">
        <is>
          <t>Toronto Tennis City</t>
        </is>
      </c>
      <c r="I846" t="n">
        <v>35.9</v>
      </c>
      <c r="J846" s="4" t="n">
        <v>14</v>
      </c>
      <c r="K846" t="inlineStr">
        <is>
          <t>6 / 8</t>
        </is>
      </c>
      <c r="L846" t="inlineStr">
        <is>
          <t>3 / 4</t>
        </is>
      </c>
      <c r="M846" s="5" t="n">
        <v>0.43</v>
      </c>
      <c r="N846" s="5" t="n">
        <v>0.43</v>
      </c>
    </row>
    <row r="847">
      <c r="A847" t="n">
        <v>845</v>
      </c>
      <c r="B847" t="n">
        <v>2014</v>
      </c>
      <c r="C847" t="inlineStr">
        <is>
          <t>Alexandra Ciacoi-Pop</t>
        </is>
      </c>
      <c r="D847">
        <f>HYPERLINK("https://ota.tournamentsoftware.com/player-profile/4F87B1A1-F52A-4C8C-8C6B-776A59CC6D03", "Link")</f>
        <v/>
      </c>
      <c r="E847" s="3" t="n">
        <v>5.125</v>
      </c>
      <c r="F847" s="4" t="n">
        <v>1</v>
      </c>
      <c r="G847" t="inlineStr">
        <is>
          <t>Ontario Tennis Association</t>
        </is>
      </c>
      <c r="H847" t="inlineStr">
        <is>
          <t>Parkway Valley Tennis Club</t>
        </is>
      </c>
      <c r="I847" t="n">
        <v>38.8</v>
      </c>
      <c r="J847" s="4" t="n">
        <v>28</v>
      </c>
      <c r="K847" t="inlineStr">
        <is>
          <t>11 / 17</t>
        </is>
      </c>
      <c r="L847" t="inlineStr">
        <is>
          <t>7 / 12</t>
        </is>
      </c>
      <c r="M847" s="5" t="n">
        <v>0.39</v>
      </c>
      <c r="N847" s="5" t="n">
        <v>0.37</v>
      </c>
    </row>
    <row r="848">
      <c r="A848" t="n">
        <v>847</v>
      </c>
      <c r="B848" t="n">
        <v>2012</v>
      </c>
      <c r="C848" t="inlineStr">
        <is>
          <t>Frankie Hunsberger</t>
        </is>
      </c>
      <c r="D848">
        <f>HYPERLINK("https://ota.tournamentsoftware.com/player-profile/288F03A3-20CB-46BE-B35D-7428B5B7FA35", "Link")</f>
        <v/>
      </c>
      <c r="E848" s="3" t="n">
        <v>5.054</v>
      </c>
      <c r="F848" s="4" t="n">
        <v>2</v>
      </c>
      <c r="G848" t="inlineStr">
        <is>
          <t>British Columbia</t>
        </is>
      </c>
      <c r="H848" t="inlineStr">
        <is>
          <t>North Shore Winter Club</t>
        </is>
      </c>
      <c r="I848" t="n">
        <v>38.6</v>
      </c>
      <c r="J848" s="4" t="n">
        <v>18</v>
      </c>
      <c r="K848" t="inlineStr">
        <is>
          <t>10 / 8</t>
        </is>
      </c>
      <c r="L848" t="inlineStr">
        <is>
          <t>3 / 2</t>
        </is>
      </c>
      <c r="M848" s="5" t="n">
        <v>0.5600000000000001</v>
      </c>
      <c r="N848" s="5" t="n">
        <v>0.6</v>
      </c>
    </row>
    <row r="849">
      <c r="A849" t="n">
        <v>848</v>
      </c>
      <c r="B849" t="n">
        <v>2015</v>
      </c>
      <c r="C849" t="inlineStr">
        <is>
          <t>Cynthia Wang</t>
        </is>
      </c>
      <c r="D849">
        <f>HYPERLINK("https://ota.tournamentsoftware.com/player-profile/C8736B80-1071-4F4F-86B0-CA7FB630F618", "Link")</f>
        <v/>
      </c>
      <c r="E849" s="3" t="n">
        <v>5</v>
      </c>
      <c r="F849" s="4" t="n">
        <v>1</v>
      </c>
      <c r="G849" t="inlineStr">
        <is>
          <t>Ontario Tennis Association</t>
        </is>
      </c>
      <c r="H849" t="inlineStr">
        <is>
          <t>SmartVMC Racquetsports by ACE</t>
        </is>
      </c>
      <c r="I849" t="n">
        <v>37.3</v>
      </c>
      <c r="J849" s="4" t="n">
        <v>3</v>
      </c>
      <c r="K849" t="inlineStr">
        <is>
          <t>0 / 3</t>
        </is>
      </c>
      <c r="L849" t="inlineStr">
        <is>
          <t>0 / 0</t>
        </is>
      </c>
      <c r="M849" s="5" t="n">
        <v>0</v>
      </c>
      <c r="N849" s="5" t="n">
        <v>0</v>
      </c>
    </row>
    <row r="850">
      <c r="A850" t="n">
        <v>848</v>
      </c>
      <c r="B850" t="n">
        <v>2013</v>
      </c>
      <c r="C850" t="inlineStr">
        <is>
          <t>Barbara Li</t>
        </is>
      </c>
      <c r="D850">
        <f>HYPERLINK("https://ota.tournamentsoftware.com/player-profile/FFEAFA99-A203-4A57-A5C8-1E0592A53A81", "Link")</f>
        <v/>
      </c>
      <c r="E850" s="3" t="n">
        <v>5</v>
      </c>
      <c r="F850" s="4" t="n">
        <v>1</v>
      </c>
      <c r="G850" t="inlineStr">
        <is>
          <t>British Columbia</t>
        </is>
      </c>
      <c r="H850" t="inlineStr">
        <is>
          <t>Hollyburn Country Club</t>
        </is>
      </c>
      <c r="I850" t="n">
        <v>39.7</v>
      </c>
      <c r="J850" s="4" t="n">
        <v>13</v>
      </c>
      <c r="K850" t="inlineStr">
        <is>
          <t>3 / 10</t>
        </is>
      </c>
      <c r="L850" t="inlineStr">
        <is>
          <t>0 / 0</t>
        </is>
      </c>
      <c r="M850" s="5" t="n">
        <v>0.23</v>
      </c>
      <c r="N850" s="5" t="n">
        <v>0</v>
      </c>
    </row>
    <row r="851">
      <c r="A851" t="n">
        <v>848</v>
      </c>
      <c r="B851" t="n">
        <v>2014</v>
      </c>
      <c r="C851" t="inlineStr">
        <is>
          <t>Freya Run Rutledge</t>
        </is>
      </c>
      <c r="D851">
        <f>HYPERLINK("https://ota.tournamentsoftware.com/player-profile/76B60137-7272-4F42-A455-109E20840062", "Link")</f>
        <v/>
      </c>
      <c r="E851" s="3" t="n">
        <v>5</v>
      </c>
      <c r="F851" s="4" t="n">
        <v>1</v>
      </c>
      <c r="G851" t="inlineStr">
        <is>
          <t>Ontario Tennis Association</t>
        </is>
      </c>
      <c r="H851" t="inlineStr">
        <is>
          <t>Boulevard Club</t>
        </is>
      </c>
      <c r="I851" t="n">
        <v>34.9</v>
      </c>
      <c r="J851" s="4" t="n">
        <v>14</v>
      </c>
      <c r="K851" t="inlineStr">
        <is>
          <t>0 / 14</t>
        </is>
      </c>
      <c r="L851" t="inlineStr">
        <is>
          <t>0 / 1</t>
        </is>
      </c>
      <c r="M851" s="5" t="n">
        <v>0</v>
      </c>
      <c r="N851" s="5" t="n">
        <v>0</v>
      </c>
    </row>
    <row r="852">
      <c r="A852" t="n">
        <v>848</v>
      </c>
      <c r="B852" t="n">
        <v>2014</v>
      </c>
      <c r="C852" t="inlineStr">
        <is>
          <t>Mackenzie Lee</t>
        </is>
      </c>
      <c r="D852">
        <f>HYPERLINK("https://ota.tournamentsoftware.com/player-profile/7734E749-B5B7-4067-9AE1-B5CB58EFDC1A", "Link")</f>
        <v/>
      </c>
      <c r="E852" s="3" t="n">
        <v>5</v>
      </c>
      <c r="F852" s="4" t="n">
        <v>1</v>
      </c>
      <c r="G852" t="inlineStr">
        <is>
          <t>Ontario Tennis Association</t>
        </is>
      </c>
      <c r="H852" t="inlineStr">
        <is>
          <t>Toronto Lawn Tennis Club</t>
        </is>
      </c>
      <c r="I852" t="inlineStr">
        <is>
          <t>unavailable</t>
        </is>
      </c>
      <c r="J852" s="4" t="n">
        <v>13</v>
      </c>
      <c r="K852" t="inlineStr">
        <is>
          <t>5 / 8</t>
        </is>
      </c>
      <c r="L852" t="inlineStr">
        <is>
          <t>4 / 3</t>
        </is>
      </c>
      <c r="M852" s="5" t="n">
        <v>0.38</v>
      </c>
      <c r="N852" s="5" t="n">
        <v>0.57</v>
      </c>
    </row>
    <row r="853">
      <c r="A853" t="n">
        <v>852</v>
      </c>
      <c r="B853" t="n">
        <v>2015</v>
      </c>
      <c r="C853" t="inlineStr">
        <is>
          <t>Rowan Ferris</t>
        </is>
      </c>
      <c r="D853">
        <f>HYPERLINK("https://ota.tournamentsoftware.com/player-profile/48292DD6-1A8C-41C7-997E-9A5C5BD68EFF", "Link")</f>
        <v/>
      </c>
      <c r="E853" s="3" t="n">
        <v>4.966</v>
      </c>
      <c r="F853" s="4" t="n">
        <v>1</v>
      </c>
      <c r="G853" t="inlineStr">
        <is>
          <t>Tennis Alberta</t>
        </is>
      </c>
      <c r="H853" t="inlineStr">
        <is>
          <t>Medicine Hat Tennis Club</t>
        </is>
      </c>
      <c r="I853" t="n">
        <v>39.4</v>
      </c>
      <c r="J853" s="4" t="n">
        <v>8</v>
      </c>
      <c r="K853" t="inlineStr">
        <is>
          <t>2 / 6</t>
        </is>
      </c>
      <c r="L853" t="inlineStr">
        <is>
          <t>0 / 2</t>
        </is>
      </c>
      <c r="M853" s="5" t="n">
        <v>0.25</v>
      </c>
      <c r="N853" s="5" t="n">
        <v>0</v>
      </c>
    </row>
    <row r="854">
      <c r="A854" t="n">
        <v>853</v>
      </c>
      <c r="B854" t="n">
        <v>2014</v>
      </c>
      <c r="C854" t="inlineStr">
        <is>
          <t>Alicia Januario</t>
        </is>
      </c>
      <c r="D854">
        <f>HYPERLINK("https://ota.tournamentsoftware.com/player-profile/C042725A-21A9-463F-848F-04CEA3B56FE5", "Link")</f>
        <v/>
      </c>
      <c r="E854" s="3" t="n">
        <v>4.927</v>
      </c>
      <c r="F854" s="4" t="n">
        <v>2</v>
      </c>
      <c r="G854" t="inlineStr">
        <is>
          <t>Tennis Québec</t>
        </is>
      </c>
      <c r="H854" t="inlineStr">
        <is>
          <t>No Club</t>
        </is>
      </c>
      <c r="I854" t="n">
        <v>37.7</v>
      </c>
      <c r="J854" s="4" t="n">
        <v>6</v>
      </c>
      <c r="K854" t="inlineStr">
        <is>
          <t>1 / 5</t>
        </is>
      </c>
      <c r="L854" t="inlineStr">
        <is>
          <t>1 / 5</t>
        </is>
      </c>
      <c r="M854" s="5" t="n">
        <v>0.17</v>
      </c>
      <c r="N854" s="5" t="n">
        <v>0.17</v>
      </c>
    </row>
    <row r="855">
      <c r="A855" t="n">
        <v>854</v>
      </c>
      <c r="B855" t="n">
        <v>2014</v>
      </c>
      <c r="C855" t="inlineStr">
        <is>
          <t>Emma Sun</t>
        </is>
      </c>
      <c r="D855">
        <f>HYPERLINK("https://ota.tournamentsoftware.com/player-profile/872E410F-742F-4F80-9387-6C15C73FE92E", "Link")</f>
        <v/>
      </c>
      <c r="E855" s="3" t="n">
        <v>4.806</v>
      </c>
      <c r="F855" s="4" t="n">
        <v>1</v>
      </c>
      <c r="G855" t="inlineStr">
        <is>
          <t>Ontario Tennis Association</t>
        </is>
      </c>
      <c r="H855" t="inlineStr">
        <is>
          <t>Valan Tennis Academy</t>
        </is>
      </c>
      <c r="I855" t="n">
        <v>38.6</v>
      </c>
      <c r="J855" s="4" t="n">
        <v>18</v>
      </c>
      <c r="K855" t="inlineStr">
        <is>
          <t>10 / 8</t>
        </is>
      </c>
      <c r="L855" t="inlineStr">
        <is>
          <t>1 / 1</t>
        </is>
      </c>
      <c r="M855" s="5" t="n">
        <v>0.5600000000000001</v>
      </c>
      <c r="N855" s="5" t="n">
        <v>0.5</v>
      </c>
    </row>
    <row r="856">
      <c r="A856" t="n">
        <v>854</v>
      </c>
      <c r="B856" t="n">
        <v>2014</v>
      </c>
      <c r="C856" t="inlineStr">
        <is>
          <t>Iris Li</t>
        </is>
      </c>
      <c r="D856">
        <f>HYPERLINK("https://ota.tournamentsoftware.com/player-profile/CC36F5CC-203F-4A28-B27C-068A0E15610C", "Link")</f>
        <v/>
      </c>
      <c r="E856" s="3" t="n">
        <v>4.806</v>
      </c>
      <c r="F856" s="4" t="n">
        <v>2</v>
      </c>
      <c r="G856" t="inlineStr">
        <is>
          <t>British Columbia</t>
        </is>
      </c>
      <c r="H856" t="inlineStr">
        <is>
          <t>Coquitlam Tennis Club</t>
        </is>
      </c>
      <c r="I856" t="n">
        <v>39.6</v>
      </c>
      <c r="J856" s="4" t="n">
        <v>37</v>
      </c>
      <c r="K856" t="inlineStr">
        <is>
          <t>11 / 26</t>
        </is>
      </c>
      <c r="L856" t="inlineStr">
        <is>
          <t>2 / 4</t>
        </is>
      </c>
      <c r="M856" s="5" t="n">
        <v>0.3</v>
      </c>
      <c r="N856" s="5" t="n">
        <v>0.33</v>
      </c>
    </row>
    <row r="857">
      <c r="A857" t="n">
        <v>854</v>
      </c>
      <c r="B857" t="n">
        <v>2014</v>
      </c>
      <c r="C857" t="inlineStr">
        <is>
          <t>Hannah Kucherawy</t>
        </is>
      </c>
      <c r="D857">
        <f>HYPERLINK("https://ota.tournamentsoftware.com/player-profile/E2ACD595-E7E5-40E3-935D-57DCECB8E04C", "Link")</f>
        <v/>
      </c>
      <c r="E857" s="3" t="n">
        <v>4.806</v>
      </c>
      <c r="F857" s="4" t="n">
        <v>1</v>
      </c>
      <c r="G857" t="inlineStr">
        <is>
          <t>Ontario Tennis Association</t>
        </is>
      </c>
      <c r="H857" t="inlineStr">
        <is>
          <t>Simcoe Tennis</t>
        </is>
      </c>
      <c r="I857" t="n">
        <v>35.6</v>
      </c>
      <c r="J857" s="4" t="n">
        <v>23</v>
      </c>
      <c r="K857" t="inlineStr">
        <is>
          <t>3 / 20</t>
        </is>
      </c>
      <c r="L857" t="inlineStr">
        <is>
          <t>1 / 1</t>
        </is>
      </c>
      <c r="M857" s="5" t="n">
        <v>0.13</v>
      </c>
      <c r="N857" s="5" t="n">
        <v>0.5</v>
      </c>
    </row>
    <row r="858">
      <c r="A858" t="n">
        <v>854</v>
      </c>
      <c r="B858" t="n">
        <v>2013</v>
      </c>
      <c r="C858" t="inlineStr">
        <is>
          <t>Grâce-David Adzo TRAORÉ</t>
        </is>
      </c>
      <c r="D858">
        <f>HYPERLINK("https://ota.tournamentsoftware.com/player-profile/2A96F5BB-709B-450E-A0CA-0442985A8D03", "Link")</f>
        <v/>
      </c>
      <c r="E858" s="3" t="n">
        <v>4.806</v>
      </c>
      <c r="F858" s="4" t="n">
        <v>1</v>
      </c>
      <c r="G858" t="inlineStr">
        <is>
          <t>Tennis Québec</t>
        </is>
      </c>
      <c r="H858" t="inlineStr">
        <is>
          <t>QC AutreClub</t>
        </is>
      </c>
      <c r="I858" t="inlineStr">
        <is>
          <t>unavailable</t>
        </is>
      </c>
      <c r="J858" s="4" t="n">
        <v>1</v>
      </c>
      <c r="K858" t="inlineStr">
        <is>
          <t>0 / 1</t>
        </is>
      </c>
      <c r="L858" t="inlineStr">
        <is>
          <t>0 / 0</t>
        </is>
      </c>
      <c r="M858" s="5" t="n">
        <v>0</v>
      </c>
      <c r="N858" s="5" t="n">
        <v>0</v>
      </c>
    </row>
    <row r="859">
      <c r="A859" t="n">
        <v>858</v>
      </c>
      <c r="B859" t="n">
        <v>2012</v>
      </c>
      <c r="C859" t="inlineStr">
        <is>
          <t>Katie Elizabeth Furlan</t>
        </is>
      </c>
      <c r="D859">
        <f>HYPERLINK("https://ota.tournamentsoftware.com/player-profile/CB36C2DA-0DAF-44E4-AE44-0A925ED0DFC0", "Link")</f>
        <v/>
      </c>
      <c r="E859" s="3" t="n">
        <v>4.538</v>
      </c>
      <c r="F859" s="4" t="n">
        <v>4</v>
      </c>
      <c r="G859" t="inlineStr">
        <is>
          <t>Tennis Alberta</t>
        </is>
      </c>
      <c r="H859" t="inlineStr">
        <is>
          <t>The Glencoe Club</t>
        </is>
      </c>
      <c r="I859" t="n">
        <v>38.4</v>
      </c>
      <c r="J859" s="4" t="n">
        <v>25</v>
      </c>
      <c r="K859" t="inlineStr">
        <is>
          <t>6 / 19</t>
        </is>
      </c>
      <c r="L859" t="inlineStr">
        <is>
          <t>0 / 2</t>
        </is>
      </c>
      <c r="M859" s="5" t="n">
        <v>0.24</v>
      </c>
      <c r="N859" s="5" t="n">
        <v>0</v>
      </c>
    </row>
    <row r="860">
      <c r="A860" t="n">
        <v>859</v>
      </c>
      <c r="B860" t="n">
        <v>2016</v>
      </c>
      <c r="C860" t="inlineStr">
        <is>
          <t>Michelle Hiu Tung Law</t>
        </is>
      </c>
      <c r="D860">
        <f>HYPERLINK("https://ota.tournamentsoftware.com/player-profile/6B7246D7-C656-43B4-A93A-54E15E04D73D", "Link")</f>
        <v/>
      </c>
      <c r="E860" s="3" t="n">
        <v>4.536</v>
      </c>
      <c r="F860" s="4" t="n">
        <v>8</v>
      </c>
      <c r="G860" t="inlineStr">
        <is>
          <t>Tennis Alberta</t>
        </is>
      </c>
      <c r="H860" t="inlineStr">
        <is>
          <t>Saville Community Sports Centre</t>
        </is>
      </c>
      <c r="I860" t="n">
        <v>38</v>
      </c>
      <c r="J860" s="4" t="n">
        <v>75</v>
      </c>
      <c r="K860" t="inlineStr">
        <is>
          <t>31 / 44</t>
        </is>
      </c>
      <c r="L860" t="inlineStr">
        <is>
          <t>12 / 16</t>
        </is>
      </c>
      <c r="M860" s="5" t="n">
        <v>0.41</v>
      </c>
      <c r="N860" s="5" t="n">
        <v>0.43</v>
      </c>
    </row>
    <row r="861">
      <c r="A861" t="n">
        <v>860</v>
      </c>
      <c r="B861" t="n">
        <v>2012</v>
      </c>
      <c r="C861" t="inlineStr">
        <is>
          <t>Lucia Racquel Deagle</t>
        </is>
      </c>
      <c r="D861">
        <f>HYPERLINK("https://ota.tournamentsoftware.com/player-profile/9262B9F2-035F-451E-8B86-6E98C95AB597", "Link")</f>
        <v/>
      </c>
      <c r="E861" s="3" t="n">
        <v>4.173</v>
      </c>
      <c r="F861" s="4" t="n">
        <v>2</v>
      </c>
      <c r="G861" t="inlineStr">
        <is>
          <t>Tennis Alberta</t>
        </is>
      </c>
      <c r="H861" t="inlineStr">
        <is>
          <t>Aforza</t>
        </is>
      </c>
      <c r="I861" t="n">
        <v>39.2</v>
      </c>
      <c r="J861" s="4" t="n">
        <v>17</v>
      </c>
      <c r="K861" t="inlineStr">
        <is>
          <t>1 / 16</t>
        </is>
      </c>
      <c r="L861" t="inlineStr">
        <is>
          <t>0 / 0</t>
        </is>
      </c>
      <c r="M861" s="5" t="n">
        <v>0.06</v>
      </c>
      <c r="N861" s="5" t="n">
        <v>0</v>
      </c>
    </row>
    <row r="862">
      <c r="A862" t="n">
        <v>861</v>
      </c>
      <c r="B862" t="n">
        <v>2016</v>
      </c>
      <c r="C862" t="inlineStr">
        <is>
          <t>Peiyu(Cici) Li</t>
        </is>
      </c>
      <c r="D862">
        <f>HYPERLINK("https://ota.tournamentsoftware.com/player-profile/C4571297-B444-4579-A011-D24753628021", "Link")</f>
        <v/>
      </c>
      <c r="E862" s="3" t="n">
        <v>4.052</v>
      </c>
      <c r="F862" s="4" t="n">
        <v>6</v>
      </c>
      <c r="G862" t="inlineStr">
        <is>
          <t>Tennis Nova Scotia</t>
        </is>
      </c>
      <c r="H862" t="inlineStr">
        <is>
          <t>Atlantic Tennis Centre</t>
        </is>
      </c>
      <c r="I862" t="n">
        <v>40</v>
      </c>
      <c r="J862" s="4" t="n">
        <v>46</v>
      </c>
      <c r="K862" t="inlineStr">
        <is>
          <t>17 / 29</t>
        </is>
      </c>
      <c r="L862" t="inlineStr">
        <is>
          <t>9 / 19</t>
        </is>
      </c>
      <c r="M862" s="5" t="n">
        <v>0.37</v>
      </c>
      <c r="N862" s="5" t="n">
        <v>0.32</v>
      </c>
    </row>
    <row r="863">
      <c r="A863" t="n">
        <v>862</v>
      </c>
      <c r="B863" t="n">
        <v>2013</v>
      </c>
      <c r="C863" t="inlineStr">
        <is>
          <t>Xi Niu</t>
        </is>
      </c>
      <c r="D863">
        <f>HYPERLINK("https://ota.tournamentsoftware.com/player-profile/B2759B21-5521-4528-9454-D7FF201653DE", "Link")</f>
        <v/>
      </c>
      <c r="E863" s="3" t="n">
        <v>4</v>
      </c>
      <c r="F863" s="4" t="n">
        <v>1</v>
      </c>
      <c r="G863" t="inlineStr">
        <is>
          <t>British Columbia</t>
        </is>
      </c>
      <c r="H863" t="inlineStr">
        <is>
          <t>No Club</t>
        </is>
      </c>
      <c r="I863" t="inlineStr">
        <is>
          <t>unavailable</t>
        </is>
      </c>
      <c r="J863" s="4" t="n">
        <v>3</v>
      </c>
      <c r="K863" t="inlineStr">
        <is>
          <t>0 / 3</t>
        </is>
      </c>
      <c r="L863" t="inlineStr">
        <is>
          <t>0 / 0</t>
        </is>
      </c>
      <c r="M863" s="5" t="n">
        <v>0</v>
      </c>
      <c r="N863" s="5" t="n">
        <v>0</v>
      </c>
    </row>
    <row r="864">
      <c r="A864" t="n">
        <v>862</v>
      </c>
      <c r="B864" t="n">
        <v>2014</v>
      </c>
      <c r="C864" t="inlineStr">
        <is>
          <t>Sophia Jaffer</t>
        </is>
      </c>
      <c r="D864">
        <f>HYPERLINK("https://ota.tournamentsoftware.com/player-profile/264F2E7F-0F8D-4B4E-875F-FAAFDB4E9D43", "Link")</f>
        <v/>
      </c>
      <c r="E864" s="3" t="n">
        <v>4</v>
      </c>
      <c r="F864" s="4" t="n">
        <v>1</v>
      </c>
      <c r="G864" t="inlineStr">
        <is>
          <t>British Columbia</t>
        </is>
      </c>
      <c r="H864" t="inlineStr">
        <is>
          <t>Hollyburn Country Club</t>
        </is>
      </c>
      <c r="I864" t="n">
        <v>38.6</v>
      </c>
      <c r="J864" s="4" t="n">
        <v>17</v>
      </c>
      <c r="K864" t="inlineStr">
        <is>
          <t>6 / 11</t>
        </is>
      </c>
      <c r="L864" t="inlineStr">
        <is>
          <t>6 / 6</t>
        </is>
      </c>
      <c r="M864" s="5" t="n">
        <v>0.35</v>
      </c>
      <c r="N864" s="5" t="n">
        <v>0.5</v>
      </c>
    </row>
    <row r="865">
      <c r="A865" t="n">
        <v>862</v>
      </c>
      <c r="B865" t="n">
        <v>2014</v>
      </c>
      <c r="C865" t="inlineStr">
        <is>
          <t>Sophia Zhao</t>
        </is>
      </c>
      <c r="D865">
        <f>HYPERLINK("https://ota.tournamentsoftware.com/player-profile/388D9D37-AB69-4888-AB07-C709FC6BB450", "Link")</f>
        <v/>
      </c>
      <c r="E865" s="3" t="n">
        <v>4</v>
      </c>
      <c r="F865" s="4" t="n">
        <v>1</v>
      </c>
      <c r="G865" t="inlineStr">
        <is>
          <t>British Columbia</t>
        </is>
      </c>
      <c r="H865" t="inlineStr">
        <is>
          <t>Hollyburn Country Club</t>
        </is>
      </c>
      <c r="I865" t="inlineStr">
        <is>
          <t>unavailable</t>
        </is>
      </c>
      <c r="J865" s="4" t="n">
        <v>3</v>
      </c>
      <c r="K865" t="inlineStr">
        <is>
          <t>0 / 3</t>
        </is>
      </c>
      <c r="L865" t="inlineStr">
        <is>
          <t>0 / 0</t>
        </is>
      </c>
      <c r="M865" s="5" t="n">
        <v>0</v>
      </c>
      <c r="N865" s="5" t="n">
        <v>0</v>
      </c>
    </row>
    <row r="866">
      <c r="A866" t="n">
        <v>865</v>
      </c>
      <c r="B866" t="n">
        <v>2016</v>
      </c>
      <c r="C866" t="inlineStr">
        <is>
          <t>Delia Stoian</t>
        </is>
      </c>
      <c r="D866">
        <f>HYPERLINK("https://ota.tournamentsoftware.com/player-profile/97BF71BC-EF3B-40A8-B2A8-4211E6570024", "Link")</f>
        <v/>
      </c>
      <c r="E866" s="3" t="n">
        <v>3.97</v>
      </c>
      <c r="F866" s="4" t="n">
        <v>1</v>
      </c>
      <c r="G866" t="inlineStr">
        <is>
          <t>Tennis Québec</t>
        </is>
      </c>
      <c r="H866" t="inlineStr">
        <is>
          <t>SANI Sport</t>
        </is>
      </c>
      <c r="I866" t="n">
        <v>37</v>
      </c>
      <c r="J866" s="4" t="n">
        <v>81</v>
      </c>
      <c r="K866" t="inlineStr">
        <is>
          <t>46 / 35</t>
        </is>
      </c>
      <c r="L866" t="inlineStr">
        <is>
          <t>18 / 14</t>
        </is>
      </c>
      <c r="M866" s="5" t="n">
        <v>0.57</v>
      </c>
      <c r="N866" s="5" t="n">
        <v>0.5600000000000001</v>
      </c>
    </row>
    <row r="867">
      <c r="A867" t="n">
        <v>866</v>
      </c>
      <c r="B867" t="n">
        <v>2013</v>
      </c>
      <c r="C867" t="inlineStr">
        <is>
          <t>Vittoria Veronica Noce</t>
        </is>
      </c>
      <c r="D867">
        <f>HYPERLINK("https://ota.tournamentsoftware.com/player-profile/00D388D4-0B24-4339-9B51-BDB96207A30D", "Link")</f>
        <v/>
      </c>
      <c r="E867" s="3" t="n">
        <v>3.889</v>
      </c>
      <c r="F867" s="4" t="n">
        <v>3</v>
      </c>
      <c r="G867" t="inlineStr">
        <is>
          <t>Tennis Alberta</t>
        </is>
      </c>
      <c r="H867" t="inlineStr">
        <is>
          <t>Derrick Golf &amp; Winter Club</t>
        </is>
      </c>
      <c r="I867" t="n">
        <v>37.1</v>
      </c>
      <c r="J867" s="4" t="n">
        <v>51</v>
      </c>
      <c r="K867" t="inlineStr">
        <is>
          <t>13 / 38</t>
        </is>
      </c>
      <c r="L867" t="inlineStr">
        <is>
          <t>3 / 5</t>
        </is>
      </c>
      <c r="M867" s="5" t="n">
        <v>0.25</v>
      </c>
      <c r="N867" s="5" t="n">
        <v>0.38</v>
      </c>
    </row>
    <row r="868">
      <c r="A868" t="n">
        <v>867</v>
      </c>
      <c r="B868" t="n">
        <v>2014</v>
      </c>
      <c r="C868" t="inlineStr">
        <is>
          <t>Yanxi Chen</t>
        </is>
      </c>
      <c r="D868">
        <f>HYPERLINK("https://ota.tournamentsoftware.com/player-profile/E6571B14-6651-4CD3-A420-8263947DBA1E", "Link")</f>
        <v/>
      </c>
      <c r="E868" s="3" t="n">
        <v>3.888</v>
      </c>
      <c r="F868" s="4" t="n">
        <v>1</v>
      </c>
      <c r="G868" t="inlineStr">
        <is>
          <t>British Columbia</t>
        </is>
      </c>
      <c r="H868" t="inlineStr">
        <is>
          <t>West Vancouver Tennis Club</t>
        </is>
      </c>
      <c r="I868" t="n">
        <v>38.6</v>
      </c>
      <c r="J868" s="4" t="n">
        <v>10</v>
      </c>
      <c r="K868" t="inlineStr">
        <is>
          <t>5 / 5</t>
        </is>
      </c>
      <c r="L868" t="inlineStr">
        <is>
          <t>3 / 3</t>
        </is>
      </c>
      <c r="M868" s="5" t="n">
        <v>0.5</v>
      </c>
      <c r="N868" s="5" t="n">
        <v>0.5</v>
      </c>
    </row>
    <row r="869">
      <c r="A869" t="n">
        <v>867</v>
      </c>
      <c r="B869" t="n">
        <v>2017</v>
      </c>
      <c r="C869" t="inlineStr">
        <is>
          <t>Nysa Iyer</t>
        </is>
      </c>
      <c r="D869">
        <f>HYPERLINK("https://ota.tournamentsoftware.com/player-profile/7133F3A1-6724-4B35-BBF9-2DFB20E0D933", "Link")</f>
        <v/>
      </c>
      <c r="E869" s="3" t="n">
        <v>3.888</v>
      </c>
      <c r="F869" s="4" t="n">
        <v>3</v>
      </c>
      <c r="G869" t="inlineStr">
        <is>
          <t>Tennis Alberta</t>
        </is>
      </c>
      <c r="H869" t="inlineStr">
        <is>
          <t>No Club</t>
        </is>
      </c>
      <c r="I869" t="n">
        <v>38.1</v>
      </c>
      <c r="J869" s="4" t="n">
        <v>65</v>
      </c>
      <c r="K869" t="inlineStr">
        <is>
          <t>32 / 33</t>
        </is>
      </c>
      <c r="L869" t="inlineStr">
        <is>
          <t>15 / 12</t>
        </is>
      </c>
      <c r="M869" s="5" t="n">
        <v>0.49</v>
      </c>
      <c r="N869" s="5" t="n">
        <v>0.5600000000000001</v>
      </c>
    </row>
    <row r="870">
      <c r="A870" t="n">
        <v>867</v>
      </c>
      <c r="B870" t="n">
        <v>2015</v>
      </c>
      <c r="C870" t="inlineStr">
        <is>
          <t>Maya Clara Shakra</t>
        </is>
      </c>
      <c r="D870">
        <f>HYPERLINK("https://ota.tournamentsoftware.com/player-profile/50FA5A17-1808-42C0-B8C3-34766E9151A2", "Link")</f>
        <v/>
      </c>
      <c r="E870" s="3" t="n">
        <v>3.888</v>
      </c>
      <c r="F870" s="4" t="n">
        <v>1</v>
      </c>
      <c r="G870" t="inlineStr">
        <is>
          <t>Ontario Tennis Association</t>
        </is>
      </c>
      <c r="H870" t="inlineStr">
        <is>
          <t>Toronto Tennis Academy</t>
        </is>
      </c>
      <c r="I870" t="inlineStr">
        <is>
          <t>unavailable</t>
        </is>
      </c>
      <c r="J870" s="4" t="n">
        <v>41</v>
      </c>
      <c r="K870" t="inlineStr">
        <is>
          <t>12 / 29</t>
        </is>
      </c>
      <c r="L870" t="inlineStr">
        <is>
          <t>1 / 5</t>
        </is>
      </c>
      <c r="M870" s="5" t="n">
        <v>0.29</v>
      </c>
      <c r="N870" s="5" t="n">
        <v>0.17</v>
      </c>
    </row>
    <row r="871">
      <c r="A871" t="n">
        <v>867</v>
      </c>
      <c r="B871" t="n">
        <v>2013</v>
      </c>
      <c r="C871" t="inlineStr">
        <is>
          <t>Amy Duo</t>
        </is>
      </c>
      <c r="D871">
        <f>HYPERLINK("https://ota.tournamentsoftware.com/player-profile/71495656-F9AD-402C-B368-62609F5D70B9", "Link")</f>
        <v/>
      </c>
      <c r="E871" s="3" t="n">
        <v>3.888</v>
      </c>
      <c r="F871" s="4" t="n">
        <v>1</v>
      </c>
      <c r="G871" t="inlineStr">
        <is>
          <t>British Columbia</t>
        </is>
      </c>
      <c r="H871" t="inlineStr">
        <is>
          <t>North Shore Winter Club</t>
        </is>
      </c>
      <c r="I871" t="inlineStr">
        <is>
          <t>unavailable</t>
        </is>
      </c>
      <c r="J871" s="4" t="n">
        <v>29</v>
      </c>
      <c r="K871" t="inlineStr">
        <is>
          <t>10 / 19</t>
        </is>
      </c>
      <c r="L871" t="inlineStr">
        <is>
          <t>2 / 2</t>
        </is>
      </c>
      <c r="M871" s="5" t="n">
        <v>0.34</v>
      </c>
      <c r="N871" s="5" t="n">
        <v>0.5</v>
      </c>
    </row>
    <row r="872">
      <c r="A872" t="n">
        <v>867</v>
      </c>
      <c r="B872" t="n">
        <v>2015</v>
      </c>
      <c r="C872" t="inlineStr">
        <is>
          <t>JIAYI LIN</t>
        </is>
      </c>
      <c r="D872">
        <f>HYPERLINK("https://ota.tournamentsoftware.com/player-profile/9025A036-DFDA-4A69-B03F-EEE43D14A3C3", "Link")</f>
        <v/>
      </c>
      <c r="E872" s="3" t="n">
        <v>3.888</v>
      </c>
      <c r="F872" s="4" t="n">
        <v>1</v>
      </c>
      <c r="G872" t="inlineStr">
        <is>
          <t>Ontario Tennis Association</t>
        </is>
      </c>
      <c r="H872" t="inlineStr">
        <is>
          <t>Mayfair Parkway Racquet Club</t>
        </is>
      </c>
      <c r="I872" t="n">
        <v>39.5</v>
      </c>
      <c r="J872" s="4" t="n">
        <v>2</v>
      </c>
      <c r="K872" t="inlineStr">
        <is>
          <t>0 / 2</t>
        </is>
      </c>
      <c r="L872" t="inlineStr">
        <is>
          <t>0 / 2</t>
        </is>
      </c>
      <c r="M872" s="5" t="n">
        <v>0</v>
      </c>
      <c r="N872" s="5" t="n">
        <v>0</v>
      </c>
    </row>
    <row r="873">
      <c r="A873" t="n">
        <v>867</v>
      </c>
      <c r="B873" t="n">
        <v>2016</v>
      </c>
      <c r="C873" t="inlineStr">
        <is>
          <t>Yuxuan Niu</t>
        </is>
      </c>
      <c r="D873">
        <f>HYPERLINK("https://ota.tournamentsoftware.com/player-profile/49C2723D-DBBA-48CA-B20D-69A550E45FB4", "Link")</f>
        <v/>
      </c>
      <c r="E873" s="3" t="n">
        <v>3.888</v>
      </c>
      <c r="F873" s="4" t="n">
        <v>1</v>
      </c>
      <c r="G873" t="inlineStr">
        <is>
          <t>Ontario Tennis Association</t>
        </is>
      </c>
      <c r="H873" t="inlineStr">
        <is>
          <t>Premier Racquet Clubs – Mississauga</t>
        </is>
      </c>
      <c r="I873" t="inlineStr">
        <is>
          <t>unavailable</t>
        </is>
      </c>
      <c r="J873" s="4" t="n">
        <v>19</v>
      </c>
      <c r="K873" t="inlineStr">
        <is>
          <t>13 / 6</t>
        </is>
      </c>
      <c r="L873" t="inlineStr">
        <is>
          <t>13 / 6</t>
        </is>
      </c>
      <c r="M873" s="5" t="n">
        <v>0.68</v>
      </c>
      <c r="N873" s="5" t="n">
        <v>0.68</v>
      </c>
    </row>
    <row r="874">
      <c r="A874" t="n">
        <v>867</v>
      </c>
      <c r="B874" t="n">
        <v>2015</v>
      </c>
      <c r="C874" t="inlineStr">
        <is>
          <t>Olivia Franchi</t>
        </is>
      </c>
      <c r="D874">
        <f>HYPERLINK("https://ota.tournamentsoftware.com/player-profile/71DEE53D-92D1-4C5D-A9AE-0F02860DD189", "Link")</f>
        <v/>
      </c>
      <c r="E874" s="3" t="n">
        <v>3.888</v>
      </c>
      <c r="F874" s="4" t="n">
        <v>1</v>
      </c>
      <c r="G874" t="inlineStr">
        <is>
          <t>Ontario Tennis Association</t>
        </is>
      </c>
      <c r="H874" t="inlineStr">
        <is>
          <t>Barrie North Winter Tennis</t>
        </is>
      </c>
      <c r="I874" t="n">
        <v>37.6</v>
      </c>
      <c r="J874" s="4" t="n">
        <v>14</v>
      </c>
      <c r="K874" t="inlineStr">
        <is>
          <t>0 / 14</t>
        </is>
      </c>
      <c r="L874" t="inlineStr">
        <is>
          <t>0 / 2</t>
        </is>
      </c>
      <c r="M874" s="5" t="n">
        <v>0</v>
      </c>
      <c r="N874" s="5" t="n">
        <v>0</v>
      </c>
    </row>
    <row r="875">
      <c r="A875" t="n">
        <v>874</v>
      </c>
      <c r="B875" t="n">
        <v>2014</v>
      </c>
      <c r="C875" t="inlineStr">
        <is>
          <t>Charlotte Lanthier</t>
        </is>
      </c>
      <c r="D875">
        <f>HYPERLINK("https://ota.tournamentsoftware.com/player-profile/930A92EC-BBE2-40FD-8684-CB6F18EAD19A", "Link")</f>
        <v/>
      </c>
      <c r="E875" s="3" t="n">
        <v>3.758</v>
      </c>
      <c r="F875" s="4" t="n">
        <v>5</v>
      </c>
      <c r="G875" t="inlineStr">
        <is>
          <t>Tennis Québec</t>
        </is>
      </c>
      <c r="H875" t="inlineStr">
        <is>
          <t>EB Tennis inc.</t>
        </is>
      </c>
      <c r="I875" t="n">
        <v>39.6</v>
      </c>
      <c r="J875" s="4" t="n">
        <v>6</v>
      </c>
      <c r="K875" t="inlineStr">
        <is>
          <t>0 / 6</t>
        </is>
      </c>
      <c r="L875" t="inlineStr">
        <is>
          <t>0 / 4</t>
        </is>
      </c>
      <c r="M875" s="5" t="n">
        <v>0</v>
      </c>
      <c r="N875" s="5" t="n">
        <v>0</v>
      </c>
    </row>
    <row r="876">
      <c r="A876" t="n">
        <v>874</v>
      </c>
      <c r="B876" t="n">
        <v>2015</v>
      </c>
      <c r="C876" t="inlineStr">
        <is>
          <t>Tamara Skayem</t>
        </is>
      </c>
      <c r="D876">
        <f>HYPERLINK("https://ota.tournamentsoftware.com/player-profile/C90206C3-DC6E-4BE3-938F-C8608F20CDD6", "Link")</f>
        <v/>
      </c>
      <c r="E876" s="3" t="n">
        <v>3.758</v>
      </c>
      <c r="F876" s="4" t="n">
        <v>1</v>
      </c>
      <c r="G876" t="inlineStr">
        <is>
          <t>Tennis Québec</t>
        </is>
      </c>
      <c r="H876" t="inlineStr">
        <is>
          <t>No Club</t>
        </is>
      </c>
      <c r="I876" t="inlineStr">
        <is>
          <t>unavailable</t>
        </is>
      </c>
      <c r="J876" s="4" t="n">
        <v>0</v>
      </c>
      <c r="K876" t="inlineStr">
        <is>
          <t>0 / 0</t>
        </is>
      </c>
      <c r="L876" t="inlineStr">
        <is>
          <t>0 / 0</t>
        </is>
      </c>
      <c r="M876" s="5" t="n">
        <v>0</v>
      </c>
      <c r="N876" s="5" t="n">
        <v>0</v>
      </c>
    </row>
    <row r="877">
      <c r="A877" t="n">
        <v>876</v>
      </c>
      <c r="B877" t="n">
        <v>2014</v>
      </c>
      <c r="C877" t="inlineStr">
        <is>
          <t>Kaira Ankit Arora</t>
        </is>
      </c>
      <c r="D877">
        <f>HYPERLINK("https://ota.tournamentsoftware.com/player-profile/48CDC473-6B50-4781-BB3F-2B72F12C6320", "Link")</f>
        <v/>
      </c>
      <c r="E877" s="3" t="n">
        <v>3.629</v>
      </c>
      <c r="F877" s="4" t="n">
        <v>1</v>
      </c>
      <c r="G877" t="inlineStr">
        <is>
          <t>Ontario Tennis Association</t>
        </is>
      </c>
      <c r="H877" t="inlineStr">
        <is>
          <t>Mohawk Tennis Club</t>
        </is>
      </c>
      <c r="I877" t="n">
        <v>39.1</v>
      </c>
      <c r="J877" s="4" t="n">
        <v>23</v>
      </c>
      <c r="K877" t="inlineStr">
        <is>
          <t>2 / 21</t>
        </is>
      </c>
      <c r="L877" t="inlineStr">
        <is>
          <t>0 / 0</t>
        </is>
      </c>
      <c r="M877" s="5" t="n">
        <v>0.09</v>
      </c>
      <c r="N877" s="5" t="n">
        <v>0</v>
      </c>
    </row>
    <row r="878">
      <c r="A878" t="n">
        <v>876</v>
      </c>
      <c r="B878" t="n">
        <v>2013</v>
      </c>
      <c r="C878" t="inlineStr">
        <is>
          <t>Apphia Anderson</t>
        </is>
      </c>
      <c r="D878">
        <f>HYPERLINK("https://ota.tournamentsoftware.com/player-profile/557E4D67-D9E9-47B3-800F-DB2194C8FCA3", "Link")</f>
        <v/>
      </c>
      <c r="E878" s="3" t="n">
        <v>3.629</v>
      </c>
      <c r="F878" s="4" t="n">
        <v>2</v>
      </c>
      <c r="G878" t="inlineStr">
        <is>
          <t>Tennis Alberta</t>
        </is>
      </c>
      <c r="H878" t="inlineStr">
        <is>
          <t>No Club</t>
        </is>
      </c>
      <c r="I878" t="inlineStr">
        <is>
          <t>unavailable</t>
        </is>
      </c>
      <c r="J878" s="4" t="n">
        <v>3</v>
      </c>
      <c r="K878" t="inlineStr">
        <is>
          <t>0 / 3</t>
        </is>
      </c>
      <c r="L878" t="inlineStr">
        <is>
          <t>0 / 3</t>
        </is>
      </c>
      <c r="M878" s="5" t="n">
        <v>0</v>
      </c>
      <c r="N878" s="5" t="n">
        <v>0</v>
      </c>
    </row>
    <row r="879">
      <c r="A879" t="n">
        <v>876</v>
      </c>
      <c r="B879" t="n">
        <v>2014</v>
      </c>
      <c r="C879" t="inlineStr">
        <is>
          <t>Cindy Chai</t>
        </is>
      </c>
      <c r="D879">
        <f>HYPERLINK("https://ota.tournamentsoftware.com/player-profile/1777FA49-1C9D-4D7D-AF29-8B5B024F1F30", "Link")</f>
        <v/>
      </c>
      <c r="E879" s="3" t="n">
        <v>3.629</v>
      </c>
      <c r="F879" s="4" t="n">
        <v>1</v>
      </c>
      <c r="G879" t="inlineStr">
        <is>
          <t>Ontario Tennis Association</t>
        </is>
      </c>
      <c r="H879" t="inlineStr">
        <is>
          <t>Ontario Racquet Club</t>
        </is>
      </c>
      <c r="I879" t="inlineStr">
        <is>
          <t>unavailable</t>
        </is>
      </c>
      <c r="J879" s="4" t="n">
        <v>8</v>
      </c>
      <c r="K879" t="inlineStr">
        <is>
          <t>3 / 5</t>
        </is>
      </c>
      <c r="L879" t="inlineStr">
        <is>
          <t>3 / 3</t>
        </is>
      </c>
      <c r="M879" s="5" t="n">
        <v>0.38</v>
      </c>
      <c r="N879" s="5" t="n">
        <v>0.5</v>
      </c>
    </row>
    <row r="880">
      <c r="A880" t="n">
        <v>879</v>
      </c>
      <c r="B880" t="n">
        <v>2015</v>
      </c>
      <c r="C880" t="inlineStr">
        <is>
          <t>Lea Youssef</t>
        </is>
      </c>
      <c r="D880">
        <f>HYPERLINK("https://ota.tournamentsoftware.com/player-profile/DC3DBF03-8EF5-4959-B08E-EE226DB25DE6", "Link")</f>
        <v/>
      </c>
      <c r="E880" s="3" t="n">
        <v>3.471</v>
      </c>
      <c r="F880" s="4" t="n">
        <v>1</v>
      </c>
      <c r="G880" t="inlineStr">
        <is>
          <t>Tennis Québec</t>
        </is>
      </c>
      <c r="H880" t="inlineStr">
        <is>
          <t>Tennis 13</t>
        </is>
      </c>
      <c r="I880" t="inlineStr">
        <is>
          <t>unavailable</t>
        </is>
      </c>
      <c r="J880" s="4" t="n">
        <v>2</v>
      </c>
      <c r="K880" t="inlineStr">
        <is>
          <t>0 / 2</t>
        </is>
      </c>
      <c r="L880" t="inlineStr">
        <is>
          <t>0 / 2</t>
        </is>
      </c>
      <c r="M880" s="5" t="n">
        <v>0</v>
      </c>
      <c r="N880" s="5" t="n">
        <v>0</v>
      </c>
    </row>
    <row r="881">
      <c r="A881" t="n">
        <v>880</v>
      </c>
      <c r="B881" t="n">
        <v>2012</v>
      </c>
      <c r="C881" t="inlineStr">
        <is>
          <t>Hannah Grace Burrows</t>
        </is>
      </c>
      <c r="D881">
        <f>HYPERLINK("https://ota.tournamentsoftware.com/player-profile/A4FFA0A4-EAE7-43E6-AF92-E22114BE5D8B", "Link")</f>
        <v/>
      </c>
      <c r="E881" s="3" t="n">
        <v>3.421</v>
      </c>
      <c r="F881" s="4" t="n">
        <v>2</v>
      </c>
      <c r="G881" t="inlineStr">
        <is>
          <t>Tennis Alberta</t>
        </is>
      </c>
      <c r="H881" t="inlineStr">
        <is>
          <t>The Glencoe Club</t>
        </is>
      </c>
      <c r="I881" t="n">
        <v>38.8</v>
      </c>
      <c r="J881" s="4" t="n">
        <v>28</v>
      </c>
      <c r="K881" t="inlineStr">
        <is>
          <t>6 / 22</t>
        </is>
      </c>
      <c r="L881" t="inlineStr">
        <is>
          <t>0 / 2</t>
        </is>
      </c>
      <c r="M881" s="5" t="n">
        <v>0.21</v>
      </c>
      <c r="N881" s="5" t="n">
        <v>0</v>
      </c>
    </row>
    <row r="882">
      <c r="A882" t="n">
        <v>881</v>
      </c>
      <c r="B882" t="n">
        <v>2016</v>
      </c>
      <c r="C882" t="inlineStr">
        <is>
          <t>Jaclyn Zhang</t>
        </is>
      </c>
      <c r="D882">
        <f>HYPERLINK("https://ota.tournamentsoftware.com/player-profile/E6E9780C-ACDE-4CFD-B134-4984C266BCEB", "Link")</f>
        <v/>
      </c>
      <c r="E882" s="3" t="n">
        <v>3.24</v>
      </c>
      <c r="F882" s="4" t="n">
        <v>3</v>
      </c>
      <c r="G882" t="inlineStr">
        <is>
          <t>British Columbia</t>
        </is>
      </c>
      <c r="H882" t="inlineStr">
        <is>
          <t>UBC Tennis Centre</t>
        </is>
      </c>
      <c r="I882" t="n">
        <v>39.1</v>
      </c>
      <c r="J882" s="4" t="n">
        <v>71</v>
      </c>
      <c r="K882" t="inlineStr">
        <is>
          <t>42 / 29</t>
        </is>
      </c>
      <c r="L882" t="inlineStr">
        <is>
          <t>16 / 17</t>
        </is>
      </c>
      <c r="M882" s="5" t="n">
        <v>0.59</v>
      </c>
      <c r="N882" s="5" t="n">
        <v>0.48</v>
      </c>
    </row>
    <row r="883">
      <c r="A883" t="n">
        <v>882</v>
      </c>
      <c r="B883" t="n">
        <v>2015</v>
      </c>
      <c r="C883" t="inlineStr">
        <is>
          <t>Ruhi Juneja</t>
        </is>
      </c>
      <c r="D883">
        <f>HYPERLINK("https://ota.tournamentsoftware.com/player-profile/E7A03006-4960-4A35-8B80-22CB122EB413", "Link")</f>
        <v/>
      </c>
      <c r="E883" s="3" t="n">
        <v>3.165</v>
      </c>
      <c r="F883" s="4" t="n">
        <v>4</v>
      </c>
      <c r="G883" t="inlineStr">
        <is>
          <t>Tennis Alberta</t>
        </is>
      </c>
      <c r="H883" t="inlineStr">
        <is>
          <t>IQ Tennis and Pickleball Centre</t>
        </is>
      </c>
      <c r="I883" t="n">
        <v>40</v>
      </c>
      <c r="J883" s="4" t="n">
        <v>7</v>
      </c>
      <c r="K883" t="inlineStr">
        <is>
          <t>1 / 6</t>
        </is>
      </c>
      <c r="L883" t="inlineStr">
        <is>
          <t>1 / 6</t>
        </is>
      </c>
      <c r="M883" s="5" t="n">
        <v>0.14</v>
      </c>
      <c r="N883" s="5" t="n">
        <v>0.14</v>
      </c>
    </row>
    <row r="884">
      <c r="A884" t="n">
        <v>883</v>
      </c>
      <c r="B884" t="n">
        <v>2014</v>
      </c>
      <c r="C884" t="inlineStr">
        <is>
          <t>Amaara Bhardwaj</t>
        </is>
      </c>
      <c r="D884">
        <f>HYPERLINK("https://ota.tournamentsoftware.com/player-profile/5E30A7A6-4E75-4094-9C50-E36BC2D57510", "Link")</f>
        <v/>
      </c>
      <c r="E884" s="3" t="n">
        <v>3.098</v>
      </c>
      <c r="F884" s="4" t="n">
        <v>1</v>
      </c>
      <c r="G884" t="inlineStr">
        <is>
          <t>British Columbia</t>
        </is>
      </c>
      <c r="H884" t="inlineStr">
        <is>
          <t>No Club</t>
        </is>
      </c>
      <c r="I884" t="n">
        <v>39.7</v>
      </c>
      <c r="J884" s="4" t="n">
        <v>15</v>
      </c>
      <c r="K884" t="inlineStr">
        <is>
          <t>7 / 8</t>
        </is>
      </c>
      <c r="L884" t="inlineStr">
        <is>
          <t>0 / 2</t>
        </is>
      </c>
      <c r="M884" s="5" t="n">
        <v>0.47</v>
      </c>
      <c r="N884" s="5" t="n">
        <v>0</v>
      </c>
    </row>
    <row r="885">
      <c r="A885" t="n">
        <v>884</v>
      </c>
      <c r="B885" t="n">
        <v>2014</v>
      </c>
      <c r="C885" t="inlineStr">
        <is>
          <t>Arianna Shiyong Zhang</t>
        </is>
      </c>
      <c r="D885">
        <f>HYPERLINK("https://ota.tournamentsoftware.com/player-profile/534D64C5-0604-4070-B56D-0E5A49B9F850", "Link")</f>
        <v/>
      </c>
      <c r="E885" s="3" t="n">
        <v>3.075</v>
      </c>
      <c r="F885" s="4" t="n">
        <v>1</v>
      </c>
      <c r="G885" t="inlineStr">
        <is>
          <t>British Columbia</t>
        </is>
      </c>
      <c r="H885" t="inlineStr">
        <is>
          <t>Hollyburn Country Club</t>
        </is>
      </c>
      <c r="I885" t="inlineStr">
        <is>
          <t>unavailable</t>
        </is>
      </c>
      <c r="J885" s="4" t="n">
        <v>34</v>
      </c>
      <c r="K885" t="inlineStr">
        <is>
          <t>13 / 21</t>
        </is>
      </c>
      <c r="L885" t="inlineStr">
        <is>
          <t>0 / 0</t>
        </is>
      </c>
      <c r="M885" s="5" t="n">
        <v>0.38</v>
      </c>
      <c r="N885" s="5" t="n">
        <v>0</v>
      </c>
    </row>
    <row r="886">
      <c r="A886" t="n">
        <v>885</v>
      </c>
      <c r="B886" t="n">
        <v>2014</v>
      </c>
      <c r="C886" t="inlineStr">
        <is>
          <t>Evelyn Jewell Rautenbach</t>
        </is>
      </c>
      <c r="D886">
        <f>HYPERLINK("https://ota.tournamentsoftware.com/player-profile/867F5D6A-BB9A-4FEB-A95E-565609563C13", "Link")</f>
        <v/>
      </c>
      <c r="E886" s="3" t="n">
        <v>2.618</v>
      </c>
      <c r="F886" s="4" t="n">
        <v>2</v>
      </c>
      <c r="G886" t="inlineStr">
        <is>
          <t>Tennis Alberta</t>
        </is>
      </c>
      <c r="H886" t="inlineStr">
        <is>
          <t>The Glencoe Club</t>
        </is>
      </c>
      <c r="I886" t="n">
        <v>36.6</v>
      </c>
      <c r="J886" s="4" t="n">
        <v>34</v>
      </c>
      <c r="K886" t="inlineStr">
        <is>
          <t>14 / 20</t>
        </is>
      </c>
      <c r="L886" t="inlineStr">
        <is>
          <t>1 / 1</t>
        </is>
      </c>
      <c r="M886" s="5" t="n">
        <v>0.41</v>
      </c>
      <c r="N886" s="5" t="n">
        <v>0.5</v>
      </c>
    </row>
    <row r="887">
      <c r="A887" t="n">
        <v>886</v>
      </c>
      <c r="B887" t="n">
        <v>2014</v>
      </c>
      <c r="C887" t="inlineStr">
        <is>
          <t>Frances Fletcher</t>
        </is>
      </c>
      <c r="D887">
        <f>HYPERLINK("https://ota.tournamentsoftware.com/player-profile/67CBECB7-306E-4C07-AB72-7C9F967F74F1", "Link")</f>
        <v/>
      </c>
      <c r="E887" s="3" t="n">
        <v>2.431</v>
      </c>
      <c r="F887" s="4" t="n">
        <v>2</v>
      </c>
      <c r="G887" t="inlineStr">
        <is>
          <t>Tennis Québec</t>
        </is>
      </c>
      <c r="H887" t="inlineStr">
        <is>
          <t>Club Sportif Côte-de-Liesse</t>
        </is>
      </c>
      <c r="I887" t="n">
        <v>37.8</v>
      </c>
      <c r="J887" s="4" t="n">
        <v>3</v>
      </c>
      <c r="K887" t="inlineStr">
        <is>
          <t>1 / 2</t>
        </is>
      </c>
      <c r="L887" t="inlineStr">
        <is>
          <t>1 / 2</t>
        </is>
      </c>
      <c r="M887" s="5" t="n">
        <v>0.33</v>
      </c>
      <c r="N887" s="5" t="n">
        <v>0.33</v>
      </c>
    </row>
    <row r="888">
      <c r="A888" t="n">
        <v>887</v>
      </c>
      <c r="B888" t="n">
        <v>2016</v>
      </c>
      <c r="C888" t="inlineStr">
        <is>
          <t>Ella Luo</t>
        </is>
      </c>
      <c r="D888">
        <f>HYPERLINK("https://ota.tournamentsoftware.com/player-profile/3031CAE1-D7FD-42C8-B04F-2247B30476FE", "Link")</f>
        <v/>
      </c>
      <c r="E888" s="3" t="n">
        <v>2.419</v>
      </c>
      <c r="F888" s="4" t="n">
        <v>2</v>
      </c>
      <c r="G888" t="inlineStr">
        <is>
          <t>Tennis Alberta</t>
        </is>
      </c>
      <c r="H888" t="inlineStr">
        <is>
          <t>Saville Community Sports Centre</t>
        </is>
      </c>
      <c r="I888" t="n">
        <v>38.5</v>
      </c>
      <c r="J888" s="4" t="n">
        <v>28</v>
      </c>
      <c r="K888" t="inlineStr">
        <is>
          <t>11 / 17</t>
        </is>
      </c>
      <c r="L888" t="inlineStr">
        <is>
          <t>11 / 13</t>
        </is>
      </c>
      <c r="M888" s="5" t="n">
        <v>0.39</v>
      </c>
      <c r="N888" s="5" t="n">
        <v>0.46</v>
      </c>
    </row>
    <row r="889">
      <c r="A889" t="n">
        <v>888</v>
      </c>
      <c r="B889" t="n">
        <v>2014</v>
      </c>
      <c r="C889" t="inlineStr">
        <is>
          <t>Danika Masi</t>
        </is>
      </c>
      <c r="D889">
        <f>HYPERLINK("https://ota.tournamentsoftware.com/player-profile/9FA580FC-05F1-4060-AF06-7AAC23F8ED24", "Link")</f>
        <v/>
      </c>
      <c r="E889" s="3" t="n">
        <v>2.403</v>
      </c>
      <c r="F889" s="4" t="n">
        <v>1</v>
      </c>
      <c r="G889" t="inlineStr">
        <is>
          <t>British Columbia</t>
        </is>
      </c>
      <c r="H889" t="inlineStr">
        <is>
          <t>Suncoast Racquet Club</t>
        </is>
      </c>
      <c r="I889" t="n">
        <v>39.3</v>
      </c>
      <c r="J889" s="4" t="n">
        <v>26</v>
      </c>
      <c r="K889" t="inlineStr">
        <is>
          <t>17 / 9</t>
        </is>
      </c>
      <c r="L889" t="inlineStr">
        <is>
          <t>9 / 2</t>
        </is>
      </c>
      <c r="M889" s="5" t="n">
        <v>0.65</v>
      </c>
      <c r="N889" s="5" t="n">
        <v>0.82</v>
      </c>
    </row>
    <row r="890">
      <c r="A890" t="n">
        <v>888</v>
      </c>
      <c r="B890" t="n">
        <v>2015</v>
      </c>
      <c r="C890" t="inlineStr">
        <is>
          <t>Claire Sattar</t>
        </is>
      </c>
      <c r="D890">
        <f>HYPERLINK("https://ota.tournamentsoftware.com/player-profile/F9E336C7-A13D-430E-A056-C66EFFC2A0D5", "Link")</f>
        <v/>
      </c>
      <c r="E890" s="3" t="n">
        <v>2.403</v>
      </c>
      <c r="F890" s="4" t="n">
        <v>3</v>
      </c>
      <c r="G890" t="inlineStr">
        <is>
          <t>British Columbia</t>
        </is>
      </c>
      <c r="H890" t="inlineStr">
        <is>
          <t>Great West Fitness and Racquets Club</t>
        </is>
      </c>
      <c r="I890" t="inlineStr">
        <is>
          <t>unavailable</t>
        </is>
      </c>
      <c r="J890" s="4" t="n">
        <v>36</v>
      </c>
      <c r="K890" t="inlineStr">
        <is>
          <t>10 / 26</t>
        </is>
      </c>
      <c r="L890" t="inlineStr">
        <is>
          <t>0 / 2</t>
        </is>
      </c>
      <c r="M890" s="5" t="n">
        <v>0.28</v>
      </c>
      <c r="N890" s="5" t="n">
        <v>0</v>
      </c>
    </row>
    <row r="891">
      <c r="A891" t="n">
        <v>890</v>
      </c>
      <c r="B891" t="n">
        <v>2015</v>
      </c>
      <c r="C891" t="inlineStr">
        <is>
          <t>Alison Kao</t>
        </is>
      </c>
      <c r="D891">
        <f>HYPERLINK("https://ota.tournamentsoftware.com/player-profile/BAEC89E7-F54C-49F7-AA56-227606797D02", "Link")</f>
        <v/>
      </c>
      <c r="E891" s="3" t="n">
        <v>2.333</v>
      </c>
      <c r="F891" s="4" t="n">
        <v>2</v>
      </c>
      <c r="G891" t="inlineStr">
        <is>
          <t>Tennis Alberta</t>
        </is>
      </c>
      <c r="H891" t="inlineStr">
        <is>
          <t>Osten &amp; Victor Alberta Tennis Centre</t>
        </is>
      </c>
      <c r="I891" t="n">
        <v>39.8</v>
      </c>
      <c r="J891" s="4" t="n">
        <v>35</v>
      </c>
      <c r="K891" t="inlineStr">
        <is>
          <t>15 / 20</t>
        </is>
      </c>
      <c r="L891" t="inlineStr">
        <is>
          <t>5 / 5</t>
        </is>
      </c>
      <c r="M891" s="5" t="n">
        <v>0.43</v>
      </c>
      <c r="N891" s="5" t="n">
        <v>0.5</v>
      </c>
    </row>
    <row r="892">
      <c r="A892" t="n">
        <v>891</v>
      </c>
      <c r="B892" t="n">
        <v>2015</v>
      </c>
      <c r="C892" t="inlineStr">
        <is>
          <t>Mischa Simone Teotico</t>
        </is>
      </c>
      <c r="D892">
        <f>HYPERLINK("https://ota.tournamentsoftware.com/player-profile/E41BBBEF-6912-4E0D-BF5C-BBB0CBC74249", "Link")</f>
        <v/>
      </c>
      <c r="E892" s="3" t="n">
        <v>2.203</v>
      </c>
      <c r="F892" s="4" t="n">
        <v>5</v>
      </c>
      <c r="G892" t="inlineStr">
        <is>
          <t>Tennis Alberta</t>
        </is>
      </c>
      <c r="H892" t="inlineStr">
        <is>
          <t>Aforza</t>
        </is>
      </c>
      <c r="I892" t="n">
        <v>39.2</v>
      </c>
      <c r="J892" s="4" t="n">
        <v>60</v>
      </c>
      <c r="K892" t="inlineStr">
        <is>
          <t>13 / 47</t>
        </is>
      </c>
      <c r="L892" t="inlineStr">
        <is>
          <t>0 / 2</t>
        </is>
      </c>
      <c r="M892" s="5" t="n">
        <v>0.22</v>
      </c>
      <c r="N892" s="5" t="n">
        <v>0</v>
      </c>
    </row>
    <row r="893">
      <c r="A893" t="n">
        <v>892</v>
      </c>
      <c r="B893" t="n">
        <v>2014</v>
      </c>
      <c r="C893" t="inlineStr">
        <is>
          <t>Mia Tan</t>
        </is>
      </c>
      <c r="D893">
        <f>HYPERLINK("https://ota.tournamentsoftware.com/player-profile/9C9A5A33-4CA6-4975-BDCD-67DA2BA4B2E9", "Link")</f>
        <v/>
      </c>
      <c r="E893" s="3" t="n">
        <v>2.202</v>
      </c>
      <c r="F893" s="4" t="n">
        <v>3</v>
      </c>
      <c r="G893" t="inlineStr">
        <is>
          <t>Tennis Alberta</t>
        </is>
      </c>
      <c r="H893" t="inlineStr">
        <is>
          <t>Osten &amp; Victor Alberta Tennis Centre</t>
        </is>
      </c>
      <c r="I893" t="n">
        <v>39.1</v>
      </c>
      <c r="J893" s="4" t="n">
        <v>3</v>
      </c>
      <c r="K893" t="inlineStr">
        <is>
          <t>1 / 2</t>
        </is>
      </c>
      <c r="L893" t="inlineStr">
        <is>
          <t>0 / 0</t>
        </is>
      </c>
      <c r="M893" s="5" t="n">
        <v>0.33</v>
      </c>
      <c r="N893" s="5" t="n">
        <v>0</v>
      </c>
    </row>
    <row r="894">
      <c r="A894" t="n">
        <v>893</v>
      </c>
      <c r="B894" t="n">
        <v>2013</v>
      </c>
      <c r="C894" t="inlineStr">
        <is>
          <t>Zelda Gwen Zenith</t>
        </is>
      </c>
      <c r="D894">
        <f>HYPERLINK("https://ota.tournamentsoftware.com/player-profile/F460E6C2-2456-43C6-B19A-E5695E232448", "Link")</f>
        <v/>
      </c>
      <c r="E894" s="3" t="n">
        <v>2.16</v>
      </c>
      <c r="F894" s="4" t="n">
        <v>1</v>
      </c>
      <c r="G894" t="inlineStr">
        <is>
          <t>Tennis Alberta</t>
        </is>
      </c>
      <c r="H894" t="inlineStr">
        <is>
          <t>No Club</t>
        </is>
      </c>
      <c r="I894" t="inlineStr">
        <is>
          <t>unavailable</t>
        </is>
      </c>
      <c r="J894" s="4" t="n">
        <v>129</v>
      </c>
      <c r="K894" t="inlineStr">
        <is>
          <t>47 / 82</t>
        </is>
      </c>
      <c r="L894" t="inlineStr">
        <is>
          <t>0 / 0</t>
        </is>
      </c>
      <c r="M894" s="5" t="n">
        <v>0.36</v>
      </c>
      <c r="N894" s="5" t="n">
        <v>0</v>
      </c>
    </row>
    <row r="895">
      <c r="A895" t="n">
        <v>894</v>
      </c>
      <c r="B895" t="n">
        <v>2015</v>
      </c>
      <c r="C895" t="inlineStr">
        <is>
          <t>Sophie Clara Vandor</t>
        </is>
      </c>
      <c r="D895">
        <f>HYPERLINK("https://ota.tournamentsoftware.com/player-profile/23B3E879-EE71-4CE7-949F-9E08E7F6FDC9", "Link")</f>
        <v/>
      </c>
      <c r="E895" s="3" t="n">
        <v>1.944</v>
      </c>
      <c r="F895" s="4" t="n">
        <v>3</v>
      </c>
      <c r="G895" t="inlineStr">
        <is>
          <t>British Columbia</t>
        </is>
      </c>
      <c r="H895" t="inlineStr">
        <is>
          <t>UBC Tennis Centre</t>
        </is>
      </c>
      <c r="I895" t="n">
        <v>38.6</v>
      </c>
      <c r="J895" s="4" t="n">
        <v>20</v>
      </c>
      <c r="K895" t="inlineStr">
        <is>
          <t>5 / 15</t>
        </is>
      </c>
      <c r="L895" t="inlineStr">
        <is>
          <t>0 / 2</t>
        </is>
      </c>
      <c r="M895" s="5" t="n">
        <v>0.25</v>
      </c>
      <c r="N895" s="5" t="n">
        <v>0</v>
      </c>
    </row>
    <row r="896">
      <c r="A896" t="n">
        <v>894</v>
      </c>
      <c r="B896" t="n">
        <v>2014</v>
      </c>
      <c r="C896" t="inlineStr">
        <is>
          <t>Phoenix Anneliese Daniel</t>
        </is>
      </c>
      <c r="D896">
        <f>HYPERLINK("https://ota.tournamentsoftware.com/player-profile/B00B3D37-513A-4ECC-A51C-B74D255D4B87", "Link")</f>
        <v/>
      </c>
      <c r="E896" s="3" t="n">
        <v>1.944</v>
      </c>
      <c r="F896" s="4" t="n">
        <v>1</v>
      </c>
      <c r="G896" t="inlineStr">
        <is>
          <t>British Columbia</t>
        </is>
      </c>
      <c r="H896" t="inlineStr">
        <is>
          <t>Great West Fitness and Racquets Club</t>
        </is>
      </c>
      <c r="I896" t="n">
        <v>40</v>
      </c>
      <c r="J896" s="4" t="n">
        <v>22</v>
      </c>
      <c r="K896" t="inlineStr">
        <is>
          <t>6 / 16</t>
        </is>
      </c>
      <c r="L896" t="inlineStr">
        <is>
          <t>0 / 2</t>
        </is>
      </c>
      <c r="M896" s="5" t="n">
        <v>0.27</v>
      </c>
      <c r="N896" s="5" t="n">
        <v>0</v>
      </c>
    </row>
    <row r="897">
      <c r="A897" t="n">
        <v>894</v>
      </c>
      <c r="B897" t="n">
        <v>2015</v>
      </c>
      <c r="C897" t="inlineStr">
        <is>
          <t>Harchanan Kaur Kandola</t>
        </is>
      </c>
      <c r="D897">
        <f>HYPERLINK("https://ota.tournamentsoftware.com/player-profile/604DEB6C-89BC-4F3B-9551-3DD1A6EDA123", "Link")</f>
        <v/>
      </c>
      <c r="E897" s="3" t="n">
        <v>1.944</v>
      </c>
      <c r="F897" s="4" t="n">
        <v>1</v>
      </c>
      <c r="G897" t="inlineStr">
        <is>
          <t>British Columbia</t>
        </is>
      </c>
      <c r="H897" t="inlineStr">
        <is>
          <t>The Tennis Centre</t>
        </is>
      </c>
      <c r="I897" t="inlineStr">
        <is>
          <t>unavailable</t>
        </is>
      </c>
      <c r="J897" s="4" t="n">
        <v>24</v>
      </c>
      <c r="K897" t="inlineStr">
        <is>
          <t>10 / 14</t>
        </is>
      </c>
      <c r="L897" t="inlineStr">
        <is>
          <t>0 / 4</t>
        </is>
      </c>
      <c r="M897" s="5" t="n">
        <v>0.42</v>
      </c>
      <c r="N897" s="5" t="n">
        <v>0</v>
      </c>
    </row>
    <row r="898">
      <c r="A898" t="n">
        <v>894</v>
      </c>
      <c r="B898" t="n">
        <v>2015</v>
      </c>
      <c r="C898" t="inlineStr">
        <is>
          <t>Skye Gill</t>
        </is>
      </c>
      <c r="D898">
        <f>HYPERLINK("https://ota.tournamentsoftware.com/player-profile/C52FBED1-1545-45D7-B349-94619F0D1964", "Link")</f>
        <v/>
      </c>
      <c r="E898" s="3" t="n">
        <v>1.944</v>
      </c>
      <c r="F898" s="4" t="n">
        <v>1</v>
      </c>
      <c r="G898" t="inlineStr">
        <is>
          <t>British Columbia</t>
        </is>
      </c>
      <c r="H898" t="inlineStr">
        <is>
          <t>The Tennis Centre</t>
        </is>
      </c>
      <c r="I898" t="inlineStr">
        <is>
          <t>unavailable</t>
        </is>
      </c>
      <c r="J898" s="4" t="n">
        <v>61</v>
      </c>
      <c r="K898" t="inlineStr">
        <is>
          <t>23 / 38</t>
        </is>
      </c>
      <c r="L898" t="inlineStr">
        <is>
          <t>7 / 4</t>
        </is>
      </c>
      <c r="M898" s="5" t="n">
        <v>0.38</v>
      </c>
      <c r="N898" s="5" t="n">
        <v>0.64</v>
      </c>
    </row>
    <row r="899">
      <c r="A899" t="n">
        <v>894</v>
      </c>
      <c r="B899" t="n">
        <v>2014</v>
      </c>
      <c r="C899" t="inlineStr">
        <is>
          <t>Ariana Eslami</t>
        </is>
      </c>
      <c r="D899">
        <f>HYPERLINK("https://ota.tournamentsoftware.com/player-profile/55E1D175-DCE8-4D75-8FD1-5751D95D94B4", "Link")</f>
        <v/>
      </c>
      <c r="E899" s="3" t="n">
        <v>1.944</v>
      </c>
      <c r="F899" s="4" t="n">
        <v>1</v>
      </c>
      <c r="G899" t="inlineStr">
        <is>
          <t>British Columbia</t>
        </is>
      </c>
      <c r="H899" t="inlineStr">
        <is>
          <t>Great West Fitness and Racquets Club</t>
        </is>
      </c>
      <c r="I899" t="n">
        <v>40</v>
      </c>
      <c r="J899" s="4" t="n">
        <v>10</v>
      </c>
      <c r="K899" t="inlineStr">
        <is>
          <t>3 / 7</t>
        </is>
      </c>
      <c r="L899" t="inlineStr">
        <is>
          <t>0 / 2</t>
        </is>
      </c>
      <c r="M899" s="5" t="n">
        <v>0.3</v>
      </c>
      <c r="N899" s="5" t="n">
        <v>0</v>
      </c>
    </row>
    <row r="900">
      <c r="A900" t="n">
        <v>899</v>
      </c>
      <c r="B900" t="n">
        <v>2015</v>
      </c>
      <c r="C900" t="inlineStr">
        <is>
          <t>Jade Adepetu</t>
        </is>
      </c>
      <c r="D900">
        <f>HYPERLINK("https://ota.tournamentsoftware.com/player-profile/44B25337-8306-4D62-BB4F-8BAB0C726BA7", "Link")</f>
        <v/>
      </c>
      <c r="E900" s="3" t="n">
        <v>1.814</v>
      </c>
      <c r="F900" s="4" t="n">
        <v>3</v>
      </c>
      <c r="G900" t="inlineStr">
        <is>
          <t>Tennis Alberta</t>
        </is>
      </c>
      <c r="H900" t="inlineStr">
        <is>
          <t>Osten &amp; Victor Alberta Tennis Centre</t>
        </is>
      </c>
      <c r="I900" t="inlineStr">
        <is>
          <t>unavailable</t>
        </is>
      </c>
      <c r="J900" s="4" t="n">
        <v>23</v>
      </c>
      <c r="K900" t="inlineStr">
        <is>
          <t>5 / 18</t>
        </is>
      </c>
      <c r="L900" t="inlineStr">
        <is>
          <t>4 / 8</t>
        </is>
      </c>
      <c r="M900" s="5" t="n">
        <v>0.22</v>
      </c>
      <c r="N900" s="5" t="n">
        <v>0.33</v>
      </c>
    </row>
    <row r="901">
      <c r="A901" t="n">
        <v>900</v>
      </c>
      <c r="B901" t="n">
        <v>2015</v>
      </c>
      <c r="C901" t="inlineStr">
        <is>
          <t>Elissa Tang</t>
        </is>
      </c>
      <c r="D901">
        <f>HYPERLINK("https://ota.tournamentsoftware.com/player-profile/414AF4D2-2F73-47FD-A175-ED313B178D4A", "Link")</f>
        <v/>
      </c>
      <c r="E901" s="3" t="n">
        <v>1.775</v>
      </c>
      <c r="F901" s="4" t="n">
        <v>2</v>
      </c>
      <c r="G901" t="inlineStr">
        <is>
          <t>Tennis Alberta</t>
        </is>
      </c>
      <c r="H901" t="inlineStr">
        <is>
          <t>IQ Tennis and Pickleball Centre</t>
        </is>
      </c>
      <c r="I901" t="n">
        <v>40</v>
      </c>
      <c r="J901" s="4" t="n">
        <v>8</v>
      </c>
      <c r="K901" t="inlineStr">
        <is>
          <t>0 / 8</t>
        </is>
      </c>
      <c r="L901" t="inlineStr">
        <is>
          <t>0 / 8</t>
        </is>
      </c>
      <c r="M901" s="5" t="n">
        <v>0</v>
      </c>
      <c r="N901" s="5" t="n">
        <v>0</v>
      </c>
    </row>
  </sheetData>
  <autoFilter ref="A1:N9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19.9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20.7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9585.811</v>
      </c>
      <c r="F4" s="4" t="n">
        <v>11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13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Victoria Koniouchine</t>
        </is>
      </c>
      <c r="D6">
        <f>HYPERLINK("https://ota.tournamentsoftware.com/player-profile/4F2575CB-84B4-4072-ABEF-7652A7E74DBA", "Link")</f>
        <v/>
      </c>
      <c r="E6" s="3" t="n">
        <v>8177</v>
      </c>
      <c r="F6" s="4" t="n">
        <v>13</v>
      </c>
      <c r="G6" t="inlineStr">
        <is>
          <t>Tennis Québec</t>
        </is>
      </c>
      <c r="H6" t="inlineStr">
        <is>
          <t>Tennis Montréal Excellence</t>
        </is>
      </c>
      <c r="I6" t="n">
        <v>20.7</v>
      </c>
      <c r="J6" s="4" t="n">
        <v>380</v>
      </c>
      <c r="K6" t="inlineStr">
        <is>
          <t>244 / 136</t>
        </is>
      </c>
      <c r="L6" t="inlineStr">
        <is>
          <t>22 / 6</t>
        </is>
      </c>
      <c r="M6" s="5" t="n">
        <v>0.64</v>
      </c>
      <c r="N6" s="5" t="n">
        <v>0.79</v>
      </c>
    </row>
    <row r="7">
      <c r="A7" t="n">
        <v>6</v>
      </c>
      <c r="B7" t="n">
        <v>2012</v>
      </c>
      <c r="C7" t="inlineStr">
        <is>
          <t>Karina Swaminath</t>
        </is>
      </c>
      <c r="D7">
        <f>HYPERLINK("https://ota.tournamentsoftware.com/player-profile/4DB9D061-D74F-4482-87A3-9C7480D14EFD", "Link")</f>
        <v/>
      </c>
      <c r="E7" s="3" t="n">
        <v>7284.4</v>
      </c>
      <c r="F7" s="4" t="n">
        <v>19</v>
      </c>
      <c r="G7" t="inlineStr">
        <is>
          <t>Ontario Tennis Association</t>
        </is>
      </c>
      <c r="H7" t="inlineStr">
        <is>
          <t>Premier Racquet Clubs – Mississauga</t>
        </is>
      </c>
      <c r="I7" t="n">
        <v>20.6</v>
      </c>
      <c r="J7" s="4" t="n">
        <v>318</v>
      </c>
      <c r="K7" t="inlineStr">
        <is>
          <t>206 / 112</t>
        </is>
      </c>
      <c r="L7" t="inlineStr">
        <is>
          <t>43 / 19</t>
        </is>
      </c>
      <c r="M7" s="5" t="n">
        <v>0.65</v>
      </c>
      <c r="N7" s="5" t="n">
        <v>0.6899999999999999</v>
      </c>
    </row>
    <row r="8">
      <c r="A8" t="n">
        <v>7</v>
      </c>
      <c r="B8" t="n">
        <v>2012</v>
      </c>
      <c r="C8" t="inlineStr">
        <is>
          <t>Ruijing Chen</t>
        </is>
      </c>
      <c r="D8">
        <f>HYPERLINK("https://ota.tournamentsoftware.com/player-profile/CF3F9020-5B8A-4448-8412-B206DFD70D34", "Link")</f>
        <v/>
      </c>
      <c r="E8" s="3" t="n">
        <v>7050.04</v>
      </c>
      <c r="F8" s="4" t="n">
        <v>19</v>
      </c>
      <c r="G8" t="inlineStr">
        <is>
          <t>British Columbia</t>
        </is>
      </c>
      <c r="H8" t="inlineStr">
        <is>
          <t>North Vancouver Tennis Centre</t>
        </is>
      </c>
      <c r="I8" t="n">
        <v>20.4</v>
      </c>
      <c r="J8" s="4" t="n">
        <v>272</v>
      </c>
      <c r="K8" t="inlineStr">
        <is>
          <t>158 / 114</t>
        </is>
      </c>
      <c r="L8" t="inlineStr">
        <is>
          <t>40 / 19</t>
        </is>
      </c>
      <c r="M8" s="5" t="n">
        <v>0.58</v>
      </c>
      <c r="N8" s="5" t="n">
        <v>0.68</v>
      </c>
    </row>
    <row r="9">
      <c r="A9" t="n">
        <v>8</v>
      </c>
      <c r="B9" t="n">
        <v>2012</v>
      </c>
      <c r="C9" t="inlineStr">
        <is>
          <t>Zimo Xiang</t>
        </is>
      </c>
      <c r="D9">
        <f>HYPERLINK("https://ota.tournamentsoftware.com/player-profile/16758178-BB4B-49F9-847E-3024E74D5A86", "Link")</f>
        <v/>
      </c>
      <c r="E9" s="3" t="n">
        <v>6497.876</v>
      </c>
      <c r="F9" s="4" t="n">
        <v>20</v>
      </c>
      <c r="G9" t="inlineStr">
        <is>
          <t>Tennis Alberta</t>
        </is>
      </c>
      <c r="H9" t="inlineStr">
        <is>
          <t>Osten &amp; Victor Alberta Tennis Centre</t>
        </is>
      </c>
      <c r="I9" t="n">
        <v>17.8</v>
      </c>
      <c r="J9" s="4" t="n">
        <v>348</v>
      </c>
      <c r="K9" t="inlineStr">
        <is>
          <t>266 / 82</t>
        </is>
      </c>
      <c r="L9" t="inlineStr">
        <is>
          <t>52 / 9</t>
        </is>
      </c>
      <c r="M9" s="5" t="n">
        <v>0.76</v>
      </c>
      <c r="N9" s="5" t="n">
        <v>0.85</v>
      </c>
    </row>
    <row r="10">
      <c r="A10" t="n">
        <v>9</v>
      </c>
      <c r="B10" t="n">
        <v>2013</v>
      </c>
      <c r="C10" t="inlineStr">
        <is>
          <t>Callie Raharinosy</t>
        </is>
      </c>
      <c r="D10">
        <f>HYPERLINK("https://ota.tournamentsoftware.com/player-profile/C3BB19C9-39F8-4DF4-A576-AAB3D92B85C3", "Link")</f>
        <v/>
      </c>
      <c r="E10" s="3" t="n">
        <v>6323.453</v>
      </c>
      <c r="F10" s="4" t="n">
        <v>12</v>
      </c>
      <c r="G10" t="inlineStr">
        <is>
          <t>Ontario Tennis Association</t>
        </is>
      </c>
      <c r="H10" t="inlineStr">
        <is>
          <t>Richmondhill Golf &amp; Country Club</t>
        </is>
      </c>
      <c r="I10" t="n">
        <v>20.7</v>
      </c>
      <c r="J10" s="4" t="n">
        <v>243</v>
      </c>
      <c r="K10" t="inlineStr">
        <is>
          <t>157 / 86</t>
        </is>
      </c>
      <c r="L10" t="inlineStr">
        <is>
          <t>26 / 11</t>
        </is>
      </c>
      <c r="M10" s="5" t="n">
        <v>0.65</v>
      </c>
      <c r="N10" s="5" t="n">
        <v>0.7</v>
      </c>
    </row>
    <row r="11">
      <c r="A11" t="n">
        <v>10</v>
      </c>
      <c r="B11" t="n">
        <v>2013</v>
      </c>
      <c r="C11" t="inlineStr">
        <is>
          <t>Olivia Ma</t>
        </is>
      </c>
      <c r="D11">
        <f>HYPERLINK("https://ota.tournamentsoftware.com/player-profile/8DB93BEF-9FF1-4A58-A4CC-C5E09482F693", "Link")</f>
        <v/>
      </c>
      <c r="E11" s="3" t="n">
        <v>6278.529</v>
      </c>
      <c r="F11" s="4" t="n">
        <v>20</v>
      </c>
      <c r="G11" t="inlineStr">
        <is>
          <t>British Columbia</t>
        </is>
      </c>
      <c r="H11" t="inlineStr">
        <is>
          <t>Kamloops Tennis Centre</t>
        </is>
      </c>
      <c r="I11" t="n">
        <v>20</v>
      </c>
      <c r="J11" s="4" t="n">
        <v>240</v>
      </c>
      <c r="K11" t="inlineStr">
        <is>
          <t>161 / 79</t>
        </is>
      </c>
      <c r="L11" t="inlineStr">
        <is>
          <t>40 / 17</t>
        </is>
      </c>
      <c r="M11" s="5" t="n">
        <v>0.67</v>
      </c>
      <c r="N11" s="5" t="n">
        <v>0.7</v>
      </c>
    </row>
    <row r="12">
      <c r="A12" t="n">
        <v>11</v>
      </c>
      <c r="B12" t="n">
        <v>2012</v>
      </c>
      <c r="C12" t="inlineStr">
        <is>
          <t>kendra zhang</t>
        </is>
      </c>
      <c r="D12">
        <f>HYPERLINK("https://ota.tournamentsoftware.com/player-profile/23508257-17E1-4A1F-A208-90A41A8C5BC8", "Link")</f>
        <v/>
      </c>
      <c r="E12" s="3" t="n">
        <v>6055.107</v>
      </c>
      <c r="F12" s="4" t="n">
        <v>15</v>
      </c>
      <c r="G12" t="inlineStr">
        <is>
          <t>Tennis Alberta</t>
        </is>
      </c>
      <c r="H12" t="inlineStr">
        <is>
          <t>Osten &amp; Victor Alberta Tennis Centre</t>
        </is>
      </c>
      <c r="I12" t="n">
        <v>20.2</v>
      </c>
      <c r="J12" s="4" t="n">
        <v>315</v>
      </c>
      <c r="K12" t="inlineStr">
        <is>
          <t>248 / 67</t>
        </is>
      </c>
      <c r="L12" t="inlineStr">
        <is>
          <t>39 / 5</t>
        </is>
      </c>
      <c r="M12" s="5" t="n">
        <v>0.79</v>
      </c>
      <c r="N12" s="5" t="n">
        <v>0.89</v>
      </c>
    </row>
    <row r="13">
      <c r="A13" t="n">
        <v>12</v>
      </c>
      <c r="B13" t="n">
        <v>2013</v>
      </c>
      <c r="C13" t="inlineStr">
        <is>
          <t>Paris Radovic</t>
        </is>
      </c>
      <c r="D13">
        <f>HYPERLINK("https://ota.tournamentsoftware.com/player-profile/F1F29E41-D080-473C-93A3-FEF9F1122EE3", "Link")</f>
        <v/>
      </c>
      <c r="E13" s="3" t="n">
        <v>6019.129</v>
      </c>
      <c r="F13" s="4" t="n">
        <v>16</v>
      </c>
      <c r="G13" t="inlineStr">
        <is>
          <t>Ontario Tennis Association</t>
        </is>
      </c>
      <c r="H13" t="inlineStr">
        <is>
          <t>Advantage Tennis International at Veneto</t>
        </is>
      </c>
      <c r="I13" t="n">
        <v>20.6</v>
      </c>
      <c r="J13" s="4" t="n">
        <v>290</v>
      </c>
      <c r="K13" t="inlineStr">
        <is>
          <t>188 / 102</t>
        </is>
      </c>
      <c r="L13" t="inlineStr">
        <is>
          <t>32 / 12</t>
        </is>
      </c>
      <c r="M13" s="5" t="n">
        <v>0.65</v>
      </c>
      <c r="N13" s="5" t="n">
        <v>0.73</v>
      </c>
    </row>
    <row r="14">
      <c r="A14" t="n">
        <v>13</v>
      </c>
      <c r="B14" t="n">
        <v>2013</v>
      </c>
      <c r="C14" t="inlineStr">
        <is>
          <t>Urvi Singh</t>
        </is>
      </c>
      <c r="D14">
        <f>HYPERLINK("https://ota.tournamentsoftware.com/player-profile/20590827-22F8-402F-BC87-449928EE4236", "Link")</f>
        <v/>
      </c>
      <c r="E14" s="3" t="n">
        <v>5765.184</v>
      </c>
      <c r="F14" s="4" t="n">
        <v>17</v>
      </c>
      <c r="G14" t="inlineStr">
        <is>
          <t>Ontario Tennis Association</t>
        </is>
      </c>
      <c r="H14" t="inlineStr">
        <is>
          <t>Guildwood Tennis Club</t>
        </is>
      </c>
      <c r="I14" t="n">
        <v>20.2</v>
      </c>
      <c r="J14" s="4" t="n">
        <v>257</v>
      </c>
      <c r="K14" t="inlineStr">
        <is>
          <t>160 / 97</t>
        </is>
      </c>
      <c r="L14" t="inlineStr">
        <is>
          <t>32 / 15</t>
        </is>
      </c>
      <c r="M14" s="5" t="n">
        <v>0.62</v>
      </c>
      <c r="N14" s="5" t="n">
        <v>0.68</v>
      </c>
    </row>
    <row r="15">
      <c r="A15" t="n">
        <v>14</v>
      </c>
      <c r="B15" t="n">
        <v>2012</v>
      </c>
      <c r="C15" t="inlineStr">
        <is>
          <t>Angelica Panzieri</t>
        </is>
      </c>
      <c r="D15">
        <f>HYPERLINK("https://ota.tournamentsoftware.com/player-profile/E0ECCDC8-BEA7-4546-BAF7-5DF193FA2378", "Link")</f>
        <v/>
      </c>
      <c r="E15" s="3" t="n">
        <v>5079.44</v>
      </c>
      <c r="F15" s="4" t="n">
        <v>22</v>
      </c>
      <c r="G15" t="inlineStr">
        <is>
          <t>British Columbia</t>
        </is>
      </c>
      <c r="H15" t="inlineStr">
        <is>
          <t>North Vancouver Tennis Centre</t>
        </is>
      </c>
      <c r="I15" t="n">
        <v>22.2</v>
      </c>
      <c r="J15" s="4" t="n">
        <v>352</v>
      </c>
      <c r="K15" t="inlineStr">
        <is>
          <t>202 / 150</t>
        </is>
      </c>
      <c r="L15" t="inlineStr">
        <is>
          <t>45 / 23</t>
        </is>
      </c>
      <c r="M15" s="5" t="n">
        <v>0.57</v>
      </c>
      <c r="N15" s="5" t="n">
        <v>0.66</v>
      </c>
    </row>
    <row r="16">
      <c r="A16" t="n">
        <v>15</v>
      </c>
      <c r="B16" t="n">
        <v>2012</v>
      </c>
      <c r="C16" t="inlineStr">
        <is>
          <t>Amelia Mishelle Simutin</t>
        </is>
      </c>
      <c r="D16">
        <f>HYPERLINK("https://ota.tournamentsoftware.com/player-profile/35C4C9E4-BC47-4EAA-A89B-06AB12C19B49", "Link")</f>
        <v/>
      </c>
      <c r="E16" s="3" t="n">
        <v>4877.64</v>
      </c>
      <c r="F16" s="4" t="n">
        <v>22</v>
      </c>
      <c r="G16" t="inlineStr">
        <is>
          <t>Ontario Tennis Association</t>
        </is>
      </c>
      <c r="H16" t="inlineStr">
        <is>
          <t>North Toronto Tennis Club</t>
        </is>
      </c>
      <c r="I16" t="n">
        <v>20.9</v>
      </c>
      <c r="J16" s="4" t="n">
        <v>306</v>
      </c>
      <c r="K16" t="inlineStr">
        <is>
          <t>209 / 97</t>
        </is>
      </c>
      <c r="L16" t="inlineStr">
        <is>
          <t>37 / 22</t>
        </is>
      </c>
      <c r="M16" s="5" t="n">
        <v>0.68</v>
      </c>
      <c r="N16" s="5" t="n">
        <v>0.63</v>
      </c>
    </row>
    <row r="17">
      <c r="A17" t="n">
        <v>16</v>
      </c>
      <c r="B17" t="n">
        <v>2014</v>
      </c>
      <c r="C17" t="inlineStr">
        <is>
          <t>Zoe Mao</t>
        </is>
      </c>
      <c r="D17">
        <f>HYPERLINK("https://ota.tournamentsoftware.com/player-profile/9C661BB4-74A2-44E0-A97C-93470EF4AE2B", "Link")</f>
        <v/>
      </c>
      <c r="E17" s="3" t="n">
        <v>4747.12</v>
      </c>
      <c r="F17" s="4" t="n">
        <v>22</v>
      </c>
      <c r="G17" t="inlineStr">
        <is>
          <t>Tennis Alberta</t>
        </is>
      </c>
      <c r="H17" t="inlineStr">
        <is>
          <t>No Club</t>
        </is>
      </c>
      <c r="I17" t="n">
        <v>23.4</v>
      </c>
      <c r="J17" s="4" t="n">
        <v>217</v>
      </c>
      <c r="K17" t="inlineStr">
        <is>
          <t>150 / 67</t>
        </is>
      </c>
      <c r="L17" t="inlineStr">
        <is>
          <t>67 / 13</t>
        </is>
      </c>
      <c r="M17" s="5" t="n">
        <v>0.6899999999999999</v>
      </c>
      <c r="N17" s="5" t="n">
        <v>0.84</v>
      </c>
    </row>
    <row r="18">
      <c r="A18" t="n">
        <v>17</v>
      </c>
      <c r="B18" t="n">
        <v>2013</v>
      </c>
      <c r="C18" t="inlineStr">
        <is>
          <t>Charlotte MacDonald</t>
        </is>
      </c>
      <c r="D18">
        <f>HYPERLINK("https://ota.tournamentsoftware.com/player-profile/C865FA15-1CF7-4628-A8F7-6AB8ED124599", "Link")</f>
        <v/>
      </c>
      <c r="E18" s="3" t="n">
        <v>4676.541</v>
      </c>
      <c r="F18" s="4" t="n">
        <v>19</v>
      </c>
      <c r="G18" t="inlineStr">
        <is>
          <t>Ontario Tennis Association</t>
        </is>
      </c>
      <c r="H18" t="inlineStr">
        <is>
          <t>10XTO</t>
        </is>
      </c>
      <c r="I18" t="n">
        <v>21.5</v>
      </c>
      <c r="J18" s="4" t="n">
        <v>342</v>
      </c>
      <c r="K18" t="inlineStr">
        <is>
          <t>236 / 106</t>
        </is>
      </c>
      <c r="L18" t="inlineStr">
        <is>
          <t>44 / 22</t>
        </is>
      </c>
      <c r="M18" s="5" t="n">
        <v>0.6899999999999999</v>
      </c>
      <c r="N18" s="5" t="n">
        <v>0.67</v>
      </c>
    </row>
    <row r="19">
      <c r="A19" t="n">
        <v>18</v>
      </c>
      <c r="B19" t="n">
        <v>2012</v>
      </c>
      <c r="C19" t="inlineStr">
        <is>
          <t>Elise Chen</t>
        </is>
      </c>
      <c r="D19">
        <f>HYPERLINK("https://ota.tournamentsoftware.com/player-profile/8E8A2CD5-37E0-4690-A780-846D1895BB0A", "Link")</f>
        <v/>
      </c>
      <c r="E19" s="3" t="n">
        <v>4625.573</v>
      </c>
      <c r="F19" s="4" t="n">
        <v>16</v>
      </c>
      <c r="G19" t="inlineStr">
        <is>
          <t>Tennis Québec</t>
        </is>
      </c>
      <c r="H19" t="inlineStr">
        <is>
          <t>AA Autre club</t>
        </is>
      </c>
      <c r="I19" t="n">
        <v>20.4</v>
      </c>
      <c r="J19" s="4" t="n">
        <v>341</v>
      </c>
      <c r="K19" t="inlineStr">
        <is>
          <t>225 / 116</t>
        </is>
      </c>
      <c r="L19" t="inlineStr">
        <is>
          <t>44 / 14</t>
        </is>
      </c>
      <c r="M19" s="5" t="n">
        <v>0.66</v>
      </c>
      <c r="N19" s="5" t="n">
        <v>0.76</v>
      </c>
    </row>
    <row r="20">
      <c r="A20" t="n">
        <v>19</v>
      </c>
      <c r="B20" t="n">
        <v>2012</v>
      </c>
      <c r="C20" t="inlineStr">
        <is>
          <t>Clara Vicol</t>
        </is>
      </c>
      <c r="D20">
        <f>HYPERLINK("https://ota.tournamentsoftware.com/player-profile/A71836FF-9A71-48AD-96B3-DD39B38970B6", "Link")</f>
        <v/>
      </c>
      <c r="E20" s="3" t="n">
        <v>4462.04</v>
      </c>
      <c r="F20" s="4" t="n">
        <v>12</v>
      </c>
      <c r="G20" t="inlineStr">
        <is>
          <t>British Columbia</t>
        </is>
      </c>
      <c r="H20" t="inlineStr">
        <is>
          <t>Jericho Tennis Club</t>
        </is>
      </c>
      <c r="I20" t="n">
        <v>21.2</v>
      </c>
      <c r="J20" s="4" t="n">
        <v>402</v>
      </c>
      <c r="K20" t="inlineStr">
        <is>
          <t>248 / 154</t>
        </is>
      </c>
      <c r="L20" t="inlineStr">
        <is>
          <t>16 / 6</t>
        </is>
      </c>
      <c r="M20" s="5" t="n">
        <v>0.62</v>
      </c>
      <c r="N20" s="5" t="n">
        <v>0.73</v>
      </c>
    </row>
    <row r="21">
      <c r="A21" t="n">
        <v>20</v>
      </c>
      <c r="B21" t="n">
        <v>2013</v>
      </c>
      <c r="C21" t="inlineStr">
        <is>
          <t>Bishop Yonna Grossutti</t>
        </is>
      </c>
      <c r="D21">
        <f>HYPERLINK("https://ota.tournamentsoftware.com/player-profile/3FE8248C-2DBE-46EB-8C24-0AC82A0EC942", "Link")</f>
        <v/>
      </c>
      <c r="E21" s="3" t="n">
        <v>4190.901</v>
      </c>
      <c r="F21" s="4" t="n">
        <v>12</v>
      </c>
      <c r="G21" t="inlineStr">
        <is>
          <t>British Columbia</t>
        </is>
      </c>
      <c r="H21" t="inlineStr">
        <is>
          <t>No Club</t>
        </is>
      </c>
      <c r="I21" t="n">
        <v>21.3</v>
      </c>
      <c r="J21" s="4" t="n">
        <v>221</v>
      </c>
      <c r="K21" t="inlineStr">
        <is>
          <t>149 / 72</t>
        </is>
      </c>
      <c r="L21" t="inlineStr">
        <is>
          <t>39 / 14</t>
        </is>
      </c>
      <c r="M21" s="5" t="n">
        <v>0.67</v>
      </c>
      <c r="N21" s="5" t="n">
        <v>0.74</v>
      </c>
    </row>
    <row r="22">
      <c r="A22" t="n">
        <v>21</v>
      </c>
      <c r="B22" t="n">
        <v>2012</v>
      </c>
      <c r="C22" t="inlineStr">
        <is>
          <t>Olivia Laberge</t>
        </is>
      </c>
      <c r="D22">
        <f>HYPERLINK("https://ota.tournamentsoftware.com/player-profile/A7EF36D6-49FF-4272-A982-22FEC5F0ECCD", "Link")</f>
        <v/>
      </c>
      <c r="E22" s="3" t="n">
        <v>4084.733</v>
      </c>
      <c r="F22" s="4" t="n">
        <v>20</v>
      </c>
      <c r="G22" t="inlineStr">
        <is>
          <t>Tennis Québec</t>
        </is>
      </c>
      <c r="H22" t="inlineStr">
        <is>
          <t>Tennis 13</t>
        </is>
      </c>
      <c r="I22" t="n">
        <v>22.4</v>
      </c>
      <c r="J22" s="4" t="n">
        <v>310</v>
      </c>
      <c r="K22" t="inlineStr">
        <is>
          <t>195 / 115</t>
        </is>
      </c>
      <c r="L22" t="inlineStr">
        <is>
          <t>51 / 22</t>
        </is>
      </c>
      <c r="M22" s="5" t="n">
        <v>0.63</v>
      </c>
      <c r="N22" s="5" t="n">
        <v>0.7</v>
      </c>
    </row>
    <row r="23">
      <c r="A23" t="n">
        <v>22</v>
      </c>
      <c r="B23" t="n">
        <v>2012</v>
      </c>
      <c r="C23" t="inlineStr">
        <is>
          <t>Emma Ciobanu</t>
        </is>
      </c>
      <c r="D23">
        <f>HYPERLINK("https://ota.tournamentsoftware.com/player-profile/3FF64A25-D930-4C5E-8E36-3F04D7602157", "Link")</f>
        <v/>
      </c>
      <c r="E23" s="3" t="n">
        <v>4015.186</v>
      </c>
      <c r="F23" s="4" t="n">
        <v>17</v>
      </c>
      <c r="G23" t="inlineStr">
        <is>
          <t>Tennis Québec</t>
        </is>
      </c>
      <c r="H23" t="inlineStr">
        <is>
          <t>No Club</t>
        </is>
      </c>
      <c r="I23" t="n">
        <v>22.3</v>
      </c>
      <c r="J23" s="4" t="n">
        <v>445</v>
      </c>
      <c r="K23" t="inlineStr">
        <is>
          <t>254 / 191</t>
        </is>
      </c>
      <c r="L23" t="inlineStr">
        <is>
          <t>12 / 9</t>
        </is>
      </c>
      <c r="M23" s="5" t="n">
        <v>0.57</v>
      </c>
      <c r="N23" s="5" t="n">
        <v>0.57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Tennis BC Hub @ Richmond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13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21.5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15</v>
      </c>
      <c r="G26" t="inlineStr">
        <is>
          <t>Tennis Québec</t>
        </is>
      </c>
      <c r="H26" t="inlineStr">
        <is>
          <t>Tennis Ile- des- Soeurs</t>
        </is>
      </c>
      <c r="I26" t="n">
        <v>22.5</v>
      </c>
      <c r="J26" s="4" t="n">
        <v>265</v>
      </c>
      <c r="K26" t="inlineStr">
        <is>
          <t>178 / 87</t>
        </is>
      </c>
      <c r="L26" t="inlineStr">
        <is>
          <t>42 / 16</t>
        </is>
      </c>
      <c r="M26" s="5" t="n">
        <v>0.67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11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Victoria Cui</t>
        </is>
      </c>
      <c r="D28">
        <f>HYPERLINK("https://ota.tournamentsoftware.com/player-profile/0645977B-E01D-437B-A80F-04D3BC7B5871", "Link")</f>
        <v/>
      </c>
      <c r="E28" s="3" t="n">
        <v>3377.16</v>
      </c>
      <c r="F28" s="4" t="n">
        <v>21</v>
      </c>
      <c r="G28" t="inlineStr">
        <is>
          <t>Ontario Tennis Association</t>
        </is>
      </c>
      <c r="H28" t="inlineStr">
        <is>
          <t>Mayfair East Racquet Club</t>
        </is>
      </c>
      <c r="I28" t="n">
        <v>23.7</v>
      </c>
      <c r="J28" s="4" t="n">
        <v>248</v>
      </c>
      <c r="K28" t="inlineStr">
        <is>
          <t>158 / 90</t>
        </is>
      </c>
      <c r="L28" t="inlineStr">
        <is>
          <t>30 / 17</t>
        </is>
      </c>
      <c r="M28" s="5" t="n">
        <v>0.64</v>
      </c>
      <c r="N28" s="5" t="n">
        <v>0.64</v>
      </c>
    </row>
    <row r="29">
      <c r="A29" t="n">
        <v>28</v>
      </c>
      <c r="B29" t="n">
        <v>2013</v>
      </c>
      <c r="C29" t="inlineStr">
        <is>
          <t>Vera Wing</t>
        </is>
      </c>
      <c r="D29">
        <f>HYPERLINK("https://ota.tournamentsoftware.com/player-profile/9436679B-ADF6-41C9-A343-AB5B05F342AE", "Link")</f>
        <v/>
      </c>
      <c r="E29" s="3" t="n">
        <v>3359.944</v>
      </c>
      <c r="F29" s="4" t="n">
        <v>19</v>
      </c>
      <c r="G29" t="inlineStr">
        <is>
          <t>Tennis Alberta</t>
        </is>
      </c>
      <c r="H29" t="inlineStr">
        <is>
          <t>Aforza</t>
        </is>
      </c>
      <c r="I29" t="n">
        <v>22.9</v>
      </c>
      <c r="J29" s="4" t="n">
        <v>347</v>
      </c>
      <c r="K29" t="inlineStr">
        <is>
          <t>219 / 128</t>
        </is>
      </c>
      <c r="L29" t="inlineStr">
        <is>
          <t>40 / 21</t>
        </is>
      </c>
      <c r="M29" s="5" t="n">
        <v>0.63</v>
      </c>
      <c r="N29" s="5" t="n">
        <v>0.66</v>
      </c>
    </row>
    <row r="30">
      <c r="A30" t="n">
        <v>29</v>
      </c>
      <c r="B30" t="n">
        <v>2012</v>
      </c>
      <c r="C30" t="inlineStr">
        <is>
          <t>Joni Faye Colburne</t>
        </is>
      </c>
      <c r="D30">
        <f>HYPERLINK("https://ota.tournamentsoftware.com/player-profile/497EB335-7B19-4354-A8BD-7D257EE2CBEF", "Link")</f>
        <v/>
      </c>
      <c r="E30" s="3" t="n">
        <v>3356.812</v>
      </c>
      <c r="F30" s="4" t="n">
        <v>10</v>
      </c>
      <c r="G30" t="inlineStr">
        <is>
          <t>Tennis Québec</t>
        </is>
      </c>
      <c r="H30" t="inlineStr">
        <is>
          <t>Stade IGA</t>
        </is>
      </c>
      <c r="I30" t="n">
        <v>22.6</v>
      </c>
      <c r="J30" s="4" t="n">
        <v>320</v>
      </c>
      <c r="K30" t="inlineStr">
        <is>
          <t>198 / 122</t>
        </is>
      </c>
      <c r="L30" t="inlineStr">
        <is>
          <t>4 / 1</t>
        </is>
      </c>
      <c r="M30" s="5" t="n">
        <v>0.62</v>
      </c>
      <c r="N30" s="5" t="n">
        <v>0.8</v>
      </c>
    </row>
    <row r="31">
      <c r="A31" t="n">
        <v>30</v>
      </c>
      <c r="B31" t="n">
        <v>2012</v>
      </c>
      <c r="C31" t="inlineStr">
        <is>
          <t>Ariel Desbiens</t>
        </is>
      </c>
      <c r="D31">
        <f>HYPERLINK("https://ota.tournamentsoftware.com/player-profile/7381CFF5-5BA3-457C-9F6C-499D0F36D2DD", "Link")</f>
        <v/>
      </c>
      <c r="E31" s="3" t="n">
        <v>3288</v>
      </c>
      <c r="F31" s="4" t="n">
        <v>28</v>
      </c>
      <c r="G31" t="inlineStr">
        <is>
          <t>Tennis Québec</t>
        </is>
      </c>
      <c r="H31" t="inlineStr">
        <is>
          <t>SANI Sport</t>
        </is>
      </c>
      <c r="I31" t="n">
        <v>23.6</v>
      </c>
      <c r="J31" s="4" t="n">
        <v>384</v>
      </c>
      <c r="K31" t="inlineStr">
        <is>
          <t>238 / 146</t>
        </is>
      </c>
      <c r="L31" t="inlineStr">
        <is>
          <t>47 / 27</t>
        </is>
      </c>
      <c r="M31" s="5" t="n">
        <v>0.62</v>
      </c>
      <c r="N31" s="5" t="n">
        <v>0.64</v>
      </c>
    </row>
    <row r="32">
      <c r="A32" t="n">
        <v>31</v>
      </c>
      <c r="B32" t="n">
        <v>2012</v>
      </c>
      <c r="C32" t="inlineStr">
        <is>
          <t>Hailey MacDonald</t>
        </is>
      </c>
      <c r="D32">
        <f>HYPERLINK("https://ota.tournamentsoftware.com/player-profile/7B752A16-6837-4A5A-AFD8-83F950F37834", "Link")</f>
        <v/>
      </c>
      <c r="E32" s="3" t="n">
        <v>2880.484</v>
      </c>
      <c r="F32" s="4" t="n">
        <v>15</v>
      </c>
      <c r="G32" t="inlineStr">
        <is>
          <t>Ontario Tennis Association</t>
        </is>
      </c>
      <c r="H32" t="inlineStr">
        <is>
          <t>Advantage Tennis International at Veneto</t>
        </is>
      </c>
      <c r="I32" t="n">
        <v>24.5</v>
      </c>
      <c r="J32" s="4" t="n">
        <v>325</v>
      </c>
      <c r="K32" t="inlineStr">
        <is>
          <t>221 / 104</t>
        </is>
      </c>
      <c r="L32" t="inlineStr">
        <is>
          <t>19 / 9</t>
        </is>
      </c>
      <c r="M32" s="5" t="n">
        <v>0.68</v>
      </c>
      <c r="N32" s="5" t="n">
        <v>0.68</v>
      </c>
    </row>
    <row r="33">
      <c r="A33" t="n">
        <v>32</v>
      </c>
      <c r="B33" t="n">
        <v>2012</v>
      </c>
      <c r="C33" t="inlineStr">
        <is>
          <t>Sophie Rachel Murray</t>
        </is>
      </c>
      <c r="D33">
        <f>HYPERLINK("https://ota.tournamentsoftware.com/player-profile/ADAA4094-7084-435C-80A6-9DA79EB19D3F", "Link")</f>
        <v/>
      </c>
      <c r="E33" s="3" t="n">
        <v>2878.56</v>
      </c>
      <c r="F33" s="4" t="n">
        <v>16</v>
      </c>
      <c r="G33" t="inlineStr">
        <is>
          <t>Tennis Alberta</t>
        </is>
      </c>
      <c r="H33" t="inlineStr">
        <is>
          <t>Osten &amp; Victor Alberta Tennis Centre</t>
        </is>
      </c>
      <c r="I33" t="n">
        <v>22.3</v>
      </c>
      <c r="J33" s="4" t="n">
        <v>322</v>
      </c>
      <c r="K33" t="inlineStr">
        <is>
          <t>194 / 128</t>
        </is>
      </c>
      <c r="L33" t="inlineStr">
        <is>
          <t>20 / 6</t>
        </is>
      </c>
      <c r="M33" s="5" t="n">
        <v>0.6</v>
      </c>
      <c r="N33" s="5" t="n">
        <v>0.77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2675.936</v>
      </c>
      <c r="F34" s="4" t="n">
        <v>22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23.6</v>
      </c>
      <c r="J34" s="4" t="n">
        <v>256</v>
      </c>
      <c r="K34" t="inlineStr">
        <is>
          <t>141 / 115</t>
        </is>
      </c>
      <c r="L34" t="inlineStr">
        <is>
          <t>40 / 27</t>
        </is>
      </c>
      <c r="M34" s="5" t="n">
        <v>0.55</v>
      </c>
      <c r="N34" s="5" t="n">
        <v>0.6</v>
      </c>
    </row>
    <row r="35">
      <c r="A35" t="n">
        <v>34</v>
      </c>
      <c r="B35" t="n">
        <v>2012</v>
      </c>
      <c r="C35" t="inlineStr">
        <is>
          <t>Misaki Rukovanjski</t>
        </is>
      </c>
      <c r="D35">
        <f>HYPERLINK("https://ota.tournamentsoftware.com/player-profile/CECDBF80-C74F-40ED-B426-04CA75BF14C1", "Link")</f>
        <v/>
      </c>
      <c r="E35" s="3" t="n">
        <v>2485.998</v>
      </c>
      <c r="F35" s="4" t="n">
        <v>23</v>
      </c>
      <c r="G35" t="inlineStr">
        <is>
          <t>Ontario Tennis Association</t>
        </is>
      </c>
      <c r="H35" t="inlineStr">
        <is>
          <t>No Club</t>
        </is>
      </c>
      <c r="I35" t="n">
        <v>25</v>
      </c>
      <c r="J35" s="4" t="n">
        <v>270</v>
      </c>
      <c r="K35" t="inlineStr">
        <is>
          <t>170 / 100</t>
        </is>
      </c>
      <c r="L35" t="inlineStr">
        <is>
          <t>26 / 20</t>
        </is>
      </c>
      <c r="M35" s="5" t="n">
        <v>0.63</v>
      </c>
      <c r="N35" s="5" t="n">
        <v>0.57</v>
      </c>
    </row>
    <row r="36">
      <c r="A36" t="n">
        <v>35</v>
      </c>
      <c r="B36" t="n">
        <v>2013</v>
      </c>
      <c r="C36" t="inlineStr">
        <is>
          <t>Valesca Calabrese</t>
        </is>
      </c>
      <c r="D36">
        <f>HYPERLINK("https://ota.tournamentsoftware.com/player-profile/B0833DD4-B006-4DA5-A204-F5A1B4F3FABB", "Link")</f>
        <v/>
      </c>
      <c r="E36" s="3" t="n">
        <v>2468.42</v>
      </c>
      <c r="F36" s="4" t="n">
        <v>23</v>
      </c>
      <c r="G36" t="inlineStr">
        <is>
          <t>Ontario Tennis Association</t>
        </is>
      </c>
      <c r="H36" t="inlineStr">
        <is>
          <t>Kingston Racquet Centre</t>
        </is>
      </c>
      <c r="I36" t="n">
        <v>24.6</v>
      </c>
      <c r="J36" s="4" t="n">
        <v>262</v>
      </c>
      <c r="K36" t="inlineStr">
        <is>
          <t>175 / 87</t>
        </is>
      </c>
      <c r="L36" t="inlineStr">
        <is>
          <t>26 / 11</t>
        </is>
      </c>
      <c r="M36" s="5" t="n">
        <v>0.67</v>
      </c>
      <c r="N36" s="5" t="n">
        <v>0.7</v>
      </c>
    </row>
    <row r="37">
      <c r="A37" t="n">
        <v>36</v>
      </c>
      <c r="B37" t="n">
        <v>2013</v>
      </c>
      <c r="C37" t="inlineStr">
        <is>
          <t>Janelle Mao</t>
        </is>
      </c>
      <c r="D37">
        <f>HYPERLINK("https://ota.tournamentsoftware.com/player-profile/25605052-7047-4B82-9C15-5D4C8CE7946D", "Link")</f>
        <v/>
      </c>
      <c r="E37" s="3" t="n">
        <v>2442.361</v>
      </c>
      <c r="F37" s="4" t="n">
        <v>14</v>
      </c>
      <c r="G37" t="inlineStr">
        <is>
          <t>Ontario Tennis Association</t>
        </is>
      </c>
      <c r="H37" t="inlineStr">
        <is>
          <t>London Hunt &amp; Country Club</t>
        </is>
      </c>
      <c r="I37" t="n">
        <v>24.4</v>
      </c>
      <c r="J37" s="4" t="n">
        <v>213</v>
      </c>
      <c r="K37" t="inlineStr">
        <is>
          <t>125 / 88</t>
        </is>
      </c>
      <c r="L37" t="inlineStr">
        <is>
          <t>20 / 20</t>
        </is>
      </c>
      <c r="M37" s="5" t="n">
        <v>0.59</v>
      </c>
      <c r="N37" s="5" t="n">
        <v>0.5</v>
      </c>
    </row>
    <row r="38">
      <c r="A38" t="n">
        <v>37</v>
      </c>
      <c r="B38" t="n">
        <v>2012</v>
      </c>
      <c r="C38" t="inlineStr">
        <is>
          <t>Daisy Okechukwu</t>
        </is>
      </c>
      <c r="D38">
        <f>HYPERLINK("https://ota.tournamentsoftware.com/player-profile/9909D668-CC24-45D1-AD61-DE790BE62029", "Link")</f>
        <v/>
      </c>
      <c r="E38" s="3" t="n">
        <v>2400</v>
      </c>
      <c r="F38" s="4" t="n">
        <v>12</v>
      </c>
      <c r="G38" t="inlineStr">
        <is>
          <t>Ontario Tennis Association</t>
        </is>
      </c>
      <c r="H38" t="inlineStr">
        <is>
          <t>Carleton Tennis Centre</t>
        </is>
      </c>
      <c r="I38" t="n">
        <v>26.8</v>
      </c>
      <c r="J38" s="4" t="n">
        <v>129</v>
      </c>
      <c r="K38" t="inlineStr">
        <is>
          <t>36 / 93</t>
        </is>
      </c>
      <c r="L38" t="inlineStr">
        <is>
          <t>0 / 0</t>
        </is>
      </c>
      <c r="M38" s="5" t="n">
        <v>0.28</v>
      </c>
      <c r="N38" s="5" t="n">
        <v>0</v>
      </c>
    </row>
    <row r="39">
      <c r="A39" t="n">
        <v>38</v>
      </c>
      <c r="B39" t="n">
        <v>2012</v>
      </c>
      <c r="C39" t="inlineStr">
        <is>
          <t>scarlett Ai</t>
        </is>
      </c>
      <c r="D39">
        <f>HYPERLINK("https://ota.tournamentsoftware.com/player-profile/99B381B6-120A-4EAE-A001-756292C53927", "Link")</f>
        <v/>
      </c>
      <c r="E39" s="3" t="n">
        <v>2328.047</v>
      </c>
      <c r="F39" s="4" t="n">
        <v>16</v>
      </c>
      <c r="G39" t="inlineStr">
        <is>
          <t>Ontario Tennis Association</t>
        </is>
      </c>
      <c r="H39" t="inlineStr">
        <is>
          <t>Toronto Tennis Academy</t>
        </is>
      </c>
      <c r="I39" t="n">
        <v>25.2</v>
      </c>
      <c r="J39" s="4" t="n">
        <v>221</v>
      </c>
      <c r="K39" t="inlineStr">
        <is>
          <t>120 / 101</t>
        </is>
      </c>
      <c r="L39" t="inlineStr">
        <is>
          <t>23 / 16</t>
        </is>
      </c>
      <c r="M39" s="5" t="n">
        <v>0.54</v>
      </c>
      <c r="N39" s="5" t="n">
        <v>0.59</v>
      </c>
    </row>
    <row r="40">
      <c r="A40" t="n">
        <v>39</v>
      </c>
      <c r="B40" t="n">
        <v>2014</v>
      </c>
      <c r="C40" t="inlineStr">
        <is>
          <t>Adelina Tanashikova</t>
        </is>
      </c>
      <c r="D40">
        <f>HYPERLINK("https://ota.tournamentsoftware.com/player-profile/AD7F41D2-B208-4518-963D-851BBA4276F4", "Link")</f>
        <v/>
      </c>
      <c r="E40" s="3" t="n">
        <v>2209.809</v>
      </c>
      <c r="F40" s="4" t="n">
        <v>14</v>
      </c>
      <c r="G40" t="inlineStr">
        <is>
          <t>Ontario Tennis Association</t>
        </is>
      </c>
      <c r="H40" t="inlineStr">
        <is>
          <t>No Club</t>
        </is>
      </c>
      <c r="I40" t="n">
        <v>24.4</v>
      </c>
      <c r="J40" s="4" t="n">
        <v>269</v>
      </c>
      <c r="K40" t="inlineStr">
        <is>
          <t>145 / 124</t>
        </is>
      </c>
      <c r="L40" t="inlineStr">
        <is>
          <t>28 / 7</t>
        </is>
      </c>
      <c r="M40" s="5" t="n">
        <v>0.54</v>
      </c>
      <c r="N40" s="5" t="n">
        <v>0.8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2169.55</v>
      </c>
      <c r="F41" s="4" t="n">
        <v>22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22.1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2014</v>
      </c>
      <c r="C42" t="inlineStr">
        <is>
          <t>SOPHIA JIAJIA DENG</t>
        </is>
      </c>
      <c r="D42">
        <f>HYPERLINK("https://ota.tournamentsoftware.com/player-profile/FE6DD2AD-9E29-4128-BE09-D1E88B84D2C8", "Link")</f>
        <v/>
      </c>
      <c r="E42" s="3" t="n">
        <v>2125.702</v>
      </c>
      <c r="F42" s="4" t="n">
        <v>18</v>
      </c>
      <c r="G42" t="inlineStr">
        <is>
          <t>Ontario Tennis Association</t>
        </is>
      </c>
      <c r="H42" t="inlineStr">
        <is>
          <t>Mayfair West Fitness &amp; Racquet Club</t>
        </is>
      </c>
      <c r="I42" t="n">
        <v>25.1</v>
      </c>
      <c r="J42" s="4" t="n">
        <v>184</v>
      </c>
      <c r="K42" t="inlineStr">
        <is>
          <t>136 / 48</t>
        </is>
      </c>
      <c r="L42" t="inlineStr">
        <is>
          <t>36 / 14</t>
        </is>
      </c>
      <c r="M42" s="5" t="n">
        <v>0.74</v>
      </c>
      <c r="N42" s="5" t="n">
        <v>0.72</v>
      </c>
    </row>
    <row r="43">
      <c r="A43" t="n">
        <v>42</v>
      </c>
      <c r="B43" t="n">
        <v>2014</v>
      </c>
      <c r="C43" t="inlineStr">
        <is>
          <t>Fiona Huang</t>
        </is>
      </c>
      <c r="D43">
        <f>HYPERLINK("https://ota.tournamentsoftware.com/player-profile/701ADA13-714A-48E5-B54F-4DB9E25DBDB3", "Link")</f>
        <v/>
      </c>
      <c r="E43" s="3" t="n">
        <v>2111.25</v>
      </c>
      <c r="F43" s="4" t="n">
        <v>15</v>
      </c>
      <c r="G43" t="inlineStr">
        <is>
          <t>British Columbia</t>
        </is>
      </c>
      <c r="H43" t="inlineStr">
        <is>
          <t>No Club</t>
        </is>
      </c>
      <c r="I43" t="n">
        <v>25.2</v>
      </c>
      <c r="J43" s="4" t="n">
        <v>223</v>
      </c>
      <c r="K43" t="inlineStr">
        <is>
          <t>142 / 81</t>
        </is>
      </c>
      <c r="L43" t="inlineStr">
        <is>
          <t>34 / 14</t>
        </is>
      </c>
      <c r="M43" s="5" t="n">
        <v>0.64</v>
      </c>
      <c r="N43" s="5" t="n">
        <v>0.71</v>
      </c>
    </row>
    <row r="44">
      <c r="A44" t="n">
        <v>43</v>
      </c>
      <c r="B44" t="n">
        <v>2013</v>
      </c>
      <c r="C44" t="inlineStr">
        <is>
          <t>YASMINE SOUISSI</t>
        </is>
      </c>
      <c r="D44">
        <f>HYPERLINK("https://ota.tournamentsoftware.com/player-profile/1B8E66F9-8E72-48A5-A280-1ADD14488B21", "Link")</f>
        <v/>
      </c>
      <c r="E44" s="3" t="n">
        <v>2022.814</v>
      </c>
      <c r="F44" s="4" t="n">
        <v>9</v>
      </c>
      <c r="G44" t="inlineStr">
        <is>
          <t>Tennis Québec</t>
        </is>
      </c>
      <c r="H44" t="inlineStr">
        <is>
          <t>Tennis 13</t>
        </is>
      </c>
      <c r="I44" t="n">
        <v>22.2</v>
      </c>
      <c r="J44" s="4" t="n">
        <v>248</v>
      </c>
      <c r="K44" t="inlineStr">
        <is>
          <t>167 / 81</t>
        </is>
      </c>
      <c r="L44" t="inlineStr">
        <is>
          <t>24 / 13</t>
        </is>
      </c>
      <c r="M44" s="5" t="n">
        <v>0.67</v>
      </c>
      <c r="N44" s="5" t="n">
        <v>0.65</v>
      </c>
    </row>
    <row r="45">
      <c r="A45" t="n">
        <v>44</v>
      </c>
      <c r="B45" t="n">
        <v>2014</v>
      </c>
      <c r="C45" t="inlineStr">
        <is>
          <t>Roseline Nana</t>
        </is>
      </c>
      <c r="D45">
        <f>HYPERLINK("https://ota.tournamentsoftware.com/player-profile/B0A425C4-2F23-4C29-8447-4FFBF9D90967", "Link")</f>
        <v/>
      </c>
      <c r="E45" s="3" t="n">
        <v>1993.2</v>
      </c>
      <c r="F45" s="4" t="n">
        <v>27</v>
      </c>
      <c r="G45" t="inlineStr">
        <is>
          <t>Tennis Québec</t>
        </is>
      </c>
      <c r="H45" t="inlineStr">
        <is>
          <t>Tennis Montréal Excellence</t>
        </is>
      </c>
      <c r="I45" t="n">
        <v>25</v>
      </c>
      <c r="J45" s="4" t="n">
        <v>193</v>
      </c>
      <c r="K45" t="inlineStr">
        <is>
          <t>137 / 56</t>
        </is>
      </c>
      <c r="L45" t="inlineStr">
        <is>
          <t>50 / 17</t>
        </is>
      </c>
      <c r="M45" s="5" t="n">
        <v>0.71</v>
      </c>
      <c r="N45" s="5" t="n">
        <v>0.75</v>
      </c>
    </row>
    <row r="46">
      <c r="A46" t="n">
        <v>45</v>
      </c>
      <c r="B46" t="n">
        <v>2014</v>
      </c>
      <c r="C46" t="inlineStr">
        <is>
          <t>Wilma Wai Bo Yue</t>
        </is>
      </c>
      <c r="D46">
        <f>HYPERLINK("https://ota.tournamentsoftware.com/player-profile/6CAEB488-574A-45E0-B597-01F96FA5C987", "Link")</f>
        <v/>
      </c>
      <c r="E46" s="3" t="n">
        <v>1945.112</v>
      </c>
      <c r="F46" s="4" t="n">
        <v>13</v>
      </c>
      <c r="G46" t="inlineStr">
        <is>
          <t>Ontario Tennis Association</t>
        </is>
      </c>
      <c r="H46" t="inlineStr">
        <is>
          <t>No Club</t>
        </is>
      </c>
      <c r="I46" t="n">
        <v>26.9</v>
      </c>
      <c r="J46" s="4" t="n">
        <v>207</v>
      </c>
      <c r="K46" t="inlineStr">
        <is>
          <t>149 / 58</t>
        </is>
      </c>
      <c r="L46" t="inlineStr">
        <is>
          <t>34 / 12</t>
        </is>
      </c>
      <c r="M46" s="5" t="n">
        <v>0.72</v>
      </c>
      <c r="N46" s="5" t="n">
        <v>0.74</v>
      </c>
    </row>
    <row r="47">
      <c r="A47" t="n">
        <v>46</v>
      </c>
      <c r="B47" t="n">
        <v>2012</v>
      </c>
      <c r="C47" t="inlineStr">
        <is>
          <t>Amaliia Bakumenko</t>
        </is>
      </c>
      <c r="D47">
        <f>HYPERLINK("https://ota.tournamentsoftware.com/player-profile/E789F167-880C-4307-840C-31D5E72C32F0", "Link")</f>
        <v/>
      </c>
      <c r="E47" s="3" t="n">
        <v>1923.936</v>
      </c>
      <c r="F47" s="4" t="n">
        <v>2</v>
      </c>
      <c r="G47" t="inlineStr">
        <is>
          <t>Tennis Québec</t>
        </is>
      </c>
      <c r="H47" t="inlineStr">
        <is>
          <t>Tennis 13 / Académie Ménard et associé</t>
        </is>
      </c>
      <c r="I47" t="n">
        <v>17.8</v>
      </c>
      <c r="J47" s="4" t="n">
        <v>81</v>
      </c>
      <c r="K47" t="inlineStr">
        <is>
          <t>60 / 21</t>
        </is>
      </c>
      <c r="L47" t="inlineStr">
        <is>
          <t>0 / 1</t>
        </is>
      </c>
      <c r="M47" s="5" t="n">
        <v>0.74</v>
      </c>
      <c r="N47" s="5" t="n">
        <v>0</v>
      </c>
    </row>
    <row r="48">
      <c r="A48" t="n">
        <v>47</v>
      </c>
      <c r="B48" t="n">
        <v>2012</v>
      </c>
      <c r="C48" t="inlineStr">
        <is>
          <t>Marilyn deBruin-Sawutz</t>
        </is>
      </c>
      <c r="D48">
        <f>HYPERLINK("https://ota.tournamentsoftware.com/player-profile/3DC26724-8571-4345-A75C-D904297288CB", "Link")</f>
        <v/>
      </c>
      <c r="E48" s="3" t="n">
        <v>1809.043</v>
      </c>
      <c r="F48" s="4" t="n">
        <v>24</v>
      </c>
      <c r="G48" t="inlineStr">
        <is>
          <t>Ontario Tennis Association</t>
        </is>
      </c>
      <c r="H48" t="inlineStr">
        <is>
          <t>Advantage Tennis International at Veneto</t>
        </is>
      </c>
      <c r="I48" t="n">
        <v>24</v>
      </c>
      <c r="J48" s="4" t="n">
        <v>288</v>
      </c>
      <c r="K48" t="inlineStr">
        <is>
          <t>149 / 139</t>
        </is>
      </c>
      <c r="L48" t="inlineStr">
        <is>
          <t>28 / 20</t>
        </is>
      </c>
      <c r="M48" s="5" t="n">
        <v>0.52</v>
      </c>
      <c r="N48" s="5" t="n">
        <v>0.58</v>
      </c>
    </row>
    <row r="49">
      <c r="A49" t="n">
        <v>48</v>
      </c>
      <c r="B49" t="n">
        <v>2012</v>
      </c>
      <c r="C49" t="inlineStr">
        <is>
          <t>Hannah Yiwei Wang</t>
        </is>
      </c>
      <c r="D49">
        <f>HYPERLINK("https://ota.tournamentsoftware.com/player-profile/CEB4A334-7BA1-4478-96B0-66580448520A", "Link")</f>
        <v/>
      </c>
      <c r="E49" s="3" t="n">
        <v>1798.023</v>
      </c>
      <c r="F49" s="4" t="n">
        <v>17</v>
      </c>
      <c r="G49" t="inlineStr">
        <is>
          <t>Ontario Tennis Association</t>
        </is>
      </c>
      <c r="H49" t="inlineStr">
        <is>
          <t>Richmondhill Golf &amp; Country Club</t>
        </is>
      </c>
      <c r="I49" t="n">
        <v>24.2</v>
      </c>
      <c r="J49" s="4" t="n">
        <v>173</v>
      </c>
      <c r="K49" t="inlineStr">
        <is>
          <t>91 / 82</t>
        </is>
      </c>
      <c r="L49" t="inlineStr">
        <is>
          <t>21 / 16</t>
        </is>
      </c>
      <c r="M49" s="5" t="n">
        <v>0.53</v>
      </c>
      <c r="N49" s="5" t="n">
        <v>0.57</v>
      </c>
    </row>
    <row r="50">
      <c r="A50" t="n">
        <v>49</v>
      </c>
      <c r="B50" t="n">
        <v>2012</v>
      </c>
      <c r="C50" t="inlineStr">
        <is>
          <t>Daria Glinna</t>
        </is>
      </c>
      <c r="D50">
        <f>HYPERLINK("https://ota.tournamentsoftware.com/player-profile/75F31A41-BD9F-46AC-A064-06ECE54741E7", "Link")</f>
        <v/>
      </c>
      <c r="E50" s="3" t="n">
        <v>1760.552</v>
      </c>
      <c r="F50" s="4" t="n">
        <v>14</v>
      </c>
      <c r="G50" t="inlineStr">
        <is>
          <t>Ontario Tennis Association</t>
        </is>
      </c>
      <c r="H50" t="inlineStr">
        <is>
          <t>Premier Racquet Clubs – Mississauga</t>
        </is>
      </c>
      <c r="I50" t="n">
        <v>28.2</v>
      </c>
      <c r="J50" s="4" t="n">
        <v>158</v>
      </c>
      <c r="K50" t="inlineStr">
        <is>
          <t>59 / 99</t>
        </is>
      </c>
      <c r="L50" t="inlineStr">
        <is>
          <t>4 / 8</t>
        </is>
      </c>
      <c r="M50" s="5" t="n">
        <v>0.37</v>
      </c>
      <c r="N50" s="5" t="n">
        <v>0.33</v>
      </c>
    </row>
    <row r="51">
      <c r="A51" t="n">
        <v>50</v>
      </c>
      <c r="B51" t="n">
        <v>2012</v>
      </c>
      <c r="C51" t="inlineStr">
        <is>
          <t>Katelyn Pasula</t>
        </is>
      </c>
      <c r="D51">
        <f>HYPERLINK("https://ota.tournamentsoftware.com/player-profile/2F075CB1-8090-4588-823C-59BF58DDDA64", "Link")</f>
        <v/>
      </c>
      <c r="E51" s="3" t="n">
        <v>1747.487</v>
      </c>
      <c r="F51" s="4" t="n">
        <v>7</v>
      </c>
      <c r="G51" t="inlineStr">
        <is>
          <t>British Columbia</t>
        </is>
      </c>
      <c r="H51" t="inlineStr">
        <is>
          <t>BC NI No Club</t>
        </is>
      </c>
      <c r="I51" t="inlineStr">
        <is>
          <t>unavailable</t>
        </is>
      </c>
      <c r="J51" s="4" t="n">
        <v>35</v>
      </c>
      <c r="K51" t="inlineStr">
        <is>
          <t>21 / 14</t>
        </is>
      </c>
      <c r="L51" t="inlineStr">
        <is>
          <t>8 / 5</t>
        </is>
      </c>
      <c r="M51" s="5" t="n">
        <v>0.6</v>
      </c>
      <c r="N51" s="5" t="n">
        <v>0.62</v>
      </c>
    </row>
    <row r="52">
      <c r="A52" t="n">
        <v>51</v>
      </c>
      <c r="B52" t="n">
        <v>2013</v>
      </c>
      <c r="C52" t="inlineStr">
        <is>
          <t>Etooluwa Michelle Bammeke</t>
        </is>
      </c>
      <c r="D52">
        <f>HYPERLINK("https://ota.tournamentsoftware.com/player-profile/7C02D882-BDA0-4F5A-9586-AF17737417F7", "Link")</f>
        <v/>
      </c>
      <c r="E52" s="3" t="n">
        <v>1744</v>
      </c>
      <c r="F52" s="4" t="n">
        <v>27</v>
      </c>
      <c r="G52" t="inlineStr">
        <is>
          <t>Ontario Tennis Association</t>
        </is>
      </c>
      <c r="H52" t="inlineStr">
        <is>
          <t>Joshua Creek Golf &amp; Tennis</t>
        </is>
      </c>
      <c r="I52" t="n">
        <v>27.4</v>
      </c>
      <c r="J52" s="4" t="n">
        <v>268</v>
      </c>
      <c r="K52" t="inlineStr">
        <is>
          <t>166 / 102</t>
        </is>
      </c>
      <c r="L52" t="inlineStr">
        <is>
          <t>22 / 12</t>
        </is>
      </c>
      <c r="M52" s="5" t="n">
        <v>0.62</v>
      </c>
      <c r="N52" s="5" t="n">
        <v>0.65</v>
      </c>
    </row>
    <row r="53">
      <c r="A53" t="n">
        <v>52</v>
      </c>
      <c r="B53" t="n">
        <v>2013</v>
      </c>
      <c r="C53" t="inlineStr">
        <is>
          <t>Anvitha Mahadevaswamy</t>
        </is>
      </c>
      <c r="D53">
        <f>HYPERLINK("https://ota.tournamentsoftware.com/player-profile/09DB8B30-6DCB-4B0E-9241-CA7456F2AD6D", "Link")</f>
        <v/>
      </c>
      <c r="E53" s="3" t="n">
        <v>1726.55</v>
      </c>
      <c r="F53" s="4" t="n">
        <v>13</v>
      </c>
      <c r="G53" t="inlineStr">
        <is>
          <t>Tennis New Brunswick</t>
        </is>
      </c>
      <c r="H53" t="inlineStr">
        <is>
          <t>Abony Family Tennis Center</t>
        </is>
      </c>
      <c r="I53" t="n">
        <v>25.4</v>
      </c>
      <c r="J53" s="4" t="n">
        <v>240</v>
      </c>
      <c r="K53" t="inlineStr">
        <is>
          <t>140 / 100</t>
        </is>
      </c>
      <c r="L53" t="inlineStr">
        <is>
          <t>40 / 26</t>
        </is>
      </c>
      <c r="M53" s="5" t="n">
        <v>0.58</v>
      </c>
      <c r="N53" s="5" t="n">
        <v>0.61</v>
      </c>
    </row>
    <row r="54">
      <c r="A54" t="n">
        <v>53</v>
      </c>
      <c r="B54" t="n">
        <v>2013</v>
      </c>
      <c r="C54" t="inlineStr">
        <is>
          <t>Haeun (Emily) Jo</t>
        </is>
      </c>
      <c r="D54">
        <f>HYPERLINK("https://ota.tournamentsoftware.com/player-profile/BBD49A71-6CAE-4AC7-908B-9DB5263DA715", "Link")</f>
        <v/>
      </c>
      <c r="E54" s="3" t="n">
        <v>1714.8</v>
      </c>
      <c r="F54" s="4" t="n">
        <v>13</v>
      </c>
      <c r="G54" t="inlineStr">
        <is>
          <t>Tennis Nova Scotia</t>
        </is>
      </c>
      <c r="H54" t="inlineStr">
        <is>
          <t>Atlantic Tennis Centre</t>
        </is>
      </c>
      <c r="I54" t="n">
        <v>26.1</v>
      </c>
      <c r="J54" s="4" t="n">
        <v>288</v>
      </c>
      <c r="K54" t="inlineStr">
        <is>
          <t>192 / 96</t>
        </is>
      </c>
      <c r="L54" t="inlineStr">
        <is>
          <t>43 / 17</t>
        </is>
      </c>
      <c r="M54" s="5" t="n">
        <v>0.67</v>
      </c>
      <c r="N54" s="5" t="n">
        <v>0.72</v>
      </c>
    </row>
    <row r="55">
      <c r="A55" t="n">
        <v>54</v>
      </c>
      <c r="B55" t="n">
        <v>2014</v>
      </c>
      <c r="C55" t="inlineStr">
        <is>
          <t>Aleksandra Alymov</t>
        </is>
      </c>
      <c r="D55">
        <f>HYPERLINK("https://ota.tournamentsoftware.com/player-profile/3ED01243-78C8-4179-A634-27E1B1E8443A", "Link")</f>
        <v/>
      </c>
      <c r="E55" s="3" t="n">
        <v>1695.064</v>
      </c>
      <c r="F55" s="4" t="n">
        <v>12</v>
      </c>
      <c r="G55" t="inlineStr">
        <is>
          <t>Ontario Tennis Association</t>
        </is>
      </c>
      <c r="H55" t="inlineStr">
        <is>
          <t>Rexall Centre</t>
        </is>
      </c>
      <c r="I55" t="n">
        <v>24.8</v>
      </c>
      <c r="J55" s="4" t="n">
        <v>221</v>
      </c>
      <c r="K55" t="inlineStr">
        <is>
          <t>138 / 83</t>
        </is>
      </c>
      <c r="L55" t="inlineStr">
        <is>
          <t>37 / 14</t>
        </is>
      </c>
      <c r="M55" s="5" t="n">
        <v>0.62</v>
      </c>
      <c r="N55" s="5" t="n">
        <v>0.73</v>
      </c>
    </row>
    <row r="56">
      <c r="A56" t="n">
        <v>55</v>
      </c>
      <c r="B56" t="n">
        <v>2013</v>
      </c>
      <c r="C56" t="inlineStr">
        <is>
          <t>Aida Idrissi Serghini</t>
        </is>
      </c>
      <c r="D56">
        <f>HYPERLINK("https://ota.tournamentsoftware.com/player-profile/F5E49767-E427-41A0-B6F2-79E8AC4CB7AE", "Link")</f>
        <v/>
      </c>
      <c r="E56" s="3" t="n">
        <v>1685.396</v>
      </c>
      <c r="F56" s="4" t="n">
        <v>19</v>
      </c>
      <c r="G56" t="inlineStr">
        <is>
          <t>Tennis Québec</t>
        </is>
      </c>
      <c r="H56" t="inlineStr">
        <is>
          <t>Centre récréatif de Repentigny / Académie Tennis Momentum</t>
        </is>
      </c>
      <c r="I56" t="n">
        <v>25.1</v>
      </c>
      <c r="J56" s="4" t="n">
        <v>228</v>
      </c>
      <c r="K56" t="inlineStr">
        <is>
          <t>157 / 71</t>
        </is>
      </c>
      <c r="L56" t="inlineStr">
        <is>
          <t>31 / 18</t>
        </is>
      </c>
      <c r="M56" s="5" t="n">
        <v>0.6899999999999999</v>
      </c>
      <c r="N56" s="5" t="n">
        <v>0.63</v>
      </c>
    </row>
    <row r="57">
      <c r="A57" t="n">
        <v>56</v>
      </c>
      <c r="B57" t="n">
        <v>2014</v>
      </c>
      <c r="C57" t="inlineStr">
        <is>
          <t>Naomi Danyod</t>
        </is>
      </c>
      <c r="D57">
        <f>HYPERLINK("https://ota.tournamentsoftware.com/player-profile/2037E4D8-F8CE-4A2B-858E-7FBBA84F2BC7", "Link")</f>
        <v/>
      </c>
      <c r="E57" s="3" t="n">
        <v>1674.084</v>
      </c>
      <c r="F57" s="4" t="n">
        <v>17</v>
      </c>
      <c r="G57" t="inlineStr">
        <is>
          <t>Tennis Québec</t>
        </is>
      </c>
      <c r="H57" t="inlineStr">
        <is>
          <t>Rouge et Or - Université Laval</t>
        </is>
      </c>
      <c r="I57" t="n">
        <v>25.9</v>
      </c>
      <c r="J57" s="4" t="n">
        <v>164</v>
      </c>
      <c r="K57" t="inlineStr">
        <is>
          <t>105 / 59</t>
        </is>
      </c>
      <c r="L57" t="inlineStr">
        <is>
          <t>35 / 20</t>
        </is>
      </c>
      <c r="M57" s="5" t="n">
        <v>0.64</v>
      </c>
      <c r="N57" s="5" t="n">
        <v>0.64</v>
      </c>
    </row>
    <row r="58">
      <c r="A58" t="n">
        <v>57</v>
      </c>
      <c r="B58" t="n">
        <v>2013</v>
      </c>
      <c r="C58" t="inlineStr">
        <is>
          <t>Elena Rusic</t>
        </is>
      </c>
      <c r="D58">
        <f>HYPERLINK("https://ota.tournamentsoftware.com/player-profile/C202F0BA-61C5-459D-993A-2D56C17C2B04", "Link")</f>
        <v/>
      </c>
      <c r="E58" s="3" t="n">
        <v>1612.81</v>
      </c>
      <c r="F58" s="4" t="n">
        <v>22</v>
      </c>
      <c r="G58" t="inlineStr">
        <is>
          <t>Ontario Tennis Association</t>
        </is>
      </c>
      <c r="H58" t="inlineStr">
        <is>
          <t>Joshua Creek Golf &amp; Tennis</t>
        </is>
      </c>
      <c r="I58" t="n">
        <v>26.5</v>
      </c>
      <c r="J58" s="4" t="n">
        <v>256</v>
      </c>
      <c r="K58" t="inlineStr">
        <is>
          <t>182 / 74</t>
        </is>
      </c>
      <c r="L58" t="inlineStr">
        <is>
          <t>23 / 19</t>
        </is>
      </c>
      <c r="M58" s="5" t="n">
        <v>0.71</v>
      </c>
      <c r="N58" s="5" t="n">
        <v>0.55</v>
      </c>
    </row>
    <row r="59">
      <c r="A59" t="n">
        <v>58</v>
      </c>
      <c r="B59" t="n">
        <v>2012</v>
      </c>
      <c r="C59" t="inlineStr">
        <is>
          <t>Annika Richards</t>
        </is>
      </c>
      <c r="D59">
        <f>HYPERLINK("https://ota.tournamentsoftware.com/player-profile/CFED81F9-9EA3-48DF-84C4-507456D5D68B", "Link")</f>
        <v/>
      </c>
      <c r="E59" s="3" t="n">
        <v>1580.813</v>
      </c>
      <c r="F59" s="4" t="n">
        <v>18</v>
      </c>
      <c r="G59" t="inlineStr">
        <is>
          <t>Ontario Tennis Association</t>
        </is>
      </c>
      <c r="H59" t="inlineStr">
        <is>
          <t>Toronto Cricket Skating &amp; Curling</t>
        </is>
      </c>
      <c r="I59" t="n">
        <v>27.4</v>
      </c>
      <c r="J59" s="4" t="n">
        <v>189</v>
      </c>
      <c r="K59" t="inlineStr">
        <is>
          <t>81 / 108</t>
        </is>
      </c>
      <c r="L59" t="inlineStr">
        <is>
          <t>8 / 17</t>
        </is>
      </c>
      <c r="M59" s="5" t="n">
        <v>0.43</v>
      </c>
      <c r="N59" s="5" t="n">
        <v>0.32</v>
      </c>
    </row>
    <row r="60">
      <c r="A60" t="n">
        <v>59</v>
      </c>
      <c r="B60" t="n">
        <v>2012</v>
      </c>
      <c r="C60" t="inlineStr">
        <is>
          <t>Allyson Experience</t>
        </is>
      </c>
      <c r="D60">
        <f>HYPERLINK("https://ota.tournamentsoftware.com/player-profile/9A5D0B4A-A8C7-47DA-8CAD-CA25D28C69CE", "Link")</f>
        <v/>
      </c>
      <c r="E60" s="3" t="n">
        <v>1566.027</v>
      </c>
      <c r="F60" s="4" t="n">
        <v>24</v>
      </c>
      <c r="G60" t="inlineStr">
        <is>
          <t>Tennis Québec</t>
        </is>
      </c>
      <c r="H60" t="inlineStr">
        <is>
          <t>Tennis Montréal Excellence</t>
        </is>
      </c>
      <c r="I60" t="n">
        <v>26.5</v>
      </c>
      <c r="J60" s="4" t="n">
        <v>261</v>
      </c>
      <c r="K60" t="inlineStr">
        <is>
          <t>120 / 141</t>
        </is>
      </c>
      <c r="L60" t="inlineStr">
        <is>
          <t>19 / 22</t>
        </is>
      </c>
      <c r="M60" s="5" t="n">
        <v>0.46</v>
      </c>
      <c r="N60" s="5" t="n">
        <v>0.46</v>
      </c>
    </row>
    <row r="61">
      <c r="A61" t="n">
        <v>60</v>
      </c>
      <c r="B61" t="n">
        <v>2012</v>
      </c>
      <c r="C61" t="inlineStr">
        <is>
          <t>Natalie Le'er Sang</t>
        </is>
      </c>
      <c r="D61">
        <f>HYPERLINK("https://ota.tournamentsoftware.com/player-profile/993E5845-6FAB-4557-A6F0-C3D60CD8BB97", "Link")</f>
        <v/>
      </c>
      <c r="E61" s="3" t="n">
        <v>1488.96</v>
      </c>
      <c r="F61" s="4" t="n">
        <v>17</v>
      </c>
      <c r="G61" t="inlineStr">
        <is>
          <t>British Columbia</t>
        </is>
      </c>
      <c r="H61" t="inlineStr">
        <is>
          <t>No Club</t>
        </is>
      </c>
      <c r="I61" t="n">
        <v>25.4</v>
      </c>
      <c r="J61" s="4" t="n">
        <v>111</v>
      </c>
      <c r="K61" t="inlineStr">
        <is>
          <t>78 / 33</t>
        </is>
      </c>
      <c r="L61" t="inlineStr">
        <is>
          <t>21 / 19</t>
        </is>
      </c>
      <c r="M61" s="5" t="n">
        <v>0.7</v>
      </c>
      <c r="N61" s="5" t="n">
        <v>0.53</v>
      </c>
    </row>
    <row r="62">
      <c r="A62" t="n">
        <v>61</v>
      </c>
      <c r="B62" t="n">
        <v>2012</v>
      </c>
      <c r="C62" t="inlineStr">
        <is>
          <t>Kelly L Zhang</t>
        </is>
      </c>
      <c r="D62">
        <f>HYPERLINK("https://ota.tournamentsoftware.com/player-profile/2504E03B-B05C-4307-B90E-F3F72DD94827", "Link")</f>
        <v/>
      </c>
      <c r="E62" s="3" t="n">
        <v>1476.763</v>
      </c>
      <c r="F62" s="4" t="n">
        <v>21</v>
      </c>
      <c r="G62" t="inlineStr">
        <is>
          <t>Ontario Tennis Association</t>
        </is>
      </c>
      <c r="H62" t="inlineStr">
        <is>
          <t>NYTA Winter Tennis Club</t>
        </is>
      </c>
      <c r="I62" t="n">
        <v>28.3</v>
      </c>
      <c r="J62" s="4" t="n">
        <v>184</v>
      </c>
      <c r="K62" t="inlineStr">
        <is>
          <t>90 / 94</t>
        </is>
      </c>
      <c r="L62" t="inlineStr">
        <is>
          <t>23 / 16</t>
        </is>
      </c>
      <c r="M62" s="5" t="n">
        <v>0.49</v>
      </c>
      <c r="N62" s="5" t="n">
        <v>0.59</v>
      </c>
    </row>
    <row r="63">
      <c r="A63" t="n">
        <v>62</v>
      </c>
      <c r="B63" t="n">
        <v>2013</v>
      </c>
      <c r="C63" t="inlineStr">
        <is>
          <t>Alexane Deschênes</t>
        </is>
      </c>
      <c r="D63">
        <f>HYPERLINK("https://ota.tournamentsoftware.com/player-profile/124D1E6B-E463-4461-A5D1-9C844DE2C6D9", "Link")</f>
        <v/>
      </c>
      <c r="E63" s="3" t="n">
        <v>1453.229</v>
      </c>
      <c r="F63" s="4" t="n">
        <v>20</v>
      </c>
      <c r="G63" t="inlineStr">
        <is>
          <t>Tennis Québec</t>
        </is>
      </c>
      <c r="H63" t="inlineStr">
        <is>
          <t>Centre récréatif de Repentigny / Académie Tennis Momentum</t>
        </is>
      </c>
      <c r="I63" t="n">
        <v>25.2</v>
      </c>
      <c r="J63" s="4" t="n">
        <v>290</v>
      </c>
      <c r="K63" t="inlineStr">
        <is>
          <t>154 / 136</t>
        </is>
      </c>
      <c r="L63" t="inlineStr">
        <is>
          <t>34 / 34</t>
        </is>
      </c>
      <c r="M63" s="5" t="n">
        <v>0.53</v>
      </c>
      <c r="N63" s="5" t="n">
        <v>0.5</v>
      </c>
    </row>
    <row r="64">
      <c r="A64" t="n">
        <v>63</v>
      </c>
      <c r="B64" t="n">
        <v>2014</v>
      </c>
      <c r="C64" t="inlineStr">
        <is>
          <t>jocelyn ai</t>
        </is>
      </c>
      <c r="D64">
        <f>HYPERLINK("https://ota.tournamentsoftware.com/player-profile/EADED953-942B-4335-BE21-C0DE8F31626D", "Link")</f>
        <v/>
      </c>
      <c r="E64" s="3" t="n">
        <v>1450.912</v>
      </c>
      <c r="F64" s="4" t="n">
        <v>22</v>
      </c>
      <c r="G64" t="inlineStr">
        <is>
          <t>Ontario Tennis Association</t>
        </is>
      </c>
      <c r="H64" t="inlineStr">
        <is>
          <t>No Club</t>
        </is>
      </c>
      <c r="I64" t="n">
        <v>27.1</v>
      </c>
      <c r="J64" s="4" t="n">
        <v>220</v>
      </c>
      <c r="K64" t="inlineStr">
        <is>
          <t>133 / 87</t>
        </is>
      </c>
      <c r="L64" t="inlineStr">
        <is>
          <t>39 / 24</t>
        </is>
      </c>
      <c r="M64" s="5" t="n">
        <v>0.6</v>
      </c>
      <c r="N64" s="5" t="n">
        <v>0.62</v>
      </c>
    </row>
    <row r="65">
      <c r="A65" t="n">
        <v>64</v>
      </c>
      <c r="B65" t="n">
        <v>2013</v>
      </c>
      <c r="C65" t="inlineStr">
        <is>
          <t>xiayue(Cecelia) Bi</t>
        </is>
      </c>
      <c r="D65">
        <f>HYPERLINK("https://ota.tournamentsoftware.com/player-profile/081CD41C-A9E4-4340-A239-2D92F6639919", "Link")</f>
        <v/>
      </c>
      <c r="E65" s="3" t="n">
        <v>1447.488</v>
      </c>
      <c r="F65" s="4" t="n">
        <v>12</v>
      </c>
      <c r="G65" t="inlineStr">
        <is>
          <t>British Columbia</t>
        </is>
      </c>
      <c r="H65" t="inlineStr">
        <is>
          <t>North Vancouver Tennis Centre</t>
        </is>
      </c>
      <c r="I65" t="n">
        <v>24.3</v>
      </c>
      <c r="J65" s="4" t="n">
        <v>248</v>
      </c>
      <c r="K65" t="inlineStr">
        <is>
          <t>158 / 90</t>
        </is>
      </c>
      <c r="L65" t="inlineStr">
        <is>
          <t>19 / 22</t>
        </is>
      </c>
      <c r="M65" s="5" t="n">
        <v>0.64</v>
      </c>
      <c r="N65" s="5" t="n">
        <v>0.46</v>
      </c>
    </row>
    <row r="66">
      <c r="A66" t="n">
        <v>65</v>
      </c>
      <c r="B66" t="n">
        <v>2014</v>
      </c>
      <c r="C66" t="inlineStr">
        <is>
          <t>Amelia Grace Balasuriya</t>
        </is>
      </c>
      <c r="D66">
        <f>HYPERLINK("https://ota.tournamentsoftware.com/player-profile/741A3060-1EA3-4E29-A0BE-1717DEF32CEA", "Link")</f>
        <v/>
      </c>
      <c r="E66" s="3" t="n">
        <v>1414.433</v>
      </c>
      <c r="F66" s="4" t="n">
        <v>28</v>
      </c>
      <c r="G66" t="inlineStr">
        <is>
          <t>Ontario Tennis Association</t>
        </is>
      </c>
      <c r="H66" t="inlineStr">
        <is>
          <t>The Supreme Court Tennis Club</t>
        </is>
      </c>
      <c r="I66" t="n">
        <v>26.7</v>
      </c>
      <c r="J66" s="4" t="n">
        <v>267</v>
      </c>
      <c r="K66" t="inlineStr">
        <is>
          <t>172 / 95</t>
        </is>
      </c>
      <c r="L66" t="inlineStr">
        <is>
          <t>49 / 25</t>
        </is>
      </c>
      <c r="M66" s="5" t="n">
        <v>0.64</v>
      </c>
      <c r="N66" s="5" t="n">
        <v>0.66</v>
      </c>
    </row>
    <row r="67">
      <c r="A67" t="n">
        <v>66</v>
      </c>
      <c r="B67" t="n">
        <v>2013</v>
      </c>
      <c r="C67" t="inlineStr">
        <is>
          <t>Dewa Ayu Devin Sum</t>
        </is>
      </c>
      <c r="D67">
        <f>HYPERLINK("https://ota.tournamentsoftware.com/player-profile/9DB24D5C-3B5C-4B40-BE7E-B331240C1B21", "Link")</f>
        <v/>
      </c>
      <c r="E67" s="3" t="n">
        <v>1397.453</v>
      </c>
      <c r="F67" s="4" t="n">
        <v>30</v>
      </c>
      <c r="G67" t="inlineStr">
        <is>
          <t>Ontario Tennis Association</t>
        </is>
      </c>
      <c r="H67" t="inlineStr">
        <is>
          <t>Premier Racquet Clubs – Mississauga</t>
        </is>
      </c>
      <c r="I67" t="n">
        <v>27.9</v>
      </c>
      <c r="J67" s="4" t="n">
        <v>177</v>
      </c>
      <c r="K67" t="inlineStr">
        <is>
          <t>92 / 85</t>
        </is>
      </c>
      <c r="L67" t="inlineStr">
        <is>
          <t>26 / 20</t>
        </is>
      </c>
      <c r="M67" s="5" t="n">
        <v>0.52</v>
      </c>
      <c r="N67" s="5" t="n">
        <v>0.57</v>
      </c>
    </row>
    <row r="68">
      <c r="A68" t="n">
        <v>67</v>
      </c>
      <c r="B68" t="n">
        <v>2013</v>
      </c>
      <c r="C68" t="inlineStr">
        <is>
          <t>Eleanor Victoria Paura</t>
        </is>
      </c>
      <c r="D68">
        <f>HYPERLINK("https://ota.tournamentsoftware.com/player-profile/4D9EBB83-94D7-44A3-BD6F-1D98EF9559DF", "Link")</f>
        <v/>
      </c>
      <c r="E68" s="3" t="n">
        <v>1376.144</v>
      </c>
      <c r="F68" s="4" t="n">
        <v>11</v>
      </c>
      <c r="G68" t="inlineStr">
        <is>
          <t>Tennis Saskatchewan</t>
        </is>
      </c>
      <c r="H68" t="inlineStr">
        <is>
          <t>Lakeshore Tennis Club</t>
        </is>
      </c>
      <c r="I68" t="n">
        <v>29.7</v>
      </c>
      <c r="J68" s="4" t="n">
        <v>196</v>
      </c>
      <c r="K68" t="inlineStr">
        <is>
          <t>85 / 111</t>
        </is>
      </c>
      <c r="L68" t="inlineStr">
        <is>
          <t>27 / 22</t>
        </is>
      </c>
      <c r="M68" s="5" t="n">
        <v>0.43</v>
      </c>
      <c r="N68" s="5" t="n">
        <v>0.55</v>
      </c>
    </row>
    <row r="69">
      <c r="A69" t="n">
        <v>68</v>
      </c>
      <c r="B69" t="n">
        <v>2014</v>
      </c>
      <c r="C69" t="inlineStr">
        <is>
          <t>Emma Allen</t>
        </is>
      </c>
      <c r="D69">
        <f>HYPERLINK("https://ota.tournamentsoftware.com/player-profile/5640B61E-0EE7-4BB3-ABC3-AD9CB508E4E9", "Link")</f>
        <v/>
      </c>
      <c r="E69" s="3" t="n">
        <v>1351.651</v>
      </c>
      <c r="F69" s="4" t="n">
        <v>21</v>
      </c>
      <c r="G69" t="inlineStr">
        <is>
          <t>Ontario Tennis Association</t>
        </is>
      </c>
      <c r="H69" t="inlineStr">
        <is>
          <t>Joshua Creek Golf &amp; Tennis</t>
        </is>
      </c>
      <c r="I69" t="n">
        <v>26.7</v>
      </c>
      <c r="J69" s="4" t="n">
        <v>255</v>
      </c>
      <c r="K69" t="inlineStr">
        <is>
          <t>184 / 71</t>
        </is>
      </c>
      <c r="L69" t="inlineStr">
        <is>
          <t>36 / 19</t>
        </is>
      </c>
      <c r="M69" s="5" t="n">
        <v>0.72</v>
      </c>
      <c r="N69" s="5" t="n">
        <v>0.65</v>
      </c>
    </row>
    <row r="70">
      <c r="A70" t="n">
        <v>69</v>
      </c>
      <c r="B70" t="n">
        <v>2013</v>
      </c>
      <c r="C70" t="inlineStr">
        <is>
          <t>Charlotte Dawes</t>
        </is>
      </c>
      <c r="D70">
        <f>HYPERLINK("https://ota.tournamentsoftware.com/player-profile/F2AC6B3A-37CF-4522-9228-9A614DED4E6F", "Link")</f>
        <v/>
      </c>
      <c r="E70" s="3" t="n">
        <v>1333.136</v>
      </c>
      <c r="F70" s="4" t="n">
        <v>14</v>
      </c>
      <c r="G70" t="inlineStr">
        <is>
          <t>Tennis Alberta</t>
        </is>
      </c>
      <c r="H70" t="inlineStr">
        <is>
          <t>Osten &amp; Victor Alberta Tennis Centre</t>
        </is>
      </c>
      <c r="I70" t="n">
        <v>27.3</v>
      </c>
      <c r="J70" s="4" t="n">
        <v>225</v>
      </c>
      <c r="K70" t="inlineStr">
        <is>
          <t>112 / 113</t>
        </is>
      </c>
      <c r="L70" t="inlineStr">
        <is>
          <t>25 / 18</t>
        </is>
      </c>
      <c r="M70" s="5" t="n">
        <v>0.5</v>
      </c>
      <c r="N70" s="5" t="n">
        <v>0.58</v>
      </c>
    </row>
    <row r="71">
      <c r="A71" t="n">
        <v>70</v>
      </c>
      <c r="B71" t="n">
        <v>2012</v>
      </c>
      <c r="C71" t="inlineStr">
        <is>
          <t>Zahava Olszynko</t>
        </is>
      </c>
      <c r="D71">
        <f>HYPERLINK("https://ota.tournamentsoftware.com/player-profile/B6F84042-B29D-4CD8-984E-787094BFA8A4", "Link")</f>
        <v/>
      </c>
      <c r="E71" s="3" t="n">
        <v>1317.162</v>
      </c>
      <c r="F71" s="4" t="n">
        <v>29</v>
      </c>
      <c r="G71" t="inlineStr">
        <is>
          <t>Ontario Tennis Association</t>
        </is>
      </c>
      <c r="H71" t="inlineStr">
        <is>
          <t>Rideau Sports Centre</t>
        </is>
      </c>
      <c r="I71" t="n">
        <v>25.4</v>
      </c>
      <c r="J71" s="4" t="n">
        <v>230</v>
      </c>
      <c r="K71" t="inlineStr">
        <is>
          <t>128 / 102</t>
        </is>
      </c>
      <c r="L71" t="inlineStr">
        <is>
          <t>36 / 22</t>
        </is>
      </c>
      <c r="M71" s="5" t="n">
        <v>0.5600000000000001</v>
      </c>
      <c r="N71" s="5" t="n">
        <v>0.62</v>
      </c>
    </row>
    <row r="72">
      <c r="A72" t="n">
        <v>71</v>
      </c>
      <c r="B72" t="n">
        <v>2012</v>
      </c>
      <c r="C72" t="inlineStr">
        <is>
          <t>Emilie Chen</t>
        </is>
      </c>
      <c r="D72">
        <f>HYPERLINK("https://ota.tournamentsoftware.com/player-profile/829AD033-5D37-4AE8-9F34-8C50F25B20C3", "Link")</f>
        <v/>
      </c>
      <c r="E72" s="3" t="n">
        <v>1288.491</v>
      </c>
      <c r="F72" s="4" t="n">
        <v>13</v>
      </c>
      <c r="G72" t="inlineStr">
        <is>
          <t>Ontario Tennis Association</t>
        </is>
      </c>
      <c r="H72" t="inlineStr">
        <is>
          <t>Toronto Cricket Skating &amp; Curling</t>
        </is>
      </c>
      <c r="I72" t="n">
        <v>26</v>
      </c>
      <c r="J72" s="4" t="n">
        <v>214</v>
      </c>
      <c r="K72" t="inlineStr">
        <is>
          <t>89 / 125</t>
        </is>
      </c>
      <c r="L72" t="inlineStr">
        <is>
          <t>12 / 13</t>
        </is>
      </c>
      <c r="M72" s="5" t="n">
        <v>0.42</v>
      </c>
      <c r="N72" s="5" t="n">
        <v>0.48</v>
      </c>
    </row>
    <row r="73">
      <c r="A73" t="n">
        <v>72</v>
      </c>
      <c r="B73" t="n">
        <v>2013</v>
      </c>
      <c r="C73" t="inlineStr">
        <is>
          <t>Avery Badyal</t>
        </is>
      </c>
      <c r="D73">
        <f>HYPERLINK("https://ota.tournamentsoftware.com/player-profile/9486479F-C8FD-48FB-BCCD-0246C53A632C", "Link")</f>
        <v/>
      </c>
      <c r="E73" s="3" t="n">
        <v>1248.194</v>
      </c>
      <c r="F73" s="4" t="n">
        <v>11</v>
      </c>
      <c r="G73" t="inlineStr">
        <is>
          <t>British Columbia</t>
        </is>
      </c>
      <c r="H73" t="inlineStr">
        <is>
          <t>The Tennis Centre</t>
        </is>
      </c>
      <c r="I73" t="n">
        <v>25.2</v>
      </c>
      <c r="J73" s="4" t="n">
        <v>239</v>
      </c>
      <c r="K73" t="inlineStr">
        <is>
          <t>145 / 94</t>
        </is>
      </c>
      <c r="L73" t="inlineStr">
        <is>
          <t>17 / 19</t>
        </is>
      </c>
      <c r="M73" s="5" t="n">
        <v>0.61</v>
      </c>
      <c r="N73" s="5" t="n">
        <v>0.47</v>
      </c>
    </row>
    <row r="74">
      <c r="A74" t="n">
        <v>73</v>
      </c>
      <c r="B74" t="n">
        <v>2013</v>
      </c>
      <c r="C74" t="inlineStr">
        <is>
          <t>Iris Fu</t>
        </is>
      </c>
      <c r="D74">
        <f>HYPERLINK("https://ota.tournamentsoftware.com/player-profile/0A3A4B5A-8950-4E67-BAA9-3F132754A3FD", "Link")</f>
        <v/>
      </c>
      <c r="E74" s="3" t="n">
        <v>1233.045</v>
      </c>
      <c r="F74" s="4" t="n">
        <v>16</v>
      </c>
      <c r="G74" t="inlineStr">
        <is>
          <t>Ontario Tennis Association</t>
        </is>
      </c>
      <c r="H74" t="inlineStr">
        <is>
          <t>Premier Racquet Clubs – Mississauga</t>
        </is>
      </c>
      <c r="I74" t="inlineStr">
        <is>
          <t>unavailable</t>
        </is>
      </c>
      <c r="J74" s="4" t="n">
        <v>240</v>
      </c>
      <c r="K74" t="inlineStr">
        <is>
          <t>138 / 102</t>
        </is>
      </c>
      <c r="L74" t="inlineStr">
        <is>
          <t>23 / 12</t>
        </is>
      </c>
      <c r="M74" s="5" t="n">
        <v>0.57</v>
      </c>
      <c r="N74" s="5" t="n">
        <v>0.66</v>
      </c>
    </row>
    <row r="75">
      <c r="A75" t="n">
        <v>74</v>
      </c>
      <c r="B75" t="n">
        <v>2013</v>
      </c>
      <c r="C75" t="inlineStr">
        <is>
          <t>Adèle Juneau</t>
        </is>
      </c>
      <c r="D75">
        <f>HYPERLINK("https://ota.tournamentsoftware.com/player-profile/3A8C3EB0-444C-4108-A91E-FC74701A660D", "Link")</f>
        <v/>
      </c>
      <c r="E75" s="3" t="n">
        <v>1231.347</v>
      </c>
      <c r="F75" s="4" t="n">
        <v>17</v>
      </c>
      <c r="G75" t="inlineStr">
        <is>
          <t>Tennis Québec</t>
        </is>
      </c>
      <c r="H75" t="inlineStr">
        <is>
          <t>Tennis 13 / Académie Ménard et associé</t>
        </is>
      </c>
      <c r="I75" t="n">
        <v>25.6</v>
      </c>
      <c r="J75" s="4" t="n">
        <v>333</v>
      </c>
      <c r="K75" t="inlineStr">
        <is>
          <t>186 / 147</t>
        </is>
      </c>
      <c r="L75" t="inlineStr">
        <is>
          <t>18 / 22</t>
        </is>
      </c>
      <c r="M75" s="5" t="n">
        <v>0.5600000000000001</v>
      </c>
      <c r="N75" s="5" t="n">
        <v>0.45</v>
      </c>
    </row>
    <row r="76">
      <c r="A76" t="n">
        <v>75</v>
      </c>
      <c r="B76" t="n">
        <v>2012</v>
      </c>
      <c r="C76" t="inlineStr">
        <is>
          <t>Alessia Lungu</t>
        </is>
      </c>
      <c r="D76">
        <f>HYPERLINK("https://ota.tournamentsoftware.com/player-profile/99FF719F-9C8F-4394-BE76-5455D457977A", "Link")</f>
        <v/>
      </c>
      <c r="E76" s="3" t="n">
        <v>1212.805</v>
      </c>
      <c r="F76" s="4" t="n">
        <v>10</v>
      </c>
      <c r="G76" t="inlineStr">
        <is>
          <t>Ontario Tennis Association</t>
        </is>
      </c>
      <c r="H76" t="inlineStr">
        <is>
          <t>Joshua Creek Golf &amp; Tennis</t>
        </is>
      </c>
      <c r="I76" t="n">
        <v>23.2</v>
      </c>
      <c r="J76" s="4" t="n">
        <v>181</v>
      </c>
      <c r="K76" t="inlineStr">
        <is>
          <t>116 / 65</t>
        </is>
      </c>
      <c r="L76" t="inlineStr">
        <is>
          <t>5 / 3</t>
        </is>
      </c>
      <c r="M76" s="5" t="n">
        <v>0.64</v>
      </c>
      <c r="N76" s="5" t="n">
        <v>0.62</v>
      </c>
    </row>
    <row r="77">
      <c r="A77" t="n">
        <v>76</v>
      </c>
      <c r="B77" t="n">
        <v>2014</v>
      </c>
      <c r="C77" t="inlineStr">
        <is>
          <t>Naella Sehic</t>
        </is>
      </c>
      <c r="D77">
        <f>HYPERLINK("https://ota.tournamentsoftware.com/player-profile/C86BA5BA-97F0-463B-BBE7-6A41452E0D47", "Link")</f>
        <v/>
      </c>
      <c r="E77" s="3" t="n">
        <v>1206.241</v>
      </c>
      <c r="F77" s="4" t="n">
        <v>20</v>
      </c>
      <c r="G77" t="inlineStr">
        <is>
          <t>Tennis Québec</t>
        </is>
      </c>
      <c r="H77" t="inlineStr">
        <is>
          <t>Tennis Ile- des- Soeurs</t>
        </is>
      </c>
      <c r="I77" t="n">
        <v>25.8</v>
      </c>
      <c r="J77" s="4" t="n">
        <v>297</v>
      </c>
      <c r="K77" t="inlineStr">
        <is>
          <t>183 / 114</t>
        </is>
      </c>
      <c r="L77" t="inlineStr">
        <is>
          <t>48 / 16</t>
        </is>
      </c>
      <c r="M77" s="5" t="n">
        <v>0.62</v>
      </c>
      <c r="N77" s="5" t="n">
        <v>0.75</v>
      </c>
    </row>
    <row r="78">
      <c r="A78" t="n">
        <v>77</v>
      </c>
      <c r="B78" t="n">
        <v>2012</v>
      </c>
      <c r="C78" t="inlineStr">
        <is>
          <t>Karina Zhang</t>
        </is>
      </c>
      <c r="D78">
        <f>HYPERLINK("https://ota.tournamentsoftware.com/player-profile/7BB53E38-BBB9-4E1E-B8A2-8EFC2E762653", "Link")</f>
        <v/>
      </c>
      <c r="E78" s="3" t="n">
        <v>1204.716</v>
      </c>
      <c r="F78" s="4" t="n">
        <v>27</v>
      </c>
      <c r="G78" t="inlineStr">
        <is>
          <t>Ontario Tennis Association</t>
        </is>
      </c>
      <c r="H78" t="inlineStr">
        <is>
          <t>Richmondhill Golf &amp; Country Club</t>
        </is>
      </c>
      <c r="I78" t="n">
        <v>24.4</v>
      </c>
      <c r="J78" s="4" t="n">
        <v>209</v>
      </c>
      <c r="K78" t="inlineStr">
        <is>
          <t>130 / 79</t>
        </is>
      </c>
      <c r="L78" t="inlineStr">
        <is>
          <t>30 / 23</t>
        </is>
      </c>
      <c r="M78" s="5" t="n">
        <v>0.62</v>
      </c>
      <c r="N78" s="5" t="n">
        <v>0.57</v>
      </c>
    </row>
    <row r="79">
      <c r="A79" t="n">
        <v>78</v>
      </c>
      <c r="B79" t="n">
        <v>2012</v>
      </c>
      <c r="C79" t="inlineStr">
        <is>
          <t>Ashlee Hanul Yoo</t>
        </is>
      </c>
      <c r="D79">
        <f>HYPERLINK("https://ota.tournamentsoftware.com/player-profile/BA09F220-C66B-4A96-9C0C-1BEE71ADDA56", "Link")</f>
        <v/>
      </c>
      <c r="E79" s="3" t="n">
        <v>1170.503</v>
      </c>
      <c r="F79" s="4" t="n">
        <v>13</v>
      </c>
      <c r="G79" t="inlineStr">
        <is>
          <t>British Columbia</t>
        </is>
      </c>
      <c r="H79" t="inlineStr">
        <is>
          <t>No Club</t>
        </is>
      </c>
      <c r="I79" t="inlineStr">
        <is>
          <t>unavailable</t>
        </is>
      </c>
      <c r="J79" s="4" t="n">
        <v>205</v>
      </c>
      <c r="K79" t="inlineStr">
        <is>
          <t>109 / 96</t>
        </is>
      </c>
      <c r="L79" t="inlineStr">
        <is>
          <t>18 / 18</t>
        </is>
      </c>
      <c r="M79" s="5" t="n">
        <v>0.53</v>
      </c>
      <c r="N79" s="5" t="n">
        <v>0.5</v>
      </c>
    </row>
    <row r="80">
      <c r="A80" t="n">
        <v>79</v>
      </c>
      <c r="B80" t="n">
        <v>2012</v>
      </c>
      <c r="C80" t="inlineStr">
        <is>
          <t>Kate Louise Violet Dee</t>
        </is>
      </c>
      <c r="D80">
        <f>HYPERLINK("https://ota.tournamentsoftware.com/player-profile/807F7468-99D8-4717-B3DF-3F2ED69EFA0A", "Link")</f>
        <v/>
      </c>
      <c r="E80" s="3" t="n">
        <v>1135.533</v>
      </c>
      <c r="F80" s="4" t="n">
        <v>11</v>
      </c>
      <c r="G80" t="inlineStr">
        <is>
          <t>British Columbia</t>
        </is>
      </c>
      <c r="H80" t="inlineStr">
        <is>
          <t>North Vancouver Tennis Centre</t>
        </is>
      </c>
      <c r="I80" t="n">
        <v>25.7</v>
      </c>
      <c r="J80" s="4" t="n">
        <v>244</v>
      </c>
      <c r="K80" t="inlineStr">
        <is>
          <t>136 / 108</t>
        </is>
      </c>
      <c r="L80" t="inlineStr">
        <is>
          <t>14 / 16</t>
        </is>
      </c>
      <c r="M80" s="5" t="n">
        <v>0.5600000000000001</v>
      </c>
      <c r="N80" s="5" t="n">
        <v>0.47</v>
      </c>
    </row>
    <row r="81">
      <c r="A81" t="n">
        <v>80</v>
      </c>
      <c r="B81" t="n">
        <v>2013</v>
      </c>
      <c r="C81" t="inlineStr">
        <is>
          <t>Cindy Liu</t>
        </is>
      </c>
      <c r="D81">
        <f>HYPERLINK("https://ota.tournamentsoftware.com/player-profile/89018759-835F-4CE0-A297-3449F2A42D00", "Link")</f>
        <v/>
      </c>
      <c r="E81" s="3" t="n">
        <v>1113.273</v>
      </c>
      <c r="F81" s="4" t="n">
        <v>24</v>
      </c>
      <c r="G81" t="inlineStr">
        <is>
          <t>British Columbia</t>
        </is>
      </c>
      <c r="H81" t="inlineStr">
        <is>
          <t>The Tennis Centre</t>
        </is>
      </c>
      <c r="I81" t="n">
        <v>25.8</v>
      </c>
      <c r="J81" s="4" t="n">
        <v>197</v>
      </c>
      <c r="K81" t="inlineStr">
        <is>
          <t>104 / 93</t>
        </is>
      </c>
      <c r="L81" t="inlineStr">
        <is>
          <t>34 / 20</t>
        </is>
      </c>
      <c r="M81" s="5" t="n">
        <v>0.53</v>
      </c>
      <c r="N81" s="5" t="n">
        <v>0.63</v>
      </c>
    </row>
    <row r="82">
      <c r="A82" t="n">
        <v>81</v>
      </c>
      <c r="B82" t="n">
        <v>2014</v>
      </c>
      <c r="C82" t="inlineStr">
        <is>
          <t>Nanette Du</t>
        </is>
      </c>
      <c r="D82">
        <f>HYPERLINK("https://ota.tournamentsoftware.com/player-profile/53190390-CC68-4E5E-8079-A41733ADF41A", "Link")</f>
        <v/>
      </c>
      <c r="E82" s="3" t="n">
        <v>1108.596</v>
      </c>
      <c r="F82" s="4" t="n">
        <v>16</v>
      </c>
      <c r="G82" t="inlineStr">
        <is>
          <t>Ontario Tennis Association</t>
        </is>
      </c>
      <c r="H82" t="inlineStr">
        <is>
          <t>Advantage Tennis International at Veneto</t>
        </is>
      </c>
      <c r="I82" t="n">
        <v>28.2</v>
      </c>
      <c r="J82" s="4" t="n">
        <v>146</v>
      </c>
      <c r="K82" t="inlineStr">
        <is>
          <t>90 / 56</t>
        </is>
      </c>
      <c r="L82" t="inlineStr">
        <is>
          <t>24 / 12</t>
        </is>
      </c>
      <c r="M82" s="5" t="n">
        <v>0.62</v>
      </c>
      <c r="N82" s="5" t="n">
        <v>0.67</v>
      </c>
    </row>
    <row r="83">
      <c r="A83" t="n">
        <v>82</v>
      </c>
      <c r="B83" t="n">
        <v>2013</v>
      </c>
      <c r="C83" t="inlineStr">
        <is>
          <t>Varvara Lutsyk</t>
        </is>
      </c>
      <c r="D83">
        <f>HYPERLINK("https://ota.tournamentsoftware.com/player-profile/5197490D-6996-4375-892E-2696E508FF34", "Link")</f>
        <v/>
      </c>
      <c r="E83" s="3" t="n">
        <v>1098.2</v>
      </c>
      <c r="F83" s="4" t="n">
        <v>20</v>
      </c>
      <c r="G83" t="inlineStr">
        <is>
          <t>Tennis Québec</t>
        </is>
      </c>
      <c r="H83" t="inlineStr">
        <is>
          <t>Club Sportif Côte-de-Liesse</t>
        </is>
      </c>
      <c r="I83" t="n">
        <v>24.9</v>
      </c>
      <c r="J83" s="4" t="n">
        <v>207</v>
      </c>
      <c r="K83" t="inlineStr">
        <is>
          <t>134 / 73</t>
        </is>
      </c>
      <c r="L83" t="inlineStr">
        <is>
          <t>28 / 17</t>
        </is>
      </c>
      <c r="M83" s="5" t="n">
        <v>0.65</v>
      </c>
      <c r="N83" s="5" t="n">
        <v>0.62</v>
      </c>
    </row>
    <row r="84">
      <c r="A84" t="n">
        <v>83</v>
      </c>
      <c r="B84" t="n">
        <v>2015</v>
      </c>
      <c r="C84" t="inlineStr">
        <is>
          <t>Sofia Tabunshchyk</t>
        </is>
      </c>
      <c r="D84">
        <f>HYPERLINK("https://ota.tournamentsoftware.com/player-profile/3714FE82-9045-425F-937B-7104A43D57F9", "Link")</f>
        <v/>
      </c>
      <c r="E84" s="3" t="n">
        <v>1098.18</v>
      </c>
      <c r="F84" s="4" t="n">
        <v>39</v>
      </c>
      <c r="G84" t="inlineStr">
        <is>
          <t>Ontario Tennis Association</t>
        </is>
      </c>
      <c r="H84" t="inlineStr">
        <is>
          <t>ACE Tennis - Burlington</t>
        </is>
      </c>
      <c r="I84" t="inlineStr">
        <is>
          <t>unavailable</t>
        </is>
      </c>
      <c r="J84" s="4" t="n">
        <v>326</v>
      </c>
      <c r="K84" t="inlineStr">
        <is>
          <t>163 / 163</t>
        </is>
      </c>
      <c r="L84" t="inlineStr">
        <is>
          <t>53 / 27</t>
        </is>
      </c>
      <c r="M84" s="5" t="n">
        <v>0.5</v>
      </c>
      <c r="N84" s="5" t="n">
        <v>0.66</v>
      </c>
    </row>
    <row r="85">
      <c r="A85" t="n">
        <v>84</v>
      </c>
      <c r="B85" t="n">
        <v>2012</v>
      </c>
      <c r="C85" t="inlineStr">
        <is>
          <t>Alecia Yahan Liu</t>
        </is>
      </c>
      <c r="D85">
        <f>HYPERLINK("https://ota.tournamentsoftware.com/player-profile/3FBB1729-DE66-45FA-864E-C010DC83E5AD", "Link")</f>
        <v/>
      </c>
      <c r="E85" s="3" t="n">
        <v>1097.866</v>
      </c>
      <c r="F85" s="4" t="n">
        <v>19</v>
      </c>
      <c r="G85" t="inlineStr">
        <is>
          <t>Tennis Alberta</t>
        </is>
      </c>
      <c r="H85" t="inlineStr">
        <is>
          <t>Saville Community Sports Centre</t>
        </is>
      </c>
      <c r="I85" t="n">
        <v>26.5</v>
      </c>
      <c r="J85" s="4" t="n">
        <v>242</v>
      </c>
      <c r="K85" t="inlineStr">
        <is>
          <t>125 / 117</t>
        </is>
      </c>
      <c r="L85" t="inlineStr">
        <is>
          <t>23 / 22</t>
        </is>
      </c>
      <c r="M85" s="5" t="n">
        <v>0.52</v>
      </c>
      <c r="N85" s="5" t="n">
        <v>0.51</v>
      </c>
    </row>
    <row r="86">
      <c r="A86" t="n">
        <v>85</v>
      </c>
      <c r="B86" t="n">
        <v>2013</v>
      </c>
      <c r="C86" t="inlineStr">
        <is>
          <t>Charlotte Ng</t>
        </is>
      </c>
      <c r="D86">
        <f>HYPERLINK("https://ota.tournamentsoftware.com/player-profile/1FAB3C52-8224-4122-A705-ED95AC2AE538", "Link")</f>
        <v/>
      </c>
      <c r="E86" s="3" t="n">
        <v>1096.863</v>
      </c>
      <c r="F86" s="4" t="n">
        <v>31</v>
      </c>
      <c r="G86" t="inlineStr">
        <is>
          <t>Ontario Tennis Association</t>
        </is>
      </c>
      <c r="H86" t="inlineStr">
        <is>
          <t>Blackmore Tennis Club</t>
        </is>
      </c>
      <c r="I86" t="n">
        <v>30.2</v>
      </c>
      <c r="J86" s="4" t="n">
        <v>217</v>
      </c>
      <c r="K86" t="inlineStr">
        <is>
          <t>124 / 93</t>
        </is>
      </c>
      <c r="L86" t="inlineStr">
        <is>
          <t>33 / 19</t>
        </is>
      </c>
      <c r="M86" s="5" t="n">
        <v>0.57</v>
      </c>
      <c r="N86" s="5" t="n">
        <v>0.63</v>
      </c>
    </row>
    <row r="87">
      <c r="A87" t="n">
        <v>86</v>
      </c>
      <c r="B87" t="n">
        <v>2012</v>
      </c>
      <c r="C87" t="inlineStr">
        <is>
          <t>Alexsandra Stanislavksy</t>
        </is>
      </c>
      <c r="D87">
        <f>HYPERLINK("https://ota.tournamentsoftware.com/player-profile/A067EDC1-6B71-4023-8C13-88CA87AA808B", "Link")</f>
        <v/>
      </c>
      <c r="E87" s="3" t="n">
        <v>1086.615</v>
      </c>
      <c r="F87" s="4" t="n">
        <v>30</v>
      </c>
      <c r="G87" t="inlineStr">
        <is>
          <t>Ontario Tennis Association</t>
        </is>
      </c>
      <c r="H87" t="inlineStr">
        <is>
          <t>No Club</t>
        </is>
      </c>
      <c r="I87" t="n">
        <v>29.3</v>
      </c>
      <c r="J87" s="4" t="n">
        <v>187</v>
      </c>
      <c r="K87" t="inlineStr">
        <is>
          <t>83 / 104</t>
        </is>
      </c>
      <c r="L87" t="inlineStr">
        <is>
          <t>20 / 23</t>
        </is>
      </c>
      <c r="M87" s="5" t="n">
        <v>0.44</v>
      </c>
      <c r="N87" s="5" t="n">
        <v>0.47</v>
      </c>
    </row>
    <row r="88">
      <c r="A88" t="n">
        <v>87</v>
      </c>
      <c r="B88" t="n">
        <v>2012</v>
      </c>
      <c r="C88" t="inlineStr">
        <is>
          <t>Emilia Klimek</t>
        </is>
      </c>
      <c r="D88">
        <f>HYPERLINK("https://ota.tournamentsoftware.com/player-profile/B65F75BD-7091-433B-817C-EC3472CCA6E3", "Link")</f>
        <v/>
      </c>
      <c r="E88" s="3" t="n">
        <v>1074.821</v>
      </c>
      <c r="F88" s="4" t="n">
        <v>21</v>
      </c>
      <c r="G88" t="inlineStr">
        <is>
          <t>British Columbia</t>
        </is>
      </c>
      <c r="H88" t="inlineStr">
        <is>
          <t>No Club</t>
        </is>
      </c>
      <c r="I88" t="n">
        <v>26</v>
      </c>
      <c r="J88" s="4" t="n">
        <v>223</v>
      </c>
      <c r="K88" t="inlineStr">
        <is>
          <t>119 / 104</t>
        </is>
      </c>
      <c r="L88" t="inlineStr">
        <is>
          <t>31 / 19</t>
        </is>
      </c>
      <c r="M88" s="5" t="n">
        <v>0.53</v>
      </c>
      <c r="N88" s="5" t="n">
        <v>0.62</v>
      </c>
    </row>
    <row r="89">
      <c r="A89" t="n">
        <v>88</v>
      </c>
      <c r="B89" t="n">
        <v>2013</v>
      </c>
      <c r="C89" t="inlineStr">
        <is>
          <t>Halo Boyu Li</t>
        </is>
      </c>
      <c r="D89">
        <f>HYPERLINK("https://ota.tournamentsoftware.com/player-profile/42371346-12B9-439B-B9EB-FB5DD0ABCB73", "Link")</f>
        <v/>
      </c>
      <c r="E89" s="3" t="n">
        <v>1061.845</v>
      </c>
      <c r="F89" s="4" t="n">
        <v>10</v>
      </c>
      <c r="G89" t="inlineStr">
        <is>
          <t>Tennis Saskatchewan</t>
        </is>
      </c>
      <c r="H89" t="inlineStr">
        <is>
          <t>No Club</t>
        </is>
      </c>
      <c r="I89" t="n">
        <v>31</v>
      </c>
      <c r="J89" s="4" t="n">
        <v>181</v>
      </c>
      <c r="K89" t="inlineStr">
        <is>
          <t>79 / 102</t>
        </is>
      </c>
      <c r="L89" t="inlineStr">
        <is>
          <t>29 / 27</t>
        </is>
      </c>
      <c r="M89" s="5" t="n">
        <v>0.44</v>
      </c>
      <c r="N89" s="5" t="n">
        <v>0.52</v>
      </c>
    </row>
    <row r="90">
      <c r="A90" t="n">
        <v>89</v>
      </c>
      <c r="B90" t="n">
        <v>2013</v>
      </c>
      <c r="C90" t="inlineStr">
        <is>
          <t>Sophia Gettle</t>
        </is>
      </c>
      <c r="D90">
        <f>HYPERLINK("https://ota.tournamentsoftware.com/player-profile/5CC0A57F-C369-42D6-B845-B30A38F24F56", "Link")</f>
        <v/>
      </c>
      <c r="E90" s="3" t="n">
        <v>1060.252</v>
      </c>
      <c r="F90" s="4" t="n">
        <v>13</v>
      </c>
      <c r="G90" t="inlineStr">
        <is>
          <t>Tennis Saskatchewan</t>
        </is>
      </c>
      <c r="H90" t="inlineStr">
        <is>
          <t>Lakeshore Tennis Club</t>
        </is>
      </c>
      <c r="I90" t="inlineStr">
        <is>
          <t>unavailable</t>
        </is>
      </c>
      <c r="J90" s="4" t="n">
        <v>209</v>
      </c>
      <c r="K90" t="inlineStr">
        <is>
          <t>92 / 117</t>
        </is>
      </c>
      <c r="L90" t="inlineStr">
        <is>
          <t>23 / 31</t>
        </is>
      </c>
      <c r="M90" s="5" t="n">
        <v>0.44</v>
      </c>
      <c r="N90" s="5" t="n">
        <v>0.43</v>
      </c>
    </row>
    <row r="91">
      <c r="A91" t="n">
        <v>90</v>
      </c>
      <c r="B91" t="n">
        <v>2013</v>
      </c>
      <c r="C91" t="inlineStr">
        <is>
          <t>Chloé Normandin</t>
        </is>
      </c>
      <c r="D91">
        <f>HYPERLINK("https://ota.tournamentsoftware.com/player-profile/A22608C6-6D99-476C-9EC7-9A31F3CACB0A", "Link")</f>
        <v/>
      </c>
      <c r="E91" s="3" t="n">
        <v>1054.021</v>
      </c>
      <c r="F91" s="4" t="n">
        <v>22</v>
      </c>
      <c r="G91" t="inlineStr">
        <is>
          <t>Tennis Québec</t>
        </is>
      </c>
      <c r="H91" t="inlineStr">
        <is>
          <t>Tennis Ile- des- Soeurs</t>
        </is>
      </c>
      <c r="I91" t="n">
        <v>26.8</v>
      </c>
      <c r="J91" s="4" t="n">
        <v>264</v>
      </c>
      <c r="K91" t="inlineStr">
        <is>
          <t>144 / 120</t>
        </is>
      </c>
      <c r="L91" t="inlineStr">
        <is>
          <t>35 / 20</t>
        </is>
      </c>
      <c r="M91" s="5" t="n">
        <v>0.55</v>
      </c>
      <c r="N91" s="5" t="n">
        <v>0.64</v>
      </c>
    </row>
    <row r="92">
      <c r="A92" t="n">
        <v>91</v>
      </c>
      <c r="B92" t="n">
        <v>2014</v>
      </c>
      <c r="C92" t="inlineStr">
        <is>
          <t>JOANNA QIHENG FEI</t>
        </is>
      </c>
      <c r="D92">
        <f>HYPERLINK("https://ota.tournamentsoftware.com/player-profile/1DD48A17-96B6-42F9-8D67-EE4CBF6DFA95", "Link")</f>
        <v/>
      </c>
      <c r="E92" s="3" t="n">
        <v>1049.858</v>
      </c>
      <c r="F92" s="4" t="n">
        <v>21</v>
      </c>
      <c r="G92" t="inlineStr">
        <is>
          <t>British Columbia</t>
        </is>
      </c>
      <c r="H92" t="inlineStr">
        <is>
          <t>Richmond Country Club</t>
        </is>
      </c>
      <c r="I92" t="n">
        <v>25.9</v>
      </c>
      <c r="J92" s="4" t="n">
        <v>264</v>
      </c>
      <c r="K92" t="inlineStr">
        <is>
          <t>129 / 135</t>
        </is>
      </c>
      <c r="L92" t="inlineStr">
        <is>
          <t>36 / 19</t>
        </is>
      </c>
      <c r="M92" s="5" t="n">
        <v>0.49</v>
      </c>
      <c r="N92" s="5" t="n">
        <v>0.65</v>
      </c>
    </row>
    <row r="93">
      <c r="A93" t="n">
        <v>92</v>
      </c>
      <c r="B93" t="n">
        <v>2014</v>
      </c>
      <c r="C93" t="inlineStr">
        <is>
          <t>Ruoran Hou</t>
        </is>
      </c>
      <c r="D93">
        <f>HYPERLINK("https://ota.tournamentsoftware.com/player-profile/01D9A845-667C-4EDB-ABF5-CFE1C5418675", "Link")</f>
        <v/>
      </c>
      <c r="E93" s="3" t="n">
        <v>1040.881</v>
      </c>
      <c r="F93" s="4" t="n">
        <v>14</v>
      </c>
      <c r="G93" t="inlineStr">
        <is>
          <t>Tennis Nova Scotia</t>
        </is>
      </c>
      <c r="H93" t="inlineStr">
        <is>
          <t>Atlantic Tennis Centre</t>
        </is>
      </c>
      <c r="I93" t="n">
        <v>29.5</v>
      </c>
      <c r="J93" s="4" t="n">
        <v>236</v>
      </c>
      <c r="K93" t="inlineStr">
        <is>
          <t>136 / 100</t>
        </is>
      </c>
      <c r="L93" t="inlineStr">
        <is>
          <t>38 / 27</t>
        </is>
      </c>
      <c r="M93" s="5" t="n">
        <v>0.58</v>
      </c>
      <c r="N93" s="5" t="n">
        <v>0.58</v>
      </c>
    </row>
    <row r="94">
      <c r="A94" t="n">
        <v>93</v>
      </c>
      <c r="B94" t="n">
        <v>2012</v>
      </c>
      <c r="C94" t="inlineStr">
        <is>
          <t>Margarita Ter-Grigoryan</t>
        </is>
      </c>
      <c r="D94">
        <f>HYPERLINK("https://ota.tournamentsoftware.com/player-profile/A86B3E87-30AA-4D57-86CF-572CF663421E", "Link")</f>
        <v/>
      </c>
      <c r="E94" s="3" t="n">
        <v>1020.42</v>
      </c>
      <c r="F94" s="4" t="n">
        <v>14</v>
      </c>
      <c r="G94" t="inlineStr">
        <is>
          <t>Tennis Saskatchewan</t>
        </is>
      </c>
      <c r="H94" t="inlineStr">
        <is>
          <t>No Club</t>
        </is>
      </c>
      <c r="I94" t="n">
        <v>30.9</v>
      </c>
      <c r="J94" s="4" t="n">
        <v>127</v>
      </c>
      <c r="K94" t="inlineStr">
        <is>
          <t>67 / 60</t>
        </is>
      </c>
      <c r="L94" t="inlineStr">
        <is>
          <t>27 / 30</t>
        </is>
      </c>
      <c r="M94" s="5" t="n">
        <v>0.53</v>
      </c>
      <c r="N94" s="5" t="n">
        <v>0.47</v>
      </c>
    </row>
    <row r="95">
      <c r="A95" t="n">
        <v>94</v>
      </c>
      <c r="B95" t="n">
        <v>2014</v>
      </c>
      <c r="C95" t="inlineStr">
        <is>
          <t>Victoria Markova</t>
        </is>
      </c>
      <c r="D95">
        <f>HYPERLINK("https://ota.tournamentsoftware.com/player-profile/DE909631-ADF4-4157-ABE4-0097B95C4307", "Link")</f>
        <v/>
      </c>
      <c r="E95" s="3" t="n">
        <v>1008.269</v>
      </c>
      <c r="F95" s="4" t="n">
        <v>23</v>
      </c>
      <c r="G95" t="inlineStr">
        <is>
          <t>Tennis Québec</t>
        </is>
      </c>
      <c r="H95" t="inlineStr">
        <is>
          <t>Carrefour Multisports</t>
        </is>
      </c>
      <c r="I95" t="n">
        <v>29.1</v>
      </c>
      <c r="J95" s="4" t="n">
        <v>224</v>
      </c>
      <c r="K95" t="inlineStr">
        <is>
          <t>122 / 102</t>
        </is>
      </c>
      <c r="L95" t="inlineStr">
        <is>
          <t>37 / 25</t>
        </is>
      </c>
      <c r="M95" s="5" t="n">
        <v>0.54</v>
      </c>
      <c r="N95" s="5" t="n">
        <v>0.6</v>
      </c>
    </row>
    <row r="96">
      <c r="A96" t="n">
        <v>95</v>
      </c>
      <c r="B96" t="n">
        <v>2012</v>
      </c>
      <c r="C96" t="inlineStr">
        <is>
          <t>Adrienne Keaton Nelson</t>
        </is>
      </c>
      <c r="D96">
        <f>HYPERLINK("https://ota.tournamentsoftware.com/player-profile/1D977DD3-331D-4977-B4D6-E3202A6C56BD", "Link")</f>
        <v/>
      </c>
      <c r="E96" s="3" t="n">
        <v>1001.811</v>
      </c>
      <c r="F96" s="4" t="n">
        <v>41</v>
      </c>
      <c r="G96" t="inlineStr">
        <is>
          <t>Ontario Tennis Association</t>
        </is>
      </c>
      <c r="H96" t="inlineStr">
        <is>
          <t>Blackmore Tennis Club</t>
        </is>
      </c>
      <c r="I96" t="n">
        <v>27.7</v>
      </c>
      <c r="J96" s="4" t="n">
        <v>230</v>
      </c>
      <c r="K96" t="inlineStr">
        <is>
          <t>112 / 118</t>
        </is>
      </c>
      <c r="L96" t="inlineStr">
        <is>
          <t>26 / 23</t>
        </is>
      </c>
      <c r="M96" s="5" t="n">
        <v>0.49</v>
      </c>
      <c r="N96" s="5" t="n">
        <v>0.53</v>
      </c>
    </row>
    <row r="97">
      <c r="A97" t="n">
        <v>96</v>
      </c>
      <c r="B97" t="n">
        <v>2013</v>
      </c>
      <c r="C97" t="inlineStr">
        <is>
          <t>Aubrianna Ellen York</t>
        </is>
      </c>
      <c r="D97">
        <f>HYPERLINK("https://ota.tournamentsoftware.com/player-profile/FDFD6FEF-AD8B-4B1E-ADE3-15417E1BCF05", "Link")</f>
        <v/>
      </c>
      <c r="E97" s="3" t="n">
        <v>970.944</v>
      </c>
      <c r="F97" s="4" t="n">
        <v>18</v>
      </c>
      <c r="G97" t="inlineStr">
        <is>
          <t>Tennis Alberta</t>
        </is>
      </c>
      <c r="H97" t="inlineStr">
        <is>
          <t>Aforza</t>
        </is>
      </c>
      <c r="I97" t="n">
        <v>28.1</v>
      </c>
      <c r="J97" s="4" t="n">
        <v>214</v>
      </c>
      <c r="K97" t="inlineStr">
        <is>
          <t>113 / 101</t>
        </is>
      </c>
      <c r="L97" t="inlineStr">
        <is>
          <t>28 / 19</t>
        </is>
      </c>
      <c r="M97" s="5" t="n">
        <v>0.53</v>
      </c>
      <c r="N97" s="5" t="n">
        <v>0.6</v>
      </c>
    </row>
    <row r="98">
      <c r="A98" t="n">
        <v>97</v>
      </c>
      <c r="B98" t="n">
        <v>2012</v>
      </c>
      <c r="C98" t="inlineStr">
        <is>
          <t>Chloe Lou Friesen</t>
        </is>
      </c>
      <c r="D98">
        <f>HYPERLINK("https://ota.tournamentsoftware.com/player-profile/A0A11672-F1E8-4BD3-A43A-BB82984EDDA5", "Link")</f>
        <v/>
      </c>
      <c r="E98" s="3" t="n">
        <v>959.691</v>
      </c>
      <c r="F98" s="4" t="n">
        <v>18</v>
      </c>
      <c r="G98" t="inlineStr">
        <is>
          <t>British Columbia</t>
        </is>
      </c>
      <c r="H98" t="inlineStr">
        <is>
          <t>Vancouver Lawn Tennis and Badminton Club</t>
        </is>
      </c>
      <c r="I98" t="n">
        <v>26</v>
      </c>
      <c r="J98" s="4" t="n">
        <v>235</v>
      </c>
      <c r="K98" t="inlineStr">
        <is>
          <t>129 / 106</t>
        </is>
      </c>
      <c r="L98" t="inlineStr">
        <is>
          <t>24 / 16</t>
        </is>
      </c>
      <c r="M98" s="5" t="n">
        <v>0.55</v>
      </c>
      <c r="N98" s="5" t="n">
        <v>0.6</v>
      </c>
    </row>
    <row r="99">
      <c r="A99" t="n">
        <v>98</v>
      </c>
      <c r="B99" t="n">
        <v>2015</v>
      </c>
      <c r="C99" t="inlineStr">
        <is>
          <t>Evelyn J.C. Liu</t>
        </is>
      </c>
      <c r="D99">
        <f>HYPERLINK("https://ota.tournamentsoftware.com/player-profile/193F9EEB-1528-48A2-A0D8-C6448E62254A", "Link")</f>
        <v/>
      </c>
      <c r="E99" s="3" t="n">
        <v>945.349</v>
      </c>
      <c r="F99" s="4" t="n">
        <v>19</v>
      </c>
      <c r="G99" t="inlineStr">
        <is>
          <t>British Columbia</t>
        </is>
      </c>
      <c r="H99" t="inlineStr">
        <is>
          <t>Vancouver Lawn Tennis and Badminton Club</t>
        </is>
      </c>
      <c r="I99" t="n">
        <v>26.9</v>
      </c>
      <c r="J99" s="4" t="n">
        <v>271</v>
      </c>
      <c r="K99" t="inlineStr">
        <is>
          <t>152 / 119</t>
        </is>
      </c>
      <c r="L99" t="inlineStr">
        <is>
          <t>41 / 22</t>
        </is>
      </c>
      <c r="M99" s="5" t="n">
        <v>0.5600000000000001</v>
      </c>
      <c r="N99" s="5" t="n">
        <v>0.65</v>
      </c>
    </row>
    <row r="100">
      <c r="A100" t="n">
        <v>99</v>
      </c>
      <c r="B100" t="n">
        <v>2015</v>
      </c>
      <c r="C100" t="inlineStr">
        <is>
          <t>Aahana Guha</t>
        </is>
      </c>
      <c r="D100">
        <f>HYPERLINK("https://ota.tournamentsoftware.com/player-profile/B6BFAEC0-924F-4635-B45C-E700061D4B03", "Link")</f>
        <v/>
      </c>
      <c r="E100" s="3" t="n">
        <v>944.747</v>
      </c>
      <c r="F100" s="4" t="n">
        <v>11</v>
      </c>
      <c r="G100" t="inlineStr">
        <is>
          <t>Tennis Saskatchewan</t>
        </is>
      </c>
      <c r="H100" t="inlineStr">
        <is>
          <t>Lakeshore Tennis Club</t>
        </is>
      </c>
      <c r="I100" t="n">
        <v>30.8</v>
      </c>
      <c r="J100" s="4" t="n">
        <v>171</v>
      </c>
      <c r="K100" t="inlineStr">
        <is>
          <t>90 / 81</t>
        </is>
      </c>
      <c r="L100" t="inlineStr">
        <is>
          <t>34 / 23</t>
        </is>
      </c>
      <c r="M100" s="5" t="n">
        <v>0.53</v>
      </c>
      <c r="N100" s="5" t="n">
        <v>0.6</v>
      </c>
    </row>
    <row r="101">
      <c r="A101" t="n">
        <v>100</v>
      </c>
      <c r="B101" t="n">
        <v>2012</v>
      </c>
      <c r="C101" t="inlineStr">
        <is>
          <t>Laura Patsynka</t>
        </is>
      </c>
      <c r="D101">
        <f>HYPERLINK("https://ota.tournamentsoftware.com/player-profile/49340E93-6E30-4683-9E0F-4D50A1C584F1", "Link")</f>
        <v/>
      </c>
      <c r="E101" s="3" t="n">
        <v>932.872</v>
      </c>
      <c r="F101" s="4" t="n">
        <v>30</v>
      </c>
      <c r="G101" t="inlineStr">
        <is>
          <t>Ontario Tennis Association</t>
        </is>
      </c>
      <c r="H101" t="inlineStr">
        <is>
          <t>Peak Performance Tennis Academy</t>
        </is>
      </c>
      <c r="I101" t="inlineStr">
        <is>
          <t>unavailable</t>
        </is>
      </c>
      <c r="J101" s="4" t="n">
        <v>197</v>
      </c>
      <c r="K101" t="inlineStr">
        <is>
          <t>79 / 118</t>
        </is>
      </c>
      <c r="L101" t="inlineStr">
        <is>
          <t>10 / 19</t>
        </is>
      </c>
      <c r="M101" s="5" t="n">
        <v>0.4</v>
      </c>
      <c r="N101" s="5" t="n">
        <v>0.34</v>
      </c>
    </row>
    <row r="102">
      <c r="A102" t="n">
        <v>101</v>
      </c>
      <c r="B102" t="n">
        <v>2013</v>
      </c>
      <c r="C102" t="inlineStr">
        <is>
          <t>Akshara Bavanaka</t>
        </is>
      </c>
      <c r="D102">
        <f>HYPERLINK("https://ota.tournamentsoftware.com/player-profile/DB56F65D-8A18-4169-BE31-18F89B25E14B", "Link")</f>
        <v/>
      </c>
      <c r="E102" s="3" t="n">
        <v>897.643</v>
      </c>
      <c r="F102" s="4" t="n">
        <v>38</v>
      </c>
      <c r="G102" t="inlineStr">
        <is>
          <t>Ontario Tennis Association</t>
        </is>
      </c>
      <c r="H102" t="inlineStr">
        <is>
          <t>Advantage Tennis International at Veneto</t>
        </is>
      </c>
      <c r="I102" t="n">
        <v>30.2</v>
      </c>
      <c r="J102" s="4" t="n">
        <v>231</v>
      </c>
      <c r="K102" t="inlineStr">
        <is>
          <t>119 / 112</t>
        </is>
      </c>
      <c r="L102" t="inlineStr">
        <is>
          <t>18 / 21</t>
        </is>
      </c>
      <c r="M102" s="5" t="n">
        <v>0.52</v>
      </c>
      <c r="N102" s="5" t="n">
        <v>0.46</v>
      </c>
    </row>
    <row r="103">
      <c r="A103" t="n">
        <v>102</v>
      </c>
      <c r="B103" t="n">
        <v>2013</v>
      </c>
      <c r="C103" t="inlineStr">
        <is>
          <t>Amelia Karapalevski</t>
        </is>
      </c>
      <c r="D103">
        <f>HYPERLINK("https://ota.tournamentsoftware.com/player-profile/FA2D2790-6EBD-4928-94F7-17F54621E2B4", "Link")</f>
        <v/>
      </c>
      <c r="E103" s="3" t="n">
        <v>896.6180000000001</v>
      </c>
      <c r="F103" s="4" t="n">
        <v>36</v>
      </c>
      <c r="G103" t="inlineStr">
        <is>
          <t>Ontario Tennis Association</t>
        </is>
      </c>
      <c r="H103" t="inlineStr">
        <is>
          <t>No Club</t>
        </is>
      </c>
      <c r="I103" t="n">
        <v>28.2</v>
      </c>
      <c r="J103" s="4" t="n">
        <v>219</v>
      </c>
      <c r="K103" t="inlineStr">
        <is>
          <t>127 / 92</t>
        </is>
      </c>
      <c r="L103" t="inlineStr">
        <is>
          <t>33 / 21</t>
        </is>
      </c>
      <c r="M103" s="5" t="n">
        <v>0.58</v>
      </c>
      <c r="N103" s="5" t="n">
        <v>0.61</v>
      </c>
    </row>
    <row r="104">
      <c r="A104" t="n">
        <v>103</v>
      </c>
      <c r="B104" t="n">
        <v>2014</v>
      </c>
      <c r="C104" t="inlineStr">
        <is>
          <t>Qiuyue Li</t>
        </is>
      </c>
      <c r="D104">
        <f>HYPERLINK("https://ota.tournamentsoftware.com/player-profile/20DDEF60-3700-4387-8C53-C32DB7F857D4", "Link")</f>
        <v/>
      </c>
      <c r="E104" s="3" t="n">
        <v>884.4</v>
      </c>
      <c r="F104" s="4" t="n">
        <v>4</v>
      </c>
      <c r="G104" t="inlineStr">
        <is>
          <t>Ontario Tennis Association</t>
        </is>
      </c>
      <c r="H104" t="inlineStr">
        <is>
          <t>No Club</t>
        </is>
      </c>
      <c r="I104" t="n">
        <v>26.6</v>
      </c>
      <c r="J104" s="4" t="n">
        <v>26</v>
      </c>
      <c r="K104" t="inlineStr">
        <is>
          <t>24 / 2</t>
        </is>
      </c>
      <c r="L104" t="inlineStr">
        <is>
          <t>14 / 1</t>
        </is>
      </c>
      <c r="M104" s="5" t="n">
        <v>0.92</v>
      </c>
      <c r="N104" s="5" t="n">
        <v>0.93</v>
      </c>
    </row>
    <row r="105">
      <c r="A105" t="n">
        <v>104</v>
      </c>
      <c r="B105" t="n">
        <v>2015</v>
      </c>
      <c r="C105" t="inlineStr">
        <is>
          <t>Emilie Joly</t>
        </is>
      </c>
      <c r="D105">
        <f>HYPERLINK("https://ota.tournamentsoftware.com/player-profile/57736008-B9CA-4FCE-BEF6-90222787F336", "Link")</f>
        <v/>
      </c>
      <c r="E105" s="3" t="n">
        <v>865.3150000000001</v>
      </c>
      <c r="F105" s="4" t="n">
        <v>17</v>
      </c>
      <c r="G105" t="inlineStr">
        <is>
          <t>Ontario Tennis Association</t>
        </is>
      </c>
      <c r="H105" t="inlineStr">
        <is>
          <t>Kingston Racquet Centre</t>
        </is>
      </c>
      <c r="I105" t="n">
        <v>27.5</v>
      </c>
      <c r="J105" s="4" t="n">
        <v>224</v>
      </c>
      <c r="K105" t="inlineStr">
        <is>
          <t>156 / 68</t>
        </is>
      </c>
      <c r="L105" t="inlineStr">
        <is>
          <t>33 / 8</t>
        </is>
      </c>
      <c r="M105" s="5" t="n">
        <v>0.7</v>
      </c>
      <c r="N105" s="5" t="n">
        <v>0.8</v>
      </c>
    </row>
    <row r="106">
      <c r="A106" t="n">
        <v>105</v>
      </c>
      <c r="B106" t="n">
        <v>2013</v>
      </c>
      <c r="C106" t="inlineStr">
        <is>
          <t>Mia Nikolovska</t>
        </is>
      </c>
      <c r="D106">
        <f>HYPERLINK("https://ota.tournamentsoftware.com/player-profile/52158395-8ADB-4430-ABAA-C56A79756D09", "Link")</f>
        <v/>
      </c>
      <c r="E106" s="3" t="n">
        <v>859.96</v>
      </c>
      <c r="F106" s="4" t="n">
        <v>38</v>
      </c>
      <c r="G106" t="inlineStr">
        <is>
          <t>Ontario Tennis Association</t>
        </is>
      </c>
      <c r="H106" t="inlineStr">
        <is>
          <t>No Club</t>
        </is>
      </c>
      <c r="I106" t="inlineStr">
        <is>
          <t>unavailable</t>
        </is>
      </c>
      <c r="J106" s="4" t="n">
        <v>364</v>
      </c>
      <c r="K106" t="inlineStr">
        <is>
          <t>222 / 142</t>
        </is>
      </c>
      <c r="L106" t="inlineStr">
        <is>
          <t>32 / 21</t>
        </is>
      </c>
      <c r="M106" s="5" t="n">
        <v>0.61</v>
      </c>
      <c r="N106" s="5" t="n">
        <v>0.6</v>
      </c>
    </row>
    <row r="107">
      <c r="A107" t="n">
        <v>106</v>
      </c>
      <c r="B107" t="n">
        <v>2012</v>
      </c>
      <c r="C107" t="inlineStr">
        <is>
          <t>Maia-Alexandra Popa</t>
        </is>
      </c>
      <c r="D107">
        <f>HYPERLINK("https://ota.tournamentsoftware.com/player-profile/1D5E0C32-9DDE-4B44-ADF9-FDB75BF638BC", "Link")</f>
        <v/>
      </c>
      <c r="E107" s="3" t="n">
        <v>857.461</v>
      </c>
      <c r="F107" s="4" t="n">
        <v>22</v>
      </c>
      <c r="G107" t="inlineStr">
        <is>
          <t>Ontario Tennis Association</t>
        </is>
      </c>
      <c r="H107" t="inlineStr">
        <is>
          <t>No Club</t>
        </is>
      </c>
      <c r="I107" t="n">
        <v>25.6</v>
      </c>
      <c r="J107" s="4" t="n">
        <v>202</v>
      </c>
      <c r="K107" t="inlineStr">
        <is>
          <t>106 / 96</t>
        </is>
      </c>
      <c r="L107" t="inlineStr">
        <is>
          <t>24 / 11</t>
        </is>
      </c>
      <c r="M107" s="5" t="n">
        <v>0.52</v>
      </c>
      <c r="N107" s="5" t="n">
        <v>0.6899999999999999</v>
      </c>
    </row>
    <row r="108">
      <c r="A108" t="n">
        <v>107</v>
      </c>
      <c r="B108" t="n">
        <v>2012</v>
      </c>
      <c r="C108" t="inlineStr">
        <is>
          <t>Jaydalie Isaac</t>
        </is>
      </c>
      <c r="D108">
        <f>HYPERLINK("https://ota.tournamentsoftware.com/player-profile/A56DDC7B-03D0-424A-907D-63A363906F9A", "Link")</f>
        <v/>
      </c>
      <c r="E108" s="3" t="n">
        <v>851.111</v>
      </c>
      <c r="F108" s="4" t="n">
        <v>13</v>
      </c>
      <c r="G108" t="inlineStr">
        <is>
          <t>Tennis Québec</t>
        </is>
      </c>
      <c r="H108" t="inlineStr">
        <is>
          <t>No Club</t>
        </is>
      </c>
      <c r="I108" t="n">
        <v>27.9</v>
      </c>
      <c r="J108" s="4" t="n">
        <v>235</v>
      </c>
      <c r="K108" t="inlineStr">
        <is>
          <t>111 / 124</t>
        </is>
      </c>
      <c r="L108" t="inlineStr">
        <is>
          <t>21 / 12</t>
        </is>
      </c>
      <c r="M108" s="5" t="n">
        <v>0.47</v>
      </c>
      <c r="N108" s="5" t="n">
        <v>0.64</v>
      </c>
    </row>
    <row r="109">
      <c r="A109" t="n">
        <v>108</v>
      </c>
      <c r="B109" t="n">
        <v>2013</v>
      </c>
      <c r="C109" t="inlineStr">
        <is>
          <t>Jeanne Lampron</t>
        </is>
      </c>
      <c r="D109">
        <f>HYPERLINK("https://ota.tournamentsoftware.com/player-profile/DBA36429-C15E-4F24-9832-7D6BA94887C6", "Link")</f>
        <v/>
      </c>
      <c r="E109" s="3" t="n">
        <v>850.005</v>
      </c>
      <c r="F109" s="4" t="n">
        <v>25</v>
      </c>
      <c r="G109" t="inlineStr">
        <is>
          <t>Tennis Québec</t>
        </is>
      </c>
      <c r="H109" t="inlineStr">
        <is>
          <t>Tennis Montréal Excellence</t>
        </is>
      </c>
      <c r="I109" t="n">
        <v>26.6</v>
      </c>
      <c r="J109" s="4" t="n">
        <v>133</v>
      </c>
      <c r="K109" t="inlineStr">
        <is>
          <t>63 / 70</t>
        </is>
      </c>
      <c r="L109" t="inlineStr">
        <is>
          <t>28 / 23</t>
        </is>
      </c>
      <c r="M109" s="5" t="n">
        <v>0.47</v>
      </c>
      <c r="N109" s="5" t="n">
        <v>0.55</v>
      </c>
    </row>
    <row r="110">
      <c r="A110" t="n">
        <v>109</v>
      </c>
      <c r="B110" t="n">
        <v>2012</v>
      </c>
      <c r="C110" t="inlineStr">
        <is>
          <t>Olivia Escobar</t>
        </is>
      </c>
      <c r="D110">
        <f>HYPERLINK("https://ota.tournamentsoftware.com/player-profile/9E3A15EA-D947-4048-B7A7-6C2437D34132", "Link")</f>
        <v/>
      </c>
      <c r="E110" s="3" t="n">
        <v>836.9160000000001</v>
      </c>
      <c r="F110" s="4" t="n">
        <v>36</v>
      </c>
      <c r="G110" t="inlineStr">
        <is>
          <t>Tennis Québec</t>
        </is>
      </c>
      <c r="H110" t="inlineStr">
        <is>
          <t>Tennis Ile- des- Soeurs</t>
        </is>
      </c>
      <c r="I110" t="n">
        <v>28.8</v>
      </c>
      <c r="J110" s="4" t="n">
        <v>345</v>
      </c>
      <c r="K110" t="inlineStr">
        <is>
          <t>131 / 214</t>
        </is>
      </c>
      <c r="L110" t="inlineStr">
        <is>
          <t>19 / 23</t>
        </is>
      </c>
      <c r="M110" s="5" t="n">
        <v>0.38</v>
      </c>
      <c r="N110" s="5" t="n">
        <v>0.45</v>
      </c>
    </row>
    <row r="111">
      <c r="A111" t="n">
        <v>110</v>
      </c>
      <c r="B111" t="n">
        <v>2014</v>
      </c>
      <c r="C111" t="inlineStr">
        <is>
          <t>Thanida (Belle) Shaipanich</t>
        </is>
      </c>
      <c r="D111">
        <f>HYPERLINK("https://ota.tournamentsoftware.com/player-profile/98546C72-5CCA-44E8-AFB9-20B9D560E5E3", "Link")</f>
        <v/>
      </c>
      <c r="E111" s="3" t="n">
        <v>835.515</v>
      </c>
      <c r="F111" s="4" t="n">
        <v>16</v>
      </c>
      <c r="G111" t="inlineStr">
        <is>
          <t>British Columbia</t>
        </is>
      </c>
      <c r="H111" t="inlineStr">
        <is>
          <t>UBC Tennis Centre</t>
        </is>
      </c>
      <c r="I111" t="n">
        <v>27.7</v>
      </c>
      <c r="J111" s="4" t="n">
        <v>206</v>
      </c>
      <c r="K111" t="inlineStr">
        <is>
          <t>148 / 58</t>
        </is>
      </c>
      <c r="L111" t="inlineStr">
        <is>
          <t>31 / 21</t>
        </is>
      </c>
      <c r="M111" s="5" t="n">
        <v>0.72</v>
      </c>
      <c r="N111" s="5" t="n">
        <v>0.6</v>
      </c>
    </row>
    <row r="112">
      <c r="A112" t="n">
        <v>111</v>
      </c>
      <c r="B112" t="n">
        <v>2012</v>
      </c>
      <c r="C112" t="inlineStr">
        <is>
          <t>Zenaida May Kolesnikov</t>
        </is>
      </c>
      <c r="D112">
        <f>HYPERLINK("https://ota.tournamentsoftware.com/player-profile/0D20CA06-CC79-483F-87DD-AD6F5FC76972", "Link")</f>
        <v/>
      </c>
      <c r="E112" s="3" t="n">
        <v>834.88</v>
      </c>
      <c r="F112" s="4" t="n">
        <v>5</v>
      </c>
      <c r="G112" t="inlineStr">
        <is>
          <t>Ontario Tennis Association</t>
        </is>
      </c>
      <c r="H112" t="inlineStr">
        <is>
          <t>Kew Gardens Tennis Club</t>
        </is>
      </c>
      <c r="I112" t="n">
        <v>24.5</v>
      </c>
      <c r="J112" s="4" t="n">
        <v>87</v>
      </c>
      <c r="K112" t="inlineStr">
        <is>
          <t>67 / 20</t>
        </is>
      </c>
      <c r="L112" t="inlineStr">
        <is>
          <t>13 / 3</t>
        </is>
      </c>
      <c r="M112" s="5" t="n">
        <v>0.77</v>
      </c>
      <c r="N112" s="5" t="n">
        <v>0.8100000000000001</v>
      </c>
    </row>
    <row r="113">
      <c r="A113" t="n">
        <v>112</v>
      </c>
      <c r="B113" t="n">
        <v>2014</v>
      </c>
      <c r="C113" t="inlineStr">
        <is>
          <t>Edwina Ed Xue</t>
        </is>
      </c>
      <c r="D113">
        <f>HYPERLINK("https://ota.tournamentsoftware.com/player-profile/16F3FDF7-F098-4A63-9D5F-87B196D248B5", "Link")</f>
        <v/>
      </c>
      <c r="E113" s="3" t="n">
        <v>821.777</v>
      </c>
      <c r="F113" s="4" t="n">
        <v>23</v>
      </c>
      <c r="G113" t="inlineStr">
        <is>
          <t>Ontario Tennis Association</t>
        </is>
      </c>
      <c r="H113" t="inlineStr">
        <is>
          <t>Granite Club</t>
        </is>
      </c>
      <c r="I113" t="n">
        <v>28.5</v>
      </c>
      <c r="J113" s="4" t="n">
        <v>288</v>
      </c>
      <c r="K113" t="inlineStr">
        <is>
          <t>169 / 119</t>
        </is>
      </c>
      <c r="L113" t="inlineStr">
        <is>
          <t>29 / 23</t>
        </is>
      </c>
      <c r="M113" s="5" t="n">
        <v>0.59</v>
      </c>
      <c r="N113" s="5" t="n">
        <v>0.5600000000000001</v>
      </c>
    </row>
    <row r="114">
      <c r="A114" t="n">
        <v>113</v>
      </c>
      <c r="B114" t="n">
        <v>2012</v>
      </c>
      <c r="C114" t="inlineStr">
        <is>
          <t>Estelle Kroupetski</t>
        </is>
      </c>
      <c r="D114">
        <f>HYPERLINK("https://ota.tournamentsoftware.com/player-profile/7A8D0D40-A77C-429C-81D6-05DC21DB8D28", "Link")</f>
        <v/>
      </c>
      <c r="E114" s="3" t="n">
        <v>816.504</v>
      </c>
      <c r="F114" s="4" t="n">
        <v>18</v>
      </c>
      <c r="G114" t="inlineStr">
        <is>
          <t>Ontario Tennis Association</t>
        </is>
      </c>
      <c r="H114" t="inlineStr">
        <is>
          <t>Ontario Racquet Club</t>
        </is>
      </c>
      <c r="I114" t="n">
        <v>28.4</v>
      </c>
      <c r="J114" s="4" t="n">
        <v>143</v>
      </c>
      <c r="K114" t="inlineStr">
        <is>
          <t>71 / 72</t>
        </is>
      </c>
      <c r="L114" t="inlineStr">
        <is>
          <t>27 / 10</t>
        </is>
      </c>
      <c r="M114" s="5" t="n">
        <v>0.5</v>
      </c>
      <c r="N114" s="5" t="n">
        <v>0.73</v>
      </c>
    </row>
    <row r="115">
      <c r="A115" t="n">
        <v>114</v>
      </c>
      <c r="B115" t="n">
        <v>2014</v>
      </c>
      <c r="C115" t="inlineStr">
        <is>
          <t>Nyah Morgan</t>
        </is>
      </c>
      <c r="D115">
        <f>HYPERLINK("https://ota.tournamentsoftware.com/player-profile/D9CA028A-3366-4954-9B65-F9840B84F93D", "Link")</f>
        <v/>
      </c>
      <c r="E115" s="3" t="n">
        <v>794.096</v>
      </c>
      <c r="F115" s="4" t="n">
        <v>21</v>
      </c>
      <c r="G115" t="inlineStr">
        <is>
          <t>Ontario Tennis Association</t>
        </is>
      </c>
      <c r="H115" t="inlineStr">
        <is>
          <t>Premier Racquet Clubs – Mississauga</t>
        </is>
      </c>
      <c r="I115" t="n">
        <v>28.4</v>
      </c>
      <c r="J115" s="4" t="n">
        <v>204</v>
      </c>
      <c r="K115" t="inlineStr">
        <is>
          <t>131 / 73</t>
        </is>
      </c>
      <c r="L115" t="inlineStr">
        <is>
          <t>29 / 17</t>
        </is>
      </c>
      <c r="M115" s="5" t="n">
        <v>0.64</v>
      </c>
      <c r="N115" s="5" t="n">
        <v>0.63</v>
      </c>
    </row>
    <row r="116">
      <c r="A116" t="n">
        <v>115</v>
      </c>
      <c r="B116" t="n">
        <v>2013</v>
      </c>
      <c r="C116" t="inlineStr">
        <is>
          <t>Melanie Moon</t>
        </is>
      </c>
      <c r="D116">
        <f>HYPERLINK("https://ota.tournamentsoftware.com/player-profile/90FC60A1-D48C-4A9A-97D8-A17B60CF6D4A", "Link")</f>
        <v/>
      </c>
      <c r="E116" s="3" t="n">
        <v>784.8390000000001</v>
      </c>
      <c r="F116" s="4" t="n">
        <v>15</v>
      </c>
      <c r="G116" t="inlineStr">
        <is>
          <t>British Columbia</t>
        </is>
      </c>
      <c r="H116" t="inlineStr">
        <is>
          <t>Vancouver Lawn Tennis and Badminton Club</t>
        </is>
      </c>
      <c r="I116" t="n">
        <v>28.3</v>
      </c>
      <c r="J116" s="4" t="n">
        <v>236</v>
      </c>
      <c r="K116" t="inlineStr">
        <is>
          <t>119 / 117</t>
        </is>
      </c>
      <c r="L116" t="inlineStr">
        <is>
          <t>10 / 17</t>
        </is>
      </c>
      <c r="M116" s="5" t="n">
        <v>0.5</v>
      </c>
      <c r="N116" s="5" t="n">
        <v>0.37</v>
      </c>
    </row>
    <row r="117">
      <c r="A117" t="n">
        <v>116</v>
      </c>
      <c r="B117" t="n">
        <v>2013</v>
      </c>
      <c r="C117" t="inlineStr">
        <is>
          <t>Élianne Bouchard</t>
        </is>
      </c>
      <c r="D117">
        <f>HYPERLINK("https://ota.tournamentsoftware.com/player-profile/44233F45-64EC-49B2-AA72-859E176C2987", "Link")</f>
        <v/>
      </c>
      <c r="E117" s="3" t="n">
        <v>784.313</v>
      </c>
      <c r="F117" s="4" t="n">
        <v>28</v>
      </c>
      <c r="G117" t="inlineStr">
        <is>
          <t>Tennis Québec</t>
        </is>
      </c>
      <c r="H117" t="inlineStr">
        <is>
          <t>Tennis Interclub Piedmont</t>
        </is>
      </c>
      <c r="I117" t="n">
        <v>29.6</v>
      </c>
      <c r="J117" s="4" t="n">
        <v>243</v>
      </c>
      <c r="K117" t="inlineStr">
        <is>
          <t>114 / 129</t>
        </is>
      </c>
      <c r="L117" t="inlineStr">
        <is>
          <t>28 / 21</t>
        </is>
      </c>
      <c r="M117" s="5" t="n">
        <v>0.47</v>
      </c>
      <c r="N117" s="5" t="n">
        <v>0.57</v>
      </c>
    </row>
    <row r="118">
      <c r="A118" t="n">
        <v>117</v>
      </c>
      <c r="B118" t="n">
        <v>2012</v>
      </c>
      <c r="C118" t="inlineStr">
        <is>
          <t>Penelope Brandt</t>
        </is>
      </c>
      <c r="D118">
        <f>HYPERLINK("https://ota.tournamentsoftware.com/player-profile/AA2E46A9-EC33-4492-A527-0C8E0CA405B0", "Link")</f>
        <v/>
      </c>
      <c r="E118" s="3" t="n">
        <v>784.1559999999999</v>
      </c>
      <c r="F118" s="4" t="n">
        <v>26</v>
      </c>
      <c r="G118" t="inlineStr">
        <is>
          <t>Tennis Québec</t>
        </is>
      </c>
      <c r="H118" t="inlineStr">
        <is>
          <t>SANI Sport</t>
        </is>
      </c>
      <c r="I118" t="n">
        <v>27.9</v>
      </c>
      <c r="J118" s="4" t="n">
        <v>244</v>
      </c>
      <c r="K118" t="inlineStr">
        <is>
          <t>123 / 121</t>
        </is>
      </c>
      <c r="L118" t="inlineStr">
        <is>
          <t>32 / 20</t>
        </is>
      </c>
      <c r="M118" s="5" t="n">
        <v>0.5</v>
      </c>
      <c r="N118" s="5" t="n">
        <v>0.62</v>
      </c>
    </row>
    <row r="119">
      <c r="A119" t="n">
        <v>118</v>
      </c>
      <c r="B119" t="n">
        <v>2013</v>
      </c>
      <c r="C119" t="inlineStr">
        <is>
          <t>Navya Chawla</t>
        </is>
      </c>
      <c r="D119">
        <f>HYPERLINK("https://ota.tournamentsoftware.com/player-profile/26838C23-66D4-4CAD-825B-C69620EB242D", "Link")</f>
        <v/>
      </c>
      <c r="E119" s="3" t="n">
        <v>777.96</v>
      </c>
      <c r="F119" s="4" t="n">
        <v>18</v>
      </c>
      <c r="G119" t="inlineStr">
        <is>
          <t>Tennis Alberta</t>
        </is>
      </c>
      <c r="H119" t="inlineStr">
        <is>
          <t>Osten &amp; Victor Alberta Tennis Centre</t>
        </is>
      </c>
      <c r="I119" t="n">
        <v>24.5</v>
      </c>
      <c r="J119" s="4" t="n">
        <v>281</v>
      </c>
      <c r="K119" t="inlineStr">
        <is>
          <t>178 / 103</t>
        </is>
      </c>
      <c r="L119" t="inlineStr">
        <is>
          <t>14 / 13</t>
        </is>
      </c>
      <c r="M119" s="5" t="n">
        <v>0.63</v>
      </c>
      <c r="N119" s="5" t="n">
        <v>0.52</v>
      </c>
    </row>
    <row r="120">
      <c r="A120" t="n">
        <v>119</v>
      </c>
      <c r="B120" t="n">
        <v>2015</v>
      </c>
      <c r="C120" t="inlineStr">
        <is>
          <t>Olivia Lu</t>
        </is>
      </c>
      <c r="D120">
        <f>HYPERLINK("https://ota.tournamentsoftware.com/player-profile/807CAE71-A1FD-4ED2-952F-E0EDBF0E66E6", "Link")</f>
        <v/>
      </c>
      <c r="E120" s="3" t="n">
        <v>767.184</v>
      </c>
      <c r="F120" s="4" t="n">
        <v>24</v>
      </c>
      <c r="G120" t="inlineStr">
        <is>
          <t>Ontario Tennis Association</t>
        </is>
      </c>
      <c r="H120" t="inlineStr">
        <is>
          <t>Advantage Tennis International at Veneto</t>
        </is>
      </c>
      <c r="I120" t="n">
        <v>30.7</v>
      </c>
      <c r="J120" s="4" t="n">
        <v>161</v>
      </c>
      <c r="K120" t="inlineStr">
        <is>
          <t>93 / 68</t>
        </is>
      </c>
      <c r="L120" t="inlineStr">
        <is>
          <t>26 / 16</t>
        </is>
      </c>
      <c r="M120" s="5" t="n">
        <v>0.58</v>
      </c>
      <c r="N120" s="5" t="n">
        <v>0.62</v>
      </c>
    </row>
    <row r="121">
      <c r="A121" t="n">
        <v>120</v>
      </c>
      <c r="B121" t="n">
        <v>2013</v>
      </c>
      <c r="C121" t="inlineStr">
        <is>
          <t>Natalia Sena</t>
        </is>
      </c>
      <c r="D121">
        <f>HYPERLINK("https://ota.tournamentsoftware.com/player-profile/D89592D5-D2EA-499E-9A9C-8B20B391C761", "Link")</f>
        <v/>
      </c>
      <c r="E121" s="3" t="n">
        <v>753.0940000000001</v>
      </c>
      <c r="F121" s="4" t="n">
        <v>28</v>
      </c>
      <c r="G121" t="inlineStr">
        <is>
          <t>Tennis Québec</t>
        </is>
      </c>
      <c r="H121" t="inlineStr">
        <is>
          <t>No Club</t>
        </is>
      </c>
      <c r="I121" t="n">
        <v>29.2</v>
      </c>
      <c r="J121" s="4" t="n">
        <v>86</v>
      </c>
      <c r="K121" t="inlineStr">
        <is>
          <t>43 / 43</t>
        </is>
      </c>
      <c r="L121" t="inlineStr">
        <is>
          <t>24 / 14</t>
        </is>
      </c>
      <c r="M121" s="5" t="n">
        <v>0.5</v>
      </c>
      <c r="N121" s="5" t="n">
        <v>0.63</v>
      </c>
    </row>
    <row r="122">
      <c r="A122" t="n">
        <v>121</v>
      </c>
      <c r="B122" t="n">
        <v>2012</v>
      </c>
      <c r="C122" t="inlineStr">
        <is>
          <t>Victoria Chow</t>
        </is>
      </c>
      <c r="D122">
        <f>HYPERLINK("https://ota.tournamentsoftware.com/player-profile/7A966C5F-11C4-49ED-9F9D-2B1D18AB7E3B", "Link")</f>
        <v/>
      </c>
      <c r="E122" s="3" t="n">
        <v>743.375</v>
      </c>
      <c r="F122" s="4" t="n">
        <v>18</v>
      </c>
      <c r="G122" t="inlineStr">
        <is>
          <t>Ontario Tennis Association</t>
        </is>
      </c>
      <c r="H122" t="inlineStr">
        <is>
          <t>No Club</t>
        </is>
      </c>
      <c r="I122" t="inlineStr">
        <is>
          <t>unavailable</t>
        </is>
      </c>
      <c r="J122" s="4" t="n">
        <v>277</v>
      </c>
      <c r="K122" t="inlineStr">
        <is>
          <t>141 / 136</t>
        </is>
      </c>
      <c r="L122" t="inlineStr">
        <is>
          <t>15 / 22</t>
        </is>
      </c>
      <c r="M122" s="5" t="n">
        <v>0.51</v>
      </c>
      <c r="N122" s="5" t="n">
        <v>0.41</v>
      </c>
    </row>
    <row r="123">
      <c r="A123" t="n">
        <v>122</v>
      </c>
      <c r="B123" t="n">
        <v>2012</v>
      </c>
      <c r="C123" t="inlineStr">
        <is>
          <t>Joanna Pananchickal</t>
        </is>
      </c>
      <c r="D123">
        <f>HYPERLINK("https://ota.tournamentsoftware.com/player-profile/6487D297-D67D-4189-9D3C-05A8EA398E60", "Link")</f>
        <v/>
      </c>
      <c r="E123" s="3" t="n">
        <v>722.931</v>
      </c>
      <c r="F123" s="4" t="n">
        <v>11</v>
      </c>
      <c r="G123" t="inlineStr">
        <is>
          <t>Ontario Tennis Association</t>
        </is>
      </c>
      <c r="H123" t="inlineStr">
        <is>
          <t>No Club</t>
        </is>
      </c>
      <c r="I123" t="n">
        <v>31</v>
      </c>
      <c r="J123" s="4" t="n">
        <v>65</v>
      </c>
      <c r="K123" t="inlineStr">
        <is>
          <t>31 / 34</t>
        </is>
      </c>
      <c r="L123" t="inlineStr">
        <is>
          <t>13 / 6</t>
        </is>
      </c>
      <c r="M123" s="5" t="n">
        <v>0.48</v>
      </c>
      <c r="N123" s="5" t="n">
        <v>0.68</v>
      </c>
    </row>
    <row r="124">
      <c r="A124" t="n">
        <v>123</v>
      </c>
      <c r="B124" t="n">
        <v>2012</v>
      </c>
      <c r="C124" t="inlineStr">
        <is>
          <t>Meika Sebastian</t>
        </is>
      </c>
      <c r="D124">
        <f>HYPERLINK("https://ota.tournamentsoftware.com/player-profile/0CA7407B-419A-43BA-82FB-32200AA68BA2", "Link")</f>
        <v/>
      </c>
      <c r="E124" s="3" t="n">
        <v>719.111</v>
      </c>
      <c r="F124" s="4" t="n">
        <v>8</v>
      </c>
      <c r="G124" t="inlineStr">
        <is>
          <t>Ontario Tennis Association</t>
        </is>
      </c>
      <c r="H124" t="inlineStr">
        <is>
          <t>City of Kingston</t>
        </is>
      </c>
      <c r="I124" t="n">
        <v>24.7</v>
      </c>
      <c r="J124" s="4" t="n">
        <v>287</v>
      </c>
      <c r="K124" t="inlineStr">
        <is>
          <t>147 / 140</t>
        </is>
      </c>
      <c r="L124" t="inlineStr">
        <is>
          <t>0 / 4</t>
        </is>
      </c>
      <c r="M124" s="5" t="n">
        <v>0.51</v>
      </c>
      <c r="N124" s="5" t="n">
        <v>0</v>
      </c>
    </row>
    <row r="125">
      <c r="A125" t="n">
        <v>124</v>
      </c>
      <c r="B125" t="n">
        <v>2014</v>
      </c>
      <c r="C125" t="inlineStr">
        <is>
          <t>Nuanyi Li</t>
        </is>
      </c>
      <c r="D125">
        <f>HYPERLINK("https://ota.tournamentsoftware.com/player-profile/341DA394-9039-4254-B369-B8C52872A168", "Link")</f>
        <v/>
      </c>
      <c r="E125" s="3" t="n">
        <v>710.697</v>
      </c>
      <c r="F125" s="4" t="n">
        <v>29</v>
      </c>
      <c r="G125" t="inlineStr">
        <is>
          <t>Ontario Tennis Association</t>
        </is>
      </c>
      <c r="H125" t="inlineStr">
        <is>
          <t>Fainblum Tennis Academy</t>
        </is>
      </c>
      <c r="I125" t="n">
        <v>28.3</v>
      </c>
      <c r="J125" s="4" t="n">
        <v>289</v>
      </c>
      <c r="K125" t="inlineStr">
        <is>
          <t>179 / 110</t>
        </is>
      </c>
      <c r="L125" t="inlineStr">
        <is>
          <t>28 / 27</t>
        </is>
      </c>
      <c r="M125" s="5" t="n">
        <v>0.62</v>
      </c>
      <c r="N125" s="5" t="n">
        <v>0.51</v>
      </c>
    </row>
    <row r="126">
      <c r="A126" t="n">
        <v>125</v>
      </c>
      <c r="B126" t="n">
        <v>2012</v>
      </c>
      <c r="C126" t="inlineStr">
        <is>
          <t>Emma Abdou</t>
        </is>
      </c>
      <c r="D126">
        <f>HYPERLINK("https://ota.tournamentsoftware.com/player-profile/FD6387AB-774D-491E-8A68-CE4DD20FAEF7", "Link")</f>
        <v/>
      </c>
      <c r="E126" s="3" t="n">
        <v>704.612</v>
      </c>
      <c r="F126" s="4" t="n">
        <v>32</v>
      </c>
      <c r="G126" t="inlineStr">
        <is>
          <t>Ontario Tennis Association</t>
        </is>
      </c>
      <c r="H126" t="inlineStr">
        <is>
          <t>Granite Club</t>
        </is>
      </c>
      <c r="I126" t="n">
        <v>30.5</v>
      </c>
      <c r="J126" s="4" t="n">
        <v>206</v>
      </c>
      <c r="K126" t="inlineStr">
        <is>
          <t>97 / 109</t>
        </is>
      </c>
      <c r="L126" t="inlineStr">
        <is>
          <t>29 / 26</t>
        </is>
      </c>
      <c r="M126" s="5" t="n">
        <v>0.47</v>
      </c>
      <c r="N126" s="5" t="n">
        <v>0.53</v>
      </c>
    </row>
    <row r="127">
      <c r="A127" t="n">
        <v>126</v>
      </c>
      <c r="B127" t="n">
        <v>2012</v>
      </c>
      <c r="C127" t="inlineStr">
        <is>
          <t>Dina Yijia Zhang</t>
        </is>
      </c>
      <c r="D127">
        <f>HYPERLINK("https://ota.tournamentsoftware.com/player-profile/CF7261D5-5723-40A9-853D-2B21D7A35985", "Link")</f>
        <v/>
      </c>
      <c r="E127" s="3" t="n">
        <v>703.611</v>
      </c>
      <c r="F127" s="4" t="n">
        <v>9</v>
      </c>
      <c r="G127" t="inlineStr">
        <is>
          <t>Tennis Nova Scotia</t>
        </is>
      </c>
      <c r="H127" t="inlineStr">
        <is>
          <t>HEADSTART</t>
        </is>
      </c>
      <c r="I127" t="n">
        <v>30.8</v>
      </c>
      <c r="J127" s="4" t="n">
        <v>158</v>
      </c>
      <c r="K127" t="inlineStr">
        <is>
          <t>64 / 94</t>
        </is>
      </c>
      <c r="L127" t="inlineStr">
        <is>
          <t>8 / 15</t>
        </is>
      </c>
      <c r="M127" s="5" t="n">
        <v>0.41</v>
      </c>
      <c r="N127" s="5" t="n">
        <v>0.35</v>
      </c>
    </row>
    <row r="128">
      <c r="A128" t="n">
        <v>127</v>
      </c>
      <c r="B128" t="n">
        <v>2013</v>
      </c>
      <c r="C128" t="inlineStr">
        <is>
          <t>Elena Vamoser</t>
        </is>
      </c>
      <c r="D128">
        <f>HYPERLINK("https://ota.tournamentsoftware.com/player-profile/F839ADA6-2875-4712-9FE7-C958E075D669", "Link")</f>
        <v/>
      </c>
      <c r="E128" s="3" t="n">
        <v>697.77</v>
      </c>
      <c r="F128" s="4" t="n">
        <v>26</v>
      </c>
      <c r="G128" t="inlineStr">
        <is>
          <t>Ontario Tennis Association</t>
        </is>
      </c>
      <c r="H128" t="inlineStr">
        <is>
          <t>ACE Tennis - Burlington</t>
        </is>
      </c>
      <c r="I128" t="n">
        <v>30.6</v>
      </c>
      <c r="J128" s="4" t="n">
        <v>128</v>
      </c>
      <c r="K128" t="inlineStr">
        <is>
          <t>74 / 54</t>
        </is>
      </c>
      <c r="L128" t="inlineStr">
        <is>
          <t>15 / 17</t>
        </is>
      </c>
      <c r="M128" s="5" t="n">
        <v>0.58</v>
      </c>
      <c r="N128" s="5" t="n">
        <v>0.47</v>
      </c>
    </row>
    <row r="129">
      <c r="A129" t="n">
        <v>128</v>
      </c>
      <c r="B129" t="n">
        <v>2016</v>
      </c>
      <c r="C129" t="inlineStr">
        <is>
          <t>Kaili Ear Gui</t>
        </is>
      </c>
      <c r="D129">
        <f>HYPERLINK("https://ota.tournamentsoftware.com/player-profile/6E1FCBA7-1BA6-4DCA-9440-D121E3710638", "Link")</f>
        <v/>
      </c>
      <c r="E129" s="3" t="n">
        <v>695.772</v>
      </c>
      <c r="F129" s="4" t="n">
        <v>13</v>
      </c>
      <c r="G129" t="inlineStr">
        <is>
          <t>Tennis Saskatchewan</t>
        </is>
      </c>
      <c r="H129" t="inlineStr">
        <is>
          <t>Lakeshore Tennis Club</t>
        </is>
      </c>
      <c r="I129" t="n">
        <v>31.7</v>
      </c>
      <c r="J129" s="4" t="n">
        <v>147</v>
      </c>
      <c r="K129" t="inlineStr">
        <is>
          <t>84 / 63</t>
        </is>
      </c>
      <c r="L129" t="inlineStr">
        <is>
          <t>35 / 30</t>
        </is>
      </c>
      <c r="M129" s="5" t="n">
        <v>0.57</v>
      </c>
      <c r="N129" s="5" t="n">
        <v>0.54</v>
      </c>
    </row>
    <row r="130">
      <c r="A130" t="n">
        <v>129</v>
      </c>
      <c r="B130" t="n">
        <v>2014</v>
      </c>
      <c r="C130" t="inlineStr">
        <is>
          <t>Fengfei ZHANG</t>
        </is>
      </c>
      <c r="D130">
        <f>HYPERLINK("https://ota.tournamentsoftware.com/player-profile/AB18AFB2-DEDF-42AF-BFB1-458553AF250C", "Link")</f>
        <v/>
      </c>
      <c r="E130" s="3" t="n">
        <v>661.9109999999999</v>
      </c>
      <c r="F130" s="4" t="n">
        <v>29</v>
      </c>
      <c r="G130" t="inlineStr">
        <is>
          <t>Tennis Québec</t>
        </is>
      </c>
      <c r="H130" t="inlineStr">
        <is>
          <t>Tennis Ile- des- Soeurs</t>
        </is>
      </c>
      <c r="I130" t="n">
        <v>29.1</v>
      </c>
      <c r="J130" s="4" t="n">
        <v>232</v>
      </c>
      <c r="K130" t="inlineStr">
        <is>
          <t>102 / 130</t>
        </is>
      </c>
      <c r="L130" t="inlineStr">
        <is>
          <t>36 / 31</t>
        </is>
      </c>
      <c r="M130" s="5" t="n">
        <v>0.44</v>
      </c>
      <c r="N130" s="5" t="n">
        <v>0.54</v>
      </c>
    </row>
    <row r="131">
      <c r="A131" t="n">
        <v>130</v>
      </c>
      <c r="B131" t="n">
        <v>2012</v>
      </c>
      <c r="C131" t="inlineStr">
        <is>
          <t>Cindy Zixuan Li</t>
        </is>
      </c>
      <c r="D131">
        <f>HYPERLINK("https://ota.tournamentsoftware.com/player-profile/23E61DC5-74BF-4612-8E7F-7DA0B013D911", "Link")</f>
        <v/>
      </c>
      <c r="E131" s="3" t="n">
        <v>661.299</v>
      </c>
      <c r="F131" s="4" t="n">
        <v>10</v>
      </c>
      <c r="G131" t="inlineStr">
        <is>
          <t>British Columbia</t>
        </is>
      </c>
      <c r="H131" t="inlineStr">
        <is>
          <t>Vanguard Tennis Academy</t>
        </is>
      </c>
      <c r="I131" t="n">
        <v>27.1</v>
      </c>
      <c r="J131" s="4" t="n">
        <v>137</v>
      </c>
      <c r="K131" t="inlineStr">
        <is>
          <t>69 / 68</t>
        </is>
      </c>
      <c r="L131" t="inlineStr">
        <is>
          <t>8 / 7</t>
        </is>
      </c>
      <c r="M131" s="5" t="n">
        <v>0.5</v>
      </c>
      <c r="N131" s="5" t="n">
        <v>0.53</v>
      </c>
    </row>
    <row r="132">
      <c r="A132" t="n">
        <v>131</v>
      </c>
      <c r="B132" t="n">
        <v>2012</v>
      </c>
      <c r="C132" t="inlineStr">
        <is>
          <t>Luisa Victoria Davis</t>
        </is>
      </c>
      <c r="D132">
        <f>HYPERLINK("https://ota.tournamentsoftware.com/player-profile/F5AE6D4A-50BA-4E57-AD34-589189161D57", "Link")</f>
        <v/>
      </c>
      <c r="E132" s="3" t="n">
        <v>656.047</v>
      </c>
      <c r="F132" s="4" t="n">
        <v>12</v>
      </c>
      <c r="G132" t="inlineStr">
        <is>
          <t>Ontario Tennis Association</t>
        </is>
      </c>
      <c r="H132" t="inlineStr">
        <is>
          <t>Mayfair West Fitness &amp; Racquet Club</t>
        </is>
      </c>
      <c r="I132" t="inlineStr">
        <is>
          <t>unavailable</t>
        </is>
      </c>
      <c r="J132" s="4" t="n">
        <v>200</v>
      </c>
      <c r="K132" t="inlineStr">
        <is>
          <t>128 / 72</t>
        </is>
      </c>
      <c r="L132" t="inlineStr">
        <is>
          <t>6 / 10</t>
        </is>
      </c>
      <c r="M132" s="5" t="n">
        <v>0.64</v>
      </c>
      <c r="N132" s="5" t="n">
        <v>0.38</v>
      </c>
    </row>
    <row r="133">
      <c r="A133" t="n">
        <v>132</v>
      </c>
      <c r="B133" t="n">
        <v>2012</v>
      </c>
      <c r="C133" t="inlineStr">
        <is>
          <t>Chloe Fischer</t>
        </is>
      </c>
      <c r="D133">
        <f>HYPERLINK("https://ota.tournamentsoftware.com/player-profile/4F19921D-D25C-4DFA-8A7D-90DE48FEB722", "Link")</f>
        <v/>
      </c>
      <c r="E133" s="3" t="n">
        <v>646.653</v>
      </c>
      <c r="F133" s="4" t="n">
        <v>23</v>
      </c>
      <c r="G133" t="inlineStr">
        <is>
          <t>Ontario Tennis Association</t>
        </is>
      </c>
      <c r="H133" t="inlineStr">
        <is>
          <t>No Club</t>
        </is>
      </c>
      <c r="I133" t="n">
        <v>33</v>
      </c>
      <c r="J133" s="4" t="n">
        <v>218</v>
      </c>
      <c r="K133" t="inlineStr">
        <is>
          <t>102 / 116</t>
        </is>
      </c>
      <c r="L133" t="inlineStr">
        <is>
          <t>6 / 21</t>
        </is>
      </c>
      <c r="M133" s="5" t="n">
        <v>0.47</v>
      </c>
      <c r="N133" s="5" t="n">
        <v>0.22</v>
      </c>
    </row>
    <row r="134">
      <c r="A134" t="n">
        <v>133</v>
      </c>
      <c r="B134" t="n">
        <v>2012</v>
      </c>
      <c r="C134" t="inlineStr">
        <is>
          <t>Madison Tam</t>
        </is>
      </c>
      <c r="D134">
        <f>HYPERLINK("https://ota.tournamentsoftware.com/player-profile/827C7FCD-2D7D-406E-B5C0-29D0720096DC", "Link")</f>
        <v/>
      </c>
      <c r="E134" s="3" t="n">
        <v>638.2</v>
      </c>
      <c r="F134" s="4" t="n">
        <v>20</v>
      </c>
      <c r="G134" t="inlineStr">
        <is>
          <t>Ontario Tennis Association</t>
        </is>
      </c>
      <c r="H134" t="inlineStr">
        <is>
          <t>Sir Winston Churchill Tennis Club</t>
        </is>
      </c>
      <c r="I134" t="n">
        <v>29.1</v>
      </c>
      <c r="J134" s="4" t="n">
        <v>441</v>
      </c>
      <c r="K134" t="inlineStr">
        <is>
          <t>316 / 125</t>
        </is>
      </c>
      <c r="L134" t="inlineStr">
        <is>
          <t>19 / 10</t>
        </is>
      </c>
      <c r="M134" s="5" t="n">
        <v>0.72</v>
      </c>
      <c r="N134" s="5" t="n">
        <v>0.66</v>
      </c>
    </row>
    <row r="135">
      <c r="A135" t="n">
        <v>134</v>
      </c>
      <c r="B135" t="n">
        <v>2013</v>
      </c>
      <c r="C135" t="inlineStr">
        <is>
          <t>Leyan Isabella Yik Sum Leung</t>
        </is>
      </c>
      <c r="D135">
        <f>HYPERLINK("https://ota.tournamentsoftware.com/player-profile/7FB2D792-ABB2-4F05-B9D4-757321E9FA35", "Link")</f>
        <v/>
      </c>
      <c r="E135" s="3" t="n">
        <v>635.405</v>
      </c>
      <c r="F135" s="4" t="n">
        <v>21</v>
      </c>
      <c r="G135" t="inlineStr">
        <is>
          <t>British Columbia</t>
        </is>
      </c>
      <c r="H135" t="inlineStr">
        <is>
          <t>Vanguard Tennis Academy</t>
        </is>
      </c>
      <c r="I135" t="n">
        <v>27.7</v>
      </c>
      <c r="J135" s="4" t="n">
        <v>123</v>
      </c>
      <c r="K135" t="inlineStr">
        <is>
          <t>79 / 44</t>
        </is>
      </c>
      <c r="L135" t="inlineStr">
        <is>
          <t>29 / 16</t>
        </is>
      </c>
      <c r="M135" s="5" t="n">
        <v>0.64</v>
      </c>
      <c r="N135" s="5" t="n">
        <v>0.64</v>
      </c>
    </row>
    <row r="136">
      <c r="A136" t="n">
        <v>135</v>
      </c>
      <c r="B136" t="n">
        <v>2014</v>
      </c>
      <c r="C136" t="inlineStr">
        <is>
          <t>Emmanuella Ibrahim</t>
        </is>
      </c>
      <c r="D136">
        <f>HYPERLINK("https://ota.tournamentsoftware.com/player-profile/8CFFE2B1-9508-4CB2-8E6A-6761AA8394EA", "Link")</f>
        <v/>
      </c>
      <c r="E136" s="3" t="n">
        <v>628.717</v>
      </c>
      <c r="F136" s="4" t="n">
        <v>18</v>
      </c>
      <c r="G136" t="inlineStr">
        <is>
          <t>Tennis Alberta</t>
        </is>
      </c>
      <c r="H136" t="inlineStr">
        <is>
          <t>Aforza</t>
        </is>
      </c>
      <c r="I136" t="inlineStr">
        <is>
          <t>unavailable</t>
        </is>
      </c>
      <c r="J136" s="4" t="n">
        <v>190</v>
      </c>
      <c r="K136" t="inlineStr">
        <is>
          <t>137 / 53</t>
        </is>
      </c>
      <c r="L136" t="inlineStr">
        <is>
          <t>39 / 16</t>
        </is>
      </c>
      <c r="M136" s="5" t="n">
        <v>0.72</v>
      </c>
      <c r="N136" s="5" t="n">
        <v>0.71</v>
      </c>
    </row>
    <row r="137">
      <c r="A137" t="n">
        <v>136</v>
      </c>
      <c r="B137" t="n">
        <v>2012</v>
      </c>
      <c r="C137" t="inlineStr">
        <is>
          <t>Anna Lucenti</t>
        </is>
      </c>
      <c r="D137">
        <f>HYPERLINK("https://ota.tournamentsoftware.com/player-profile/332E40CD-AB90-41CE-81C3-858501B2FAD3", "Link")</f>
        <v/>
      </c>
      <c r="E137" s="3" t="n">
        <v>624.889</v>
      </c>
      <c r="F137" s="4" t="n">
        <v>29</v>
      </c>
      <c r="G137" t="inlineStr">
        <is>
          <t>Ontario Tennis Association</t>
        </is>
      </c>
      <c r="H137" t="inlineStr">
        <is>
          <t>SmartVMC Racquetsports by ACE</t>
        </is>
      </c>
      <c r="I137" t="n">
        <v>30.9</v>
      </c>
      <c r="J137" s="4" t="n">
        <v>133</v>
      </c>
      <c r="K137" t="inlineStr">
        <is>
          <t>56 / 77</t>
        </is>
      </c>
      <c r="L137" t="inlineStr">
        <is>
          <t>23 / 14</t>
        </is>
      </c>
      <c r="M137" s="5" t="n">
        <v>0.42</v>
      </c>
      <c r="N137" s="5" t="n">
        <v>0.62</v>
      </c>
    </row>
    <row r="138">
      <c r="A138" t="n">
        <v>137</v>
      </c>
      <c r="B138" t="n">
        <v>2012</v>
      </c>
      <c r="C138" t="inlineStr">
        <is>
          <t>Yutong (Olivia) Ha</t>
        </is>
      </c>
      <c r="D138">
        <f>HYPERLINK("https://ota.tournamentsoftware.com/player-profile/53AE0DB5-1F76-4FB8-9870-3B236A9DAA97", "Link")</f>
        <v/>
      </c>
      <c r="E138" s="3" t="n">
        <v>624.7430000000001</v>
      </c>
      <c r="F138" s="4" t="n">
        <v>16</v>
      </c>
      <c r="G138" t="inlineStr">
        <is>
          <t>Ontario Tennis Association</t>
        </is>
      </c>
      <c r="H138" t="inlineStr">
        <is>
          <t>Richmondhill Golf &amp; Country Club</t>
        </is>
      </c>
      <c r="I138" t="inlineStr">
        <is>
          <t>unavailable</t>
        </is>
      </c>
      <c r="J138" s="4" t="n">
        <v>195</v>
      </c>
      <c r="K138" t="inlineStr">
        <is>
          <t>84 / 111</t>
        </is>
      </c>
      <c r="L138" t="inlineStr">
        <is>
          <t>6 / 16</t>
        </is>
      </c>
      <c r="M138" s="5" t="n">
        <v>0.43</v>
      </c>
      <c r="N138" s="5" t="n">
        <v>0.27</v>
      </c>
    </row>
    <row r="139">
      <c r="A139" t="n">
        <v>138</v>
      </c>
      <c r="B139" t="n">
        <v>2012</v>
      </c>
      <c r="C139" t="inlineStr">
        <is>
          <t>Riddhi Jha</t>
        </is>
      </c>
      <c r="D139">
        <f>HYPERLINK("https://ota.tournamentsoftware.com/player-profile/3B4B01BB-2AAD-49DD-B186-312576B12DC9", "Link")</f>
        <v/>
      </c>
      <c r="E139" s="3" t="n">
        <v>622.258</v>
      </c>
      <c r="F139" s="4" t="n">
        <v>14</v>
      </c>
      <c r="G139" t="inlineStr">
        <is>
          <t>Ontario Tennis Association</t>
        </is>
      </c>
      <c r="H139" t="inlineStr">
        <is>
          <t>Bramalea Tennis Club</t>
        </is>
      </c>
      <c r="I139" t="n">
        <v>30.6</v>
      </c>
      <c r="J139" s="4" t="n">
        <v>241</v>
      </c>
      <c r="K139" t="inlineStr">
        <is>
          <t>89 / 152</t>
        </is>
      </c>
      <c r="L139" t="inlineStr">
        <is>
          <t>18 / 11</t>
        </is>
      </c>
      <c r="M139" s="5" t="n">
        <v>0.37</v>
      </c>
      <c r="N139" s="5" t="n">
        <v>0.62</v>
      </c>
    </row>
    <row r="140">
      <c r="A140" t="n">
        <v>139</v>
      </c>
      <c r="B140" t="n">
        <v>2012</v>
      </c>
      <c r="C140" t="inlineStr">
        <is>
          <t>Avea Ungureanu Pinto</t>
        </is>
      </c>
      <c r="D140">
        <f>HYPERLINK("https://ota.tournamentsoftware.com/player-profile/527FEC9E-D920-4439-9E01-51A3CFDED939", "Link")</f>
        <v/>
      </c>
      <c r="E140" s="3" t="n">
        <v>618.181</v>
      </c>
      <c r="F140" s="4" t="n">
        <v>26</v>
      </c>
      <c r="G140" t="inlineStr">
        <is>
          <t>Ontario Tennis Association</t>
        </is>
      </c>
      <c r="H140" t="inlineStr">
        <is>
          <t>Mayfair East Racquet Club</t>
        </is>
      </c>
      <c r="I140" t="n">
        <v>29.3</v>
      </c>
      <c r="J140" s="4" t="n">
        <v>140</v>
      </c>
      <c r="K140" t="inlineStr">
        <is>
          <t>75 / 65</t>
        </is>
      </c>
      <c r="L140" t="inlineStr">
        <is>
          <t>20 / 16</t>
        </is>
      </c>
      <c r="M140" s="5" t="n">
        <v>0.54</v>
      </c>
      <c r="N140" s="5" t="n">
        <v>0.5600000000000001</v>
      </c>
    </row>
    <row r="141">
      <c r="A141" t="n">
        <v>140</v>
      </c>
      <c r="B141" t="n">
        <v>2015</v>
      </c>
      <c r="C141" t="inlineStr">
        <is>
          <t>Amy Jiao</t>
        </is>
      </c>
      <c r="D141">
        <f>HYPERLINK("https://ota.tournamentsoftware.com/player-profile/5977984B-8EC9-4812-BCFA-CD93C4FFD7AF", "Link")</f>
        <v/>
      </c>
      <c r="E141" s="3" t="n">
        <v>616.011</v>
      </c>
      <c r="F141" s="4" t="n">
        <v>24</v>
      </c>
      <c r="G141" t="inlineStr">
        <is>
          <t>Ontario Tennis Association</t>
        </is>
      </c>
      <c r="H141" t="inlineStr">
        <is>
          <t>Rideau Sports Centre</t>
        </is>
      </c>
      <c r="I141" t="n">
        <v>29.7</v>
      </c>
      <c r="J141" s="4" t="n">
        <v>294</v>
      </c>
      <c r="K141" t="inlineStr">
        <is>
          <t>165 / 129</t>
        </is>
      </c>
      <c r="L141" t="inlineStr">
        <is>
          <t>46 / 27</t>
        </is>
      </c>
      <c r="M141" s="5" t="n">
        <v>0.5600000000000001</v>
      </c>
      <c r="N141" s="5" t="n">
        <v>0.63</v>
      </c>
    </row>
    <row r="142">
      <c r="A142" t="n">
        <v>141</v>
      </c>
      <c r="B142" t="n">
        <v>2014</v>
      </c>
      <c r="C142" t="inlineStr">
        <is>
          <t>Evelyn Wang</t>
        </is>
      </c>
      <c r="D142">
        <f>HYPERLINK("https://ota.tournamentsoftware.com/player-profile/3A43E7FB-647C-4296-8E8D-106421DC2080", "Link")</f>
        <v/>
      </c>
      <c r="E142" s="3" t="n">
        <v>615.356</v>
      </c>
      <c r="F142" s="4" t="n">
        <v>17</v>
      </c>
      <c r="G142" t="inlineStr">
        <is>
          <t>British Columbia</t>
        </is>
      </c>
      <c r="H142" t="inlineStr">
        <is>
          <t>UBC Tennis Centre</t>
        </is>
      </c>
      <c r="I142" t="n">
        <v>28.5</v>
      </c>
      <c r="J142" s="4" t="n">
        <v>246</v>
      </c>
      <c r="K142" t="inlineStr">
        <is>
          <t>123 / 123</t>
        </is>
      </c>
      <c r="L142" t="inlineStr">
        <is>
          <t>27 / 24</t>
        </is>
      </c>
      <c r="M142" s="5" t="n">
        <v>0.5</v>
      </c>
      <c r="N142" s="5" t="n">
        <v>0.53</v>
      </c>
    </row>
    <row r="143">
      <c r="A143" t="n">
        <v>142</v>
      </c>
      <c r="B143" t="n">
        <v>2015</v>
      </c>
      <c r="C143" t="inlineStr">
        <is>
          <t>Emma Yin</t>
        </is>
      </c>
      <c r="D143">
        <f>HYPERLINK("https://ota.tournamentsoftware.com/player-profile/F90E2576-5989-4051-9E1F-45C789378967", "Link")</f>
        <v/>
      </c>
      <c r="E143" s="3" t="n">
        <v>613.705</v>
      </c>
      <c r="F143" s="4" t="n">
        <v>11</v>
      </c>
      <c r="G143" t="inlineStr">
        <is>
          <t>Tennis Saskatchewan</t>
        </is>
      </c>
      <c r="H143" t="inlineStr">
        <is>
          <t>Lakeshore Tennis Club</t>
        </is>
      </c>
      <c r="I143" t="n">
        <v>30.1</v>
      </c>
      <c r="J143" s="4" t="n">
        <v>157</v>
      </c>
      <c r="K143" t="inlineStr">
        <is>
          <t>80 / 77</t>
        </is>
      </c>
      <c r="L143" t="inlineStr">
        <is>
          <t>34 / 22</t>
        </is>
      </c>
      <c r="M143" s="5" t="n">
        <v>0.51</v>
      </c>
      <c r="N143" s="5" t="n">
        <v>0.61</v>
      </c>
    </row>
    <row r="144">
      <c r="A144" t="n">
        <v>143</v>
      </c>
      <c r="B144" t="n">
        <v>2014</v>
      </c>
      <c r="C144" t="inlineStr">
        <is>
          <t>Alice Yu-Qi Ren</t>
        </is>
      </c>
      <c r="D144">
        <f>HYPERLINK("https://ota.tournamentsoftware.com/player-profile/FE127D3B-825E-4C4F-9666-BA4529348FE4", "Link")</f>
        <v/>
      </c>
      <c r="E144" s="3" t="n">
        <v>610.301</v>
      </c>
      <c r="F144" s="4" t="n">
        <v>19</v>
      </c>
      <c r="G144" t="inlineStr">
        <is>
          <t>Tennis Alberta</t>
        </is>
      </c>
      <c r="H144" t="inlineStr">
        <is>
          <t>Saville Community Sports Centre</t>
        </is>
      </c>
      <c r="I144" t="n">
        <v>28.2</v>
      </c>
      <c r="J144" s="4" t="n">
        <v>208</v>
      </c>
      <c r="K144" t="inlineStr">
        <is>
          <t>142 / 66</t>
        </is>
      </c>
      <c r="L144" t="inlineStr">
        <is>
          <t>39 / 17</t>
        </is>
      </c>
      <c r="M144" s="5" t="n">
        <v>0.68</v>
      </c>
      <c r="N144" s="5" t="n">
        <v>0.7</v>
      </c>
    </row>
    <row r="145">
      <c r="A145" t="n">
        <v>144</v>
      </c>
      <c r="B145" t="n">
        <v>2012</v>
      </c>
      <c r="C145" t="inlineStr">
        <is>
          <t>OLIVIA JUNHAN CAO</t>
        </is>
      </c>
      <c r="D145">
        <f>HYPERLINK("https://ota.tournamentsoftware.com/player-profile/3D68BE77-5DE2-40D9-BCC3-C836A764F3EF", "Link")</f>
        <v/>
      </c>
      <c r="E145" s="3" t="n">
        <v>608.6</v>
      </c>
      <c r="F145" s="4" t="n">
        <v>19</v>
      </c>
      <c r="G145" t="inlineStr">
        <is>
          <t>British Columbia</t>
        </is>
      </c>
      <c r="H145" t="inlineStr">
        <is>
          <t>Richmond Country Club</t>
        </is>
      </c>
      <c r="I145" t="n">
        <v>27.2</v>
      </c>
      <c r="J145" s="4" t="n">
        <v>147</v>
      </c>
      <c r="K145" t="inlineStr">
        <is>
          <t>100 / 47</t>
        </is>
      </c>
      <c r="L145" t="inlineStr">
        <is>
          <t>37 / 16</t>
        </is>
      </c>
      <c r="M145" s="5" t="n">
        <v>0.68</v>
      </c>
      <c r="N145" s="5" t="n">
        <v>0.7</v>
      </c>
    </row>
    <row r="146">
      <c r="A146" t="n">
        <v>145</v>
      </c>
      <c r="B146" t="n">
        <v>2014</v>
      </c>
      <c r="C146" t="inlineStr">
        <is>
          <t>Naomi Iamandi</t>
        </is>
      </c>
      <c r="D146">
        <f>HYPERLINK("https://ota.tournamentsoftware.com/player-profile/5653599F-FFB6-46FA-B574-E53D7FBC278E", "Link")</f>
        <v/>
      </c>
      <c r="E146" s="3" t="n">
        <v>607.422</v>
      </c>
      <c r="F146" s="4" t="n">
        <v>23</v>
      </c>
      <c r="G146" t="inlineStr">
        <is>
          <t>Ontario Tennis Association</t>
        </is>
      </c>
      <c r="H146" t="inlineStr">
        <is>
          <t>Joshua Creek Golf &amp; Tennis</t>
        </is>
      </c>
      <c r="I146" t="n">
        <v>30.1</v>
      </c>
      <c r="J146" s="4" t="n">
        <v>230</v>
      </c>
      <c r="K146" t="inlineStr">
        <is>
          <t>125 / 105</t>
        </is>
      </c>
      <c r="L146" t="inlineStr">
        <is>
          <t>16 / 24</t>
        </is>
      </c>
      <c r="M146" s="5" t="n">
        <v>0.54</v>
      </c>
      <c r="N146" s="5" t="n">
        <v>0.4</v>
      </c>
    </row>
    <row r="147">
      <c r="A147" t="n">
        <v>146</v>
      </c>
      <c r="B147" t="n">
        <v>2013</v>
      </c>
      <c r="C147" t="inlineStr">
        <is>
          <t>Blaire Ming min kaminski</t>
        </is>
      </c>
      <c r="D147">
        <f>HYPERLINK("https://ota.tournamentsoftware.com/player-profile/F1255585-993D-4DBF-ADE9-E5818DCBA131", "Link")</f>
        <v/>
      </c>
      <c r="E147" s="3" t="n">
        <v>601.103</v>
      </c>
      <c r="F147" s="4" t="n">
        <v>16</v>
      </c>
      <c r="G147" t="inlineStr">
        <is>
          <t>Tennis Alberta</t>
        </is>
      </c>
      <c r="H147" t="inlineStr">
        <is>
          <t>Osten &amp; Victor Alberta Tennis Centre</t>
        </is>
      </c>
      <c r="I147" t="inlineStr">
        <is>
          <t>unavailable</t>
        </is>
      </c>
      <c r="J147" s="4" t="n">
        <v>124</v>
      </c>
      <c r="K147" t="inlineStr">
        <is>
          <t>60 / 64</t>
        </is>
      </c>
      <c r="L147" t="inlineStr">
        <is>
          <t>15 / 13</t>
        </is>
      </c>
      <c r="M147" s="5" t="n">
        <v>0.48</v>
      </c>
      <c r="N147" s="5" t="n">
        <v>0.54</v>
      </c>
    </row>
    <row r="148">
      <c r="A148" t="n">
        <v>147</v>
      </c>
      <c r="B148" t="n">
        <v>2013</v>
      </c>
      <c r="C148" t="inlineStr">
        <is>
          <t>Bianca Nestor</t>
        </is>
      </c>
      <c r="D148">
        <f>HYPERLINK("https://ota.tournamentsoftware.com/player-profile/8BAE5D37-8145-43F6-9016-30DDC5E4E994", "Link")</f>
        <v/>
      </c>
      <c r="E148" s="3" t="n">
        <v>587.992</v>
      </c>
      <c r="F148" s="4" t="n">
        <v>23</v>
      </c>
      <c r="G148" t="inlineStr">
        <is>
          <t>Ontario Tennis Association</t>
        </is>
      </c>
      <c r="H148" t="inlineStr">
        <is>
          <t>Toronto Lawn Tennis Club</t>
        </is>
      </c>
      <c r="I148" t="n">
        <v>30.3</v>
      </c>
      <c r="J148" s="4" t="n">
        <v>194</v>
      </c>
      <c r="K148" t="inlineStr">
        <is>
          <t>95 / 99</t>
        </is>
      </c>
      <c r="L148" t="inlineStr">
        <is>
          <t>14 / 13</t>
        </is>
      </c>
      <c r="M148" s="5" t="n">
        <v>0.49</v>
      </c>
      <c r="N148" s="5" t="n">
        <v>0.52</v>
      </c>
    </row>
    <row r="149">
      <c r="A149" t="n">
        <v>148</v>
      </c>
      <c r="B149" t="n">
        <v>2013</v>
      </c>
      <c r="C149" t="inlineStr">
        <is>
          <t>Zoe Yeung</t>
        </is>
      </c>
      <c r="D149">
        <f>HYPERLINK("https://ota.tournamentsoftware.com/player-profile/69712725-5DA5-49A3-9C42-5A05BBB6B230", "Link")</f>
        <v/>
      </c>
      <c r="E149" s="3" t="n">
        <v>583.942</v>
      </c>
      <c r="F149" s="4" t="n">
        <v>16</v>
      </c>
      <c r="G149" t="inlineStr">
        <is>
          <t>Tennis Alberta</t>
        </is>
      </c>
      <c r="H149" t="inlineStr">
        <is>
          <t>Osten &amp; Victor Alberta Tennis Centre</t>
        </is>
      </c>
      <c r="I149" t="n">
        <v>29.2</v>
      </c>
      <c r="J149" s="4" t="n">
        <v>184</v>
      </c>
      <c r="K149" t="inlineStr">
        <is>
          <t>87 / 97</t>
        </is>
      </c>
      <c r="L149" t="inlineStr">
        <is>
          <t>13 / 16</t>
        </is>
      </c>
      <c r="M149" s="5" t="n">
        <v>0.47</v>
      </c>
      <c r="N149" s="5" t="n">
        <v>0.45</v>
      </c>
    </row>
    <row r="150">
      <c r="A150" t="n">
        <v>149</v>
      </c>
      <c r="B150" t="n">
        <v>2012</v>
      </c>
      <c r="C150" t="inlineStr">
        <is>
          <t>Malia Lee Datta</t>
        </is>
      </c>
      <c r="D150">
        <f>HYPERLINK("https://ota.tournamentsoftware.com/player-profile/0FC1E5E7-0316-49C4-95C5-C429E3032398", "Link")</f>
        <v/>
      </c>
      <c r="E150" s="3" t="n">
        <v>583.375</v>
      </c>
      <c r="F150" s="4" t="n">
        <v>17</v>
      </c>
      <c r="G150" t="inlineStr">
        <is>
          <t>Tennis Alberta</t>
        </is>
      </c>
      <c r="H150" t="inlineStr">
        <is>
          <t>Calgary Winter Club</t>
        </is>
      </c>
      <c r="I150" t="n">
        <v>28.6</v>
      </c>
      <c r="J150" s="4" t="n">
        <v>149</v>
      </c>
      <c r="K150" t="inlineStr">
        <is>
          <t>64 / 85</t>
        </is>
      </c>
      <c r="L150" t="inlineStr">
        <is>
          <t>13 / 18</t>
        </is>
      </c>
      <c r="M150" s="5" t="n">
        <v>0.43</v>
      </c>
      <c r="N150" s="5" t="n">
        <v>0.42</v>
      </c>
    </row>
    <row r="151">
      <c r="A151" t="n">
        <v>150</v>
      </c>
      <c r="B151" t="n">
        <v>2012</v>
      </c>
      <c r="C151" t="inlineStr">
        <is>
          <t>Eliana Cantin</t>
        </is>
      </c>
      <c r="D151">
        <f>HYPERLINK("https://ota.tournamentsoftware.com/player-profile/D4DBD3FF-74D7-4D84-BB8F-104CA729E69E", "Link")</f>
        <v/>
      </c>
      <c r="E151" s="3" t="n">
        <v>579.148</v>
      </c>
      <c r="F151" s="4" t="n">
        <v>14</v>
      </c>
      <c r="G151" t="inlineStr">
        <is>
          <t>Tennis Québec</t>
        </is>
      </c>
      <c r="H151" t="inlineStr">
        <is>
          <t>Centre récréatif de Repentigny / Académie Tennis Momentum</t>
        </is>
      </c>
      <c r="I151" t="n">
        <v>29</v>
      </c>
      <c r="J151" s="4" t="n">
        <v>186</v>
      </c>
      <c r="K151" t="inlineStr">
        <is>
          <t>91 / 95</t>
        </is>
      </c>
      <c r="L151" t="inlineStr">
        <is>
          <t>9 / 16</t>
        </is>
      </c>
      <c r="M151" s="5" t="n">
        <v>0.49</v>
      </c>
      <c r="N151" s="5" t="n">
        <v>0.36</v>
      </c>
    </row>
    <row r="152">
      <c r="A152" t="n">
        <v>151</v>
      </c>
      <c r="B152" t="n">
        <v>2012</v>
      </c>
      <c r="C152" t="inlineStr">
        <is>
          <t>Caroline ChuYun Yang</t>
        </is>
      </c>
      <c r="D152">
        <f>HYPERLINK("https://ota.tournamentsoftware.com/player-profile/973A8D96-42F5-42BC-9DF2-0A195E1A983F", "Link")</f>
        <v/>
      </c>
      <c r="E152" s="3" t="n">
        <v>574.0700000000001</v>
      </c>
      <c r="F152" s="4" t="n">
        <v>22</v>
      </c>
      <c r="G152" t="inlineStr">
        <is>
          <t>British Columbia</t>
        </is>
      </c>
      <c r="H152" t="inlineStr">
        <is>
          <t>The Tennis Centre</t>
        </is>
      </c>
      <c r="I152" t="n">
        <v>28.5</v>
      </c>
      <c r="J152" s="4" t="n">
        <v>265</v>
      </c>
      <c r="K152" t="inlineStr">
        <is>
          <t>159 / 106</t>
        </is>
      </c>
      <c r="L152" t="inlineStr">
        <is>
          <t>27 / 20</t>
        </is>
      </c>
      <c r="M152" s="5" t="n">
        <v>0.6</v>
      </c>
      <c r="N152" s="5" t="n">
        <v>0.57</v>
      </c>
    </row>
    <row r="153">
      <c r="A153" t="n">
        <v>152</v>
      </c>
      <c r="B153" t="n">
        <v>2014</v>
      </c>
      <c r="C153" t="inlineStr">
        <is>
          <t>Sophie Lu</t>
        </is>
      </c>
      <c r="D153">
        <f>HYPERLINK("https://ota.tournamentsoftware.com/player-profile/5C3C8ABA-3BF6-4232-B65C-B26C16207D0A", "Link")</f>
        <v/>
      </c>
      <c r="E153" s="3" t="n">
        <v>569.085</v>
      </c>
      <c r="F153" s="4" t="n">
        <v>18</v>
      </c>
      <c r="G153" t="inlineStr">
        <is>
          <t>Tennis Québec</t>
        </is>
      </c>
      <c r="H153" t="inlineStr">
        <is>
          <t>Tennis Ile- des- Soeurs</t>
        </is>
      </c>
      <c r="I153" t="inlineStr">
        <is>
          <t>unavailable</t>
        </is>
      </c>
      <c r="J153" s="4" t="n">
        <v>210</v>
      </c>
      <c r="K153" t="inlineStr">
        <is>
          <t>107 / 103</t>
        </is>
      </c>
      <c r="L153" t="inlineStr">
        <is>
          <t>36 / 24</t>
        </is>
      </c>
      <c r="M153" s="5" t="n">
        <v>0.51</v>
      </c>
      <c r="N153" s="5" t="n">
        <v>0.6</v>
      </c>
    </row>
    <row r="154">
      <c r="A154" t="n">
        <v>153</v>
      </c>
      <c r="B154" t="n">
        <v>2012</v>
      </c>
      <c r="C154" t="inlineStr">
        <is>
          <t>Alexandra Dorobantu</t>
        </is>
      </c>
      <c r="D154">
        <f>HYPERLINK("https://ota.tournamentsoftware.com/player-profile/CE7FB59F-F5CB-4CA3-A3EB-27DC05EB2B7D", "Link")</f>
        <v/>
      </c>
      <c r="E154" s="3" t="n">
        <v>568.771</v>
      </c>
      <c r="F154" s="4" t="n">
        <v>13</v>
      </c>
      <c r="G154" t="inlineStr">
        <is>
          <t>Tennis Alberta</t>
        </is>
      </c>
      <c r="H154" t="inlineStr">
        <is>
          <t>Saville Community Sports Centre</t>
        </is>
      </c>
      <c r="I154" t="inlineStr">
        <is>
          <t>unavailable</t>
        </is>
      </c>
      <c r="J154" s="4" t="n">
        <v>156</v>
      </c>
      <c r="K154" t="inlineStr">
        <is>
          <t>76 / 80</t>
        </is>
      </c>
      <c r="L154" t="inlineStr">
        <is>
          <t>14 / 17</t>
        </is>
      </c>
      <c r="M154" s="5" t="n">
        <v>0.49</v>
      </c>
      <c r="N154" s="5" t="n">
        <v>0.45</v>
      </c>
    </row>
    <row r="155">
      <c r="A155" t="n">
        <v>154</v>
      </c>
      <c r="B155" t="n">
        <v>2014</v>
      </c>
      <c r="C155" t="inlineStr">
        <is>
          <t>Michelle Zhang</t>
        </is>
      </c>
      <c r="D155">
        <f>HYPERLINK("https://ota.tournamentsoftware.com/player-profile/9912697B-2876-4A36-8F98-3B7F524694E1", "Link")</f>
        <v/>
      </c>
      <c r="E155" s="3" t="n">
        <v>568.749</v>
      </c>
      <c r="F155" s="4" t="n">
        <v>11</v>
      </c>
      <c r="G155" t="inlineStr">
        <is>
          <t>Tennis Nova Scotia</t>
        </is>
      </c>
      <c r="H155" t="inlineStr">
        <is>
          <t>Atlantic Tennis Centre</t>
        </is>
      </c>
      <c r="I155" t="n">
        <v>30.1</v>
      </c>
      <c r="J155" s="4" t="n">
        <v>157</v>
      </c>
      <c r="K155" t="inlineStr">
        <is>
          <t>88 / 69</t>
        </is>
      </c>
      <c r="L155" t="inlineStr">
        <is>
          <t>26 / 28</t>
        </is>
      </c>
      <c r="M155" s="5" t="n">
        <v>0.5600000000000001</v>
      </c>
      <c r="N155" s="5" t="n">
        <v>0.48</v>
      </c>
    </row>
    <row r="156">
      <c r="A156" t="n">
        <v>155</v>
      </c>
      <c r="B156" t="n">
        <v>2013</v>
      </c>
      <c r="C156" t="inlineStr">
        <is>
          <t>Chloe Elizabeth Kotorobai</t>
        </is>
      </c>
      <c r="D156">
        <f>HYPERLINK("https://ota.tournamentsoftware.com/player-profile/FA516D57-03A4-4F2E-810D-864F5732F5CE", "Link")</f>
        <v/>
      </c>
      <c r="E156" s="3" t="n">
        <v>559.52</v>
      </c>
      <c r="F156" s="4" t="n">
        <v>22</v>
      </c>
      <c r="G156" t="inlineStr">
        <is>
          <t>Ontario Tennis Association</t>
        </is>
      </c>
      <c r="H156" t="inlineStr">
        <is>
          <t>City of Stoney Creek</t>
        </is>
      </c>
      <c r="I156" t="n">
        <v>31.8</v>
      </c>
      <c r="J156" s="4" t="n">
        <v>90</v>
      </c>
      <c r="K156" t="inlineStr">
        <is>
          <t>36 / 54</t>
        </is>
      </c>
      <c r="L156" t="inlineStr">
        <is>
          <t>8 / 13</t>
        </is>
      </c>
      <c r="M156" s="5" t="n">
        <v>0.4</v>
      </c>
      <c r="N156" s="5" t="n">
        <v>0.38</v>
      </c>
    </row>
    <row r="157">
      <c r="A157" t="n">
        <v>156</v>
      </c>
      <c r="B157" t="n">
        <v>2015</v>
      </c>
      <c r="C157" t="inlineStr">
        <is>
          <t>Alexia Djomo</t>
        </is>
      </c>
      <c r="D157">
        <f>HYPERLINK("https://ota.tournamentsoftware.com/player-profile/DCE433A3-22C1-4484-BA5B-62931094794E", "Link")</f>
        <v/>
      </c>
      <c r="E157" s="3" t="n">
        <v>559.021</v>
      </c>
      <c r="F157" s="4" t="n">
        <v>13</v>
      </c>
      <c r="G157" t="inlineStr">
        <is>
          <t>Tennis Manitoba</t>
        </is>
      </c>
      <c r="H157" t="inlineStr">
        <is>
          <t>Winnipeg Winter Club</t>
        </is>
      </c>
      <c r="I157" t="n">
        <v>33</v>
      </c>
      <c r="J157" s="4" t="n">
        <v>78</v>
      </c>
      <c r="K157" t="inlineStr">
        <is>
          <t>31 / 47</t>
        </is>
      </c>
      <c r="L157" t="inlineStr">
        <is>
          <t>24 / 28</t>
        </is>
      </c>
      <c r="M157" s="5" t="n">
        <v>0.4</v>
      </c>
      <c r="N157" s="5" t="n">
        <v>0.46</v>
      </c>
    </row>
    <row r="158">
      <c r="A158" t="n">
        <v>157</v>
      </c>
      <c r="B158" t="n">
        <v>2015</v>
      </c>
      <c r="C158" t="inlineStr">
        <is>
          <t>NELIA BERKOUD</t>
        </is>
      </c>
      <c r="D158">
        <f>HYPERLINK("https://ota.tournamentsoftware.com/player-profile/2E73021E-DEDD-484B-95FC-00429D223FB2", "Link")</f>
        <v/>
      </c>
      <c r="E158" s="3" t="n">
        <v>554.133</v>
      </c>
      <c r="F158" s="4" t="n">
        <v>23</v>
      </c>
      <c r="G158" t="inlineStr">
        <is>
          <t>Tennis Québec</t>
        </is>
      </c>
      <c r="H158" t="inlineStr">
        <is>
          <t>Carrefour Multisports</t>
        </is>
      </c>
      <c r="I158" t="n">
        <v>30.2</v>
      </c>
      <c r="J158" s="4" t="n">
        <v>142</v>
      </c>
      <c r="K158" t="inlineStr">
        <is>
          <t>87 / 55</t>
        </is>
      </c>
      <c r="L158" t="inlineStr">
        <is>
          <t>31 / 27</t>
        </is>
      </c>
      <c r="M158" s="5" t="n">
        <v>0.61</v>
      </c>
      <c r="N158" s="5" t="n">
        <v>0.53</v>
      </c>
    </row>
    <row r="159">
      <c r="A159" t="n">
        <v>158</v>
      </c>
      <c r="B159" t="n">
        <v>2015</v>
      </c>
      <c r="C159" t="inlineStr">
        <is>
          <t>Grace Wang</t>
        </is>
      </c>
      <c r="D159">
        <f>HYPERLINK("https://ota.tournamentsoftware.com/player-profile/2F68C1DC-1A19-4E3A-AF58-6DC4541843F2", "Link")</f>
        <v/>
      </c>
      <c r="E159" s="3" t="n">
        <v>553.759</v>
      </c>
      <c r="F159" s="4" t="n">
        <v>27</v>
      </c>
      <c r="G159" t="inlineStr">
        <is>
          <t>British Columbia</t>
        </is>
      </c>
      <c r="H159" t="inlineStr">
        <is>
          <t>No Club</t>
        </is>
      </c>
      <c r="I159" t="n">
        <v>28.9</v>
      </c>
      <c r="J159" s="4" t="n">
        <v>239</v>
      </c>
      <c r="K159" t="inlineStr">
        <is>
          <t>143 / 96</t>
        </is>
      </c>
      <c r="L159" t="inlineStr">
        <is>
          <t>42 / 23</t>
        </is>
      </c>
      <c r="M159" s="5" t="n">
        <v>0.6</v>
      </c>
      <c r="N159" s="5" t="n">
        <v>0.65</v>
      </c>
    </row>
    <row r="160">
      <c r="A160" t="n">
        <v>159</v>
      </c>
      <c r="B160" t="n">
        <v>2015</v>
      </c>
      <c r="C160" t="inlineStr">
        <is>
          <t>Sofia Chan</t>
        </is>
      </c>
      <c r="D160">
        <f>HYPERLINK("https://ota.tournamentsoftware.com/player-profile/62C41ADF-8A1D-416E-AAF9-4C80ECB74645", "Link")</f>
        <v/>
      </c>
      <c r="E160" s="3" t="n">
        <v>552.08</v>
      </c>
      <c r="F160" s="4" t="n">
        <v>31</v>
      </c>
      <c r="G160" t="inlineStr">
        <is>
          <t>Ontario Tennis Association</t>
        </is>
      </c>
      <c r="H160" t="inlineStr">
        <is>
          <t>No Club</t>
        </is>
      </c>
      <c r="I160" t="n">
        <v>30.9</v>
      </c>
      <c r="J160" s="4" t="n">
        <v>154</v>
      </c>
      <c r="K160" t="inlineStr">
        <is>
          <t>99 / 55</t>
        </is>
      </c>
      <c r="L160" t="inlineStr">
        <is>
          <t>42 / 24</t>
        </is>
      </c>
      <c r="M160" s="5" t="n">
        <v>0.64</v>
      </c>
      <c r="N160" s="5" t="n">
        <v>0.64</v>
      </c>
    </row>
    <row r="161">
      <c r="A161" t="n">
        <v>160</v>
      </c>
      <c r="B161" t="n">
        <v>2014</v>
      </c>
      <c r="C161" t="inlineStr">
        <is>
          <t>Charlie Thomas-Simard</t>
        </is>
      </c>
      <c r="D161">
        <f>HYPERLINK("https://ota.tournamentsoftware.com/player-profile/E101E3D0-39D8-4861-AB44-D9BE1C346E1E", "Link")</f>
        <v/>
      </c>
      <c r="E161" s="3" t="n">
        <v>550.771</v>
      </c>
      <c r="F161" s="4" t="n">
        <v>24</v>
      </c>
      <c r="G161" t="inlineStr">
        <is>
          <t>Tennis Québec</t>
        </is>
      </c>
      <c r="H161" t="inlineStr">
        <is>
          <t>Club Avantage Multi-sports / Académie de tennis Hérisset Bordeleau</t>
        </is>
      </c>
      <c r="I161" t="n">
        <v>31.5</v>
      </c>
      <c r="J161" s="4" t="n">
        <v>121</v>
      </c>
      <c r="K161" t="inlineStr">
        <is>
          <t>65 / 56</t>
        </is>
      </c>
      <c r="L161" t="inlineStr">
        <is>
          <t>29 / 28</t>
        </is>
      </c>
      <c r="M161" s="5" t="n">
        <v>0.54</v>
      </c>
      <c r="N161" s="5" t="n">
        <v>0.51</v>
      </c>
    </row>
    <row r="162">
      <c r="A162" t="n">
        <v>161</v>
      </c>
      <c r="B162" t="n">
        <v>2012</v>
      </c>
      <c r="C162" t="inlineStr">
        <is>
          <t>Marisol Hilal</t>
        </is>
      </c>
      <c r="D162">
        <f>HYPERLINK("https://ota.tournamentsoftware.com/player-profile/A59841ED-F3F4-4773-A197-5502453988FE", "Link")</f>
        <v/>
      </c>
      <c r="E162" s="3" t="n">
        <v>541.679</v>
      </c>
      <c r="F162" s="4" t="n">
        <v>31</v>
      </c>
      <c r="G162" t="inlineStr">
        <is>
          <t>Tennis Québec</t>
        </is>
      </c>
      <c r="H162" t="inlineStr">
        <is>
          <t>Carrefour Multisports</t>
        </is>
      </c>
      <c r="I162" t="n">
        <v>30.3</v>
      </c>
      <c r="J162" s="4" t="n">
        <v>283</v>
      </c>
      <c r="K162" t="inlineStr">
        <is>
          <t>113 / 170</t>
        </is>
      </c>
      <c r="L162" t="inlineStr">
        <is>
          <t>16 / 25</t>
        </is>
      </c>
      <c r="M162" s="5" t="n">
        <v>0.4</v>
      </c>
      <c r="N162" s="5" t="n">
        <v>0.39</v>
      </c>
    </row>
    <row r="163">
      <c r="A163" t="n">
        <v>162</v>
      </c>
      <c r="B163" t="n">
        <v>2013</v>
      </c>
      <c r="C163" t="inlineStr">
        <is>
          <t>Mathilde Labeeuw</t>
        </is>
      </c>
      <c r="D163">
        <f>HYPERLINK("https://ota.tournamentsoftware.com/player-profile/ACCBCF37-0334-4ED1-B564-DFD6E35F3445", "Link")</f>
        <v/>
      </c>
      <c r="E163" s="3" t="n">
        <v>541.425</v>
      </c>
      <c r="F163" s="4" t="n">
        <v>21</v>
      </c>
      <c r="G163" t="inlineStr">
        <is>
          <t>Tennis Québec</t>
        </is>
      </c>
      <c r="H163" t="inlineStr">
        <is>
          <t>SANI Sport</t>
        </is>
      </c>
      <c r="I163" t="n">
        <v>30.5</v>
      </c>
      <c r="J163" s="4" t="n">
        <v>189</v>
      </c>
      <c r="K163" t="inlineStr">
        <is>
          <t>89 / 100</t>
        </is>
      </c>
      <c r="L163" t="inlineStr">
        <is>
          <t>11 / 14</t>
        </is>
      </c>
      <c r="M163" s="5" t="n">
        <v>0.47</v>
      </c>
      <c r="N163" s="5" t="n">
        <v>0.44</v>
      </c>
    </row>
    <row r="164">
      <c r="A164" t="n">
        <v>163</v>
      </c>
      <c r="B164" t="n">
        <v>2013</v>
      </c>
      <c r="C164" t="inlineStr">
        <is>
          <t>Maliah Morgan</t>
        </is>
      </c>
      <c r="D164">
        <f>HYPERLINK("https://ota.tournamentsoftware.com/player-profile/9A3C1326-AE04-42FE-BCE6-AF95D32715F8", "Link")</f>
        <v/>
      </c>
      <c r="E164" s="3" t="n">
        <v>541.035</v>
      </c>
      <c r="F164" s="4" t="n">
        <v>19</v>
      </c>
      <c r="G164" t="inlineStr">
        <is>
          <t>Ontario Tennis Association</t>
        </is>
      </c>
      <c r="H164" t="inlineStr">
        <is>
          <t>Joshua Creek Golf &amp; Tennis</t>
        </is>
      </c>
      <c r="I164" t="n">
        <v>29.1</v>
      </c>
      <c r="J164" s="4" t="n">
        <v>186</v>
      </c>
      <c r="K164" t="inlineStr">
        <is>
          <t>111 / 75</t>
        </is>
      </c>
      <c r="L164" t="inlineStr">
        <is>
          <t>11 / 12</t>
        </is>
      </c>
      <c r="M164" s="5" t="n">
        <v>0.6</v>
      </c>
      <c r="N164" s="5" t="n">
        <v>0.48</v>
      </c>
    </row>
    <row r="165">
      <c r="A165" t="n">
        <v>164</v>
      </c>
      <c r="B165" t="n">
        <v>2012</v>
      </c>
      <c r="C165" t="inlineStr">
        <is>
          <t>Yuehan DONG</t>
        </is>
      </c>
      <c r="D165">
        <f>HYPERLINK("https://ota.tournamentsoftware.com/player-profile/F5996998-771E-46C9-A222-1C90911DD4C3", "Link")</f>
        <v/>
      </c>
      <c r="E165" s="3" t="n">
        <v>534.77</v>
      </c>
      <c r="F165" s="4" t="n">
        <v>29</v>
      </c>
      <c r="G165" t="inlineStr">
        <is>
          <t>Ontario Tennis Association</t>
        </is>
      </c>
      <c r="H165" t="inlineStr">
        <is>
          <t>Fainblum Tennis Academy</t>
        </is>
      </c>
      <c r="I165" t="n">
        <v>31.7</v>
      </c>
      <c r="J165" s="4" t="n">
        <v>125</v>
      </c>
      <c r="K165" t="inlineStr">
        <is>
          <t>56 / 69</t>
        </is>
      </c>
      <c r="L165" t="inlineStr">
        <is>
          <t>8 / 18</t>
        </is>
      </c>
      <c r="M165" s="5" t="n">
        <v>0.45</v>
      </c>
      <c r="N165" s="5" t="n">
        <v>0.31</v>
      </c>
    </row>
    <row r="166">
      <c r="A166" t="n">
        <v>165</v>
      </c>
      <c r="B166" t="n">
        <v>2015</v>
      </c>
      <c r="C166" t="inlineStr">
        <is>
          <t>Alyanna Jane Principe</t>
        </is>
      </c>
      <c r="D166">
        <f>HYPERLINK("https://ota.tournamentsoftware.com/player-profile/DF18434B-FE2E-4647-9481-0DA91B5C9B92", "Link")</f>
        <v/>
      </c>
      <c r="E166" s="3" t="n">
        <v>532.043</v>
      </c>
      <c r="F166" s="4" t="n">
        <v>23</v>
      </c>
      <c r="G166" t="inlineStr">
        <is>
          <t>British Columbia</t>
        </is>
      </c>
      <c r="H166" t="inlineStr">
        <is>
          <t>The Tennis Centre</t>
        </is>
      </c>
      <c r="I166" t="n">
        <v>28.1</v>
      </c>
      <c r="J166" s="4" t="n">
        <v>237</v>
      </c>
      <c r="K166" t="inlineStr">
        <is>
          <t>156 / 81</t>
        </is>
      </c>
      <c r="L166" t="inlineStr">
        <is>
          <t>34 / 22</t>
        </is>
      </c>
      <c r="M166" s="5" t="n">
        <v>0.66</v>
      </c>
      <c r="N166" s="5" t="n">
        <v>0.61</v>
      </c>
    </row>
    <row r="167">
      <c r="A167" t="n">
        <v>166</v>
      </c>
      <c r="B167" t="n">
        <v>2013</v>
      </c>
      <c r="C167" t="inlineStr">
        <is>
          <t>Sonya Notta</t>
        </is>
      </c>
      <c r="D167">
        <f>HYPERLINK("https://ota.tournamentsoftware.com/player-profile/6AF626BE-D8F1-4939-AF03-813D0A17EE25", "Link")</f>
        <v/>
      </c>
      <c r="E167" s="3" t="n">
        <v>527.968</v>
      </c>
      <c r="F167" s="4" t="n">
        <v>9</v>
      </c>
      <c r="G167" t="inlineStr">
        <is>
          <t>Ontario Tennis Association</t>
        </is>
      </c>
      <c r="H167" t="inlineStr">
        <is>
          <t>Mayfair East Racquet Club</t>
        </is>
      </c>
      <c r="I167" t="inlineStr">
        <is>
          <t>unavailable</t>
        </is>
      </c>
      <c r="J167" s="4" t="n">
        <v>76</v>
      </c>
      <c r="K167" t="inlineStr">
        <is>
          <t>51 / 25</t>
        </is>
      </c>
      <c r="L167" t="inlineStr">
        <is>
          <t>8 / 3</t>
        </is>
      </c>
      <c r="M167" s="5" t="n">
        <v>0.67</v>
      </c>
      <c r="N167" s="5" t="n">
        <v>0.73</v>
      </c>
    </row>
    <row r="168">
      <c r="A168" t="n">
        <v>167</v>
      </c>
      <c r="B168" t="n">
        <v>2012</v>
      </c>
      <c r="C168" t="inlineStr">
        <is>
          <t>Lourdes Valentina Haun</t>
        </is>
      </c>
      <c r="D168">
        <f>HYPERLINK("https://ota.tournamentsoftware.com/player-profile/97D1640C-AAFD-43B2-8C9A-BAA1649A3937", "Link")</f>
        <v/>
      </c>
      <c r="E168" s="3" t="n">
        <v>527.521</v>
      </c>
      <c r="F168" s="4" t="n">
        <v>13</v>
      </c>
      <c r="G168" t="inlineStr">
        <is>
          <t>Tennis Alberta</t>
        </is>
      </c>
      <c r="H168" t="inlineStr">
        <is>
          <t>Osten &amp; Victor Alberta Tennis Centre</t>
        </is>
      </c>
      <c r="I168" t="n">
        <v>26.1</v>
      </c>
      <c r="J168" s="4" t="n">
        <v>292</v>
      </c>
      <c r="K168" t="inlineStr">
        <is>
          <t>170 / 122</t>
        </is>
      </c>
      <c r="L168" t="inlineStr">
        <is>
          <t>21 / 16</t>
        </is>
      </c>
      <c r="M168" s="5" t="n">
        <v>0.58</v>
      </c>
      <c r="N168" s="5" t="n">
        <v>0.57</v>
      </c>
    </row>
    <row r="169">
      <c r="A169" t="n">
        <v>168</v>
      </c>
      <c r="B169" t="n">
        <v>2014</v>
      </c>
      <c r="C169" t="inlineStr">
        <is>
          <t>Laetitia Thuy Van Nguyen</t>
        </is>
      </c>
      <c r="D169">
        <f>HYPERLINK("https://ota.tournamentsoftware.com/player-profile/B151CB64-D12D-48B2-8087-4EABB50157E8", "Link")</f>
        <v/>
      </c>
      <c r="E169" s="3" t="n">
        <v>522.812</v>
      </c>
      <c r="F169" s="4" t="n">
        <v>22</v>
      </c>
      <c r="G169" t="inlineStr">
        <is>
          <t>Tennis Québec</t>
        </is>
      </c>
      <c r="H169" t="inlineStr">
        <is>
          <t>Tennis Outaouais Performance (TOP)</t>
        </is>
      </c>
      <c r="I169" t="n">
        <v>29.8</v>
      </c>
      <c r="J169" s="4" t="n">
        <v>216</v>
      </c>
      <c r="K169" t="inlineStr">
        <is>
          <t>118 / 98</t>
        </is>
      </c>
      <c r="L169" t="inlineStr">
        <is>
          <t>32 / 23</t>
        </is>
      </c>
      <c r="M169" s="5" t="n">
        <v>0.55</v>
      </c>
      <c r="N169" s="5" t="n">
        <v>0.58</v>
      </c>
    </row>
    <row r="170">
      <c r="A170" t="n">
        <v>169</v>
      </c>
      <c r="B170" t="n">
        <v>2012</v>
      </c>
      <c r="C170" t="inlineStr">
        <is>
          <t>Meeth Kaur Rai</t>
        </is>
      </c>
      <c r="D170">
        <f>HYPERLINK("https://ota.tournamentsoftware.com/player-profile/3C191393-570A-4DF7-80D4-0613143CE54B", "Link")</f>
        <v/>
      </c>
      <c r="E170" s="3" t="n">
        <v>517.12</v>
      </c>
      <c r="F170" s="4" t="n">
        <v>18</v>
      </c>
      <c r="G170" t="inlineStr">
        <is>
          <t>British Columbia</t>
        </is>
      </c>
      <c r="H170" t="inlineStr">
        <is>
          <t>No Club</t>
        </is>
      </c>
      <c r="I170" t="n">
        <v>28.2</v>
      </c>
      <c r="J170" s="4" t="n">
        <v>226</v>
      </c>
      <c r="K170" t="inlineStr">
        <is>
          <t>124 / 102</t>
        </is>
      </c>
      <c r="L170" t="inlineStr">
        <is>
          <t>14 / 25</t>
        </is>
      </c>
      <c r="M170" s="5" t="n">
        <v>0.55</v>
      </c>
      <c r="N170" s="5" t="n">
        <v>0.36</v>
      </c>
    </row>
    <row r="171">
      <c r="A171" t="n">
        <v>170</v>
      </c>
      <c r="B171" t="n">
        <v>2012</v>
      </c>
      <c r="C171" t="inlineStr">
        <is>
          <t>Daniella Kulemin</t>
        </is>
      </c>
      <c r="D171">
        <f>HYPERLINK("https://ota.tournamentsoftware.com/player-profile/665847C2-A172-4164-B9E1-C1030269B793", "Link")</f>
        <v/>
      </c>
      <c r="E171" s="3" t="n">
        <v>515.465</v>
      </c>
      <c r="F171" s="4" t="n">
        <v>20</v>
      </c>
      <c r="G171" t="inlineStr">
        <is>
          <t>Ontario Tennis Association</t>
        </is>
      </c>
      <c r="H171" t="inlineStr">
        <is>
          <t>Concord Tennis Academy</t>
        </is>
      </c>
      <c r="I171" t="n">
        <v>30.6</v>
      </c>
      <c r="J171" s="4" t="n">
        <v>56</v>
      </c>
      <c r="K171" t="inlineStr">
        <is>
          <t>25 / 31</t>
        </is>
      </c>
      <c r="L171" t="inlineStr">
        <is>
          <t>15 / 17</t>
        </is>
      </c>
      <c r="M171" s="5" t="n">
        <v>0.45</v>
      </c>
      <c r="N171" s="5" t="n">
        <v>0.47</v>
      </c>
    </row>
    <row r="172">
      <c r="A172" t="n">
        <v>171</v>
      </c>
      <c r="B172" t="n">
        <v>2012</v>
      </c>
      <c r="C172" t="inlineStr">
        <is>
          <t>Izibeyle Bhopal</t>
        </is>
      </c>
      <c r="D172">
        <f>HYPERLINK("https://ota.tournamentsoftware.com/player-profile/E9C7A60A-D097-4925-9456-764C57DCF01A", "Link")</f>
        <v/>
      </c>
      <c r="E172" s="3" t="n">
        <v>514.73</v>
      </c>
      <c r="F172" s="4" t="n">
        <v>3</v>
      </c>
      <c r="G172" t="inlineStr">
        <is>
          <t>British Columbia</t>
        </is>
      </c>
      <c r="H172" t="inlineStr">
        <is>
          <t>Bear Mountain Tennis Centre</t>
        </is>
      </c>
      <c r="I172" t="n">
        <v>24.4</v>
      </c>
      <c r="J172" s="4" t="n">
        <v>64</v>
      </c>
      <c r="K172" t="inlineStr">
        <is>
          <t>39 / 25</t>
        </is>
      </c>
      <c r="L172" t="inlineStr">
        <is>
          <t>4 / 0</t>
        </is>
      </c>
      <c r="M172" s="5" t="n">
        <v>0.61</v>
      </c>
      <c r="N172" s="5" t="n">
        <v>1</v>
      </c>
    </row>
    <row r="173">
      <c r="A173" t="n">
        <v>172</v>
      </c>
      <c r="B173" t="n">
        <v>2013</v>
      </c>
      <c r="C173" t="inlineStr">
        <is>
          <t>Nelly Campagna</t>
        </is>
      </c>
      <c r="D173">
        <f>HYPERLINK("https://ota.tournamentsoftware.com/player-profile/57A742FF-F88B-4C14-A895-DA6559972095", "Link")</f>
        <v/>
      </c>
      <c r="E173" s="3" t="n">
        <v>514.603</v>
      </c>
      <c r="F173" s="4" t="n">
        <v>20</v>
      </c>
      <c r="G173" t="inlineStr">
        <is>
          <t>Tennis Québec</t>
        </is>
      </c>
      <c r="H173" t="inlineStr">
        <is>
          <t>Centre récréatif de Repentigny / Académie Tennis Momentum</t>
        </is>
      </c>
      <c r="I173" t="n">
        <v>29.6</v>
      </c>
      <c r="J173" s="4" t="n">
        <v>167</v>
      </c>
      <c r="K173" t="inlineStr">
        <is>
          <t>89 / 78</t>
        </is>
      </c>
      <c r="L173" t="inlineStr">
        <is>
          <t>21 / 16</t>
        </is>
      </c>
      <c r="M173" s="5" t="n">
        <v>0.53</v>
      </c>
      <c r="N173" s="5" t="n">
        <v>0.57</v>
      </c>
    </row>
    <row r="174">
      <c r="A174" t="n">
        <v>173</v>
      </c>
      <c r="B174" t="n">
        <v>2012</v>
      </c>
      <c r="C174" t="inlineStr">
        <is>
          <t>Ira Karthi</t>
        </is>
      </c>
      <c r="D174">
        <f>HYPERLINK("https://ota.tournamentsoftware.com/player-profile/87DFD688-7475-43FD-B605-7E13CDDC471C", "Link")</f>
        <v/>
      </c>
      <c r="E174" s="3" t="n">
        <v>509.725</v>
      </c>
      <c r="F174" s="4" t="n">
        <v>18</v>
      </c>
      <c r="G174" t="inlineStr">
        <is>
          <t>Ontario Tennis Association</t>
        </is>
      </c>
      <c r="H174" t="inlineStr">
        <is>
          <t>Sandy Beach Tennis Club</t>
        </is>
      </c>
      <c r="I174" t="n">
        <v>32.4</v>
      </c>
      <c r="J174" s="4" t="n">
        <v>73</v>
      </c>
      <c r="K174" t="inlineStr">
        <is>
          <t>22 / 51</t>
        </is>
      </c>
      <c r="L174" t="inlineStr">
        <is>
          <t>11 / 13</t>
        </is>
      </c>
      <c r="M174" s="5" t="n">
        <v>0.3</v>
      </c>
      <c r="N174" s="5" t="n">
        <v>0.46</v>
      </c>
    </row>
    <row r="175">
      <c r="A175" t="n">
        <v>174</v>
      </c>
      <c r="B175" t="n">
        <v>2012</v>
      </c>
      <c r="C175" t="inlineStr">
        <is>
          <t>Emma Sun</t>
        </is>
      </c>
      <c r="D175">
        <f>HYPERLINK("https://ota.tournamentsoftware.com/player-profile/00B8EFA4-17DF-49B4-90DE-B5A577BC8620", "Link")</f>
        <v/>
      </c>
      <c r="E175" s="3" t="n">
        <v>503.724</v>
      </c>
      <c r="F175" s="4" t="n">
        <v>15</v>
      </c>
      <c r="G175" t="inlineStr">
        <is>
          <t>British Columbia</t>
        </is>
      </c>
      <c r="H175" t="inlineStr">
        <is>
          <t>The Tennis Centre</t>
        </is>
      </c>
      <c r="I175" t="n">
        <v>27.6</v>
      </c>
      <c r="J175" s="4" t="n">
        <v>258</v>
      </c>
      <c r="K175" t="inlineStr">
        <is>
          <t>123 / 135</t>
        </is>
      </c>
      <c r="L175" t="inlineStr">
        <is>
          <t>14 / 14</t>
        </is>
      </c>
      <c r="M175" s="5" t="n">
        <v>0.48</v>
      </c>
      <c r="N175" s="5" t="n">
        <v>0.5</v>
      </c>
    </row>
    <row r="176">
      <c r="A176" t="n">
        <v>175</v>
      </c>
      <c r="B176" t="n">
        <v>2014</v>
      </c>
      <c r="C176" t="inlineStr">
        <is>
          <t>Veronica Mourlatov</t>
        </is>
      </c>
      <c r="D176">
        <f>HYPERLINK("https://ota.tournamentsoftware.com/player-profile/B6154A4C-BA94-41F6-A39C-E106D7116C1A", "Link")</f>
        <v/>
      </c>
      <c r="E176" s="3" t="n">
        <v>494.477</v>
      </c>
      <c r="F176" s="4" t="n">
        <v>31</v>
      </c>
      <c r="G176" t="inlineStr">
        <is>
          <t>Ontario Tennis Association</t>
        </is>
      </c>
      <c r="H176" t="inlineStr">
        <is>
          <t>SmartVMC Racquetsports by ACE</t>
        </is>
      </c>
      <c r="I176" t="n">
        <v>30.4</v>
      </c>
      <c r="J176" s="4" t="n">
        <v>216</v>
      </c>
      <c r="K176" t="inlineStr">
        <is>
          <t>136 / 80</t>
        </is>
      </c>
      <c r="L176" t="inlineStr">
        <is>
          <t>39 / 17</t>
        </is>
      </c>
      <c r="M176" s="5" t="n">
        <v>0.63</v>
      </c>
      <c r="N176" s="5" t="n">
        <v>0.7</v>
      </c>
    </row>
    <row r="177">
      <c r="A177" t="n">
        <v>176</v>
      </c>
      <c r="B177" t="n">
        <v>2015</v>
      </c>
      <c r="C177" t="inlineStr">
        <is>
          <t>Abbey Crump</t>
        </is>
      </c>
      <c r="D177">
        <f>HYPERLINK("https://ota.tournamentsoftware.com/player-profile/92F0423F-2B57-40B1-A6AA-5C7DC6477800", "Link")</f>
        <v/>
      </c>
      <c r="E177" s="3" t="n">
        <v>493.889</v>
      </c>
      <c r="F177" s="4" t="n">
        <v>16</v>
      </c>
      <c r="G177" t="inlineStr">
        <is>
          <t>Ontario Tennis Association</t>
        </is>
      </c>
      <c r="H177" t="inlineStr">
        <is>
          <t>Joshua Creek Golf &amp; Tennis</t>
        </is>
      </c>
      <c r="I177" t="n">
        <v>30.7</v>
      </c>
      <c r="J177" s="4" t="n">
        <v>146</v>
      </c>
      <c r="K177" t="inlineStr">
        <is>
          <t>120 / 26</t>
        </is>
      </c>
      <c r="L177" t="inlineStr">
        <is>
          <t>28 / 15</t>
        </is>
      </c>
      <c r="M177" s="5" t="n">
        <v>0.82</v>
      </c>
      <c r="N177" s="5" t="n">
        <v>0.65</v>
      </c>
    </row>
    <row r="178">
      <c r="A178" t="n">
        <v>177</v>
      </c>
      <c r="B178" t="n">
        <v>2013</v>
      </c>
      <c r="C178" t="inlineStr">
        <is>
          <t>Mila Anna Kodjian</t>
        </is>
      </c>
      <c r="D178">
        <f>HYPERLINK("https://ota.tournamentsoftware.com/player-profile/CE1F1BC7-04CB-4652-A947-AF91FA03ECD5", "Link")</f>
        <v/>
      </c>
      <c r="E178" s="3" t="n">
        <v>491.4</v>
      </c>
      <c r="F178" s="4" t="n">
        <v>19</v>
      </c>
      <c r="G178" t="inlineStr">
        <is>
          <t>Ontario Tennis Association</t>
        </is>
      </c>
      <c r="H178" t="inlineStr">
        <is>
          <t>Rosethorn Tennis Club</t>
        </is>
      </c>
      <c r="I178" t="n">
        <v>31.6</v>
      </c>
      <c r="J178" s="4" t="n">
        <v>114</v>
      </c>
      <c r="K178" t="inlineStr">
        <is>
          <t>66 / 48</t>
        </is>
      </c>
      <c r="L178" t="inlineStr">
        <is>
          <t>25 / 10</t>
        </is>
      </c>
      <c r="M178" s="5" t="n">
        <v>0.58</v>
      </c>
      <c r="N178" s="5" t="n">
        <v>0.71</v>
      </c>
    </row>
    <row r="179">
      <c r="A179" t="n">
        <v>178</v>
      </c>
      <c r="B179" t="n">
        <v>2012</v>
      </c>
      <c r="C179" t="inlineStr">
        <is>
          <t>Maya Sophia Abdullah</t>
        </is>
      </c>
      <c r="D179">
        <f>HYPERLINK("https://ota.tournamentsoftware.com/player-profile/6169AD2A-5AC2-4220-8B87-C5D54BAF6AD4", "Link")</f>
        <v/>
      </c>
      <c r="E179" s="3" t="n">
        <v>485.934</v>
      </c>
      <c r="F179" s="4" t="n">
        <v>20</v>
      </c>
      <c r="G179" t="inlineStr">
        <is>
          <t>Tennis Alberta</t>
        </is>
      </c>
      <c r="H179" t="inlineStr">
        <is>
          <t>Aforza</t>
        </is>
      </c>
      <c r="I179" t="n">
        <v>31.5</v>
      </c>
      <c r="J179" s="4" t="n">
        <v>61</v>
      </c>
      <c r="K179" t="inlineStr">
        <is>
          <t>30 / 31</t>
        </is>
      </c>
      <c r="L179" t="inlineStr">
        <is>
          <t>18 / 19</t>
        </is>
      </c>
      <c r="M179" s="5" t="n">
        <v>0.49</v>
      </c>
      <c r="N179" s="5" t="n">
        <v>0.49</v>
      </c>
    </row>
    <row r="180">
      <c r="A180" t="n">
        <v>179</v>
      </c>
      <c r="B180" t="n">
        <v>2014</v>
      </c>
      <c r="C180" t="inlineStr">
        <is>
          <t>Naima Majumdar-Moreau</t>
        </is>
      </c>
      <c r="D180">
        <f>HYPERLINK("https://ota.tournamentsoftware.com/player-profile/DCA02929-B08F-46CE-9CFE-852A987CEBF8", "Link")</f>
        <v/>
      </c>
      <c r="E180" s="3" t="n">
        <v>485.9</v>
      </c>
      <c r="F180" s="4" t="n">
        <v>30</v>
      </c>
      <c r="G180" t="inlineStr">
        <is>
          <t>Tennis Québec</t>
        </is>
      </c>
      <c r="H180" t="inlineStr">
        <is>
          <t>Tennis Ile- des- Soeurs</t>
        </is>
      </c>
      <c r="I180" t="inlineStr">
        <is>
          <t>unavailable</t>
        </is>
      </c>
      <c r="J180" s="4" t="n">
        <v>158</v>
      </c>
      <c r="K180" t="inlineStr">
        <is>
          <t>74 / 84</t>
        </is>
      </c>
      <c r="L180" t="inlineStr">
        <is>
          <t>30 / 29</t>
        </is>
      </c>
      <c r="M180" s="5" t="n">
        <v>0.47</v>
      </c>
      <c r="N180" s="5" t="n">
        <v>0.51</v>
      </c>
    </row>
    <row r="181">
      <c r="A181" t="n">
        <v>180</v>
      </c>
      <c r="B181" t="n">
        <v>2015</v>
      </c>
      <c r="C181" t="inlineStr">
        <is>
          <t>Elina Wang</t>
        </is>
      </c>
      <c r="D181">
        <f>HYPERLINK("https://ota.tournamentsoftware.com/player-profile/D1A88E02-8A26-413B-866E-8A72948B268F", "Link")</f>
        <v/>
      </c>
      <c r="E181" s="3" t="n">
        <v>482.596</v>
      </c>
      <c r="F181" s="4" t="n">
        <v>21</v>
      </c>
      <c r="G181" t="inlineStr">
        <is>
          <t>Ontario Tennis Association</t>
        </is>
      </c>
      <c r="H181" t="inlineStr">
        <is>
          <t>Richmondhill Golf &amp; Country Club</t>
        </is>
      </c>
      <c r="I181" t="n">
        <v>30.5</v>
      </c>
      <c r="J181" s="4" t="n">
        <v>232</v>
      </c>
      <c r="K181" t="inlineStr">
        <is>
          <t>153 / 79</t>
        </is>
      </c>
      <c r="L181" t="inlineStr">
        <is>
          <t>36 / 14</t>
        </is>
      </c>
      <c r="M181" s="5" t="n">
        <v>0.66</v>
      </c>
      <c r="N181" s="5" t="n">
        <v>0.72</v>
      </c>
    </row>
    <row r="182">
      <c r="A182" t="n">
        <v>181</v>
      </c>
      <c r="B182" t="n">
        <v>2013</v>
      </c>
      <c r="C182" t="inlineStr">
        <is>
          <t>Alexandra Choe</t>
        </is>
      </c>
      <c r="D182">
        <f>HYPERLINK("https://ota.tournamentsoftware.com/player-profile/0BFF8F09-A612-40D9-B491-E305A472672B", "Link")</f>
        <v/>
      </c>
      <c r="E182" s="3" t="n">
        <v>481.947</v>
      </c>
      <c r="F182" s="4" t="n">
        <v>16</v>
      </c>
      <c r="G182" t="inlineStr">
        <is>
          <t>Ontario Tennis Association</t>
        </is>
      </c>
      <c r="H182" t="inlineStr">
        <is>
          <t>Joshua Creek Golf &amp; Tennis</t>
        </is>
      </c>
      <c r="I182" t="n">
        <v>30</v>
      </c>
      <c r="J182" s="4" t="n">
        <v>221</v>
      </c>
      <c r="K182" t="inlineStr">
        <is>
          <t>135 / 86</t>
        </is>
      </c>
      <c r="L182" t="inlineStr">
        <is>
          <t>8 / 4</t>
        </is>
      </c>
      <c r="M182" s="5" t="n">
        <v>0.61</v>
      </c>
      <c r="N182" s="5" t="n">
        <v>0.67</v>
      </c>
    </row>
    <row r="183">
      <c r="A183" t="n">
        <v>182</v>
      </c>
      <c r="B183" t="n">
        <v>2014</v>
      </c>
      <c r="C183" t="inlineStr">
        <is>
          <t>Anica Yachun Liu</t>
        </is>
      </c>
      <c r="D183">
        <f>HYPERLINK("https://ota.tournamentsoftware.com/player-profile/B58148E6-4895-4918-B4B6-ADFAA5FEE0D2", "Link")</f>
        <v/>
      </c>
      <c r="E183" s="3" t="n">
        <v>479.105</v>
      </c>
      <c r="F183" s="4" t="n">
        <v>23</v>
      </c>
      <c r="G183" t="inlineStr">
        <is>
          <t>Tennis Alberta</t>
        </is>
      </c>
      <c r="H183" t="inlineStr">
        <is>
          <t>Saville Community Sports Centre</t>
        </is>
      </c>
      <c r="I183" t="n">
        <v>29.3</v>
      </c>
      <c r="J183" s="4" t="n">
        <v>224</v>
      </c>
      <c r="K183" t="inlineStr">
        <is>
          <t>111 / 113</t>
        </is>
      </c>
      <c r="L183" t="inlineStr">
        <is>
          <t>30 / 35</t>
        </is>
      </c>
      <c r="M183" s="5" t="n">
        <v>0.5</v>
      </c>
      <c r="N183" s="5" t="n">
        <v>0.46</v>
      </c>
    </row>
    <row r="184">
      <c r="A184" t="n">
        <v>183</v>
      </c>
      <c r="B184" t="n">
        <v>2012</v>
      </c>
      <c r="C184" t="inlineStr">
        <is>
          <t>Margot de Candé</t>
        </is>
      </c>
      <c r="D184">
        <f>HYPERLINK("https://ota.tournamentsoftware.com/player-profile/695315EE-6360-44B7-9352-E2A867A09DAD", "Link")</f>
        <v/>
      </c>
      <c r="E184" s="3" t="n">
        <v>478.435</v>
      </c>
      <c r="F184" s="4" t="n">
        <v>13</v>
      </c>
      <c r="G184" t="inlineStr">
        <is>
          <t>Tennis Québec</t>
        </is>
      </c>
      <c r="H184" t="inlineStr">
        <is>
          <t>Tennis Ile- des- Soeurs</t>
        </is>
      </c>
      <c r="I184" t="n">
        <v>29.9</v>
      </c>
      <c r="J184" s="4" t="n">
        <v>110</v>
      </c>
      <c r="K184" t="inlineStr">
        <is>
          <t>52 / 58</t>
        </is>
      </c>
      <c r="L184" t="inlineStr">
        <is>
          <t>12 / 3</t>
        </is>
      </c>
      <c r="M184" s="5" t="n">
        <v>0.47</v>
      </c>
      <c r="N184" s="5" t="n">
        <v>0.8</v>
      </c>
    </row>
    <row r="185">
      <c r="A185" t="n">
        <v>184</v>
      </c>
      <c r="B185" t="n">
        <v>2012</v>
      </c>
      <c r="C185" t="inlineStr">
        <is>
          <t>Ella Zhao</t>
        </is>
      </c>
      <c r="D185">
        <f>HYPERLINK("https://ota.tournamentsoftware.com/player-profile/4CFC4B61-0F67-4AD7-8CC6-03CC7A224737", "Link")</f>
        <v/>
      </c>
      <c r="E185" s="3" t="n">
        <v>469.642</v>
      </c>
      <c r="F185" s="4" t="n">
        <v>11</v>
      </c>
      <c r="G185" t="inlineStr">
        <is>
          <t>British Columbia</t>
        </is>
      </c>
      <c r="H185" t="inlineStr">
        <is>
          <t>North Shore Winter Club</t>
        </is>
      </c>
      <c r="I185" t="n">
        <v>26.8</v>
      </c>
      <c r="J185" s="4" t="n">
        <v>121</v>
      </c>
      <c r="K185" t="inlineStr">
        <is>
          <t>89 / 32</t>
        </is>
      </c>
      <c r="L185" t="inlineStr">
        <is>
          <t>9 / 7</t>
        </is>
      </c>
      <c r="M185" s="5" t="n">
        <v>0.74</v>
      </c>
      <c r="N185" s="5" t="n">
        <v>0.5600000000000001</v>
      </c>
    </row>
    <row r="186">
      <c r="A186" t="n">
        <v>185</v>
      </c>
      <c r="B186" t="n">
        <v>2013</v>
      </c>
      <c r="C186" t="inlineStr">
        <is>
          <t>Juliana Sophie Ho</t>
        </is>
      </c>
      <c r="D186">
        <f>HYPERLINK("https://ota.tournamentsoftware.com/player-profile/D79AC720-EA55-42CC-ACCB-558E5C86D00C", "Link")</f>
        <v/>
      </c>
      <c r="E186" s="3" t="n">
        <v>468.722</v>
      </c>
      <c r="F186" s="4" t="n">
        <v>29</v>
      </c>
      <c r="G186" t="inlineStr">
        <is>
          <t>Ontario Tennis Association</t>
        </is>
      </c>
      <c r="H186" t="inlineStr">
        <is>
          <t>Ontario Racquet Club</t>
        </is>
      </c>
      <c r="I186" t="n">
        <v>32.8</v>
      </c>
      <c r="J186" s="4" t="n">
        <v>139</v>
      </c>
      <c r="K186" t="inlineStr">
        <is>
          <t>69 / 70</t>
        </is>
      </c>
      <c r="L186" t="inlineStr">
        <is>
          <t>17 / 19</t>
        </is>
      </c>
      <c r="M186" s="5" t="n">
        <v>0.5</v>
      </c>
      <c r="N186" s="5" t="n">
        <v>0.47</v>
      </c>
    </row>
    <row r="187">
      <c r="A187" t="n">
        <v>186</v>
      </c>
      <c r="B187" t="n">
        <v>2014</v>
      </c>
      <c r="C187" t="inlineStr">
        <is>
          <t>Eva Larose</t>
        </is>
      </c>
      <c r="D187">
        <f>HYPERLINK("https://ota.tournamentsoftware.com/player-profile/BC2D4F14-515B-4F2A-AD3B-8DA03F3E5E5B", "Link")</f>
        <v/>
      </c>
      <c r="E187" s="3" t="n">
        <v>466.782</v>
      </c>
      <c r="F187" s="4" t="n">
        <v>22</v>
      </c>
      <c r="G187" t="inlineStr">
        <is>
          <t>Tennis Québec</t>
        </is>
      </c>
      <c r="H187" t="inlineStr">
        <is>
          <t>Tennis Ile- des- Soeurs</t>
        </is>
      </c>
      <c r="I187" t="inlineStr">
        <is>
          <t>unavailable</t>
        </is>
      </c>
      <c r="J187" s="4" t="n">
        <v>162</v>
      </c>
      <c r="K187" t="inlineStr">
        <is>
          <t>95 / 67</t>
        </is>
      </c>
      <c r="L187" t="inlineStr">
        <is>
          <t>43 / 19</t>
        </is>
      </c>
      <c r="M187" s="5" t="n">
        <v>0.59</v>
      </c>
      <c r="N187" s="5" t="n">
        <v>0.6899999999999999</v>
      </c>
    </row>
    <row r="188">
      <c r="A188" t="n">
        <v>187</v>
      </c>
      <c r="B188" t="n">
        <v>2016</v>
      </c>
      <c r="C188" t="inlineStr">
        <is>
          <t>Alisha Goel</t>
        </is>
      </c>
      <c r="D188">
        <f>HYPERLINK("https://ota.tournamentsoftware.com/player-profile/7F9E9DD0-77A1-4F40-B2B5-C4B89592B089", "Link")</f>
        <v/>
      </c>
      <c r="E188" s="3" t="n">
        <v>459.47</v>
      </c>
      <c r="F188" s="4" t="n">
        <v>22</v>
      </c>
      <c r="G188" t="inlineStr">
        <is>
          <t>Ontario Tennis Association</t>
        </is>
      </c>
      <c r="H188" t="inlineStr">
        <is>
          <t>The Supreme Court Tennis Club</t>
        </is>
      </c>
      <c r="I188" t="n">
        <v>32.7</v>
      </c>
      <c r="J188" s="4" t="n">
        <v>180</v>
      </c>
      <c r="K188" t="inlineStr">
        <is>
          <t>123 / 57</t>
        </is>
      </c>
      <c r="L188" t="inlineStr">
        <is>
          <t>36 / 19</t>
        </is>
      </c>
      <c r="M188" s="5" t="n">
        <v>0.68</v>
      </c>
      <c r="N188" s="5" t="n">
        <v>0.65</v>
      </c>
    </row>
    <row r="189">
      <c r="A189" t="n">
        <v>188</v>
      </c>
      <c r="B189" t="n">
        <v>2012</v>
      </c>
      <c r="C189" t="inlineStr">
        <is>
          <t>MISHIKA SURESH BALAJI</t>
        </is>
      </c>
      <c r="D189">
        <f>HYPERLINK("https://ota.tournamentsoftware.com/player-profile/B11C615C-6BB8-4655-BCAA-370D01C186B1", "Link")</f>
        <v/>
      </c>
      <c r="E189" s="3" t="n">
        <v>448</v>
      </c>
      <c r="F189" s="4" t="n">
        <v>17</v>
      </c>
      <c r="G189" t="inlineStr">
        <is>
          <t>Tennis Nova Scotia</t>
        </is>
      </c>
      <c r="H189" t="inlineStr">
        <is>
          <t>Atlantic Tennis Centre</t>
        </is>
      </c>
      <c r="I189" t="n">
        <v>28.1</v>
      </c>
      <c r="J189" s="4" t="n">
        <v>169</v>
      </c>
      <c r="K189" t="inlineStr">
        <is>
          <t>87 / 82</t>
        </is>
      </c>
      <c r="L189" t="inlineStr">
        <is>
          <t>22 / 14</t>
        </is>
      </c>
      <c r="M189" s="5" t="n">
        <v>0.51</v>
      </c>
      <c r="N189" s="5" t="n">
        <v>0.61</v>
      </c>
    </row>
    <row r="190">
      <c r="A190" t="n">
        <v>189</v>
      </c>
      <c r="B190" t="n">
        <v>2013</v>
      </c>
      <c r="C190" t="inlineStr">
        <is>
          <t>Bianca Bordogna</t>
        </is>
      </c>
      <c r="D190">
        <f>HYPERLINK("https://ota.tournamentsoftware.com/player-profile/71A0B4E7-3A92-4F64-82D6-42A032600DC7", "Link")</f>
        <v/>
      </c>
      <c r="E190" s="3" t="n">
        <v>447.08</v>
      </c>
      <c r="F190" s="4" t="n">
        <v>13</v>
      </c>
      <c r="G190" t="inlineStr">
        <is>
          <t>Ontario Tennis Association</t>
        </is>
      </c>
      <c r="H190" t="inlineStr">
        <is>
          <t>Carleton Tennis Centre</t>
        </is>
      </c>
      <c r="I190" t="n">
        <v>31.6</v>
      </c>
      <c r="J190" s="4" t="n">
        <v>102</v>
      </c>
      <c r="K190" t="inlineStr">
        <is>
          <t>52 / 50</t>
        </is>
      </c>
      <c r="L190" t="inlineStr">
        <is>
          <t>9 / 10</t>
        </is>
      </c>
      <c r="M190" s="5" t="n">
        <v>0.51</v>
      </c>
      <c r="N190" s="5" t="n">
        <v>0.47</v>
      </c>
    </row>
    <row r="191">
      <c r="A191" t="n">
        <v>190</v>
      </c>
      <c r="B191" t="n">
        <v>2013</v>
      </c>
      <c r="C191" t="inlineStr">
        <is>
          <t>Mariela Ibrahim</t>
        </is>
      </c>
      <c r="D191">
        <f>HYPERLINK("https://ota.tournamentsoftware.com/player-profile/D80C965C-4117-4C2C-9F46-F371E9E47454", "Link")</f>
        <v/>
      </c>
      <c r="E191" s="3" t="n">
        <v>447.042</v>
      </c>
      <c r="F191" s="4" t="n">
        <v>27</v>
      </c>
      <c r="G191" t="inlineStr">
        <is>
          <t>Ontario Tennis Association</t>
        </is>
      </c>
      <c r="H191" t="inlineStr">
        <is>
          <t>Concord Tennis Academy</t>
        </is>
      </c>
      <c r="I191" t="inlineStr">
        <is>
          <t>unavailable</t>
        </is>
      </c>
      <c r="J191" s="4" t="n">
        <v>100</v>
      </c>
      <c r="K191" t="inlineStr">
        <is>
          <t>57 / 43</t>
        </is>
      </c>
      <c r="L191" t="inlineStr">
        <is>
          <t>23 / 17</t>
        </is>
      </c>
      <c r="M191" s="5" t="n">
        <v>0.57</v>
      </c>
      <c r="N191" s="5" t="n">
        <v>0.57</v>
      </c>
    </row>
    <row r="192">
      <c r="A192" t="n">
        <v>191</v>
      </c>
      <c r="B192" t="n">
        <v>2015</v>
      </c>
      <c r="C192" t="inlineStr">
        <is>
          <t>Sunandita Pal</t>
        </is>
      </c>
      <c r="D192">
        <f>HYPERLINK("https://ota.tournamentsoftware.com/player-profile/10185E41-C6E2-4C6A-9A47-A3AF6C77F2A4", "Link")</f>
        <v/>
      </c>
      <c r="E192" s="3" t="n">
        <v>444.977</v>
      </c>
      <c r="F192" s="4" t="n">
        <v>26</v>
      </c>
      <c r="G192" t="inlineStr">
        <is>
          <t>Ontario Tennis Association</t>
        </is>
      </c>
      <c r="H192" t="inlineStr">
        <is>
          <t>No Club</t>
        </is>
      </c>
      <c r="I192" t="n">
        <v>33.3</v>
      </c>
      <c r="J192" s="4" t="n">
        <v>231</v>
      </c>
      <c r="K192" t="inlineStr">
        <is>
          <t>109 / 122</t>
        </is>
      </c>
      <c r="L192" t="inlineStr">
        <is>
          <t>25 / 21</t>
        </is>
      </c>
      <c r="M192" s="5" t="n">
        <v>0.47</v>
      </c>
      <c r="N192" s="5" t="n">
        <v>0.54</v>
      </c>
    </row>
    <row r="193">
      <c r="A193" t="n">
        <v>192</v>
      </c>
      <c r="B193" t="n">
        <v>2013</v>
      </c>
      <c r="C193" t="inlineStr">
        <is>
          <t>Rihanna Kulyk</t>
        </is>
      </c>
      <c r="D193">
        <f>HYPERLINK("https://ota.tournamentsoftware.com/player-profile/6E1703BA-DB25-4B47-9BB7-314BDDCFDBAC", "Link")</f>
        <v/>
      </c>
      <c r="E193" s="3" t="n">
        <v>444.665</v>
      </c>
      <c r="F193" s="4" t="n">
        <v>24</v>
      </c>
      <c r="G193" t="inlineStr">
        <is>
          <t>Tennis Québec</t>
        </is>
      </c>
      <c r="H193" t="inlineStr">
        <is>
          <t>Tennis Ile- des- Soeurs</t>
        </is>
      </c>
      <c r="I193" t="inlineStr">
        <is>
          <t>unavailable</t>
        </is>
      </c>
      <c r="J193" s="4" t="n">
        <v>241</v>
      </c>
      <c r="K193" t="inlineStr">
        <is>
          <t>106 / 135</t>
        </is>
      </c>
      <c r="L193" t="inlineStr">
        <is>
          <t>13 / 21</t>
        </is>
      </c>
      <c r="M193" s="5" t="n">
        <v>0.44</v>
      </c>
      <c r="N193" s="5" t="n">
        <v>0.38</v>
      </c>
    </row>
    <row r="194">
      <c r="A194" t="n">
        <v>193</v>
      </c>
      <c r="B194" t="n">
        <v>2014</v>
      </c>
      <c r="C194" t="inlineStr">
        <is>
          <t>KENZA JERBI</t>
        </is>
      </c>
      <c r="D194">
        <f>HYPERLINK("https://ota.tournamentsoftware.com/player-profile/C6A8B859-96DA-46D9-A270-B08DA27DDE5C", "Link")</f>
        <v/>
      </c>
      <c r="E194" s="3" t="n">
        <v>442.895</v>
      </c>
      <c r="F194" s="4" t="n">
        <v>15</v>
      </c>
      <c r="G194" t="inlineStr">
        <is>
          <t>Tennis Québec</t>
        </is>
      </c>
      <c r="H194" t="inlineStr">
        <is>
          <t>Tennis Montréal Excellence</t>
        </is>
      </c>
      <c r="I194" t="n">
        <v>31.8</v>
      </c>
      <c r="J194" s="4" t="n">
        <v>108</v>
      </c>
      <c r="K194" t="inlineStr">
        <is>
          <t>65 / 43</t>
        </is>
      </c>
      <c r="L194" t="inlineStr">
        <is>
          <t>7 / 11</t>
        </is>
      </c>
      <c r="M194" s="5" t="n">
        <v>0.6</v>
      </c>
      <c r="N194" s="5" t="n">
        <v>0.39</v>
      </c>
    </row>
    <row r="195">
      <c r="A195" t="n">
        <v>194</v>
      </c>
      <c r="B195" t="n">
        <v>2013</v>
      </c>
      <c r="C195" t="inlineStr">
        <is>
          <t>Audrey Yiyi Xu</t>
        </is>
      </c>
      <c r="D195">
        <f>HYPERLINK("https://ota.tournamentsoftware.com/player-profile/25D8C643-E3DC-418B-948B-22520C94F8E3", "Link")</f>
        <v/>
      </c>
      <c r="E195" s="3" t="n">
        <v>439.622</v>
      </c>
      <c r="F195" s="4" t="n">
        <v>22</v>
      </c>
      <c r="G195" t="inlineStr">
        <is>
          <t>Ontario Tennis Association</t>
        </is>
      </c>
      <c r="H195" t="inlineStr">
        <is>
          <t>Joshua Creek Golf &amp; Tennis</t>
        </is>
      </c>
      <c r="I195" t="n">
        <v>32.4</v>
      </c>
      <c r="J195" s="4" t="n">
        <v>139</v>
      </c>
      <c r="K195" t="inlineStr">
        <is>
          <t>60 / 79</t>
        </is>
      </c>
      <c r="L195" t="inlineStr">
        <is>
          <t>21 / 15</t>
        </is>
      </c>
      <c r="M195" s="5" t="n">
        <v>0.43</v>
      </c>
      <c r="N195" s="5" t="n">
        <v>0.58</v>
      </c>
    </row>
    <row r="196">
      <c r="A196" t="n">
        <v>195</v>
      </c>
      <c r="B196" t="n">
        <v>2014</v>
      </c>
      <c r="C196" t="inlineStr">
        <is>
          <t>Adrianna Gianvito</t>
        </is>
      </c>
      <c r="D196">
        <f>HYPERLINK("https://ota.tournamentsoftware.com/player-profile/1412F0F4-82D3-410D-980E-969EFE386B01", "Link")</f>
        <v/>
      </c>
      <c r="E196" s="3" t="n">
        <v>439.384</v>
      </c>
      <c r="F196" s="4" t="n">
        <v>20</v>
      </c>
      <c r="G196" t="inlineStr">
        <is>
          <t>Tennis Québec</t>
        </is>
      </c>
      <c r="H196" t="inlineStr">
        <is>
          <t>No Club</t>
        </is>
      </c>
      <c r="I196" t="inlineStr">
        <is>
          <t>unavailable</t>
        </is>
      </c>
      <c r="J196" s="4" t="n">
        <v>145</v>
      </c>
      <c r="K196" t="inlineStr">
        <is>
          <t>75 / 70</t>
        </is>
      </c>
      <c r="L196" t="inlineStr">
        <is>
          <t>25 / 18</t>
        </is>
      </c>
      <c r="M196" s="5" t="n">
        <v>0.52</v>
      </c>
      <c r="N196" s="5" t="n">
        <v>0.58</v>
      </c>
    </row>
    <row r="197">
      <c r="A197" t="n">
        <v>196</v>
      </c>
      <c r="B197" t="n">
        <v>2013</v>
      </c>
      <c r="C197" t="inlineStr">
        <is>
          <t>Sonya Resnikova</t>
        </is>
      </c>
      <c r="D197">
        <f>HYPERLINK("https://ota.tournamentsoftware.com/player-profile/083F5EEA-6E2D-488B-B778-27E4248C2F0D", "Link")</f>
        <v/>
      </c>
      <c r="E197" s="3" t="n">
        <v>436.662</v>
      </c>
      <c r="F197" s="4" t="n">
        <v>24</v>
      </c>
      <c r="G197" t="inlineStr">
        <is>
          <t>Ontario Tennis Association</t>
        </is>
      </c>
      <c r="H197" t="inlineStr">
        <is>
          <t>SmartVMC Racquetsports by ACE</t>
        </is>
      </c>
      <c r="I197" t="n">
        <v>31.6</v>
      </c>
      <c r="J197" s="4" t="n">
        <v>82</v>
      </c>
      <c r="K197" t="inlineStr">
        <is>
          <t>51 / 31</t>
        </is>
      </c>
      <c r="L197" t="inlineStr">
        <is>
          <t>19 / 17</t>
        </is>
      </c>
      <c r="M197" s="5" t="n">
        <v>0.62</v>
      </c>
      <c r="N197" s="5" t="n">
        <v>0.53</v>
      </c>
    </row>
    <row r="198">
      <c r="A198" t="n">
        <v>197</v>
      </c>
      <c r="B198" t="n">
        <v>2015</v>
      </c>
      <c r="C198" t="inlineStr">
        <is>
          <t>Tina liu</t>
        </is>
      </c>
      <c r="D198">
        <f>HYPERLINK("https://ota.tournamentsoftware.com/player-profile/E7D1FBAC-8033-480E-A688-28CBCEF6D907", "Link")</f>
        <v/>
      </c>
      <c r="E198" s="3" t="n">
        <v>436.506</v>
      </c>
      <c r="F198" s="4" t="n">
        <v>30</v>
      </c>
      <c r="G198" t="inlineStr">
        <is>
          <t>Ontario Tennis Association</t>
        </is>
      </c>
      <c r="H198" t="inlineStr">
        <is>
          <t>No Club</t>
        </is>
      </c>
      <c r="I198" t="n">
        <v>32.6</v>
      </c>
      <c r="J198" s="4" t="n">
        <v>200</v>
      </c>
      <c r="K198" t="inlineStr">
        <is>
          <t>128 / 72</t>
        </is>
      </c>
      <c r="L198" t="inlineStr">
        <is>
          <t>32 / 19</t>
        </is>
      </c>
      <c r="M198" s="5" t="n">
        <v>0.64</v>
      </c>
      <c r="N198" s="5" t="n">
        <v>0.63</v>
      </c>
    </row>
    <row r="199">
      <c r="A199" t="n">
        <v>198</v>
      </c>
      <c r="B199" t="n">
        <v>2013</v>
      </c>
      <c r="C199" t="inlineStr">
        <is>
          <t>Rosemarie Gagnon</t>
        </is>
      </c>
      <c r="D199">
        <f>HYPERLINK("https://ota.tournamentsoftware.com/player-profile/55A370D6-4FAD-414D-9E3D-2889C644855A", "Link")</f>
        <v/>
      </c>
      <c r="E199" s="3" t="n">
        <v>429.244</v>
      </c>
      <c r="F199" s="4" t="n">
        <v>21</v>
      </c>
      <c r="G199" t="inlineStr">
        <is>
          <t>Tennis Québec</t>
        </is>
      </c>
      <c r="H199" t="inlineStr">
        <is>
          <t>Club de tennis intérieur Saguenay / École de tennis Delisle-Poirel</t>
        </is>
      </c>
      <c r="I199" t="n">
        <v>32.1</v>
      </c>
      <c r="J199" s="4" t="n">
        <v>110</v>
      </c>
      <c r="K199" t="inlineStr">
        <is>
          <t>49 / 61</t>
        </is>
      </c>
      <c r="L199" t="inlineStr">
        <is>
          <t>11 / 16</t>
        </is>
      </c>
      <c r="M199" s="5" t="n">
        <v>0.45</v>
      </c>
      <c r="N199" s="5" t="n">
        <v>0.41</v>
      </c>
    </row>
    <row r="200">
      <c r="A200" t="n">
        <v>199</v>
      </c>
      <c r="B200" t="n">
        <v>2012</v>
      </c>
      <c r="C200" t="inlineStr">
        <is>
          <t>Tiffany Ren Jun Cao</t>
        </is>
      </c>
      <c r="D200">
        <f>HYPERLINK("https://ota.tournamentsoftware.com/player-profile/07B17DA5-DD47-4C90-B575-478C58AD7465", "Link")</f>
        <v/>
      </c>
      <c r="E200" s="3" t="n">
        <v>426.413</v>
      </c>
      <c r="F200" s="4" t="n">
        <v>23</v>
      </c>
      <c r="G200" t="inlineStr">
        <is>
          <t>British Columbia</t>
        </is>
      </c>
      <c r="H200" t="inlineStr">
        <is>
          <t>Richmond Country Club</t>
        </is>
      </c>
      <c r="I200" t="n">
        <v>29.7</v>
      </c>
      <c r="J200" s="4" t="n">
        <v>207</v>
      </c>
      <c r="K200" t="inlineStr">
        <is>
          <t>105 / 102</t>
        </is>
      </c>
      <c r="L200" t="inlineStr">
        <is>
          <t>18 / 22</t>
        </is>
      </c>
      <c r="M200" s="5" t="n">
        <v>0.51</v>
      </c>
      <c r="N200" s="5" t="n">
        <v>0.45</v>
      </c>
    </row>
    <row r="201">
      <c r="A201" t="n">
        <v>200</v>
      </c>
      <c r="B201" t="n">
        <v>2014</v>
      </c>
      <c r="C201" t="inlineStr">
        <is>
          <t>Katelyn Li</t>
        </is>
      </c>
      <c r="D201">
        <f>HYPERLINK("https://ota.tournamentsoftware.com/player-profile/4A74B151-256A-40ED-9F9D-F00036EDD0A5", "Link")</f>
        <v/>
      </c>
      <c r="E201" s="3" t="n">
        <v>419.141</v>
      </c>
      <c r="F201" s="4" t="n">
        <v>25</v>
      </c>
      <c r="G201" t="inlineStr">
        <is>
          <t>Ontario Tennis Association</t>
        </is>
      </c>
      <c r="H201" t="inlineStr">
        <is>
          <t>No Club</t>
        </is>
      </c>
      <c r="I201" t="inlineStr">
        <is>
          <t>unavailable</t>
        </is>
      </c>
      <c r="J201" s="4" t="n">
        <v>131</v>
      </c>
      <c r="K201" t="inlineStr">
        <is>
          <t>61 / 70</t>
        </is>
      </c>
      <c r="L201" t="inlineStr">
        <is>
          <t>20 / 20</t>
        </is>
      </c>
      <c r="M201" s="5" t="n">
        <v>0.47</v>
      </c>
      <c r="N201" s="5" t="n">
        <v>0.5</v>
      </c>
    </row>
    <row r="202">
      <c r="A202" t="n">
        <v>201</v>
      </c>
      <c r="B202" t="n">
        <v>2014</v>
      </c>
      <c r="C202" t="inlineStr">
        <is>
          <t>Sophia Pavlovska</t>
        </is>
      </c>
      <c r="D202">
        <f>HYPERLINK("https://ota.tournamentsoftware.com/player-profile/5C58F1EE-F291-431D-AC00-FB9096274E0A", "Link")</f>
        <v/>
      </c>
      <c r="E202" s="3" t="n">
        <v>413.785</v>
      </c>
      <c r="F202" s="4" t="n">
        <v>13</v>
      </c>
      <c r="G202" t="inlineStr">
        <is>
          <t>Tennis New Brunswick</t>
        </is>
      </c>
      <c r="H202" t="inlineStr">
        <is>
          <t>Dieppe</t>
        </is>
      </c>
      <c r="I202" t="n">
        <v>32.9</v>
      </c>
      <c r="J202" s="4" t="n">
        <v>174</v>
      </c>
      <c r="K202" t="inlineStr">
        <is>
          <t>63 / 111</t>
        </is>
      </c>
      <c r="L202" t="inlineStr">
        <is>
          <t>17 / 16</t>
        </is>
      </c>
      <c r="M202" s="5" t="n">
        <v>0.36</v>
      </c>
      <c r="N202" s="5" t="n">
        <v>0.52</v>
      </c>
    </row>
    <row r="203">
      <c r="A203" t="n">
        <v>202</v>
      </c>
      <c r="B203" t="n">
        <v>2013</v>
      </c>
      <c r="C203" t="inlineStr">
        <is>
          <t>Isidora Trkulja</t>
        </is>
      </c>
      <c r="D203">
        <f>HYPERLINK("https://ota.tournamentsoftware.com/player-profile/1A3F3EE8-FB93-483C-A52C-E761E6FA42CE", "Link")</f>
        <v/>
      </c>
      <c r="E203" s="3" t="n">
        <v>413.395</v>
      </c>
      <c r="F203" s="4" t="n">
        <v>8</v>
      </c>
      <c r="G203" t="inlineStr">
        <is>
          <t>Tennis Alberta</t>
        </is>
      </c>
      <c r="H203" t="inlineStr">
        <is>
          <t>Saville Community Sports Centre</t>
        </is>
      </c>
      <c r="I203" t="n">
        <v>26.2</v>
      </c>
      <c r="J203" s="4" t="n">
        <v>194</v>
      </c>
      <c r="K203" t="inlineStr">
        <is>
          <t>125 / 69</t>
        </is>
      </c>
      <c r="L203" t="inlineStr">
        <is>
          <t>8 / 6</t>
        </is>
      </c>
      <c r="M203" s="5" t="n">
        <v>0.64</v>
      </c>
      <c r="N203" s="5" t="n">
        <v>0.57</v>
      </c>
    </row>
    <row r="204">
      <c r="A204" t="n">
        <v>203</v>
      </c>
      <c r="B204" t="n">
        <v>2013</v>
      </c>
      <c r="C204" t="inlineStr">
        <is>
          <t>Arya Kaur Dhillon</t>
        </is>
      </c>
      <c r="D204">
        <f>HYPERLINK("https://ota.tournamentsoftware.com/player-profile/3DBC0BDE-C3D6-40A5-992E-F7274098EF5D", "Link")</f>
        <v/>
      </c>
      <c r="E204" s="3" t="n">
        <v>405.446</v>
      </c>
      <c r="F204" s="4" t="n">
        <v>18</v>
      </c>
      <c r="G204" t="inlineStr">
        <is>
          <t>Tennis Alberta</t>
        </is>
      </c>
      <c r="H204" t="inlineStr">
        <is>
          <t>Saville Community Sports Centre</t>
        </is>
      </c>
      <c r="I204" t="n">
        <v>29.5</v>
      </c>
      <c r="J204" s="4" t="n">
        <v>173</v>
      </c>
      <c r="K204" t="inlineStr">
        <is>
          <t>85 / 88</t>
        </is>
      </c>
      <c r="L204" t="inlineStr">
        <is>
          <t>23 / 20</t>
        </is>
      </c>
      <c r="M204" s="5" t="n">
        <v>0.49</v>
      </c>
      <c r="N204" s="5" t="n">
        <v>0.53</v>
      </c>
    </row>
    <row r="205">
      <c r="A205" t="n">
        <v>204</v>
      </c>
      <c r="B205" t="n">
        <v>2014</v>
      </c>
      <c r="C205" t="inlineStr">
        <is>
          <t>Ema Zonjic</t>
        </is>
      </c>
      <c r="D205">
        <f>HYPERLINK("https://ota.tournamentsoftware.com/player-profile/42A43C76-E08F-4134-B876-2E9D05859D92", "Link")</f>
        <v/>
      </c>
      <c r="E205" s="3" t="n">
        <v>401.725</v>
      </c>
      <c r="F205" s="4" t="n">
        <v>25</v>
      </c>
      <c r="G205" t="inlineStr">
        <is>
          <t>Ontario Tennis Association</t>
        </is>
      </c>
      <c r="H205" t="inlineStr">
        <is>
          <t>Rideau Sports Centre</t>
        </is>
      </c>
      <c r="I205" t="n">
        <v>31.7</v>
      </c>
      <c r="J205" s="4" t="n">
        <v>179</v>
      </c>
      <c r="K205" t="inlineStr">
        <is>
          <t>100 / 79</t>
        </is>
      </c>
      <c r="L205" t="inlineStr">
        <is>
          <t>32 / 22</t>
        </is>
      </c>
      <c r="M205" s="5" t="n">
        <v>0.5600000000000001</v>
      </c>
      <c r="N205" s="5" t="n">
        <v>0.59</v>
      </c>
    </row>
    <row r="206">
      <c r="A206" t="n">
        <v>205</v>
      </c>
      <c r="B206" t="n">
        <v>2013</v>
      </c>
      <c r="C206" t="inlineStr">
        <is>
          <t>Rachel Daniel</t>
        </is>
      </c>
      <c r="D206">
        <f>HYPERLINK("https://ota.tournamentsoftware.com/player-profile/C70279D5-586C-4A9D-94CC-EB9551085FF4", "Link")</f>
        <v/>
      </c>
      <c r="E206" s="3" t="n">
        <v>398.854</v>
      </c>
      <c r="F206" s="4" t="n">
        <v>19</v>
      </c>
      <c r="G206" t="inlineStr">
        <is>
          <t>Ontario Tennis Association</t>
        </is>
      </c>
      <c r="H206" t="inlineStr">
        <is>
          <t>Advantage Tennis International at Veneto</t>
        </is>
      </c>
      <c r="I206" t="n">
        <v>32.8</v>
      </c>
      <c r="J206" s="4" t="n">
        <v>100</v>
      </c>
      <c r="K206" t="inlineStr">
        <is>
          <t>39 / 61</t>
        </is>
      </c>
      <c r="L206" t="inlineStr">
        <is>
          <t>9 / 12</t>
        </is>
      </c>
      <c r="M206" s="5" t="n">
        <v>0.39</v>
      </c>
      <c r="N206" s="5" t="n">
        <v>0.43</v>
      </c>
    </row>
    <row r="207">
      <c r="A207" t="n">
        <v>206</v>
      </c>
      <c r="B207" t="n">
        <v>2012</v>
      </c>
      <c r="C207" t="inlineStr">
        <is>
          <t>Victoria Perez Vargas</t>
        </is>
      </c>
      <c r="D207">
        <f>HYPERLINK("https://ota.tournamentsoftware.com/player-profile/6649B15F-628D-4ED7-81D6-AEB9036DF19A", "Link")</f>
        <v/>
      </c>
      <c r="E207" s="3" t="n">
        <v>396.088</v>
      </c>
      <c r="F207" s="4" t="n">
        <v>24</v>
      </c>
      <c r="G207" t="inlineStr">
        <is>
          <t>Tennis Québec</t>
        </is>
      </c>
      <c r="H207" t="inlineStr">
        <is>
          <t>Centre récréatif de Repentigny / Académie Tennis Momentum</t>
        </is>
      </c>
      <c r="I207" t="n">
        <v>32.6</v>
      </c>
      <c r="J207" s="4" t="n">
        <v>103</v>
      </c>
      <c r="K207" t="inlineStr">
        <is>
          <t>51 / 52</t>
        </is>
      </c>
      <c r="L207" t="inlineStr">
        <is>
          <t>26 / 15</t>
        </is>
      </c>
      <c r="M207" s="5" t="n">
        <v>0.5</v>
      </c>
      <c r="N207" s="5" t="n">
        <v>0.63</v>
      </c>
    </row>
    <row r="208">
      <c r="A208" t="n">
        <v>207</v>
      </c>
      <c r="B208" t="n">
        <v>2013</v>
      </c>
      <c r="C208" t="inlineStr">
        <is>
          <t>Livia Seguin</t>
        </is>
      </c>
      <c r="D208">
        <f>HYPERLINK("https://ota.tournamentsoftware.com/player-profile/2B987274-8A56-4EE6-B85D-948871231CC0", "Link")</f>
        <v/>
      </c>
      <c r="E208" s="3" t="n">
        <v>394.844</v>
      </c>
      <c r="F208" s="4" t="n">
        <v>34</v>
      </c>
      <c r="G208" t="inlineStr">
        <is>
          <t>Tennis Québec</t>
        </is>
      </c>
      <c r="H208" t="inlineStr">
        <is>
          <t>Tennis Interclub Piedmont</t>
        </is>
      </c>
      <c r="I208" t="n">
        <v>33</v>
      </c>
      <c r="J208" s="4" t="n">
        <v>130</v>
      </c>
      <c r="K208" t="inlineStr">
        <is>
          <t>39 / 91</t>
        </is>
      </c>
      <c r="L208" t="inlineStr">
        <is>
          <t>15 / 30</t>
        </is>
      </c>
      <c r="M208" s="5" t="n">
        <v>0.3</v>
      </c>
      <c r="N208" s="5" t="n">
        <v>0.33</v>
      </c>
    </row>
    <row r="209">
      <c r="A209" t="n">
        <v>208</v>
      </c>
      <c r="B209" t="n">
        <v>2015</v>
      </c>
      <c r="C209" t="inlineStr">
        <is>
          <t>Mila Caporusso</t>
        </is>
      </c>
      <c r="D209">
        <f>HYPERLINK("https://ota.tournamentsoftware.com/player-profile/71A1C940-3E73-49DA-929B-3B90328FC4BC", "Link")</f>
        <v/>
      </c>
      <c r="E209" s="3" t="n">
        <v>392.138</v>
      </c>
      <c r="F209" s="4" t="n">
        <v>8</v>
      </c>
      <c r="G209" t="inlineStr">
        <is>
          <t>Tennis Québec</t>
        </is>
      </c>
      <c r="H209" t="inlineStr">
        <is>
          <t>Tennis 13 / Académie Ménard et associé</t>
        </is>
      </c>
      <c r="I209" t="n">
        <v>30.4</v>
      </c>
      <c r="J209" s="4" t="n">
        <v>109</v>
      </c>
      <c r="K209" t="inlineStr">
        <is>
          <t>71 / 38</t>
        </is>
      </c>
      <c r="L209" t="inlineStr">
        <is>
          <t>10 / 10</t>
        </is>
      </c>
      <c r="M209" s="5" t="n">
        <v>0.65</v>
      </c>
      <c r="N209" s="5" t="n">
        <v>0.5</v>
      </c>
    </row>
    <row r="210">
      <c r="A210" t="n">
        <v>209</v>
      </c>
      <c r="B210" t="n">
        <v>2013</v>
      </c>
      <c r="C210" t="inlineStr">
        <is>
          <t>Coralie D'Amours</t>
        </is>
      </c>
      <c r="D210">
        <f>HYPERLINK("https://ota.tournamentsoftware.com/player-profile/35A6230C-9F9D-4861-B1DB-6367FB38A039", "Link")</f>
        <v/>
      </c>
      <c r="E210" s="3" t="n">
        <v>389.814</v>
      </c>
      <c r="F210" s="4" t="n">
        <v>15</v>
      </c>
      <c r="G210" t="inlineStr">
        <is>
          <t>Ontario Tennis Association</t>
        </is>
      </c>
      <c r="H210" t="inlineStr">
        <is>
          <t>Rideau Sports Centre</t>
        </is>
      </c>
      <c r="I210" t="n">
        <v>34.2</v>
      </c>
      <c r="J210" s="4" t="n">
        <v>53</v>
      </c>
      <c r="K210" t="inlineStr">
        <is>
          <t>17 / 36</t>
        </is>
      </c>
      <c r="L210" t="inlineStr">
        <is>
          <t>9 / 14</t>
        </is>
      </c>
      <c r="M210" s="5" t="n">
        <v>0.32</v>
      </c>
      <c r="N210" s="5" t="n">
        <v>0.39</v>
      </c>
    </row>
    <row r="211">
      <c r="A211" t="n">
        <v>210</v>
      </c>
      <c r="B211" t="n">
        <v>2013</v>
      </c>
      <c r="C211" t="inlineStr">
        <is>
          <t>Élisabeth Circé</t>
        </is>
      </c>
      <c r="D211">
        <f>HYPERLINK("https://ota.tournamentsoftware.com/player-profile/6616439A-F3CD-4D57-876F-DCE4AC4B88C9", "Link")</f>
        <v/>
      </c>
      <c r="E211" s="3" t="n">
        <v>389.717</v>
      </c>
      <c r="F211" s="4" t="n">
        <v>28</v>
      </c>
      <c r="G211" t="inlineStr">
        <is>
          <t>Tennis Québec</t>
        </is>
      </c>
      <c r="H211" t="inlineStr">
        <is>
          <t>Tennis Interclub Piedmont</t>
        </is>
      </c>
      <c r="I211" t="inlineStr">
        <is>
          <t>unavailable</t>
        </is>
      </c>
      <c r="J211" s="4" t="n">
        <v>145</v>
      </c>
      <c r="K211" t="inlineStr">
        <is>
          <t>47 / 98</t>
        </is>
      </c>
      <c r="L211" t="inlineStr">
        <is>
          <t>13 / 22</t>
        </is>
      </c>
      <c r="M211" s="5" t="n">
        <v>0.32</v>
      </c>
      <c r="N211" s="5" t="n">
        <v>0.37</v>
      </c>
    </row>
    <row r="212">
      <c r="A212" t="n">
        <v>211</v>
      </c>
      <c r="B212" t="n">
        <v>2014</v>
      </c>
      <c r="C212" t="inlineStr">
        <is>
          <t>Maeva Cantin</t>
        </is>
      </c>
      <c r="D212">
        <f>HYPERLINK("https://ota.tournamentsoftware.com/player-profile/B46D6374-4A68-4FB0-8516-4056AFA1047A", "Link")</f>
        <v/>
      </c>
      <c r="E212" s="3" t="n">
        <v>389.285</v>
      </c>
      <c r="F212" s="4" t="n">
        <v>17</v>
      </c>
      <c r="G212" t="inlineStr">
        <is>
          <t>Tennis Québec</t>
        </is>
      </c>
      <c r="H212" t="inlineStr">
        <is>
          <t>Centre récréatif de Repentigny / Académie Tennis Momentum</t>
        </is>
      </c>
      <c r="I212" t="n">
        <v>30.9</v>
      </c>
      <c r="J212" s="4" t="n">
        <v>149</v>
      </c>
      <c r="K212" t="inlineStr">
        <is>
          <t>79 / 70</t>
        </is>
      </c>
      <c r="L212" t="inlineStr">
        <is>
          <t>26 / 17</t>
        </is>
      </c>
      <c r="M212" s="5" t="n">
        <v>0.53</v>
      </c>
      <c r="N212" s="5" t="n">
        <v>0.6</v>
      </c>
    </row>
    <row r="213">
      <c r="A213" t="n">
        <v>212</v>
      </c>
      <c r="B213" t="n">
        <v>2014</v>
      </c>
      <c r="C213" t="inlineStr">
        <is>
          <t>Olivia Zhang</t>
        </is>
      </c>
      <c r="D213">
        <f>HYPERLINK("https://ota.tournamentsoftware.com/player-profile/8A1E61A8-3535-4F88-8C90-68A511D75AC2", "Link")</f>
        <v/>
      </c>
      <c r="E213" s="3" t="n">
        <v>388.8</v>
      </c>
      <c r="F213" s="4" t="n">
        <v>18</v>
      </c>
      <c r="G213" t="inlineStr">
        <is>
          <t>Ontario Tennis Association</t>
        </is>
      </c>
      <c r="H213" t="inlineStr">
        <is>
          <t>Richmondhill Golf &amp; Country Club</t>
        </is>
      </c>
      <c r="I213" t="n">
        <v>30.5</v>
      </c>
      <c r="J213" s="4" t="n">
        <v>99</v>
      </c>
      <c r="K213" t="inlineStr">
        <is>
          <t>61 / 38</t>
        </is>
      </c>
      <c r="L213" t="inlineStr">
        <is>
          <t>30 / 15</t>
        </is>
      </c>
      <c r="M213" s="5" t="n">
        <v>0.62</v>
      </c>
      <c r="N213" s="5" t="n">
        <v>0.67</v>
      </c>
    </row>
    <row r="214">
      <c r="A214" t="n">
        <v>213</v>
      </c>
      <c r="B214" t="n">
        <v>2014</v>
      </c>
      <c r="C214" t="inlineStr">
        <is>
          <t>Hanna Julia Barta</t>
        </is>
      </c>
      <c r="D214">
        <f>HYPERLINK("https://ota.tournamentsoftware.com/player-profile/BAF4D69B-39E5-4A7E-BB04-5AF0EDC7734B", "Link")</f>
        <v/>
      </c>
      <c r="E214" s="3" t="n">
        <v>388.453</v>
      </c>
      <c r="F214" s="4" t="n">
        <v>26</v>
      </c>
      <c r="G214" t="inlineStr">
        <is>
          <t>Ontario Tennis Association</t>
        </is>
      </c>
      <c r="H214" t="inlineStr">
        <is>
          <t>Advantage Tennis International at Veneto</t>
        </is>
      </c>
      <c r="I214" t="n">
        <v>32.9</v>
      </c>
      <c r="J214" s="4" t="n">
        <v>203</v>
      </c>
      <c r="K214" t="inlineStr">
        <is>
          <t>99 / 104</t>
        </is>
      </c>
      <c r="L214" t="inlineStr">
        <is>
          <t>19 / 18</t>
        </is>
      </c>
      <c r="M214" s="5" t="n">
        <v>0.49</v>
      </c>
      <c r="N214" s="5" t="n">
        <v>0.51</v>
      </c>
    </row>
    <row r="215">
      <c r="A215" t="n">
        <v>214</v>
      </c>
      <c r="B215" t="n">
        <v>2012</v>
      </c>
      <c r="C215" t="inlineStr">
        <is>
          <t>Aliya Star Michel</t>
        </is>
      </c>
      <c r="D215">
        <f>HYPERLINK("https://ota.tournamentsoftware.com/player-profile/B34E6AA6-2962-4DB5-93DB-BCA4DBF97316", "Link")</f>
        <v/>
      </c>
      <c r="E215" s="3" t="n">
        <v>386.865</v>
      </c>
      <c r="F215" s="4" t="n">
        <v>7</v>
      </c>
      <c r="G215" t="inlineStr">
        <is>
          <t>Tennis Québec</t>
        </is>
      </c>
      <c r="H215" t="inlineStr">
        <is>
          <t>Carrefour Multisports</t>
        </is>
      </c>
      <c r="I215" t="n">
        <v>29.9</v>
      </c>
      <c r="J215" s="4" t="n">
        <v>184</v>
      </c>
      <c r="K215" t="inlineStr">
        <is>
          <t>96 / 88</t>
        </is>
      </c>
      <c r="L215" t="inlineStr">
        <is>
          <t>2 / 2</t>
        </is>
      </c>
      <c r="M215" s="5" t="n">
        <v>0.52</v>
      </c>
      <c r="N215" s="5" t="n">
        <v>0.5</v>
      </c>
    </row>
    <row r="216">
      <c r="A216" t="n">
        <v>215</v>
      </c>
      <c r="B216" t="n">
        <v>2013</v>
      </c>
      <c r="C216" t="inlineStr">
        <is>
          <t>EMMA ANTONIA DOBREAN</t>
        </is>
      </c>
      <c r="D216">
        <f>HYPERLINK("https://ota.tournamentsoftware.com/player-profile/A556E1FC-8159-42C1-A5DB-35375535B6F4", "Link")</f>
        <v/>
      </c>
      <c r="E216" s="3" t="n">
        <v>386.415</v>
      </c>
      <c r="F216" s="4" t="n">
        <v>3</v>
      </c>
      <c r="G216" t="inlineStr">
        <is>
          <t>Ontario Tennis Association</t>
        </is>
      </c>
      <c r="H216" t="inlineStr">
        <is>
          <t>No Club</t>
        </is>
      </c>
      <c r="I216" t="inlineStr">
        <is>
          <t>unavailable</t>
        </is>
      </c>
      <c r="J216" s="4" t="n">
        <v>137</v>
      </c>
      <c r="K216" t="inlineStr">
        <is>
          <t>98 / 39</t>
        </is>
      </c>
      <c r="L216" t="inlineStr">
        <is>
          <t>2 / 3</t>
        </is>
      </c>
      <c r="M216" s="5" t="n">
        <v>0.72</v>
      </c>
      <c r="N216" s="5" t="n">
        <v>0.4</v>
      </c>
    </row>
    <row r="217">
      <c r="A217" t="n">
        <v>216</v>
      </c>
      <c r="B217" t="n">
        <v>2012</v>
      </c>
      <c r="C217" t="inlineStr">
        <is>
          <t>Milena Mavrin</t>
        </is>
      </c>
      <c r="D217">
        <f>HYPERLINK("https://ota.tournamentsoftware.com/player-profile/E6DED1E8-57C3-4627-8D59-94A636610A6B", "Link")</f>
        <v/>
      </c>
      <c r="E217" s="3" t="n">
        <v>386.04</v>
      </c>
      <c r="F217" s="4" t="n">
        <v>25</v>
      </c>
      <c r="G217" t="inlineStr">
        <is>
          <t>Ontario Tennis Association</t>
        </is>
      </c>
      <c r="H217" t="inlineStr">
        <is>
          <t>Blackmore Tennis Club</t>
        </is>
      </c>
      <c r="I217" t="n">
        <v>31.4</v>
      </c>
      <c r="J217" s="4" t="n">
        <v>71</v>
      </c>
      <c r="K217" t="inlineStr">
        <is>
          <t>32 / 39</t>
        </is>
      </c>
      <c r="L217" t="inlineStr">
        <is>
          <t>24 / 19</t>
        </is>
      </c>
      <c r="M217" s="5" t="n">
        <v>0.45</v>
      </c>
      <c r="N217" s="5" t="n">
        <v>0.5600000000000001</v>
      </c>
    </row>
    <row r="218">
      <c r="A218" t="n">
        <v>217</v>
      </c>
      <c r="B218" t="n">
        <v>2014</v>
      </c>
      <c r="C218" t="inlineStr">
        <is>
          <t>Erin Yida Li</t>
        </is>
      </c>
      <c r="D218">
        <f>HYPERLINK("https://ota.tournamentsoftware.com/player-profile/48592A27-18BE-4C04-BE24-73F536B6D5D5", "Link")</f>
        <v/>
      </c>
      <c r="E218" s="3" t="n">
        <v>382.624</v>
      </c>
      <c r="F218" s="4" t="n">
        <v>19</v>
      </c>
      <c r="G218" t="inlineStr">
        <is>
          <t>Ontario Tennis Association</t>
        </is>
      </c>
      <c r="H218" t="inlineStr">
        <is>
          <t>Richmondhill Golf &amp; Country Club</t>
        </is>
      </c>
      <c r="I218" t="n">
        <v>32.7</v>
      </c>
      <c r="J218" s="4" t="n">
        <v>84</v>
      </c>
      <c r="K218" t="inlineStr">
        <is>
          <t>41 / 43</t>
        </is>
      </c>
      <c r="L218" t="inlineStr">
        <is>
          <t>18 / 18</t>
        </is>
      </c>
      <c r="M218" s="5" t="n">
        <v>0.49</v>
      </c>
      <c r="N218" s="5" t="n">
        <v>0.5</v>
      </c>
    </row>
    <row r="219">
      <c r="A219" t="n">
        <v>218</v>
      </c>
      <c r="B219" t="n">
        <v>2014</v>
      </c>
      <c r="C219" t="inlineStr">
        <is>
          <t>anne xie</t>
        </is>
      </c>
      <c r="D219">
        <f>HYPERLINK("https://ota.tournamentsoftware.com/player-profile/FA9126B9-8D97-4D5E-9E34-8893BB836AE1", "Link")</f>
        <v/>
      </c>
      <c r="E219" s="3" t="n">
        <v>378.598</v>
      </c>
      <c r="F219" s="4" t="n">
        <v>26</v>
      </c>
      <c r="G219" t="inlineStr">
        <is>
          <t>British Columbia</t>
        </is>
      </c>
      <c r="H219" t="inlineStr">
        <is>
          <t>North Vancouver Tennis Centre</t>
        </is>
      </c>
      <c r="I219" t="n">
        <v>29.1</v>
      </c>
      <c r="J219" s="4" t="n">
        <v>259</v>
      </c>
      <c r="K219" t="inlineStr">
        <is>
          <t>126 / 133</t>
        </is>
      </c>
      <c r="L219" t="inlineStr">
        <is>
          <t>29 / 25</t>
        </is>
      </c>
      <c r="M219" s="5" t="n">
        <v>0.49</v>
      </c>
      <c r="N219" s="5" t="n">
        <v>0.54</v>
      </c>
    </row>
    <row r="220">
      <c r="A220" t="n">
        <v>219</v>
      </c>
      <c r="B220" t="n">
        <v>2014</v>
      </c>
      <c r="C220" t="inlineStr">
        <is>
          <t>Isabella Quintero-Gonzalez</t>
        </is>
      </c>
      <c r="D220">
        <f>HYPERLINK("https://ota.tournamentsoftware.com/player-profile/7215E114-BC9E-4292-9B97-03B766DB64EA", "Link")</f>
        <v/>
      </c>
      <c r="E220" s="3" t="n">
        <v>370.411</v>
      </c>
      <c r="F220" s="4" t="n">
        <v>12</v>
      </c>
      <c r="G220" t="inlineStr">
        <is>
          <t>Tennis Nova Scotia</t>
        </is>
      </c>
      <c r="H220" t="inlineStr">
        <is>
          <t>Atlantic Tennis Centre</t>
        </is>
      </c>
      <c r="I220" t="n">
        <v>33.5</v>
      </c>
      <c r="J220" s="4" t="n">
        <v>128</v>
      </c>
      <c r="K220" t="inlineStr">
        <is>
          <t>65 / 63</t>
        </is>
      </c>
      <c r="L220" t="inlineStr">
        <is>
          <t>29 / 23</t>
        </is>
      </c>
      <c r="M220" s="5" t="n">
        <v>0.51</v>
      </c>
      <c r="N220" s="5" t="n">
        <v>0.5600000000000001</v>
      </c>
    </row>
    <row r="221">
      <c r="A221" t="n">
        <v>220</v>
      </c>
      <c r="B221" t="n">
        <v>2013</v>
      </c>
      <c r="C221" t="inlineStr">
        <is>
          <t>Noelle Coyne</t>
        </is>
      </c>
      <c r="D221">
        <f>HYPERLINK("https://ota.tournamentsoftware.com/player-profile/F9F10EB5-F22D-4997-85F1-78377170C70A", "Link")</f>
        <v/>
      </c>
      <c r="E221" s="3" t="n">
        <v>367.853</v>
      </c>
      <c r="F221" s="4" t="n">
        <v>26</v>
      </c>
      <c r="G221" t="inlineStr">
        <is>
          <t>Tennis Alberta</t>
        </is>
      </c>
      <c r="H221" t="inlineStr">
        <is>
          <t>Osten &amp; Victor Alberta Tennis Centre</t>
        </is>
      </c>
      <c r="I221" t="n">
        <v>31.9</v>
      </c>
      <c r="J221" s="4" t="n">
        <v>122</v>
      </c>
      <c r="K221" t="inlineStr">
        <is>
          <t>51 / 71</t>
        </is>
      </c>
      <c r="L221" t="inlineStr">
        <is>
          <t>23 / 32</t>
        </is>
      </c>
      <c r="M221" s="5" t="n">
        <v>0.42</v>
      </c>
      <c r="N221" s="5" t="n">
        <v>0.42</v>
      </c>
    </row>
    <row r="222">
      <c r="A222" t="n">
        <v>221</v>
      </c>
      <c r="B222" t="n">
        <v>2013</v>
      </c>
      <c r="C222" t="inlineStr">
        <is>
          <t>Mary Grace MacDonnell Doak</t>
        </is>
      </c>
      <c r="D222">
        <f>HYPERLINK("https://ota.tournamentsoftware.com/player-profile/7E3C3388-CB92-4FE9-B0C8-FE6415D966E4", "Link")</f>
        <v/>
      </c>
      <c r="E222" s="3" t="n">
        <v>366.079</v>
      </c>
      <c r="F222" s="4" t="n">
        <v>17</v>
      </c>
      <c r="G222" t="inlineStr">
        <is>
          <t>Ontario Tennis Association</t>
        </is>
      </c>
      <c r="H222" t="inlineStr">
        <is>
          <t>St. James Tennis Club</t>
        </is>
      </c>
      <c r="I222" t="n">
        <v>36.2</v>
      </c>
      <c r="J222" s="4" t="n">
        <v>143</v>
      </c>
      <c r="K222" t="inlineStr">
        <is>
          <t>69 / 74</t>
        </is>
      </c>
      <c r="L222" t="inlineStr">
        <is>
          <t>5 / 12</t>
        </is>
      </c>
      <c r="M222" s="5" t="n">
        <v>0.48</v>
      </c>
      <c r="N222" s="5" t="n">
        <v>0.29</v>
      </c>
    </row>
    <row r="223">
      <c r="A223" t="n">
        <v>222</v>
      </c>
      <c r="B223" t="n">
        <v>2014</v>
      </c>
      <c r="C223" t="inlineStr">
        <is>
          <t>Hailey Zhou</t>
        </is>
      </c>
      <c r="D223">
        <f>HYPERLINK("https://ota.tournamentsoftware.com/player-profile/3046278B-E91E-4DE6-B598-5CD7D202AA49", "Link")</f>
        <v/>
      </c>
      <c r="E223" s="3" t="n">
        <v>344.77</v>
      </c>
      <c r="F223" s="4" t="n">
        <v>33</v>
      </c>
      <c r="G223" t="inlineStr">
        <is>
          <t>Ontario Tennis Association</t>
        </is>
      </c>
      <c r="H223" t="inlineStr">
        <is>
          <t>Advantage Tennis International at Veneto</t>
        </is>
      </c>
      <c r="I223" t="n">
        <v>33.7</v>
      </c>
      <c r="J223" s="4" t="n">
        <v>78</v>
      </c>
      <c r="K223" t="inlineStr">
        <is>
          <t>39 / 39</t>
        </is>
      </c>
      <c r="L223" t="inlineStr">
        <is>
          <t>29 / 27</t>
        </is>
      </c>
      <c r="M223" s="5" t="n">
        <v>0.5</v>
      </c>
      <c r="N223" s="5" t="n">
        <v>0.52</v>
      </c>
    </row>
    <row r="224">
      <c r="A224" t="n">
        <v>223</v>
      </c>
      <c r="B224" t="n">
        <v>2012</v>
      </c>
      <c r="C224" t="inlineStr">
        <is>
          <t>Sneha Sahiba Bhatti</t>
        </is>
      </c>
      <c r="D224">
        <f>HYPERLINK("https://ota.tournamentsoftware.com/player-profile/16EA0E7B-0025-4333-9A2A-28395C436A40", "Link")</f>
        <v/>
      </c>
      <c r="E224" s="3" t="n">
        <v>343.767</v>
      </c>
      <c r="F224" s="4" t="n">
        <v>17</v>
      </c>
      <c r="G224" t="inlineStr">
        <is>
          <t>British Columbia</t>
        </is>
      </c>
      <c r="H224" t="inlineStr">
        <is>
          <t>Coquitlam Tennis Club</t>
        </is>
      </c>
      <c r="I224" t="n">
        <v>30.3</v>
      </c>
      <c r="J224" s="4" t="n">
        <v>186</v>
      </c>
      <c r="K224" t="inlineStr">
        <is>
          <t>93 / 93</t>
        </is>
      </c>
      <c r="L224" t="inlineStr">
        <is>
          <t>15 / 19</t>
        </is>
      </c>
      <c r="M224" s="5" t="n">
        <v>0.5</v>
      </c>
      <c r="N224" s="5" t="n">
        <v>0.44</v>
      </c>
    </row>
    <row r="225">
      <c r="A225" t="n">
        <v>224</v>
      </c>
      <c r="B225" t="n">
        <v>2012</v>
      </c>
      <c r="C225" t="inlineStr">
        <is>
          <t>Ariyana Usharah Mahanandan</t>
        </is>
      </c>
      <c r="D225">
        <f>HYPERLINK("https://ota.tournamentsoftware.com/player-profile/FE0B9224-EA2B-4B60-AB52-7A0A2ACA90DA", "Link")</f>
        <v/>
      </c>
      <c r="E225" s="3" t="n">
        <v>340.822</v>
      </c>
      <c r="F225" s="4" t="n">
        <v>23</v>
      </c>
      <c r="G225" t="inlineStr">
        <is>
          <t>Ontario Tennis Association</t>
        </is>
      </c>
      <c r="H225" t="inlineStr">
        <is>
          <t>Premier Racquet Clubs – Mississauga</t>
        </is>
      </c>
      <c r="I225" t="inlineStr">
        <is>
          <t>unavailable</t>
        </is>
      </c>
      <c r="J225" s="4" t="n">
        <v>136</v>
      </c>
      <c r="K225" t="inlineStr">
        <is>
          <t>57 / 79</t>
        </is>
      </c>
      <c r="L225" t="inlineStr">
        <is>
          <t>11 / 21</t>
        </is>
      </c>
      <c r="M225" s="5" t="n">
        <v>0.42</v>
      </c>
      <c r="N225" s="5" t="n">
        <v>0.34</v>
      </c>
    </row>
    <row r="226">
      <c r="A226" t="n">
        <v>225</v>
      </c>
      <c r="B226" t="n">
        <v>2012</v>
      </c>
      <c r="C226" t="inlineStr">
        <is>
          <t>Anne-Frédérique Jacob</t>
        </is>
      </c>
      <c r="D226">
        <f>HYPERLINK("https://ota.tournamentsoftware.com/player-profile/6FDF9E24-9EF2-40B8-AA29-4E8DB70822F9", "Link")</f>
        <v/>
      </c>
      <c r="E226" s="3" t="n">
        <v>339.237</v>
      </c>
      <c r="F226" s="4" t="n">
        <v>15</v>
      </c>
      <c r="G226" t="inlineStr">
        <is>
          <t>Tennis Québec</t>
        </is>
      </c>
      <c r="H226" t="inlineStr">
        <is>
          <t>SANI Sport</t>
        </is>
      </c>
      <c r="I226" t="n">
        <v>30.4</v>
      </c>
      <c r="J226" s="4" t="n">
        <v>147</v>
      </c>
      <c r="K226" t="inlineStr">
        <is>
          <t>73 / 74</t>
        </is>
      </c>
      <c r="L226" t="inlineStr">
        <is>
          <t>5 / 11</t>
        </is>
      </c>
      <c r="M226" s="5" t="n">
        <v>0.5</v>
      </c>
      <c r="N226" s="5" t="n">
        <v>0.31</v>
      </c>
    </row>
    <row r="227">
      <c r="A227" t="n">
        <v>226</v>
      </c>
      <c r="B227" t="n">
        <v>2014</v>
      </c>
      <c r="C227" t="inlineStr">
        <is>
          <t>Isabelle Prusinkiewicz</t>
        </is>
      </c>
      <c r="D227">
        <f>HYPERLINK("https://ota.tournamentsoftware.com/player-profile/15F8CE0F-EF62-4029-B13B-F131581B8B29", "Link")</f>
        <v/>
      </c>
      <c r="E227" s="3" t="n">
        <v>338.545</v>
      </c>
      <c r="F227" s="4" t="n">
        <v>24</v>
      </c>
      <c r="G227" t="inlineStr">
        <is>
          <t>Tennis Alberta</t>
        </is>
      </c>
      <c r="H227" t="inlineStr">
        <is>
          <t>Aforza</t>
        </is>
      </c>
      <c r="I227" t="n">
        <v>32</v>
      </c>
      <c r="J227" s="4" t="n">
        <v>178</v>
      </c>
      <c r="K227" t="inlineStr">
        <is>
          <t>102 / 76</t>
        </is>
      </c>
      <c r="L227" t="inlineStr">
        <is>
          <t>30 / 20</t>
        </is>
      </c>
      <c r="M227" s="5" t="n">
        <v>0.57</v>
      </c>
      <c r="N227" s="5" t="n">
        <v>0.6</v>
      </c>
    </row>
    <row r="228">
      <c r="A228" t="n">
        <v>227</v>
      </c>
      <c r="B228" t="n">
        <v>2013</v>
      </c>
      <c r="C228" t="inlineStr">
        <is>
          <t>Jessica Rosemary Hill</t>
        </is>
      </c>
      <c r="D228">
        <f>HYPERLINK("https://ota.tournamentsoftware.com/player-profile/9F68BF9A-4FFA-4754-8023-C9F4ABCF0003", "Link")</f>
        <v/>
      </c>
      <c r="E228" s="3" t="n">
        <v>336.999</v>
      </c>
      <c r="F228" s="4" t="n">
        <v>22</v>
      </c>
      <c r="G228" t="inlineStr">
        <is>
          <t>British Columbia</t>
        </is>
      </c>
      <c r="H228" t="inlineStr">
        <is>
          <t>Vancouver International Tennis Academy</t>
        </is>
      </c>
      <c r="I228" t="n">
        <v>30.2</v>
      </c>
      <c r="J228" s="4" t="n">
        <v>165</v>
      </c>
      <c r="K228" t="inlineStr">
        <is>
          <t>93 / 72</t>
        </is>
      </c>
      <c r="L228" t="inlineStr">
        <is>
          <t>23 / 17</t>
        </is>
      </c>
      <c r="M228" s="5" t="n">
        <v>0.5600000000000001</v>
      </c>
      <c r="N228" s="5" t="n">
        <v>0.57</v>
      </c>
    </row>
    <row r="229">
      <c r="A229" t="n">
        <v>228</v>
      </c>
      <c r="B229" t="n">
        <v>2013</v>
      </c>
      <c r="C229" t="inlineStr">
        <is>
          <t>Alina Luo</t>
        </is>
      </c>
      <c r="D229">
        <f>HYPERLINK("https://ota.tournamentsoftware.com/player-profile/848C25E0-4CBB-4051-8AB5-C8460313D4A3", "Link")</f>
        <v/>
      </c>
      <c r="E229" s="3" t="n">
        <v>336.847</v>
      </c>
      <c r="F229" s="4" t="n">
        <v>23</v>
      </c>
      <c r="G229" t="inlineStr">
        <is>
          <t>Tennis Québec</t>
        </is>
      </c>
      <c r="H229" t="inlineStr">
        <is>
          <t>SANI Sport</t>
        </is>
      </c>
      <c r="I229" t="n">
        <v>32.4</v>
      </c>
      <c r="J229" s="4" t="n">
        <v>217</v>
      </c>
      <c r="K229" t="inlineStr">
        <is>
          <t>103 / 114</t>
        </is>
      </c>
      <c r="L229" t="inlineStr">
        <is>
          <t>3 / 17</t>
        </is>
      </c>
      <c r="M229" s="5" t="n">
        <v>0.47</v>
      </c>
      <c r="N229" s="5" t="n">
        <v>0.15</v>
      </c>
    </row>
    <row r="230">
      <c r="A230" t="n">
        <v>229</v>
      </c>
      <c r="B230" t="n">
        <v>2014</v>
      </c>
      <c r="C230" t="inlineStr">
        <is>
          <t>Eva Paquette</t>
        </is>
      </c>
      <c r="D230">
        <f>HYPERLINK("https://ota.tournamentsoftware.com/player-profile/631BF8EC-5FD6-41F7-A4BC-1B4980693D40", "Link")</f>
        <v/>
      </c>
      <c r="E230" s="3" t="n">
        <v>336.645</v>
      </c>
      <c r="F230" s="4" t="n">
        <v>33</v>
      </c>
      <c r="G230" t="inlineStr">
        <is>
          <t>Tennis Québec</t>
        </is>
      </c>
      <c r="H230" t="inlineStr">
        <is>
          <t>Club Sportif Côte-de-Liesse</t>
        </is>
      </c>
      <c r="I230" t="n">
        <v>32.3</v>
      </c>
      <c r="J230" s="4" t="n">
        <v>204</v>
      </c>
      <c r="K230" t="inlineStr">
        <is>
          <t>104 / 100</t>
        </is>
      </c>
      <c r="L230" t="inlineStr">
        <is>
          <t>40 / 25</t>
        </is>
      </c>
      <c r="M230" s="5" t="n">
        <v>0.51</v>
      </c>
      <c r="N230" s="5" t="n">
        <v>0.62</v>
      </c>
    </row>
    <row r="231">
      <c r="A231" t="n">
        <v>230</v>
      </c>
      <c r="B231" t="n">
        <v>2013</v>
      </c>
      <c r="C231" t="inlineStr">
        <is>
          <t>Anastazia De Lain</t>
        </is>
      </c>
      <c r="D231">
        <f>HYPERLINK("https://ota.tournamentsoftware.com/player-profile/BEE8D838-8464-4CCF-9268-D0D58F108999", "Link")</f>
        <v/>
      </c>
      <c r="E231" s="3" t="n">
        <v>335.359</v>
      </c>
      <c r="F231" s="4" t="n">
        <v>21</v>
      </c>
      <c r="G231" t="inlineStr">
        <is>
          <t>Tennis Québec</t>
        </is>
      </c>
      <c r="H231" t="inlineStr">
        <is>
          <t>EB Tennis inc.</t>
        </is>
      </c>
      <c r="I231" t="n">
        <v>36.6</v>
      </c>
      <c r="J231" s="4" t="n">
        <v>174</v>
      </c>
      <c r="K231" t="inlineStr">
        <is>
          <t>37 / 137</t>
        </is>
      </c>
      <c r="L231" t="inlineStr">
        <is>
          <t>4 / 23</t>
        </is>
      </c>
      <c r="M231" s="5" t="n">
        <v>0.21</v>
      </c>
      <c r="N231" s="5" t="n">
        <v>0.15</v>
      </c>
    </row>
    <row r="232">
      <c r="A232" t="n">
        <v>231</v>
      </c>
      <c r="B232" t="n">
        <v>2013</v>
      </c>
      <c r="C232" t="inlineStr">
        <is>
          <t>Kmar ELHOUIJ</t>
        </is>
      </c>
      <c r="D232">
        <f>HYPERLINK("https://ota.tournamentsoftware.com/player-profile/D690466C-B3D9-45B2-B453-BA40F436A5C1", "Link")</f>
        <v/>
      </c>
      <c r="E232" s="3" t="n">
        <v>335.176</v>
      </c>
      <c r="F232" s="4" t="n">
        <v>4</v>
      </c>
      <c r="G232" t="inlineStr">
        <is>
          <t>Tennis New Brunswick</t>
        </is>
      </c>
      <c r="H232" t="inlineStr">
        <is>
          <t>No Club</t>
        </is>
      </c>
      <c r="I232" t="n">
        <v>27.4</v>
      </c>
      <c r="J232" s="4" t="n">
        <v>39</v>
      </c>
      <c r="K232" t="inlineStr">
        <is>
          <t>30 / 9</t>
        </is>
      </c>
      <c r="L232" t="inlineStr">
        <is>
          <t>19 / 6</t>
        </is>
      </c>
      <c r="M232" s="5" t="n">
        <v>0.77</v>
      </c>
      <c r="N232" s="5" t="n">
        <v>0.76</v>
      </c>
    </row>
    <row r="233">
      <c r="A233" t="n">
        <v>232</v>
      </c>
      <c r="B233" t="n">
        <v>2012</v>
      </c>
      <c r="C233" t="inlineStr">
        <is>
          <t>Yunia Bartha</t>
        </is>
      </c>
      <c r="D233">
        <f>HYPERLINK("https://ota.tournamentsoftware.com/player-profile/3A2980C0-C922-4870-A2B4-18E74AC903C2", "Link")</f>
        <v/>
      </c>
      <c r="E233" s="3" t="n">
        <v>332.284</v>
      </c>
      <c r="F233" s="4" t="n">
        <v>25</v>
      </c>
      <c r="G233" t="inlineStr">
        <is>
          <t>Tennis Québec</t>
        </is>
      </c>
      <c r="H233" t="inlineStr">
        <is>
          <t>Club Sportif Côte-de-Liesse</t>
        </is>
      </c>
      <c r="I233" t="n">
        <v>32.6</v>
      </c>
      <c r="J233" s="4" t="n">
        <v>141</v>
      </c>
      <c r="K233" t="inlineStr">
        <is>
          <t>56 / 85</t>
        </is>
      </c>
      <c r="L233" t="inlineStr">
        <is>
          <t>12 / 21</t>
        </is>
      </c>
      <c r="M233" s="5" t="n">
        <v>0.4</v>
      </c>
      <c r="N233" s="5" t="n">
        <v>0.36</v>
      </c>
    </row>
    <row r="234">
      <c r="A234" t="n">
        <v>233</v>
      </c>
      <c r="B234" t="n">
        <v>2013</v>
      </c>
      <c r="C234" t="inlineStr">
        <is>
          <t>Aicha Ben Ali</t>
        </is>
      </c>
      <c r="D234">
        <f>HYPERLINK("https://ota.tournamentsoftware.com/player-profile/87F8F2BE-10FE-41D7-8382-85524C1D5D23", "Link")</f>
        <v/>
      </c>
      <c r="E234" s="3" t="n">
        <v>330.988</v>
      </c>
      <c r="F234" s="4" t="n">
        <v>9</v>
      </c>
      <c r="G234" t="inlineStr">
        <is>
          <t>Tennis Saskatchewan</t>
        </is>
      </c>
      <c r="H234" t="inlineStr">
        <is>
          <t>Lakeshore Tennis Club</t>
        </is>
      </c>
      <c r="I234" t="inlineStr">
        <is>
          <t>unavailable</t>
        </is>
      </c>
      <c r="J234" s="4" t="n">
        <v>31</v>
      </c>
      <c r="K234" t="inlineStr">
        <is>
          <t>4 / 27</t>
        </is>
      </c>
      <c r="L234" t="inlineStr">
        <is>
          <t>4 / 23</t>
        </is>
      </c>
      <c r="M234" s="5" t="n">
        <v>0.13</v>
      </c>
      <c r="N234" s="5" t="n">
        <v>0.15</v>
      </c>
    </row>
    <row r="235">
      <c r="A235" t="n">
        <v>234</v>
      </c>
      <c r="B235" t="n">
        <v>2012</v>
      </c>
      <c r="C235" t="inlineStr">
        <is>
          <t>Alexandra Bayentin</t>
        </is>
      </c>
      <c r="D235">
        <f>HYPERLINK("https://ota.tournamentsoftware.com/player-profile/EFF894D9-35F7-45C9-9C57-06584708D213", "Link")</f>
        <v/>
      </c>
      <c r="E235" s="3" t="n">
        <v>327.269</v>
      </c>
      <c r="F235" s="4" t="n">
        <v>13</v>
      </c>
      <c r="G235" t="inlineStr">
        <is>
          <t>Tennis Alberta</t>
        </is>
      </c>
      <c r="H235" t="inlineStr">
        <is>
          <t>Osten &amp; Victor Alberta Tennis Centre</t>
        </is>
      </c>
      <c r="I235" t="n">
        <v>29.1</v>
      </c>
      <c r="J235" s="4" t="n">
        <v>167</v>
      </c>
      <c r="K235" t="inlineStr">
        <is>
          <t>81 / 86</t>
        </is>
      </c>
      <c r="L235" t="inlineStr">
        <is>
          <t>11 / 12</t>
        </is>
      </c>
      <c r="M235" s="5" t="n">
        <v>0.49</v>
      </c>
      <c r="N235" s="5" t="n">
        <v>0.48</v>
      </c>
    </row>
    <row r="236">
      <c r="A236" t="n">
        <v>235</v>
      </c>
      <c r="B236" t="n">
        <v>2014</v>
      </c>
      <c r="C236" t="inlineStr">
        <is>
          <t>Vrishti Gehlot</t>
        </is>
      </c>
      <c r="D236">
        <f>HYPERLINK("https://ota.tournamentsoftware.com/player-profile/8D59FB71-FC68-41E0-B69F-920C29B60AD3", "Link")</f>
        <v/>
      </c>
      <c r="E236" s="3" t="n">
        <v>322.528</v>
      </c>
      <c r="F236" s="4" t="n">
        <v>27</v>
      </c>
      <c r="G236" t="inlineStr">
        <is>
          <t>Ontario Tennis Association</t>
        </is>
      </c>
      <c r="H236" t="inlineStr">
        <is>
          <t>Premier Racquet Clubs – Mississauga</t>
        </is>
      </c>
      <c r="I236" t="n">
        <v>32.6</v>
      </c>
      <c r="J236" s="4" t="n">
        <v>155</v>
      </c>
      <c r="K236" t="inlineStr">
        <is>
          <t>79 / 76</t>
        </is>
      </c>
      <c r="L236" t="inlineStr">
        <is>
          <t>31 / 17</t>
        </is>
      </c>
      <c r="M236" s="5" t="n">
        <v>0.51</v>
      </c>
      <c r="N236" s="5" t="n">
        <v>0.65</v>
      </c>
    </row>
    <row r="237">
      <c r="A237" t="n">
        <v>236</v>
      </c>
      <c r="B237" t="n">
        <v>2015</v>
      </c>
      <c r="C237" t="inlineStr">
        <is>
          <t>Josephine Yitong Wu</t>
        </is>
      </c>
      <c r="D237">
        <f>HYPERLINK("https://ota.tournamentsoftware.com/player-profile/1DF0BC06-9057-4469-9CEF-A9B5D864D9C9", "Link")</f>
        <v/>
      </c>
      <c r="E237" s="3" t="n">
        <v>321.68</v>
      </c>
      <c r="F237" s="4" t="n">
        <v>19</v>
      </c>
      <c r="G237" t="inlineStr">
        <is>
          <t>British Columbia</t>
        </is>
      </c>
      <c r="H237" t="inlineStr">
        <is>
          <t>North Vancouver Tennis Centre</t>
        </is>
      </c>
      <c r="I237" t="n">
        <v>29.4</v>
      </c>
      <c r="J237" s="4" t="n">
        <v>167</v>
      </c>
      <c r="K237" t="inlineStr">
        <is>
          <t>99 / 68</t>
        </is>
      </c>
      <c r="L237" t="inlineStr">
        <is>
          <t>22 / 12</t>
        </is>
      </c>
      <c r="M237" s="5" t="n">
        <v>0.59</v>
      </c>
      <c r="N237" s="5" t="n">
        <v>0.65</v>
      </c>
    </row>
    <row r="238">
      <c r="A238" t="n">
        <v>237</v>
      </c>
      <c r="B238" t="n">
        <v>2012</v>
      </c>
      <c r="C238" t="inlineStr">
        <is>
          <t>Abby Jean Tobac</t>
        </is>
      </c>
      <c r="D238">
        <f>HYPERLINK("https://ota.tournamentsoftware.com/player-profile/CDFDF0FB-A147-4D3C-BF4D-24E115B9EC1A", "Link")</f>
        <v/>
      </c>
      <c r="E238" s="3" t="n">
        <v>318.528</v>
      </c>
      <c r="F238" s="4" t="n">
        <v>6</v>
      </c>
      <c r="G238" t="inlineStr">
        <is>
          <t>Tennis Manitoba</t>
        </is>
      </c>
      <c r="H238" t="inlineStr">
        <is>
          <t>Taylor Tennis</t>
        </is>
      </c>
      <c r="I238" t="n">
        <v>35.1</v>
      </c>
      <c r="J238" s="4" t="n">
        <v>49</v>
      </c>
      <c r="K238" t="inlineStr">
        <is>
          <t>14 / 35</t>
        </is>
      </c>
      <c r="L238" t="inlineStr">
        <is>
          <t>2 / 9</t>
        </is>
      </c>
      <c r="M238" s="5" t="n">
        <v>0.29</v>
      </c>
      <c r="N238" s="5" t="n">
        <v>0.18</v>
      </c>
    </row>
    <row r="239">
      <c r="A239" t="n">
        <v>238</v>
      </c>
      <c r="B239" t="n">
        <v>2015</v>
      </c>
      <c r="C239" t="inlineStr">
        <is>
          <t>Clara Fanoos</t>
        </is>
      </c>
      <c r="D239">
        <f>HYPERLINK("https://ota.tournamentsoftware.com/player-profile/4AE431B3-C9E6-49D8-8003-48666B13F94B", "Link")</f>
        <v/>
      </c>
      <c r="E239" s="3" t="n">
        <v>316.509</v>
      </c>
      <c r="F239" s="4" t="n">
        <v>21</v>
      </c>
      <c r="G239" t="inlineStr">
        <is>
          <t>Tennis Québec</t>
        </is>
      </c>
      <c r="H239" t="inlineStr">
        <is>
          <t>Complexe de tennis de St-Augustin</t>
        </is>
      </c>
      <c r="I239" t="n">
        <v>31.5</v>
      </c>
      <c r="J239" s="4" t="n">
        <v>192</v>
      </c>
      <c r="K239" t="inlineStr">
        <is>
          <t>117 / 75</t>
        </is>
      </c>
      <c r="L239" t="inlineStr">
        <is>
          <t>29 / 19</t>
        </is>
      </c>
      <c r="M239" s="5" t="n">
        <v>0.61</v>
      </c>
      <c r="N239" s="5" t="n">
        <v>0.6</v>
      </c>
    </row>
    <row r="240">
      <c r="A240" t="n">
        <v>239</v>
      </c>
      <c r="B240" t="n">
        <v>2012</v>
      </c>
      <c r="C240" t="inlineStr">
        <is>
          <t>helena Khorsid-G-Mahdi</t>
        </is>
      </c>
      <c r="D240">
        <f>HYPERLINK("https://ota.tournamentsoftware.com/player-profile/D9FB3068-A1A7-4F96-B728-095D292B805C", "Link")</f>
        <v/>
      </c>
      <c r="E240" s="3" t="n">
        <v>312.56</v>
      </c>
      <c r="F240" s="4" t="n">
        <v>22</v>
      </c>
      <c r="G240" t="inlineStr">
        <is>
          <t>Ontario Tennis Association</t>
        </is>
      </c>
      <c r="H240" t="inlineStr">
        <is>
          <t>Cottingham Tennis Club</t>
        </is>
      </c>
      <c r="I240" t="inlineStr">
        <is>
          <t>unavailable</t>
        </is>
      </c>
      <c r="J240" s="4" t="n">
        <v>56</v>
      </c>
      <c r="K240" t="inlineStr">
        <is>
          <t>33 / 23</t>
        </is>
      </c>
      <c r="L240" t="inlineStr">
        <is>
          <t>19 / 16</t>
        </is>
      </c>
      <c r="M240" s="5" t="n">
        <v>0.59</v>
      </c>
      <c r="N240" s="5" t="n">
        <v>0.54</v>
      </c>
    </row>
    <row r="241">
      <c r="A241" t="n">
        <v>240</v>
      </c>
      <c r="B241" t="n">
        <v>2013</v>
      </c>
      <c r="C241" t="inlineStr">
        <is>
          <t>Katelyn Zhao</t>
        </is>
      </c>
      <c r="D241">
        <f>HYPERLINK("https://ota.tournamentsoftware.com/player-profile/C6305E19-1670-4857-9967-0344F0C8AB1D", "Link")</f>
        <v/>
      </c>
      <c r="E241" s="3" t="n">
        <v>312.472</v>
      </c>
      <c r="F241" s="4" t="n">
        <v>25</v>
      </c>
      <c r="G241" t="inlineStr">
        <is>
          <t>Ontario Tennis Association</t>
        </is>
      </c>
      <c r="H241" t="inlineStr">
        <is>
          <t>Premier Racquet Club</t>
        </is>
      </c>
      <c r="I241" t="n">
        <v>33.3</v>
      </c>
      <c r="J241" s="4" t="n">
        <v>100</v>
      </c>
      <c r="K241" t="inlineStr">
        <is>
          <t>52 / 48</t>
        </is>
      </c>
      <c r="L241" t="inlineStr">
        <is>
          <t>20 / 22</t>
        </is>
      </c>
      <c r="M241" s="5" t="n">
        <v>0.52</v>
      </c>
      <c r="N241" s="5" t="n">
        <v>0.48</v>
      </c>
    </row>
    <row r="242">
      <c r="A242" t="n">
        <v>241</v>
      </c>
      <c r="B242" t="n">
        <v>2012</v>
      </c>
      <c r="C242" t="inlineStr">
        <is>
          <t>Camie Wang</t>
        </is>
      </c>
      <c r="D242">
        <f>HYPERLINK("https://ota.tournamentsoftware.com/player-profile/5CE5CCC5-E821-48EF-86C9-6973D97D1F92", "Link")</f>
        <v/>
      </c>
      <c r="E242" s="3" t="n">
        <v>311.911</v>
      </c>
      <c r="F242" s="4" t="n">
        <v>16</v>
      </c>
      <c r="G242" t="inlineStr">
        <is>
          <t>Tennis Alberta</t>
        </is>
      </c>
      <c r="H242" t="inlineStr">
        <is>
          <t>Osten &amp; Victor Alberta Tennis Centre</t>
        </is>
      </c>
      <c r="I242" t="n">
        <v>27.9</v>
      </c>
      <c r="J242" s="4" t="n">
        <v>115</v>
      </c>
      <c r="K242" t="inlineStr">
        <is>
          <t>61 / 54</t>
        </is>
      </c>
      <c r="L242" t="inlineStr">
        <is>
          <t>20 / 19</t>
        </is>
      </c>
      <c r="M242" s="5" t="n">
        <v>0.53</v>
      </c>
      <c r="N242" s="5" t="n">
        <v>0.51</v>
      </c>
    </row>
    <row r="243">
      <c r="A243" t="n">
        <v>242</v>
      </c>
      <c r="B243" t="n">
        <v>2012</v>
      </c>
      <c r="C243" t="inlineStr">
        <is>
          <t>Daisy Tingru Wang</t>
        </is>
      </c>
      <c r="D243">
        <f>HYPERLINK("https://ota.tournamentsoftware.com/player-profile/40DA5F9F-8E70-4030-A0ED-A54E3D8832D2", "Link")</f>
        <v/>
      </c>
      <c r="E243" s="3" t="n">
        <v>310.853</v>
      </c>
      <c r="F243" s="4" t="n">
        <v>7</v>
      </c>
      <c r="G243" t="inlineStr">
        <is>
          <t>Tennis Nova Scotia</t>
        </is>
      </c>
      <c r="H243" t="inlineStr">
        <is>
          <t>HEADSTART</t>
        </is>
      </c>
      <c r="I243" t="n">
        <v>36</v>
      </c>
      <c r="J243" s="4" t="n">
        <v>37</v>
      </c>
      <c r="K243" t="inlineStr">
        <is>
          <t>8 / 29</t>
        </is>
      </c>
      <c r="L243" t="inlineStr">
        <is>
          <t>5 / 19</t>
        </is>
      </c>
      <c r="M243" s="5" t="n">
        <v>0.22</v>
      </c>
      <c r="N243" s="5" t="n">
        <v>0.21</v>
      </c>
    </row>
    <row r="244">
      <c r="A244" t="n">
        <v>243</v>
      </c>
      <c r="B244" t="n">
        <v>2015</v>
      </c>
      <c r="C244" t="inlineStr">
        <is>
          <t>Mia Louise LADEWIG</t>
        </is>
      </c>
      <c r="D244">
        <f>HYPERLINK("https://ota.tournamentsoftware.com/player-profile/25055713-74C7-482D-8A9B-00D94FB7068B", "Link")</f>
        <v/>
      </c>
      <c r="E244" s="3" t="n">
        <v>309.295</v>
      </c>
      <c r="F244" s="4" t="n">
        <v>23</v>
      </c>
      <c r="G244" t="inlineStr">
        <is>
          <t>British Columbia</t>
        </is>
      </c>
      <c r="H244" t="inlineStr">
        <is>
          <t>North Vancouver Tennis Centre</t>
        </is>
      </c>
      <c r="I244" t="n">
        <v>29.3</v>
      </c>
      <c r="J244" s="4" t="n">
        <v>224</v>
      </c>
      <c r="K244" t="inlineStr">
        <is>
          <t>142 / 82</t>
        </is>
      </c>
      <c r="L244" t="inlineStr">
        <is>
          <t>32 / 20</t>
        </is>
      </c>
      <c r="M244" s="5" t="n">
        <v>0.63</v>
      </c>
      <c r="N244" s="5" t="n">
        <v>0.62</v>
      </c>
    </row>
    <row r="245">
      <c r="A245" t="n">
        <v>244</v>
      </c>
      <c r="B245" t="n">
        <v>2013</v>
      </c>
      <c r="C245" t="inlineStr">
        <is>
          <t>Ria Tamber</t>
        </is>
      </c>
      <c r="D245">
        <f>HYPERLINK("https://ota.tournamentsoftware.com/player-profile/4A086BBB-EEC2-48A4-BDDA-142D9D4A3534", "Link")</f>
        <v/>
      </c>
      <c r="E245" s="3" t="n">
        <v>308.995</v>
      </c>
      <c r="F245" s="4" t="n">
        <v>24</v>
      </c>
      <c r="G245" t="inlineStr">
        <is>
          <t>Ontario Tennis Association</t>
        </is>
      </c>
      <c r="H245" t="inlineStr">
        <is>
          <t>Premier Racquet Clubs – Mississauga</t>
        </is>
      </c>
      <c r="I245" t="inlineStr">
        <is>
          <t>unavailable</t>
        </is>
      </c>
      <c r="J245" s="4" t="n">
        <v>95</v>
      </c>
      <c r="K245" t="inlineStr">
        <is>
          <t>39 / 56</t>
        </is>
      </c>
      <c r="L245" t="inlineStr">
        <is>
          <t>12 / 16</t>
        </is>
      </c>
      <c r="M245" s="5" t="n">
        <v>0.41</v>
      </c>
      <c r="N245" s="5" t="n">
        <v>0.43</v>
      </c>
    </row>
    <row r="246">
      <c r="A246" t="n">
        <v>245</v>
      </c>
      <c r="B246" t="n">
        <v>2013</v>
      </c>
      <c r="C246" t="inlineStr">
        <is>
          <t>Keona Asogwa</t>
        </is>
      </c>
      <c r="D246">
        <f>HYPERLINK("https://ota.tournamentsoftware.com/player-profile/1F426AE8-5B0F-4535-AD10-450570C37073", "Link")</f>
        <v/>
      </c>
      <c r="E246" s="3" t="n">
        <v>308.808</v>
      </c>
      <c r="F246" s="4" t="n">
        <v>16</v>
      </c>
      <c r="G246" t="inlineStr">
        <is>
          <t>Ontario Tennis Association</t>
        </is>
      </c>
      <c r="H246" t="inlineStr">
        <is>
          <t>Carleton Tennis Centre</t>
        </is>
      </c>
      <c r="I246" t="inlineStr">
        <is>
          <t>unavailable</t>
        </is>
      </c>
      <c r="J246" s="4" t="n">
        <v>107</v>
      </c>
      <c r="K246" t="inlineStr">
        <is>
          <t>40 / 67</t>
        </is>
      </c>
      <c r="L246" t="inlineStr">
        <is>
          <t>4 / 11</t>
        </is>
      </c>
      <c r="M246" s="5" t="n">
        <v>0.37</v>
      </c>
      <c r="N246" s="5" t="n">
        <v>0.27</v>
      </c>
    </row>
    <row r="247">
      <c r="A247" t="n">
        <v>246</v>
      </c>
      <c r="B247" t="n">
        <v>2015</v>
      </c>
      <c r="C247" t="inlineStr">
        <is>
          <t>Maya Lupu</t>
        </is>
      </c>
      <c r="D247">
        <f>HYPERLINK("https://ota.tournamentsoftware.com/player-profile/C02052CF-6FBB-4C91-8237-A96FF9B4C794", "Link")</f>
        <v/>
      </c>
      <c r="E247" s="3" t="n">
        <v>308.771</v>
      </c>
      <c r="F247" s="4" t="n">
        <v>16</v>
      </c>
      <c r="G247" t="inlineStr">
        <is>
          <t>Tennis Alberta</t>
        </is>
      </c>
      <c r="H247" t="inlineStr">
        <is>
          <t>Saville Community Sports Centre</t>
        </is>
      </c>
      <c r="I247" t="n">
        <v>31.2</v>
      </c>
      <c r="J247" s="4" t="n">
        <v>162</v>
      </c>
      <c r="K247" t="inlineStr">
        <is>
          <t>104 / 58</t>
        </is>
      </c>
      <c r="L247" t="inlineStr">
        <is>
          <t>19 / 23</t>
        </is>
      </c>
      <c r="M247" s="5" t="n">
        <v>0.64</v>
      </c>
      <c r="N247" s="5" t="n">
        <v>0.45</v>
      </c>
    </row>
    <row r="248">
      <c r="A248" t="n">
        <v>247</v>
      </c>
      <c r="B248" t="n">
        <v>2013</v>
      </c>
      <c r="C248" t="inlineStr">
        <is>
          <t>Kany Kaba</t>
        </is>
      </c>
      <c r="D248">
        <f>HYPERLINK("https://ota.tournamentsoftware.com/player-profile/7816DF47-252D-402D-BF26-B906A8AB6ED7", "Link")</f>
        <v/>
      </c>
      <c r="E248" s="3" t="n">
        <v>308.626</v>
      </c>
      <c r="F248" s="4" t="n">
        <v>10</v>
      </c>
      <c r="G248" t="inlineStr">
        <is>
          <t>Tennis Québec</t>
        </is>
      </c>
      <c r="H248" t="inlineStr">
        <is>
          <t>EB Tennis inc.</t>
        </is>
      </c>
      <c r="I248" t="n">
        <v>33.1</v>
      </c>
      <c r="J248" s="4" t="n">
        <v>137</v>
      </c>
      <c r="K248" t="inlineStr">
        <is>
          <t>83 / 54</t>
        </is>
      </c>
      <c r="L248" t="inlineStr">
        <is>
          <t>5 / 11</t>
        </is>
      </c>
      <c r="M248" s="5" t="n">
        <v>0.61</v>
      </c>
      <c r="N248" s="5" t="n">
        <v>0.31</v>
      </c>
    </row>
    <row r="249">
      <c r="A249" t="n">
        <v>248</v>
      </c>
      <c r="B249" t="n">
        <v>2013</v>
      </c>
      <c r="C249" t="inlineStr">
        <is>
          <t>ZOE SOFIA CARDENAS PANIAGUA</t>
        </is>
      </c>
      <c r="D249">
        <f>HYPERLINK("https://ota.tournamentsoftware.com/player-profile/6ADCA248-D68F-47BB-9ED7-CDC7448C4AE9", "Link")</f>
        <v/>
      </c>
      <c r="E249" s="3" t="n">
        <v>307.118</v>
      </c>
      <c r="F249" s="4" t="n">
        <v>6</v>
      </c>
      <c r="G249" t="inlineStr">
        <is>
          <t>Tennis Manitoba</t>
        </is>
      </c>
      <c r="H249" t="inlineStr">
        <is>
          <t>Tuxedo Tennis Club</t>
        </is>
      </c>
      <c r="I249" t="inlineStr">
        <is>
          <t>unavailable</t>
        </is>
      </c>
      <c r="J249" s="4" t="n">
        <v>59</v>
      </c>
      <c r="K249" t="inlineStr">
        <is>
          <t>22 / 37</t>
        </is>
      </c>
      <c r="L249" t="inlineStr">
        <is>
          <t>6 / 8</t>
        </is>
      </c>
      <c r="M249" s="5" t="n">
        <v>0.37</v>
      </c>
      <c r="N249" s="5" t="n">
        <v>0.43</v>
      </c>
    </row>
    <row r="250">
      <c r="A250" t="n">
        <v>249</v>
      </c>
      <c r="B250" t="n">
        <v>2014</v>
      </c>
      <c r="C250" t="inlineStr">
        <is>
          <t>Rosie Mai Kowalewski</t>
        </is>
      </c>
      <c r="D250">
        <f>HYPERLINK("https://ota.tournamentsoftware.com/player-profile/6AE6D507-C7A4-4B8D-AF2E-EBFE848DD41B", "Link")</f>
        <v/>
      </c>
      <c r="E250" s="3" t="n">
        <v>303.327</v>
      </c>
      <c r="F250" s="4" t="n">
        <v>19</v>
      </c>
      <c r="G250" t="inlineStr">
        <is>
          <t>Ontario Tennis Association</t>
        </is>
      </c>
      <c r="H250" t="inlineStr">
        <is>
          <t>No Club</t>
        </is>
      </c>
      <c r="I250" t="n">
        <v>31.5</v>
      </c>
      <c r="J250" s="4" t="n">
        <v>192</v>
      </c>
      <c r="K250" t="inlineStr">
        <is>
          <t>113 / 79</t>
        </is>
      </c>
      <c r="L250" t="inlineStr">
        <is>
          <t>14 / 11</t>
        </is>
      </c>
      <c r="M250" s="5" t="n">
        <v>0.59</v>
      </c>
      <c r="N250" s="5" t="n">
        <v>0.5600000000000001</v>
      </c>
    </row>
    <row r="251">
      <c r="A251" t="n">
        <v>250</v>
      </c>
      <c r="B251" t="n">
        <v>2013</v>
      </c>
      <c r="C251" t="inlineStr">
        <is>
          <t>Chloe Lu</t>
        </is>
      </c>
      <c r="D251">
        <f>HYPERLINK("https://ota.tournamentsoftware.com/player-profile/30F898AC-1C96-41C5-BBB0-3BFD30EC0D0D", "Link")</f>
        <v/>
      </c>
      <c r="E251" s="3" t="n">
        <v>300.706</v>
      </c>
      <c r="F251" s="4" t="n">
        <v>26</v>
      </c>
      <c r="G251" t="inlineStr">
        <is>
          <t>British Columbia</t>
        </is>
      </c>
      <c r="H251" t="inlineStr">
        <is>
          <t>UBC Tennis Centre</t>
        </is>
      </c>
      <c r="I251" t="n">
        <v>31.8</v>
      </c>
      <c r="J251" s="4" t="n">
        <v>162</v>
      </c>
      <c r="K251" t="inlineStr">
        <is>
          <t>61 / 101</t>
        </is>
      </c>
      <c r="L251" t="inlineStr">
        <is>
          <t>21 / 23</t>
        </is>
      </c>
      <c r="M251" s="5" t="n">
        <v>0.38</v>
      </c>
      <c r="N251" s="5" t="n">
        <v>0.48</v>
      </c>
    </row>
    <row r="252">
      <c r="A252" t="n">
        <v>251</v>
      </c>
      <c r="B252" t="n">
        <v>2014</v>
      </c>
      <c r="C252" t="inlineStr">
        <is>
          <t>Sara Liao</t>
        </is>
      </c>
      <c r="D252">
        <f>HYPERLINK("https://ota.tournamentsoftware.com/player-profile/A86A9BCB-375D-415C-BD04-3D7638B2F6E8", "Link")</f>
        <v/>
      </c>
      <c r="E252" s="3" t="n">
        <v>299.702</v>
      </c>
      <c r="F252" s="4" t="n">
        <v>32</v>
      </c>
      <c r="G252" t="inlineStr">
        <is>
          <t>Ontario Tennis Association</t>
        </is>
      </c>
      <c r="H252" t="inlineStr">
        <is>
          <t>Ontario Racquet Club</t>
        </is>
      </c>
      <c r="I252" t="n">
        <v>33</v>
      </c>
      <c r="J252" s="4" t="n">
        <v>117</v>
      </c>
      <c r="K252" t="inlineStr">
        <is>
          <t>57 / 60</t>
        </is>
      </c>
      <c r="L252" t="inlineStr">
        <is>
          <t>30 / 27</t>
        </is>
      </c>
      <c r="M252" s="5" t="n">
        <v>0.49</v>
      </c>
      <c r="N252" s="5" t="n">
        <v>0.53</v>
      </c>
    </row>
    <row r="253">
      <c r="A253" t="n">
        <v>252</v>
      </c>
      <c r="B253" t="n">
        <v>2015</v>
      </c>
      <c r="C253" t="inlineStr">
        <is>
          <t>Zoë Crago</t>
        </is>
      </c>
      <c r="D253">
        <f>HYPERLINK("https://ota.tournamentsoftware.com/player-profile/C2D18227-6075-4F1E-83A2-40A822F874D3", "Link")</f>
        <v/>
      </c>
      <c r="E253" s="3" t="n">
        <v>298.67</v>
      </c>
      <c r="F253" s="4" t="n">
        <v>28</v>
      </c>
      <c r="G253" t="inlineStr">
        <is>
          <t>Tennis Québec</t>
        </is>
      </c>
      <c r="H253" t="inlineStr">
        <is>
          <t>Tennis Montréal Excellence</t>
        </is>
      </c>
      <c r="I253" t="n">
        <v>32.8</v>
      </c>
      <c r="J253" s="4" t="n">
        <v>193</v>
      </c>
      <c r="K253" t="inlineStr">
        <is>
          <t>101 / 92</t>
        </is>
      </c>
      <c r="L253" t="inlineStr">
        <is>
          <t>29 / 24</t>
        </is>
      </c>
      <c r="M253" s="5" t="n">
        <v>0.52</v>
      </c>
      <c r="N253" s="5" t="n">
        <v>0.55</v>
      </c>
    </row>
    <row r="254">
      <c r="A254" t="n">
        <v>253</v>
      </c>
      <c r="B254" t="n">
        <v>2014</v>
      </c>
      <c r="C254" t="inlineStr">
        <is>
          <t>Tehzeeb MRAR</t>
        </is>
      </c>
      <c r="D254">
        <f>HYPERLINK("https://ota.tournamentsoftware.com/player-profile/9E69163B-7ED7-4450-8845-0676D6C943B8", "Link")</f>
        <v/>
      </c>
      <c r="E254" s="3" t="n">
        <v>293.832</v>
      </c>
      <c r="F254" s="4" t="n">
        <v>21</v>
      </c>
      <c r="G254" t="inlineStr">
        <is>
          <t>British Columbia</t>
        </is>
      </c>
      <c r="H254" t="inlineStr">
        <is>
          <t>No Club</t>
        </is>
      </c>
      <c r="I254" t="n">
        <v>29.6</v>
      </c>
      <c r="J254" s="4" t="n">
        <v>198</v>
      </c>
      <c r="K254" t="inlineStr">
        <is>
          <t>109 / 89</t>
        </is>
      </c>
      <c r="L254" t="inlineStr">
        <is>
          <t>19 / 15</t>
        </is>
      </c>
      <c r="M254" s="5" t="n">
        <v>0.55</v>
      </c>
      <c r="N254" s="5" t="n">
        <v>0.5600000000000001</v>
      </c>
    </row>
    <row r="255">
      <c r="A255" t="n">
        <v>254</v>
      </c>
      <c r="B255" t="n">
        <v>2014</v>
      </c>
      <c r="C255" t="inlineStr">
        <is>
          <t>Krystal Xuan Sun</t>
        </is>
      </c>
      <c r="D255">
        <f>HYPERLINK("https://ota.tournamentsoftware.com/player-profile/683C106F-AE4B-4C63-B1A3-D9C25FFAD31B", "Link")</f>
        <v/>
      </c>
      <c r="E255" s="3" t="n">
        <v>289.981</v>
      </c>
      <c r="F255" s="4" t="n">
        <v>11</v>
      </c>
      <c r="G255" t="inlineStr">
        <is>
          <t>Tennis Manitoba</t>
        </is>
      </c>
      <c r="H255" t="inlineStr">
        <is>
          <t>Taylor Tennis</t>
        </is>
      </c>
      <c r="I255" t="inlineStr">
        <is>
          <t>unavailable</t>
        </is>
      </c>
      <c r="J255" s="4" t="n">
        <v>74</v>
      </c>
      <c r="K255" t="inlineStr">
        <is>
          <t>21 / 53</t>
        </is>
      </c>
      <c r="L255" t="inlineStr">
        <is>
          <t>10 / 29</t>
        </is>
      </c>
      <c r="M255" s="5" t="n">
        <v>0.28</v>
      </c>
      <c r="N255" s="5" t="n">
        <v>0.26</v>
      </c>
    </row>
    <row r="256">
      <c r="A256" t="n">
        <v>255</v>
      </c>
      <c r="B256" t="n">
        <v>2013</v>
      </c>
      <c r="C256" t="inlineStr">
        <is>
          <t>Lily Gaumond-Boivin</t>
        </is>
      </c>
      <c r="D256">
        <f>HYPERLINK("https://ota.tournamentsoftware.com/player-profile/98461C64-ECF9-40D8-849E-C8999A9F9BA1", "Link")</f>
        <v/>
      </c>
      <c r="E256" s="3" t="n">
        <v>289.881</v>
      </c>
      <c r="F256" s="4" t="n">
        <v>20</v>
      </c>
      <c r="G256" t="inlineStr">
        <is>
          <t>Tennis Québec</t>
        </is>
      </c>
      <c r="H256" t="inlineStr">
        <is>
          <t>Club Avantage Multi-sports / Académie de tennis Hérisset Bordeleau</t>
        </is>
      </c>
      <c r="I256" t="inlineStr">
        <is>
          <t>unavailable</t>
        </is>
      </c>
      <c r="J256" s="4" t="n">
        <v>120</v>
      </c>
      <c r="K256" t="inlineStr">
        <is>
          <t>59 / 61</t>
        </is>
      </c>
      <c r="L256" t="inlineStr">
        <is>
          <t>9 / 12</t>
        </is>
      </c>
      <c r="M256" s="5" t="n">
        <v>0.49</v>
      </c>
      <c r="N256" s="5" t="n">
        <v>0.43</v>
      </c>
    </row>
    <row r="257">
      <c r="A257" t="n">
        <v>256</v>
      </c>
      <c r="B257" t="n">
        <v>2012</v>
      </c>
      <c r="C257" t="inlineStr">
        <is>
          <t>Norah Diop</t>
        </is>
      </c>
      <c r="D257">
        <f>HYPERLINK("https://ota.tournamentsoftware.com/player-profile/1B130952-D24A-467D-813D-2DA5B56ADFFF", "Link")</f>
        <v/>
      </c>
      <c r="E257" s="3" t="n">
        <v>289.524</v>
      </c>
      <c r="F257" s="4" t="n">
        <v>20</v>
      </c>
      <c r="G257" t="inlineStr">
        <is>
          <t>Tennis Québec</t>
        </is>
      </c>
      <c r="H257" t="inlineStr">
        <is>
          <t>Tennis 13</t>
        </is>
      </c>
      <c r="I257" t="inlineStr">
        <is>
          <t>unavailable</t>
        </is>
      </c>
      <c r="J257" s="4" t="n">
        <v>85</v>
      </c>
      <c r="K257" t="inlineStr">
        <is>
          <t>38 / 47</t>
        </is>
      </c>
      <c r="L257" t="inlineStr">
        <is>
          <t>13 / 12</t>
        </is>
      </c>
      <c r="M257" s="5" t="n">
        <v>0.45</v>
      </c>
      <c r="N257" s="5" t="n">
        <v>0.52</v>
      </c>
    </row>
    <row r="258">
      <c r="A258" t="n">
        <v>257</v>
      </c>
      <c r="B258" t="n">
        <v>2015</v>
      </c>
      <c r="C258" t="inlineStr">
        <is>
          <t>Danica Stamatovic</t>
        </is>
      </c>
      <c r="D258">
        <f>HYPERLINK("https://ota.tournamentsoftware.com/player-profile/3D976EDA-1737-4852-A9BF-C67ED47C73C1", "Link")</f>
        <v/>
      </c>
      <c r="E258" s="3" t="n">
        <v>285.672</v>
      </c>
      <c r="F258" s="4" t="n">
        <v>21</v>
      </c>
      <c r="G258" t="inlineStr">
        <is>
          <t>Ontario Tennis Association</t>
        </is>
      </c>
      <c r="H258" t="inlineStr">
        <is>
          <t>SmartVMC Racquetsports by ACE</t>
        </is>
      </c>
      <c r="I258" t="n">
        <v>31.4</v>
      </c>
      <c r="J258" s="4" t="n">
        <v>188</v>
      </c>
      <c r="K258" t="inlineStr">
        <is>
          <t>94 / 94</t>
        </is>
      </c>
      <c r="L258" t="inlineStr">
        <is>
          <t>27 / 15</t>
        </is>
      </c>
      <c r="M258" s="5" t="n">
        <v>0.5</v>
      </c>
      <c r="N258" s="5" t="n">
        <v>0.64</v>
      </c>
    </row>
    <row r="259">
      <c r="A259" t="n">
        <v>258</v>
      </c>
      <c r="B259" t="n">
        <v>2014</v>
      </c>
      <c r="C259" t="inlineStr">
        <is>
          <t>Isabella Huang</t>
        </is>
      </c>
      <c r="D259">
        <f>HYPERLINK("https://ota.tournamentsoftware.com/player-profile/DB8FA904-8DE1-4D99-951F-F44CD792291A", "Link")</f>
        <v/>
      </c>
      <c r="E259" s="3" t="n">
        <v>285.248</v>
      </c>
      <c r="F259" s="4" t="n">
        <v>16</v>
      </c>
      <c r="G259" t="inlineStr">
        <is>
          <t>British Columbia</t>
        </is>
      </c>
      <c r="H259" t="inlineStr">
        <is>
          <t>Burnaby Tennis Club</t>
        </is>
      </c>
      <c r="I259" t="inlineStr">
        <is>
          <t>unavailable</t>
        </is>
      </c>
      <c r="J259" s="4" t="n">
        <v>193</v>
      </c>
      <c r="K259" t="inlineStr">
        <is>
          <t>109 / 84</t>
        </is>
      </c>
      <c r="L259" t="inlineStr">
        <is>
          <t>22 / 12</t>
        </is>
      </c>
      <c r="M259" s="5" t="n">
        <v>0.5600000000000001</v>
      </c>
      <c r="N259" s="5" t="n">
        <v>0.65</v>
      </c>
    </row>
    <row r="260">
      <c r="A260" t="n">
        <v>259</v>
      </c>
      <c r="B260" t="n">
        <v>2013</v>
      </c>
      <c r="C260" t="inlineStr">
        <is>
          <t>Sasha Stack</t>
        </is>
      </c>
      <c r="D260">
        <f>HYPERLINK("https://ota.tournamentsoftware.com/player-profile/C0B95842-5E69-4EBF-8E5C-398666A7112E", "Link")</f>
        <v/>
      </c>
      <c r="E260" s="3" t="n">
        <v>283.679</v>
      </c>
      <c r="F260" s="4" t="n">
        <v>15</v>
      </c>
      <c r="G260" t="inlineStr">
        <is>
          <t>British Columbia</t>
        </is>
      </c>
      <c r="H260" t="inlineStr">
        <is>
          <t>Hollyburn Country Club</t>
        </is>
      </c>
      <c r="I260" t="n">
        <v>33</v>
      </c>
      <c r="J260" s="4" t="n">
        <v>113</v>
      </c>
      <c r="K260" t="inlineStr">
        <is>
          <t>52 / 61</t>
        </is>
      </c>
      <c r="L260" t="inlineStr">
        <is>
          <t>8 / 15</t>
        </is>
      </c>
      <c r="M260" s="5" t="n">
        <v>0.46</v>
      </c>
      <c r="N260" s="5" t="n">
        <v>0.35</v>
      </c>
    </row>
    <row r="261">
      <c r="A261" t="n">
        <v>260</v>
      </c>
      <c r="B261" t="n">
        <v>2014</v>
      </c>
      <c r="C261" t="inlineStr">
        <is>
          <t>Ela Velic</t>
        </is>
      </c>
      <c r="D261">
        <f>HYPERLINK("https://ota.tournamentsoftware.com/player-profile/5CC54F7D-0D30-4EF4-BE6C-A336041BBEE2", "Link")</f>
        <v/>
      </c>
      <c r="E261" s="3" t="n">
        <v>283.442</v>
      </c>
      <c r="F261" s="4" t="n">
        <v>23</v>
      </c>
      <c r="G261" t="inlineStr">
        <is>
          <t>Ontario Tennis Association</t>
        </is>
      </c>
      <c r="H261" t="inlineStr">
        <is>
          <t>Central Tennis Club</t>
        </is>
      </c>
      <c r="I261" t="n">
        <v>33.3</v>
      </c>
      <c r="J261" s="4" t="n">
        <v>100</v>
      </c>
      <c r="K261" t="inlineStr">
        <is>
          <t>52 / 48</t>
        </is>
      </c>
      <c r="L261" t="inlineStr">
        <is>
          <t>21 / 20</t>
        </is>
      </c>
      <c r="M261" s="5" t="n">
        <v>0.52</v>
      </c>
      <c r="N261" s="5" t="n">
        <v>0.51</v>
      </c>
    </row>
    <row r="262">
      <c r="A262" t="n">
        <v>261</v>
      </c>
      <c r="B262" t="n">
        <v>2014</v>
      </c>
      <c r="C262" t="inlineStr">
        <is>
          <t>Avelyn Deepak</t>
        </is>
      </c>
      <c r="D262">
        <f>HYPERLINK("https://ota.tournamentsoftware.com/player-profile/4412DB09-5DE9-45DA-AB13-46B4F24B409F", "Link")</f>
        <v/>
      </c>
      <c r="E262" s="3" t="n">
        <v>282.546</v>
      </c>
      <c r="F262" s="4" t="n">
        <v>10</v>
      </c>
      <c r="G262" t="inlineStr">
        <is>
          <t>Tennis Manitoba</t>
        </is>
      </c>
      <c r="H262" t="inlineStr">
        <is>
          <t>Winnipeg Winter Club</t>
        </is>
      </c>
      <c r="I262" t="n">
        <v>35.2</v>
      </c>
      <c r="J262" s="4" t="n">
        <v>35</v>
      </c>
      <c r="K262" t="inlineStr">
        <is>
          <t>9 / 26</t>
        </is>
      </c>
      <c r="L262" t="inlineStr">
        <is>
          <t>9 / 26</t>
        </is>
      </c>
      <c r="M262" s="5" t="n">
        <v>0.26</v>
      </c>
      <c r="N262" s="5" t="n">
        <v>0.26</v>
      </c>
    </row>
    <row r="263">
      <c r="A263" t="n">
        <v>262</v>
      </c>
      <c r="B263" t="n">
        <v>2014</v>
      </c>
      <c r="C263" t="inlineStr">
        <is>
          <t>Alaia Grace Serravalle</t>
        </is>
      </c>
      <c r="D263">
        <f>HYPERLINK("https://ota.tournamentsoftware.com/player-profile/EDBCEC0C-45DE-4DFD-B17A-C176B306FC97", "Link")</f>
        <v/>
      </c>
      <c r="E263" s="3" t="n">
        <v>280.68</v>
      </c>
      <c r="F263" s="4" t="n">
        <v>23</v>
      </c>
      <c r="G263" t="inlineStr">
        <is>
          <t>Ontario Tennis Association</t>
        </is>
      </c>
      <c r="H263" t="inlineStr">
        <is>
          <t>Youngs Sportsplex</t>
        </is>
      </c>
      <c r="I263" t="n">
        <v>33.1</v>
      </c>
      <c r="J263" s="4" t="n">
        <v>60</v>
      </c>
      <c r="K263" t="inlineStr">
        <is>
          <t>34 / 26</t>
        </is>
      </c>
      <c r="L263" t="inlineStr">
        <is>
          <t>22 / 17</t>
        </is>
      </c>
      <c r="M263" s="5" t="n">
        <v>0.57</v>
      </c>
      <c r="N263" s="5" t="n">
        <v>0.5600000000000001</v>
      </c>
    </row>
    <row r="264">
      <c r="A264" t="n">
        <v>263</v>
      </c>
      <c r="B264" t="n">
        <v>2012</v>
      </c>
      <c r="C264" t="inlineStr">
        <is>
          <t>ella kim brend</t>
        </is>
      </c>
      <c r="D264">
        <f>HYPERLINK("https://ota.tournamentsoftware.com/player-profile/C777EDB2-AC2E-4E02-948A-26DCAC347821", "Link")</f>
        <v/>
      </c>
      <c r="E264" s="3" t="n">
        <v>280.297</v>
      </c>
      <c r="F264" s="4" t="n">
        <v>19</v>
      </c>
      <c r="G264" t="inlineStr">
        <is>
          <t>British Columbia</t>
        </is>
      </c>
      <c r="H264" t="inlineStr">
        <is>
          <t>The Tennis Centre</t>
        </is>
      </c>
      <c r="I264" t="n">
        <v>29.6</v>
      </c>
      <c r="J264" s="4" t="n">
        <v>124</v>
      </c>
      <c r="K264" t="inlineStr">
        <is>
          <t>87 / 37</t>
        </is>
      </c>
      <c r="L264" t="inlineStr">
        <is>
          <t>35 / 12</t>
        </is>
      </c>
      <c r="M264" s="5" t="n">
        <v>0.7</v>
      </c>
      <c r="N264" s="5" t="n">
        <v>0.74</v>
      </c>
    </row>
    <row r="265">
      <c r="A265" t="n">
        <v>264</v>
      </c>
      <c r="B265" t="n">
        <v>2013</v>
      </c>
      <c r="C265" t="inlineStr">
        <is>
          <t>Chanjoban Kaur Birdi</t>
        </is>
      </c>
      <c r="D265">
        <f>HYPERLINK("https://ota.tournamentsoftware.com/player-profile/26D50988-CF95-4A0A-9087-8DC8E38F0BDB", "Link")</f>
        <v/>
      </c>
      <c r="E265" s="3" t="n">
        <v>278.58</v>
      </c>
      <c r="F265" s="4" t="n">
        <v>19</v>
      </c>
      <c r="G265" t="inlineStr">
        <is>
          <t>British Columbia</t>
        </is>
      </c>
      <c r="H265" t="inlineStr">
        <is>
          <t>Newton Tennis Club</t>
        </is>
      </c>
      <c r="I265" t="n">
        <v>30.1</v>
      </c>
      <c r="J265" s="4" t="n">
        <v>202</v>
      </c>
      <c r="K265" t="inlineStr">
        <is>
          <t>99 / 103</t>
        </is>
      </c>
      <c r="L265" t="inlineStr">
        <is>
          <t>24 / 16</t>
        </is>
      </c>
      <c r="M265" s="5" t="n">
        <v>0.49</v>
      </c>
      <c r="N265" s="5" t="n">
        <v>0.6</v>
      </c>
    </row>
    <row r="266">
      <c r="A266" t="n">
        <v>265</v>
      </c>
      <c r="B266" t="n">
        <v>2014</v>
      </c>
      <c r="C266" t="inlineStr">
        <is>
          <t>Elliette Leah Tran</t>
        </is>
      </c>
      <c r="D266">
        <f>HYPERLINK("https://ota.tournamentsoftware.com/player-profile/9986D752-4364-42A6-9A1B-E1BC239760F0", "Link")</f>
        <v/>
      </c>
      <c r="E266" s="3" t="n">
        <v>278.539</v>
      </c>
      <c r="F266" s="4" t="n">
        <v>17</v>
      </c>
      <c r="G266" t="inlineStr">
        <is>
          <t>Tennis Alberta</t>
        </is>
      </c>
      <c r="H266" t="inlineStr">
        <is>
          <t>Saville Community Sports Centre</t>
        </is>
      </c>
      <c r="I266" t="inlineStr">
        <is>
          <t>unavailable</t>
        </is>
      </c>
      <c r="J266" s="4" t="n">
        <v>118</v>
      </c>
      <c r="K266" t="inlineStr">
        <is>
          <t>59 / 59</t>
        </is>
      </c>
      <c r="L266" t="inlineStr">
        <is>
          <t>24 / 19</t>
        </is>
      </c>
      <c r="M266" s="5" t="n">
        <v>0.5</v>
      </c>
      <c r="N266" s="5" t="n">
        <v>0.5600000000000001</v>
      </c>
    </row>
    <row r="267">
      <c r="A267" t="n">
        <v>266</v>
      </c>
      <c r="B267" t="n">
        <v>2013</v>
      </c>
      <c r="C267" t="inlineStr">
        <is>
          <t>Maddie Kershaw</t>
        </is>
      </c>
      <c r="D267">
        <f>HYPERLINK("https://ota.tournamentsoftware.com/player-profile/14F8911D-BF5A-4FE7-BFF6-D5A71E72307F", "Link")</f>
        <v/>
      </c>
      <c r="E267" s="3" t="n">
        <v>278.432</v>
      </c>
      <c r="F267" s="4" t="n">
        <v>10</v>
      </c>
      <c r="G267" t="inlineStr">
        <is>
          <t>Tennis New Brunswick</t>
        </is>
      </c>
      <c r="H267" t="inlineStr">
        <is>
          <t>Abony Family Tennis Center</t>
        </is>
      </c>
      <c r="I267" t="n">
        <v>33.9</v>
      </c>
      <c r="J267" s="4" t="n">
        <v>188</v>
      </c>
      <c r="K267" t="inlineStr">
        <is>
          <t>95 / 93</t>
        </is>
      </c>
      <c r="L267" t="inlineStr">
        <is>
          <t>16 / 23</t>
        </is>
      </c>
      <c r="M267" s="5" t="n">
        <v>0.51</v>
      </c>
      <c r="N267" s="5" t="n">
        <v>0.41</v>
      </c>
    </row>
    <row r="268">
      <c r="A268" t="n">
        <v>267</v>
      </c>
      <c r="B268" t="n">
        <v>2012</v>
      </c>
      <c r="C268" t="inlineStr">
        <is>
          <t>Jana Karkoukli</t>
        </is>
      </c>
      <c r="D268">
        <f>HYPERLINK("https://ota.tournamentsoftware.com/player-profile/ED5D7332-7665-453C-87FD-D7E5B172FD8A", "Link")</f>
        <v/>
      </c>
      <c r="E268" s="3" t="n">
        <v>276.736</v>
      </c>
      <c r="F268" s="4" t="n">
        <v>24</v>
      </c>
      <c r="G268" t="inlineStr">
        <is>
          <t>Tennis Québec</t>
        </is>
      </c>
      <c r="H268" t="inlineStr">
        <is>
          <t>EB Tennis inc.</t>
        </is>
      </c>
      <c r="I268" t="n">
        <v>35.6</v>
      </c>
      <c r="J268" s="4" t="n">
        <v>186</v>
      </c>
      <c r="K268" t="inlineStr">
        <is>
          <t>51 / 135</t>
        </is>
      </c>
      <c r="L268" t="inlineStr">
        <is>
          <t>2 / 18</t>
        </is>
      </c>
      <c r="M268" s="5" t="n">
        <v>0.27</v>
      </c>
      <c r="N268" s="5" t="n">
        <v>0.1</v>
      </c>
    </row>
    <row r="269">
      <c r="A269" t="n">
        <v>268</v>
      </c>
      <c r="B269" t="n">
        <v>2014</v>
      </c>
      <c r="C269" t="inlineStr">
        <is>
          <t>Elisa Krumov</t>
        </is>
      </c>
      <c r="D269">
        <f>HYPERLINK("https://ota.tournamentsoftware.com/player-profile/8B5D18FC-0F51-468A-BE7C-7EA242A06382", "Link")</f>
        <v/>
      </c>
      <c r="E269" s="3" t="n">
        <v>270.273</v>
      </c>
      <c r="F269" s="4" t="n">
        <v>16</v>
      </c>
      <c r="G269" t="inlineStr">
        <is>
          <t>Ontario Tennis Association</t>
        </is>
      </c>
      <c r="H269" t="inlineStr">
        <is>
          <t>Joshua Creek Golf &amp; Tennis</t>
        </is>
      </c>
      <c r="I269" t="n">
        <v>32.8</v>
      </c>
      <c r="J269" s="4" t="n">
        <v>89</v>
      </c>
      <c r="K269" t="inlineStr">
        <is>
          <t>43 / 46</t>
        </is>
      </c>
      <c r="L269" t="inlineStr">
        <is>
          <t>16 / 16</t>
        </is>
      </c>
      <c r="M269" s="5" t="n">
        <v>0.48</v>
      </c>
      <c r="N269" s="5" t="n">
        <v>0.5</v>
      </c>
    </row>
    <row r="270">
      <c r="A270" t="n">
        <v>269</v>
      </c>
      <c r="B270" t="n">
        <v>2013</v>
      </c>
      <c r="C270" t="inlineStr">
        <is>
          <t>Gabriela Gardonyi</t>
        </is>
      </c>
      <c r="D270">
        <f>HYPERLINK("https://ota.tournamentsoftware.com/player-profile/EA584DC9-AF4E-413B-BF0B-75746024F8E4", "Link")</f>
        <v/>
      </c>
      <c r="E270" s="3" t="n">
        <v>269.544</v>
      </c>
      <c r="F270" s="4" t="n">
        <v>23</v>
      </c>
      <c r="G270" t="inlineStr">
        <is>
          <t>Ontario Tennis Association</t>
        </is>
      </c>
      <c r="H270" t="inlineStr">
        <is>
          <t>Richmond Hill Country Club</t>
        </is>
      </c>
      <c r="I270" t="inlineStr">
        <is>
          <t>unavailable</t>
        </is>
      </c>
      <c r="J270" s="4" t="n">
        <v>119</v>
      </c>
      <c r="K270" t="inlineStr">
        <is>
          <t>56 / 63</t>
        </is>
      </c>
      <c r="L270" t="inlineStr">
        <is>
          <t>21 / 19</t>
        </is>
      </c>
      <c r="M270" s="5" t="n">
        <v>0.47</v>
      </c>
      <c r="N270" s="5" t="n">
        <v>0.53</v>
      </c>
    </row>
    <row r="271">
      <c r="A271" t="n">
        <v>270</v>
      </c>
      <c r="B271" t="n">
        <v>2013</v>
      </c>
      <c r="C271" t="inlineStr">
        <is>
          <t>Tia Patel</t>
        </is>
      </c>
      <c r="D271">
        <f>HYPERLINK("https://ota.tournamentsoftware.com/player-profile/5C480574-FD9C-4816-B1CF-F51441726B25", "Link")</f>
        <v/>
      </c>
      <c r="E271" s="3" t="n">
        <v>267.982</v>
      </c>
      <c r="F271" s="4" t="n">
        <v>17</v>
      </c>
      <c r="G271" t="inlineStr">
        <is>
          <t>Ontario Tennis Association</t>
        </is>
      </c>
      <c r="H271" t="inlineStr">
        <is>
          <t>Waterloo Tennis Club</t>
        </is>
      </c>
      <c r="I271" t="n">
        <v>35.4</v>
      </c>
      <c r="J271" s="4" t="n">
        <v>74</v>
      </c>
      <c r="K271" t="inlineStr">
        <is>
          <t>26 / 48</t>
        </is>
      </c>
      <c r="L271" t="inlineStr">
        <is>
          <t>4 / 8</t>
        </is>
      </c>
      <c r="M271" s="5" t="n">
        <v>0.35</v>
      </c>
      <c r="N271" s="5" t="n">
        <v>0.33</v>
      </c>
    </row>
    <row r="272">
      <c r="A272" t="n">
        <v>271</v>
      </c>
      <c r="B272" t="n">
        <v>2015</v>
      </c>
      <c r="C272" t="inlineStr">
        <is>
          <t>Sophia Shiqi Zeng</t>
        </is>
      </c>
      <c r="D272">
        <f>HYPERLINK("https://ota.tournamentsoftware.com/player-profile/F1A373DA-18B2-46FA-AF39-157644DB679B", "Link")</f>
        <v/>
      </c>
      <c r="E272" s="3" t="n">
        <v>267.836</v>
      </c>
      <c r="F272" s="4" t="n">
        <v>21</v>
      </c>
      <c r="G272" t="inlineStr">
        <is>
          <t>British Columbia</t>
        </is>
      </c>
      <c r="H272" t="inlineStr">
        <is>
          <t>The Tennis Centre</t>
        </is>
      </c>
      <c r="I272" t="n">
        <v>31.5</v>
      </c>
      <c r="J272" s="4" t="n">
        <v>187</v>
      </c>
      <c r="K272" t="inlineStr">
        <is>
          <t>103 / 84</t>
        </is>
      </c>
      <c r="L272" t="inlineStr">
        <is>
          <t>29 / 15</t>
        </is>
      </c>
      <c r="M272" s="5" t="n">
        <v>0.55</v>
      </c>
      <c r="N272" s="5" t="n">
        <v>0.66</v>
      </c>
    </row>
    <row r="273">
      <c r="A273" t="n">
        <v>272</v>
      </c>
      <c r="B273" t="n">
        <v>2015</v>
      </c>
      <c r="C273" t="inlineStr">
        <is>
          <t>Alia Idrissi Serghini</t>
        </is>
      </c>
      <c r="D273">
        <f>HYPERLINK("https://ota.tournamentsoftware.com/player-profile/CF328206-362D-4259-AA9F-74B7EF760A80", "Link")</f>
        <v/>
      </c>
      <c r="E273" s="3" t="n">
        <v>267.456</v>
      </c>
      <c r="F273" s="4" t="n">
        <v>19</v>
      </c>
      <c r="G273" t="inlineStr">
        <is>
          <t>Tennis Québec</t>
        </is>
      </c>
      <c r="H273" t="inlineStr">
        <is>
          <t>Centre récréatif de Repentigny / Académie Tennis Momentum</t>
        </is>
      </c>
      <c r="I273" t="n">
        <v>32.6</v>
      </c>
      <c r="J273" s="4" t="n">
        <v>139</v>
      </c>
      <c r="K273" t="inlineStr">
        <is>
          <t>84 / 55</t>
        </is>
      </c>
      <c r="L273" t="inlineStr">
        <is>
          <t>19 / 19</t>
        </is>
      </c>
      <c r="M273" s="5" t="n">
        <v>0.6</v>
      </c>
      <c r="N273" s="5" t="n">
        <v>0.5</v>
      </c>
    </row>
    <row r="274">
      <c r="A274" t="n">
        <v>273</v>
      </c>
      <c r="B274" t="n">
        <v>2013</v>
      </c>
      <c r="C274" t="inlineStr">
        <is>
          <t>Mia Tran</t>
        </is>
      </c>
      <c r="D274">
        <f>HYPERLINK("https://ota.tournamentsoftware.com/player-profile/140A029D-3BE9-44F2-AA6A-53ED5C2991A8", "Link")</f>
        <v/>
      </c>
      <c r="E274" s="3" t="n">
        <v>263.48</v>
      </c>
      <c r="F274" s="4" t="n">
        <v>11</v>
      </c>
      <c r="G274" t="inlineStr">
        <is>
          <t>Ontario Tennis Association</t>
        </is>
      </c>
      <c r="H274" t="inlineStr">
        <is>
          <t>SmartVMC Racquetsports by ACE</t>
        </is>
      </c>
      <c r="I274" t="n">
        <v>32.6</v>
      </c>
      <c r="J274" s="4" t="n">
        <v>86</v>
      </c>
      <c r="K274" t="inlineStr">
        <is>
          <t>53 / 33</t>
        </is>
      </c>
      <c r="L274" t="inlineStr">
        <is>
          <t>14 / 8</t>
        </is>
      </c>
      <c r="M274" s="5" t="n">
        <v>0.62</v>
      </c>
      <c r="N274" s="5" t="n">
        <v>0.64</v>
      </c>
    </row>
    <row r="275">
      <c r="A275" t="n">
        <v>274</v>
      </c>
      <c r="B275" t="n">
        <v>2014</v>
      </c>
      <c r="C275" t="inlineStr">
        <is>
          <t>Thanushka Sadasivam</t>
        </is>
      </c>
      <c r="D275">
        <f>HYPERLINK("https://ota.tournamentsoftware.com/player-profile/CA495DA8-0B9D-4530-9886-FC567CD73AE9", "Link")</f>
        <v/>
      </c>
      <c r="E275" s="3" t="n">
        <v>260.403</v>
      </c>
      <c r="F275" s="4" t="n">
        <v>18</v>
      </c>
      <c r="G275" t="inlineStr">
        <is>
          <t>Ontario Tennis Association</t>
        </is>
      </c>
      <c r="H275" t="inlineStr">
        <is>
          <t>Ontario Racquet Club</t>
        </is>
      </c>
      <c r="I275" t="n">
        <v>35.2</v>
      </c>
      <c r="J275" s="4" t="n">
        <v>59</v>
      </c>
      <c r="K275" t="inlineStr">
        <is>
          <t>25 / 34</t>
        </is>
      </c>
      <c r="L275" t="inlineStr">
        <is>
          <t>7 / 12</t>
        </is>
      </c>
      <c r="M275" s="5" t="n">
        <v>0.42</v>
      </c>
      <c r="N275" s="5" t="n">
        <v>0.37</v>
      </c>
    </row>
    <row r="276">
      <c r="A276" t="n">
        <v>275</v>
      </c>
      <c r="B276" t="n">
        <v>2015</v>
      </c>
      <c r="C276" t="inlineStr">
        <is>
          <t>Emma Xu</t>
        </is>
      </c>
      <c r="D276">
        <f>HYPERLINK("https://ota.tournamentsoftware.com/player-profile/464089C3-D2B4-413F-A102-AF0AEFF9A318", "Link")</f>
        <v/>
      </c>
      <c r="E276" s="3" t="n">
        <v>259.338</v>
      </c>
      <c r="F276" s="4" t="n">
        <v>9</v>
      </c>
      <c r="G276" t="inlineStr">
        <is>
          <t>Tennis Manitoba</t>
        </is>
      </c>
      <c r="H276" t="inlineStr">
        <is>
          <t>Taylor Tennis</t>
        </is>
      </c>
      <c r="I276" t="n">
        <v>36.6</v>
      </c>
      <c r="J276" s="4" t="n">
        <v>98</v>
      </c>
      <c r="K276" t="inlineStr">
        <is>
          <t>27 / 71</t>
        </is>
      </c>
      <c r="L276" t="inlineStr">
        <is>
          <t>9 / 28</t>
        </is>
      </c>
      <c r="M276" s="5" t="n">
        <v>0.28</v>
      </c>
      <c r="N276" s="5" t="n">
        <v>0.24</v>
      </c>
    </row>
    <row r="277">
      <c r="A277" t="n">
        <v>276</v>
      </c>
      <c r="B277" t="n">
        <v>2013</v>
      </c>
      <c r="C277" t="inlineStr">
        <is>
          <t>Ebun Fasanya</t>
        </is>
      </c>
      <c r="D277">
        <f>HYPERLINK("https://ota.tournamentsoftware.com/player-profile/943BB22B-8108-44B4-80BD-15A6984D1D23", "Link")</f>
        <v/>
      </c>
      <c r="E277" s="3" t="n">
        <v>256.168</v>
      </c>
      <c r="F277" s="4" t="n">
        <v>16</v>
      </c>
      <c r="G277" t="inlineStr">
        <is>
          <t>Ontario Tennis Association</t>
        </is>
      </c>
      <c r="H277" t="inlineStr">
        <is>
          <t>Joshua Creek Golf &amp; Tennis</t>
        </is>
      </c>
      <c r="I277" t="n">
        <v>34.1</v>
      </c>
      <c r="J277" s="4" t="n">
        <v>80</v>
      </c>
      <c r="K277" t="inlineStr">
        <is>
          <t>44 / 36</t>
        </is>
      </c>
      <c r="L277" t="inlineStr">
        <is>
          <t>16 / 13</t>
        </is>
      </c>
      <c r="M277" s="5" t="n">
        <v>0.55</v>
      </c>
      <c r="N277" s="5" t="n">
        <v>0.55</v>
      </c>
    </row>
    <row r="278">
      <c r="A278" t="n">
        <v>277</v>
      </c>
      <c r="B278" t="n">
        <v>2012</v>
      </c>
      <c r="C278" t="inlineStr">
        <is>
          <t>Kristina Khlyebnykova</t>
        </is>
      </c>
      <c r="D278">
        <f>HYPERLINK("https://ota.tournamentsoftware.com/player-profile/D585FC7E-ABD0-44A4-A0AC-539E39880B84", "Link")</f>
        <v/>
      </c>
      <c r="E278" s="3" t="n">
        <v>255.56</v>
      </c>
      <c r="F278" s="4" t="n">
        <v>12</v>
      </c>
      <c r="G278" t="inlineStr">
        <is>
          <t>Ontario Tennis Association</t>
        </is>
      </c>
      <c r="H278" t="inlineStr">
        <is>
          <t>Concord Tennis Academy</t>
        </is>
      </c>
      <c r="I278" t="n">
        <v>32.8</v>
      </c>
      <c r="J278" s="4" t="n">
        <v>67</v>
      </c>
      <c r="K278" t="inlineStr">
        <is>
          <t>32 / 35</t>
        </is>
      </c>
      <c r="L278" t="inlineStr">
        <is>
          <t>11 / 8</t>
        </is>
      </c>
      <c r="M278" s="5" t="n">
        <v>0.48</v>
      </c>
      <c r="N278" s="5" t="n">
        <v>0.58</v>
      </c>
    </row>
    <row r="279">
      <c r="A279" t="n">
        <v>278</v>
      </c>
      <c r="B279" t="n">
        <v>2012</v>
      </c>
      <c r="C279" t="inlineStr">
        <is>
          <t>Jessica Li</t>
        </is>
      </c>
      <c r="D279">
        <f>HYPERLINK("https://ota.tournamentsoftware.com/player-profile/9F51CCE2-07F1-48BF-B635-CE7622769243", "Link")</f>
        <v/>
      </c>
      <c r="E279" s="3" t="n">
        <v>254.244</v>
      </c>
      <c r="F279" s="4" t="n">
        <v>11</v>
      </c>
      <c r="G279" t="inlineStr">
        <is>
          <t>Ontario Tennis Association</t>
        </is>
      </c>
      <c r="H279" t="inlineStr">
        <is>
          <t>Markham Tennis Club</t>
        </is>
      </c>
      <c r="I279" t="inlineStr">
        <is>
          <t>unavailable</t>
        </is>
      </c>
      <c r="J279" s="4" t="n">
        <v>58</v>
      </c>
      <c r="K279" t="inlineStr">
        <is>
          <t>27 / 31</t>
        </is>
      </c>
      <c r="L279" t="inlineStr">
        <is>
          <t>9 / 9</t>
        </is>
      </c>
      <c r="M279" s="5" t="n">
        <v>0.47</v>
      </c>
      <c r="N279" s="5" t="n">
        <v>0.5</v>
      </c>
    </row>
    <row r="280">
      <c r="A280" t="n">
        <v>279</v>
      </c>
      <c r="B280" t="n">
        <v>2015</v>
      </c>
      <c r="C280" t="inlineStr">
        <is>
          <t>Ella Potechin</t>
        </is>
      </c>
      <c r="D280">
        <f>HYPERLINK("https://ota.tournamentsoftware.com/player-profile/6611C50A-5A2F-4DF7-B99B-97DD644D2C2A", "Link")</f>
        <v/>
      </c>
      <c r="E280" s="3" t="n">
        <v>251.009</v>
      </c>
      <c r="F280" s="4" t="n">
        <v>17</v>
      </c>
      <c r="G280" t="inlineStr">
        <is>
          <t>Ontario Tennis Association</t>
        </is>
      </c>
      <c r="H280" t="inlineStr">
        <is>
          <t>Tennis Outaouais Performance (TOP) ON</t>
        </is>
      </c>
      <c r="I280" t="n">
        <v>34.9</v>
      </c>
      <c r="J280" s="4" t="n">
        <v>92</v>
      </c>
      <c r="K280" t="inlineStr">
        <is>
          <t>36 / 56</t>
        </is>
      </c>
      <c r="L280" t="inlineStr">
        <is>
          <t>19 / 20</t>
        </is>
      </c>
      <c r="M280" s="5" t="n">
        <v>0.39</v>
      </c>
      <c r="N280" s="5" t="n">
        <v>0.49</v>
      </c>
    </row>
    <row r="281">
      <c r="A281" t="n">
        <v>280</v>
      </c>
      <c r="B281" t="n">
        <v>2012</v>
      </c>
      <c r="C281" t="inlineStr">
        <is>
          <t>Trisha Singh</t>
        </is>
      </c>
      <c r="D281">
        <f>HYPERLINK("https://ota.tournamentsoftware.com/player-profile/CA831513-6963-4556-B8FD-4D148748EB19", "Link")</f>
        <v/>
      </c>
      <c r="E281" s="3" t="n">
        <v>250.421</v>
      </c>
      <c r="F281" s="4" t="n">
        <v>17</v>
      </c>
      <c r="G281" t="inlineStr">
        <is>
          <t>Ontario Tennis Association</t>
        </is>
      </c>
      <c r="H281" t="inlineStr">
        <is>
          <t>Rideau Sports Centre</t>
        </is>
      </c>
      <c r="I281" t="n">
        <v>32</v>
      </c>
      <c r="J281" s="4" t="n">
        <v>85</v>
      </c>
      <c r="K281" t="inlineStr">
        <is>
          <t>36 / 49</t>
        </is>
      </c>
      <c r="L281" t="inlineStr">
        <is>
          <t>6 / 16</t>
        </is>
      </c>
      <c r="M281" s="5" t="n">
        <v>0.42</v>
      </c>
      <c r="N281" s="5" t="n">
        <v>0.27</v>
      </c>
    </row>
    <row r="282">
      <c r="A282" t="n">
        <v>281</v>
      </c>
      <c r="B282" t="n">
        <v>2015</v>
      </c>
      <c r="C282" t="inlineStr">
        <is>
          <t>Keira Braudo</t>
        </is>
      </c>
      <c r="D282">
        <f>HYPERLINK("https://ota.tournamentsoftware.com/player-profile/8D683600-A107-430B-BBAA-BD98BDCE0FD8", "Link")</f>
        <v/>
      </c>
      <c r="E282" s="3" t="n">
        <v>250.103</v>
      </c>
      <c r="F282" s="4" t="n">
        <v>13</v>
      </c>
      <c r="G282" t="inlineStr">
        <is>
          <t>Ontario Tennis Association</t>
        </is>
      </c>
      <c r="H282" t="inlineStr">
        <is>
          <t>Mayfair West Fitness &amp; Racquet Club</t>
        </is>
      </c>
      <c r="I282" t="n">
        <v>30.6</v>
      </c>
      <c r="J282" s="4" t="n">
        <v>70</v>
      </c>
      <c r="K282" t="inlineStr">
        <is>
          <t>46 / 24</t>
        </is>
      </c>
      <c r="L282" t="inlineStr">
        <is>
          <t>23 / 6</t>
        </is>
      </c>
      <c r="M282" s="5" t="n">
        <v>0.66</v>
      </c>
      <c r="N282" s="5" t="n">
        <v>0.79</v>
      </c>
    </row>
    <row r="283">
      <c r="A283" t="n">
        <v>282</v>
      </c>
      <c r="B283" t="n">
        <v>2014</v>
      </c>
      <c r="C283" t="inlineStr">
        <is>
          <t>Emma Lajoie</t>
        </is>
      </c>
      <c r="D283">
        <f>HYPERLINK("https://ota.tournamentsoftware.com/player-profile/E1635D80-45C0-4A06-8270-280699032897", "Link")</f>
        <v/>
      </c>
      <c r="E283" s="3" t="n">
        <v>249.285</v>
      </c>
      <c r="F283" s="4" t="n">
        <v>22</v>
      </c>
      <c r="G283" t="inlineStr">
        <is>
          <t>Tennis Québec</t>
        </is>
      </c>
      <c r="H283" t="inlineStr">
        <is>
          <t>SANI Sport</t>
        </is>
      </c>
      <c r="I283" t="n">
        <v>33</v>
      </c>
      <c r="J283" s="4" t="n">
        <v>160</v>
      </c>
      <c r="K283" t="inlineStr">
        <is>
          <t>81 / 79</t>
        </is>
      </c>
      <c r="L283" t="inlineStr">
        <is>
          <t>19 / 23</t>
        </is>
      </c>
      <c r="M283" s="5" t="n">
        <v>0.51</v>
      </c>
      <c r="N283" s="5" t="n">
        <v>0.45</v>
      </c>
    </row>
    <row r="284">
      <c r="A284" t="n">
        <v>283</v>
      </c>
      <c r="B284" t="n">
        <v>2013</v>
      </c>
      <c r="C284" t="inlineStr">
        <is>
          <t>Elina Farmanbar</t>
        </is>
      </c>
      <c r="D284">
        <f>HYPERLINK("https://ota.tournamentsoftware.com/player-profile/CBAE609B-7C8B-4EA5-976F-0F6C1089D79C", "Link")</f>
        <v/>
      </c>
      <c r="E284" s="3" t="n">
        <v>248</v>
      </c>
      <c r="F284" s="4" t="n">
        <v>1</v>
      </c>
      <c r="G284" t="inlineStr">
        <is>
          <t>Ontario Tennis Association</t>
        </is>
      </c>
      <c r="H284" t="inlineStr">
        <is>
          <t>Thornhill Park Tennis Club</t>
        </is>
      </c>
      <c r="I284" t="n">
        <v>24</v>
      </c>
      <c r="J284" s="4" t="n">
        <v>73</v>
      </c>
      <c r="K284" t="inlineStr">
        <is>
          <t>54 / 19</t>
        </is>
      </c>
      <c r="L284" t="inlineStr">
        <is>
          <t>0 / 0</t>
        </is>
      </c>
      <c r="M284" s="5" t="n">
        <v>0.74</v>
      </c>
      <c r="N284" s="5" t="n">
        <v>0</v>
      </c>
    </row>
    <row r="285">
      <c r="A285" t="n">
        <v>284</v>
      </c>
      <c r="B285" t="n">
        <v>2014</v>
      </c>
      <c r="C285" t="inlineStr">
        <is>
          <t>Mégane Bernard</t>
        </is>
      </c>
      <c r="D285">
        <f>HYPERLINK("https://ota.tournamentsoftware.com/player-profile/041B9415-6EB0-452F-AD3F-EA68CADBA2FB", "Link")</f>
        <v/>
      </c>
      <c r="E285" s="3" t="n">
        <v>247.992</v>
      </c>
      <c r="F285" s="4" t="n">
        <v>19</v>
      </c>
      <c r="G285" t="inlineStr">
        <is>
          <t>Tennis Québec</t>
        </is>
      </c>
      <c r="H285" t="inlineStr">
        <is>
          <t>Tennis 13</t>
        </is>
      </c>
      <c r="I285" t="n">
        <v>32.8</v>
      </c>
      <c r="J285" s="4" t="n">
        <v>187</v>
      </c>
      <c r="K285" t="inlineStr">
        <is>
          <t>82 / 105</t>
        </is>
      </c>
      <c r="L285" t="inlineStr">
        <is>
          <t>12 / 19</t>
        </is>
      </c>
      <c r="M285" s="5" t="n">
        <v>0.44</v>
      </c>
      <c r="N285" s="5" t="n">
        <v>0.39</v>
      </c>
    </row>
    <row r="286">
      <c r="A286" t="n">
        <v>285</v>
      </c>
      <c r="B286" t="n">
        <v>2013</v>
      </c>
      <c r="C286" t="inlineStr">
        <is>
          <t>Ava Dancik</t>
        </is>
      </c>
      <c r="D286">
        <f>HYPERLINK("https://ota.tournamentsoftware.com/player-profile/CF808414-C0CE-4B07-9667-D3EE492D6BCE", "Link")</f>
        <v/>
      </c>
      <c r="E286" s="3" t="n">
        <v>245.24</v>
      </c>
      <c r="F286" s="4" t="n">
        <v>12</v>
      </c>
      <c r="G286" t="inlineStr">
        <is>
          <t>Tennis Québec</t>
        </is>
      </c>
      <c r="H286" t="inlineStr">
        <is>
          <t>Tennis de l'Île des Sœurs / École de tennis</t>
        </is>
      </c>
      <c r="I286" t="n">
        <v>31.4</v>
      </c>
      <c r="J286" s="4" t="n">
        <v>216</v>
      </c>
      <c r="K286" t="inlineStr">
        <is>
          <t>111 / 105</t>
        </is>
      </c>
      <c r="L286" t="inlineStr">
        <is>
          <t>15 / 8</t>
        </is>
      </c>
      <c r="M286" s="5" t="n">
        <v>0.51</v>
      </c>
      <c r="N286" s="5" t="n">
        <v>0.65</v>
      </c>
    </row>
    <row r="287">
      <c r="A287" t="n">
        <v>286</v>
      </c>
      <c r="B287" t="n">
        <v>2014</v>
      </c>
      <c r="C287" t="inlineStr">
        <is>
          <t>SOFIA LUCKY</t>
        </is>
      </c>
      <c r="D287">
        <f>HYPERLINK("https://ota.tournamentsoftware.com/player-profile/9A590660-3C23-4CD7-A9AF-30CC3227EC17", "Link")</f>
        <v/>
      </c>
      <c r="E287" s="3" t="n">
        <v>245.128</v>
      </c>
      <c r="F287" s="4" t="n">
        <v>13</v>
      </c>
      <c r="G287" t="inlineStr">
        <is>
          <t>Tennis Québec</t>
        </is>
      </c>
      <c r="H287" t="inlineStr">
        <is>
          <t>Académie de tennis UNI(T)</t>
        </is>
      </c>
      <c r="I287" t="n">
        <v>34.5</v>
      </c>
      <c r="J287" s="4" t="n">
        <v>85</v>
      </c>
      <c r="K287" t="inlineStr">
        <is>
          <t>31 / 54</t>
        </is>
      </c>
      <c r="L287" t="inlineStr">
        <is>
          <t>10 / 9</t>
        </is>
      </c>
      <c r="M287" s="5" t="n">
        <v>0.36</v>
      </c>
      <c r="N287" s="5" t="n">
        <v>0.53</v>
      </c>
    </row>
    <row r="288">
      <c r="A288" t="n">
        <v>287</v>
      </c>
      <c r="B288" t="n">
        <v>2012</v>
      </c>
      <c r="C288" t="inlineStr">
        <is>
          <t>Sophia Zhang</t>
        </is>
      </c>
      <c r="D288">
        <f>HYPERLINK("https://ota.tournamentsoftware.com/player-profile/D3858E79-6F6D-42C3-B497-74590CD50165", "Link")</f>
        <v/>
      </c>
      <c r="E288" s="3" t="n">
        <v>242.786</v>
      </c>
      <c r="F288" s="4" t="n">
        <v>9</v>
      </c>
      <c r="G288" t="inlineStr">
        <is>
          <t>British Columbia</t>
        </is>
      </c>
      <c r="H288" t="inlineStr">
        <is>
          <t>Richmond Country Club</t>
        </is>
      </c>
      <c r="I288" t="n">
        <v>33.8</v>
      </c>
      <c r="J288" s="4" t="n">
        <v>122</v>
      </c>
      <c r="K288" t="inlineStr">
        <is>
          <t>33 / 89</t>
        </is>
      </c>
      <c r="L288" t="inlineStr">
        <is>
          <t>1 / 12</t>
        </is>
      </c>
      <c r="M288" s="5" t="n">
        <v>0.27</v>
      </c>
      <c r="N288" s="5" t="n">
        <v>0.08</v>
      </c>
    </row>
    <row r="289">
      <c r="A289" t="n">
        <v>288</v>
      </c>
      <c r="B289" t="n">
        <v>2012</v>
      </c>
      <c r="C289" t="inlineStr">
        <is>
          <t>MICHELLE OREANE OLA ECHAO</t>
        </is>
      </c>
      <c r="D289">
        <f>HYPERLINK("https://ota.tournamentsoftware.com/player-profile/50FA5AE5-9557-483C-94FB-05937E25C837", "Link")</f>
        <v/>
      </c>
      <c r="E289" s="3" t="n">
        <v>241.101</v>
      </c>
      <c r="F289" s="4" t="n">
        <v>10</v>
      </c>
      <c r="G289" t="inlineStr">
        <is>
          <t>Ontario Tennis Association</t>
        </is>
      </c>
      <c r="H289" t="inlineStr">
        <is>
          <t>Rideau Sports Centre</t>
        </is>
      </c>
      <c r="I289" t="n">
        <v>36.9</v>
      </c>
      <c r="J289" s="4" t="n">
        <v>55</v>
      </c>
      <c r="K289" t="inlineStr">
        <is>
          <t>12 / 43</t>
        </is>
      </c>
      <c r="L289" t="inlineStr">
        <is>
          <t>3 / 8</t>
        </is>
      </c>
      <c r="M289" s="5" t="n">
        <v>0.22</v>
      </c>
      <c r="N289" s="5" t="n">
        <v>0.27</v>
      </c>
    </row>
    <row r="290">
      <c r="A290" t="n">
        <v>289</v>
      </c>
      <c r="B290" t="n">
        <v>2015</v>
      </c>
      <c r="C290" t="inlineStr">
        <is>
          <t>Liana Arendain</t>
        </is>
      </c>
      <c r="D290">
        <f>HYPERLINK("https://ota.tournamentsoftware.com/player-profile/2D89D481-D621-43AF-8792-3F0114FE4D77", "Link")</f>
        <v/>
      </c>
      <c r="E290" s="3" t="n">
        <v>238.244</v>
      </c>
      <c r="F290" s="4" t="n">
        <v>20</v>
      </c>
      <c r="G290" t="inlineStr">
        <is>
          <t>Tennis Alberta</t>
        </is>
      </c>
      <c r="H290" t="inlineStr">
        <is>
          <t>Saville Community Sports Centre</t>
        </is>
      </c>
      <c r="I290" t="n">
        <v>31</v>
      </c>
      <c r="J290" s="4" t="n">
        <v>147</v>
      </c>
      <c r="K290" t="inlineStr">
        <is>
          <t>100 / 47</t>
        </is>
      </c>
      <c r="L290" t="inlineStr">
        <is>
          <t>33 / 19</t>
        </is>
      </c>
      <c r="M290" s="5" t="n">
        <v>0.68</v>
      </c>
      <c r="N290" s="5" t="n">
        <v>0.63</v>
      </c>
    </row>
    <row r="291">
      <c r="A291" t="n">
        <v>290</v>
      </c>
      <c r="B291" t="n">
        <v>2012</v>
      </c>
      <c r="C291" t="inlineStr">
        <is>
          <t>Ariella Wainer</t>
        </is>
      </c>
      <c r="D291">
        <f>HYPERLINK("https://ota.tournamentsoftware.com/player-profile/29A07F50-E6F3-4FFE-84BF-31DB048552D6", "Link")</f>
        <v/>
      </c>
      <c r="E291" s="3" t="n">
        <v>238.158</v>
      </c>
      <c r="F291" s="4" t="n">
        <v>22</v>
      </c>
      <c r="G291" t="inlineStr">
        <is>
          <t>Tennis Québec</t>
        </is>
      </c>
      <c r="H291" t="inlineStr">
        <is>
          <t>Club Sportif Côte-de-Liesse</t>
        </is>
      </c>
      <c r="I291" t="n">
        <v>34.8</v>
      </c>
      <c r="J291" s="4" t="n">
        <v>169</v>
      </c>
      <c r="K291" t="inlineStr">
        <is>
          <t>57 / 112</t>
        </is>
      </c>
      <c r="L291" t="inlineStr">
        <is>
          <t>3 / 17</t>
        </is>
      </c>
      <c r="M291" s="5" t="n">
        <v>0.34</v>
      </c>
      <c r="N291" s="5" t="n">
        <v>0.15</v>
      </c>
    </row>
    <row r="292">
      <c r="A292" t="n">
        <v>291</v>
      </c>
      <c r="B292" t="n">
        <v>2015</v>
      </c>
      <c r="C292" t="inlineStr">
        <is>
          <t>Violetta Munoz</t>
        </is>
      </c>
      <c r="D292">
        <f>HYPERLINK("https://ota.tournamentsoftware.com/player-profile/55FD2B42-2961-45DA-8250-9ECCED0E6566", "Link")</f>
        <v/>
      </c>
      <c r="E292" s="3" t="n">
        <v>236.517</v>
      </c>
      <c r="F292" s="4" t="n">
        <v>23</v>
      </c>
      <c r="G292" t="inlineStr">
        <is>
          <t>Tennis Québec</t>
        </is>
      </c>
      <c r="H292" t="inlineStr">
        <is>
          <t>Carrefour Multisports</t>
        </is>
      </c>
      <c r="I292" t="n">
        <v>32</v>
      </c>
      <c r="J292" s="4" t="n">
        <v>176</v>
      </c>
      <c r="K292" t="inlineStr">
        <is>
          <t>93 / 83</t>
        </is>
      </c>
      <c r="L292" t="inlineStr">
        <is>
          <t>22 / 18</t>
        </is>
      </c>
      <c r="M292" s="5" t="n">
        <v>0.53</v>
      </c>
      <c r="N292" s="5" t="n">
        <v>0.55</v>
      </c>
    </row>
    <row r="293">
      <c r="A293" t="n">
        <v>292</v>
      </c>
      <c r="B293" t="n">
        <v>2014</v>
      </c>
      <c r="C293" t="inlineStr">
        <is>
          <t>Penelope Anne McMillan</t>
        </is>
      </c>
      <c r="D293">
        <f>HYPERLINK("https://ota.tournamentsoftware.com/player-profile/D7699338-4FE5-4F30-9A7D-8E14842C2A9B", "Link")</f>
        <v/>
      </c>
      <c r="E293" s="3" t="n">
        <v>235.813</v>
      </c>
      <c r="F293" s="4" t="n">
        <v>8</v>
      </c>
      <c r="G293" t="inlineStr">
        <is>
          <t>Tennis Nova Scotia</t>
        </is>
      </c>
      <c r="H293" t="inlineStr">
        <is>
          <t>Atlantic Tennis Centre</t>
        </is>
      </c>
      <c r="I293" t="n">
        <v>36.1</v>
      </c>
      <c r="J293" s="4" t="n">
        <v>110</v>
      </c>
      <c r="K293" t="inlineStr">
        <is>
          <t>46 / 64</t>
        </is>
      </c>
      <c r="L293" t="inlineStr">
        <is>
          <t>16 / 24</t>
        </is>
      </c>
      <c r="M293" s="5" t="n">
        <v>0.42</v>
      </c>
      <c r="N293" s="5" t="n">
        <v>0.4</v>
      </c>
    </row>
    <row r="294">
      <c r="A294" t="n">
        <v>293</v>
      </c>
      <c r="B294" t="n">
        <v>2015</v>
      </c>
      <c r="C294" t="inlineStr">
        <is>
          <t>Alexia Picciola</t>
        </is>
      </c>
      <c r="D294">
        <f>HYPERLINK("https://ota.tournamentsoftware.com/player-profile/91C9A734-3E6E-45CC-B46D-51BF9C9A7FC4", "Link")</f>
        <v/>
      </c>
      <c r="E294" s="3" t="n">
        <v>235.183</v>
      </c>
      <c r="F294" s="4" t="n">
        <v>18</v>
      </c>
      <c r="G294" t="inlineStr">
        <is>
          <t>Tennis Québec</t>
        </is>
      </c>
      <c r="H294" t="inlineStr">
        <is>
          <t>Tennis Montréal Excellence</t>
        </is>
      </c>
      <c r="I294" t="n">
        <v>31.5</v>
      </c>
      <c r="J294" s="4" t="n">
        <v>160</v>
      </c>
      <c r="K294" t="inlineStr">
        <is>
          <t>78 / 82</t>
        </is>
      </c>
      <c r="L294" t="inlineStr">
        <is>
          <t>31 / 16</t>
        </is>
      </c>
      <c r="M294" s="5" t="n">
        <v>0.49</v>
      </c>
      <c r="N294" s="5" t="n">
        <v>0.66</v>
      </c>
    </row>
    <row r="295">
      <c r="A295" t="n">
        <v>294</v>
      </c>
      <c r="B295" t="n">
        <v>2013</v>
      </c>
      <c r="C295" t="inlineStr">
        <is>
          <t>Hazel Sharma</t>
        </is>
      </c>
      <c r="D295">
        <f>HYPERLINK("https://ota.tournamentsoftware.com/player-profile/114D9BCA-C6DA-49E0-9F64-5FB54E5B0E3E", "Link")</f>
        <v/>
      </c>
      <c r="E295" s="3" t="n">
        <v>234.934</v>
      </c>
      <c r="F295" s="4" t="n">
        <v>17</v>
      </c>
      <c r="G295" t="inlineStr">
        <is>
          <t>British Columbia</t>
        </is>
      </c>
      <c r="H295" t="inlineStr">
        <is>
          <t>The Tennis Centre</t>
        </is>
      </c>
      <c r="I295" t="n">
        <v>32.5</v>
      </c>
      <c r="J295" s="4" t="n">
        <v>192</v>
      </c>
      <c r="K295" t="inlineStr">
        <is>
          <t>85 / 107</t>
        </is>
      </c>
      <c r="L295" t="inlineStr">
        <is>
          <t>16 / 12</t>
        </is>
      </c>
      <c r="M295" s="5" t="n">
        <v>0.44</v>
      </c>
      <c r="N295" s="5" t="n">
        <v>0.57</v>
      </c>
    </row>
    <row r="296">
      <c r="A296" t="n">
        <v>295</v>
      </c>
      <c r="B296" t="n">
        <v>2016</v>
      </c>
      <c r="C296" t="inlineStr">
        <is>
          <t>Victoria Chang</t>
        </is>
      </c>
      <c r="D296">
        <f>HYPERLINK("https://ota.tournamentsoftware.com/player-profile/A391B4A7-44C6-4D9F-9A04-161A8B22E0C3", "Link")</f>
        <v/>
      </c>
      <c r="E296" s="3" t="n">
        <v>234.277</v>
      </c>
      <c r="F296" s="4" t="n">
        <v>16</v>
      </c>
      <c r="G296" t="inlineStr">
        <is>
          <t>Ontario Tennis Association</t>
        </is>
      </c>
      <c r="H296" t="inlineStr">
        <is>
          <t>Richmond Hill Country Club</t>
        </is>
      </c>
      <c r="I296" t="n">
        <v>31.8</v>
      </c>
      <c r="J296" s="4" t="n">
        <v>113</v>
      </c>
      <c r="K296" t="inlineStr">
        <is>
          <t>86 / 27</t>
        </is>
      </c>
      <c r="L296" t="inlineStr">
        <is>
          <t>38 / 11</t>
        </is>
      </c>
      <c r="M296" s="5" t="n">
        <v>0.76</v>
      </c>
      <c r="N296" s="5" t="n">
        <v>0.78</v>
      </c>
    </row>
    <row r="297">
      <c r="A297" t="n">
        <v>296</v>
      </c>
      <c r="B297" t="n">
        <v>2015</v>
      </c>
      <c r="C297" t="inlineStr">
        <is>
          <t>ESTHER HAO</t>
        </is>
      </c>
      <c r="D297">
        <f>HYPERLINK("https://ota.tournamentsoftware.com/player-profile/8EA584DE-3986-4803-A3AA-F96230F853A7", "Link")</f>
        <v/>
      </c>
      <c r="E297" s="3" t="n">
        <v>233.33</v>
      </c>
      <c r="F297" s="4" t="n">
        <v>19</v>
      </c>
      <c r="G297" t="inlineStr">
        <is>
          <t>Ontario Tennis Association</t>
        </is>
      </c>
      <c r="H297" t="inlineStr">
        <is>
          <t>Ontario Racquet Club</t>
        </is>
      </c>
      <c r="I297" t="n">
        <v>34.2</v>
      </c>
      <c r="J297" s="4" t="n">
        <v>215</v>
      </c>
      <c r="K297" t="inlineStr">
        <is>
          <t>131 / 84</t>
        </is>
      </c>
      <c r="L297" t="inlineStr">
        <is>
          <t>9 / 9</t>
        </is>
      </c>
      <c r="M297" s="5" t="n">
        <v>0.61</v>
      </c>
      <c r="N297" s="5" t="n">
        <v>0.5</v>
      </c>
    </row>
    <row r="298">
      <c r="A298" t="n">
        <v>297</v>
      </c>
      <c r="B298" t="n">
        <v>2013</v>
      </c>
      <c r="C298" t="inlineStr">
        <is>
          <t>Victoria Ta</t>
        </is>
      </c>
      <c r="D298">
        <f>HYPERLINK("https://ota.tournamentsoftware.com/player-profile/A9D6CF45-A7F1-427F-A376-2C40852D98CD", "Link")</f>
        <v/>
      </c>
      <c r="E298" s="3" t="n">
        <v>232.195</v>
      </c>
      <c r="F298" s="4" t="n">
        <v>17</v>
      </c>
      <c r="G298" t="inlineStr">
        <is>
          <t>Ontario Tennis Association</t>
        </is>
      </c>
      <c r="H298" t="inlineStr">
        <is>
          <t>Lambton Golf &amp; Country Club</t>
        </is>
      </c>
      <c r="I298" t="n">
        <v>32.7</v>
      </c>
      <c r="J298" s="4" t="n">
        <v>101</v>
      </c>
      <c r="K298" t="inlineStr">
        <is>
          <t>49 / 52</t>
        </is>
      </c>
      <c r="L298" t="inlineStr">
        <is>
          <t>14 / 12</t>
        </is>
      </c>
      <c r="M298" s="5" t="n">
        <v>0.49</v>
      </c>
      <c r="N298" s="5" t="n">
        <v>0.54</v>
      </c>
    </row>
    <row r="299">
      <c r="A299" t="n">
        <v>298</v>
      </c>
      <c r="B299" t="n">
        <v>2012</v>
      </c>
      <c r="C299" t="inlineStr">
        <is>
          <t>Eva Brisson</t>
        </is>
      </c>
      <c r="D299">
        <f>HYPERLINK("https://ota.tournamentsoftware.com/player-profile/BC349487-CEB9-4CB8-ABCF-1006DD0F69AA", "Link")</f>
        <v/>
      </c>
      <c r="E299" s="3" t="n">
        <v>231.773</v>
      </c>
      <c r="F299" s="4" t="n">
        <v>21</v>
      </c>
      <c r="G299" t="inlineStr">
        <is>
          <t>Tennis Québec</t>
        </is>
      </c>
      <c r="H299" t="inlineStr">
        <is>
          <t>Club Sportif Côte-de-Liesse</t>
        </is>
      </c>
      <c r="I299" t="n">
        <v>32.6</v>
      </c>
      <c r="J299" s="4" t="n">
        <v>138</v>
      </c>
      <c r="K299" t="inlineStr">
        <is>
          <t>56 / 82</t>
        </is>
      </c>
      <c r="L299" t="inlineStr">
        <is>
          <t>10 / 14</t>
        </is>
      </c>
      <c r="M299" s="5" t="n">
        <v>0.41</v>
      </c>
      <c r="N299" s="5" t="n">
        <v>0.42</v>
      </c>
    </row>
    <row r="300">
      <c r="A300" t="n">
        <v>299</v>
      </c>
      <c r="B300" t="n">
        <v>2015</v>
      </c>
      <c r="C300" t="inlineStr">
        <is>
          <t>Navena Thelepan</t>
        </is>
      </c>
      <c r="D300">
        <f>HYPERLINK("https://ota.tournamentsoftware.com/player-profile/811C2EA5-51E7-4FDE-BF82-1DF3D9D0AD27", "Link")</f>
        <v/>
      </c>
      <c r="E300" s="3" t="n">
        <v>231.661</v>
      </c>
      <c r="F300" s="4" t="n">
        <v>39</v>
      </c>
      <c r="G300" t="inlineStr">
        <is>
          <t>Ontario Tennis Association</t>
        </is>
      </c>
      <c r="H300" t="inlineStr">
        <is>
          <t>Markham Tennis Club</t>
        </is>
      </c>
      <c r="I300" t="n">
        <v>35.9</v>
      </c>
      <c r="J300" s="4" t="n">
        <v>139</v>
      </c>
      <c r="K300" t="inlineStr">
        <is>
          <t>64 / 75</t>
        </is>
      </c>
      <c r="L300" t="inlineStr">
        <is>
          <t>20 / 38</t>
        </is>
      </c>
      <c r="M300" s="5" t="n">
        <v>0.46</v>
      </c>
      <c r="N300" s="5" t="n">
        <v>0.34</v>
      </c>
    </row>
    <row r="301">
      <c r="A301" t="n">
        <v>300</v>
      </c>
      <c r="B301" t="n">
        <v>2015</v>
      </c>
      <c r="C301" t="inlineStr">
        <is>
          <t>Lacey Isabella Ly</t>
        </is>
      </c>
      <c r="D301">
        <f>HYPERLINK("https://ota.tournamentsoftware.com/player-profile/878918D3-5C76-4815-A98A-1D1A49BFC21F", "Link")</f>
        <v/>
      </c>
      <c r="E301" s="3" t="n">
        <v>231.26</v>
      </c>
      <c r="F301" s="4" t="n">
        <v>12</v>
      </c>
      <c r="G301" t="inlineStr">
        <is>
          <t>British Columbia</t>
        </is>
      </c>
      <c r="H301" t="inlineStr">
        <is>
          <t>The Tennis Centre</t>
        </is>
      </c>
      <c r="I301" t="n">
        <v>30.8</v>
      </c>
      <c r="J301" s="4" t="n">
        <v>133</v>
      </c>
      <c r="K301" t="inlineStr">
        <is>
          <t>100 / 33</t>
        </is>
      </c>
      <c r="L301" t="inlineStr">
        <is>
          <t>23 / 9</t>
        </is>
      </c>
      <c r="M301" s="5" t="n">
        <v>0.75</v>
      </c>
      <c r="N301" s="5" t="n">
        <v>0.72</v>
      </c>
    </row>
    <row r="302">
      <c r="A302" t="n">
        <v>301</v>
      </c>
      <c r="B302" t="n">
        <v>2014</v>
      </c>
      <c r="C302" t="inlineStr">
        <is>
          <t>Candice YAO</t>
        </is>
      </c>
      <c r="D302">
        <f>HYPERLINK("https://ota.tournamentsoftware.com/player-profile/2EEE6D95-1504-4E36-A996-F48A3CD7FC03", "Link")</f>
        <v/>
      </c>
      <c r="E302" s="3" t="n">
        <v>231.193</v>
      </c>
      <c r="F302" s="4" t="n">
        <v>17</v>
      </c>
      <c r="G302" t="inlineStr">
        <is>
          <t>Ontario Tennis Association</t>
        </is>
      </c>
      <c r="H302" t="inlineStr">
        <is>
          <t>Richmondhill Golf &amp; Country Club</t>
        </is>
      </c>
      <c r="I302" t="n">
        <v>32.4</v>
      </c>
      <c r="J302" s="4" t="n">
        <v>90</v>
      </c>
      <c r="K302" t="inlineStr">
        <is>
          <t>40 / 50</t>
        </is>
      </c>
      <c r="L302" t="inlineStr">
        <is>
          <t>16 / 11</t>
        </is>
      </c>
      <c r="M302" s="5" t="n">
        <v>0.44</v>
      </c>
      <c r="N302" s="5" t="n">
        <v>0.59</v>
      </c>
    </row>
    <row r="303">
      <c r="A303" t="n">
        <v>302</v>
      </c>
      <c r="B303" t="n">
        <v>2014</v>
      </c>
      <c r="C303" t="inlineStr">
        <is>
          <t>Aryella Ainame Duran Khongwir</t>
        </is>
      </c>
      <c r="D303">
        <f>HYPERLINK("https://ota.tournamentsoftware.com/player-profile/6DB3D46F-3C74-400D-92A4-62CF55426936", "Link")</f>
        <v/>
      </c>
      <c r="E303" s="3" t="n">
        <v>230.594</v>
      </c>
      <c r="F303" s="4" t="n">
        <v>19</v>
      </c>
      <c r="G303" t="inlineStr">
        <is>
          <t>Ontario Tennis Association</t>
        </is>
      </c>
      <c r="H303" t="inlineStr">
        <is>
          <t>Stefanovic Tennis Academy</t>
        </is>
      </c>
      <c r="I303" t="n">
        <v>33.5</v>
      </c>
      <c r="J303" s="4" t="n">
        <v>174</v>
      </c>
      <c r="K303" t="inlineStr">
        <is>
          <t>50 / 124</t>
        </is>
      </c>
      <c r="L303" t="inlineStr">
        <is>
          <t>16 / 12</t>
        </is>
      </c>
      <c r="M303" s="5" t="n">
        <v>0.29</v>
      </c>
      <c r="N303" s="5" t="n">
        <v>0.57</v>
      </c>
    </row>
    <row r="304">
      <c r="A304" t="n">
        <v>303</v>
      </c>
      <c r="B304" t="n">
        <v>2014</v>
      </c>
      <c r="C304" t="inlineStr">
        <is>
          <t>Dora Zhang</t>
        </is>
      </c>
      <c r="D304">
        <f>HYPERLINK("https://ota.tournamentsoftware.com/player-profile/3772BD57-A73E-4652-86C8-E1885FE20DCF", "Link")</f>
        <v/>
      </c>
      <c r="E304" s="3" t="n">
        <v>230.464</v>
      </c>
      <c r="F304" s="4" t="n">
        <v>18</v>
      </c>
      <c r="G304" t="inlineStr">
        <is>
          <t>Ontario Tennis Association</t>
        </is>
      </c>
      <c r="H304" t="inlineStr">
        <is>
          <t>Toronto Tennis City</t>
        </is>
      </c>
      <c r="I304" t="n">
        <v>33.1</v>
      </c>
      <c r="J304" s="4" t="n">
        <v>50</v>
      </c>
      <c r="K304" t="inlineStr">
        <is>
          <t>36 / 14</t>
        </is>
      </c>
      <c r="L304" t="inlineStr">
        <is>
          <t>5 / 4</t>
        </is>
      </c>
      <c r="M304" s="5" t="n">
        <v>0.72</v>
      </c>
      <c r="N304" s="5" t="n">
        <v>0.5600000000000001</v>
      </c>
    </row>
    <row r="305">
      <c r="A305" t="n">
        <v>304</v>
      </c>
      <c r="B305" t="n">
        <v>2012</v>
      </c>
      <c r="C305" t="inlineStr">
        <is>
          <t>Jamie Cui</t>
        </is>
      </c>
      <c r="D305">
        <f>HYPERLINK("https://ota.tournamentsoftware.com/player-profile/6F7B90A5-BECB-44C9-9B4E-74FED8443672", "Link")</f>
        <v/>
      </c>
      <c r="E305" s="3" t="n">
        <v>228.114</v>
      </c>
      <c r="F305" s="4" t="n">
        <v>21</v>
      </c>
      <c r="G305" t="inlineStr">
        <is>
          <t>British Columbia</t>
        </is>
      </c>
      <c r="H305" t="inlineStr">
        <is>
          <t>Coquitlam Tennis Club</t>
        </is>
      </c>
      <c r="I305" t="inlineStr">
        <is>
          <t>unavailable</t>
        </is>
      </c>
      <c r="J305" s="4" t="n">
        <v>169</v>
      </c>
      <c r="K305" t="inlineStr">
        <is>
          <t>46 / 123</t>
        </is>
      </c>
      <c r="L305" t="inlineStr">
        <is>
          <t>9 / 20</t>
        </is>
      </c>
      <c r="M305" s="5" t="n">
        <v>0.27</v>
      </c>
      <c r="N305" s="5" t="n">
        <v>0.31</v>
      </c>
    </row>
    <row r="306">
      <c r="A306" t="n">
        <v>305</v>
      </c>
      <c r="B306" t="n">
        <v>2012</v>
      </c>
      <c r="C306" t="inlineStr">
        <is>
          <t>Saroop Randhawa</t>
        </is>
      </c>
      <c r="D306">
        <f>HYPERLINK("https://ota.tournamentsoftware.com/player-profile/5F710ADB-6059-4376-8917-220BAD95C9B2", "Link")</f>
        <v/>
      </c>
      <c r="E306" s="3" t="n">
        <v>228</v>
      </c>
      <c r="F306" s="4" t="n">
        <v>2</v>
      </c>
      <c r="G306" t="inlineStr">
        <is>
          <t>Ontario Tennis Association</t>
        </is>
      </c>
      <c r="H306" t="inlineStr">
        <is>
          <t>Advantage Tennis International at Veneto</t>
        </is>
      </c>
      <c r="I306" t="n">
        <v>21.8</v>
      </c>
      <c r="J306" s="4" t="n">
        <v>153</v>
      </c>
      <c r="K306" t="inlineStr">
        <is>
          <t>114 / 39</t>
        </is>
      </c>
      <c r="L306" t="inlineStr">
        <is>
          <t>5 / 0</t>
        </is>
      </c>
      <c r="M306" s="5" t="n">
        <v>0.75</v>
      </c>
      <c r="N306" s="5" t="n">
        <v>1</v>
      </c>
    </row>
    <row r="307">
      <c r="A307" t="n">
        <v>306</v>
      </c>
      <c r="B307" t="n">
        <v>2012</v>
      </c>
      <c r="C307" t="inlineStr">
        <is>
          <t>Louanna Perron</t>
        </is>
      </c>
      <c r="D307">
        <f>HYPERLINK("https://ota.tournamentsoftware.com/player-profile/0D5BD355-F71F-4A8A-B269-0D225B56C809", "Link")</f>
        <v/>
      </c>
      <c r="E307" s="3" t="n">
        <v>227.848</v>
      </c>
      <c r="F307" s="4" t="n">
        <v>9</v>
      </c>
      <c r="G307" t="inlineStr">
        <is>
          <t>Tennis Québec</t>
        </is>
      </c>
      <c r="H307" t="inlineStr">
        <is>
          <t>Tennis 13 / Académie Ménard et associé</t>
        </is>
      </c>
      <c r="I307" t="n">
        <v>33.3</v>
      </c>
      <c r="J307" s="4" t="n">
        <v>20</v>
      </c>
      <c r="K307" t="inlineStr">
        <is>
          <t>9 / 11</t>
        </is>
      </c>
      <c r="L307" t="inlineStr">
        <is>
          <t>3 / 5</t>
        </is>
      </c>
      <c r="M307" s="5" t="n">
        <v>0.45</v>
      </c>
      <c r="N307" s="5" t="n">
        <v>0.38</v>
      </c>
    </row>
    <row r="308">
      <c r="A308" t="n">
        <v>307</v>
      </c>
      <c r="B308" t="n">
        <v>2015</v>
      </c>
      <c r="C308" t="inlineStr">
        <is>
          <t>MASAL ELA YAZICI</t>
        </is>
      </c>
      <c r="D308">
        <f>HYPERLINK("https://ota.tournamentsoftware.com/player-profile/8556435C-B5F1-47A5-8C4A-46AF5B800D78", "Link")</f>
        <v/>
      </c>
      <c r="E308" s="3" t="n">
        <v>223.946</v>
      </c>
      <c r="F308" s="4" t="n">
        <v>18</v>
      </c>
      <c r="G308" t="inlineStr">
        <is>
          <t>Ontario Tennis Association</t>
        </is>
      </c>
      <c r="H308" t="inlineStr">
        <is>
          <t>Mayfair West Fitness &amp; Racquet Club</t>
        </is>
      </c>
      <c r="I308" t="n">
        <v>33.1</v>
      </c>
      <c r="J308" s="4" t="n">
        <v>55</v>
      </c>
      <c r="K308" t="inlineStr">
        <is>
          <t>35 / 20</t>
        </is>
      </c>
      <c r="L308" t="inlineStr">
        <is>
          <t>27 / 13</t>
        </is>
      </c>
      <c r="M308" s="5" t="n">
        <v>0.64</v>
      </c>
      <c r="N308" s="5" t="n">
        <v>0.68</v>
      </c>
    </row>
    <row r="309">
      <c r="A309" t="n">
        <v>308</v>
      </c>
      <c r="B309" t="n">
        <v>2013</v>
      </c>
      <c r="C309" t="inlineStr">
        <is>
          <t>Makayla Najjar</t>
        </is>
      </c>
      <c r="D309">
        <f>HYPERLINK("https://ota.tournamentsoftware.com/player-profile/A931D3E2-A84F-4018-9B2A-A1664811863E", "Link")</f>
        <v/>
      </c>
      <c r="E309" s="3" t="n">
        <v>219.584</v>
      </c>
      <c r="F309" s="4" t="n">
        <v>12</v>
      </c>
      <c r="G309" t="inlineStr">
        <is>
          <t>Ontario Tennis Association</t>
        </is>
      </c>
      <c r="H309" t="inlineStr">
        <is>
          <t>Premier Racquet Clubs – Mississauga</t>
        </is>
      </c>
      <c r="I309" t="n">
        <v>33.2</v>
      </c>
      <c r="J309" s="4" t="n">
        <v>89</v>
      </c>
      <c r="K309" t="inlineStr">
        <is>
          <t>60 / 29</t>
        </is>
      </c>
      <c r="L309" t="inlineStr">
        <is>
          <t>17 / 10</t>
        </is>
      </c>
      <c r="M309" s="5" t="n">
        <v>0.67</v>
      </c>
      <c r="N309" s="5" t="n">
        <v>0.63</v>
      </c>
    </row>
    <row r="310">
      <c r="A310" t="n">
        <v>309</v>
      </c>
      <c r="B310" t="n">
        <v>2015</v>
      </c>
      <c r="C310" t="inlineStr">
        <is>
          <t>Lydia Huang</t>
        </is>
      </c>
      <c r="D310">
        <f>HYPERLINK("https://ota.tournamentsoftware.com/player-profile/C398C976-6D88-4D76-B532-8E986C6FF0EA", "Link")</f>
        <v/>
      </c>
      <c r="E310" s="3" t="n">
        <v>219.184</v>
      </c>
      <c r="F310" s="4" t="n">
        <v>28</v>
      </c>
      <c r="G310" t="inlineStr">
        <is>
          <t>Ontario Tennis Association</t>
        </is>
      </c>
      <c r="H310" t="inlineStr">
        <is>
          <t>The Supreme Court Tennis Club</t>
        </is>
      </c>
      <c r="I310" t="n">
        <v>33.5</v>
      </c>
      <c r="J310" s="4" t="n">
        <v>102</v>
      </c>
      <c r="K310" t="inlineStr">
        <is>
          <t>63 / 39</t>
        </is>
      </c>
      <c r="L310" t="inlineStr">
        <is>
          <t>34 / 21</t>
        </is>
      </c>
      <c r="M310" s="5" t="n">
        <v>0.62</v>
      </c>
      <c r="N310" s="5" t="n">
        <v>0.62</v>
      </c>
    </row>
    <row r="311">
      <c r="A311" t="n">
        <v>310</v>
      </c>
      <c r="B311" t="n">
        <v>2012</v>
      </c>
      <c r="C311" t="inlineStr">
        <is>
          <t>Charlotte Gal</t>
        </is>
      </c>
      <c r="D311">
        <f>HYPERLINK("https://ota.tournamentsoftware.com/player-profile/EF0AF614-E6CE-4E3C-9FC4-7EF8A5EB6B57", "Link")</f>
        <v/>
      </c>
      <c r="E311" s="3" t="n">
        <v>218.581</v>
      </c>
      <c r="F311" s="4" t="n">
        <v>3</v>
      </c>
      <c r="G311" t="inlineStr">
        <is>
          <t>Tennis Nova Scotia</t>
        </is>
      </c>
      <c r="H311" t="inlineStr">
        <is>
          <t>HEADSTART</t>
        </is>
      </c>
      <c r="I311" t="n">
        <v>37.2</v>
      </c>
      <c r="J311" s="4" t="n">
        <v>24</v>
      </c>
      <c r="K311" t="inlineStr">
        <is>
          <t>6 / 18</t>
        </is>
      </c>
      <c r="L311" t="inlineStr">
        <is>
          <t>2 / 12</t>
        </is>
      </c>
      <c r="M311" s="5" t="n">
        <v>0.25</v>
      </c>
      <c r="N311" s="5" t="n">
        <v>0.14</v>
      </c>
    </row>
    <row r="312">
      <c r="A312" t="n">
        <v>311</v>
      </c>
      <c r="B312" t="n">
        <v>2013</v>
      </c>
      <c r="C312" t="inlineStr">
        <is>
          <t>Helena Shengyi Chen</t>
        </is>
      </c>
      <c r="D312">
        <f>HYPERLINK("https://ota.tournamentsoftware.com/player-profile/097D6397-0826-4C15-948E-B983C1D748F4", "Link")</f>
        <v/>
      </c>
      <c r="E312" s="3" t="n">
        <v>218.438</v>
      </c>
      <c r="F312" s="4" t="n">
        <v>15</v>
      </c>
      <c r="G312" t="inlineStr">
        <is>
          <t>British Columbia</t>
        </is>
      </c>
      <c r="H312" t="inlineStr">
        <is>
          <t>Tennis BC Hub @ Richmond</t>
        </is>
      </c>
      <c r="I312" t="n">
        <v>32.8</v>
      </c>
      <c r="J312" s="4" t="n">
        <v>118</v>
      </c>
      <c r="K312" t="inlineStr">
        <is>
          <t>50 / 68</t>
        </is>
      </c>
      <c r="L312" t="inlineStr">
        <is>
          <t>13 / 17</t>
        </is>
      </c>
      <c r="M312" s="5" t="n">
        <v>0.42</v>
      </c>
      <c r="N312" s="5" t="n">
        <v>0.43</v>
      </c>
    </row>
    <row r="313">
      <c r="A313" t="n">
        <v>312</v>
      </c>
      <c r="B313" t="n">
        <v>2013</v>
      </c>
      <c r="C313" t="inlineStr">
        <is>
          <t>Léa Crépault</t>
        </is>
      </c>
      <c r="D313">
        <f>HYPERLINK("https://ota.tournamentsoftware.com/player-profile/A3D2A82D-C6E8-410C-A1B3-E5DC3B845B7A", "Link")</f>
        <v/>
      </c>
      <c r="E313" s="3" t="n">
        <v>217.722</v>
      </c>
      <c r="F313" s="4" t="n">
        <v>19</v>
      </c>
      <c r="G313" t="inlineStr">
        <is>
          <t>Tennis Québec</t>
        </is>
      </c>
      <c r="H313" t="inlineStr">
        <is>
          <t>EB Tennis inc.</t>
        </is>
      </c>
      <c r="I313" t="n">
        <v>34.2</v>
      </c>
      <c r="J313" s="4" t="n">
        <v>155</v>
      </c>
      <c r="K313" t="inlineStr">
        <is>
          <t>44 / 111</t>
        </is>
      </c>
      <c r="L313" t="inlineStr">
        <is>
          <t>8 / 12</t>
        </is>
      </c>
      <c r="M313" s="5" t="n">
        <v>0.28</v>
      </c>
      <c r="N313" s="5" t="n">
        <v>0.4</v>
      </c>
    </row>
    <row r="314">
      <c r="A314" t="n">
        <v>313</v>
      </c>
      <c r="B314" t="n">
        <v>2015</v>
      </c>
      <c r="C314" t="inlineStr">
        <is>
          <t>Hannah D'Souza</t>
        </is>
      </c>
      <c r="D314">
        <f>HYPERLINK("https://ota.tournamentsoftware.com/player-profile/6516E6BE-4D11-4CDB-8F62-FFE106E8A899", "Link")</f>
        <v/>
      </c>
      <c r="E314" s="3" t="n">
        <v>216.769</v>
      </c>
      <c r="F314" s="4" t="n">
        <v>28</v>
      </c>
      <c r="G314" t="inlineStr">
        <is>
          <t>Ontario Tennis Association</t>
        </is>
      </c>
      <c r="H314" t="inlineStr">
        <is>
          <t>No Club</t>
        </is>
      </c>
      <c r="I314" t="n">
        <v>33.8</v>
      </c>
      <c r="J314" s="4" t="n">
        <v>155</v>
      </c>
      <c r="K314" t="inlineStr">
        <is>
          <t>63 / 92</t>
        </is>
      </c>
      <c r="L314" t="inlineStr">
        <is>
          <t>19 / 23</t>
        </is>
      </c>
      <c r="M314" s="5" t="n">
        <v>0.41</v>
      </c>
      <c r="N314" s="5" t="n">
        <v>0.45</v>
      </c>
    </row>
    <row r="315">
      <c r="A315" t="n">
        <v>314</v>
      </c>
      <c r="B315" t="n">
        <v>2012</v>
      </c>
      <c r="C315" t="inlineStr">
        <is>
          <t>Shrreya Elkturi</t>
        </is>
      </c>
      <c r="D315">
        <f>HYPERLINK("https://ota.tournamentsoftware.com/player-profile/1A8DA0C1-51FB-48B8-8AED-D37DAB186E95", "Link")</f>
        <v/>
      </c>
      <c r="E315" s="3" t="n">
        <v>216.761</v>
      </c>
      <c r="F315" s="4" t="n">
        <v>20</v>
      </c>
      <c r="G315" t="inlineStr">
        <is>
          <t>Ontario Tennis Association</t>
        </is>
      </c>
      <c r="H315" t="inlineStr">
        <is>
          <t>No Club</t>
        </is>
      </c>
      <c r="I315" t="n">
        <v>33</v>
      </c>
      <c r="J315" s="4" t="n">
        <v>83</v>
      </c>
      <c r="K315" t="inlineStr">
        <is>
          <t>30 / 53</t>
        </is>
      </c>
      <c r="L315" t="inlineStr">
        <is>
          <t>15 / 15</t>
        </is>
      </c>
      <c r="M315" s="5" t="n">
        <v>0.36</v>
      </c>
      <c r="N315" s="5" t="n">
        <v>0.5</v>
      </c>
    </row>
    <row r="316">
      <c r="A316" t="n">
        <v>315</v>
      </c>
      <c r="B316" t="n">
        <v>2014</v>
      </c>
      <c r="C316" t="inlineStr">
        <is>
          <t>Skylar Isabelle JOHNSTON</t>
        </is>
      </c>
      <c r="D316">
        <f>HYPERLINK("https://ota.tournamentsoftware.com/player-profile/18CCEC3F-12DA-4A55-A300-393E64FB4F6E", "Link")</f>
        <v/>
      </c>
      <c r="E316" s="3" t="n">
        <v>216.396</v>
      </c>
      <c r="F316" s="4" t="n">
        <v>11</v>
      </c>
      <c r="G316" t="inlineStr">
        <is>
          <t>Tennis Nova Scotia</t>
        </is>
      </c>
      <c r="H316" t="inlineStr">
        <is>
          <t>Gordon Hughes Tennis Club</t>
        </is>
      </c>
      <c r="I316" t="n">
        <v>33.4</v>
      </c>
      <c r="J316" s="4" t="n">
        <v>93</v>
      </c>
      <c r="K316" t="inlineStr">
        <is>
          <t>46 / 47</t>
        </is>
      </c>
      <c r="L316" t="inlineStr">
        <is>
          <t>25 / 14</t>
        </is>
      </c>
      <c r="M316" s="5" t="n">
        <v>0.49</v>
      </c>
      <c r="N316" s="5" t="n">
        <v>0.64</v>
      </c>
    </row>
    <row r="317">
      <c r="A317" t="n">
        <v>316</v>
      </c>
      <c r="B317" t="n">
        <v>2015</v>
      </c>
      <c r="C317" t="inlineStr">
        <is>
          <t>Daniella Lynne Lee</t>
        </is>
      </c>
      <c r="D317">
        <f>HYPERLINK("https://ota.tournamentsoftware.com/player-profile/92FC49CB-246B-48E6-ABC3-903AA780449F", "Link")</f>
        <v/>
      </c>
      <c r="E317" s="3" t="n">
        <v>215.601</v>
      </c>
      <c r="F317" s="4" t="n">
        <v>28</v>
      </c>
      <c r="G317" t="inlineStr">
        <is>
          <t>British Columbia</t>
        </is>
      </c>
      <c r="H317" t="inlineStr">
        <is>
          <t>Arbutus Club</t>
        </is>
      </c>
      <c r="I317" t="n">
        <v>32.3</v>
      </c>
      <c r="J317" s="4" t="n">
        <v>127</v>
      </c>
      <c r="K317" t="inlineStr">
        <is>
          <t>65 / 62</t>
        </is>
      </c>
      <c r="L317" t="inlineStr">
        <is>
          <t>26 / 23</t>
        </is>
      </c>
      <c r="M317" s="5" t="n">
        <v>0.51</v>
      </c>
      <c r="N317" s="5" t="n">
        <v>0.53</v>
      </c>
    </row>
    <row r="318">
      <c r="A318" t="n">
        <v>317</v>
      </c>
      <c r="B318" t="n">
        <v>2015</v>
      </c>
      <c r="C318" t="inlineStr">
        <is>
          <t>Yasmine Maazouz</t>
        </is>
      </c>
      <c r="D318">
        <f>HYPERLINK("https://ota.tournamentsoftware.com/player-profile/004E04F8-71A7-4C1F-B42C-805F1590C456", "Link")</f>
        <v/>
      </c>
      <c r="E318" s="3" t="n">
        <v>215.212</v>
      </c>
      <c r="F318" s="4" t="n">
        <v>8</v>
      </c>
      <c r="G318" t="inlineStr">
        <is>
          <t>Tennis Québec</t>
        </is>
      </c>
      <c r="H318" t="inlineStr">
        <is>
          <t>Tennis Montréal Excellence</t>
        </is>
      </c>
      <c r="I318" t="n">
        <v>31.3</v>
      </c>
      <c r="J318" s="4" t="n">
        <v>115</v>
      </c>
      <c r="K318" t="inlineStr">
        <is>
          <t>69 / 46</t>
        </is>
      </c>
      <c r="L318" t="inlineStr">
        <is>
          <t>20 / 7</t>
        </is>
      </c>
      <c r="M318" s="5" t="n">
        <v>0.6</v>
      </c>
      <c r="N318" s="5" t="n">
        <v>0.74</v>
      </c>
    </row>
    <row r="319">
      <c r="A319" t="n">
        <v>318</v>
      </c>
      <c r="B319" t="n">
        <v>2013</v>
      </c>
      <c r="C319" t="inlineStr">
        <is>
          <t>Annabelle Chen</t>
        </is>
      </c>
      <c r="D319">
        <f>HYPERLINK("https://ota.tournamentsoftware.com/player-profile/E532A343-867C-4B97-BCB3-998A28EC84A8", "Link")</f>
        <v/>
      </c>
      <c r="E319" s="3" t="n">
        <v>212.416</v>
      </c>
      <c r="F319" s="4" t="n">
        <v>9</v>
      </c>
      <c r="G319" t="inlineStr">
        <is>
          <t>British Columbia</t>
        </is>
      </c>
      <c r="H319" t="inlineStr">
        <is>
          <t>UBC Tennis Centre</t>
        </is>
      </c>
      <c r="I319" t="n">
        <v>32</v>
      </c>
      <c r="J319" s="4" t="n">
        <v>152</v>
      </c>
      <c r="K319" t="inlineStr">
        <is>
          <t>84 / 68</t>
        </is>
      </c>
      <c r="L319" t="inlineStr">
        <is>
          <t>0 / 4</t>
        </is>
      </c>
      <c r="M319" s="5" t="n">
        <v>0.55</v>
      </c>
      <c r="N319" s="5" t="n">
        <v>0</v>
      </c>
    </row>
    <row r="320">
      <c r="A320" t="n">
        <v>319</v>
      </c>
      <c r="B320" t="n">
        <v>2015</v>
      </c>
      <c r="C320" t="inlineStr">
        <is>
          <t>Kiyara Dinuli Hinidumarachchi</t>
        </is>
      </c>
      <c r="D320">
        <f>HYPERLINK("https://ota.tournamentsoftware.com/player-profile/FD2638E4-B06D-478E-9F5A-FE51B9EC8DF8", "Link")</f>
        <v/>
      </c>
      <c r="E320" s="3" t="n">
        <v>211.944</v>
      </c>
      <c r="F320" s="4" t="n">
        <v>17</v>
      </c>
      <c r="G320" t="inlineStr">
        <is>
          <t>Ontario Tennis Association</t>
        </is>
      </c>
      <c r="H320" t="inlineStr">
        <is>
          <t>Sarnia Tennis Club</t>
        </is>
      </c>
      <c r="I320" t="inlineStr">
        <is>
          <t>unavailable</t>
        </is>
      </c>
      <c r="J320" s="4" t="n">
        <v>153</v>
      </c>
      <c r="K320" t="inlineStr">
        <is>
          <t>94 / 59</t>
        </is>
      </c>
      <c r="L320" t="inlineStr">
        <is>
          <t>9 / 13</t>
        </is>
      </c>
      <c r="M320" s="5" t="n">
        <v>0.61</v>
      </c>
      <c r="N320" s="5" t="n">
        <v>0.41</v>
      </c>
    </row>
    <row r="321">
      <c r="A321" t="n">
        <v>320</v>
      </c>
      <c r="B321" t="n">
        <v>2012</v>
      </c>
      <c r="C321" t="inlineStr">
        <is>
          <t>GURMEHR KAUR</t>
        </is>
      </c>
      <c r="D321">
        <f>HYPERLINK("https://ota.tournamentsoftware.com/player-profile/2C69CAA6-FCC8-49BC-ACA2-32F5C15717ED", "Link")</f>
        <v/>
      </c>
      <c r="E321" s="3" t="n">
        <v>210.416</v>
      </c>
      <c r="F321" s="4" t="n">
        <v>20</v>
      </c>
      <c r="G321" t="inlineStr">
        <is>
          <t>British Columbia</t>
        </is>
      </c>
      <c r="H321" t="inlineStr">
        <is>
          <t>Newton Tennis Club</t>
        </is>
      </c>
      <c r="I321" t="n">
        <v>32.4</v>
      </c>
      <c r="J321" s="4" t="n">
        <v>179</v>
      </c>
      <c r="K321" t="inlineStr">
        <is>
          <t>78 / 101</t>
        </is>
      </c>
      <c r="L321" t="inlineStr">
        <is>
          <t>18 / 22</t>
        </is>
      </c>
      <c r="M321" s="5" t="n">
        <v>0.44</v>
      </c>
      <c r="N321" s="5" t="n">
        <v>0.45</v>
      </c>
    </row>
    <row r="322">
      <c r="A322" t="n">
        <v>321</v>
      </c>
      <c r="B322" t="n">
        <v>2015</v>
      </c>
      <c r="C322" t="inlineStr">
        <is>
          <t>Sofia Twynam</t>
        </is>
      </c>
      <c r="D322">
        <f>HYPERLINK("https://ota.tournamentsoftware.com/player-profile/025F0929-F490-4440-8CB6-08E8D1F59F08", "Link")</f>
        <v/>
      </c>
      <c r="E322" s="3" t="n">
        <v>209.039</v>
      </c>
      <c r="F322" s="4" t="n">
        <v>16</v>
      </c>
      <c r="G322" t="inlineStr">
        <is>
          <t>Tennis Québec</t>
        </is>
      </c>
      <c r="H322" t="inlineStr">
        <is>
          <t>SANI Sport</t>
        </is>
      </c>
      <c r="I322" t="n">
        <v>32.2</v>
      </c>
      <c r="J322" s="4" t="n">
        <v>127</v>
      </c>
      <c r="K322" t="inlineStr">
        <is>
          <t>69 / 58</t>
        </is>
      </c>
      <c r="L322" t="inlineStr">
        <is>
          <t>14 / 15</t>
        </is>
      </c>
      <c r="M322" s="5" t="n">
        <v>0.54</v>
      </c>
      <c r="N322" s="5" t="n">
        <v>0.48</v>
      </c>
    </row>
    <row r="323">
      <c r="A323" t="n">
        <v>322</v>
      </c>
      <c r="B323" t="n">
        <v>2014</v>
      </c>
      <c r="C323" t="inlineStr">
        <is>
          <t>Esabel Liu</t>
        </is>
      </c>
      <c r="D323">
        <f>HYPERLINK("https://ota.tournamentsoftware.com/player-profile/03274A3B-556F-4321-880B-2AF255E6A817", "Link")</f>
        <v/>
      </c>
      <c r="E323" s="3" t="n">
        <v>208.86</v>
      </c>
      <c r="F323" s="4" t="n">
        <v>20</v>
      </c>
      <c r="G323" t="inlineStr">
        <is>
          <t>British Columbia</t>
        </is>
      </c>
      <c r="H323" t="inlineStr">
        <is>
          <t>North Vancouver Tennis Centre</t>
        </is>
      </c>
      <c r="I323" t="n">
        <v>30.1</v>
      </c>
      <c r="J323" s="4" t="n">
        <v>226</v>
      </c>
      <c r="K323" t="inlineStr">
        <is>
          <t>140 / 86</t>
        </is>
      </c>
      <c r="L323" t="inlineStr">
        <is>
          <t>32 / 20</t>
        </is>
      </c>
      <c r="M323" s="5" t="n">
        <v>0.62</v>
      </c>
      <c r="N323" s="5" t="n">
        <v>0.62</v>
      </c>
    </row>
    <row r="324">
      <c r="A324" t="n">
        <v>323</v>
      </c>
      <c r="B324" t="n">
        <v>2014</v>
      </c>
      <c r="C324" t="inlineStr">
        <is>
          <t>Vida Jeftic</t>
        </is>
      </c>
      <c r="D324">
        <f>HYPERLINK("https://ota.tournamentsoftware.com/player-profile/5A42C908-572E-4E42-A8CB-609FCF083DE9", "Link")</f>
        <v/>
      </c>
      <c r="E324" s="3" t="n">
        <v>206.56</v>
      </c>
      <c r="F324" s="4" t="n">
        <v>9</v>
      </c>
      <c r="G324" t="inlineStr">
        <is>
          <t>Ontario Tennis Association</t>
        </is>
      </c>
      <c r="H324" t="inlineStr">
        <is>
          <t>Parkside Tennis Club</t>
        </is>
      </c>
      <c r="I324" t="n">
        <v>30.8</v>
      </c>
      <c r="J324" s="4" t="n">
        <v>38</v>
      </c>
      <c r="K324" t="inlineStr">
        <is>
          <t>27 / 11</t>
        </is>
      </c>
      <c r="L324" t="inlineStr">
        <is>
          <t>11 / 4</t>
        </is>
      </c>
      <c r="M324" s="5" t="n">
        <v>0.71</v>
      </c>
      <c r="N324" s="5" t="n">
        <v>0.73</v>
      </c>
    </row>
    <row r="325">
      <c r="A325" t="n">
        <v>324</v>
      </c>
      <c r="B325" t="n">
        <v>2014</v>
      </c>
      <c r="C325" t="inlineStr">
        <is>
          <t>Alexandra Strgacic</t>
        </is>
      </c>
      <c r="D325">
        <f>HYPERLINK("https://ota.tournamentsoftware.com/player-profile/C809B120-C1B7-4F85-B411-257E3DC9B63B", "Link")</f>
        <v/>
      </c>
      <c r="E325" s="3" t="n">
        <v>205.183</v>
      </c>
      <c r="F325" s="4" t="n">
        <v>7</v>
      </c>
      <c r="G325" t="inlineStr">
        <is>
          <t>Ontario Tennis Association</t>
        </is>
      </c>
      <c r="H325" t="inlineStr">
        <is>
          <t>Advantage Tennis International at Veneto</t>
        </is>
      </c>
      <c r="I325" t="n">
        <v>33.5</v>
      </c>
      <c r="J325" s="4" t="n">
        <v>165</v>
      </c>
      <c r="K325" t="inlineStr">
        <is>
          <t>96 / 69</t>
        </is>
      </c>
      <c r="L325" t="inlineStr">
        <is>
          <t>3 / 5</t>
        </is>
      </c>
      <c r="M325" s="5" t="n">
        <v>0.58</v>
      </c>
      <c r="N325" s="5" t="n">
        <v>0.38</v>
      </c>
    </row>
    <row r="326">
      <c r="A326" t="n">
        <v>325</v>
      </c>
      <c r="B326" t="n">
        <v>2014</v>
      </c>
      <c r="C326" t="inlineStr">
        <is>
          <t>Freya Jiaxin He</t>
        </is>
      </c>
      <c r="D326">
        <f>HYPERLINK("https://ota.tournamentsoftware.com/player-profile/8C1C07F2-C769-4A85-8385-40B14C9CD709", "Link")</f>
        <v/>
      </c>
      <c r="E326" s="3" t="n">
        <v>203.592</v>
      </c>
      <c r="F326" s="4" t="n">
        <v>6</v>
      </c>
      <c r="G326" t="inlineStr">
        <is>
          <t>Tennis Prince Edward Island</t>
        </is>
      </c>
      <c r="H326" t="inlineStr">
        <is>
          <t>Charlottetown Recreation Tennis Group</t>
        </is>
      </c>
      <c r="I326" t="n">
        <v>32</v>
      </c>
      <c r="J326" s="4" t="n">
        <v>102</v>
      </c>
      <c r="K326" t="inlineStr">
        <is>
          <t>56 / 46</t>
        </is>
      </c>
      <c r="L326" t="inlineStr">
        <is>
          <t>17 / 7</t>
        </is>
      </c>
      <c r="M326" s="5" t="n">
        <v>0.55</v>
      </c>
      <c r="N326" s="5" t="n">
        <v>0.71</v>
      </c>
    </row>
    <row r="327">
      <c r="A327" t="n">
        <v>326</v>
      </c>
      <c r="B327" t="n">
        <v>2012</v>
      </c>
      <c r="C327" t="inlineStr">
        <is>
          <t>Victoria Trempe</t>
        </is>
      </c>
      <c r="D327">
        <f>HYPERLINK("https://ota.tournamentsoftware.com/player-profile/90EB2857-D907-47BD-ABB6-AAED21876912", "Link")</f>
        <v/>
      </c>
      <c r="E327" s="3" t="n">
        <v>203.573</v>
      </c>
      <c r="F327" s="4" t="n">
        <v>8</v>
      </c>
      <c r="G327" t="inlineStr">
        <is>
          <t>Tennis Québec</t>
        </is>
      </c>
      <c r="H327" t="inlineStr">
        <is>
          <t>Club Sportif Côte-de-Liesse</t>
        </is>
      </c>
      <c r="I327" t="n">
        <v>34</v>
      </c>
      <c r="J327" s="4" t="n">
        <v>122</v>
      </c>
      <c r="K327" t="inlineStr">
        <is>
          <t>45 / 77</t>
        </is>
      </c>
      <c r="L327" t="inlineStr">
        <is>
          <t>2 / 4</t>
        </is>
      </c>
      <c r="M327" s="5" t="n">
        <v>0.37</v>
      </c>
      <c r="N327" s="5" t="n">
        <v>0.33</v>
      </c>
    </row>
    <row r="328">
      <c r="A328" t="n">
        <v>327</v>
      </c>
      <c r="B328" t="n">
        <v>2014</v>
      </c>
      <c r="C328" t="inlineStr">
        <is>
          <t>Mila Alexandra Voros</t>
        </is>
      </c>
      <c r="D328">
        <f>HYPERLINK("https://ota.tournamentsoftware.com/player-profile/96155B79-5199-481D-8AF1-A174FA860401", "Link")</f>
        <v/>
      </c>
      <c r="E328" s="3" t="n">
        <v>203.548</v>
      </c>
      <c r="F328" s="4" t="n">
        <v>15</v>
      </c>
      <c r="G328" t="inlineStr">
        <is>
          <t>Ontario Tennis Association</t>
        </is>
      </c>
      <c r="H328" t="inlineStr">
        <is>
          <t>GSM Tennis Club</t>
        </is>
      </c>
      <c r="I328" t="n">
        <v>34.9</v>
      </c>
      <c r="J328" s="4" t="n">
        <v>134</v>
      </c>
      <c r="K328" t="inlineStr">
        <is>
          <t>58 / 76</t>
        </is>
      </c>
      <c r="L328" t="inlineStr">
        <is>
          <t>7 / 13</t>
        </is>
      </c>
      <c r="M328" s="5" t="n">
        <v>0.43</v>
      </c>
      <c r="N328" s="5" t="n">
        <v>0.35</v>
      </c>
    </row>
    <row r="329">
      <c r="A329" t="n">
        <v>328</v>
      </c>
      <c r="B329" t="n">
        <v>2012</v>
      </c>
      <c r="C329" t="inlineStr">
        <is>
          <t>Harsimran Kaur Sandhu</t>
        </is>
      </c>
      <c r="D329">
        <f>HYPERLINK("https://ota.tournamentsoftware.com/player-profile/10345BBC-2CC8-4DA1-AA88-2730495B6CB8", "Link")</f>
        <v/>
      </c>
      <c r="E329" s="3" t="n">
        <v>201.384</v>
      </c>
      <c r="F329" s="4" t="n">
        <v>23</v>
      </c>
      <c r="G329" t="inlineStr">
        <is>
          <t>Ontario Tennis Association</t>
        </is>
      </c>
      <c r="H329" t="inlineStr">
        <is>
          <t>Premier Racquet Clubs – Mississauga</t>
        </is>
      </c>
      <c r="I329" t="inlineStr">
        <is>
          <t>unavailable</t>
        </is>
      </c>
      <c r="J329" s="4" t="n">
        <v>102</v>
      </c>
      <c r="K329" t="inlineStr">
        <is>
          <t>45 / 57</t>
        </is>
      </c>
      <c r="L329" t="inlineStr">
        <is>
          <t>20 / 18</t>
        </is>
      </c>
      <c r="M329" s="5" t="n">
        <v>0.44</v>
      </c>
      <c r="N329" s="5" t="n">
        <v>0.53</v>
      </c>
    </row>
    <row r="330">
      <c r="A330" t="n">
        <v>329</v>
      </c>
      <c r="B330" t="n">
        <v>2015</v>
      </c>
      <c r="C330" t="inlineStr">
        <is>
          <t>Kayla Chevez</t>
        </is>
      </c>
      <c r="D330">
        <f>HYPERLINK("https://ota.tournamentsoftware.com/player-profile/EE941149-B269-44AA-A65B-D00099EE4086", "Link")</f>
        <v/>
      </c>
      <c r="E330" s="3" t="n">
        <v>201.354</v>
      </c>
      <c r="F330" s="4" t="n">
        <v>26</v>
      </c>
      <c r="G330" t="inlineStr">
        <is>
          <t>Tennis Québec</t>
        </is>
      </c>
      <c r="H330" t="inlineStr">
        <is>
          <t>Tennis Montréal Excellence</t>
        </is>
      </c>
      <c r="I330" t="n">
        <v>34.5</v>
      </c>
      <c r="J330" s="4" t="n">
        <v>142</v>
      </c>
      <c r="K330" t="inlineStr">
        <is>
          <t>69 / 73</t>
        </is>
      </c>
      <c r="L330" t="inlineStr">
        <is>
          <t>18 / 22</t>
        </is>
      </c>
      <c r="M330" s="5" t="n">
        <v>0.49</v>
      </c>
      <c r="N330" s="5" t="n">
        <v>0.45</v>
      </c>
    </row>
    <row r="331">
      <c r="A331" t="n">
        <v>330</v>
      </c>
      <c r="B331" t="n">
        <v>2014</v>
      </c>
      <c r="C331" t="inlineStr">
        <is>
          <t>Lana Kasumovic</t>
        </is>
      </c>
      <c r="D331">
        <f>HYPERLINK("https://ota.tournamentsoftware.com/player-profile/7F2BA85F-A3DF-40B8-9457-1DD55A7C11FB", "Link")</f>
        <v/>
      </c>
      <c r="E331" s="3" t="n">
        <v>200.268</v>
      </c>
      <c r="F331" s="4" t="n">
        <v>25</v>
      </c>
      <c r="G331" t="inlineStr">
        <is>
          <t>Ontario Tennis Association</t>
        </is>
      </c>
      <c r="H331" t="inlineStr">
        <is>
          <t>Rideau Sports Centre</t>
        </is>
      </c>
      <c r="I331" t="n">
        <v>34.3</v>
      </c>
      <c r="J331" s="4" t="n">
        <v>143</v>
      </c>
      <c r="K331" t="inlineStr">
        <is>
          <t>48 / 95</t>
        </is>
      </c>
      <c r="L331" t="inlineStr">
        <is>
          <t>22 / 20</t>
        </is>
      </c>
      <c r="M331" s="5" t="n">
        <v>0.34</v>
      </c>
      <c r="N331" s="5" t="n">
        <v>0.52</v>
      </c>
    </row>
    <row r="332">
      <c r="A332" t="n">
        <v>331</v>
      </c>
      <c r="B332" t="n">
        <v>2016</v>
      </c>
      <c r="C332" t="inlineStr">
        <is>
          <t>Minna TAN</t>
        </is>
      </c>
      <c r="D332">
        <f>HYPERLINK("https://ota.tournamentsoftware.com/player-profile/4830D271-776A-41F3-B5D9-B5D2EC272CB4", "Link")</f>
        <v/>
      </c>
      <c r="E332" s="3" t="n">
        <v>199.43</v>
      </c>
      <c r="F332" s="4" t="n">
        <v>9</v>
      </c>
      <c r="G332" t="inlineStr">
        <is>
          <t>Tennis Québec</t>
        </is>
      </c>
      <c r="H332" t="inlineStr">
        <is>
          <t>Tennis Ile- des- Soeurs</t>
        </is>
      </c>
      <c r="I332" t="n">
        <v>32.9</v>
      </c>
      <c r="J332" s="4" t="n">
        <v>81</v>
      </c>
      <c r="K332" t="inlineStr">
        <is>
          <t>49 / 32</t>
        </is>
      </c>
      <c r="L332" t="inlineStr">
        <is>
          <t>18 / 7</t>
        </is>
      </c>
      <c r="M332" s="5" t="n">
        <v>0.6</v>
      </c>
      <c r="N332" s="5" t="n">
        <v>0.72</v>
      </c>
    </row>
    <row r="333">
      <c r="A333" t="n">
        <v>332</v>
      </c>
      <c r="B333" t="n">
        <v>2013</v>
      </c>
      <c r="C333" t="inlineStr">
        <is>
          <t>Ana Sofia Prieto Echandia</t>
        </is>
      </c>
      <c r="D333">
        <f>HYPERLINK("https://ota.tournamentsoftware.com/player-profile/0A98F660-17C5-4374-B63C-9B5B0E183AF0", "Link")</f>
        <v/>
      </c>
      <c r="E333" s="3" t="n">
        <v>198.964</v>
      </c>
      <c r="F333" s="4" t="n">
        <v>8</v>
      </c>
      <c r="G333" t="inlineStr">
        <is>
          <t>Tennis Québec</t>
        </is>
      </c>
      <c r="H333" t="inlineStr">
        <is>
          <t>Tennis Ile- des- Soeurs</t>
        </is>
      </c>
      <c r="I333" t="n">
        <v>33.1</v>
      </c>
      <c r="J333" s="4" t="n">
        <v>33</v>
      </c>
      <c r="K333" t="inlineStr">
        <is>
          <t>19 / 14</t>
        </is>
      </c>
      <c r="L333" t="inlineStr">
        <is>
          <t>2 / 6</t>
        </is>
      </c>
      <c r="M333" s="5" t="n">
        <v>0.58</v>
      </c>
      <c r="N333" s="5" t="n">
        <v>0.25</v>
      </c>
    </row>
    <row r="334">
      <c r="A334" t="n">
        <v>333</v>
      </c>
      <c r="B334" t="n">
        <v>2014</v>
      </c>
      <c r="C334" t="inlineStr">
        <is>
          <t>Mariah Jorge-Eman</t>
        </is>
      </c>
      <c r="D334">
        <f>HYPERLINK("https://ota.tournamentsoftware.com/player-profile/B6887B12-5A2B-48B9-8A94-164305BBBBBE", "Link")</f>
        <v/>
      </c>
      <c r="E334" s="3" t="n">
        <v>198.746</v>
      </c>
      <c r="F334" s="4" t="n">
        <v>21</v>
      </c>
      <c r="G334" t="inlineStr">
        <is>
          <t>Ontario Tennis Association</t>
        </is>
      </c>
      <c r="H334" t="inlineStr">
        <is>
          <t>Premier Racquet Clubs – Mississauga</t>
        </is>
      </c>
      <c r="I334" t="n">
        <v>33.6</v>
      </c>
      <c r="J334" s="4" t="n">
        <v>102</v>
      </c>
      <c r="K334" t="inlineStr">
        <is>
          <t>48 / 54</t>
        </is>
      </c>
      <c r="L334" t="inlineStr">
        <is>
          <t>15 / 14</t>
        </is>
      </c>
      <c r="M334" s="5" t="n">
        <v>0.47</v>
      </c>
      <c r="N334" s="5" t="n">
        <v>0.52</v>
      </c>
    </row>
    <row r="335">
      <c r="A335" t="n">
        <v>334</v>
      </c>
      <c r="B335" t="n">
        <v>2013</v>
      </c>
      <c r="C335" t="inlineStr">
        <is>
          <t>Eliza Willow Nguyen</t>
        </is>
      </c>
      <c r="D335">
        <f>HYPERLINK("https://ota.tournamentsoftware.com/player-profile/1A3AE60F-B4FB-4C4C-AE09-5D730884AC0A", "Link")</f>
        <v/>
      </c>
      <c r="E335" s="3" t="n">
        <v>198.067</v>
      </c>
      <c r="F335" s="4" t="n">
        <v>12</v>
      </c>
      <c r="G335" t="inlineStr">
        <is>
          <t>Tennis Alberta</t>
        </is>
      </c>
      <c r="H335" t="inlineStr">
        <is>
          <t>Saville Community Sports Centre</t>
        </is>
      </c>
      <c r="I335" t="n">
        <v>33.1</v>
      </c>
      <c r="J335" s="4" t="n">
        <v>143</v>
      </c>
      <c r="K335" t="inlineStr">
        <is>
          <t>66 / 77</t>
        </is>
      </c>
      <c r="L335" t="inlineStr">
        <is>
          <t>10 / 13</t>
        </is>
      </c>
      <c r="M335" s="5" t="n">
        <v>0.46</v>
      </c>
      <c r="N335" s="5" t="n">
        <v>0.43</v>
      </c>
    </row>
    <row r="336">
      <c r="A336" t="n">
        <v>335</v>
      </c>
      <c r="B336" t="n">
        <v>2014</v>
      </c>
      <c r="C336" t="inlineStr">
        <is>
          <t>Ella Meng</t>
        </is>
      </c>
      <c r="D336">
        <f>HYPERLINK("https://ota.tournamentsoftware.com/player-profile/B7EC0DBA-A6B8-49FA-A398-63ABEF8384E7", "Link")</f>
        <v/>
      </c>
      <c r="E336" s="3" t="n">
        <v>194.534</v>
      </c>
      <c r="F336" s="4" t="n">
        <v>12</v>
      </c>
      <c r="G336" t="inlineStr">
        <is>
          <t>Ontario Tennis Association</t>
        </is>
      </c>
      <c r="H336" t="inlineStr">
        <is>
          <t>Marilyn Redvers Tennis Club</t>
        </is>
      </c>
      <c r="I336" t="n">
        <v>33.8</v>
      </c>
      <c r="J336" s="4" t="n">
        <v>84</v>
      </c>
      <c r="K336" t="inlineStr">
        <is>
          <t>30 / 54</t>
        </is>
      </c>
      <c r="L336" t="inlineStr">
        <is>
          <t>11 / 12</t>
        </is>
      </c>
      <c r="M336" s="5" t="n">
        <v>0.36</v>
      </c>
      <c r="N336" s="5" t="n">
        <v>0.48</v>
      </c>
    </row>
    <row r="337">
      <c r="A337" t="n">
        <v>336</v>
      </c>
      <c r="B337" t="n">
        <v>2012</v>
      </c>
      <c r="C337" t="inlineStr">
        <is>
          <t>Carys Miles</t>
        </is>
      </c>
      <c r="D337">
        <f>HYPERLINK("https://ota.tournamentsoftware.com/player-profile/7FCFD8F6-5B52-4825-B8AA-B72BF77A3298", "Link")</f>
        <v/>
      </c>
      <c r="E337" s="3" t="n">
        <v>194.325</v>
      </c>
      <c r="F337" s="4" t="n">
        <v>15</v>
      </c>
      <c r="G337" t="inlineStr">
        <is>
          <t>Tennis Alberta</t>
        </is>
      </c>
      <c r="H337" t="inlineStr">
        <is>
          <t>Osten &amp; Victor Alberta Tennis Centre</t>
        </is>
      </c>
      <c r="I337" t="n">
        <v>31.1</v>
      </c>
      <c r="J337" s="4" t="n">
        <v>200</v>
      </c>
      <c r="K337" t="inlineStr">
        <is>
          <t>98 / 102</t>
        </is>
      </c>
      <c r="L337" t="inlineStr">
        <is>
          <t>4 / 9</t>
        </is>
      </c>
      <c r="M337" s="5" t="n">
        <v>0.49</v>
      </c>
      <c r="N337" s="5" t="n">
        <v>0.31</v>
      </c>
    </row>
    <row r="338">
      <c r="A338" t="n">
        <v>337</v>
      </c>
      <c r="B338" t="n">
        <v>2015</v>
      </c>
      <c r="C338" t="inlineStr">
        <is>
          <t>Emma Echeverri Vujicic</t>
        </is>
      </c>
      <c r="D338">
        <f>HYPERLINK("https://ota.tournamentsoftware.com/player-profile/644C3F8A-163C-4BEA-8EBD-9263F89347F9", "Link")</f>
        <v/>
      </c>
      <c r="E338" s="3" t="n">
        <v>194.237</v>
      </c>
      <c r="F338" s="4" t="n">
        <v>21</v>
      </c>
      <c r="G338" t="inlineStr">
        <is>
          <t>Ontario Tennis Association</t>
        </is>
      </c>
      <c r="H338" t="inlineStr">
        <is>
          <t>Mayfair West Fitness &amp; Racquet Club</t>
        </is>
      </c>
      <c r="I338" t="n">
        <v>33.8</v>
      </c>
      <c r="J338" s="4" t="n">
        <v>130</v>
      </c>
      <c r="K338" t="inlineStr">
        <is>
          <t>63 / 67</t>
        </is>
      </c>
      <c r="L338" t="inlineStr">
        <is>
          <t>24 / 13</t>
        </is>
      </c>
      <c r="M338" s="5" t="n">
        <v>0.48</v>
      </c>
      <c r="N338" s="5" t="n">
        <v>0.65</v>
      </c>
    </row>
    <row r="339">
      <c r="A339" t="n">
        <v>338</v>
      </c>
      <c r="B339" t="n">
        <v>2012</v>
      </c>
      <c r="C339" t="inlineStr">
        <is>
          <t>Gabrielle Siewe Meliatou</t>
        </is>
      </c>
      <c r="D339">
        <f>HYPERLINK("https://ota.tournamentsoftware.com/player-profile/7E53A46A-6CF0-4DB8-9382-FCE1966714A8", "Link")</f>
        <v/>
      </c>
      <c r="E339" s="3" t="n">
        <v>192.866</v>
      </c>
      <c r="F339" s="4" t="n">
        <v>18</v>
      </c>
      <c r="G339" t="inlineStr">
        <is>
          <t>Tennis Québec</t>
        </is>
      </c>
      <c r="H339" t="inlineStr">
        <is>
          <t>SANI Sport</t>
        </is>
      </c>
      <c r="I339" t="n">
        <v>35.5</v>
      </c>
      <c r="J339" s="4" t="n">
        <v>78</v>
      </c>
      <c r="K339" t="inlineStr">
        <is>
          <t>24 / 54</t>
        </is>
      </c>
      <c r="L339" t="inlineStr">
        <is>
          <t>5 / 11</t>
        </is>
      </c>
      <c r="M339" s="5" t="n">
        <v>0.31</v>
      </c>
      <c r="N339" s="5" t="n">
        <v>0.31</v>
      </c>
    </row>
    <row r="340">
      <c r="A340" t="n">
        <v>339</v>
      </c>
      <c r="B340" t="n">
        <v>2016</v>
      </c>
      <c r="C340" t="inlineStr">
        <is>
          <t>Tanishka Varishtha Tripathi</t>
        </is>
      </c>
      <c r="D340">
        <f>HYPERLINK("https://ota.tournamentsoftware.com/player-profile/C966D3AB-F944-4405-A712-C5FA591776A1", "Link")</f>
        <v/>
      </c>
      <c r="E340" s="3" t="n">
        <v>192.289</v>
      </c>
      <c r="F340" s="4" t="n">
        <v>13</v>
      </c>
      <c r="G340" t="inlineStr">
        <is>
          <t>Ontario Tennis Association</t>
        </is>
      </c>
      <c r="H340" t="inlineStr">
        <is>
          <t>Tennis Outaouais Performance (TOP) ON</t>
        </is>
      </c>
      <c r="I340" t="n">
        <v>32.2</v>
      </c>
      <c r="J340" s="4" t="n">
        <v>140</v>
      </c>
      <c r="K340" t="inlineStr">
        <is>
          <t>101 / 39</t>
        </is>
      </c>
      <c r="L340" t="inlineStr">
        <is>
          <t>24 / 12</t>
        </is>
      </c>
      <c r="M340" s="5" t="n">
        <v>0.72</v>
      </c>
      <c r="N340" s="5" t="n">
        <v>0.67</v>
      </c>
    </row>
    <row r="341">
      <c r="A341" t="n">
        <v>340</v>
      </c>
      <c r="B341" t="n">
        <v>2015</v>
      </c>
      <c r="C341" t="inlineStr">
        <is>
          <t>Olivia Ormandy</t>
        </is>
      </c>
      <c r="D341">
        <f>HYPERLINK("https://ota.tournamentsoftware.com/player-profile/C2722647-7EFC-4E85-B2ED-55E77949843B", "Link")</f>
        <v/>
      </c>
      <c r="E341" s="3" t="n">
        <v>190.2</v>
      </c>
      <c r="F341" s="4" t="n">
        <v>27</v>
      </c>
      <c r="G341" t="inlineStr">
        <is>
          <t>Tennis Québec</t>
        </is>
      </c>
      <c r="H341" t="inlineStr">
        <is>
          <t>Tennis Interclub Piedmont</t>
        </is>
      </c>
      <c r="I341" t="n">
        <v>33.2</v>
      </c>
      <c r="J341" s="4" t="n">
        <v>190</v>
      </c>
      <c r="K341" t="inlineStr">
        <is>
          <t>92 / 98</t>
        </is>
      </c>
      <c r="L341" t="inlineStr">
        <is>
          <t>20 / 24</t>
        </is>
      </c>
      <c r="M341" s="5" t="n">
        <v>0.48</v>
      </c>
      <c r="N341" s="5" t="n">
        <v>0.45</v>
      </c>
    </row>
    <row r="342">
      <c r="A342" t="n">
        <v>341</v>
      </c>
      <c r="B342" t="n">
        <v>2012</v>
      </c>
      <c r="C342" t="inlineStr">
        <is>
          <t>Sabrina Sajjad</t>
        </is>
      </c>
      <c r="D342">
        <f>HYPERLINK("https://ota.tournamentsoftware.com/player-profile/6C7EB560-0C6C-49E6-9B42-49009727ED3D", "Link")</f>
        <v/>
      </c>
      <c r="E342" s="3" t="n">
        <v>189.48</v>
      </c>
      <c r="F342" s="4" t="n">
        <v>15</v>
      </c>
      <c r="G342" t="inlineStr">
        <is>
          <t>Ontario Tennis Association</t>
        </is>
      </c>
      <c r="H342" t="inlineStr">
        <is>
          <t>No Club</t>
        </is>
      </c>
      <c r="I342" t="n">
        <v>33.7</v>
      </c>
      <c r="J342" s="4" t="n">
        <v>68</v>
      </c>
      <c r="K342" t="inlineStr">
        <is>
          <t>35 / 33</t>
        </is>
      </c>
      <c r="L342" t="inlineStr">
        <is>
          <t>8 / 9</t>
        </is>
      </c>
      <c r="M342" s="5" t="n">
        <v>0.51</v>
      </c>
      <c r="N342" s="5" t="n">
        <v>0.47</v>
      </c>
    </row>
    <row r="343">
      <c r="A343" t="n">
        <v>342</v>
      </c>
      <c r="B343" t="n">
        <v>2014</v>
      </c>
      <c r="C343" t="inlineStr">
        <is>
          <t>Payton Isabelle JOHNSTON</t>
        </is>
      </c>
      <c r="D343">
        <f>HYPERLINK("https://ota.tournamentsoftware.com/player-profile/30639279-6EB4-43A0-806A-9F7E6209EBA5", "Link")</f>
        <v/>
      </c>
      <c r="E343" s="3" t="n">
        <v>189.449</v>
      </c>
      <c r="F343" s="4" t="n">
        <v>11</v>
      </c>
      <c r="G343" t="inlineStr">
        <is>
          <t>Tennis Nova Scotia</t>
        </is>
      </c>
      <c r="H343" t="inlineStr">
        <is>
          <t>Gordon Hughes Tennis Club</t>
        </is>
      </c>
      <c r="I343" t="n">
        <v>34.3</v>
      </c>
      <c r="J343" s="4" t="n">
        <v>96</v>
      </c>
      <c r="K343" t="inlineStr">
        <is>
          <t>49 / 47</t>
        </is>
      </c>
      <c r="L343" t="inlineStr">
        <is>
          <t>18 / 21</t>
        </is>
      </c>
      <c r="M343" s="5" t="n">
        <v>0.51</v>
      </c>
      <c r="N343" s="5" t="n">
        <v>0.46</v>
      </c>
    </row>
    <row r="344">
      <c r="A344" t="n">
        <v>343</v>
      </c>
      <c r="B344" t="n">
        <v>2013</v>
      </c>
      <c r="C344" t="inlineStr">
        <is>
          <t>Ophélia Carbonneau</t>
        </is>
      </c>
      <c r="D344">
        <f>HYPERLINK("https://ota.tournamentsoftware.com/player-profile/8B592B8F-8B82-48EF-9CDD-0CBA40EBB412", "Link")</f>
        <v/>
      </c>
      <c r="E344" s="3" t="n">
        <v>188.358</v>
      </c>
      <c r="F344" s="4" t="n">
        <v>16</v>
      </c>
      <c r="G344" t="inlineStr">
        <is>
          <t>Tennis Québec</t>
        </is>
      </c>
      <c r="H344" t="inlineStr">
        <is>
          <t>Tennis Interclub Piedmont</t>
        </is>
      </c>
      <c r="I344" t="n">
        <v>36.4</v>
      </c>
      <c r="J344" s="4" t="n">
        <v>105</v>
      </c>
      <c r="K344" t="inlineStr">
        <is>
          <t>30 / 75</t>
        </is>
      </c>
      <c r="L344" t="inlineStr">
        <is>
          <t>6 / 12</t>
        </is>
      </c>
      <c r="M344" s="5" t="n">
        <v>0.29</v>
      </c>
      <c r="N344" s="5" t="n">
        <v>0.33</v>
      </c>
    </row>
    <row r="345">
      <c r="A345" t="n">
        <v>344</v>
      </c>
      <c r="B345" t="n">
        <v>2016</v>
      </c>
      <c r="C345" t="inlineStr">
        <is>
          <t>Emily Zheng</t>
        </is>
      </c>
      <c r="D345">
        <f>HYPERLINK("https://ota.tournamentsoftware.com/player-profile/6AB11A61-4852-4958-84E1-2773676D29C2", "Link")</f>
        <v/>
      </c>
      <c r="E345" s="3" t="n">
        <v>187.89</v>
      </c>
      <c r="F345" s="4" t="n">
        <v>29</v>
      </c>
      <c r="G345" t="inlineStr">
        <is>
          <t>Ontario Tennis Association</t>
        </is>
      </c>
      <c r="H345" t="inlineStr">
        <is>
          <t>Toronto Cricket Skating &amp; Curling</t>
        </is>
      </c>
      <c r="I345" t="n">
        <v>33.2</v>
      </c>
      <c r="J345" s="4" t="n">
        <v>108</v>
      </c>
      <c r="K345" t="inlineStr">
        <is>
          <t>44 / 64</t>
        </is>
      </c>
      <c r="L345" t="inlineStr">
        <is>
          <t>23 / 14</t>
        </is>
      </c>
      <c r="M345" s="5" t="n">
        <v>0.41</v>
      </c>
      <c r="N345" s="5" t="n">
        <v>0.62</v>
      </c>
    </row>
    <row r="346">
      <c r="A346" t="n">
        <v>345</v>
      </c>
      <c r="B346" t="n">
        <v>2012</v>
      </c>
      <c r="C346" t="inlineStr">
        <is>
          <t>Ruoyu Wang</t>
        </is>
      </c>
      <c r="D346">
        <f>HYPERLINK("https://ota.tournamentsoftware.com/player-profile/BF1A51BB-FF4F-417F-AE41-0914B75C7FF1", "Link")</f>
        <v/>
      </c>
      <c r="E346" s="3" t="n">
        <v>187.562</v>
      </c>
      <c r="F346" s="4" t="n">
        <v>12</v>
      </c>
      <c r="G346" t="inlineStr">
        <is>
          <t>Tennis Québec</t>
        </is>
      </c>
      <c r="H346" t="inlineStr">
        <is>
          <t>Tennis 13</t>
        </is>
      </c>
      <c r="I346" t="inlineStr">
        <is>
          <t>unavailable</t>
        </is>
      </c>
      <c r="J346" s="4" t="n">
        <v>19</v>
      </c>
      <c r="K346" t="inlineStr">
        <is>
          <t>5 / 14</t>
        </is>
      </c>
      <c r="L346" t="inlineStr">
        <is>
          <t>4 / 8</t>
        </is>
      </c>
      <c r="M346" s="5" t="n">
        <v>0.26</v>
      </c>
      <c r="N346" s="5" t="n">
        <v>0.33</v>
      </c>
    </row>
    <row r="347">
      <c r="A347" t="n">
        <v>346</v>
      </c>
      <c r="B347" t="n">
        <v>2012</v>
      </c>
      <c r="C347" t="inlineStr">
        <is>
          <t>Angelica Rose Spyrka</t>
        </is>
      </c>
      <c r="D347">
        <f>HYPERLINK("https://ota.tournamentsoftware.com/player-profile/7A8F99DB-3ADA-4FDB-AC08-5095AAF01985", "Link")</f>
        <v/>
      </c>
      <c r="E347" s="3" t="n">
        <v>186.118</v>
      </c>
      <c r="F347" s="4" t="n">
        <v>14</v>
      </c>
      <c r="G347" t="inlineStr">
        <is>
          <t>British Columbia</t>
        </is>
      </c>
      <c r="H347" t="inlineStr">
        <is>
          <t>Vanguard Tennis Academy</t>
        </is>
      </c>
      <c r="I347" t="n">
        <v>33.3</v>
      </c>
      <c r="J347" s="4" t="n">
        <v>74</v>
      </c>
      <c r="K347" t="inlineStr">
        <is>
          <t>32 / 42</t>
        </is>
      </c>
      <c r="L347" t="inlineStr">
        <is>
          <t>6 / 10</t>
        </is>
      </c>
      <c r="M347" s="5" t="n">
        <v>0.43</v>
      </c>
      <c r="N347" s="5" t="n">
        <v>0.38</v>
      </c>
    </row>
    <row r="348">
      <c r="A348" t="n">
        <v>347</v>
      </c>
      <c r="B348" t="n">
        <v>2013</v>
      </c>
      <c r="C348" t="inlineStr">
        <is>
          <t>Alma Safinia</t>
        </is>
      </c>
      <c r="D348">
        <f>HYPERLINK("https://ota.tournamentsoftware.com/player-profile/5EF88718-BF69-42BC-A643-1C11174AD1CB", "Link")</f>
        <v/>
      </c>
      <c r="E348" s="3" t="n">
        <v>185.426</v>
      </c>
      <c r="F348" s="4" t="n">
        <v>1</v>
      </c>
      <c r="G348" t="inlineStr">
        <is>
          <t>Tennis Nova Scotia</t>
        </is>
      </c>
      <c r="H348" t="inlineStr">
        <is>
          <t>Atlantic Tennis Centre</t>
        </is>
      </c>
      <c r="I348" t="n">
        <v>32.7</v>
      </c>
      <c r="J348" s="4" t="n">
        <v>26</v>
      </c>
      <c r="K348" t="inlineStr">
        <is>
          <t>13 / 13</t>
        </is>
      </c>
      <c r="L348" t="inlineStr">
        <is>
          <t>2 / 5</t>
        </is>
      </c>
      <c r="M348" s="5" t="n">
        <v>0.5</v>
      </c>
      <c r="N348" s="5" t="n">
        <v>0.29</v>
      </c>
    </row>
    <row r="349">
      <c r="A349" t="n">
        <v>348</v>
      </c>
      <c r="B349" t="n">
        <v>2013</v>
      </c>
      <c r="C349" t="inlineStr">
        <is>
          <t>Alysha Alexis</t>
        </is>
      </c>
      <c r="D349">
        <f>HYPERLINK("https://ota.tournamentsoftware.com/player-profile/42191CE6-0E1E-460D-80E0-9A7FF78DA6C6", "Link")</f>
        <v/>
      </c>
      <c r="E349" s="3" t="n">
        <v>185.03</v>
      </c>
      <c r="F349" s="4" t="n">
        <v>18</v>
      </c>
      <c r="G349" t="inlineStr">
        <is>
          <t>Tennis Québec</t>
        </is>
      </c>
      <c r="H349" t="inlineStr">
        <is>
          <t>Académie Tennis Momentum (club extérieur)</t>
        </is>
      </c>
      <c r="I349" t="n">
        <v>33.9</v>
      </c>
      <c r="J349" s="4" t="n">
        <v>68</v>
      </c>
      <c r="K349" t="inlineStr">
        <is>
          <t>32 / 36</t>
        </is>
      </c>
      <c r="L349" t="inlineStr">
        <is>
          <t>12 / 12</t>
        </is>
      </c>
      <c r="M349" s="5" t="n">
        <v>0.47</v>
      </c>
      <c r="N349" s="5" t="n">
        <v>0.5</v>
      </c>
    </row>
    <row r="350">
      <c r="A350" t="n">
        <v>349</v>
      </c>
      <c r="B350" t="n">
        <v>2014</v>
      </c>
      <c r="C350" t="inlineStr">
        <is>
          <t>Amelia Rogette Hinnawi</t>
        </is>
      </c>
      <c r="D350">
        <f>HYPERLINK("https://ota.tournamentsoftware.com/player-profile/1DADE780-E571-45F1-BC6D-21B72637C0B7", "Link")</f>
        <v/>
      </c>
      <c r="E350" s="3" t="n">
        <v>184.213</v>
      </c>
      <c r="F350" s="4" t="n">
        <v>22</v>
      </c>
      <c r="G350" t="inlineStr">
        <is>
          <t>Tennis Québec</t>
        </is>
      </c>
      <c r="H350" t="inlineStr">
        <is>
          <t>Tennis Ile- des- Soeurs</t>
        </is>
      </c>
      <c r="I350" t="inlineStr">
        <is>
          <t>unavailable</t>
        </is>
      </c>
      <c r="J350" s="4" t="n">
        <v>135</v>
      </c>
      <c r="K350" t="inlineStr">
        <is>
          <t>42 / 93</t>
        </is>
      </c>
      <c r="L350" t="inlineStr">
        <is>
          <t>12 / 21</t>
        </is>
      </c>
      <c r="M350" s="5" t="n">
        <v>0.31</v>
      </c>
      <c r="N350" s="5" t="n">
        <v>0.36</v>
      </c>
    </row>
    <row r="351">
      <c r="A351" t="n">
        <v>350</v>
      </c>
      <c r="B351" t="n">
        <v>2013</v>
      </c>
      <c r="C351" t="inlineStr">
        <is>
          <t>Victoria Pellerin</t>
        </is>
      </c>
      <c r="D351">
        <f>HYPERLINK("https://ota.tournamentsoftware.com/player-profile/097573BE-64EA-4951-9B1B-3779B5938722", "Link")</f>
        <v/>
      </c>
      <c r="E351" s="3" t="n">
        <v>181.263</v>
      </c>
      <c r="F351" s="4" t="n">
        <v>15</v>
      </c>
      <c r="G351" t="inlineStr">
        <is>
          <t>Tennis Québec</t>
        </is>
      </c>
      <c r="H351" t="inlineStr">
        <is>
          <t>Centre récréatif de Repentigny / Académie Tennis Momentum</t>
        </is>
      </c>
      <c r="I351" t="n">
        <v>36.6</v>
      </c>
      <c r="J351" s="4" t="n">
        <v>56</v>
      </c>
      <c r="K351" t="inlineStr">
        <is>
          <t>16 / 40</t>
        </is>
      </c>
      <c r="L351" t="inlineStr">
        <is>
          <t>4 / 12</t>
        </is>
      </c>
      <c r="M351" s="5" t="n">
        <v>0.29</v>
      </c>
      <c r="N351" s="5" t="n">
        <v>0.25</v>
      </c>
    </row>
    <row r="352">
      <c r="A352" t="n">
        <v>351</v>
      </c>
      <c r="B352" t="n">
        <v>2013</v>
      </c>
      <c r="C352" t="inlineStr">
        <is>
          <t>Sophie Pothel</t>
        </is>
      </c>
      <c r="D352">
        <f>HYPERLINK("https://ota.tournamentsoftware.com/player-profile/21DD6509-0C4D-4711-BEB0-DC2D198520FD", "Link")</f>
        <v/>
      </c>
      <c r="E352" s="3" t="n">
        <v>179.691</v>
      </c>
      <c r="F352" s="4" t="n">
        <v>14</v>
      </c>
      <c r="G352" t="inlineStr">
        <is>
          <t>Tennis Québec</t>
        </is>
      </c>
      <c r="H352" t="inlineStr">
        <is>
          <t>Tennis Ile- des- Soeurs</t>
        </is>
      </c>
      <c r="I352" t="inlineStr">
        <is>
          <t>unavailable</t>
        </is>
      </c>
      <c r="J352" s="4" t="n">
        <v>54</v>
      </c>
      <c r="K352" t="inlineStr">
        <is>
          <t>9 / 45</t>
        </is>
      </c>
      <c r="L352" t="inlineStr">
        <is>
          <t>4 / 13</t>
        </is>
      </c>
      <c r="M352" s="5" t="n">
        <v>0.17</v>
      </c>
      <c r="N352" s="5" t="n">
        <v>0.24</v>
      </c>
    </row>
    <row r="353">
      <c r="A353" t="n">
        <v>352</v>
      </c>
      <c r="B353" t="n">
        <v>2015</v>
      </c>
      <c r="C353" t="inlineStr">
        <is>
          <t>Jesi Myra Kumaran</t>
        </is>
      </c>
      <c r="D353">
        <f>HYPERLINK("https://ota.tournamentsoftware.com/player-profile/8DE19A2A-095B-4432-92FE-7CA64D28B7F1", "Link")</f>
        <v/>
      </c>
      <c r="E353" s="3" t="n">
        <v>179.454</v>
      </c>
      <c r="F353" s="4" t="n">
        <v>34</v>
      </c>
      <c r="G353" t="inlineStr">
        <is>
          <t>Ontario Tennis Association</t>
        </is>
      </c>
      <c r="H353" t="inlineStr">
        <is>
          <t>Valan Tennis Academy</t>
        </is>
      </c>
      <c r="I353" t="n">
        <v>36.7</v>
      </c>
      <c r="J353" s="4" t="n">
        <v>196</v>
      </c>
      <c r="K353" t="inlineStr">
        <is>
          <t>69 / 127</t>
        </is>
      </c>
      <c r="L353" t="inlineStr">
        <is>
          <t>15 / 30</t>
        </is>
      </c>
      <c r="M353" s="5" t="n">
        <v>0.35</v>
      </c>
      <c r="N353" s="5" t="n">
        <v>0.33</v>
      </c>
    </row>
    <row r="354">
      <c r="A354" t="n">
        <v>353</v>
      </c>
      <c r="B354" t="n">
        <v>2015</v>
      </c>
      <c r="C354" t="inlineStr">
        <is>
          <t>Brielle York</t>
        </is>
      </c>
      <c r="D354">
        <f>HYPERLINK("https://ota.tournamentsoftware.com/player-profile/C0B1A514-EDF7-4907-9E4D-D3B8C705EB1D", "Link")</f>
        <v/>
      </c>
      <c r="E354" s="3" t="n">
        <v>177.941</v>
      </c>
      <c r="F354" s="4" t="n">
        <v>16</v>
      </c>
      <c r="G354" t="inlineStr">
        <is>
          <t>Tennis Alberta</t>
        </is>
      </c>
      <c r="H354" t="inlineStr">
        <is>
          <t>Aforza</t>
        </is>
      </c>
      <c r="I354" t="n">
        <v>36.3</v>
      </c>
      <c r="J354" s="4" t="n">
        <v>144</v>
      </c>
      <c r="K354" t="inlineStr">
        <is>
          <t>68 / 76</t>
        </is>
      </c>
      <c r="L354" t="inlineStr">
        <is>
          <t>13 / 21</t>
        </is>
      </c>
      <c r="M354" s="5" t="n">
        <v>0.47</v>
      </c>
      <c r="N354" s="5" t="n">
        <v>0.38</v>
      </c>
    </row>
    <row r="355">
      <c r="A355" t="n">
        <v>354</v>
      </c>
      <c r="B355" t="n">
        <v>2012</v>
      </c>
      <c r="C355" t="inlineStr">
        <is>
          <t>Charlianne Grace Kiss</t>
        </is>
      </c>
      <c r="D355">
        <f>HYPERLINK("https://ota.tournamentsoftware.com/player-profile/09C918D2-187B-42AF-836D-E31A35062CB3", "Link")</f>
        <v/>
      </c>
      <c r="E355" s="3" t="n">
        <v>176.12</v>
      </c>
      <c r="F355" s="4" t="n">
        <v>10</v>
      </c>
      <c r="G355" t="inlineStr">
        <is>
          <t>Tennis Alberta</t>
        </is>
      </c>
      <c r="H355" t="inlineStr">
        <is>
          <t>Saville Community Sports Centre</t>
        </is>
      </c>
      <c r="I355" t="n">
        <v>35.9</v>
      </c>
      <c r="J355" s="4" t="n">
        <v>72</v>
      </c>
      <c r="K355" t="inlineStr">
        <is>
          <t>27 / 45</t>
        </is>
      </c>
      <c r="L355" t="inlineStr">
        <is>
          <t>9 / 15</t>
        </is>
      </c>
      <c r="M355" s="5" t="n">
        <v>0.38</v>
      </c>
      <c r="N355" s="5" t="n">
        <v>0.38</v>
      </c>
    </row>
    <row r="356">
      <c r="A356" t="n">
        <v>355</v>
      </c>
      <c r="B356" t="n">
        <v>2015</v>
      </c>
      <c r="C356" t="inlineStr">
        <is>
          <t>Kynarra Tayt Burthwright</t>
        </is>
      </c>
      <c r="D356">
        <f>HYPERLINK("https://ota.tournamentsoftware.com/player-profile/54340729-CFE8-4AE6-B072-4BD29664CBEC", "Link")</f>
        <v/>
      </c>
      <c r="E356" s="3" t="n">
        <v>175.793</v>
      </c>
      <c r="F356" s="4" t="n">
        <v>22</v>
      </c>
      <c r="G356" t="inlineStr">
        <is>
          <t>Ontario Tennis Association</t>
        </is>
      </c>
      <c r="H356" t="inlineStr">
        <is>
          <t>Newmarket Community Tennis Club</t>
        </is>
      </c>
      <c r="I356" t="n">
        <v>35.2</v>
      </c>
      <c r="J356" s="4" t="n">
        <v>125</v>
      </c>
      <c r="K356" t="inlineStr">
        <is>
          <t>65 / 60</t>
        </is>
      </c>
      <c r="L356" t="inlineStr">
        <is>
          <t>28 / 27</t>
        </is>
      </c>
      <c r="M356" s="5" t="n">
        <v>0.52</v>
      </c>
      <c r="N356" s="5" t="n">
        <v>0.51</v>
      </c>
    </row>
    <row r="357">
      <c r="A357" t="n">
        <v>356</v>
      </c>
      <c r="B357" t="n">
        <v>2014</v>
      </c>
      <c r="C357" t="inlineStr">
        <is>
          <t>Nadia Stuparyk</t>
        </is>
      </c>
      <c r="D357">
        <f>HYPERLINK("https://ota.tournamentsoftware.com/player-profile/05ABA68F-2EB2-4BFB-B6CA-677BDD1DCDCA", "Link")</f>
        <v/>
      </c>
      <c r="E357" s="3" t="n">
        <v>173.522</v>
      </c>
      <c r="F357" s="4" t="n">
        <v>35</v>
      </c>
      <c r="G357" t="inlineStr">
        <is>
          <t>Ontario Tennis Association</t>
        </is>
      </c>
      <c r="H357" t="inlineStr">
        <is>
          <t>Parkside Tennis Club</t>
        </is>
      </c>
      <c r="I357" t="n">
        <v>33.2</v>
      </c>
      <c r="J357" s="4" t="n">
        <v>183</v>
      </c>
      <c r="K357" t="inlineStr">
        <is>
          <t>87 / 96</t>
        </is>
      </c>
      <c r="L357" t="inlineStr">
        <is>
          <t>22 / 20</t>
        </is>
      </c>
      <c r="M357" s="5" t="n">
        <v>0.48</v>
      </c>
      <c r="N357" s="5" t="n">
        <v>0.52</v>
      </c>
    </row>
    <row r="358">
      <c r="A358" t="n">
        <v>357</v>
      </c>
      <c r="B358" t="n">
        <v>2015</v>
      </c>
      <c r="C358" t="inlineStr">
        <is>
          <t>Isla J Green</t>
        </is>
      </c>
      <c r="D358">
        <f>HYPERLINK("https://ota.tournamentsoftware.com/player-profile/B2E098BE-DB7E-4756-BD31-93298500E09D", "Link")</f>
        <v/>
      </c>
      <c r="E358" s="3" t="n">
        <v>173.154</v>
      </c>
      <c r="F358" s="4" t="n">
        <v>25</v>
      </c>
      <c r="G358" t="inlineStr">
        <is>
          <t>Ontario Tennis Association</t>
        </is>
      </c>
      <c r="H358" t="inlineStr">
        <is>
          <t>Advantage Tennis International at Veneto</t>
        </is>
      </c>
      <c r="I358" t="n">
        <v>32.1</v>
      </c>
      <c r="J358" s="4" t="n">
        <v>241</v>
      </c>
      <c r="K358" t="inlineStr">
        <is>
          <t>161 / 80</t>
        </is>
      </c>
      <c r="L358" t="inlineStr">
        <is>
          <t>34 / 17</t>
        </is>
      </c>
      <c r="M358" s="5" t="n">
        <v>0.67</v>
      </c>
      <c r="N358" s="5" t="n">
        <v>0.67</v>
      </c>
    </row>
    <row r="359">
      <c r="A359" t="n">
        <v>358</v>
      </c>
      <c r="B359" t="n">
        <v>2012</v>
      </c>
      <c r="C359" t="inlineStr">
        <is>
          <t>Riley Lynn Banath</t>
        </is>
      </c>
      <c r="D359">
        <f>HYPERLINK("https://ota.tournamentsoftware.com/player-profile/4B613A1C-293C-4701-B6BA-BEC5F8EBDA29", "Link")</f>
        <v/>
      </c>
      <c r="E359" s="3" t="n">
        <v>173.105</v>
      </c>
      <c r="F359" s="4" t="n">
        <v>13</v>
      </c>
      <c r="G359" t="inlineStr">
        <is>
          <t>British Columbia</t>
        </is>
      </c>
      <c r="H359" t="inlineStr">
        <is>
          <t>Arbutus Club</t>
        </is>
      </c>
      <c r="I359" t="n">
        <v>37.4</v>
      </c>
      <c r="J359" s="4" t="n">
        <v>44</v>
      </c>
      <c r="K359" t="inlineStr">
        <is>
          <t>9 / 35</t>
        </is>
      </c>
      <c r="L359" t="inlineStr">
        <is>
          <t>5 / 20</t>
        </is>
      </c>
      <c r="M359" s="5" t="n">
        <v>0.2</v>
      </c>
      <c r="N359" s="5" t="n">
        <v>0.2</v>
      </c>
    </row>
    <row r="360">
      <c r="A360" t="n">
        <v>359</v>
      </c>
      <c r="B360" t="n">
        <v>2012</v>
      </c>
      <c r="C360" t="inlineStr">
        <is>
          <t>Amelia Jee</t>
        </is>
      </c>
      <c r="D360">
        <f>HYPERLINK("https://ota.tournamentsoftware.com/player-profile/485EA829-3893-4703-AF9A-1CF8D304CE5D", "Link")</f>
        <v/>
      </c>
      <c r="E360" s="3" t="n">
        <v>173.084</v>
      </c>
      <c r="F360" s="4" t="n">
        <v>12</v>
      </c>
      <c r="G360" t="inlineStr">
        <is>
          <t>Ontario Tennis Association</t>
        </is>
      </c>
      <c r="H360" t="inlineStr">
        <is>
          <t>Toronto Cricket Skating &amp; Curling</t>
        </is>
      </c>
      <c r="I360" t="n">
        <v>32.8</v>
      </c>
      <c r="J360" s="4" t="n">
        <v>125</v>
      </c>
      <c r="K360" t="inlineStr">
        <is>
          <t>53 / 72</t>
        </is>
      </c>
      <c r="L360" t="inlineStr">
        <is>
          <t>11 / 13</t>
        </is>
      </c>
      <c r="M360" s="5" t="n">
        <v>0.42</v>
      </c>
      <c r="N360" s="5" t="n">
        <v>0.46</v>
      </c>
    </row>
    <row r="361">
      <c r="A361" t="n">
        <v>360</v>
      </c>
      <c r="B361" t="n">
        <v>2013</v>
      </c>
      <c r="C361" t="inlineStr">
        <is>
          <t>Alice Laganière</t>
        </is>
      </c>
      <c r="D361">
        <f>HYPERLINK("https://ota.tournamentsoftware.com/player-profile/C9532D29-EE9A-4084-ACB5-2DBCAD4DF862", "Link")</f>
        <v/>
      </c>
      <c r="E361" s="3" t="n">
        <v>171.17</v>
      </c>
      <c r="F361" s="4" t="n">
        <v>10</v>
      </c>
      <c r="G361" t="inlineStr">
        <is>
          <t>Tennis Québec</t>
        </is>
      </c>
      <c r="H361" t="inlineStr">
        <is>
          <t>Club de tennis intérieur Saguenay / École de tennis Delisle-Poirel</t>
        </is>
      </c>
      <c r="I361" t="n">
        <v>35.4</v>
      </c>
      <c r="J361" s="4" t="n">
        <v>39</v>
      </c>
      <c r="K361" t="inlineStr">
        <is>
          <t>13 / 26</t>
        </is>
      </c>
      <c r="L361" t="inlineStr">
        <is>
          <t>1 / 6</t>
        </is>
      </c>
      <c r="M361" s="5" t="n">
        <v>0.33</v>
      </c>
      <c r="N361" s="5" t="n">
        <v>0.14</v>
      </c>
    </row>
    <row r="362">
      <c r="A362" t="n">
        <v>361</v>
      </c>
      <c r="B362" t="n">
        <v>2015</v>
      </c>
      <c r="C362" t="inlineStr">
        <is>
          <t>Ruichu Rachel Piao</t>
        </is>
      </c>
      <c r="D362">
        <f>HYPERLINK("https://ota.tournamentsoftware.com/player-profile/13F65932-C96D-4F89-B571-4AA7315B2EEB", "Link")</f>
        <v/>
      </c>
      <c r="E362" s="3" t="n">
        <v>170.967</v>
      </c>
      <c r="F362" s="4" t="n">
        <v>14</v>
      </c>
      <c r="G362" t="inlineStr">
        <is>
          <t>Tennis Québec</t>
        </is>
      </c>
      <c r="H362" t="inlineStr">
        <is>
          <t>Tennis Ile- des- Soeurs</t>
        </is>
      </c>
      <c r="I362" t="inlineStr">
        <is>
          <t>unavailable</t>
        </is>
      </c>
      <c r="J362" s="4" t="n">
        <v>74</v>
      </c>
      <c r="K362" t="inlineStr">
        <is>
          <t>34 / 40</t>
        </is>
      </c>
      <c r="L362" t="inlineStr">
        <is>
          <t>7 / 12</t>
        </is>
      </c>
      <c r="M362" s="5" t="n">
        <v>0.46</v>
      </c>
      <c r="N362" s="5" t="n">
        <v>0.37</v>
      </c>
    </row>
    <row r="363">
      <c r="A363" t="n">
        <v>362</v>
      </c>
      <c r="B363" t="n">
        <v>2016</v>
      </c>
      <c r="C363" t="inlineStr">
        <is>
          <t>Dorothy Ning</t>
        </is>
      </c>
      <c r="D363">
        <f>HYPERLINK("https://ota.tournamentsoftware.com/player-profile/15BEDAE4-AB73-4AE9-B466-BA81BCA77DB1", "Link")</f>
        <v/>
      </c>
      <c r="E363" s="3" t="n">
        <v>170.72</v>
      </c>
      <c r="F363" s="4" t="n">
        <v>21</v>
      </c>
      <c r="G363" t="inlineStr">
        <is>
          <t>Ontario Tennis Association</t>
        </is>
      </c>
      <c r="H363" t="inlineStr">
        <is>
          <t>Toronto Tennis Academy</t>
        </is>
      </c>
      <c r="I363" t="inlineStr">
        <is>
          <t>unavailable</t>
        </is>
      </c>
      <c r="J363" s="4" t="n">
        <v>149</v>
      </c>
      <c r="K363" t="inlineStr">
        <is>
          <t>80 / 69</t>
        </is>
      </c>
      <c r="L363" t="inlineStr">
        <is>
          <t>21 / 14</t>
        </is>
      </c>
      <c r="M363" s="5" t="n">
        <v>0.54</v>
      </c>
      <c r="N363" s="5" t="n">
        <v>0.6</v>
      </c>
    </row>
    <row r="364">
      <c r="A364" t="n">
        <v>363</v>
      </c>
      <c r="B364" t="n">
        <v>2015</v>
      </c>
      <c r="C364" t="inlineStr">
        <is>
          <t>Adelaide Mossop</t>
        </is>
      </c>
      <c r="D364">
        <f>HYPERLINK("https://ota.tournamentsoftware.com/player-profile/0BA4F4DB-3133-41DE-9EE3-39EB4A609399", "Link")</f>
        <v/>
      </c>
      <c r="E364" s="3" t="n">
        <v>170.614</v>
      </c>
      <c r="F364" s="4" t="n">
        <v>11</v>
      </c>
      <c r="G364" t="inlineStr">
        <is>
          <t>Tennis Nova Scotia</t>
        </is>
      </c>
      <c r="H364" t="inlineStr">
        <is>
          <t>Atlantic Tennis Centre</t>
        </is>
      </c>
      <c r="I364" t="n">
        <v>35.9</v>
      </c>
      <c r="J364" s="4" t="n">
        <v>164</v>
      </c>
      <c r="K364" t="inlineStr">
        <is>
          <t>66 / 98</t>
        </is>
      </c>
      <c r="L364" t="inlineStr">
        <is>
          <t>15 / 25</t>
        </is>
      </c>
      <c r="M364" s="5" t="n">
        <v>0.4</v>
      </c>
      <c r="N364" s="5" t="n">
        <v>0.38</v>
      </c>
    </row>
    <row r="365">
      <c r="A365" t="n">
        <v>364</v>
      </c>
      <c r="B365" t="n">
        <v>2015</v>
      </c>
      <c r="C365" t="inlineStr">
        <is>
          <t>Allison Penev</t>
        </is>
      </c>
      <c r="D365">
        <f>HYPERLINK("https://ota.tournamentsoftware.com/player-profile/C34C7D86-0233-454A-9C07-62AD41AF32CE", "Link")</f>
        <v/>
      </c>
      <c r="E365" s="3" t="n">
        <v>169.413</v>
      </c>
      <c r="F365" s="4" t="n">
        <v>21</v>
      </c>
      <c r="G365" t="inlineStr">
        <is>
          <t>Tennis Québec</t>
        </is>
      </c>
      <c r="H365" t="inlineStr">
        <is>
          <t>Carrefour Multisports</t>
        </is>
      </c>
      <c r="I365" t="n">
        <v>35.8</v>
      </c>
      <c r="J365" s="4" t="n">
        <v>152</v>
      </c>
      <c r="K365" t="inlineStr">
        <is>
          <t>65 / 87</t>
        </is>
      </c>
      <c r="L365" t="inlineStr">
        <is>
          <t>7 / 17</t>
        </is>
      </c>
      <c r="M365" s="5" t="n">
        <v>0.43</v>
      </c>
      <c r="N365" s="5" t="n">
        <v>0.29</v>
      </c>
    </row>
    <row r="366">
      <c r="A366" t="n">
        <v>365</v>
      </c>
      <c r="B366" t="n">
        <v>2012</v>
      </c>
      <c r="C366" t="inlineStr">
        <is>
          <t>Mavis Li</t>
        </is>
      </c>
      <c r="D366">
        <f>HYPERLINK("https://ota.tournamentsoftware.com/player-profile/FC8D1AE6-D9A0-409A-A095-1B2C12EDB359", "Link")</f>
        <v/>
      </c>
      <c r="E366" s="3" t="n">
        <v>168.577</v>
      </c>
      <c r="F366" s="4" t="n">
        <v>21</v>
      </c>
      <c r="G366" t="inlineStr">
        <is>
          <t>Ontario Tennis Association</t>
        </is>
      </c>
      <c r="H366" t="inlineStr">
        <is>
          <t>Blackmore Tennis Club</t>
        </is>
      </c>
      <c r="I366" t="n">
        <v>36.4</v>
      </c>
      <c r="J366" s="4" t="n">
        <v>64</v>
      </c>
      <c r="K366" t="inlineStr">
        <is>
          <t>22 / 42</t>
        </is>
      </c>
      <c r="L366" t="inlineStr">
        <is>
          <t>7 / 25</t>
        </is>
      </c>
      <c r="M366" s="5" t="n">
        <v>0.34</v>
      </c>
      <c r="N366" s="5" t="n">
        <v>0.22</v>
      </c>
    </row>
    <row r="367">
      <c r="A367" t="n">
        <v>366</v>
      </c>
      <c r="B367" t="n">
        <v>2015</v>
      </c>
      <c r="C367" t="inlineStr">
        <is>
          <t>Nora Firoozi</t>
        </is>
      </c>
      <c r="D367">
        <f>HYPERLINK("https://ota.tournamentsoftware.com/player-profile/328F4CA8-B72D-4F94-9BB6-3F666B5E0706", "Link")</f>
        <v/>
      </c>
      <c r="E367" s="3" t="n">
        <v>167.643</v>
      </c>
      <c r="F367" s="4" t="n">
        <v>18</v>
      </c>
      <c r="G367" t="inlineStr">
        <is>
          <t>British Columbia</t>
        </is>
      </c>
      <c r="H367" t="inlineStr">
        <is>
          <t>North Vancouver Tennis Centre</t>
        </is>
      </c>
      <c r="I367" t="n">
        <v>33.5</v>
      </c>
      <c r="J367" s="4" t="n">
        <v>165</v>
      </c>
      <c r="K367" t="inlineStr">
        <is>
          <t>81 / 84</t>
        </is>
      </c>
      <c r="L367" t="inlineStr">
        <is>
          <t>15 / 18</t>
        </is>
      </c>
      <c r="M367" s="5" t="n">
        <v>0.49</v>
      </c>
      <c r="N367" s="5" t="n">
        <v>0.45</v>
      </c>
    </row>
    <row r="368">
      <c r="A368" t="n">
        <v>367</v>
      </c>
      <c r="B368" t="n">
        <v>2014</v>
      </c>
      <c r="C368" t="inlineStr">
        <is>
          <t>Hunter Anne Wilkinson</t>
        </is>
      </c>
      <c r="D368">
        <f>HYPERLINK("https://ota.tournamentsoftware.com/player-profile/EB893DF0-DCAD-49C8-BAB9-0D044090A656", "Link")</f>
        <v/>
      </c>
      <c r="E368" s="3" t="n">
        <v>167.587</v>
      </c>
      <c r="F368" s="4" t="n">
        <v>19</v>
      </c>
      <c r="G368" t="inlineStr">
        <is>
          <t>Ontario Tennis Association</t>
        </is>
      </c>
      <c r="H368" t="inlineStr">
        <is>
          <t>GSM Tennis Club</t>
        </is>
      </c>
      <c r="I368" t="n">
        <v>34.2</v>
      </c>
      <c r="J368" s="4" t="n">
        <v>184</v>
      </c>
      <c r="K368" t="inlineStr">
        <is>
          <t>88 / 96</t>
        </is>
      </c>
      <c r="L368" t="inlineStr">
        <is>
          <t>11 / 13</t>
        </is>
      </c>
      <c r="M368" s="5" t="n">
        <v>0.48</v>
      </c>
      <c r="N368" s="5" t="n">
        <v>0.46</v>
      </c>
    </row>
    <row r="369">
      <c r="A369" t="n">
        <v>368</v>
      </c>
      <c r="B369" t="n">
        <v>2014</v>
      </c>
      <c r="C369" t="inlineStr">
        <is>
          <t>Sahana Bath</t>
        </is>
      </c>
      <c r="D369">
        <f>HYPERLINK("https://ota.tournamentsoftware.com/player-profile/25E19F82-227F-4B69-8295-16AA8F4F207F", "Link")</f>
        <v/>
      </c>
      <c r="E369" s="3" t="n">
        <v>166.44</v>
      </c>
      <c r="F369" s="4" t="n">
        <v>22</v>
      </c>
      <c r="G369" t="inlineStr">
        <is>
          <t>British Columbia</t>
        </is>
      </c>
      <c r="H369" t="inlineStr">
        <is>
          <t>The Tennis Centre</t>
        </is>
      </c>
      <c r="I369" t="n">
        <v>32.1</v>
      </c>
      <c r="J369" s="4" t="n">
        <v>174</v>
      </c>
      <c r="K369" t="inlineStr">
        <is>
          <t>100 / 74</t>
        </is>
      </c>
      <c r="L369" t="inlineStr">
        <is>
          <t>45 / 21</t>
        </is>
      </c>
      <c r="M369" s="5" t="n">
        <v>0.57</v>
      </c>
      <c r="N369" s="5" t="n">
        <v>0.68</v>
      </c>
    </row>
    <row r="370">
      <c r="A370" t="n">
        <v>369</v>
      </c>
      <c r="B370" t="n">
        <v>2012</v>
      </c>
      <c r="C370" t="inlineStr">
        <is>
          <t>Naomi Lucy McCrank</t>
        </is>
      </c>
      <c r="D370">
        <f>HYPERLINK("https://ota.tournamentsoftware.com/player-profile/68E80EA0-3999-4449-8E0B-83CC30E1EF77", "Link")</f>
        <v/>
      </c>
      <c r="E370" s="3" t="n">
        <v>166.417</v>
      </c>
      <c r="F370" s="4" t="n">
        <v>15</v>
      </c>
      <c r="G370" t="inlineStr">
        <is>
          <t>Tennis Alberta</t>
        </is>
      </c>
      <c r="H370" t="inlineStr">
        <is>
          <t>Aforza</t>
        </is>
      </c>
      <c r="I370" t="n">
        <v>33.5</v>
      </c>
      <c r="J370" s="4" t="n">
        <v>80</v>
      </c>
      <c r="K370" t="inlineStr">
        <is>
          <t>24 / 56</t>
        </is>
      </c>
      <c r="L370" t="inlineStr">
        <is>
          <t>8 / 11</t>
        </is>
      </c>
      <c r="M370" s="5" t="n">
        <v>0.3</v>
      </c>
      <c r="N370" s="5" t="n">
        <v>0.42</v>
      </c>
    </row>
    <row r="371">
      <c r="A371" t="n">
        <v>370</v>
      </c>
      <c r="B371" t="n">
        <v>2014</v>
      </c>
      <c r="C371" t="inlineStr">
        <is>
          <t>Grace Li</t>
        </is>
      </c>
      <c r="D371">
        <f>HYPERLINK("https://ota.tournamentsoftware.com/player-profile/5B95D38D-7E3D-4B41-B418-6B2307ED0863", "Link")</f>
        <v/>
      </c>
      <c r="E371" s="3" t="n">
        <v>166.105</v>
      </c>
      <c r="F371" s="4" t="n">
        <v>18</v>
      </c>
      <c r="G371" t="inlineStr">
        <is>
          <t>Tennis Québec</t>
        </is>
      </c>
      <c r="H371" t="inlineStr">
        <is>
          <t>Tennis 13</t>
        </is>
      </c>
      <c r="I371" t="n">
        <v>35.1</v>
      </c>
      <c r="J371" s="4" t="n">
        <v>165</v>
      </c>
      <c r="K371" t="inlineStr">
        <is>
          <t>71 / 94</t>
        </is>
      </c>
      <c r="L371" t="inlineStr">
        <is>
          <t>7 / 13</t>
        </is>
      </c>
      <c r="M371" s="5" t="n">
        <v>0.43</v>
      </c>
      <c r="N371" s="5" t="n">
        <v>0.35</v>
      </c>
    </row>
    <row r="372">
      <c r="A372" t="n">
        <v>371</v>
      </c>
      <c r="B372" t="n">
        <v>2013</v>
      </c>
      <c r="C372" t="inlineStr">
        <is>
          <t>Adriana Juliana Tambini</t>
        </is>
      </c>
      <c r="D372">
        <f>HYPERLINK("https://ota.tournamentsoftware.com/player-profile/7D7985A7-C189-4AE6-9641-F7EA5AE89364", "Link")</f>
        <v/>
      </c>
      <c r="E372" s="3" t="n">
        <v>165.937</v>
      </c>
      <c r="F372" s="4" t="n">
        <v>7</v>
      </c>
      <c r="G372" t="inlineStr">
        <is>
          <t>Ontario Tennis Association</t>
        </is>
      </c>
      <c r="H372" t="inlineStr">
        <is>
          <t>Headwaters Racquet Club</t>
        </is>
      </c>
      <c r="I372" t="n">
        <v>38.5</v>
      </c>
      <c r="J372" s="4" t="n">
        <v>23</v>
      </c>
      <c r="K372" t="inlineStr">
        <is>
          <t>12 / 11</t>
        </is>
      </c>
      <c r="L372" t="inlineStr">
        <is>
          <t>7 / 10</t>
        </is>
      </c>
      <c r="M372" s="5" t="n">
        <v>0.52</v>
      </c>
      <c r="N372" s="5" t="n">
        <v>0.41</v>
      </c>
    </row>
    <row r="373">
      <c r="A373" t="n">
        <v>372</v>
      </c>
      <c r="B373" t="n">
        <v>2013</v>
      </c>
      <c r="C373" t="inlineStr">
        <is>
          <t>Nisa Karim</t>
        </is>
      </c>
      <c r="D373">
        <f>HYPERLINK("https://ota.tournamentsoftware.com/player-profile/11CB5752-5D45-47AB-82AD-AC3D554873E5", "Link")</f>
        <v/>
      </c>
      <c r="E373" s="3" t="n">
        <v>163.167</v>
      </c>
      <c r="F373" s="4" t="n">
        <v>16</v>
      </c>
      <c r="G373" t="inlineStr">
        <is>
          <t>British Columbia</t>
        </is>
      </c>
      <c r="H373" t="inlineStr">
        <is>
          <t>Arbutus Club</t>
        </is>
      </c>
      <c r="I373" t="n">
        <v>34.8</v>
      </c>
      <c r="J373" s="4" t="n">
        <v>94</v>
      </c>
      <c r="K373" t="inlineStr">
        <is>
          <t>49 / 45</t>
        </is>
      </c>
      <c r="L373" t="inlineStr">
        <is>
          <t>15 / 19</t>
        </is>
      </c>
      <c r="M373" s="5" t="n">
        <v>0.52</v>
      </c>
      <c r="N373" s="5" t="n">
        <v>0.44</v>
      </c>
    </row>
    <row r="374">
      <c r="A374" t="n">
        <v>373</v>
      </c>
      <c r="B374" t="n">
        <v>2012</v>
      </c>
      <c r="C374" t="inlineStr">
        <is>
          <t>Sophia Zhang</t>
        </is>
      </c>
      <c r="D374">
        <f>HYPERLINK("https://ota.tournamentsoftware.com/player-profile/2BBD611B-69D1-4A97-AAC3-1D897498B21A", "Link")</f>
        <v/>
      </c>
      <c r="E374" s="3" t="n">
        <v>160.591</v>
      </c>
      <c r="F374" s="4" t="n">
        <v>11</v>
      </c>
      <c r="G374" t="inlineStr">
        <is>
          <t>Ontario Tennis Association</t>
        </is>
      </c>
      <c r="H374" t="inlineStr">
        <is>
          <t>Burlington Tennis Club</t>
        </is>
      </c>
      <c r="I374" t="inlineStr">
        <is>
          <t>unavailable</t>
        </is>
      </c>
      <c r="J374" s="4" t="n">
        <v>38</v>
      </c>
      <c r="K374" t="inlineStr">
        <is>
          <t>17 / 21</t>
        </is>
      </c>
      <c r="L374" t="inlineStr">
        <is>
          <t>11 / 10</t>
        </is>
      </c>
      <c r="M374" s="5" t="n">
        <v>0.45</v>
      </c>
      <c r="N374" s="5" t="n">
        <v>0.52</v>
      </c>
    </row>
    <row r="375">
      <c r="A375" t="n">
        <v>374</v>
      </c>
      <c r="B375" t="n">
        <v>2014</v>
      </c>
      <c r="C375" t="inlineStr">
        <is>
          <t>Eve Martel</t>
        </is>
      </c>
      <c r="D375">
        <f>HYPERLINK("https://ota.tournamentsoftware.com/player-profile/590DE091-4FC9-494D-A8AC-45DB223E71D8", "Link")</f>
        <v/>
      </c>
      <c r="E375" s="3" t="n">
        <v>160.307</v>
      </c>
      <c r="F375" s="4" t="n">
        <v>21</v>
      </c>
      <c r="G375" t="inlineStr">
        <is>
          <t>Tennis Québec</t>
        </is>
      </c>
      <c r="H375" t="inlineStr">
        <is>
          <t>Club Avantage Multi-sports / Académie de tennis Hérisset Bordeleau</t>
        </is>
      </c>
      <c r="I375" t="inlineStr">
        <is>
          <t>unavailable</t>
        </is>
      </c>
      <c r="J375" s="4" t="n">
        <v>130</v>
      </c>
      <c r="K375" t="inlineStr">
        <is>
          <t>41 / 89</t>
        </is>
      </c>
      <c r="L375" t="inlineStr">
        <is>
          <t>12 / 17</t>
        </is>
      </c>
      <c r="M375" s="5" t="n">
        <v>0.32</v>
      </c>
      <c r="N375" s="5" t="n">
        <v>0.41</v>
      </c>
    </row>
    <row r="376">
      <c r="A376" t="n">
        <v>375</v>
      </c>
      <c r="B376" t="n">
        <v>2013</v>
      </c>
      <c r="C376" t="inlineStr">
        <is>
          <t>Renée Jugalbot</t>
        </is>
      </c>
      <c r="D376">
        <f>HYPERLINK("https://ota.tournamentsoftware.com/player-profile/A487A79B-AB42-4314-BD75-6EFD99F64BC7", "Link")</f>
        <v/>
      </c>
      <c r="E376" s="3" t="n">
        <v>159.393</v>
      </c>
      <c r="F376" s="4" t="n">
        <v>26</v>
      </c>
      <c r="G376" t="inlineStr">
        <is>
          <t>Ontario Tennis Association</t>
        </is>
      </c>
      <c r="H376" t="inlineStr">
        <is>
          <t>Rosedale Tennis Club (Hamilton)</t>
        </is>
      </c>
      <c r="I376" t="n">
        <v>36</v>
      </c>
      <c r="J376" s="4" t="n">
        <v>84</v>
      </c>
      <c r="K376" t="inlineStr">
        <is>
          <t>34 / 50</t>
        </is>
      </c>
      <c r="L376" t="inlineStr">
        <is>
          <t>16 / 23</t>
        </is>
      </c>
      <c r="M376" s="5" t="n">
        <v>0.4</v>
      </c>
      <c r="N376" s="5" t="n">
        <v>0.41</v>
      </c>
    </row>
    <row r="377">
      <c r="A377" t="n">
        <v>376</v>
      </c>
      <c r="B377" t="n">
        <v>2013</v>
      </c>
      <c r="C377" t="inlineStr">
        <is>
          <t>Diya Vasudeva</t>
        </is>
      </c>
      <c r="D377">
        <f>HYPERLINK("https://ota.tournamentsoftware.com/player-profile/81C22EEF-F10A-4447-AF45-2B9B6D1A7F5B", "Link")</f>
        <v/>
      </c>
      <c r="E377" s="3" t="n">
        <v>159.16</v>
      </c>
      <c r="F377" s="4" t="n">
        <v>9</v>
      </c>
      <c r="G377" t="inlineStr">
        <is>
          <t>Ontario Tennis Association</t>
        </is>
      </c>
      <c r="H377" t="inlineStr">
        <is>
          <t>ACE Tennis - Burlington</t>
        </is>
      </c>
      <c r="I377" t="n">
        <v>36.4</v>
      </c>
      <c r="J377" s="4" t="n">
        <v>99</v>
      </c>
      <c r="K377" t="inlineStr">
        <is>
          <t>34 / 65</t>
        </is>
      </c>
      <c r="L377" t="inlineStr">
        <is>
          <t>5 / 10</t>
        </is>
      </c>
      <c r="M377" s="5" t="n">
        <v>0.34</v>
      </c>
      <c r="N377" s="5" t="n">
        <v>0.33</v>
      </c>
    </row>
    <row r="378">
      <c r="A378" t="n">
        <v>377</v>
      </c>
      <c r="B378" t="n">
        <v>2017</v>
      </c>
      <c r="C378" t="inlineStr">
        <is>
          <t>Yuetwing, Doris Li</t>
        </is>
      </c>
      <c r="D378">
        <f>HYPERLINK("https://ota.tournamentsoftware.com/player-profile/C901A65F-E3DE-47DE-A4BC-21149FEBA20C", "Link")</f>
        <v/>
      </c>
      <c r="E378" s="3" t="n">
        <v>157.026</v>
      </c>
      <c r="F378" s="4" t="n">
        <v>4</v>
      </c>
      <c r="G378" t="inlineStr">
        <is>
          <t>Ontario Tennis Association</t>
        </is>
      </c>
      <c r="H378" t="inlineStr">
        <is>
          <t>No Club</t>
        </is>
      </c>
      <c r="I378" t="n">
        <v>32.7</v>
      </c>
      <c r="J378" s="4" t="n">
        <v>16</v>
      </c>
      <c r="K378" t="inlineStr">
        <is>
          <t>14 / 2</t>
        </is>
      </c>
      <c r="L378" t="inlineStr">
        <is>
          <t>10 / 2</t>
        </is>
      </c>
      <c r="M378" s="5" t="n">
        <v>0.88</v>
      </c>
      <c r="N378" s="5" t="n">
        <v>0.83</v>
      </c>
    </row>
    <row r="379">
      <c r="A379" t="n">
        <v>378</v>
      </c>
      <c r="B379" t="n">
        <v>2015</v>
      </c>
      <c r="C379" t="inlineStr">
        <is>
          <t>Mikaëlla Jean-Bart</t>
        </is>
      </c>
      <c r="D379">
        <f>HYPERLINK("https://ota.tournamentsoftware.com/player-profile/5309814B-24E5-4F46-920F-74FD0DAF8C7D", "Link")</f>
        <v/>
      </c>
      <c r="E379" s="3" t="n">
        <v>156.089</v>
      </c>
      <c r="F379" s="4" t="n">
        <v>14</v>
      </c>
      <c r="G379" t="inlineStr">
        <is>
          <t>Tennis Québec</t>
        </is>
      </c>
      <c r="H379" t="inlineStr">
        <is>
          <t>Centre récréatif de Repentigny / Académie Tennis Momentum</t>
        </is>
      </c>
      <c r="I379" t="n">
        <v>34.2</v>
      </c>
      <c r="J379" s="4" t="n">
        <v>72</v>
      </c>
      <c r="K379" t="inlineStr">
        <is>
          <t>29 / 43</t>
        </is>
      </c>
      <c r="L379" t="inlineStr">
        <is>
          <t>12 / 15</t>
        </is>
      </c>
      <c r="M379" s="5" t="n">
        <v>0.4</v>
      </c>
      <c r="N379" s="5" t="n">
        <v>0.44</v>
      </c>
    </row>
    <row r="380">
      <c r="A380" t="n">
        <v>379</v>
      </c>
      <c r="B380" t="n">
        <v>2013</v>
      </c>
      <c r="C380" t="inlineStr">
        <is>
          <t>Kate Penalba</t>
        </is>
      </c>
      <c r="D380">
        <f>HYPERLINK("https://ota.tournamentsoftware.com/player-profile/C3F08CFB-765E-4234-8D01-16CB3E717037", "Link")</f>
        <v/>
      </c>
      <c r="E380" s="3" t="n">
        <v>154.591</v>
      </c>
      <c r="F380" s="4" t="n">
        <v>16</v>
      </c>
      <c r="G380" t="inlineStr">
        <is>
          <t>Ontario Tennis Association</t>
        </is>
      </c>
      <c r="H380" t="inlineStr">
        <is>
          <t>Henry Farm Tennis Club</t>
        </is>
      </c>
      <c r="I380" t="n">
        <v>34.9</v>
      </c>
      <c r="J380" s="4" t="n">
        <v>129</v>
      </c>
      <c r="K380" t="inlineStr">
        <is>
          <t>52 / 77</t>
        </is>
      </c>
      <c r="L380" t="inlineStr">
        <is>
          <t>9 / 15</t>
        </is>
      </c>
      <c r="M380" s="5" t="n">
        <v>0.4</v>
      </c>
      <c r="N380" s="5" t="n">
        <v>0.38</v>
      </c>
    </row>
    <row r="381">
      <c r="A381" t="n">
        <v>380</v>
      </c>
      <c r="B381" t="n">
        <v>2013</v>
      </c>
      <c r="C381" t="inlineStr">
        <is>
          <t>Gabrielle Pompa</t>
        </is>
      </c>
      <c r="D381">
        <f>HYPERLINK("https://ota.tournamentsoftware.com/player-profile/668A29C0-962F-4DAD-B317-933787C09DCF", "Link")</f>
        <v/>
      </c>
      <c r="E381" s="3" t="n">
        <v>153.753</v>
      </c>
      <c r="F381" s="4" t="n">
        <v>7</v>
      </c>
      <c r="G381" t="inlineStr">
        <is>
          <t>Tennis Alberta</t>
        </is>
      </c>
      <c r="H381" t="inlineStr">
        <is>
          <t>Aforza</t>
        </is>
      </c>
      <c r="I381" t="n">
        <v>29.1</v>
      </c>
      <c r="J381" s="4" t="n">
        <v>162</v>
      </c>
      <c r="K381" t="inlineStr">
        <is>
          <t>111 / 51</t>
        </is>
      </c>
      <c r="L381" t="inlineStr">
        <is>
          <t>6 / 4</t>
        </is>
      </c>
      <c r="M381" s="5" t="n">
        <v>0.6899999999999999</v>
      </c>
      <c r="N381" s="5" t="n">
        <v>0.6</v>
      </c>
    </row>
    <row r="382">
      <c r="A382" t="n">
        <v>381</v>
      </c>
      <c r="B382" t="n">
        <v>2017</v>
      </c>
      <c r="C382" t="inlineStr">
        <is>
          <t>Nalayah Smith</t>
        </is>
      </c>
      <c r="D382">
        <f>HYPERLINK("https://ota.tournamentsoftware.com/player-profile/6F913BA8-58BB-4BEE-9CA1-8E064E1332B8", "Link")</f>
        <v/>
      </c>
      <c r="E382" s="3" t="n">
        <v>153.154</v>
      </c>
      <c r="F382" s="4" t="n">
        <v>19</v>
      </c>
      <c r="G382" t="inlineStr">
        <is>
          <t>Ontario Tennis Association</t>
        </is>
      </c>
      <c r="H382" t="inlineStr">
        <is>
          <t>SmartVMC Racquetsports by ACE</t>
        </is>
      </c>
      <c r="I382" t="n">
        <v>33.4</v>
      </c>
      <c r="J382" s="4" t="n">
        <v>132</v>
      </c>
      <c r="K382" t="inlineStr">
        <is>
          <t>85 / 47</t>
        </is>
      </c>
      <c r="L382" t="inlineStr">
        <is>
          <t>30 / 14</t>
        </is>
      </c>
      <c r="M382" s="5" t="n">
        <v>0.64</v>
      </c>
      <c r="N382" s="5" t="n">
        <v>0.68</v>
      </c>
    </row>
    <row r="383">
      <c r="A383" t="n">
        <v>382</v>
      </c>
      <c r="B383" t="n">
        <v>2014</v>
      </c>
      <c r="C383" t="inlineStr">
        <is>
          <t>Andrea Robles Sgambatti</t>
        </is>
      </c>
      <c r="D383">
        <f>HYPERLINK("https://ota.tournamentsoftware.com/player-profile/842B5763-8026-4DFF-BD28-4FA110C3A345", "Link")</f>
        <v/>
      </c>
      <c r="E383" s="3" t="n">
        <v>152.162</v>
      </c>
      <c r="F383" s="4" t="n">
        <v>17</v>
      </c>
      <c r="G383" t="inlineStr">
        <is>
          <t>Tennis Alberta</t>
        </is>
      </c>
      <c r="H383" t="inlineStr">
        <is>
          <t>Osten &amp; Victor Alberta Tennis Centre</t>
        </is>
      </c>
      <c r="I383" t="n">
        <v>34.2</v>
      </c>
      <c r="J383" s="4" t="n">
        <v>150</v>
      </c>
      <c r="K383" t="inlineStr">
        <is>
          <t>62 / 88</t>
        </is>
      </c>
      <c r="L383" t="inlineStr">
        <is>
          <t>13 / 20</t>
        </is>
      </c>
      <c r="M383" s="5" t="n">
        <v>0.41</v>
      </c>
      <c r="N383" s="5" t="n">
        <v>0.39</v>
      </c>
    </row>
    <row r="384">
      <c r="A384" t="n">
        <v>383</v>
      </c>
      <c r="B384" t="n">
        <v>2017</v>
      </c>
      <c r="C384" t="inlineStr">
        <is>
          <t>Ella Nicolaeva</t>
        </is>
      </c>
      <c r="D384">
        <f>HYPERLINK("https://ota.tournamentsoftware.com/player-profile/7A11DAF6-4353-49AB-8591-07AB86D11272", "Link")</f>
        <v/>
      </c>
      <c r="E384" s="3" t="n">
        <v>150.858</v>
      </c>
      <c r="F384" s="4" t="n">
        <v>37</v>
      </c>
      <c r="G384" t="inlineStr">
        <is>
          <t>Ontario Tennis Association</t>
        </is>
      </c>
      <c r="H384" t="inlineStr">
        <is>
          <t>Valan Tennis Academy</t>
        </is>
      </c>
      <c r="I384" t="n">
        <v>33.8</v>
      </c>
      <c r="J384" s="4" t="n">
        <v>185</v>
      </c>
      <c r="K384" t="inlineStr">
        <is>
          <t>129 / 56</t>
        </is>
      </c>
      <c r="L384" t="inlineStr">
        <is>
          <t>40 / 26</t>
        </is>
      </c>
      <c r="M384" s="5" t="n">
        <v>0.7</v>
      </c>
      <c r="N384" s="5" t="n">
        <v>0.61</v>
      </c>
    </row>
    <row r="385">
      <c r="A385" t="n">
        <v>384</v>
      </c>
      <c r="B385" t="n">
        <v>2014</v>
      </c>
      <c r="C385" t="inlineStr">
        <is>
          <t>Rain Yu Chan</t>
        </is>
      </c>
      <c r="D385">
        <f>HYPERLINK("https://ota.tournamentsoftware.com/player-profile/BF26AD2D-BAAC-4E82-A862-14039C1584F2", "Link")</f>
        <v/>
      </c>
      <c r="E385" s="3" t="n">
        <v>150.379</v>
      </c>
      <c r="F385" s="4" t="n">
        <v>34</v>
      </c>
      <c r="G385" t="inlineStr">
        <is>
          <t>British Columbia</t>
        </is>
      </c>
      <c r="H385" t="inlineStr">
        <is>
          <t>Burnaby Tennis Club</t>
        </is>
      </c>
      <c r="I385" t="inlineStr">
        <is>
          <t>unavailable</t>
        </is>
      </c>
      <c r="J385" s="4" t="n">
        <v>203</v>
      </c>
      <c r="K385" t="inlineStr">
        <is>
          <t>95 / 108</t>
        </is>
      </c>
      <c r="L385" t="inlineStr">
        <is>
          <t>29 / 31</t>
        </is>
      </c>
      <c r="M385" s="5" t="n">
        <v>0.47</v>
      </c>
      <c r="N385" s="5" t="n">
        <v>0.48</v>
      </c>
    </row>
    <row r="386">
      <c r="A386" t="n">
        <v>385</v>
      </c>
      <c r="B386" t="n">
        <v>2013</v>
      </c>
      <c r="C386" t="inlineStr">
        <is>
          <t>Jaheema Jajah Joseph</t>
        </is>
      </c>
      <c r="D386">
        <f>HYPERLINK("https://ota.tournamentsoftware.com/player-profile/2C08ABD4-0853-4E02-96D6-4CBDA8251E2A", "Link")</f>
        <v/>
      </c>
      <c r="E386" s="3" t="n">
        <v>149.601</v>
      </c>
      <c r="F386" s="4" t="n">
        <v>18</v>
      </c>
      <c r="G386" t="inlineStr">
        <is>
          <t>Tennis Québec</t>
        </is>
      </c>
      <c r="H386" t="inlineStr">
        <is>
          <t>Tennis Montréal</t>
        </is>
      </c>
      <c r="I386" t="n">
        <v>36.9</v>
      </c>
      <c r="J386" s="4" t="n">
        <v>93</v>
      </c>
      <c r="K386" t="inlineStr">
        <is>
          <t>38 / 55</t>
        </is>
      </c>
      <c r="L386" t="inlineStr">
        <is>
          <t>6 / 15</t>
        </is>
      </c>
      <c r="M386" s="5" t="n">
        <v>0.41</v>
      </c>
      <c r="N386" s="5" t="n">
        <v>0.29</v>
      </c>
    </row>
    <row r="387">
      <c r="A387" t="n">
        <v>386</v>
      </c>
      <c r="B387" t="n">
        <v>2013</v>
      </c>
      <c r="C387" t="inlineStr">
        <is>
          <t>Aarushi Pal</t>
        </is>
      </c>
      <c r="D387">
        <f>HYPERLINK("https://ota.tournamentsoftware.com/player-profile/F5E1E459-0A97-4C1F-8F37-D8CEF64DA1FA", "Link")</f>
        <v/>
      </c>
      <c r="E387" s="3" t="n">
        <v>149.571</v>
      </c>
      <c r="F387" s="4" t="n">
        <v>14</v>
      </c>
      <c r="G387" t="inlineStr">
        <is>
          <t>Tennis Alberta</t>
        </is>
      </c>
      <c r="H387" t="inlineStr">
        <is>
          <t>Osten &amp; Victor Alberta Tennis Centre</t>
        </is>
      </c>
      <c r="I387" t="n">
        <v>33.8</v>
      </c>
      <c r="J387" s="4" t="n">
        <v>165</v>
      </c>
      <c r="K387" t="inlineStr">
        <is>
          <t>81 / 84</t>
        </is>
      </c>
      <c r="L387" t="inlineStr">
        <is>
          <t>5 / 12</t>
        </is>
      </c>
      <c r="M387" s="5" t="n">
        <v>0.49</v>
      </c>
      <c r="N387" s="5" t="n">
        <v>0.29</v>
      </c>
    </row>
    <row r="388">
      <c r="A388" t="n">
        <v>387</v>
      </c>
      <c r="B388" t="n">
        <v>2015</v>
      </c>
      <c r="C388" t="inlineStr">
        <is>
          <t>Stefaniia Grimailo</t>
        </is>
      </c>
      <c r="D388">
        <f>HYPERLINK("https://ota.tournamentsoftware.com/player-profile/63AAF188-F773-4BFA-B6C2-97B1DFB9AF3A", "Link")</f>
        <v/>
      </c>
      <c r="E388" s="3" t="n">
        <v>147.389</v>
      </c>
      <c r="F388" s="4" t="n">
        <v>9</v>
      </c>
      <c r="G388" t="inlineStr">
        <is>
          <t>Tennis Manitoba</t>
        </is>
      </c>
      <c r="H388" t="inlineStr">
        <is>
          <t>Winnipeg Winter Club</t>
        </is>
      </c>
      <c r="I388" t="n">
        <v>38.6</v>
      </c>
      <c r="J388" s="4" t="n">
        <v>64</v>
      </c>
      <c r="K388" t="inlineStr">
        <is>
          <t>9 / 55</t>
        </is>
      </c>
      <c r="L388" t="inlineStr">
        <is>
          <t>2 / 25</t>
        </is>
      </c>
      <c r="M388" s="5" t="n">
        <v>0.14</v>
      </c>
      <c r="N388" s="5" t="n">
        <v>0.07000000000000001</v>
      </c>
    </row>
    <row r="389">
      <c r="A389" t="n">
        <v>388</v>
      </c>
      <c r="B389" t="n">
        <v>2012</v>
      </c>
      <c r="C389" t="inlineStr">
        <is>
          <t>Gaëlle Jodoin</t>
        </is>
      </c>
      <c r="D389">
        <f>HYPERLINK("https://ota.tournamentsoftware.com/player-profile/A3792AFC-E32E-4258-8FA9-9240021C6401", "Link")</f>
        <v/>
      </c>
      <c r="E389" s="3" t="n">
        <v>147.089</v>
      </c>
      <c r="F389" s="4" t="n">
        <v>5</v>
      </c>
      <c r="G389" t="inlineStr">
        <is>
          <t>Tennis Québec</t>
        </is>
      </c>
      <c r="H389" t="inlineStr">
        <is>
          <t>Tennis 13</t>
        </is>
      </c>
      <c r="I389" t="n">
        <v>38.5</v>
      </c>
      <c r="J389" s="4" t="n">
        <v>87</v>
      </c>
      <c r="K389" t="inlineStr">
        <is>
          <t>14 / 73</t>
        </is>
      </c>
      <c r="L389" t="inlineStr">
        <is>
          <t>0 / 3</t>
        </is>
      </c>
      <c r="M389" s="5" t="n">
        <v>0.16</v>
      </c>
      <c r="N389" s="5" t="n">
        <v>0</v>
      </c>
    </row>
    <row r="390">
      <c r="A390" t="n">
        <v>389</v>
      </c>
      <c r="B390" t="n">
        <v>2012</v>
      </c>
      <c r="C390" t="inlineStr">
        <is>
          <t>Chloe Park</t>
        </is>
      </c>
      <c r="D390">
        <f>HYPERLINK("https://ota.tournamentsoftware.com/player-profile/FD8FB9A4-F5D9-4A90-AA66-D8E6FC3D3BC5", "Link")</f>
        <v/>
      </c>
      <c r="E390" s="3" t="n">
        <v>146.362</v>
      </c>
      <c r="F390" s="4" t="n">
        <v>4</v>
      </c>
      <c r="G390" t="inlineStr">
        <is>
          <t>Tennis Prince Edward Island</t>
        </is>
      </c>
      <c r="H390" t="inlineStr">
        <is>
          <t>No Club</t>
        </is>
      </c>
      <c r="I390" t="n">
        <v>35.8</v>
      </c>
      <c r="J390" s="4" t="n">
        <v>50</v>
      </c>
      <c r="K390" t="inlineStr">
        <is>
          <t>10 / 40</t>
        </is>
      </c>
      <c r="L390" t="inlineStr">
        <is>
          <t>5 / 9</t>
        </is>
      </c>
      <c r="M390" s="5" t="n">
        <v>0.2</v>
      </c>
      <c r="N390" s="5" t="n">
        <v>0.36</v>
      </c>
    </row>
    <row r="391">
      <c r="A391" t="n">
        <v>390</v>
      </c>
      <c r="B391" t="n">
        <v>2015</v>
      </c>
      <c r="C391" t="inlineStr">
        <is>
          <t>Emma Lucenti</t>
        </is>
      </c>
      <c r="D391">
        <f>HYPERLINK("https://ota.tournamentsoftware.com/player-profile/F174A813-5F1A-4B24-BDFF-B6E6160FE2EB", "Link")</f>
        <v/>
      </c>
      <c r="E391" s="3" t="n">
        <v>146.068</v>
      </c>
      <c r="F391" s="4" t="n">
        <v>10</v>
      </c>
      <c r="G391" t="inlineStr">
        <is>
          <t>Ontario Tennis Association</t>
        </is>
      </c>
      <c r="H391" t="inlineStr">
        <is>
          <t>SmartVMC Racquetsports by ACE</t>
        </is>
      </c>
      <c r="I391" t="n">
        <v>35.7</v>
      </c>
      <c r="J391" s="4" t="n">
        <v>82</v>
      </c>
      <c r="K391" t="inlineStr">
        <is>
          <t>28 / 54</t>
        </is>
      </c>
      <c r="L391" t="inlineStr">
        <is>
          <t>7 / 12</t>
        </is>
      </c>
      <c r="M391" s="5" t="n">
        <v>0.34</v>
      </c>
      <c r="N391" s="5" t="n">
        <v>0.37</v>
      </c>
    </row>
    <row r="392">
      <c r="A392" t="n">
        <v>391</v>
      </c>
      <c r="B392" t="n">
        <v>2015</v>
      </c>
      <c r="C392" t="inlineStr">
        <is>
          <t>Elaina York</t>
        </is>
      </c>
      <c r="D392">
        <f>HYPERLINK("https://ota.tournamentsoftware.com/player-profile/7D4D2F10-C754-4560-B490-903FD1C70ADE", "Link")</f>
        <v/>
      </c>
      <c r="E392" s="3" t="n">
        <v>145.952</v>
      </c>
      <c r="F392" s="4" t="n">
        <v>16</v>
      </c>
      <c r="G392" t="inlineStr">
        <is>
          <t>Tennis Alberta</t>
        </is>
      </c>
      <c r="H392" t="inlineStr">
        <is>
          <t>Aforza</t>
        </is>
      </c>
      <c r="I392" t="n">
        <v>34.9</v>
      </c>
      <c r="J392" s="4" t="n">
        <v>149</v>
      </c>
      <c r="K392" t="inlineStr">
        <is>
          <t>61 / 88</t>
        </is>
      </c>
      <c r="L392" t="inlineStr">
        <is>
          <t>15 / 23</t>
        </is>
      </c>
      <c r="M392" s="5" t="n">
        <v>0.41</v>
      </c>
      <c r="N392" s="5" t="n">
        <v>0.39</v>
      </c>
    </row>
    <row r="393">
      <c r="A393" t="n">
        <v>392</v>
      </c>
      <c r="B393" t="n">
        <v>2014</v>
      </c>
      <c r="C393" t="inlineStr">
        <is>
          <t>Sofia Zhuchenko</t>
        </is>
      </c>
      <c r="D393">
        <f>HYPERLINK("https://ota.tournamentsoftware.com/player-profile/F633DD21-A0C3-4CAC-B560-7222D07936B7", "Link")</f>
        <v/>
      </c>
      <c r="E393" s="3" t="n">
        <v>145.261</v>
      </c>
      <c r="F393" s="4" t="n">
        <v>15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33.5</v>
      </c>
      <c r="J393" s="4" t="n">
        <v>111</v>
      </c>
      <c r="K393" t="inlineStr">
        <is>
          <t>43 / 68</t>
        </is>
      </c>
      <c r="L393" t="inlineStr">
        <is>
          <t>13 / 18</t>
        </is>
      </c>
      <c r="M393" s="5" t="n">
        <v>0.39</v>
      </c>
      <c r="N393" s="5" t="n">
        <v>0.42</v>
      </c>
    </row>
    <row r="394">
      <c r="A394" t="n">
        <v>393</v>
      </c>
      <c r="B394" t="n">
        <v>2014</v>
      </c>
      <c r="C394" t="inlineStr">
        <is>
          <t>Kira Wong</t>
        </is>
      </c>
      <c r="D394">
        <f>HYPERLINK("https://ota.tournamentsoftware.com/player-profile/E305B648-4548-45A0-B043-623E1473C7E5", "Link")</f>
        <v/>
      </c>
      <c r="E394" s="3" t="n">
        <v>144.621</v>
      </c>
      <c r="F394" s="4" t="n">
        <v>24</v>
      </c>
      <c r="G394" t="inlineStr">
        <is>
          <t>Tennis Alberta</t>
        </is>
      </c>
      <c r="H394" t="inlineStr">
        <is>
          <t>Aforza</t>
        </is>
      </c>
      <c r="I394" t="n">
        <v>35.2</v>
      </c>
      <c r="J394" s="4" t="n">
        <v>130</v>
      </c>
      <c r="K394" t="inlineStr">
        <is>
          <t>48 / 82</t>
        </is>
      </c>
      <c r="L394" t="inlineStr">
        <is>
          <t>24 / 28</t>
        </is>
      </c>
      <c r="M394" s="5" t="n">
        <v>0.37</v>
      </c>
      <c r="N394" s="5" t="n">
        <v>0.46</v>
      </c>
    </row>
    <row r="395">
      <c r="A395" t="n">
        <v>394</v>
      </c>
      <c r="B395" t="n">
        <v>2012</v>
      </c>
      <c r="C395" t="inlineStr">
        <is>
          <t>Xinyi Zhang</t>
        </is>
      </c>
      <c r="D395">
        <f>HYPERLINK("https://ota.tournamentsoftware.com/player-profile/BCC8B346-C184-4803-9CC2-592D143B667B", "Link")</f>
        <v/>
      </c>
      <c r="E395" s="3" t="n">
        <v>144.06</v>
      </c>
      <c r="F395" s="4" t="n">
        <v>16</v>
      </c>
      <c r="G395" t="inlineStr">
        <is>
          <t>Ontario Tennis Association</t>
        </is>
      </c>
      <c r="H395" t="inlineStr">
        <is>
          <t>Marilyn Redvers Tennis Club</t>
        </is>
      </c>
      <c r="I395" t="n">
        <v>33.9</v>
      </c>
      <c r="J395" s="4" t="n">
        <v>49</v>
      </c>
      <c r="K395" t="inlineStr">
        <is>
          <t>24 / 25</t>
        </is>
      </c>
      <c r="L395" t="inlineStr">
        <is>
          <t>13 / 17</t>
        </is>
      </c>
      <c r="M395" s="5" t="n">
        <v>0.49</v>
      </c>
      <c r="N395" s="5" t="n">
        <v>0.43</v>
      </c>
    </row>
    <row r="396">
      <c r="A396" t="n">
        <v>395</v>
      </c>
      <c r="B396" t="n">
        <v>2016</v>
      </c>
      <c r="C396" t="inlineStr">
        <is>
          <t>Milana Piazza</t>
        </is>
      </c>
      <c r="D396">
        <f>HYPERLINK("https://ota.tournamentsoftware.com/player-profile/4CDBB0C3-0D8B-4D7B-873C-3CEC65600FA0", "Link")</f>
        <v/>
      </c>
      <c r="E396" s="3" t="n">
        <v>144.058</v>
      </c>
      <c r="F396" s="4" t="n">
        <v>12</v>
      </c>
      <c r="G396" t="inlineStr">
        <is>
          <t>Tennis Québec</t>
        </is>
      </c>
      <c r="H396" t="inlineStr">
        <is>
          <t>Tennis 13</t>
        </is>
      </c>
      <c r="I396" t="n">
        <v>32.9</v>
      </c>
      <c r="J396" s="4" t="n">
        <v>92</v>
      </c>
      <c r="K396" t="inlineStr">
        <is>
          <t>56 / 36</t>
        </is>
      </c>
      <c r="L396" t="inlineStr">
        <is>
          <t>23 / 8</t>
        </is>
      </c>
      <c r="M396" s="5" t="n">
        <v>0.61</v>
      </c>
      <c r="N396" s="5" t="n">
        <v>0.74</v>
      </c>
    </row>
    <row r="397">
      <c r="A397" t="n">
        <v>396</v>
      </c>
      <c r="B397" t="n">
        <v>2015</v>
      </c>
      <c r="C397" t="inlineStr">
        <is>
          <t>Vera Toptounov</t>
        </is>
      </c>
      <c r="D397">
        <f>HYPERLINK("https://ota.tournamentsoftware.com/player-profile/6AC05446-ED22-406D-9460-F30F3FC8B16B", "Link")</f>
        <v/>
      </c>
      <c r="E397" s="3" t="n">
        <v>144.013</v>
      </c>
      <c r="F397" s="4" t="n">
        <v>19</v>
      </c>
      <c r="G397" t="inlineStr">
        <is>
          <t>Ontario Tennis Association</t>
        </is>
      </c>
      <c r="H397" t="inlineStr">
        <is>
          <t>SmartVMC Racquetsports by ACE</t>
        </is>
      </c>
      <c r="I397" t="n">
        <v>35.5</v>
      </c>
      <c r="J397" s="4" t="n">
        <v>105</v>
      </c>
      <c r="K397" t="inlineStr">
        <is>
          <t>46 / 59</t>
        </is>
      </c>
      <c r="L397" t="inlineStr">
        <is>
          <t>12 / 15</t>
        </is>
      </c>
      <c r="M397" s="5" t="n">
        <v>0.44</v>
      </c>
      <c r="N397" s="5" t="n">
        <v>0.44</v>
      </c>
    </row>
    <row r="398">
      <c r="A398" t="n">
        <v>397</v>
      </c>
      <c r="B398" t="n">
        <v>2014</v>
      </c>
      <c r="C398" t="inlineStr">
        <is>
          <t>Sarah Gottlieb</t>
        </is>
      </c>
      <c r="D398">
        <f>HYPERLINK("https://ota.tournamentsoftware.com/player-profile/BD51254A-E036-424C-B89A-FB47A73C0DC5", "Link")</f>
        <v/>
      </c>
      <c r="E398" s="3" t="n">
        <v>143.604</v>
      </c>
      <c r="F398" s="4" t="n">
        <v>5</v>
      </c>
      <c r="G398" t="inlineStr">
        <is>
          <t>Tennis Québec</t>
        </is>
      </c>
      <c r="H398" t="inlineStr">
        <is>
          <t>Tennis 13</t>
        </is>
      </c>
      <c r="I398" t="n">
        <v>33.5</v>
      </c>
      <c r="J398" s="4" t="n">
        <v>92</v>
      </c>
      <c r="K398" t="inlineStr">
        <is>
          <t>46 / 46</t>
        </is>
      </c>
      <c r="L398" t="inlineStr">
        <is>
          <t>1 / 2</t>
        </is>
      </c>
      <c r="M398" s="5" t="n">
        <v>0.5</v>
      </c>
      <c r="N398" s="5" t="n">
        <v>0.33</v>
      </c>
    </row>
    <row r="399">
      <c r="A399" t="n">
        <v>398</v>
      </c>
      <c r="B399" t="n">
        <v>2015</v>
      </c>
      <c r="C399" t="inlineStr">
        <is>
          <t>Theia Zhang</t>
        </is>
      </c>
      <c r="D399">
        <f>HYPERLINK("https://ota.tournamentsoftware.com/player-profile/8628DB3F-1A24-45E1-A1F1-727AFFD593DD", "Link")</f>
        <v/>
      </c>
      <c r="E399" s="3" t="n">
        <v>142.594</v>
      </c>
      <c r="F399" s="4" t="n">
        <v>11</v>
      </c>
      <c r="G399" t="inlineStr">
        <is>
          <t>Ontario Tennis Association</t>
        </is>
      </c>
      <c r="H399" t="inlineStr">
        <is>
          <t>Premier Racquet Clubs – Mississauga</t>
        </is>
      </c>
      <c r="I399" t="n">
        <v>35.8</v>
      </c>
      <c r="J399" s="4" t="n">
        <v>102</v>
      </c>
      <c r="K399" t="inlineStr">
        <is>
          <t>48 / 54</t>
        </is>
      </c>
      <c r="L399" t="inlineStr">
        <is>
          <t>1 / 6</t>
        </is>
      </c>
      <c r="M399" s="5" t="n">
        <v>0.47</v>
      </c>
      <c r="N399" s="5" t="n">
        <v>0.14</v>
      </c>
    </row>
    <row r="400">
      <c r="A400" t="n">
        <v>399</v>
      </c>
      <c r="B400" t="n">
        <v>2012</v>
      </c>
      <c r="C400" t="inlineStr">
        <is>
          <t>Naomi Brown</t>
        </is>
      </c>
      <c r="D400">
        <f>HYPERLINK("https://ota.tournamentsoftware.com/player-profile/3302BB60-F05F-49BC-8E90-BE5B9A063576", "Link")</f>
        <v/>
      </c>
      <c r="E400" s="3" t="n">
        <v>141.455</v>
      </c>
      <c r="F400" s="4" t="n">
        <v>6</v>
      </c>
      <c r="G400" t="inlineStr">
        <is>
          <t>Ontario Tennis Association</t>
        </is>
      </c>
      <c r="H400" t="inlineStr">
        <is>
          <t>Milton Tennis Club</t>
        </is>
      </c>
      <c r="I400" t="inlineStr">
        <is>
          <t>unavailable</t>
        </is>
      </c>
      <c r="J400" s="4" t="n">
        <v>80</v>
      </c>
      <c r="K400" t="inlineStr">
        <is>
          <t>36 / 44</t>
        </is>
      </c>
      <c r="L400" t="inlineStr">
        <is>
          <t>8 / 6</t>
        </is>
      </c>
      <c r="M400" s="5" t="n">
        <v>0.45</v>
      </c>
      <c r="N400" s="5" t="n">
        <v>0.57</v>
      </c>
    </row>
    <row r="401">
      <c r="A401" t="n">
        <v>400</v>
      </c>
      <c r="B401" t="n">
        <v>2013</v>
      </c>
      <c r="C401" t="inlineStr">
        <is>
          <t>Eva Eile</t>
        </is>
      </c>
      <c r="D401">
        <f>HYPERLINK("https://ota.tournamentsoftware.com/player-profile/EE5E7036-3979-48DF-A095-8C40584653EF", "Link")</f>
        <v/>
      </c>
      <c r="E401" s="3" t="n">
        <v>138.414</v>
      </c>
      <c r="F401" s="4" t="n">
        <v>14</v>
      </c>
      <c r="G401" t="inlineStr">
        <is>
          <t>Tennis Québec</t>
        </is>
      </c>
      <c r="H401" t="inlineStr">
        <is>
          <t>Midtown Le Sporting Club Sanctuaire</t>
        </is>
      </c>
      <c r="I401" t="n">
        <v>39.2</v>
      </c>
      <c r="J401" s="4" t="n">
        <v>23</v>
      </c>
      <c r="K401" t="inlineStr">
        <is>
          <t>3 / 20</t>
        </is>
      </c>
      <c r="L401" t="inlineStr">
        <is>
          <t>0 / 9</t>
        </is>
      </c>
      <c r="M401" s="5" t="n">
        <v>0.13</v>
      </c>
      <c r="N401" s="5" t="n">
        <v>0</v>
      </c>
    </row>
    <row r="402">
      <c r="A402" t="n">
        <v>401</v>
      </c>
      <c r="B402" t="n">
        <v>2012</v>
      </c>
      <c r="C402" t="inlineStr">
        <is>
          <t>Spencer Xie</t>
        </is>
      </c>
      <c r="D402">
        <f>HYPERLINK("https://ota.tournamentsoftware.com/player-profile/E8C882F3-740E-4E76-A249-7FC036AFD1F8", "Link")</f>
        <v/>
      </c>
      <c r="E402" s="3" t="n">
        <v>138.244</v>
      </c>
      <c r="F402" s="4" t="n">
        <v>12</v>
      </c>
      <c r="G402" t="inlineStr">
        <is>
          <t>Ontario Tennis Association</t>
        </is>
      </c>
      <c r="H402" t="inlineStr">
        <is>
          <t>Granite Club</t>
        </is>
      </c>
      <c r="I402" t="n">
        <v>35.2</v>
      </c>
      <c r="J402" s="4" t="n">
        <v>71</v>
      </c>
      <c r="K402" t="inlineStr">
        <is>
          <t>19 / 52</t>
        </is>
      </c>
      <c r="L402" t="inlineStr">
        <is>
          <t>6 / 13</t>
        </is>
      </c>
      <c r="M402" s="5" t="n">
        <v>0.27</v>
      </c>
      <c r="N402" s="5" t="n">
        <v>0.32</v>
      </c>
    </row>
    <row r="403">
      <c r="A403" t="n">
        <v>402</v>
      </c>
      <c r="B403" t="n">
        <v>2013</v>
      </c>
      <c r="C403" t="inlineStr">
        <is>
          <t>Audrey Ziqi Liu</t>
        </is>
      </c>
      <c r="D403">
        <f>HYPERLINK("https://ota.tournamentsoftware.com/player-profile/C2E6156A-D7ED-45A1-B728-0FA7A8D2D6A1", "Link")</f>
        <v/>
      </c>
      <c r="E403" s="3" t="n">
        <v>138.106</v>
      </c>
      <c r="F403" s="4" t="n">
        <v>11</v>
      </c>
      <c r="G403" t="inlineStr">
        <is>
          <t>British Columbia</t>
        </is>
      </c>
      <c r="H403" t="inlineStr">
        <is>
          <t>UBC Tennis Centre</t>
        </is>
      </c>
      <c r="I403" t="n">
        <v>34.8</v>
      </c>
      <c r="J403" s="4" t="n">
        <v>28</v>
      </c>
      <c r="K403" t="inlineStr">
        <is>
          <t>9 / 19</t>
        </is>
      </c>
      <c r="L403" t="inlineStr">
        <is>
          <t>8 / 17</t>
        </is>
      </c>
      <c r="M403" s="5" t="n">
        <v>0.32</v>
      </c>
      <c r="N403" s="5" t="n">
        <v>0.32</v>
      </c>
    </row>
    <row r="404">
      <c r="A404" t="n">
        <v>403</v>
      </c>
      <c r="B404" t="n">
        <v>2012</v>
      </c>
      <c r="C404" t="inlineStr">
        <is>
          <t>Sophia Hamel</t>
        </is>
      </c>
      <c r="D404">
        <f>HYPERLINK("https://ota.tournamentsoftware.com/player-profile/D6C2A4EC-5F86-459B-A81E-7C31F47AD78D", "Link")</f>
        <v/>
      </c>
      <c r="E404" s="3" t="n">
        <v>135.331</v>
      </c>
      <c r="F404" s="4" t="n">
        <v>9</v>
      </c>
      <c r="G404" t="inlineStr">
        <is>
          <t>Tennis Québec</t>
        </is>
      </c>
      <c r="H404" t="inlineStr">
        <is>
          <t>Rouge et Or - Université Laval</t>
        </is>
      </c>
      <c r="I404" t="n">
        <v>35</v>
      </c>
      <c r="J404" s="4" t="n">
        <v>71</v>
      </c>
      <c r="K404" t="inlineStr">
        <is>
          <t>15 / 56</t>
        </is>
      </c>
      <c r="L404" t="inlineStr">
        <is>
          <t>6 / 11</t>
        </is>
      </c>
      <c r="M404" s="5" t="n">
        <v>0.21</v>
      </c>
      <c r="N404" s="5" t="n">
        <v>0.35</v>
      </c>
    </row>
    <row r="405">
      <c r="A405" t="n">
        <v>404</v>
      </c>
      <c r="B405" t="n">
        <v>2012</v>
      </c>
      <c r="C405" t="inlineStr">
        <is>
          <t>Aila Olivia Brimacombe</t>
        </is>
      </c>
      <c r="D405">
        <f>HYPERLINK("https://ota.tournamentsoftware.com/player-profile/665F5A6C-3B65-4541-A5CF-6A84DC235104", "Link")</f>
        <v/>
      </c>
      <c r="E405" s="3" t="n">
        <v>134.944</v>
      </c>
      <c r="F405" s="4" t="n">
        <v>22</v>
      </c>
      <c r="G405" t="inlineStr">
        <is>
          <t>British Columbia</t>
        </is>
      </c>
      <c r="H405" t="inlineStr">
        <is>
          <t>West Vancouver Tennis Club</t>
        </is>
      </c>
      <c r="I405" t="n">
        <v>35.6</v>
      </c>
      <c r="J405" s="4" t="n">
        <v>115</v>
      </c>
      <c r="K405" t="inlineStr">
        <is>
          <t>19 / 96</t>
        </is>
      </c>
      <c r="L405" t="inlineStr">
        <is>
          <t>9 / 31</t>
        </is>
      </c>
      <c r="M405" s="5" t="n">
        <v>0.17</v>
      </c>
      <c r="N405" s="5" t="n">
        <v>0.23</v>
      </c>
    </row>
    <row r="406">
      <c r="A406" t="n">
        <v>405</v>
      </c>
      <c r="B406" t="n">
        <v>2014</v>
      </c>
      <c r="C406" t="inlineStr">
        <is>
          <t>Melissa Yi Nuo Yang</t>
        </is>
      </c>
      <c r="D406">
        <f>HYPERLINK("https://ota.tournamentsoftware.com/player-profile/870FB276-B8EA-4586-B0F5-B2318D4B1CD6", "Link")</f>
        <v/>
      </c>
      <c r="E406" s="3" t="n">
        <v>134.37</v>
      </c>
      <c r="F406" s="4" t="n">
        <v>17</v>
      </c>
      <c r="G406" t="inlineStr">
        <is>
          <t>Tennis Québec</t>
        </is>
      </c>
      <c r="H406" t="inlineStr">
        <is>
          <t>Club Sportif Côte-de-Liesse</t>
        </is>
      </c>
      <c r="I406" t="n">
        <v>33.2</v>
      </c>
      <c r="J406" s="4" t="n">
        <v>83</v>
      </c>
      <c r="K406" t="inlineStr">
        <is>
          <t>41 / 42</t>
        </is>
      </c>
      <c r="L406" t="inlineStr">
        <is>
          <t>21 / 11</t>
        </is>
      </c>
      <c r="M406" s="5" t="n">
        <v>0.49</v>
      </c>
      <c r="N406" s="5" t="n">
        <v>0.66</v>
      </c>
    </row>
    <row r="407">
      <c r="A407" t="n">
        <v>406</v>
      </c>
      <c r="B407" t="n">
        <v>2015</v>
      </c>
      <c r="C407" t="inlineStr">
        <is>
          <t>Anya De Lain</t>
        </is>
      </c>
      <c r="D407">
        <f>HYPERLINK("https://ota.tournamentsoftware.com/player-profile/563B79E2-A8FE-4D68-B224-8FB6861F2D7F", "Link")</f>
        <v/>
      </c>
      <c r="E407" s="3" t="n">
        <v>134.241</v>
      </c>
      <c r="F407" s="4" t="n">
        <v>14</v>
      </c>
      <c r="G407" t="inlineStr">
        <is>
          <t>Tennis Québec</t>
        </is>
      </c>
      <c r="H407" t="inlineStr">
        <is>
          <t>EB Tennis inc.</t>
        </is>
      </c>
      <c r="I407" t="n">
        <v>40</v>
      </c>
      <c r="J407" s="4" t="n">
        <v>90</v>
      </c>
      <c r="K407" t="inlineStr">
        <is>
          <t>16 / 74</t>
        </is>
      </c>
      <c r="L407" t="inlineStr">
        <is>
          <t>2 / 18</t>
        </is>
      </c>
      <c r="M407" s="5" t="n">
        <v>0.18</v>
      </c>
      <c r="N407" s="5" t="n">
        <v>0.1</v>
      </c>
    </row>
    <row r="408">
      <c r="A408" t="n">
        <v>407</v>
      </c>
      <c r="B408" t="n">
        <v>2015</v>
      </c>
      <c r="C408" t="inlineStr">
        <is>
          <t>Blake Badger</t>
        </is>
      </c>
      <c r="D408">
        <f>HYPERLINK("https://ota.tournamentsoftware.com/player-profile/33B72483-1E5D-4043-8C06-81F76F0504E6", "Link")</f>
        <v/>
      </c>
      <c r="E408" s="3" t="n">
        <v>133.817</v>
      </c>
      <c r="F408" s="4" t="n">
        <v>4</v>
      </c>
      <c r="G408" t="inlineStr">
        <is>
          <t>Tennis Saskatchewan</t>
        </is>
      </c>
      <c r="H408" t="inlineStr">
        <is>
          <t>Lakeshore Tennis Club</t>
        </is>
      </c>
      <c r="I408" t="n">
        <v>38.3</v>
      </c>
      <c r="J408" s="4" t="n">
        <v>63</v>
      </c>
      <c r="K408" t="inlineStr">
        <is>
          <t>20 / 43</t>
        </is>
      </c>
      <c r="L408" t="inlineStr">
        <is>
          <t>2 / 7</t>
        </is>
      </c>
      <c r="M408" s="5" t="n">
        <v>0.32</v>
      </c>
      <c r="N408" s="5" t="n">
        <v>0.22</v>
      </c>
    </row>
    <row r="409">
      <c r="A409" t="n">
        <v>408</v>
      </c>
      <c r="B409" t="n">
        <v>2014</v>
      </c>
      <c r="C409" t="inlineStr">
        <is>
          <t>Jaynaëlle Isaac</t>
        </is>
      </c>
      <c r="D409">
        <f>HYPERLINK("https://ota.tournamentsoftware.com/player-profile/6748F07C-41D2-4D26-87D9-8636B60DC389", "Link")</f>
        <v/>
      </c>
      <c r="E409" s="3" t="n">
        <v>132.874</v>
      </c>
      <c r="F409" s="4" t="n">
        <v>11</v>
      </c>
      <c r="G409" t="inlineStr">
        <is>
          <t>Tennis Québec</t>
        </is>
      </c>
      <c r="H409" t="inlineStr">
        <is>
          <t>No Club</t>
        </is>
      </c>
      <c r="I409" t="n">
        <v>32.4</v>
      </c>
      <c r="J409" s="4" t="n">
        <v>124</v>
      </c>
      <c r="K409" t="inlineStr">
        <is>
          <t>49 / 75</t>
        </is>
      </c>
      <c r="L409" t="inlineStr">
        <is>
          <t>9 / 11</t>
        </is>
      </c>
      <c r="M409" s="5" t="n">
        <v>0.4</v>
      </c>
      <c r="N409" s="5" t="n">
        <v>0.45</v>
      </c>
    </row>
    <row r="410">
      <c r="A410" t="n">
        <v>409</v>
      </c>
      <c r="B410" t="n">
        <v>2013</v>
      </c>
      <c r="C410" t="inlineStr">
        <is>
          <t>Olivia Xing</t>
        </is>
      </c>
      <c r="D410">
        <f>HYPERLINK("https://ota.tournamentsoftware.com/player-profile/03475BC0-CC60-490A-8E94-0D82D43C8EDC", "Link")</f>
        <v/>
      </c>
      <c r="E410" s="3" t="n">
        <v>132.497</v>
      </c>
      <c r="F410" s="4" t="n">
        <v>17</v>
      </c>
      <c r="G410" t="inlineStr">
        <is>
          <t>British Columbia</t>
        </is>
      </c>
      <c r="H410" t="inlineStr">
        <is>
          <t>Vancouver Lawn Tennis and Badminton Club</t>
        </is>
      </c>
      <c r="I410" t="inlineStr">
        <is>
          <t>unavailable</t>
        </is>
      </c>
      <c r="J410" s="4" t="n">
        <v>117</v>
      </c>
      <c r="K410" t="inlineStr">
        <is>
          <t>57 / 60</t>
        </is>
      </c>
      <c r="L410" t="inlineStr">
        <is>
          <t>10 / 13</t>
        </is>
      </c>
      <c r="M410" s="5" t="n">
        <v>0.49</v>
      </c>
      <c r="N410" s="5" t="n">
        <v>0.43</v>
      </c>
    </row>
    <row r="411">
      <c r="A411" t="n">
        <v>410</v>
      </c>
      <c r="B411" t="n">
        <v>2013</v>
      </c>
      <c r="C411" t="inlineStr">
        <is>
          <t>Zoé Pilon</t>
        </is>
      </c>
      <c r="D411">
        <f>HYPERLINK("https://ota.tournamentsoftware.com/player-profile/5CF92DF6-CB3B-4E9E-9D03-B9CC6481DEBA", "Link")</f>
        <v/>
      </c>
      <c r="E411" s="3" t="n">
        <v>131.911</v>
      </c>
      <c r="F411" s="4" t="n">
        <v>11</v>
      </c>
      <c r="G411" t="inlineStr">
        <is>
          <t>Tennis Québec</t>
        </is>
      </c>
      <c r="H411" t="inlineStr">
        <is>
          <t>Tennis Interclub Piedmont</t>
        </is>
      </c>
      <c r="I411" t="n">
        <v>37.4</v>
      </c>
      <c r="J411" s="4" t="n">
        <v>21</v>
      </c>
      <c r="K411" t="inlineStr">
        <is>
          <t>7 / 14</t>
        </is>
      </c>
      <c r="L411" t="inlineStr">
        <is>
          <t>3 / 11</t>
        </is>
      </c>
      <c r="M411" s="5" t="n">
        <v>0.33</v>
      </c>
      <c r="N411" s="5" t="n">
        <v>0.21</v>
      </c>
    </row>
    <row r="412">
      <c r="A412" t="n">
        <v>411</v>
      </c>
      <c r="B412" t="n">
        <v>2015</v>
      </c>
      <c r="C412" t="inlineStr">
        <is>
          <t>Athisayah Viji</t>
        </is>
      </c>
      <c r="D412">
        <f>HYPERLINK("https://ota.tournamentsoftware.com/player-profile/C8684F68-4EF9-414D-BDA9-FC73111C2DB8", "Link")</f>
        <v/>
      </c>
      <c r="E412" s="3" t="n">
        <v>131.362</v>
      </c>
      <c r="F412" s="4" t="n">
        <v>18</v>
      </c>
      <c r="G412" t="inlineStr">
        <is>
          <t>British Columbia</t>
        </is>
      </c>
      <c r="H412" t="inlineStr">
        <is>
          <t>The Tennis Centre</t>
        </is>
      </c>
      <c r="I412" t="n">
        <v>31.9</v>
      </c>
      <c r="J412" s="4" t="n">
        <v>122</v>
      </c>
      <c r="K412" t="inlineStr">
        <is>
          <t>72 / 50</t>
        </is>
      </c>
      <c r="L412" t="inlineStr">
        <is>
          <t>32 / 15</t>
        </is>
      </c>
      <c r="M412" s="5" t="n">
        <v>0.59</v>
      </c>
      <c r="N412" s="5" t="n">
        <v>0.68</v>
      </c>
    </row>
    <row r="413">
      <c r="A413" t="n">
        <v>412</v>
      </c>
      <c r="B413" t="n">
        <v>2014</v>
      </c>
      <c r="C413" t="inlineStr">
        <is>
          <t>Grace Wu</t>
        </is>
      </c>
      <c r="D413">
        <f>HYPERLINK("https://ota.tournamentsoftware.com/player-profile/0E55C3D7-7F72-4CDB-9BC3-2D90797931A5", "Link")</f>
        <v/>
      </c>
      <c r="E413" s="3" t="n">
        <v>131.314</v>
      </c>
      <c r="F413" s="4" t="n">
        <v>7</v>
      </c>
      <c r="G413" t="inlineStr">
        <is>
          <t>British Columbia</t>
        </is>
      </c>
      <c r="H413" t="inlineStr">
        <is>
          <t>The Tennis Centre</t>
        </is>
      </c>
      <c r="I413" t="n">
        <v>32.1</v>
      </c>
      <c r="J413" s="4" t="n">
        <v>96</v>
      </c>
      <c r="K413" t="inlineStr">
        <is>
          <t>63 / 33</t>
        </is>
      </c>
      <c r="L413" t="inlineStr">
        <is>
          <t>3 / 4</t>
        </is>
      </c>
      <c r="M413" s="5" t="n">
        <v>0.66</v>
      </c>
      <c r="N413" s="5" t="n">
        <v>0.43</v>
      </c>
    </row>
    <row r="414">
      <c r="A414" t="n">
        <v>413</v>
      </c>
      <c r="B414" t="n">
        <v>2014</v>
      </c>
      <c r="C414" t="inlineStr">
        <is>
          <t>Olivia Weiwei Kong</t>
        </is>
      </c>
      <c r="D414">
        <f>HYPERLINK("https://ota.tournamentsoftware.com/player-profile/D959AEB1-2F72-4DC3-9FC0-C7595A80CDA0", "Link")</f>
        <v/>
      </c>
      <c r="E414" s="3" t="n">
        <v>130.887</v>
      </c>
      <c r="F414" s="4" t="n">
        <v>6</v>
      </c>
      <c r="G414" t="inlineStr">
        <is>
          <t>Tennis Saskatchewan</t>
        </is>
      </c>
      <c r="H414" t="inlineStr">
        <is>
          <t>Lakeshore Tennis Club</t>
        </is>
      </c>
      <c r="I414" t="n">
        <v>35.8</v>
      </c>
      <c r="J414" s="4" t="n">
        <v>91</v>
      </c>
      <c r="K414" t="inlineStr">
        <is>
          <t>23 / 68</t>
        </is>
      </c>
      <c r="L414" t="inlineStr">
        <is>
          <t>4 / 11</t>
        </is>
      </c>
      <c r="M414" s="5" t="n">
        <v>0.25</v>
      </c>
      <c r="N414" s="5" t="n">
        <v>0.27</v>
      </c>
    </row>
    <row r="415">
      <c r="A415" t="n">
        <v>414</v>
      </c>
      <c r="B415" t="n">
        <v>2016</v>
      </c>
      <c r="C415" t="inlineStr">
        <is>
          <t>Amaranna Ugwunze</t>
        </is>
      </c>
      <c r="D415">
        <f>HYPERLINK("https://ota.tournamentsoftware.com/player-profile/2C6CBEBE-C5D2-4EC5-B283-CB703335834E", "Link")</f>
        <v/>
      </c>
      <c r="E415" s="3" t="n">
        <v>130.824</v>
      </c>
      <c r="F415" s="4" t="n">
        <v>17</v>
      </c>
      <c r="G415" t="inlineStr">
        <is>
          <t>Ontario Tennis Association</t>
        </is>
      </c>
      <c r="H415" t="inlineStr">
        <is>
          <t>Ontario Racquet Club</t>
        </is>
      </c>
      <c r="I415" t="n">
        <v>34.1</v>
      </c>
      <c r="J415" s="4" t="n">
        <v>89</v>
      </c>
      <c r="K415" t="inlineStr">
        <is>
          <t>47 / 42</t>
        </is>
      </c>
      <c r="L415" t="inlineStr">
        <is>
          <t>23 / 14</t>
        </is>
      </c>
      <c r="M415" s="5" t="n">
        <v>0.53</v>
      </c>
      <c r="N415" s="5" t="n">
        <v>0.62</v>
      </c>
    </row>
    <row r="416">
      <c r="A416" t="n">
        <v>415</v>
      </c>
      <c r="B416" t="n">
        <v>2012</v>
      </c>
      <c r="C416" t="inlineStr">
        <is>
          <t>Eliana Yiannacouras</t>
        </is>
      </c>
      <c r="D416">
        <f>HYPERLINK("https://ota.tournamentsoftware.com/player-profile/B77AA2DD-5FF4-4B16-8ABD-E6ED22D4B5E1", "Link")</f>
        <v/>
      </c>
      <c r="E416" s="3" t="n">
        <v>130.395</v>
      </c>
      <c r="F416" s="4" t="n">
        <v>13</v>
      </c>
      <c r="G416" t="inlineStr">
        <is>
          <t>Ontario Tennis Association</t>
        </is>
      </c>
      <c r="H416" t="inlineStr">
        <is>
          <t>The Supreme Court Tennis Club</t>
        </is>
      </c>
      <c r="I416" t="n">
        <v>34.6</v>
      </c>
      <c r="J416" s="4" t="n">
        <v>97</v>
      </c>
      <c r="K416" t="inlineStr">
        <is>
          <t>25 / 72</t>
        </is>
      </c>
      <c r="L416" t="inlineStr">
        <is>
          <t>6 / 9</t>
        </is>
      </c>
      <c r="M416" s="5" t="n">
        <v>0.26</v>
      </c>
      <c r="N416" s="5" t="n">
        <v>0.4</v>
      </c>
    </row>
    <row r="417">
      <c r="A417" t="n">
        <v>416</v>
      </c>
      <c r="B417" t="n">
        <v>2014</v>
      </c>
      <c r="C417" t="inlineStr">
        <is>
          <t>Scarlett Hannah Yip</t>
        </is>
      </c>
      <c r="D417">
        <f>HYPERLINK("https://ota.tournamentsoftware.com/player-profile/D01B38C8-E207-4D1F-B33D-970B1F8BDC78", "Link")</f>
        <v/>
      </c>
      <c r="E417" s="3" t="n">
        <v>128.523</v>
      </c>
      <c r="F417" s="4" t="n">
        <v>12</v>
      </c>
      <c r="G417" t="inlineStr">
        <is>
          <t>Tennis Alberta</t>
        </is>
      </c>
      <c r="H417" t="inlineStr">
        <is>
          <t>Osten &amp; Victor Alberta Tennis Centre</t>
        </is>
      </c>
      <c r="I417" t="n">
        <v>33.7</v>
      </c>
      <c r="J417" s="4" t="n">
        <v>146</v>
      </c>
      <c r="K417" t="inlineStr">
        <is>
          <t>65 / 81</t>
        </is>
      </c>
      <c r="L417" t="inlineStr">
        <is>
          <t>6 / 8</t>
        </is>
      </c>
      <c r="M417" s="5" t="n">
        <v>0.45</v>
      </c>
      <c r="N417" s="5" t="n">
        <v>0.43</v>
      </c>
    </row>
    <row r="418">
      <c r="A418" t="n">
        <v>417</v>
      </c>
      <c r="B418" t="n">
        <v>2014</v>
      </c>
      <c r="C418" t="inlineStr">
        <is>
          <t>Afsoune Wassel</t>
        </is>
      </c>
      <c r="D418">
        <f>HYPERLINK("https://ota.tournamentsoftware.com/player-profile/72D5D7A1-94DE-47DF-B01E-F83205C53092", "Link")</f>
        <v/>
      </c>
      <c r="E418" s="3" t="n">
        <v>128.099</v>
      </c>
      <c r="F418" s="4" t="n">
        <v>22</v>
      </c>
      <c r="G418" t="inlineStr">
        <is>
          <t>Tennis Québec</t>
        </is>
      </c>
      <c r="H418" t="inlineStr">
        <is>
          <t>SANI Sport</t>
        </is>
      </c>
      <c r="I418" t="n">
        <v>34.7</v>
      </c>
      <c r="J418" s="4" t="n">
        <v>118</v>
      </c>
      <c r="K418" t="inlineStr">
        <is>
          <t>59 / 59</t>
        </is>
      </c>
      <c r="L418" t="inlineStr">
        <is>
          <t>7 / 13</t>
        </is>
      </c>
      <c r="M418" s="5" t="n">
        <v>0.5</v>
      </c>
      <c r="N418" s="5" t="n">
        <v>0.35</v>
      </c>
    </row>
    <row r="419">
      <c r="A419" t="n">
        <v>418</v>
      </c>
      <c r="B419" t="n">
        <v>2014</v>
      </c>
      <c r="C419" t="inlineStr">
        <is>
          <t>Mikayla Avani Mahanandan</t>
        </is>
      </c>
      <c r="D419">
        <f>HYPERLINK("https://ota.tournamentsoftware.com/player-profile/DAFD5F0F-733D-4242-B572-5905268B6041", "Link")</f>
        <v/>
      </c>
      <c r="E419" s="3" t="n">
        <v>127.05</v>
      </c>
      <c r="F419" s="4" t="n">
        <v>23</v>
      </c>
      <c r="G419" t="inlineStr">
        <is>
          <t>Ontario Tennis Association</t>
        </is>
      </c>
      <c r="H419" t="inlineStr">
        <is>
          <t>Premier Racquet Clubs – Mississauga</t>
        </is>
      </c>
      <c r="I419" t="inlineStr">
        <is>
          <t>unavailable</t>
        </is>
      </c>
      <c r="J419" s="4" t="n">
        <v>108</v>
      </c>
      <c r="K419" t="inlineStr">
        <is>
          <t>37 / 71</t>
        </is>
      </c>
      <c r="L419" t="inlineStr">
        <is>
          <t>13 / 22</t>
        </is>
      </c>
      <c r="M419" s="5" t="n">
        <v>0.34</v>
      </c>
      <c r="N419" s="5" t="n">
        <v>0.37</v>
      </c>
    </row>
    <row r="420">
      <c r="A420" t="n">
        <v>419</v>
      </c>
      <c r="B420" t="n">
        <v>2015</v>
      </c>
      <c r="C420" t="inlineStr">
        <is>
          <t>Isla Suokas</t>
        </is>
      </c>
      <c r="D420">
        <f>HYPERLINK("https://ota.tournamentsoftware.com/player-profile/4CF0CDA6-2600-4F1B-8775-31212B766E74", "Link")</f>
        <v/>
      </c>
      <c r="E420" s="3" t="n">
        <v>126</v>
      </c>
      <c r="F420" s="4" t="n">
        <v>22</v>
      </c>
      <c r="G420" t="inlineStr">
        <is>
          <t>Ontario Tennis Association</t>
        </is>
      </c>
      <c r="H420" t="inlineStr">
        <is>
          <t>Boulevard Club</t>
        </is>
      </c>
      <c r="I420" t="n">
        <v>34.7</v>
      </c>
      <c r="J420" s="4" t="n">
        <v>100</v>
      </c>
      <c r="K420" t="inlineStr">
        <is>
          <t>60 / 40</t>
        </is>
      </c>
      <c r="L420" t="inlineStr">
        <is>
          <t>25 / 17</t>
        </is>
      </c>
      <c r="M420" s="5" t="n">
        <v>0.6</v>
      </c>
      <c r="N420" s="5" t="n">
        <v>0.6</v>
      </c>
    </row>
    <row r="421">
      <c r="A421" t="n">
        <v>420</v>
      </c>
      <c r="B421" t="n">
        <v>2015</v>
      </c>
      <c r="C421" t="inlineStr">
        <is>
          <t>Xinyue Grace zhu</t>
        </is>
      </c>
      <c r="D421">
        <f>HYPERLINK("https://ota.tournamentsoftware.com/player-profile/9C1D6B37-A27B-4B15-8F8F-72E6D4418B50", "Link")</f>
        <v/>
      </c>
      <c r="E421" s="3" t="n">
        <v>124.998</v>
      </c>
      <c r="F421" s="4" t="n">
        <v>13</v>
      </c>
      <c r="G421" t="inlineStr">
        <is>
          <t>British Columbia</t>
        </is>
      </c>
      <c r="H421" t="inlineStr">
        <is>
          <t>North Vancouver Tennis Centre</t>
        </is>
      </c>
      <c r="I421" t="inlineStr">
        <is>
          <t>unavailable</t>
        </is>
      </c>
      <c r="J421" s="4" t="n">
        <v>184</v>
      </c>
      <c r="K421" t="inlineStr">
        <is>
          <t>111 / 73</t>
        </is>
      </c>
      <c r="L421" t="inlineStr">
        <is>
          <t>12 / 10</t>
        </is>
      </c>
      <c r="M421" s="5" t="n">
        <v>0.6</v>
      </c>
      <c r="N421" s="5" t="n">
        <v>0.55</v>
      </c>
    </row>
    <row r="422">
      <c r="A422" t="n">
        <v>421</v>
      </c>
      <c r="B422" t="n">
        <v>2013</v>
      </c>
      <c r="C422" t="inlineStr">
        <is>
          <t>Ella Iva Mavretic</t>
        </is>
      </c>
      <c r="D422">
        <f>HYPERLINK("https://ota.tournamentsoftware.com/player-profile/CF99D041-FAEF-47A9-BBE6-3D6335355408", "Link")</f>
        <v/>
      </c>
      <c r="E422" s="3" t="n">
        <v>123.973</v>
      </c>
      <c r="F422" s="4" t="n">
        <v>10</v>
      </c>
      <c r="G422" t="inlineStr">
        <is>
          <t>Ontario Tennis Association</t>
        </is>
      </c>
      <c r="H422" t="inlineStr">
        <is>
          <t>Pinafore Park</t>
        </is>
      </c>
      <c r="I422" t="n">
        <v>35.2</v>
      </c>
      <c r="J422" s="4" t="n">
        <v>196</v>
      </c>
      <c r="K422" t="inlineStr">
        <is>
          <t>87 / 109</t>
        </is>
      </c>
      <c r="L422" t="inlineStr">
        <is>
          <t>3 / 5</t>
        </is>
      </c>
      <c r="M422" s="5" t="n">
        <v>0.44</v>
      </c>
      <c r="N422" s="5" t="n">
        <v>0.38</v>
      </c>
    </row>
    <row r="423">
      <c r="A423" t="n">
        <v>422</v>
      </c>
      <c r="B423" t="n">
        <v>2015</v>
      </c>
      <c r="C423" t="inlineStr">
        <is>
          <t>Chloe Zhiyan Bai</t>
        </is>
      </c>
      <c r="D423">
        <f>HYPERLINK("https://ota.tournamentsoftware.com/player-profile/D190414C-9B0E-4001-86BC-CD88F7FCF827", "Link")</f>
        <v/>
      </c>
      <c r="E423" s="3" t="n">
        <v>123.895</v>
      </c>
      <c r="F423" s="4" t="n">
        <v>27</v>
      </c>
      <c r="G423" t="inlineStr">
        <is>
          <t>British Columbia</t>
        </is>
      </c>
      <c r="H423" t="inlineStr">
        <is>
          <t>Tennis BC Hub @ Richmond</t>
        </is>
      </c>
      <c r="I423" t="inlineStr">
        <is>
          <t>unavailable</t>
        </is>
      </c>
      <c r="J423" s="4" t="n">
        <v>172</v>
      </c>
      <c r="K423" t="inlineStr">
        <is>
          <t>79 / 93</t>
        </is>
      </c>
      <c r="L423" t="inlineStr">
        <is>
          <t>26 / 20</t>
        </is>
      </c>
      <c r="M423" s="5" t="n">
        <v>0.46</v>
      </c>
      <c r="N423" s="5" t="n">
        <v>0.57</v>
      </c>
    </row>
    <row r="424">
      <c r="A424" t="n">
        <v>423</v>
      </c>
      <c r="B424" t="n">
        <v>2013</v>
      </c>
      <c r="C424" t="inlineStr">
        <is>
          <t>Alyxandra Grace Bellot Wildeman</t>
        </is>
      </c>
      <c r="D424">
        <f>HYPERLINK("https://ota.tournamentsoftware.com/player-profile/E2171261-67FD-4CFA-B4F2-64D9B979CCE5", "Link")</f>
        <v/>
      </c>
      <c r="E424" s="3" t="n">
        <v>122.607</v>
      </c>
      <c r="F424" s="4" t="n">
        <v>12</v>
      </c>
      <c r="G424" t="inlineStr">
        <is>
          <t>British Columbia</t>
        </is>
      </c>
      <c r="H424" t="inlineStr">
        <is>
          <t>Vanguard Tennis Academy</t>
        </is>
      </c>
      <c r="I424" t="n">
        <v>34.1</v>
      </c>
      <c r="J424" s="4" t="n">
        <v>125</v>
      </c>
      <c r="K424" t="inlineStr">
        <is>
          <t>54 / 71</t>
        </is>
      </c>
      <c r="L424" t="inlineStr">
        <is>
          <t>10 / 13</t>
        </is>
      </c>
      <c r="M424" s="5" t="n">
        <v>0.43</v>
      </c>
      <c r="N424" s="5" t="n">
        <v>0.43</v>
      </c>
    </row>
    <row r="425">
      <c r="A425" t="n">
        <v>424</v>
      </c>
      <c r="B425" t="n">
        <v>2014</v>
      </c>
      <c r="C425" t="inlineStr">
        <is>
          <t>Olivia Lee</t>
        </is>
      </c>
      <c r="D425">
        <f>HYPERLINK("https://ota.tournamentsoftware.com/player-profile/DEF89846-A0EF-4373-B8DC-8305F756E612", "Link")</f>
        <v/>
      </c>
      <c r="E425" s="3" t="n">
        <v>122.446</v>
      </c>
      <c r="F425" s="4" t="n">
        <v>25</v>
      </c>
      <c r="G425" t="inlineStr">
        <is>
          <t>Tennis Québec</t>
        </is>
      </c>
      <c r="H425" t="inlineStr">
        <is>
          <t>SANI Sport</t>
        </is>
      </c>
      <c r="I425" t="n">
        <v>36.2</v>
      </c>
      <c r="J425" s="4" t="n">
        <v>110</v>
      </c>
      <c r="K425" t="inlineStr">
        <is>
          <t>41 / 69</t>
        </is>
      </c>
      <c r="L425" t="inlineStr">
        <is>
          <t>11 / 21</t>
        </is>
      </c>
      <c r="M425" s="5" t="n">
        <v>0.37</v>
      </c>
      <c r="N425" s="5" t="n">
        <v>0.34</v>
      </c>
    </row>
    <row r="426">
      <c r="A426" t="n">
        <v>425</v>
      </c>
      <c r="B426" t="n">
        <v>2014</v>
      </c>
      <c r="C426" t="inlineStr">
        <is>
          <t>Bella Beiqi Zhao</t>
        </is>
      </c>
      <c r="D426">
        <f>HYPERLINK("https://ota.tournamentsoftware.com/player-profile/440C1FD3-B189-4153-99D4-C9B6B43D7D03", "Link")</f>
        <v/>
      </c>
      <c r="E426" s="3" t="n">
        <v>120.871</v>
      </c>
      <c r="F426" s="4" t="n">
        <v>27</v>
      </c>
      <c r="G426" t="inlineStr">
        <is>
          <t>British Columbia</t>
        </is>
      </c>
      <c r="H426" t="inlineStr">
        <is>
          <t>No Club</t>
        </is>
      </c>
      <c r="I426" t="n">
        <v>31.8</v>
      </c>
      <c r="J426" s="4" t="n">
        <v>208</v>
      </c>
      <c r="K426" t="inlineStr">
        <is>
          <t>84 / 124</t>
        </is>
      </c>
      <c r="L426" t="inlineStr">
        <is>
          <t>22 / 24</t>
        </is>
      </c>
      <c r="M426" s="5" t="n">
        <v>0.4</v>
      </c>
      <c r="N426" s="5" t="n">
        <v>0.48</v>
      </c>
    </row>
    <row r="427">
      <c r="A427" t="n">
        <v>426</v>
      </c>
      <c r="B427" t="n">
        <v>2013</v>
      </c>
      <c r="C427" t="inlineStr">
        <is>
          <t>Ellie Patricia Wilson</t>
        </is>
      </c>
      <c r="D427">
        <f>HYPERLINK("https://ota.tournamentsoftware.com/player-profile/CB4D2A63-DEA3-4EB8-9085-4317BC39804E", "Link")</f>
        <v/>
      </c>
      <c r="E427" s="3" t="n">
        <v>119.767</v>
      </c>
      <c r="F427" s="4" t="n">
        <v>10</v>
      </c>
      <c r="G427" t="inlineStr">
        <is>
          <t>Ontario Tennis Association</t>
        </is>
      </c>
      <c r="H427" t="inlineStr">
        <is>
          <t>Milton Tennis Club</t>
        </is>
      </c>
      <c r="I427" t="n">
        <v>34.4</v>
      </c>
      <c r="J427" s="4" t="n">
        <v>64</v>
      </c>
      <c r="K427" t="inlineStr">
        <is>
          <t>23 / 41</t>
        </is>
      </c>
      <c r="L427" t="inlineStr">
        <is>
          <t>2 / 4</t>
        </is>
      </c>
      <c r="M427" s="5" t="n">
        <v>0.36</v>
      </c>
      <c r="N427" s="5" t="n">
        <v>0.33</v>
      </c>
    </row>
    <row r="428">
      <c r="A428" t="n">
        <v>427</v>
      </c>
      <c r="B428" t="n">
        <v>2014</v>
      </c>
      <c r="C428" t="inlineStr">
        <is>
          <t>Ranica Li</t>
        </is>
      </c>
      <c r="D428">
        <f>HYPERLINK("https://ota.tournamentsoftware.com/player-profile/5C189397-D536-4086-AA1D-1AD29C093438", "Link")</f>
        <v/>
      </c>
      <c r="E428" s="3" t="n">
        <v>118.051</v>
      </c>
      <c r="F428" s="4" t="n">
        <v>17</v>
      </c>
      <c r="G428" t="inlineStr">
        <is>
          <t>British Columbia</t>
        </is>
      </c>
      <c r="H428" t="inlineStr">
        <is>
          <t>The Tennis Centre</t>
        </is>
      </c>
      <c r="I428" t="n">
        <v>32.6</v>
      </c>
      <c r="J428" s="4" t="n">
        <v>86</v>
      </c>
      <c r="K428" t="inlineStr">
        <is>
          <t>49 / 37</t>
        </is>
      </c>
      <c r="L428" t="inlineStr">
        <is>
          <t>25 / 14</t>
        </is>
      </c>
      <c r="M428" s="5" t="n">
        <v>0.57</v>
      </c>
      <c r="N428" s="5" t="n">
        <v>0.64</v>
      </c>
    </row>
    <row r="429">
      <c r="A429" t="n">
        <v>428</v>
      </c>
      <c r="B429" t="n">
        <v>2012</v>
      </c>
      <c r="C429" t="inlineStr">
        <is>
          <t>Myra Chowdhary</t>
        </is>
      </c>
      <c r="D429">
        <f>HYPERLINK("https://ota.tournamentsoftware.com/player-profile/CE7139B1-580D-4EF4-A747-D0E1E897EAFB", "Link")</f>
        <v/>
      </c>
      <c r="E429" s="3" t="n">
        <v>118.026</v>
      </c>
      <c r="F429" s="4" t="n">
        <v>8</v>
      </c>
      <c r="G429" t="inlineStr">
        <is>
          <t>Ontario Tennis Association</t>
        </is>
      </c>
      <c r="H429" t="inlineStr">
        <is>
          <t>Youngs Sportsplex</t>
        </is>
      </c>
      <c r="I429" t="n">
        <v>38.3</v>
      </c>
      <c r="J429" s="4" t="n">
        <v>39</v>
      </c>
      <c r="K429" t="inlineStr">
        <is>
          <t>12 / 27</t>
        </is>
      </c>
      <c r="L429" t="inlineStr">
        <is>
          <t>4 / 11</t>
        </is>
      </c>
      <c r="M429" s="5" t="n">
        <v>0.31</v>
      </c>
      <c r="N429" s="5" t="n">
        <v>0.27</v>
      </c>
    </row>
    <row r="430">
      <c r="A430" t="n">
        <v>429</v>
      </c>
      <c r="B430" t="n">
        <v>2013</v>
      </c>
      <c r="C430" t="inlineStr">
        <is>
          <t>Zaria Antonella Tambini</t>
        </is>
      </c>
      <c r="D430">
        <f>HYPERLINK("https://ota.tournamentsoftware.com/player-profile/92DDE685-2967-4CDD-8CA6-2827E6AC3AEB", "Link")</f>
        <v/>
      </c>
      <c r="E430" s="3" t="n">
        <v>117.899</v>
      </c>
      <c r="F430" s="4" t="n">
        <v>7</v>
      </c>
      <c r="G430" t="inlineStr">
        <is>
          <t>Ontario Tennis Association</t>
        </is>
      </c>
      <c r="H430" t="inlineStr">
        <is>
          <t>Headwaters Racquet Club</t>
        </is>
      </c>
      <c r="I430" t="n">
        <v>38</v>
      </c>
      <c r="J430" s="4" t="n">
        <v>25</v>
      </c>
      <c r="K430" t="inlineStr">
        <is>
          <t>10 / 15</t>
        </is>
      </c>
      <c r="L430" t="inlineStr">
        <is>
          <t>5 / 13</t>
        </is>
      </c>
      <c r="M430" s="5" t="n">
        <v>0.4</v>
      </c>
      <c r="N430" s="5" t="n">
        <v>0.28</v>
      </c>
    </row>
    <row r="431">
      <c r="A431" t="n">
        <v>430</v>
      </c>
      <c r="B431" t="n">
        <v>2015</v>
      </c>
      <c r="C431" t="inlineStr">
        <is>
          <t>Grace Raymond</t>
        </is>
      </c>
      <c r="D431">
        <f>HYPERLINK("https://ota.tournamentsoftware.com/player-profile/879338D5-D59E-4EA6-A8E9-135220F52905", "Link")</f>
        <v/>
      </c>
      <c r="E431" s="3" t="n">
        <v>117.654</v>
      </c>
      <c r="F431" s="4" t="n">
        <v>14</v>
      </c>
      <c r="G431" t="inlineStr">
        <is>
          <t>Tennis Alberta</t>
        </is>
      </c>
      <c r="H431" t="inlineStr">
        <is>
          <t>Osten &amp; Victor Alberta Tennis Centre</t>
        </is>
      </c>
      <c r="I431" t="n">
        <v>35.7</v>
      </c>
      <c r="J431" s="4" t="n">
        <v>69</v>
      </c>
      <c r="K431" t="inlineStr">
        <is>
          <t>30 / 39</t>
        </is>
      </c>
      <c r="L431" t="inlineStr">
        <is>
          <t>5 / 10</t>
        </is>
      </c>
      <c r="M431" s="5" t="n">
        <v>0.43</v>
      </c>
      <c r="N431" s="5" t="n">
        <v>0.33</v>
      </c>
    </row>
    <row r="432">
      <c r="A432" t="n">
        <v>431</v>
      </c>
      <c r="B432" t="n">
        <v>2015</v>
      </c>
      <c r="C432" t="inlineStr">
        <is>
          <t>Emma Plugaru</t>
        </is>
      </c>
      <c r="D432">
        <f>HYPERLINK("https://ota.tournamentsoftware.com/player-profile/A8C9C47A-4B9A-43CD-97A6-5516A6BAA15D", "Link")</f>
        <v/>
      </c>
      <c r="E432" s="3" t="n">
        <v>117.51</v>
      </c>
      <c r="F432" s="4" t="n">
        <v>16</v>
      </c>
      <c r="G432" t="inlineStr">
        <is>
          <t>Tennis Québec</t>
        </is>
      </c>
      <c r="H432" t="inlineStr">
        <is>
          <t>Tennis 13</t>
        </is>
      </c>
      <c r="I432" t="n">
        <v>33.6</v>
      </c>
      <c r="J432" s="4" t="n">
        <v>131</v>
      </c>
      <c r="K432" t="inlineStr">
        <is>
          <t>72 / 59</t>
        </is>
      </c>
      <c r="L432" t="inlineStr">
        <is>
          <t>19 / 10</t>
        </is>
      </c>
      <c r="M432" s="5" t="n">
        <v>0.55</v>
      </c>
      <c r="N432" s="5" t="n">
        <v>0.66</v>
      </c>
    </row>
    <row r="433">
      <c r="A433" t="n">
        <v>432</v>
      </c>
      <c r="B433" t="n">
        <v>2015</v>
      </c>
      <c r="C433" t="inlineStr">
        <is>
          <t>Mia Pan</t>
        </is>
      </c>
      <c r="D433">
        <f>HYPERLINK("https://ota.tournamentsoftware.com/player-profile/AC58096C-5119-4221-95E0-C06E89FC8EFF", "Link")</f>
        <v/>
      </c>
      <c r="E433" s="3" t="n">
        <v>116.37</v>
      </c>
      <c r="F433" s="4" t="n">
        <v>17</v>
      </c>
      <c r="G433" t="inlineStr">
        <is>
          <t>British Columbia</t>
        </is>
      </c>
      <c r="H433" t="inlineStr">
        <is>
          <t>Vanguard Tennis Academy</t>
        </is>
      </c>
      <c r="I433" t="inlineStr">
        <is>
          <t>unavailable</t>
        </is>
      </c>
      <c r="J433" s="4" t="n">
        <v>123</v>
      </c>
      <c r="K433" t="inlineStr">
        <is>
          <t>70 / 53</t>
        </is>
      </c>
      <c r="L433" t="inlineStr">
        <is>
          <t>26 / 19</t>
        </is>
      </c>
      <c r="M433" s="5" t="n">
        <v>0.57</v>
      </c>
      <c r="N433" s="5" t="n">
        <v>0.58</v>
      </c>
    </row>
    <row r="434">
      <c r="A434" t="n">
        <v>433</v>
      </c>
      <c r="B434" t="n">
        <v>2015</v>
      </c>
      <c r="C434" t="inlineStr">
        <is>
          <t>Sofia Bulynko</t>
        </is>
      </c>
      <c r="D434">
        <f>HYPERLINK("https://ota.tournamentsoftware.com/player-profile/88C213E0-0960-44DC-B9B0-66B1ADEE699B", "Link")</f>
        <v/>
      </c>
      <c r="E434" s="3" t="n">
        <v>116.274</v>
      </c>
      <c r="F434" s="4" t="n">
        <v>10</v>
      </c>
      <c r="G434" t="inlineStr">
        <is>
          <t>Ontario Tennis Association</t>
        </is>
      </c>
      <c r="H434" t="inlineStr">
        <is>
          <t>National Tennis School</t>
        </is>
      </c>
      <c r="I434" t="n">
        <v>35.5</v>
      </c>
      <c r="J434" s="4" t="n">
        <v>53</v>
      </c>
      <c r="K434" t="inlineStr">
        <is>
          <t>27 / 26</t>
        </is>
      </c>
      <c r="L434" t="inlineStr">
        <is>
          <t>10 / 9</t>
        </is>
      </c>
      <c r="M434" s="5" t="n">
        <v>0.51</v>
      </c>
      <c r="N434" s="5" t="n">
        <v>0.53</v>
      </c>
    </row>
    <row r="435">
      <c r="A435" t="n">
        <v>434</v>
      </c>
      <c r="B435" t="n">
        <v>2014</v>
      </c>
      <c r="C435" t="inlineStr">
        <is>
          <t>myra Malik</t>
        </is>
      </c>
      <c r="D435">
        <f>HYPERLINK("https://ota.tournamentsoftware.com/player-profile/B5B677E5-44EA-48DD-95B7-05BF38E3758B", "Link")</f>
        <v/>
      </c>
      <c r="E435" s="3" t="n">
        <v>116.004</v>
      </c>
      <c r="F435" s="4" t="n">
        <v>25</v>
      </c>
      <c r="G435" t="inlineStr">
        <is>
          <t>British Columbia</t>
        </is>
      </c>
      <c r="H435" t="inlineStr">
        <is>
          <t>The Tennis Centre</t>
        </is>
      </c>
      <c r="I435" t="n">
        <v>33.3</v>
      </c>
      <c r="J435" s="4" t="n">
        <v>64</v>
      </c>
      <c r="K435" t="inlineStr">
        <is>
          <t>29 / 35</t>
        </is>
      </c>
      <c r="L435" t="inlineStr">
        <is>
          <t>22 / 21</t>
        </is>
      </c>
      <c r="M435" s="5" t="n">
        <v>0.45</v>
      </c>
      <c r="N435" s="5" t="n">
        <v>0.51</v>
      </c>
    </row>
    <row r="436">
      <c r="A436" t="n">
        <v>435</v>
      </c>
      <c r="B436" t="n">
        <v>2013</v>
      </c>
      <c r="C436" t="inlineStr">
        <is>
          <t>LEAH SHOJAIE</t>
        </is>
      </c>
      <c r="D436">
        <f>HYPERLINK("https://ota.tournamentsoftware.com/player-profile/A1DEEE7E-F9FE-4AA1-9DCF-5A3FDD2E189E", "Link")</f>
        <v/>
      </c>
      <c r="E436" s="3" t="n">
        <v>114.984</v>
      </c>
      <c r="F436" s="4" t="n">
        <v>10</v>
      </c>
      <c r="G436" t="inlineStr">
        <is>
          <t>Ontario Tennis Association</t>
        </is>
      </c>
      <c r="H436" t="inlineStr">
        <is>
          <t>Valan Tennis Academy</t>
        </is>
      </c>
      <c r="I436" t="n">
        <v>36.5</v>
      </c>
      <c r="J436" s="4" t="n">
        <v>15</v>
      </c>
      <c r="K436" t="inlineStr">
        <is>
          <t>4 / 11</t>
        </is>
      </c>
      <c r="L436" t="inlineStr">
        <is>
          <t>4 / 11</t>
        </is>
      </c>
      <c r="M436" s="5" t="n">
        <v>0.27</v>
      </c>
      <c r="N436" s="5" t="n">
        <v>0.27</v>
      </c>
    </row>
    <row r="437">
      <c r="A437" t="n">
        <v>436</v>
      </c>
      <c r="B437" t="n">
        <v>2015</v>
      </c>
      <c r="C437" t="inlineStr">
        <is>
          <t>Juliet Lauture</t>
        </is>
      </c>
      <c r="D437">
        <f>HYPERLINK("https://ota.tournamentsoftware.com/player-profile/70FC879C-9BB0-4123-BE70-BCB588C22C80", "Link")</f>
        <v/>
      </c>
      <c r="E437" s="3" t="n">
        <v>114.228</v>
      </c>
      <c r="F437" s="4" t="n">
        <v>23</v>
      </c>
      <c r="G437" t="inlineStr">
        <is>
          <t>Tennis Québec</t>
        </is>
      </c>
      <c r="H437" t="inlineStr">
        <is>
          <t>Club Sportif Côte-de-Liesse</t>
        </is>
      </c>
      <c r="I437" t="n">
        <v>35.6</v>
      </c>
      <c r="J437" s="4" t="n">
        <v>106</v>
      </c>
      <c r="K437" t="inlineStr">
        <is>
          <t>59 / 47</t>
        </is>
      </c>
      <c r="L437" t="inlineStr">
        <is>
          <t>20 / 19</t>
        </is>
      </c>
      <c r="M437" s="5" t="n">
        <v>0.5600000000000001</v>
      </c>
      <c r="N437" s="5" t="n">
        <v>0.51</v>
      </c>
    </row>
    <row r="438">
      <c r="A438" t="n">
        <v>437</v>
      </c>
      <c r="B438" t="n">
        <v>2012</v>
      </c>
      <c r="C438" t="inlineStr">
        <is>
          <t>Zeyu (Anne) Xu</t>
        </is>
      </c>
      <c r="D438">
        <f>HYPERLINK("https://ota.tournamentsoftware.com/player-profile/7D4E0E2F-DC2C-4911-BF16-A07E84364BB7", "Link")</f>
        <v/>
      </c>
      <c r="E438" s="3" t="n">
        <v>113.598</v>
      </c>
      <c r="F438" s="4" t="n">
        <v>9</v>
      </c>
      <c r="G438" t="inlineStr">
        <is>
          <t>British Columbia</t>
        </is>
      </c>
      <c r="H438" t="inlineStr">
        <is>
          <t>Tennis BC Hub @ Richmond</t>
        </is>
      </c>
      <c r="I438" t="n">
        <v>34.6</v>
      </c>
      <c r="J438" s="4" t="n">
        <v>109</v>
      </c>
      <c r="K438" t="inlineStr">
        <is>
          <t>26 / 83</t>
        </is>
      </c>
      <c r="L438" t="inlineStr">
        <is>
          <t>4 / 13</t>
        </is>
      </c>
      <c r="M438" s="5" t="n">
        <v>0.24</v>
      </c>
      <c r="N438" s="5" t="n">
        <v>0.24</v>
      </c>
    </row>
    <row r="439">
      <c r="A439" t="n">
        <v>438</v>
      </c>
      <c r="B439" t="n">
        <v>2015</v>
      </c>
      <c r="C439" t="inlineStr">
        <is>
          <t>Misia Ania Pietras</t>
        </is>
      </c>
      <c r="D439">
        <f>HYPERLINK("https://ota.tournamentsoftware.com/player-profile/81A2D044-B79D-4C29-B0B3-9E7AF48F2811", "Link")</f>
        <v/>
      </c>
      <c r="E439" s="3" t="n">
        <v>113.264</v>
      </c>
      <c r="F439" s="4" t="n">
        <v>16</v>
      </c>
      <c r="G439" t="inlineStr">
        <is>
          <t>Ontario Tennis Association</t>
        </is>
      </c>
      <c r="H439" t="inlineStr">
        <is>
          <t>The Tennis School</t>
        </is>
      </c>
      <c r="I439" t="n">
        <v>35.4</v>
      </c>
      <c r="J439" s="4" t="n">
        <v>57</v>
      </c>
      <c r="K439" t="inlineStr">
        <is>
          <t>32 / 25</t>
        </is>
      </c>
      <c r="L439" t="inlineStr">
        <is>
          <t>15 / 10</t>
        </is>
      </c>
      <c r="M439" s="5" t="n">
        <v>0.5600000000000001</v>
      </c>
      <c r="N439" s="5" t="n">
        <v>0.6</v>
      </c>
    </row>
    <row r="440">
      <c r="A440" t="n">
        <v>439</v>
      </c>
      <c r="B440" t="n">
        <v>2013</v>
      </c>
      <c r="C440" t="inlineStr">
        <is>
          <t>Stella Marion Thoms</t>
        </is>
      </c>
      <c r="D440">
        <f>HYPERLINK("https://ota.tournamentsoftware.com/player-profile/26731833-04E0-4736-BC60-733715112E5E", "Link")</f>
        <v/>
      </c>
      <c r="E440" s="3" t="n">
        <v>113.237</v>
      </c>
      <c r="F440" s="4" t="n">
        <v>7</v>
      </c>
      <c r="G440" t="inlineStr">
        <is>
          <t>Tennis Newfoundland &amp; Labrador</t>
        </is>
      </c>
      <c r="H440" t="inlineStr">
        <is>
          <t>Riverdale Tennis Club</t>
        </is>
      </c>
      <c r="I440" t="n">
        <v>34.7</v>
      </c>
      <c r="J440" s="4" t="n">
        <v>44</v>
      </c>
      <c r="K440" t="inlineStr">
        <is>
          <t>25 / 19</t>
        </is>
      </c>
      <c r="L440" t="inlineStr">
        <is>
          <t>5 / 7</t>
        </is>
      </c>
      <c r="M440" s="5" t="n">
        <v>0.57</v>
      </c>
      <c r="N440" s="5" t="n">
        <v>0.42</v>
      </c>
    </row>
    <row r="441">
      <c r="A441" t="n">
        <v>440</v>
      </c>
      <c r="B441" t="n">
        <v>2014</v>
      </c>
      <c r="C441" t="inlineStr">
        <is>
          <t>Maxine Andrea Subsuban</t>
        </is>
      </c>
      <c r="D441">
        <f>HYPERLINK("https://ota.tournamentsoftware.com/player-profile/330D8089-39D5-4A22-8596-8BAAF8D4E02E", "Link")</f>
        <v/>
      </c>
      <c r="E441" s="3" t="n">
        <v>112.585</v>
      </c>
      <c r="F441" s="4" t="n">
        <v>10</v>
      </c>
      <c r="G441" t="inlineStr">
        <is>
          <t>Tennis Alberta</t>
        </is>
      </c>
      <c r="H441" t="inlineStr">
        <is>
          <t>Osten &amp; Victor Alberta Tennis Centre</t>
        </is>
      </c>
      <c r="I441" t="inlineStr">
        <is>
          <t>unavailable</t>
        </is>
      </c>
      <c r="J441" s="4" t="n">
        <v>103</v>
      </c>
      <c r="K441" t="inlineStr">
        <is>
          <t>42 / 61</t>
        </is>
      </c>
      <c r="L441" t="inlineStr">
        <is>
          <t>8 / 10</t>
        </is>
      </c>
      <c r="M441" s="5" t="n">
        <v>0.41</v>
      </c>
      <c r="N441" s="5" t="n">
        <v>0.44</v>
      </c>
    </row>
    <row r="442">
      <c r="A442" t="n">
        <v>441</v>
      </c>
      <c r="B442" t="n">
        <v>2014</v>
      </c>
      <c r="C442" t="inlineStr">
        <is>
          <t>Sonia Leung</t>
        </is>
      </c>
      <c r="D442">
        <f>HYPERLINK("https://ota.tournamentsoftware.com/player-profile/CCA302B0-3E0B-42DA-BCF9-B1A9AF0035E5", "Link")</f>
        <v/>
      </c>
      <c r="E442" s="3" t="n">
        <v>112.32</v>
      </c>
      <c r="F442" s="4" t="n">
        <v>17</v>
      </c>
      <c r="G442" t="inlineStr">
        <is>
          <t>Ontario Tennis Association</t>
        </is>
      </c>
      <c r="H442" t="inlineStr">
        <is>
          <t>Toronto Tennis Academy</t>
        </is>
      </c>
      <c r="I442" t="n">
        <v>34.4</v>
      </c>
      <c r="J442" s="4" t="n">
        <v>63</v>
      </c>
      <c r="K442" t="inlineStr">
        <is>
          <t>30 / 33</t>
        </is>
      </c>
      <c r="L442" t="inlineStr">
        <is>
          <t>21 / 13</t>
        </is>
      </c>
      <c r="M442" s="5" t="n">
        <v>0.48</v>
      </c>
      <c r="N442" s="5" t="n">
        <v>0.62</v>
      </c>
    </row>
    <row r="443">
      <c r="A443" t="n">
        <v>442</v>
      </c>
      <c r="B443" t="n">
        <v>2015</v>
      </c>
      <c r="C443" t="inlineStr">
        <is>
          <t>Arianna Marquez</t>
        </is>
      </c>
      <c r="D443">
        <f>HYPERLINK("https://ota.tournamentsoftware.com/player-profile/ABB23AE3-6EC2-498B-AA4D-BB89BCBF0088", "Link")</f>
        <v/>
      </c>
      <c r="E443" s="3" t="n">
        <v>112.229</v>
      </c>
      <c r="F443" s="4" t="n">
        <v>16</v>
      </c>
      <c r="G443" t="inlineStr">
        <is>
          <t>Tennis Alberta</t>
        </is>
      </c>
      <c r="H443" t="inlineStr">
        <is>
          <t>Saville Community Sports Centre</t>
        </is>
      </c>
      <c r="I443" t="n">
        <v>33.6</v>
      </c>
      <c r="J443" s="4" t="n">
        <v>141</v>
      </c>
      <c r="K443" t="inlineStr">
        <is>
          <t>90 / 51</t>
        </is>
      </c>
      <c r="L443" t="inlineStr">
        <is>
          <t>14 / 17</t>
        </is>
      </c>
      <c r="M443" s="5" t="n">
        <v>0.64</v>
      </c>
      <c r="N443" s="5" t="n">
        <v>0.45</v>
      </c>
    </row>
    <row r="444">
      <c r="A444" t="n">
        <v>443</v>
      </c>
      <c r="B444" t="n">
        <v>2012</v>
      </c>
      <c r="C444" t="inlineStr">
        <is>
          <t>Isabella Sofia Zrnic</t>
        </is>
      </c>
      <c r="D444">
        <f>HYPERLINK("https://ota.tournamentsoftware.com/player-profile/C8963CF4-1E95-43AF-B92C-08778B2BA616", "Link")</f>
        <v/>
      </c>
      <c r="E444" s="3" t="n">
        <v>112.046</v>
      </c>
      <c r="F444" s="4" t="n">
        <v>13</v>
      </c>
      <c r="G444" t="inlineStr">
        <is>
          <t>Ontario Tennis Association</t>
        </is>
      </c>
      <c r="H444" t="inlineStr">
        <is>
          <t>Lawrence Park Tennis Club</t>
        </is>
      </c>
      <c r="I444" t="n">
        <v>35.4</v>
      </c>
      <c r="J444" s="4" t="n">
        <v>66</v>
      </c>
      <c r="K444" t="inlineStr">
        <is>
          <t>27 / 39</t>
        </is>
      </c>
      <c r="L444" t="inlineStr">
        <is>
          <t>6 / 9</t>
        </is>
      </c>
      <c r="M444" s="5" t="n">
        <v>0.41</v>
      </c>
      <c r="N444" s="5" t="n">
        <v>0.4</v>
      </c>
    </row>
    <row r="445">
      <c r="A445" t="n">
        <v>444</v>
      </c>
      <c r="B445" t="n">
        <v>2013</v>
      </c>
      <c r="C445" t="inlineStr">
        <is>
          <t>Darcia Rabezandriny</t>
        </is>
      </c>
      <c r="D445">
        <f>HYPERLINK("https://ota.tournamentsoftware.com/player-profile/52069260-9644-4FA6-A8E4-10B4E037765E", "Link")</f>
        <v/>
      </c>
      <c r="E445" s="3" t="n">
        <v>110.988</v>
      </c>
      <c r="F445" s="4" t="n">
        <v>9</v>
      </c>
      <c r="G445" t="inlineStr">
        <is>
          <t>Tennis Québec</t>
        </is>
      </c>
      <c r="H445" t="inlineStr">
        <is>
          <t>AA Autre club</t>
        </is>
      </c>
      <c r="I445" t="n">
        <v>34.6</v>
      </c>
      <c r="J445" s="4" t="n">
        <v>157</v>
      </c>
      <c r="K445" t="inlineStr">
        <is>
          <t>82 / 75</t>
        </is>
      </c>
      <c r="L445" t="inlineStr">
        <is>
          <t>7 / 8</t>
        </is>
      </c>
      <c r="M445" s="5" t="n">
        <v>0.52</v>
      </c>
      <c r="N445" s="5" t="n">
        <v>0.47</v>
      </c>
    </row>
    <row r="446">
      <c r="A446" t="n">
        <v>445</v>
      </c>
      <c r="B446" t="n">
        <v>2014</v>
      </c>
      <c r="C446" t="inlineStr">
        <is>
          <t>Audrey JIA</t>
        </is>
      </c>
      <c r="D446">
        <f>HYPERLINK("https://ota.tournamentsoftware.com/player-profile/3F7A519A-489C-490B-9AA2-F4FCBBCA474F", "Link")</f>
        <v/>
      </c>
      <c r="E446" s="3" t="n">
        <v>110.649</v>
      </c>
      <c r="F446" s="4" t="n">
        <v>18</v>
      </c>
      <c r="G446" t="inlineStr">
        <is>
          <t>Ontario Tennis Association</t>
        </is>
      </c>
      <c r="H446" t="inlineStr">
        <is>
          <t>Newmarket Community Tennis Club</t>
        </is>
      </c>
      <c r="I446" t="inlineStr">
        <is>
          <t>unavailable</t>
        </is>
      </c>
      <c r="J446" s="4" t="n">
        <v>89</v>
      </c>
      <c r="K446" t="inlineStr">
        <is>
          <t>48 / 41</t>
        </is>
      </c>
      <c r="L446" t="inlineStr">
        <is>
          <t>31 / 14</t>
        </is>
      </c>
      <c r="M446" s="5" t="n">
        <v>0.54</v>
      </c>
      <c r="N446" s="5" t="n">
        <v>0.6899999999999999</v>
      </c>
    </row>
    <row r="447">
      <c r="A447" t="n">
        <v>446</v>
      </c>
      <c r="B447" t="n">
        <v>2013</v>
      </c>
      <c r="C447" t="inlineStr">
        <is>
          <t>LeeZann Lai</t>
        </is>
      </c>
      <c r="D447">
        <f>HYPERLINK("https://ota.tournamentsoftware.com/player-profile/F653FB3B-D606-4799-98B3-B9B8F7D1D120", "Link")</f>
        <v/>
      </c>
      <c r="E447" s="3" t="n">
        <v>110.16</v>
      </c>
      <c r="F447" s="4" t="n">
        <v>14</v>
      </c>
      <c r="G447" t="inlineStr">
        <is>
          <t>Ontario Tennis Association</t>
        </is>
      </c>
      <c r="H447" t="inlineStr">
        <is>
          <t>Don Mills Tennis Club</t>
        </is>
      </c>
      <c r="I447" t="n">
        <v>34.6</v>
      </c>
      <c r="J447" s="4" t="n">
        <v>53</v>
      </c>
      <c r="K447" t="inlineStr">
        <is>
          <t>22 / 31</t>
        </is>
      </c>
      <c r="L447" t="inlineStr">
        <is>
          <t>6 / 11</t>
        </is>
      </c>
      <c r="M447" s="5" t="n">
        <v>0.42</v>
      </c>
      <c r="N447" s="5" t="n">
        <v>0.35</v>
      </c>
    </row>
    <row r="448">
      <c r="A448" t="n">
        <v>447</v>
      </c>
      <c r="B448" t="n">
        <v>2015</v>
      </c>
      <c r="C448" t="inlineStr">
        <is>
          <t>Namasya Nakul</t>
        </is>
      </c>
      <c r="D448">
        <f>HYPERLINK("https://ota.tournamentsoftware.com/player-profile/30AB6566-4805-4DA5-90A9-E6D59F3D0D64", "Link")</f>
        <v/>
      </c>
      <c r="E448" s="3" t="n">
        <v>109.619</v>
      </c>
      <c r="F448" s="4" t="n">
        <v>18</v>
      </c>
      <c r="G448" t="inlineStr">
        <is>
          <t>British Columbia</t>
        </is>
      </c>
      <c r="H448" t="inlineStr">
        <is>
          <t>Richmond Country Club</t>
        </is>
      </c>
      <c r="I448" t="n">
        <v>33.4</v>
      </c>
      <c r="J448" s="4" t="n">
        <v>117</v>
      </c>
      <c r="K448" t="inlineStr">
        <is>
          <t>63 / 54</t>
        </is>
      </c>
      <c r="L448" t="inlineStr">
        <is>
          <t>23 / 18</t>
        </is>
      </c>
      <c r="M448" s="5" t="n">
        <v>0.54</v>
      </c>
      <c r="N448" s="5" t="n">
        <v>0.5600000000000001</v>
      </c>
    </row>
    <row r="449">
      <c r="A449" t="n">
        <v>448</v>
      </c>
      <c r="B449" t="n">
        <v>2012</v>
      </c>
      <c r="C449" t="inlineStr">
        <is>
          <t>Rachael Qing Xu</t>
        </is>
      </c>
      <c r="D449">
        <f>HYPERLINK("https://ota.tournamentsoftware.com/player-profile/EF0FB6C4-F27A-45FB-BD75-3C3F4D9EF188", "Link")</f>
        <v/>
      </c>
      <c r="E449" s="3" t="n">
        <v>108.876</v>
      </c>
      <c r="F449" s="4" t="n">
        <v>2</v>
      </c>
      <c r="G449" t="inlineStr">
        <is>
          <t>Ontario Tennis Association</t>
        </is>
      </c>
      <c r="H449" t="inlineStr">
        <is>
          <t>Rosedale Tennis Club (Hamilton)</t>
        </is>
      </c>
      <c r="I449" t="n">
        <v>37.2</v>
      </c>
      <c r="J449" s="4" t="n">
        <v>55</v>
      </c>
      <c r="K449" t="inlineStr">
        <is>
          <t>20 / 35</t>
        </is>
      </c>
      <c r="L449" t="inlineStr">
        <is>
          <t>0 / 0</t>
        </is>
      </c>
      <c r="M449" s="5" t="n">
        <v>0.36</v>
      </c>
      <c r="N449" s="5" t="n">
        <v>0</v>
      </c>
    </row>
    <row r="450">
      <c r="A450" t="n">
        <v>449</v>
      </c>
      <c r="B450" t="n">
        <v>2014</v>
      </c>
      <c r="C450" t="inlineStr">
        <is>
          <t>SHANAYA CHAUDHARY</t>
        </is>
      </c>
      <c r="D450">
        <f>HYPERLINK("https://ota.tournamentsoftware.com/player-profile/72814258-2663-4B9E-9EB1-0A804D79578E", "Link")</f>
        <v/>
      </c>
      <c r="E450" s="3" t="n">
        <v>107.581</v>
      </c>
      <c r="F450" s="4" t="n">
        <v>9</v>
      </c>
      <c r="G450" t="inlineStr">
        <is>
          <t>Ontario Tennis Association</t>
        </is>
      </c>
      <c r="H450" t="inlineStr">
        <is>
          <t>Waterloo Tennis Club</t>
        </is>
      </c>
      <c r="I450" t="inlineStr">
        <is>
          <t>unavailable</t>
        </is>
      </c>
      <c r="J450" s="4" t="n">
        <v>24</v>
      </c>
      <c r="K450" t="inlineStr">
        <is>
          <t>15 / 9</t>
        </is>
      </c>
      <c r="L450" t="inlineStr">
        <is>
          <t>11 / 6</t>
        </is>
      </c>
      <c r="M450" s="5" t="n">
        <v>0.62</v>
      </c>
      <c r="N450" s="5" t="n">
        <v>0.65</v>
      </c>
    </row>
    <row r="451">
      <c r="A451" t="n">
        <v>450</v>
      </c>
      <c r="B451" t="n">
        <v>2013</v>
      </c>
      <c r="C451" t="inlineStr">
        <is>
          <t>Murphy Mofei Gao</t>
        </is>
      </c>
      <c r="D451">
        <f>HYPERLINK("https://ota.tournamentsoftware.com/player-profile/64A4B4DB-7753-451A-A411-16FC49084860", "Link")</f>
        <v/>
      </c>
      <c r="E451" s="3" t="n">
        <v>107.489</v>
      </c>
      <c r="F451" s="4" t="n">
        <v>17</v>
      </c>
      <c r="G451" t="inlineStr">
        <is>
          <t>British Columbia</t>
        </is>
      </c>
      <c r="H451" t="inlineStr">
        <is>
          <t>No Club</t>
        </is>
      </c>
      <c r="I451" t="n">
        <v>37.3</v>
      </c>
      <c r="J451" s="4" t="n">
        <v>141</v>
      </c>
      <c r="K451" t="inlineStr">
        <is>
          <t>19 / 122</t>
        </is>
      </c>
      <c r="L451" t="inlineStr">
        <is>
          <t>4 / 26</t>
        </is>
      </c>
      <c r="M451" s="5" t="n">
        <v>0.13</v>
      </c>
      <c r="N451" s="5" t="n">
        <v>0.13</v>
      </c>
    </row>
    <row r="452">
      <c r="A452" t="n">
        <v>451</v>
      </c>
      <c r="B452" t="n">
        <v>2014</v>
      </c>
      <c r="C452" t="inlineStr">
        <is>
          <t>Emily Ke</t>
        </is>
      </c>
      <c r="D452">
        <f>HYPERLINK("https://ota.tournamentsoftware.com/player-profile/D0843107-5FBA-4EB4-8781-B60B5E7E1319", "Link")</f>
        <v/>
      </c>
      <c r="E452" s="3" t="n">
        <v>107.414</v>
      </c>
      <c r="F452" s="4" t="n">
        <v>16</v>
      </c>
      <c r="G452" t="inlineStr">
        <is>
          <t>Ontario Tennis Association</t>
        </is>
      </c>
      <c r="H452" t="inlineStr">
        <is>
          <t>Mayfair East Racquet Club</t>
        </is>
      </c>
      <c r="I452" t="n">
        <v>35.1</v>
      </c>
      <c r="J452" s="4" t="n">
        <v>109</v>
      </c>
      <c r="K452" t="inlineStr">
        <is>
          <t>38 / 71</t>
        </is>
      </c>
      <c r="L452" t="inlineStr">
        <is>
          <t>4 / 7</t>
        </is>
      </c>
      <c r="M452" s="5" t="n">
        <v>0.35</v>
      </c>
      <c r="N452" s="5" t="n">
        <v>0.36</v>
      </c>
    </row>
    <row r="453">
      <c r="A453" t="n">
        <v>452</v>
      </c>
      <c r="B453" t="n">
        <v>2013</v>
      </c>
      <c r="C453" t="inlineStr">
        <is>
          <t>Khaliya Karim</t>
        </is>
      </c>
      <c r="D453">
        <f>HYPERLINK("https://ota.tournamentsoftware.com/player-profile/3982667F-BB84-4AC0-B470-E67D90581DB9", "Link")</f>
        <v/>
      </c>
      <c r="E453" s="3" t="n">
        <v>106.041</v>
      </c>
      <c r="F453" s="4" t="n">
        <v>18</v>
      </c>
      <c r="G453" t="inlineStr">
        <is>
          <t>British Columbia</t>
        </is>
      </c>
      <c r="H453" t="inlineStr">
        <is>
          <t>Arbutus Club</t>
        </is>
      </c>
      <c r="I453" t="n">
        <v>35.3</v>
      </c>
      <c r="J453" s="4" t="n">
        <v>88</v>
      </c>
      <c r="K453" t="inlineStr">
        <is>
          <t>17 / 71</t>
        </is>
      </c>
      <c r="L453" t="inlineStr">
        <is>
          <t>13 / 24</t>
        </is>
      </c>
      <c r="M453" s="5" t="n">
        <v>0.19</v>
      </c>
      <c r="N453" s="5" t="n">
        <v>0.35</v>
      </c>
    </row>
    <row r="454">
      <c r="A454" t="n">
        <v>453</v>
      </c>
      <c r="B454" t="n">
        <v>2014</v>
      </c>
      <c r="C454" t="inlineStr">
        <is>
          <t>Abigail Curilscaia</t>
        </is>
      </c>
      <c r="D454">
        <f>HYPERLINK("https://ota.tournamentsoftware.com/player-profile/275CB740-D9DB-4B51-8864-93A2F0D91A3B", "Link")</f>
        <v/>
      </c>
      <c r="E454" s="3" t="n">
        <v>105.422</v>
      </c>
      <c r="F454" s="4" t="n">
        <v>13</v>
      </c>
      <c r="G454" t="inlineStr">
        <is>
          <t>Tennis Alberta</t>
        </is>
      </c>
      <c r="H454" t="inlineStr">
        <is>
          <t>Aforza</t>
        </is>
      </c>
      <c r="I454" t="n">
        <v>32</v>
      </c>
      <c r="J454" s="4" t="n">
        <v>91</v>
      </c>
      <c r="K454" t="inlineStr">
        <is>
          <t>40 / 51</t>
        </is>
      </c>
      <c r="L454" t="inlineStr">
        <is>
          <t>17 / 10</t>
        </is>
      </c>
      <c r="M454" s="5" t="n">
        <v>0.44</v>
      </c>
      <c r="N454" s="5" t="n">
        <v>0.63</v>
      </c>
    </row>
    <row r="455">
      <c r="A455" t="n">
        <v>454</v>
      </c>
      <c r="B455" t="n">
        <v>2013</v>
      </c>
      <c r="C455" t="inlineStr">
        <is>
          <t>Sofia Anne Brunetto</t>
        </is>
      </c>
      <c r="D455">
        <f>HYPERLINK("https://ota.tournamentsoftware.com/player-profile/C2843F1F-C701-4853-A79C-051450F19D77", "Link")</f>
        <v/>
      </c>
      <c r="E455" s="3" t="n">
        <v>104.939</v>
      </c>
      <c r="F455" s="4" t="n">
        <v>7</v>
      </c>
      <c r="G455" t="inlineStr">
        <is>
          <t>Ontario Tennis Association</t>
        </is>
      </c>
      <c r="H455" t="inlineStr">
        <is>
          <t>Zekelman Tennis Centre</t>
        </is>
      </c>
      <c r="I455" t="n">
        <v>33.3</v>
      </c>
      <c r="J455" s="4" t="n">
        <v>20</v>
      </c>
      <c r="K455" t="inlineStr">
        <is>
          <t>8 / 12</t>
        </is>
      </c>
      <c r="L455" t="inlineStr">
        <is>
          <t>3 / 7</t>
        </is>
      </c>
      <c r="M455" s="5" t="n">
        <v>0.4</v>
      </c>
      <c r="N455" s="5" t="n">
        <v>0.3</v>
      </c>
    </row>
    <row r="456">
      <c r="A456" t="n">
        <v>455</v>
      </c>
      <c r="B456" t="n">
        <v>2012</v>
      </c>
      <c r="C456" t="inlineStr">
        <is>
          <t>Emily Zhang</t>
        </is>
      </c>
      <c r="D456">
        <f>HYPERLINK("https://ota.tournamentsoftware.com/player-profile/927E8E34-8FE2-4B37-81C7-621F5326585C", "Link")</f>
        <v/>
      </c>
      <c r="E456" s="3" t="n">
        <v>104.649</v>
      </c>
      <c r="F456" s="4" t="n">
        <v>8</v>
      </c>
      <c r="G456" t="inlineStr">
        <is>
          <t>Ontario Tennis Association</t>
        </is>
      </c>
      <c r="H456" t="inlineStr">
        <is>
          <t>Blackmore Tennis Club</t>
        </is>
      </c>
      <c r="I456" t="inlineStr">
        <is>
          <t>unavailable</t>
        </is>
      </c>
      <c r="J456" s="4" t="n">
        <v>48</v>
      </c>
      <c r="K456" t="inlineStr">
        <is>
          <t>10 / 38</t>
        </is>
      </c>
      <c r="L456" t="inlineStr">
        <is>
          <t>1 / 3</t>
        </is>
      </c>
      <c r="M456" s="5" t="n">
        <v>0.21</v>
      </c>
      <c r="N456" s="5" t="n">
        <v>0.25</v>
      </c>
    </row>
    <row r="457">
      <c r="A457" t="n">
        <v>456</v>
      </c>
      <c r="B457" t="n">
        <v>2016</v>
      </c>
      <c r="C457" t="inlineStr">
        <is>
          <t>Paulina Mangal</t>
        </is>
      </c>
      <c r="D457">
        <f>HYPERLINK("https://ota.tournamentsoftware.com/player-profile/ADDD5986-263D-4338-B6C0-6F72A2AC55F7", "Link")</f>
        <v/>
      </c>
      <c r="E457" s="3" t="n">
        <v>103.751</v>
      </c>
      <c r="F457" s="4" t="n">
        <v>22</v>
      </c>
      <c r="G457" t="inlineStr">
        <is>
          <t>Ontario Tennis Association</t>
        </is>
      </c>
      <c r="H457" t="inlineStr">
        <is>
          <t>Premier Racquet Clubs – Mississauga</t>
        </is>
      </c>
      <c r="I457" t="n">
        <v>36.5</v>
      </c>
      <c r="J457" s="4" t="n">
        <v>178</v>
      </c>
      <c r="K457" t="inlineStr">
        <is>
          <t>75 / 103</t>
        </is>
      </c>
      <c r="L457" t="inlineStr">
        <is>
          <t>16 / 18</t>
        </is>
      </c>
      <c r="M457" s="5" t="n">
        <v>0.42</v>
      </c>
      <c r="N457" s="5" t="n">
        <v>0.47</v>
      </c>
    </row>
    <row r="458">
      <c r="A458" t="n">
        <v>457</v>
      </c>
      <c r="B458" t="n">
        <v>2015</v>
      </c>
      <c r="C458" t="inlineStr">
        <is>
          <t>Anna Guzina-McLeod</t>
        </is>
      </c>
      <c r="D458">
        <f>HYPERLINK("https://ota.tournamentsoftware.com/player-profile/55F5BC4F-092C-4C72-BFDC-3F60E618D778", "Link")</f>
        <v/>
      </c>
      <c r="E458" s="3" t="n">
        <v>103.216</v>
      </c>
      <c r="F458" s="4" t="n">
        <v>16</v>
      </c>
      <c r="G458" t="inlineStr">
        <is>
          <t>Ontario Tennis Association</t>
        </is>
      </c>
      <c r="H458" t="inlineStr">
        <is>
          <t>Rideau Sports Centre</t>
        </is>
      </c>
      <c r="I458" t="inlineStr">
        <is>
          <t>unavailable</t>
        </is>
      </c>
      <c r="J458" s="4" t="n">
        <v>113</v>
      </c>
      <c r="K458" t="inlineStr">
        <is>
          <t>66 / 47</t>
        </is>
      </c>
      <c r="L458" t="inlineStr">
        <is>
          <t>10 / 14</t>
        </is>
      </c>
      <c r="M458" s="5" t="n">
        <v>0.58</v>
      </c>
      <c r="N458" s="5" t="n">
        <v>0.42</v>
      </c>
    </row>
    <row r="459">
      <c r="A459" t="n">
        <v>458</v>
      </c>
      <c r="B459" t="n">
        <v>2014</v>
      </c>
      <c r="C459" t="inlineStr">
        <is>
          <t>Ananya Rao</t>
        </is>
      </c>
      <c r="D459">
        <f>HYPERLINK("https://ota.tournamentsoftware.com/player-profile/D12578BD-BDAF-471D-B53C-09B281C916CB", "Link")</f>
        <v/>
      </c>
      <c r="E459" s="3" t="n">
        <v>102.512</v>
      </c>
      <c r="F459" s="4" t="n">
        <v>16</v>
      </c>
      <c r="G459" t="inlineStr">
        <is>
          <t>Ontario Tennis Association</t>
        </is>
      </c>
      <c r="H459" t="inlineStr">
        <is>
          <t>Carleton Tennis Centre</t>
        </is>
      </c>
      <c r="I459" t="n">
        <v>36.8</v>
      </c>
      <c r="J459" s="4" t="n">
        <v>93</v>
      </c>
      <c r="K459" t="inlineStr">
        <is>
          <t>29 / 64</t>
        </is>
      </c>
      <c r="L459" t="inlineStr">
        <is>
          <t>6 / 9</t>
        </is>
      </c>
      <c r="M459" s="5" t="n">
        <v>0.31</v>
      </c>
      <c r="N459" s="5" t="n">
        <v>0.4</v>
      </c>
    </row>
    <row r="460">
      <c r="A460" t="n">
        <v>459</v>
      </c>
      <c r="B460" t="n">
        <v>2013</v>
      </c>
      <c r="C460" t="inlineStr">
        <is>
          <t>Isabelle Duvinage</t>
        </is>
      </c>
      <c r="D460">
        <f>HYPERLINK("https://ota.tournamentsoftware.com/player-profile/7B9DB032-AD8C-41C5-A138-CF844016B7C1", "Link")</f>
        <v/>
      </c>
      <c r="E460" s="3" t="n">
        <v>102.511</v>
      </c>
      <c r="F460" s="4" t="n">
        <v>6</v>
      </c>
      <c r="G460" t="inlineStr">
        <is>
          <t>Ontario Tennis Association</t>
        </is>
      </c>
      <c r="H460" t="inlineStr">
        <is>
          <t>Kew Gardens Tennis Club</t>
        </is>
      </c>
      <c r="I460" t="n">
        <v>38.1</v>
      </c>
      <c r="J460" s="4" t="n">
        <v>39</v>
      </c>
      <c r="K460" t="inlineStr">
        <is>
          <t>12 / 27</t>
        </is>
      </c>
      <c r="L460" t="inlineStr">
        <is>
          <t>1 / 7</t>
        </is>
      </c>
      <c r="M460" s="5" t="n">
        <v>0.31</v>
      </c>
      <c r="N460" s="5" t="n">
        <v>0.12</v>
      </c>
    </row>
    <row r="461">
      <c r="A461" t="n">
        <v>460</v>
      </c>
      <c r="B461" t="n">
        <v>2014</v>
      </c>
      <c r="C461" t="inlineStr">
        <is>
          <t>Scarlett Habeebkutty</t>
        </is>
      </c>
      <c r="D461">
        <f>HYPERLINK("https://ota.tournamentsoftware.com/player-profile/B3E7011D-10BF-4CEB-9D49-F24BAE1BE1A2", "Link")</f>
        <v/>
      </c>
      <c r="E461" s="3" t="n">
        <v>102.277</v>
      </c>
      <c r="F461" s="4" t="n">
        <v>5</v>
      </c>
      <c r="G461" t="inlineStr">
        <is>
          <t>Tennis Saskatchewan</t>
        </is>
      </c>
      <c r="H461" t="inlineStr">
        <is>
          <t>Lakeshore Tennis Club</t>
        </is>
      </c>
      <c r="I461" t="n">
        <v>40</v>
      </c>
      <c r="J461" s="4" t="n">
        <v>14</v>
      </c>
      <c r="K461" t="inlineStr">
        <is>
          <t>0 / 14</t>
        </is>
      </c>
      <c r="L461" t="inlineStr">
        <is>
          <t>0 / 14</t>
        </is>
      </c>
      <c r="M461" s="5" t="n">
        <v>0</v>
      </c>
      <c r="N461" s="5" t="n">
        <v>0</v>
      </c>
    </row>
    <row r="462">
      <c r="A462" t="n">
        <v>461</v>
      </c>
      <c r="B462" t="n">
        <v>2015</v>
      </c>
      <c r="C462" t="inlineStr">
        <is>
          <t>Sofia Nasrallah</t>
        </is>
      </c>
      <c r="D462">
        <f>HYPERLINK("https://ota.tournamentsoftware.com/player-profile/FAA88C80-170D-40C3-8A88-6B81077D1F02", "Link")</f>
        <v/>
      </c>
      <c r="E462" s="3" t="n">
        <v>102.129</v>
      </c>
      <c r="F462" s="4" t="n">
        <v>23</v>
      </c>
      <c r="G462" t="inlineStr">
        <is>
          <t>Tennis Québec</t>
        </is>
      </c>
      <c r="H462" t="inlineStr">
        <is>
          <t>Carrefour Multisports</t>
        </is>
      </c>
      <c r="I462" t="n">
        <v>36.8</v>
      </c>
      <c r="J462" s="4" t="n">
        <v>154</v>
      </c>
      <c r="K462" t="inlineStr">
        <is>
          <t>52 / 102</t>
        </is>
      </c>
      <c r="L462" t="inlineStr">
        <is>
          <t>9 / 19</t>
        </is>
      </c>
      <c r="M462" s="5" t="n">
        <v>0.34</v>
      </c>
      <c r="N462" s="5" t="n">
        <v>0.32</v>
      </c>
    </row>
    <row r="463">
      <c r="A463" t="n">
        <v>462</v>
      </c>
      <c r="B463" t="n">
        <v>2012</v>
      </c>
      <c r="C463" t="inlineStr">
        <is>
          <t>aashka vishal devaiya</t>
        </is>
      </c>
      <c r="D463">
        <f>HYPERLINK("https://ota.tournamentsoftware.com/player-profile/99C1CB63-E70E-4FB5-A115-3A252251FA67", "Link")</f>
        <v/>
      </c>
      <c r="E463" s="3" t="n">
        <v>100.829</v>
      </c>
      <c r="F463" s="4" t="n">
        <v>1</v>
      </c>
      <c r="G463" t="inlineStr">
        <is>
          <t>British Columbia</t>
        </is>
      </c>
      <c r="H463" t="inlineStr">
        <is>
          <t>No Club</t>
        </is>
      </c>
      <c r="I463" t="inlineStr">
        <is>
          <t>unavailable</t>
        </is>
      </c>
      <c r="J463" s="4" t="n">
        <v>3</v>
      </c>
      <c r="K463" t="inlineStr">
        <is>
          <t>2 / 1</t>
        </is>
      </c>
      <c r="L463" t="inlineStr">
        <is>
          <t>2 / 1</t>
        </is>
      </c>
      <c r="M463" s="5" t="n">
        <v>0.67</v>
      </c>
      <c r="N463" s="5" t="n">
        <v>0.67</v>
      </c>
    </row>
    <row r="464">
      <c r="A464" t="n">
        <v>463</v>
      </c>
      <c r="B464" t="n">
        <v>2012</v>
      </c>
      <c r="C464" t="inlineStr">
        <is>
          <t>Selena Wazelle</t>
        </is>
      </c>
      <c r="D464">
        <f>HYPERLINK("https://ota.tournamentsoftware.com/player-profile/B596341F-BD27-43AF-8888-AAD072F39AFB", "Link")</f>
        <v/>
      </c>
      <c r="E464" s="3" t="n">
        <v>100.44</v>
      </c>
      <c r="F464" s="4" t="n">
        <v>2</v>
      </c>
      <c r="G464" t="inlineStr">
        <is>
          <t>British Columbia</t>
        </is>
      </c>
      <c r="H464" t="inlineStr">
        <is>
          <t>No Club</t>
        </is>
      </c>
      <c r="I464" t="n">
        <v>30.1</v>
      </c>
      <c r="J464" s="4" t="n">
        <v>159</v>
      </c>
      <c r="K464" t="inlineStr">
        <is>
          <t>89 / 70</t>
        </is>
      </c>
      <c r="L464" t="inlineStr">
        <is>
          <t>0 / 0</t>
        </is>
      </c>
      <c r="M464" s="5" t="n">
        <v>0.5600000000000001</v>
      </c>
      <c r="N464" s="5" t="n">
        <v>0</v>
      </c>
    </row>
    <row r="465">
      <c r="A465" t="n">
        <v>464</v>
      </c>
      <c r="B465" t="n">
        <v>2012</v>
      </c>
      <c r="C465" t="inlineStr">
        <is>
          <t>Daniella Maria SAUCEDO</t>
        </is>
      </c>
      <c r="D465">
        <f>HYPERLINK("https://ota.tournamentsoftware.com/player-profile/45A852A0-99BB-4449-9FC4-8CAEBA4B404C", "Link")</f>
        <v/>
      </c>
      <c r="E465" s="3" t="n">
        <v>100.008</v>
      </c>
      <c r="F465" s="4" t="n">
        <v>5</v>
      </c>
      <c r="G465" t="inlineStr">
        <is>
          <t>Ontario Tennis Association</t>
        </is>
      </c>
      <c r="H465" t="inlineStr">
        <is>
          <t>City of Oakville</t>
        </is>
      </c>
      <c r="I465" t="inlineStr">
        <is>
          <t>unavailable</t>
        </is>
      </c>
      <c r="J465" s="4" t="n">
        <v>137</v>
      </c>
      <c r="K465" t="inlineStr">
        <is>
          <t>72 / 65</t>
        </is>
      </c>
      <c r="L465" t="inlineStr">
        <is>
          <t>0 / 0</t>
        </is>
      </c>
      <c r="M465" s="5" t="n">
        <v>0.53</v>
      </c>
      <c r="N465" s="5" t="n">
        <v>0</v>
      </c>
    </row>
    <row r="466">
      <c r="A466" t="n">
        <v>465</v>
      </c>
      <c r="B466" t="n">
        <v>2012</v>
      </c>
      <c r="C466" t="inlineStr">
        <is>
          <t>Emma Fedeyko</t>
        </is>
      </c>
      <c r="D466">
        <f>HYPERLINK("https://ota.tournamentsoftware.com/player-profile/62E06657-0480-40D7-B491-B99DA20E11DF", "Link")</f>
        <v/>
      </c>
      <c r="E466" s="3" t="n">
        <v>99.619</v>
      </c>
      <c r="F466" s="4" t="n">
        <v>8</v>
      </c>
      <c r="G466" t="inlineStr">
        <is>
          <t>Ontario Tennis Association</t>
        </is>
      </c>
      <c r="H466" t="inlineStr">
        <is>
          <t>Ontario Racquet Club</t>
        </is>
      </c>
      <c r="I466" t="n">
        <v>35.5</v>
      </c>
      <c r="J466" s="4" t="n">
        <v>52</v>
      </c>
      <c r="K466" t="inlineStr">
        <is>
          <t>19 / 33</t>
        </is>
      </c>
      <c r="L466" t="inlineStr">
        <is>
          <t>3 / 5</t>
        </is>
      </c>
      <c r="M466" s="5" t="n">
        <v>0.37</v>
      </c>
      <c r="N466" s="5" t="n">
        <v>0.38</v>
      </c>
    </row>
    <row r="467">
      <c r="A467" t="n">
        <v>466</v>
      </c>
      <c r="B467" t="n">
        <v>2014</v>
      </c>
      <c r="C467" t="inlineStr">
        <is>
          <t>Chloe Esther Yeung</t>
        </is>
      </c>
      <c r="D467">
        <f>HYPERLINK("https://ota.tournamentsoftware.com/player-profile/A0100B59-21FE-4244-87C6-16B2DE0DBB96", "Link")</f>
        <v/>
      </c>
      <c r="E467" s="3" t="n">
        <v>99.27800000000001</v>
      </c>
      <c r="F467" s="4" t="n">
        <v>13</v>
      </c>
      <c r="G467" t="inlineStr">
        <is>
          <t>Ontario Tennis Association</t>
        </is>
      </c>
      <c r="H467" t="inlineStr">
        <is>
          <t>Mayfair East Racquet Club</t>
        </is>
      </c>
      <c r="I467" t="n">
        <v>36.6</v>
      </c>
      <c r="J467" s="4" t="n">
        <v>106</v>
      </c>
      <c r="K467" t="inlineStr">
        <is>
          <t>45 / 61</t>
        </is>
      </c>
      <c r="L467" t="inlineStr">
        <is>
          <t>3 / 9</t>
        </is>
      </c>
      <c r="M467" s="5" t="n">
        <v>0.42</v>
      </c>
      <c r="N467" s="5" t="n">
        <v>0.25</v>
      </c>
    </row>
    <row r="468">
      <c r="A468" t="n">
        <v>467</v>
      </c>
      <c r="B468" t="n">
        <v>2013</v>
      </c>
      <c r="C468" t="inlineStr">
        <is>
          <t>Kaylie Kam</t>
        </is>
      </c>
      <c r="D468">
        <f>HYPERLINK("https://ota.tournamentsoftware.com/player-profile/29B7928E-12B2-4691-8B4A-1DE557B4F068", "Link")</f>
        <v/>
      </c>
      <c r="E468" s="3" t="n">
        <v>98.657</v>
      </c>
      <c r="F468" s="4" t="n">
        <v>14</v>
      </c>
      <c r="G468" t="inlineStr">
        <is>
          <t>Ontario Tennis Association</t>
        </is>
      </c>
      <c r="H468" t="inlineStr">
        <is>
          <t>Blackmore Tennis Club</t>
        </is>
      </c>
      <c r="I468" t="n">
        <v>34.1</v>
      </c>
      <c r="J468" s="4" t="n">
        <v>56</v>
      </c>
      <c r="K468" t="inlineStr">
        <is>
          <t>37 / 19</t>
        </is>
      </c>
      <c r="L468" t="inlineStr">
        <is>
          <t>11 / 11</t>
        </is>
      </c>
      <c r="M468" s="5" t="n">
        <v>0.66</v>
      </c>
      <c r="N468" s="5" t="n">
        <v>0.5</v>
      </c>
    </row>
    <row r="469">
      <c r="A469" t="n">
        <v>468</v>
      </c>
      <c r="B469" t="n">
        <v>2012</v>
      </c>
      <c r="C469" t="inlineStr">
        <is>
          <t>Emily Lyn</t>
        </is>
      </c>
      <c r="D469">
        <f>HYPERLINK("https://ota.tournamentsoftware.com/player-profile/952E408B-05E4-4A69-8AAE-E4D164512A9E", "Link")</f>
        <v/>
      </c>
      <c r="E469" s="3" t="n">
        <v>98.52</v>
      </c>
      <c r="F469" s="4" t="n">
        <v>9</v>
      </c>
      <c r="G469" t="inlineStr">
        <is>
          <t>Ontario Tennis Association</t>
        </is>
      </c>
      <c r="H469" t="inlineStr">
        <is>
          <t>Markham Tennis Club</t>
        </is>
      </c>
      <c r="I469" t="n">
        <v>36</v>
      </c>
      <c r="J469" s="4" t="n">
        <v>103</v>
      </c>
      <c r="K469" t="inlineStr">
        <is>
          <t>61 / 42</t>
        </is>
      </c>
      <c r="L469" t="inlineStr">
        <is>
          <t>5 / 6</t>
        </is>
      </c>
      <c r="M469" s="5" t="n">
        <v>0.59</v>
      </c>
      <c r="N469" s="5" t="n">
        <v>0.45</v>
      </c>
    </row>
    <row r="470">
      <c r="A470" t="n">
        <v>469</v>
      </c>
      <c r="B470" t="n">
        <v>2014</v>
      </c>
      <c r="C470" t="inlineStr">
        <is>
          <t>Avril Kymber Lin</t>
        </is>
      </c>
      <c r="D470">
        <f>HYPERLINK("https://ota.tournamentsoftware.com/player-profile/6CFCC91C-A66C-46B5-8430-D2D78CE3EE4B", "Link")</f>
        <v/>
      </c>
      <c r="E470" s="3" t="n">
        <v>98.492</v>
      </c>
      <c r="F470" s="4" t="n">
        <v>13</v>
      </c>
      <c r="G470" t="inlineStr">
        <is>
          <t>Tennis Alberta</t>
        </is>
      </c>
      <c r="H470" t="inlineStr">
        <is>
          <t>Brookside Court &amp; Wellness</t>
        </is>
      </c>
      <c r="I470" t="inlineStr">
        <is>
          <t>unavailable</t>
        </is>
      </c>
      <c r="J470" s="4" t="n">
        <v>101</v>
      </c>
      <c r="K470" t="inlineStr">
        <is>
          <t>40 / 61</t>
        </is>
      </c>
      <c r="L470" t="inlineStr">
        <is>
          <t>10 / 16</t>
        </is>
      </c>
      <c r="M470" s="5" t="n">
        <v>0.4</v>
      </c>
      <c r="N470" s="5" t="n">
        <v>0.38</v>
      </c>
    </row>
    <row r="471">
      <c r="A471" t="n">
        <v>470</v>
      </c>
      <c r="B471" t="n">
        <v>2016</v>
      </c>
      <c r="C471" t="inlineStr">
        <is>
          <t>Kassidy, Chin Yau Lau</t>
        </is>
      </c>
      <c r="D471">
        <f>HYPERLINK("https://ota.tournamentsoftware.com/player-profile/725BC980-EB67-418A-9A78-144DF7D7CE7E", "Link")</f>
        <v/>
      </c>
      <c r="E471" s="3" t="n">
        <v>98.47199999999999</v>
      </c>
      <c r="F471" s="4" t="n">
        <v>19</v>
      </c>
      <c r="G471" t="inlineStr">
        <is>
          <t>Ontario Tennis Association</t>
        </is>
      </c>
      <c r="H471" t="inlineStr">
        <is>
          <t>No Club</t>
        </is>
      </c>
      <c r="I471" t="n">
        <v>35</v>
      </c>
      <c r="J471" s="4" t="n">
        <v>52</v>
      </c>
      <c r="K471" t="inlineStr">
        <is>
          <t>31 / 21</t>
        </is>
      </c>
      <c r="L471" t="inlineStr">
        <is>
          <t>31 / 21</t>
        </is>
      </c>
      <c r="M471" s="5" t="n">
        <v>0.6</v>
      </c>
      <c r="N471" s="5" t="n">
        <v>0.6</v>
      </c>
    </row>
    <row r="472">
      <c r="A472" t="n">
        <v>471</v>
      </c>
      <c r="B472" t="n">
        <v>2015</v>
      </c>
      <c r="C472" t="inlineStr">
        <is>
          <t>Mila Venturelli</t>
        </is>
      </c>
      <c r="D472">
        <f>HYPERLINK("https://ota.tournamentsoftware.com/player-profile/BCA3B83C-81C0-4469-B3DA-4E3234E6CA0A", "Link")</f>
        <v/>
      </c>
      <c r="E472" s="3" t="n">
        <v>98.126</v>
      </c>
      <c r="F472" s="4" t="n">
        <v>20</v>
      </c>
      <c r="G472" t="inlineStr">
        <is>
          <t>Tennis Québec</t>
        </is>
      </c>
      <c r="H472" t="inlineStr">
        <is>
          <t>Tennis 13</t>
        </is>
      </c>
      <c r="I472" t="n">
        <v>36.9</v>
      </c>
      <c r="J472" s="4" t="n">
        <v>87</v>
      </c>
      <c r="K472" t="inlineStr">
        <is>
          <t>35 / 52</t>
        </is>
      </c>
      <c r="L472" t="inlineStr">
        <is>
          <t>7 / 15</t>
        </is>
      </c>
      <c r="M472" s="5" t="n">
        <v>0.4</v>
      </c>
      <c r="N472" s="5" t="n">
        <v>0.32</v>
      </c>
    </row>
    <row r="473">
      <c r="A473" t="n">
        <v>472</v>
      </c>
      <c r="B473" t="n">
        <v>2012</v>
      </c>
      <c r="C473" t="inlineStr">
        <is>
          <t>Alice Le</t>
        </is>
      </c>
      <c r="D473">
        <f>HYPERLINK("https://ota.tournamentsoftware.com/player-profile/762C717D-CB5B-4A61-877E-C235D5E4911F", "Link")</f>
        <v/>
      </c>
      <c r="E473" s="3" t="n">
        <v>98.04000000000001</v>
      </c>
      <c r="F473" s="4" t="n">
        <v>4</v>
      </c>
      <c r="G473" t="inlineStr">
        <is>
          <t>British Columbia</t>
        </is>
      </c>
      <c r="H473" t="inlineStr">
        <is>
          <t>City of Vancouver</t>
        </is>
      </c>
      <c r="I473" t="inlineStr">
        <is>
          <t>unavailable</t>
        </is>
      </c>
      <c r="J473" s="4" t="n">
        <v>10</v>
      </c>
      <c r="K473" t="inlineStr">
        <is>
          <t>7 / 3</t>
        </is>
      </c>
      <c r="L473" t="inlineStr">
        <is>
          <t>1 / 1</t>
        </is>
      </c>
      <c r="M473" s="5" t="n">
        <v>0.7</v>
      </c>
      <c r="N473" s="5" t="n">
        <v>0.5</v>
      </c>
    </row>
    <row r="474">
      <c r="A474" t="n">
        <v>473</v>
      </c>
      <c r="B474" t="n">
        <v>2015</v>
      </c>
      <c r="C474" t="inlineStr">
        <is>
          <t>Violet Ton-That</t>
        </is>
      </c>
      <c r="D474">
        <f>HYPERLINK("https://ota.tournamentsoftware.com/player-profile/2832D590-1D78-4B7F-B573-E2D932040ADB", "Link")</f>
        <v/>
      </c>
      <c r="E474" s="3" t="n">
        <v>96.917</v>
      </c>
      <c r="F474" s="4" t="n">
        <v>12</v>
      </c>
      <c r="G474" t="inlineStr">
        <is>
          <t>Tennis Québec</t>
        </is>
      </c>
      <c r="H474" t="inlineStr">
        <is>
          <t>Tennis Montréal Excellence</t>
        </is>
      </c>
      <c r="I474" t="n">
        <v>35.7</v>
      </c>
      <c r="J474" s="4" t="n">
        <v>63</v>
      </c>
      <c r="K474" t="inlineStr">
        <is>
          <t>29 / 34</t>
        </is>
      </c>
      <c r="L474" t="inlineStr">
        <is>
          <t>8 / 10</t>
        </is>
      </c>
      <c r="M474" s="5" t="n">
        <v>0.46</v>
      </c>
      <c r="N474" s="5" t="n">
        <v>0.44</v>
      </c>
    </row>
    <row r="475">
      <c r="A475" t="n">
        <v>474</v>
      </c>
      <c r="B475" t="n">
        <v>2012</v>
      </c>
      <c r="C475" t="inlineStr">
        <is>
          <t>Clémence Martin</t>
        </is>
      </c>
      <c r="D475">
        <f>HYPERLINK("https://ota.tournamentsoftware.com/player-profile/CF2B02DD-EFB8-49FD-8774-B98F78A30C1A", "Link")</f>
        <v/>
      </c>
      <c r="E475" s="3" t="n">
        <v>96.71299999999999</v>
      </c>
      <c r="F475" s="4" t="n">
        <v>3</v>
      </c>
      <c r="G475" t="inlineStr">
        <is>
          <t>Tennis Québec</t>
        </is>
      </c>
      <c r="H475" t="inlineStr">
        <is>
          <t>Centre sportif Sport Scène / Élite Tennis Académie</t>
        </is>
      </c>
      <c r="I475" t="n">
        <v>34.6</v>
      </c>
      <c r="J475" s="4" t="n">
        <v>29</v>
      </c>
      <c r="K475" t="inlineStr">
        <is>
          <t>15 / 14</t>
        </is>
      </c>
      <c r="L475" t="inlineStr">
        <is>
          <t>1 / 4</t>
        </is>
      </c>
      <c r="M475" s="5" t="n">
        <v>0.52</v>
      </c>
      <c r="N475" s="5" t="n">
        <v>0.2</v>
      </c>
    </row>
    <row r="476">
      <c r="A476" t="n">
        <v>475</v>
      </c>
      <c r="B476" t="n">
        <v>2017</v>
      </c>
      <c r="C476" t="inlineStr">
        <is>
          <t>Amelia Alhakim</t>
        </is>
      </c>
      <c r="D476">
        <f>HYPERLINK("https://ota.tournamentsoftware.com/player-profile/0B954ECB-D503-4C36-BD94-6D389AF0D202", "Link")</f>
        <v/>
      </c>
      <c r="E476" s="3" t="n">
        <v>96.36</v>
      </c>
      <c r="F476" s="4" t="n">
        <v>13</v>
      </c>
      <c r="G476" t="inlineStr">
        <is>
          <t>Ontario Tennis Association</t>
        </is>
      </c>
      <c r="H476" t="inlineStr">
        <is>
          <t>Zekelman Tennis Centre</t>
        </is>
      </c>
      <c r="I476" t="n">
        <v>34.4</v>
      </c>
      <c r="J476" s="4" t="n">
        <v>40</v>
      </c>
      <c r="K476" t="inlineStr">
        <is>
          <t>23 / 17</t>
        </is>
      </c>
      <c r="L476" t="inlineStr">
        <is>
          <t>19 / 12</t>
        </is>
      </c>
      <c r="M476" s="5" t="n">
        <v>0.57</v>
      </c>
      <c r="N476" s="5" t="n">
        <v>0.61</v>
      </c>
    </row>
    <row r="477">
      <c r="A477" t="n">
        <v>476</v>
      </c>
      <c r="B477" t="n">
        <v>2014</v>
      </c>
      <c r="C477" t="inlineStr">
        <is>
          <t>Zoey Folashakin</t>
        </is>
      </c>
      <c r="D477">
        <f>HYPERLINK("https://ota.tournamentsoftware.com/player-profile/3301B942-3C8E-4FE4-9470-6F68EC47669D", "Link")</f>
        <v/>
      </c>
      <c r="E477" s="3" t="n">
        <v>95.544</v>
      </c>
      <c r="F477" s="4" t="n">
        <v>22</v>
      </c>
      <c r="G477" t="inlineStr">
        <is>
          <t>Ontario Tennis Association</t>
        </is>
      </c>
      <c r="H477" t="inlineStr">
        <is>
          <t>Joshua Creek Golf &amp; Tennis</t>
        </is>
      </c>
      <c r="I477" t="n">
        <v>36.6</v>
      </c>
      <c r="J477" s="4" t="n">
        <v>68</v>
      </c>
      <c r="K477" t="inlineStr">
        <is>
          <t>15 / 53</t>
        </is>
      </c>
      <c r="L477" t="inlineStr">
        <is>
          <t>11 / 14</t>
        </is>
      </c>
      <c r="M477" s="5" t="n">
        <v>0.22</v>
      </c>
      <c r="N477" s="5" t="n">
        <v>0.44</v>
      </c>
    </row>
    <row r="478">
      <c r="A478" t="n">
        <v>477</v>
      </c>
      <c r="B478" t="n">
        <v>2013</v>
      </c>
      <c r="C478" t="inlineStr">
        <is>
          <t>Chelsea Yuxin Lan</t>
        </is>
      </c>
      <c r="D478">
        <f>HYPERLINK("https://ota.tournamentsoftware.com/player-profile/D861FE8B-CCB2-4222-BA9C-EBD5C1FECE32", "Link")</f>
        <v/>
      </c>
      <c r="E478" s="3" t="n">
        <v>95.095</v>
      </c>
      <c r="F478" s="4" t="n">
        <v>16</v>
      </c>
      <c r="G478" t="inlineStr">
        <is>
          <t>British Columbia</t>
        </is>
      </c>
      <c r="H478" t="inlineStr">
        <is>
          <t>Hollyburn Country Club</t>
        </is>
      </c>
      <c r="I478" t="inlineStr">
        <is>
          <t>unavailable</t>
        </is>
      </c>
      <c r="J478" s="4" t="n">
        <v>117</v>
      </c>
      <c r="K478" t="inlineStr">
        <is>
          <t>34 / 83</t>
        </is>
      </c>
      <c r="L478" t="inlineStr">
        <is>
          <t>2 / 20</t>
        </is>
      </c>
      <c r="M478" s="5" t="n">
        <v>0.29</v>
      </c>
      <c r="N478" s="5" t="n">
        <v>0.09</v>
      </c>
    </row>
    <row r="479">
      <c r="A479" t="n">
        <v>478</v>
      </c>
      <c r="B479" t="n">
        <v>2015</v>
      </c>
      <c r="C479" t="inlineStr">
        <is>
          <t>Kaliya Summer Miserre-Garrecht</t>
        </is>
      </c>
      <c r="D479">
        <f>HYPERLINK("https://ota.tournamentsoftware.com/player-profile/C178309B-9B10-4C79-99B5-DD8E37FCC1EF", "Link")</f>
        <v/>
      </c>
      <c r="E479" s="3" t="n">
        <v>94.80200000000001</v>
      </c>
      <c r="F479" s="4" t="n">
        <v>23</v>
      </c>
      <c r="G479" t="inlineStr">
        <is>
          <t>British Columbia</t>
        </is>
      </c>
      <c r="H479" t="inlineStr">
        <is>
          <t>Vanguard Tennis Academy</t>
        </is>
      </c>
      <c r="I479" t="n">
        <v>36.4</v>
      </c>
      <c r="J479" s="4" t="n">
        <v>138</v>
      </c>
      <c r="K479" t="inlineStr">
        <is>
          <t>60 / 78</t>
        </is>
      </c>
      <c r="L479" t="inlineStr">
        <is>
          <t>15 / 25</t>
        </is>
      </c>
      <c r="M479" s="5" t="n">
        <v>0.43</v>
      </c>
      <c r="N479" s="5" t="n">
        <v>0.38</v>
      </c>
    </row>
    <row r="480">
      <c r="A480" t="n">
        <v>479</v>
      </c>
      <c r="B480" t="n">
        <v>2012</v>
      </c>
      <c r="C480" t="inlineStr">
        <is>
          <t>Karolina Klepinin</t>
        </is>
      </c>
      <c r="D480">
        <f>HYPERLINK("https://ota.tournamentsoftware.com/player-profile/A0474BDB-A63B-423A-90FB-FAAA726E2052", "Link")</f>
        <v/>
      </c>
      <c r="E480" s="3" t="n">
        <v>94.729</v>
      </c>
      <c r="F480" s="4" t="n">
        <v>6</v>
      </c>
      <c r="G480" t="inlineStr">
        <is>
          <t>Ontario Tennis Association</t>
        </is>
      </c>
      <c r="H480" t="inlineStr">
        <is>
          <t>ON North Central No Club</t>
        </is>
      </c>
      <c r="I480" t="n">
        <v>36.4</v>
      </c>
      <c r="J480" s="4" t="n">
        <v>52</v>
      </c>
      <c r="K480" t="inlineStr">
        <is>
          <t>14 / 38</t>
        </is>
      </c>
      <c r="L480" t="inlineStr">
        <is>
          <t>3 / 7</t>
        </is>
      </c>
      <c r="M480" s="5" t="n">
        <v>0.27</v>
      </c>
      <c r="N480" s="5" t="n">
        <v>0.3</v>
      </c>
    </row>
    <row r="481">
      <c r="A481" t="n">
        <v>480</v>
      </c>
      <c r="B481" t="n">
        <v>2012</v>
      </c>
      <c r="C481" t="inlineStr">
        <is>
          <t>Alyssa Grace Clouden</t>
        </is>
      </c>
      <c r="D481">
        <f>HYPERLINK("https://ota.tournamentsoftware.com/player-profile/85FC5E76-6ACD-4520-94D0-C05BABDC2184", "Link")</f>
        <v/>
      </c>
      <c r="E481" s="3" t="n">
        <v>94.176</v>
      </c>
      <c r="F481" s="4" t="n">
        <v>12</v>
      </c>
      <c r="G481" t="inlineStr">
        <is>
          <t>Ontario Tennis Association</t>
        </is>
      </c>
      <c r="H481" t="inlineStr">
        <is>
          <t>Headwaters Racquet Club</t>
        </is>
      </c>
      <c r="I481" t="n">
        <v>36.7</v>
      </c>
      <c r="J481" s="4" t="n">
        <v>49</v>
      </c>
      <c r="K481" t="inlineStr">
        <is>
          <t>21 / 28</t>
        </is>
      </c>
      <c r="L481" t="inlineStr">
        <is>
          <t>6 / 12</t>
        </is>
      </c>
      <c r="M481" s="5" t="n">
        <v>0.43</v>
      </c>
      <c r="N481" s="5" t="n">
        <v>0.33</v>
      </c>
    </row>
    <row r="482">
      <c r="A482" t="n">
        <v>481</v>
      </c>
      <c r="B482" t="n">
        <v>2013</v>
      </c>
      <c r="C482" t="inlineStr">
        <is>
          <t>Noa Margaux Dery</t>
        </is>
      </c>
      <c r="D482">
        <f>HYPERLINK("https://ota.tournamentsoftware.com/player-profile/2BE09915-8A78-4187-839F-E3A10E233213", "Link")</f>
        <v/>
      </c>
      <c r="E482" s="3" t="n">
        <v>93.646</v>
      </c>
      <c r="F482" s="4" t="n">
        <v>7</v>
      </c>
      <c r="G482" t="inlineStr">
        <is>
          <t>Tennis Québec</t>
        </is>
      </c>
      <c r="H482" t="inlineStr">
        <is>
          <t>Club Sportif Côte-de-Liesse</t>
        </is>
      </c>
      <c r="I482" t="n">
        <v>35.9</v>
      </c>
      <c r="J482" s="4" t="n">
        <v>35</v>
      </c>
      <c r="K482" t="inlineStr">
        <is>
          <t>12 / 23</t>
        </is>
      </c>
      <c r="L482" t="inlineStr">
        <is>
          <t>5 / 4</t>
        </is>
      </c>
      <c r="M482" s="5" t="n">
        <v>0.34</v>
      </c>
      <c r="N482" s="5" t="n">
        <v>0.5600000000000001</v>
      </c>
    </row>
    <row r="483">
      <c r="A483" t="n">
        <v>482</v>
      </c>
      <c r="B483" t="n">
        <v>2014</v>
      </c>
      <c r="C483" t="inlineStr">
        <is>
          <t>Gabriella Geronimo</t>
        </is>
      </c>
      <c r="D483">
        <f>HYPERLINK("https://ota.tournamentsoftware.com/player-profile/E075895A-C22F-4FDB-9A95-CCD353169906", "Link")</f>
        <v/>
      </c>
      <c r="E483" s="3" t="n">
        <v>93.63200000000001</v>
      </c>
      <c r="F483" s="4" t="n">
        <v>7</v>
      </c>
      <c r="G483" t="inlineStr">
        <is>
          <t>Ontario Tennis Association</t>
        </is>
      </c>
      <c r="H483" t="inlineStr">
        <is>
          <t>Albion Gardens Tennis Club</t>
        </is>
      </c>
      <c r="I483" t="n">
        <v>33.9</v>
      </c>
      <c r="J483" s="4" t="n">
        <v>200</v>
      </c>
      <c r="K483" t="inlineStr">
        <is>
          <t>113 / 87</t>
        </is>
      </c>
      <c r="L483" t="inlineStr">
        <is>
          <t>5 / 1</t>
        </is>
      </c>
      <c r="M483" s="5" t="n">
        <v>0.5600000000000001</v>
      </c>
      <c r="N483" s="5" t="n">
        <v>0.83</v>
      </c>
    </row>
    <row r="484">
      <c r="A484" t="n">
        <v>483</v>
      </c>
      <c r="B484" t="n">
        <v>2012</v>
      </c>
      <c r="C484" t="inlineStr">
        <is>
          <t>Tiana Amede-Bramwell</t>
        </is>
      </c>
      <c r="D484">
        <f>HYPERLINK("https://ota.tournamentsoftware.com/player-profile/BC31A25D-C48C-47FD-A0A3-D600EA315675", "Link")</f>
        <v/>
      </c>
      <c r="E484" s="3" t="n">
        <v>93.628</v>
      </c>
      <c r="F484" s="4" t="n">
        <v>10</v>
      </c>
      <c r="G484" t="inlineStr">
        <is>
          <t>Ontario Tennis Association</t>
        </is>
      </c>
      <c r="H484" t="inlineStr">
        <is>
          <t>Credit Valley Tennis Club</t>
        </is>
      </c>
      <c r="I484" t="n">
        <v>39.4</v>
      </c>
      <c r="J484" s="4" t="n">
        <v>39</v>
      </c>
      <c r="K484" t="inlineStr">
        <is>
          <t>8 / 31</t>
        </is>
      </c>
      <c r="L484" t="inlineStr">
        <is>
          <t>8 / 28</t>
        </is>
      </c>
      <c r="M484" s="5" t="n">
        <v>0.21</v>
      </c>
      <c r="N484" s="5" t="n">
        <v>0.22</v>
      </c>
    </row>
    <row r="485">
      <c r="A485" t="n">
        <v>484</v>
      </c>
      <c r="B485" t="n">
        <v>2016</v>
      </c>
      <c r="C485" t="inlineStr">
        <is>
          <t>Chenlin Wang</t>
        </is>
      </c>
      <c r="D485">
        <f>HYPERLINK("https://ota.tournamentsoftware.com/player-profile/9F8A5A74-B5B7-41F1-A513-DA87D68CAFFE", "Link")</f>
        <v/>
      </c>
      <c r="E485" s="3" t="n">
        <v>93.203</v>
      </c>
      <c r="F485" s="4" t="n">
        <v>30</v>
      </c>
      <c r="G485" t="inlineStr">
        <is>
          <t>British Columbia</t>
        </is>
      </c>
      <c r="H485" t="inlineStr">
        <is>
          <t>Aura Tennis Academy</t>
        </is>
      </c>
      <c r="I485" t="inlineStr">
        <is>
          <t>unavailable</t>
        </is>
      </c>
      <c r="J485" s="4" t="n">
        <v>159</v>
      </c>
      <c r="K485" t="inlineStr">
        <is>
          <t>87 / 72</t>
        </is>
      </c>
      <c r="L485" t="inlineStr">
        <is>
          <t>35 / 23</t>
        </is>
      </c>
      <c r="M485" s="5" t="n">
        <v>0.55</v>
      </c>
      <c r="N485" s="5" t="n">
        <v>0.6</v>
      </c>
    </row>
    <row r="486">
      <c r="A486" t="n">
        <v>485</v>
      </c>
      <c r="B486" t="n">
        <v>2015</v>
      </c>
      <c r="C486" t="inlineStr">
        <is>
          <t>Joey Wu</t>
        </is>
      </c>
      <c r="D486">
        <f>HYPERLINK("https://ota.tournamentsoftware.com/player-profile/5271198B-7814-4938-9A9E-61E10CC7CCA6", "Link")</f>
        <v/>
      </c>
      <c r="E486" s="3" t="n">
        <v>92.84</v>
      </c>
      <c r="F486" s="4" t="n">
        <v>26</v>
      </c>
      <c r="G486" t="inlineStr">
        <is>
          <t>British Columbia</t>
        </is>
      </c>
      <c r="H486" t="inlineStr">
        <is>
          <t>City of Richmond</t>
        </is>
      </c>
      <c r="I486" t="inlineStr">
        <is>
          <t>unavailable</t>
        </is>
      </c>
      <c r="J486" s="4" t="n">
        <v>123</v>
      </c>
      <c r="K486" t="inlineStr">
        <is>
          <t>73 / 50</t>
        </is>
      </c>
      <c r="L486" t="inlineStr">
        <is>
          <t>18 / 26</t>
        </is>
      </c>
      <c r="M486" s="5" t="n">
        <v>0.59</v>
      </c>
      <c r="N486" s="5" t="n">
        <v>0.41</v>
      </c>
    </row>
    <row r="487">
      <c r="A487" t="n">
        <v>486</v>
      </c>
      <c r="B487" t="n">
        <v>2014</v>
      </c>
      <c r="C487" t="inlineStr">
        <is>
          <t>cataleya florina zadarojnea</t>
        </is>
      </c>
      <c r="D487">
        <f>HYPERLINK("https://ota.tournamentsoftware.com/player-profile/EAEB7B00-5E1C-47F6-8FF3-1537E07A8B59", "Link")</f>
        <v/>
      </c>
      <c r="E487" s="3" t="n">
        <v>92.57599999999999</v>
      </c>
      <c r="F487" s="4" t="n">
        <v>25</v>
      </c>
      <c r="G487" t="inlineStr">
        <is>
          <t>Ontario Tennis Association</t>
        </is>
      </c>
      <c r="H487" t="inlineStr">
        <is>
          <t>Premier Racquet Clubs – Mississauga</t>
        </is>
      </c>
      <c r="I487" t="n">
        <v>36.9</v>
      </c>
      <c r="J487" s="4" t="n">
        <v>35</v>
      </c>
      <c r="K487" t="inlineStr">
        <is>
          <t>11 / 24</t>
        </is>
      </c>
      <c r="L487" t="inlineStr">
        <is>
          <t>7 / 17</t>
        </is>
      </c>
      <c r="M487" s="5" t="n">
        <v>0.31</v>
      </c>
      <c r="N487" s="5" t="n">
        <v>0.29</v>
      </c>
    </row>
    <row r="488">
      <c r="A488" t="n">
        <v>487</v>
      </c>
      <c r="B488" t="n">
        <v>2016</v>
      </c>
      <c r="C488" t="inlineStr">
        <is>
          <t>Eva Yanakieva</t>
        </is>
      </c>
      <c r="D488">
        <f>HYPERLINK("https://ota.tournamentsoftware.com/player-profile/7FBBEC05-D20C-448B-93F1-1F8C6BA80758", "Link")</f>
        <v/>
      </c>
      <c r="E488" s="3" t="n">
        <v>91.93300000000001</v>
      </c>
      <c r="F488" s="4" t="n">
        <v>19</v>
      </c>
      <c r="G488" t="inlineStr">
        <is>
          <t>Tennis Québec</t>
        </is>
      </c>
      <c r="H488" t="inlineStr">
        <is>
          <t>Tennis Montréal Excellence</t>
        </is>
      </c>
      <c r="I488" t="n">
        <v>36</v>
      </c>
      <c r="J488" s="4" t="n">
        <v>172</v>
      </c>
      <c r="K488" t="inlineStr">
        <is>
          <t>82 / 90</t>
        </is>
      </c>
      <c r="L488" t="inlineStr">
        <is>
          <t>21 / 22</t>
        </is>
      </c>
      <c r="M488" s="5" t="n">
        <v>0.48</v>
      </c>
      <c r="N488" s="5" t="n">
        <v>0.49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91.819</v>
      </c>
      <c r="F489" s="4" t="n">
        <v>4</v>
      </c>
      <c r="G489" t="inlineStr">
        <is>
          <t>Tennis Nova Scotia</t>
        </is>
      </c>
      <c r="H489" t="inlineStr">
        <is>
          <t>HEADSTART</t>
        </is>
      </c>
      <c r="I489" t="n">
        <v>36.8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2016</v>
      </c>
      <c r="C490" t="inlineStr">
        <is>
          <t>Lydia Yinuo Xu</t>
        </is>
      </c>
      <c r="D490">
        <f>HYPERLINK("https://ota.tournamentsoftware.com/player-profile/515F94D6-B979-4BBE-98E6-48CFEF4CE395", "Link")</f>
        <v/>
      </c>
      <c r="E490" s="3" t="n">
        <v>91.8</v>
      </c>
      <c r="F490" s="4" t="n">
        <v>11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35</v>
      </c>
      <c r="J490" s="4" t="n">
        <v>154</v>
      </c>
      <c r="K490" t="inlineStr">
        <is>
          <t>72 / 82</t>
        </is>
      </c>
      <c r="L490" t="inlineStr">
        <is>
          <t>26 / 12</t>
        </is>
      </c>
      <c r="M490" s="5" t="n">
        <v>0.47</v>
      </c>
      <c r="N490" s="5" t="n">
        <v>0.68</v>
      </c>
    </row>
    <row r="491">
      <c r="A491" t="n">
        <v>490</v>
      </c>
      <c r="B491" t="n">
        <v>2013</v>
      </c>
      <c r="C491" t="inlineStr">
        <is>
          <t>Aditi Varma</t>
        </is>
      </c>
      <c r="D491">
        <f>HYPERLINK("https://ota.tournamentsoftware.com/player-profile/EE1E4950-6BCE-4CAA-921A-C5201D737DFF", "Link")</f>
        <v/>
      </c>
      <c r="E491" s="3" t="n">
        <v>91.402</v>
      </c>
      <c r="F491" s="4" t="n">
        <v>8</v>
      </c>
      <c r="G491" t="inlineStr">
        <is>
          <t>Ontario Tennis Association</t>
        </is>
      </c>
      <c r="H491" t="inlineStr">
        <is>
          <t>Ontario Racquet Club</t>
        </is>
      </c>
      <c r="I491" t="n">
        <v>34.9</v>
      </c>
      <c r="J491" s="4" t="n">
        <v>87</v>
      </c>
      <c r="K491" t="inlineStr">
        <is>
          <t>26 / 61</t>
        </is>
      </c>
      <c r="L491" t="inlineStr">
        <is>
          <t>2 / 5</t>
        </is>
      </c>
      <c r="M491" s="5" t="n">
        <v>0.3</v>
      </c>
      <c r="N491" s="5" t="n">
        <v>0.29</v>
      </c>
    </row>
    <row r="492">
      <c r="A492" t="n">
        <v>491</v>
      </c>
      <c r="B492" t="n">
        <v>2014</v>
      </c>
      <c r="C492" t="inlineStr">
        <is>
          <t>Olivia Hesse</t>
        </is>
      </c>
      <c r="D492">
        <f>HYPERLINK("https://ota.tournamentsoftware.com/player-profile/18AF6D11-FB26-470D-81A9-00DC98F16884", "Link")</f>
        <v/>
      </c>
      <c r="E492" s="3" t="n">
        <v>91.059</v>
      </c>
      <c r="F492" s="4" t="n">
        <v>12</v>
      </c>
      <c r="G492" t="inlineStr">
        <is>
          <t>Ontario Tennis Association</t>
        </is>
      </c>
      <c r="H492" t="inlineStr">
        <is>
          <t>Boulevard Club</t>
        </is>
      </c>
      <c r="I492" t="n">
        <v>36.3</v>
      </c>
      <c r="J492" s="4" t="n">
        <v>66</v>
      </c>
      <c r="K492" t="inlineStr">
        <is>
          <t>26 / 40</t>
        </is>
      </c>
      <c r="L492" t="inlineStr">
        <is>
          <t>8 / 11</t>
        </is>
      </c>
      <c r="M492" s="5" t="n">
        <v>0.39</v>
      </c>
      <c r="N492" s="5" t="n">
        <v>0.42</v>
      </c>
    </row>
    <row r="493">
      <c r="A493" t="n">
        <v>492</v>
      </c>
      <c r="B493" t="n">
        <v>2014</v>
      </c>
      <c r="C493" t="inlineStr">
        <is>
          <t>Maylis Ilmane</t>
        </is>
      </c>
      <c r="D493">
        <f>HYPERLINK("https://ota.tournamentsoftware.com/player-profile/8AD3E1E2-82F0-490F-B772-6E9AA24959CC", "Link")</f>
        <v/>
      </c>
      <c r="E493" s="3" t="n">
        <v>90.08799999999999</v>
      </c>
      <c r="F493" s="4" t="n">
        <v>10</v>
      </c>
      <c r="G493" t="inlineStr">
        <is>
          <t>Tennis Québec</t>
        </is>
      </c>
      <c r="H493" t="inlineStr">
        <is>
          <t>Centre récréatif de Repentigny / Académie Tennis Momentum</t>
        </is>
      </c>
      <c r="I493" t="n">
        <v>35.4</v>
      </c>
      <c r="J493" s="4" t="n">
        <v>60</v>
      </c>
      <c r="K493" t="inlineStr">
        <is>
          <t>25 / 35</t>
        </is>
      </c>
      <c r="L493" t="inlineStr">
        <is>
          <t>7 / 6</t>
        </is>
      </c>
      <c r="M493" s="5" t="n">
        <v>0.42</v>
      </c>
      <c r="N493" s="5" t="n">
        <v>0.54</v>
      </c>
    </row>
    <row r="494">
      <c r="A494" t="n">
        <v>493</v>
      </c>
      <c r="B494" t="n">
        <v>2015</v>
      </c>
      <c r="C494" t="inlineStr">
        <is>
          <t>Larissa Bulynko</t>
        </is>
      </c>
      <c r="D494">
        <f>HYPERLINK("https://ota.tournamentsoftware.com/player-profile/387B3C19-006B-446B-A1CE-226F349C0C24", "Link")</f>
        <v/>
      </c>
      <c r="E494" s="3" t="n">
        <v>89.874</v>
      </c>
      <c r="F494" s="4" t="n">
        <v>11</v>
      </c>
      <c r="G494" t="inlineStr">
        <is>
          <t>Ontario Tennis Association</t>
        </is>
      </c>
      <c r="H494" t="inlineStr">
        <is>
          <t>National Tennis School</t>
        </is>
      </c>
      <c r="I494" t="n">
        <v>37.2</v>
      </c>
      <c r="J494" s="4" t="n">
        <v>54</v>
      </c>
      <c r="K494" t="inlineStr">
        <is>
          <t>21 / 33</t>
        </is>
      </c>
      <c r="L494" t="inlineStr">
        <is>
          <t>6 / 10</t>
        </is>
      </c>
      <c r="M494" s="5" t="n">
        <v>0.39</v>
      </c>
      <c r="N494" s="5" t="n">
        <v>0.38</v>
      </c>
    </row>
    <row r="495">
      <c r="A495" t="n">
        <v>494</v>
      </c>
      <c r="B495" t="n">
        <v>2015</v>
      </c>
      <c r="C495" t="inlineStr">
        <is>
          <t>Maranata Okubazgi</t>
        </is>
      </c>
      <c r="D495">
        <f>HYPERLINK("https://ota.tournamentsoftware.com/player-profile/D41680BB-0D07-401E-A1E3-7ECB40E4830A", "Link")</f>
        <v/>
      </c>
      <c r="E495" s="3" t="n">
        <v>87.59999999999999</v>
      </c>
      <c r="F495" s="4" t="n">
        <v>15</v>
      </c>
      <c r="G495" t="inlineStr">
        <is>
          <t>Ontario Tennis Association</t>
        </is>
      </c>
      <c r="H495" t="inlineStr">
        <is>
          <t>The Tennis School</t>
        </is>
      </c>
      <c r="I495" t="n">
        <v>34.9</v>
      </c>
      <c r="J495" s="4" t="n">
        <v>94</v>
      </c>
      <c r="K495" t="inlineStr">
        <is>
          <t>54 / 40</t>
        </is>
      </c>
      <c r="L495" t="inlineStr">
        <is>
          <t>15 / 12</t>
        </is>
      </c>
      <c r="M495" s="5" t="n">
        <v>0.57</v>
      </c>
      <c r="N495" s="5" t="n">
        <v>0.5600000000000001</v>
      </c>
    </row>
    <row r="496">
      <c r="A496" t="n">
        <v>495</v>
      </c>
      <c r="B496" t="n">
        <v>2015</v>
      </c>
      <c r="C496" t="inlineStr">
        <is>
          <t>Olivia An Yi Ta</t>
        </is>
      </c>
      <c r="D496">
        <f>HYPERLINK("https://ota.tournamentsoftware.com/player-profile/F718058C-465B-4AEB-BACA-80FE5B3917B6", "Link")</f>
        <v/>
      </c>
      <c r="E496" s="3" t="n">
        <v>85.59099999999999</v>
      </c>
      <c r="F496" s="4" t="n">
        <v>14</v>
      </c>
      <c r="G496" t="inlineStr">
        <is>
          <t>Ontario Tennis Association</t>
        </is>
      </c>
      <c r="H496" t="inlineStr">
        <is>
          <t>Lambton Golf &amp; Country Club</t>
        </is>
      </c>
      <c r="I496" t="inlineStr">
        <is>
          <t>unavailable</t>
        </is>
      </c>
      <c r="J496" s="4" t="n">
        <v>63</v>
      </c>
      <c r="K496" t="inlineStr">
        <is>
          <t>15 / 48</t>
        </is>
      </c>
      <c r="L496" t="inlineStr">
        <is>
          <t>6 / 10</t>
        </is>
      </c>
      <c r="M496" s="5" t="n">
        <v>0.24</v>
      </c>
      <c r="N496" s="5" t="n">
        <v>0.38</v>
      </c>
    </row>
    <row r="497">
      <c r="A497" t="n">
        <v>496</v>
      </c>
      <c r="B497" t="n">
        <v>2013</v>
      </c>
      <c r="C497" t="inlineStr">
        <is>
          <t>Quinn Pfaff</t>
        </is>
      </c>
      <c r="D497">
        <f>HYPERLINK("https://ota.tournamentsoftware.com/player-profile/4EE4E18D-7D9C-41F4-B172-783EBB13EF00", "Link")</f>
        <v/>
      </c>
      <c r="E497" s="3" t="n">
        <v>83.955</v>
      </c>
      <c r="F497" s="4" t="n">
        <v>4</v>
      </c>
      <c r="G497" t="inlineStr">
        <is>
          <t>Ontario Tennis Association</t>
        </is>
      </c>
      <c r="H497" t="inlineStr">
        <is>
          <t>Maitland Country Club</t>
        </is>
      </c>
      <c r="I497" t="n">
        <v>38</v>
      </c>
      <c r="J497" s="4" t="n">
        <v>4</v>
      </c>
      <c r="K497" t="inlineStr">
        <is>
          <t>0 / 4</t>
        </is>
      </c>
      <c r="L497" t="inlineStr">
        <is>
          <t>0 / 3</t>
        </is>
      </c>
      <c r="M497" s="5" t="n">
        <v>0</v>
      </c>
      <c r="N497" s="5" t="n">
        <v>0</v>
      </c>
    </row>
    <row r="498">
      <c r="A498" t="n">
        <v>497</v>
      </c>
      <c r="B498" t="n">
        <v>2016</v>
      </c>
      <c r="C498" t="inlineStr">
        <is>
          <t>Evelyn May</t>
        </is>
      </c>
      <c r="D498">
        <f>HYPERLINK("https://ota.tournamentsoftware.com/player-profile/ABFB9C06-ABE9-4B21-BF57-67179CC1CD5D", "Link")</f>
        <v/>
      </c>
      <c r="E498" s="3" t="n">
        <v>83.914</v>
      </c>
      <c r="F498" s="4" t="n">
        <v>14</v>
      </c>
      <c r="G498" t="inlineStr">
        <is>
          <t>Tennis Québec</t>
        </is>
      </c>
      <c r="H498" t="inlineStr">
        <is>
          <t>Tennis 13 / Académie Ménard et associé</t>
        </is>
      </c>
      <c r="I498" t="n">
        <v>33.6</v>
      </c>
      <c r="J498" s="4" t="n">
        <v>181</v>
      </c>
      <c r="K498" t="inlineStr">
        <is>
          <t>112 / 69</t>
        </is>
      </c>
      <c r="L498" t="inlineStr">
        <is>
          <t>15 / 13</t>
        </is>
      </c>
      <c r="M498" s="5" t="n">
        <v>0.62</v>
      </c>
      <c r="N498" s="5" t="n">
        <v>0.54</v>
      </c>
    </row>
    <row r="499">
      <c r="A499" t="n">
        <v>498</v>
      </c>
      <c r="B499" t="n">
        <v>2013</v>
      </c>
      <c r="C499" t="inlineStr">
        <is>
          <t>Avonlyn Long</t>
        </is>
      </c>
      <c r="D499">
        <f>HYPERLINK("https://ota.tournamentsoftware.com/player-profile/750061EB-6049-44F3-9B6E-4DE9428D7158", "Link")</f>
        <v/>
      </c>
      <c r="E499" s="3" t="n">
        <v>83.592</v>
      </c>
      <c r="F499" s="4" t="n">
        <v>3</v>
      </c>
      <c r="G499" t="inlineStr">
        <is>
          <t>Ontario Tennis Association</t>
        </is>
      </c>
      <c r="H499" t="inlineStr">
        <is>
          <t>Carleton Tennis Centre</t>
        </is>
      </c>
      <c r="I499" t="n">
        <v>39</v>
      </c>
      <c r="J499" s="4" t="n">
        <v>12</v>
      </c>
      <c r="K499" t="inlineStr">
        <is>
          <t>1 / 11</t>
        </is>
      </c>
      <c r="L499" t="inlineStr">
        <is>
          <t>1 / 3</t>
        </is>
      </c>
      <c r="M499" s="5" t="n">
        <v>0.08</v>
      </c>
      <c r="N499" s="5" t="n">
        <v>0.25</v>
      </c>
    </row>
    <row r="500">
      <c r="A500" t="n">
        <v>499</v>
      </c>
      <c r="B500" t="n">
        <v>2013</v>
      </c>
      <c r="C500" t="inlineStr">
        <is>
          <t>Helena Nastic</t>
        </is>
      </c>
      <c r="D500">
        <f>HYPERLINK("https://ota.tournamentsoftware.com/player-profile/384CD39C-50E9-4DF1-B1AD-85571147C1F9", "Link")</f>
        <v/>
      </c>
      <c r="E500" s="3" t="n">
        <v>83.06399999999999</v>
      </c>
      <c r="F500" s="4" t="n">
        <v>8</v>
      </c>
      <c r="G500" t="inlineStr">
        <is>
          <t>Ontario Tennis Association</t>
        </is>
      </c>
      <c r="H500" t="inlineStr">
        <is>
          <t>Royal City Tennis Club</t>
        </is>
      </c>
      <c r="I500" t="inlineStr">
        <is>
          <t>unavailable</t>
        </is>
      </c>
      <c r="J500" s="4" t="n">
        <v>38</v>
      </c>
      <c r="K500" t="inlineStr">
        <is>
          <t>19 / 19</t>
        </is>
      </c>
      <c r="L500" t="inlineStr">
        <is>
          <t>0 / 5</t>
        </is>
      </c>
      <c r="M500" s="5" t="n">
        <v>0.5</v>
      </c>
      <c r="N500" s="5" t="n">
        <v>0</v>
      </c>
    </row>
    <row r="501">
      <c r="A501" t="n">
        <v>500</v>
      </c>
      <c r="B501" t="n">
        <v>2012</v>
      </c>
      <c r="C501" t="inlineStr">
        <is>
          <t>ONYEKACHUKWU MAGDALENE OGBATUE</t>
        </is>
      </c>
      <c r="D501">
        <f>HYPERLINK("https://ota.tournamentsoftware.com/player-profile/34FAC6AA-945B-40B3-BDE9-3F8B4198659B", "Link")</f>
        <v/>
      </c>
      <c r="E501" s="3" t="n">
        <v>82.13800000000001</v>
      </c>
      <c r="F501" s="4" t="n">
        <v>5</v>
      </c>
      <c r="G501" t="inlineStr">
        <is>
          <t>Ontario Tennis Association</t>
        </is>
      </c>
      <c r="H501" t="inlineStr">
        <is>
          <t>Matchpoint Tennis</t>
        </is>
      </c>
      <c r="I501" t="n">
        <v>35.2</v>
      </c>
      <c r="J501" s="4" t="n">
        <v>15</v>
      </c>
      <c r="K501" t="inlineStr">
        <is>
          <t>9 / 6</t>
        </is>
      </c>
      <c r="L501" t="inlineStr">
        <is>
          <t>9 / 6</t>
        </is>
      </c>
      <c r="M501" s="5" t="n">
        <v>0.6</v>
      </c>
      <c r="N501" s="5" t="n">
        <v>0.6</v>
      </c>
    </row>
    <row r="502">
      <c r="A502" t="n">
        <v>501</v>
      </c>
      <c r="B502" t="n">
        <v>2013</v>
      </c>
      <c r="C502" t="inlineStr">
        <is>
          <t>Mathilda Adaline Manning</t>
        </is>
      </c>
      <c r="D502">
        <f>HYPERLINK("https://ota.tournamentsoftware.com/player-profile/68249616-27A6-4807-9978-802C0CDC784E", "Link")</f>
        <v/>
      </c>
      <c r="E502" s="3" t="n">
        <v>82</v>
      </c>
      <c r="F502" s="4" t="n">
        <v>5</v>
      </c>
      <c r="G502" t="inlineStr">
        <is>
          <t>Ontario Tennis Association</t>
        </is>
      </c>
      <c r="H502" t="inlineStr">
        <is>
          <t>Niagara Academy of Tennis</t>
        </is>
      </c>
      <c r="I502" t="n">
        <v>29</v>
      </c>
      <c r="J502" s="4" t="n">
        <v>12</v>
      </c>
      <c r="K502" t="inlineStr">
        <is>
          <t>8 / 4</t>
        </is>
      </c>
      <c r="L502" t="inlineStr">
        <is>
          <t>0 / 0</t>
        </is>
      </c>
      <c r="M502" s="5" t="n">
        <v>0.67</v>
      </c>
      <c r="N502" s="5" t="n">
        <v>0</v>
      </c>
    </row>
    <row r="503">
      <c r="A503" t="n">
        <v>502</v>
      </c>
      <c r="B503" t="n">
        <v>2013</v>
      </c>
      <c r="C503" t="inlineStr">
        <is>
          <t>Emilia Sofia Urkedal</t>
        </is>
      </c>
      <c r="D503">
        <f>HYPERLINK("https://ota.tournamentsoftware.com/player-profile/381713CB-202F-43FD-B96F-4B364BE2EE52", "Link")</f>
        <v/>
      </c>
      <c r="E503" s="3" t="n">
        <v>81.57299999999999</v>
      </c>
      <c r="F503" s="4" t="n">
        <v>7</v>
      </c>
      <c r="G503" t="inlineStr">
        <is>
          <t>Ontario Tennis Association</t>
        </is>
      </c>
      <c r="H503" t="inlineStr">
        <is>
          <t>Greenhills Golf Club</t>
        </is>
      </c>
      <c r="I503" t="n">
        <v>37</v>
      </c>
      <c r="J503" s="4" t="n">
        <v>69</v>
      </c>
      <c r="K503" t="inlineStr">
        <is>
          <t>17 / 52</t>
        </is>
      </c>
      <c r="L503" t="inlineStr">
        <is>
          <t>4 / 7</t>
        </is>
      </c>
      <c r="M503" s="5" t="n">
        <v>0.25</v>
      </c>
      <c r="N503" s="5" t="n">
        <v>0.36</v>
      </c>
    </row>
    <row r="504">
      <c r="A504" t="n">
        <v>503</v>
      </c>
      <c r="B504" t="n">
        <v>2015</v>
      </c>
      <c r="C504" t="inlineStr">
        <is>
          <t>Ellieann Jean Baker</t>
        </is>
      </c>
      <c r="D504">
        <f>HYPERLINK("https://ota.tournamentsoftware.com/player-profile/059CF7FD-B4FA-4522-AF55-9B2138153D9C", "Link")</f>
        <v/>
      </c>
      <c r="E504" s="3" t="n">
        <v>81.10299999999999</v>
      </c>
      <c r="F504" s="4" t="n">
        <v>9</v>
      </c>
      <c r="G504" t="inlineStr">
        <is>
          <t>Tennis Alberta</t>
        </is>
      </c>
      <c r="H504" t="inlineStr">
        <is>
          <t>Aforza</t>
        </is>
      </c>
      <c r="I504" t="n">
        <v>36.8</v>
      </c>
      <c r="J504" s="4" t="n">
        <v>109</v>
      </c>
      <c r="K504" t="inlineStr">
        <is>
          <t>45 / 64</t>
        </is>
      </c>
      <c r="L504" t="inlineStr">
        <is>
          <t>4 / 11</t>
        </is>
      </c>
      <c r="M504" s="5" t="n">
        <v>0.41</v>
      </c>
      <c r="N504" s="5" t="n">
        <v>0.27</v>
      </c>
    </row>
    <row r="505">
      <c r="A505" t="n">
        <v>504</v>
      </c>
      <c r="B505" t="n">
        <v>2013</v>
      </c>
      <c r="C505" t="inlineStr">
        <is>
          <t>Victoria maya Carinci</t>
        </is>
      </c>
      <c r="D505">
        <f>HYPERLINK("https://ota.tournamentsoftware.com/player-profile/767AAF86-8D36-4699-8113-86AA6DA60CE4", "Link")</f>
        <v/>
      </c>
      <c r="E505" s="3" t="n">
        <v>80.878</v>
      </c>
      <c r="F505" s="4" t="n">
        <v>11</v>
      </c>
      <c r="G505" t="inlineStr">
        <is>
          <t>Ontario Tennis Association</t>
        </is>
      </c>
      <c r="H505" t="inlineStr">
        <is>
          <t>Concord Tennis Academy</t>
        </is>
      </c>
      <c r="I505" t="n">
        <v>39.5</v>
      </c>
      <c r="J505" s="4" t="n">
        <v>38</v>
      </c>
      <c r="K505" t="inlineStr">
        <is>
          <t>8 / 30</t>
        </is>
      </c>
      <c r="L505" t="inlineStr">
        <is>
          <t>0 / 9</t>
        </is>
      </c>
      <c r="M505" s="5" t="n">
        <v>0.21</v>
      </c>
      <c r="N505" s="5" t="n">
        <v>0</v>
      </c>
    </row>
    <row r="506">
      <c r="A506" t="n">
        <v>505</v>
      </c>
      <c r="B506" t="n">
        <v>2016</v>
      </c>
      <c r="C506" t="inlineStr">
        <is>
          <t>LUXI YANG</t>
        </is>
      </c>
      <c r="D506">
        <f>HYPERLINK("https://ota.tournamentsoftware.com/player-profile/00CB777C-F17D-4A37-8393-1F4E5A4F3C39", "Link")</f>
        <v/>
      </c>
      <c r="E506" s="3" t="n">
        <v>80.59999999999999</v>
      </c>
      <c r="F506" s="4" t="n">
        <v>9</v>
      </c>
      <c r="G506" t="inlineStr">
        <is>
          <t>British Columbia</t>
        </is>
      </c>
      <c r="H506" t="inlineStr">
        <is>
          <t>The Tennis Centre</t>
        </is>
      </c>
      <c r="I506" t="n">
        <v>32.5</v>
      </c>
      <c r="J506" s="4" t="n">
        <v>78</v>
      </c>
      <c r="K506" t="inlineStr">
        <is>
          <t>62 / 16</t>
        </is>
      </c>
      <c r="L506" t="inlineStr">
        <is>
          <t>25 / 6</t>
        </is>
      </c>
      <c r="M506" s="5" t="n">
        <v>0.79</v>
      </c>
      <c r="N506" s="5" t="n">
        <v>0.8100000000000001</v>
      </c>
    </row>
    <row r="507">
      <c r="A507" t="n">
        <v>506</v>
      </c>
      <c r="B507" t="n">
        <v>2015</v>
      </c>
      <c r="C507" t="inlineStr">
        <is>
          <t>Doreen Bowen Mao</t>
        </is>
      </c>
      <c r="D507">
        <f>HYPERLINK("https://ota.tournamentsoftware.com/player-profile/24478EB2-203F-4DE3-92C9-B16D9A60F77F", "Link")</f>
        <v/>
      </c>
      <c r="E507" s="3" t="n">
        <v>80.43600000000001</v>
      </c>
      <c r="F507" s="4" t="n">
        <v>15</v>
      </c>
      <c r="G507" t="inlineStr">
        <is>
          <t>Ontario Tennis Association</t>
        </is>
      </c>
      <c r="H507" t="inlineStr">
        <is>
          <t>Joshua Creek Golf &amp; Tennis</t>
        </is>
      </c>
      <c r="I507" t="n">
        <v>37.2</v>
      </c>
      <c r="J507" s="4" t="n">
        <v>79</v>
      </c>
      <c r="K507" t="inlineStr">
        <is>
          <t>33 / 46</t>
        </is>
      </c>
      <c r="L507" t="inlineStr">
        <is>
          <t>18 / 21</t>
        </is>
      </c>
      <c r="M507" s="5" t="n">
        <v>0.42</v>
      </c>
      <c r="N507" s="5" t="n">
        <v>0.46</v>
      </c>
    </row>
    <row r="508">
      <c r="A508" t="n">
        <v>507</v>
      </c>
      <c r="B508" t="n">
        <v>2013</v>
      </c>
      <c r="C508" t="inlineStr">
        <is>
          <t>Avery Hao</t>
        </is>
      </c>
      <c r="D508">
        <f>HYPERLINK("https://ota.tournamentsoftware.com/player-profile/4D297E0A-97AD-4487-A64F-403E8B3ACA30", "Link")</f>
        <v/>
      </c>
      <c r="E508" s="3" t="n">
        <v>80.40000000000001</v>
      </c>
      <c r="F508" s="4" t="n">
        <v>4</v>
      </c>
      <c r="G508" t="inlineStr">
        <is>
          <t>Ontario Tennis Association</t>
        </is>
      </c>
      <c r="H508" t="inlineStr">
        <is>
          <t>Elmridge Tennis Club</t>
        </is>
      </c>
      <c r="I508" t="n">
        <v>39.3</v>
      </c>
      <c r="J508" s="4" t="n">
        <v>14</v>
      </c>
      <c r="K508" t="inlineStr">
        <is>
          <t>4 / 10</t>
        </is>
      </c>
      <c r="L508" t="inlineStr">
        <is>
          <t>0 / 4</t>
        </is>
      </c>
      <c r="M508" s="5" t="n">
        <v>0.29</v>
      </c>
      <c r="N508" s="5" t="n">
        <v>0</v>
      </c>
    </row>
    <row r="509">
      <c r="A509" t="n">
        <v>508</v>
      </c>
      <c r="B509" t="n">
        <v>2015</v>
      </c>
      <c r="C509" t="inlineStr">
        <is>
          <t>Savannah Billings</t>
        </is>
      </c>
      <c r="D509">
        <f>HYPERLINK("https://ota.tournamentsoftware.com/player-profile/3C86C2A1-7881-4E07-A889-C842F4C67652", "Link")</f>
        <v/>
      </c>
      <c r="E509" s="3" t="n">
        <v>79.464</v>
      </c>
      <c r="F509" s="4" t="n">
        <v>5</v>
      </c>
      <c r="G509" t="inlineStr">
        <is>
          <t>Tennis Québec</t>
        </is>
      </c>
      <c r="H509" t="inlineStr">
        <is>
          <t>Club Avantage Multi-sports / Académie de tennis Hérisset Bordeleau</t>
        </is>
      </c>
      <c r="I509" t="n">
        <v>30.4</v>
      </c>
      <c r="J509" s="4" t="n">
        <v>13</v>
      </c>
      <c r="K509" t="inlineStr">
        <is>
          <t>8 / 5</t>
        </is>
      </c>
      <c r="L509" t="inlineStr">
        <is>
          <t>8 / 3</t>
        </is>
      </c>
      <c r="M509" s="5" t="n">
        <v>0.62</v>
      </c>
      <c r="N509" s="5" t="n">
        <v>0.73</v>
      </c>
    </row>
    <row r="510">
      <c r="A510" t="n">
        <v>509</v>
      </c>
      <c r="B510" t="n">
        <v>2015</v>
      </c>
      <c r="C510" t="inlineStr">
        <is>
          <t>Mia Gidaro</t>
        </is>
      </c>
      <c r="D510">
        <f>HYPERLINK("https://ota.tournamentsoftware.com/player-profile/17357D82-FEBE-483D-8054-F1F6B85AD8A5", "Link")</f>
        <v/>
      </c>
      <c r="E510" s="3" t="n">
        <v>79.46299999999999</v>
      </c>
      <c r="F510" s="4" t="n">
        <v>12</v>
      </c>
      <c r="G510" t="inlineStr">
        <is>
          <t>Ontario Tennis Association</t>
        </is>
      </c>
      <c r="H510" t="inlineStr">
        <is>
          <t>Baby Point Tennis Club</t>
        </is>
      </c>
      <c r="I510" t="n">
        <v>37.1</v>
      </c>
      <c r="J510" s="4" t="n">
        <v>61</v>
      </c>
      <c r="K510" t="inlineStr">
        <is>
          <t>24 / 37</t>
        </is>
      </c>
      <c r="L510" t="inlineStr">
        <is>
          <t>3 / 7</t>
        </is>
      </c>
      <c r="M510" s="5" t="n">
        <v>0.39</v>
      </c>
      <c r="N510" s="5" t="n">
        <v>0.3</v>
      </c>
    </row>
    <row r="511">
      <c r="A511" t="n">
        <v>510</v>
      </c>
      <c r="B511" t="n">
        <v>2014</v>
      </c>
      <c r="C511" t="inlineStr">
        <is>
          <t>Clarice de Azevedo Guedes</t>
        </is>
      </c>
      <c r="D511">
        <f>HYPERLINK("https://ota.tournamentsoftware.com/player-profile/027DF0F1-69E8-4220-8263-B26C4D1AFC70", "Link")</f>
        <v/>
      </c>
      <c r="E511" s="3" t="n">
        <v>79.407</v>
      </c>
      <c r="F511" s="4" t="n">
        <v>15</v>
      </c>
      <c r="G511" t="inlineStr">
        <is>
          <t>Tennis Québec</t>
        </is>
      </c>
      <c r="H511" t="inlineStr">
        <is>
          <t>Tennis 13</t>
        </is>
      </c>
      <c r="I511" t="inlineStr">
        <is>
          <t>unavailable</t>
        </is>
      </c>
      <c r="J511" s="4" t="n">
        <v>64</v>
      </c>
      <c r="K511" t="inlineStr">
        <is>
          <t>26 / 38</t>
        </is>
      </c>
      <c r="L511" t="inlineStr">
        <is>
          <t>12 / 12</t>
        </is>
      </c>
      <c r="M511" s="5" t="n">
        <v>0.41</v>
      </c>
      <c r="N511" s="5" t="n">
        <v>0.5</v>
      </c>
    </row>
    <row r="512">
      <c r="A512" t="n">
        <v>511</v>
      </c>
      <c r="B512" t="n">
        <v>2015</v>
      </c>
      <c r="C512" t="inlineStr">
        <is>
          <t>Abigail Csima</t>
        </is>
      </c>
      <c r="D512">
        <f>HYPERLINK("https://ota.tournamentsoftware.com/player-profile/6F3C1A53-8070-482F-B046-BE875C66F4B8", "Link")</f>
        <v/>
      </c>
      <c r="E512" s="3" t="n">
        <v>79.28700000000001</v>
      </c>
      <c r="F512" s="4" t="n">
        <v>14</v>
      </c>
      <c r="G512" t="inlineStr">
        <is>
          <t>Ontario Tennis Association</t>
        </is>
      </c>
      <c r="H512" t="inlineStr">
        <is>
          <t>Waterloo Tennis Club</t>
        </is>
      </c>
      <c r="I512" t="n">
        <v>38.5</v>
      </c>
      <c r="J512" s="4" t="n">
        <v>60</v>
      </c>
      <c r="K512" t="inlineStr">
        <is>
          <t>12 / 48</t>
        </is>
      </c>
      <c r="L512" t="inlineStr">
        <is>
          <t>3 / 14</t>
        </is>
      </c>
      <c r="M512" s="5" t="n">
        <v>0.2</v>
      </c>
      <c r="N512" s="5" t="n">
        <v>0.18</v>
      </c>
    </row>
    <row r="513">
      <c r="A513" t="n">
        <v>512</v>
      </c>
      <c r="B513" t="n">
        <v>2014</v>
      </c>
      <c r="C513" t="inlineStr">
        <is>
          <t>Aditri Mundhra</t>
        </is>
      </c>
      <c r="D513">
        <f>HYPERLINK("https://ota.tournamentsoftware.com/player-profile/C7A9A9F1-2DF6-42CD-AA71-F15C9BFFA6EB", "Link")</f>
        <v/>
      </c>
      <c r="E513" s="3" t="n">
        <v>78.45099999999999</v>
      </c>
      <c r="F513" s="4" t="n">
        <v>16</v>
      </c>
      <c r="G513" t="inlineStr">
        <is>
          <t>British Columbia</t>
        </is>
      </c>
      <c r="H513" t="inlineStr">
        <is>
          <t>The Tennis Centre</t>
        </is>
      </c>
      <c r="I513" t="n">
        <v>34.9</v>
      </c>
      <c r="J513" s="4" t="n">
        <v>47</v>
      </c>
      <c r="K513" t="inlineStr">
        <is>
          <t>18 / 29</t>
        </is>
      </c>
      <c r="L513" t="inlineStr">
        <is>
          <t>14 / 16</t>
        </is>
      </c>
      <c r="M513" s="5" t="n">
        <v>0.38</v>
      </c>
      <c r="N513" s="5" t="n">
        <v>0.47</v>
      </c>
    </row>
    <row r="514">
      <c r="A514" t="n">
        <v>513</v>
      </c>
      <c r="B514" t="n">
        <v>2014</v>
      </c>
      <c r="C514" t="inlineStr">
        <is>
          <t>Sarah Huang</t>
        </is>
      </c>
      <c r="D514">
        <f>HYPERLINK("https://ota.tournamentsoftware.com/player-profile/535A9ABE-481C-45C4-9357-B8FD9305232E", "Link")</f>
        <v/>
      </c>
      <c r="E514" s="3" t="n">
        <v>77.562</v>
      </c>
      <c r="F514" s="4" t="n">
        <v>15</v>
      </c>
      <c r="G514" t="inlineStr">
        <is>
          <t>Ontario Tennis Association</t>
        </is>
      </c>
      <c r="H514" t="inlineStr">
        <is>
          <t>Premier Racquet Club</t>
        </is>
      </c>
      <c r="I514" t="n">
        <v>36.5</v>
      </c>
      <c r="J514" s="4" t="n">
        <v>111</v>
      </c>
      <c r="K514" t="inlineStr">
        <is>
          <t>37 / 74</t>
        </is>
      </c>
      <c r="L514" t="inlineStr">
        <is>
          <t>3 / 7</t>
        </is>
      </c>
      <c r="M514" s="5" t="n">
        <v>0.33</v>
      </c>
      <c r="N514" s="5" t="n">
        <v>0.3</v>
      </c>
    </row>
    <row r="515">
      <c r="A515" t="n">
        <v>514</v>
      </c>
      <c r="B515" t="n">
        <v>2014</v>
      </c>
      <c r="C515" t="inlineStr">
        <is>
          <t>Yue Zhang</t>
        </is>
      </c>
      <c r="D515">
        <f>HYPERLINK("https://ota.tournamentsoftware.com/player-profile/85239D79-7080-4052-A527-EE7F087184E4", "Link")</f>
        <v/>
      </c>
      <c r="E515" s="3" t="n">
        <v>76.623</v>
      </c>
      <c r="F515" s="4" t="n">
        <v>6</v>
      </c>
      <c r="G515" t="inlineStr">
        <is>
          <t>Tennis Nova Scotia</t>
        </is>
      </c>
      <c r="H515" t="inlineStr">
        <is>
          <t>Atlantic Tennis Centre</t>
        </is>
      </c>
      <c r="I515" t="n">
        <v>38.1</v>
      </c>
      <c r="J515" s="4" t="n">
        <v>38</v>
      </c>
      <c r="K515" t="inlineStr">
        <is>
          <t>15 / 23</t>
        </is>
      </c>
      <c r="L515" t="inlineStr">
        <is>
          <t>6 / 12</t>
        </is>
      </c>
      <c r="M515" s="5" t="n">
        <v>0.39</v>
      </c>
      <c r="N515" s="5" t="n">
        <v>0.33</v>
      </c>
    </row>
    <row r="516">
      <c r="A516" t="n">
        <v>515</v>
      </c>
      <c r="B516" t="n">
        <v>2012</v>
      </c>
      <c r="C516" t="inlineStr">
        <is>
          <t>Aaisha Rathod</t>
        </is>
      </c>
      <c r="D516">
        <f>HYPERLINK("https://ota.tournamentsoftware.com/player-profile/3CFF2AC0-C5A1-461F-91D3-0CD8EAFC5609", "Link")</f>
        <v/>
      </c>
      <c r="E516" s="3" t="n">
        <v>76.19199999999999</v>
      </c>
      <c r="F516" s="4" t="n">
        <v>12</v>
      </c>
      <c r="G516" t="inlineStr">
        <is>
          <t>Ontario Tennis Association</t>
        </is>
      </c>
      <c r="H516" t="inlineStr">
        <is>
          <t>Premier Racquet Clubs – Mississauga</t>
        </is>
      </c>
      <c r="I516" t="n">
        <v>39.4</v>
      </c>
      <c r="J516" s="4" t="n">
        <v>74</v>
      </c>
      <c r="K516" t="inlineStr">
        <is>
          <t>3 / 71</t>
        </is>
      </c>
      <c r="L516" t="inlineStr">
        <is>
          <t>1 / 8</t>
        </is>
      </c>
      <c r="M516" s="5" t="n">
        <v>0.04</v>
      </c>
      <c r="N516" s="5" t="n">
        <v>0.11</v>
      </c>
    </row>
    <row r="517">
      <c r="A517" t="n">
        <v>516</v>
      </c>
      <c r="B517" t="n">
        <v>2015</v>
      </c>
      <c r="C517" t="inlineStr">
        <is>
          <t>zhiyi li</t>
        </is>
      </c>
      <c r="D517">
        <f>HYPERLINK("https://ota.tournamentsoftware.com/player-profile/262E56E9-3220-45C2-961D-ACE763C5C345", "Link")</f>
        <v/>
      </c>
      <c r="E517" s="3" t="n">
        <v>74.52</v>
      </c>
      <c r="F517" s="4" t="n">
        <v>10</v>
      </c>
      <c r="G517" t="inlineStr">
        <is>
          <t>Ontario Tennis Association</t>
        </is>
      </c>
      <c r="H517" t="inlineStr">
        <is>
          <t>Rideau Sports Centre</t>
        </is>
      </c>
      <c r="I517" t="n">
        <v>35.8</v>
      </c>
      <c r="J517" s="4" t="n">
        <v>83</v>
      </c>
      <c r="K517" t="inlineStr">
        <is>
          <t>44 / 39</t>
        </is>
      </c>
      <c r="L517" t="inlineStr">
        <is>
          <t>8 / 9</t>
        </is>
      </c>
      <c r="M517" s="5" t="n">
        <v>0.53</v>
      </c>
      <c r="N517" s="5" t="n">
        <v>0.47</v>
      </c>
    </row>
    <row r="518">
      <c r="A518" t="n">
        <v>517</v>
      </c>
      <c r="B518" t="n">
        <v>2014</v>
      </c>
      <c r="C518" t="inlineStr">
        <is>
          <t>Ava Amiripour</t>
        </is>
      </c>
      <c r="D518">
        <f>HYPERLINK("https://ota.tournamentsoftware.com/player-profile/C08AB363-A302-4023-8D6D-B732D837DADF", "Link")</f>
        <v/>
      </c>
      <c r="E518" s="3" t="n">
        <v>74.288</v>
      </c>
      <c r="F518" s="4" t="n">
        <v>4</v>
      </c>
      <c r="G518" t="inlineStr">
        <is>
          <t>Ontario Tennis Association</t>
        </is>
      </c>
      <c r="H518" t="inlineStr">
        <is>
          <t>No Club</t>
        </is>
      </c>
      <c r="I518" t="n">
        <v>37.7</v>
      </c>
      <c r="J518" s="4" t="n">
        <v>7</v>
      </c>
      <c r="K518" t="inlineStr">
        <is>
          <t>1 / 6</t>
        </is>
      </c>
      <c r="L518" t="inlineStr">
        <is>
          <t>1 / 5</t>
        </is>
      </c>
      <c r="M518" s="5" t="n">
        <v>0.14</v>
      </c>
      <c r="N518" s="5" t="n">
        <v>0.17</v>
      </c>
    </row>
    <row r="519">
      <c r="A519" t="n">
        <v>518</v>
      </c>
      <c r="B519" t="n">
        <v>2013</v>
      </c>
      <c r="C519" t="inlineStr">
        <is>
          <t>Emma Victoria Chan</t>
        </is>
      </c>
      <c r="D519">
        <f>HYPERLINK("https://ota.tournamentsoftware.com/player-profile/29822B25-6004-4E31-822F-CF8FF1CD9AB7", "Link")</f>
        <v/>
      </c>
      <c r="E519" s="3" t="n">
        <v>74.184</v>
      </c>
      <c r="F519" s="4" t="n">
        <v>8</v>
      </c>
      <c r="G519" t="inlineStr">
        <is>
          <t>Ontario Tennis Association</t>
        </is>
      </c>
      <c r="H519" t="inlineStr">
        <is>
          <t>Joshua Creek Golf &amp; Tennis</t>
        </is>
      </c>
      <c r="I519" t="n">
        <v>36.4</v>
      </c>
      <c r="J519" s="4" t="n">
        <v>64</v>
      </c>
      <c r="K519" t="inlineStr">
        <is>
          <t>40 / 24</t>
        </is>
      </c>
      <c r="L519" t="inlineStr">
        <is>
          <t>12 / 4</t>
        </is>
      </c>
      <c r="M519" s="5" t="n">
        <v>0.62</v>
      </c>
      <c r="N519" s="5" t="n">
        <v>0.75</v>
      </c>
    </row>
    <row r="520">
      <c r="A520" t="n">
        <v>519</v>
      </c>
      <c r="B520" t="n">
        <v>2015</v>
      </c>
      <c r="C520" t="inlineStr">
        <is>
          <t>Cara Tereza Nyakahuma</t>
        </is>
      </c>
      <c r="D520">
        <f>HYPERLINK("https://ota.tournamentsoftware.com/player-profile/AFC2100D-E6CB-4B13-AD01-0EBC56083397", "Link")</f>
        <v/>
      </c>
      <c r="E520" s="3" t="n">
        <v>74.08</v>
      </c>
      <c r="F520" s="4" t="n">
        <v>8</v>
      </c>
      <c r="G520" t="inlineStr">
        <is>
          <t>Ontario Tennis Association</t>
        </is>
      </c>
      <c r="H520" t="inlineStr">
        <is>
          <t>Intercounty Tennis Association</t>
        </is>
      </c>
      <c r="I520" t="inlineStr">
        <is>
          <t>unavailable</t>
        </is>
      </c>
      <c r="J520" s="4" t="n">
        <v>143</v>
      </c>
      <c r="K520" t="inlineStr">
        <is>
          <t>90 / 53</t>
        </is>
      </c>
      <c r="L520" t="inlineStr">
        <is>
          <t>7 / 4</t>
        </is>
      </c>
      <c r="M520" s="5" t="n">
        <v>0.63</v>
      </c>
      <c r="N520" s="5" t="n">
        <v>0.64</v>
      </c>
    </row>
    <row r="521">
      <c r="A521" t="n">
        <v>520</v>
      </c>
      <c r="B521" t="n">
        <v>2017</v>
      </c>
      <c r="C521" t="inlineStr">
        <is>
          <t>Chen Xi Zhou Kong</t>
        </is>
      </c>
      <c r="D521">
        <f>HYPERLINK("https://ota.tournamentsoftware.com/player-profile/E5CD94C9-63F9-419B-A6E9-CCB6DEF8B502", "Link")</f>
        <v/>
      </c>
      <c r="E521" s="3" t="n">
        <v>73.2</v>
      </c>
      <c r="F521" s="4" t="n">
        <v>21</v>
      </c>
      <c r="G521" t="inlineStr">
        <is>
          <t>Tennis Québec</t>
        </is>
      </c>
      <c r="H521" t="inlineStr">
        <is>
          <t>Centre récréatif de Repentigny / Académie Tennis Momentum</t>
        </is>
      </c>
      <c r="I521" t="inlineStr">
        <is>
          <t>unavailable</t>
        </is>
      </c>
      <c r="J521" s="4" t="n">
        <v>120</v>
      </c>
      <c r="K521" t="inlineStr">
        <is>
          <t>57 / 63</t>
        </is>
      </c>
      <c r="L521" t="inlineStr">
        <is>
          <t>40 / 36</t>
        </is>
      </c>
      <c r="M521" s="5" t="n">
        <v>0.47</v>
      </c>
      <c r="N521" s="5" t="n">
        <v>0.53</v>
      </c>
    </row>
    <row r="522">
      <c r="A522" t="n">
        <v>521</v>
      </c>
      <c r="B522" t="n">
        <v>2013</v>
      </c>
      <c r="C522" t="inlineStr">
        <is>
          <t>Lolia Abdrabou</t>
        </is>
      </c>
      <c r="D522">
        <f>HYPERLINK("https://ota.tournamentsoftware.com/player-profile/02101E1E-CCDA-437A-A3E7-8CBDBA76F674", "Link")</f>
        <v/>
      </c>
      <c r="E522" s="3" t="n">
        <v>72.959</v>
      </c>
      <c r="F522" s="4" t="n">
        <v>4</v>
      </c>
      <c r="G522" t="inlineStr">
        <is>
          <t>Tennis Nova Scotia</t>
        </is>
      </c>
      <c r="H522" t="inlineStr">
        <is>
          <t>HEADSTART</t>
        </is>
      </c>
      <c r="I522" t="n">
        <v>35.6</v>
      </c>
      <c r="J522" s="4" t="n">
        <v>22</v>
      </c>
      <c r="K522" t="inlineStr">
        <is>
          <t>13 / 9</t>
        </is>
      </c>
      <c r="L522" t="inlineStr">
        <is>
          <t>2 / 4</t>
        </is>
      </c>
      <c r="M522" s="5" t="n">
        <v>0.59</v>
      </c>
      <c r="N522" s="5" t="n">
        <v>0.33</v>
      </c>
    </row>
    <row r="523">
      <c r="A523" t="n">
        <v>522</v>
      </c>
      <c r="B523" t="n">
        <v>2016</v>
      </c>
      <c r="C523" t="inlineStr">
        <is>
          <t>Grace SHI</t>
        </is>
      </c>
      <c r="D523">
        <f>HYPERLINK("https://ota.tournamentsoftware.com/player-profile/71A1D6E1-33D1-46A0-AF21-F397AE1BA314", "Link")</f>
        <v/>
      </c>
      <c r="E523" s="3" t="n">
        <v>70.416</v>
      </c>
      <c r="F523" s="4" t="n">
        <v>10</v>
      </c>
      <c r="G523" t="inlineStr">
        <is>
          <t>British Columbia</t>
        </is>
      </c>
      <c r="H523" t="inlineStr">
        <is>
          <t>No Club</t>
        </is>
      </c>
      <c r="I523" t="n">
        <v>38.4</v>
      </c>
      <c r="J523" s="4" t="n">
        <v>48</v>
      </c>
      <c r="K523" t="inlineStr">
        <is>
          <t>16 / 32</t>
        </is>
      </c>
      <c r="L523" t="inlineStr">
        <is>
          <t>9 / 13</t>
        </is>
      </c>
      <c r="M523" s="5" t="n">
        <v>0.33</v>
      </c>
      <c r="N523" s="5" t="n">
        <v>0.41</v>
      </c>
    </row>
    <row r="524">
      <c r="A524" t="n">
        <v>523</v>
      </c>
      <c r="B524" t="n">
        <v>2015</v>
      </c>
      <c r="C524" t="inlineStr">
        <is>
          <t>Myra Shukla</t>
        </is>
      </c>
      <c r="D524">
        <f>HYPERLINK("https://ota.tournamentsoftware.com/player-profile/2F4B1A1D-35AC-45A0-9F5D-6D5533376D9A", "Link")</f>
        <v/>
      </c>
      <c r="E524" s="3" t="n">
        <v>70.126</v>
      </c>
      <c r="F524" s="4" t="n">
        <v>7</v>
      </c>
      <c r="G524" t="inlineStr">
        <is>
          <t>Ontario Tennis Association</t>
        </is>
      </c>
      <c r="H524" t="inlineStr">
        <is>
          <t>Veneto Tennis Club</t>
        </is>
      </c>
      <c r="I524" t="n">
        <v>38</v>
      </c>
      <c r="J524" s="4" t="n">
        <v>83</v>
      </c>
      <c r="K524" t="inlineStr">
        <is>
          <t>34 / 49</t>
        </is>
      </c>
      <c r="L524" t="inlineStr">
        <is>
          <t>1 / 6</t>
        </is>
      </c>
      <c r="M524" s="5" t="n">
        <v>0.41</v>
      </c>
      <c r="N524" s="5" t="n">
        <v>0.14</v>
      </c>
    </row>
    <row r="525">
      <c r="A525" t="n">
        <v>524</v>
      </c>
      <c r="B525" t="n">
        <v>2013</v>
      </c>
      <c r="C525" t="inlineStr">
        <is>
          <t>Zean Whyte Omayan Gerongco</t>
        </is>
      </c>
      <c r="D525">
        <f>HYPERLINK("https://ota.tournamentsoftware.com/player-profile/95E8FC8D-AC41-4C9F-8192-23788254309B", "Link")</f>
        <v/>
      </c>
      <c r="E525" s="3" t="n">
        <v>70.09099999999999</v>
      </c>
      <c r="F525" s="4" t="n">
        <v>4</v>
      </c>
      <c r="G525" t="inlineStr">
        <is>
          <t>Ontario Tennis Association</t>
        </is>
      </c>
      <c r="H525" t="inlineStr">
        <is>
          <t>Fountainhead Tennis Club</t>
        </is>
      </c>
      <c r="I525" t="n">
        <v>32.8</v>
      </c>
      <c r="J525" s="4" t="n">
        <v>167</v>
      </c>
      <c r="K525" t="inlineStr">
        <is>
          <t>95 / 72</t>
        </is>
      </c>
      <c r="L525" t="inlineStr">
        <is>
          <t>0 / 0</t>
        </is>
      </c>
      <c r="M525" s="5" t="n">
        <v>0.57</v>
      </c>
      <c r="N525" s="5" t="n">
        <v>0</v>
      </c>
    </row>
    <row r="526">
      <c r="A526" t="n">
        <v>525</v>
      </c>
      <c r="B526" t="n">
        <v>2013</v>
      </c>
      <c r="C526" t="inlineStr">
        <is>
          <t>Lydia Squires-Sturge</t>
        </is>
      </c>
      <c r="D526">
        <f>HYPERLINK("https://ota.tournamentsoftware.com/player-profile/AD6D5BEF-6293-4DE8-BF13-52E1A33EF28B", "Link")</f>
        <v/>
      </c>
      <c r="E526" s="3" t="n">
        <v>69.855</v>
      </c>
      <c r="F526" s="4" t="n">
        <v>5</v>
      </c>
      <c r="G526" t="inlineStr">
        <is>
          <t>Tennis Newfoundland &amp; Labrador</t>
        </is>
      </c>
      <c r="H526" t="inlineStr">
        <is>
          <t>Mount Pearl Tennis Club</t>
        </is>
      </c>
      <c r="I526" t="inlineStr">
        <is>
          <t>unavailable</t>
        </is>
      </c>
      <c r="J526" s="4" t="n">
        <v>23</v>
      </c>
      <c r="K526" t="inlineStr">
        <is>
          <t>7 / 16</t>
        </is>
      </c>
      <c r="L526" t="inlineStr">
        <is>
          <t>0 / 4</t>
        </is>
      </c>
      <c r="M526" s="5" t="n">
        <v>0.3</v>
      </c>
      <c r="N526" s="5" t="n">
        <v>0</v>
      </c>
    </row>
    <row r="527">
      <c r="A527" t="n">
        <v>526</v>
      </c>
      <c r="B527" t="n">
        <v>2013</v>
      </c>
      <c r="C527" t="inlineStr">
        <is>
          <t>Lilya Youssef</t>
        </is>
      </c>
      <c r="D527">
        <f>HYPERLINK("https://ota.tournamentsoftware.com/player-profile/E4A52F0A-7400-4236-ACEF-6680D7FB1262", "Link")</f>
        <v/>
      </c>
      <c r="E527" s="3" t="n">
        <v>69.61</v>
      </c>
      <c r="F527" s="4" t="n">
        <v>3</v>
      </c>
      <c r="G527" t="inlineStr">
        <is>
          <t>Tennis Québec</t>
        </is>
      </c>
      <c r="H527" t="inlineStr">
        <is>
          <t>Tennis 13</t>
        </is>
      </c>
      <c r="I527" t="inlineStr">
        <is>
          <t>unavailable</t>
        </is>
      </c>
      <c r="J527" s="4" t="n">
        <v>10</v>
      </c>
      <c r="K527" t="inlineStr">
        <is>
          <t>5 / 5</t>
        </is>
      </c>
      <c r="L527" t="inlineStr">
        <is>
          <t>5 / 5</t>
        </is>
      </c>
      <c r="M527" s="5" t="n">
        <v>0.5</v>
      </c>
      <c r="N527" s="5" t="n">
        <v>0.5</v>
      </c>
    </row>
    <row r="528">
      <c r="A528" t="n">
        <v>527</v>
      </c>
      <c r="B528" t="n">
        <v>2012</v>
      </c>
      <c r="C528" t="inlineStr">
        <is>
          <t>Stefaniia Petrova</t>
        </is>
      </c>
      <c r="D528">
        <f>HYPERLINK("https://ota.tournamentsoftware.com/player-profile/23727B96-731B-4DBB-9789-81399E2B9950", "Link")</f>
        <v/>
      </c>
      <c r="E528" s="3" t="n">
        <v>69.48</v>
      </c>
      <c r="F528" s="4" t="n">
        <v>2</v>
      </c>
      <c r="G528" t="inlineStr">
        <is>
          <t>Ontario Tennis Association</t>
        </is>
      </c>
      <c r="H528" t="inlineStr">
        <is>
          <t>No Club</t>
        </is>
      </c>
      <c r="I528" t="n">
        <v>28.9</v>
      </c>
      <c r="J528" s="4" t="n">
        <v>301</v>
      </c>
      <c r="K528" t="inlineStr">
        <is>
          <t>177 / 124</t>
        </is>
      </c>
      <c r="L528" t="inlineStr">
        <is>
          <t>0 / 0</t>
        </is>
      </c>
      <c r="M528" s="5" t="n">
        <v>0.59</v>
      </c>
      <c r="N528" s="5" t="n">
        <v>0</v>
      </c>
    </row>
    <row r="529">
      <c r="A529" t="n">
        <v>528</v>
      </c>
      <c r="B529" t="n">
        <v>2015</v>
      </c>
      <c r="C529" t="inlineStr">
        <is>
          <t>Mataya Victoria Jan</t>
        </is>
      </c>
      <c r="D529">
        <f>HYPERLINK("https://ota.tournamentsoftware.com/player-profile/52A288CA-2524-4398-A498-9546CE531A78", "Link")</f>
        <v/>
      </c>
      <c r="E529" s="3" t="n">
        <v>69.43600000000001</v>
      </c>
      <c r="F529" s="4" t="n">
        <v>8</v>
      </c>
      <c r="G529" t="inlineStr">
        <is>
          <t>Ontario Tennis Association</t>
        </is>
      </c>
      <c r="H529" t="inlineStr">
        <is>
          <t>Tennis Centre West Ottawa</t>
        </is>
      </c>
      <c r="I529" t="n">
        <v>39.8</v>
      </c>
      <c r="J529" s="4" t="n">
        <v>13</v>
      </c>
      <c r="K529" t="inlineStr">
        <is>
          <t>0 / 13</t>
        </is>
      </c>
      <c r="L529" t="inlineStr">
        <is>
          <t>0 / 8</t>
        </is>
      </c>
      <c r="M529" s="5" t="n">
        <v>0</v>
      </c>
      <c r="N529" s="5" t="n">
        <v>0</v>
      </c>
    </row>
    <row r="530">
      <c r="A530" t="n">
        <v>529</v>
      </c>
      <c r="B530" t="n">
        <v>2015</v>
      </c>
      <c r="C530" t="inlineStr">
        <is>
          <t>Emilia Ho</t>
        </is>
      </c>
      <c r="D530">
        <f>HYPERLINK("https://ota.tournamentsoftware.com/player-profile/91D4EC27-5C11-4119-B45C-F3809BFF1CF1", "Link")</f>
        <v/>
      </c>
      <c r="E530" s="3" t="n">
        <v>69.21299999999999</v>
      </c>
      <c r="F530" s="4" t="n">
        <v>17</v>
      </c>
      <c r="G530" t="inlineStr">
        <is>
          <t>Tennis Alberta</t>
        </is>
      </c>
      <c r="H530" t="inlineStr">
        <is>
          <t>Osten &amp; Victor Alberta Tennis Centre</t>
        </is>
      </c>
      <c r="I530" t="n">
        <v>34.6</v>
      </c>
      <c r="J530" s="4" t="n">
        <v>135</v>
      </c>
      <c r="K530" t="inlineStr">
        <is>
          <t>70 / 65</t>
        </is>
      </c>
      <c r="L530" t="inlineStr">
        <is>
          <t>16 / 17</t>
        </is>
      </c>
      <c r="M530" s="5" t="n">
        <v>0.52</v>
      </c>
      <c r="N530" s="5" t="n">
        <v>0.48</v>
      </c>
    </row>
    <row r="531">
      <c r="A531" t="n">
        <v>530</v>
      </c>
      <c r="B531" t="n">
        <v>2014</v>
      </c>
      <c r="C531" t="inlineStr">
        <is>
          <t>Alexis Sokol</t>
        </is>
      </c>
      <c r="D531">
        <f>HYPERLINK("https://ota.tournamentsoftware.com/player-profile/8337D953-FBB9-45F2-B72A-FF18B572FA6A", "Link")</f>
        <v/>
      </c>
      <c r="E531" s="3" t="n">
        <v>68.806</v>
      </c>
      <c r="F531" s="4" t="n">
        <v>9</v>
      </c>
      <c r="G531" t="inlineStr">
        <is>
          <t>Tennis Alberta</t>
        </is>
      </c>
      <c r="H531" t="inlineStr">
        <is>
          <t>Saville Community Sports Centre</t>
        </is>
      </c>
      <c r="I531" t="n">
        <v>36.5</v>
      </c>
      <c r="J531" s="4" t="n">
        <v>21</v>
      </c>
      <c r="K531" t="inlineStr">
        <is>
          <t>8 / 13</t>
        </is>
      </c>
      <c r="L531" t="inlineStr">
        <is>
          <t>6 / 9</t>
        </is>
      </c>
      <c r="M531" s="5" t="n">
        <v>0.38</v>
      </c>
      <c r="N531" s="5" t="n">
        <v>0.4</v>
      </c>
    </row>
    <row r="532">
      <c r="A532" t="n">
        <v>531</v>
      </c>
      <c r="B532" t="n">
        <v>2014</v>
      </c>
      <c r="C532" t="inlineStr">
        <is>
          <t>Kaitlynn Xie</t>
        </is>
      </c>
      <c r="D532">
        <f>HYPERLINK("https://ota.tournamentsoftware.com/player-profile/25655CF4-99DC-4E1E-BE40-C11FF6785117", "Link")</f>
        <v/>
      </c>
      <c r="E532" s="3" t="n">
        <v>68.715</v>
      </c>
      <c r="F532" s="4" t="n">
        <v>8</v>
      </c>
      <c r="G532" t="inlineStr">
        <is>
          <t>Tennis Alberta</t>
        </is>
      </c>
      <c r="H532" t="inlineStr">
        <is>
          <t>Saville Community Sports Centre</t>
        </is>
      </c>
      <c r="I532" t="n">
        <v>34.2</v>
      </c>
      <c r="J532" s="4" t="n">
        <v>57</v>
      </c>
      <c r="K532" t="inlineStr">
        <is>
          <t>19 / 38</t>
        </is>
      </c>
      <c r="L532" t="inlineStr">
        <is>
          <t>7 / 12</t>
        </is>
      </c>
      <c r="M532" s="5" t="n">
        <v>0.33</v>
      </c>
      <c r="N532" s="5" t="n">
        <v>0.37</v>
      </c>
    </row>
    <row r="533">
      <c r="A533" t="n">
        <v>532</v>
      </c>
      <c r="B533" t="n">
        <v>2014</v>
      </c>
      <c r="C533" t="inlineStr">
        <is>
          <t>Sareen Kaur Hehar</t>
        </is>
      </c>
      <c r="D533">
        <f>HYPERLINK("https://ota.tournamentsoftware.com/player-profile/07D185FB-AE5B-444B-BAE8-058B536108E2", "Link")</f>
        <v/>
      </c>
      <c r="E533" s="3" t="n">
        <v>67.908</v>
      </c>
      <c r="F533" s="4" t="n">
        <v>13</v>
      </c>
      <c r="G533" t="inlineStr">
        <is>
          <t>British Columbia</t>
        </is>
      </c>
      <c r="H533" t="inlineStr">
        <is>
          <t>No Club</t>
        </is>
      </c>
      <c r="I533" t="n">
        <v>35.7</v>
      </c>
      <c r="J533" s="4" t="n">
        <v>197</v>
      </c>
      <c r="K533" t="inlineStr">
        <is>
          <t>75 / 122</t>
        </is>
      </c>
      <c r="L533" t="inlineStr">
        <is>
          <t>5 / 10</t>
        </is>
      </c>
      <c r="M533" s="5" t="n">
        <v>0.38</v>
      </c>
      <c r="N533" s="5" t="n">
        <v>0.33</v>
      </c>
    </row>
    <row r="534">
      <c r="A534" t="n">
        <v>533</v>
      </c>
      <c r="B534" t="n">
        <v>2014</v>
      </c>
      <c r="C534" t="inlineStr">
        <is>
          <t>Mioara Oulima Bouyela</t>
        </is>
      </c>
      <c r="D534">
        <f>HYPERLINK("https://ota.tournamentsoftware.com/player-profile/44DDF62F-2675-4E36-B215-8515347ABD9E", "Link")</f>
        <v/>
      </c>
      <c r="E534" s="3" t="n">
        <v>67.357</v>
      </c>
      <c r="F534" s="4" t="n">
        <v>13</v>
      </c>
      <c r="G534" t="inlineStr">
        <is>
          <t>Tennis Québec</t>
        </is>
      </c>
      <c r="H534" t="inlineStr">
        <is>
          <t>Tennis 13</t>
        </is>
      </c>
      <c r="I534" t="n">
        <v>37.9</v>
      </c>
      <c r="J534" s="4" t="n">
        <v>81</v>
      </c>
      <c r="K534" t="inlineStr">
        <is>
          <t>33 / 48</t>
        </is>
      </c>
      <c r="L534" t="inlineStr">
        <is>
          <t>9 / 12</t>
        </is>
      </c>
      <c r="M534" s="5" t="n">
        <v>0.41</v>
      </c>
      <c r="N534" s="5" t="n">
        <v>0.43</v>
      </c>
    </row>
    <row r="535">
      <c r="A535" t="n">
        <v>534</v>
      </c>
      <c r="B535" t="n">
        <v>2014</v>
      </c>
      <c r="C535" t="inlineStr">
        <is>
          <t>Hui-Xin Chen</t>
        </is>
      </c>
      <c r="D535">
        <f>HYPERLINK("https://ota.tournamentsoftware.com/player-profile/755E1358-E624-498A-A129-DA058D259A1E", "Link")</f>
        <v/>
      </c>
      <c r="E535" s="3" t="n">
        <v>67.30800000000001</v>
      </c>
      <c r="F535" s="4" t="n">
        <v>11</v>
      </c>
      <c r="G535" t="inlineStr">
        <is>
          <t>British Columbia</t>
        </is>
      </c>
      <c r="H535" t="inlineStr">
        <is>
          <t>No Club</t>
        </is>
      </c>
      <c r="I535" t="inlineStr">
        <is>
          <t>unavailable</t>
        </is>
      </c>
      <c r="J535" s="4" t="n">
        <v>106</v>
      </c>
      <c r="K535" t="inlineStr">
        <is>
          <t>36 / 70</t>
        </is>
      </c>
      <c r="L535" t="inlineStr">
        <is>
          <t>13 / 13</t>
        </is>
      </c>
      <c r="M535" s="5" t="n">
        <v>0.34</v>
      </c>
      <c r="N535" s="5" t="n">
        <v>0.5</v>
      </c>
    </row>
    <row r="536">
      <c r="A536" t="n">
        <v>535</v>
      </c>
      <c r="B536" t="n">
        <v>2014</v>
      </c>
      <c r="C536" t="inlineStr">
        <is>
          <t>Melissa Elena Rusu</t>
        </is>
      </c>
      <c r="D536">
        <f>HYPERLINK("https://ota.tournamentsoftware.com/player-profile/9F55033D-1DF5-465D-A3A2-401E58DF9FEB", "Link")</f>
        <v/>
      </c>
      <c r="E536" s="3" t="n">
        <v>67.018</v>
      </c>
      <c r="F536" s="4" t="n">
        <v>16</v>
      </c>
      <c r="G536" t="inlineStr">
        <is>
          <t>Tennis Québec</t>
        </is>
      </c>
      <c r="H536" t="inlineStr">
        <is>
          <t>Carrefour Multisports - Haute Performance</t>
        </is>
      </c>
      <c r="I536" t="n">
        <v>37.4</v>
      </c>
      <c r="J536" s="4" t="n">
        <v>57</v>
      </c>
      <c r="K536" t="inlineStr">
        <is>
          <t>19 / 38</t>
        </is>
      </c>
      <c r="L536" t="inlineStr">
        <is>
          <t>4 / 15</t>
        </is>
      </c>
      <c r="M536" s="5" t="n">
        <v>0.33</v>
      </c>
      <c r="N536" s="5" t="n">
        <v>0.21</v>
      </c>
    </row>
    <row r="537">
      <c r="A537" t="n">
        <v>536</v>
      </c>
      <c r="B537" t="n">
        <v>2017</v>
      </c>
      <c r="C537" t="inlineStr">
        <is>
          <t>Siena Yang-frome</t>
        </is>
      </c>
      <c r="D537">
        <f>HYPERLINK("https://ota.tournamentsoftware.com/player-profile/07E78FFD-E9BB-462A-8A5B-4456E8FEB96D", "Link")</f>
        <v/>
      </c>
      <c r="E537" s="3" t="n">
        <v>66.974</v>
      </c>
      <c r="F537" s="4" t="n">
        <v>11</v>
      </c>
      <c r="G537" t="inlineStr">
        <is>
          <t>Ontario Tennis Association</t>
        </is>
      </c>
      <c r="H537" t="inlineStr">
        <is>
          <t>ACE Tennis - Burlington</t>
        </is>
      </c>
      <c r="I537" t="n">
        <v>36.1</v>
      </c>
      <c r="J537" s="4" t="n">
        <v>83</v>
      </c>
      <c r="K537" t="inlineStr">
        <is>
          <t>48 / 35</t>
        </is>
      </c>
      <c r="L537" t="inlineStr">
        <is>
          <t>10 / 12</t>
        </is>
      </c>
      <c r="M537" s="5" t="n">
        <v>0.58</v>
      </c>
      <c r="N537" s="5" t="n">
        <v>0.45</v>
      </c>
    </row>
    <row r="538">
      <c r="A538" t="n">
        <v>537</v>
      </c>
      <c r="B538" t="n">
        <v>2015</v>
      </c>
      <c r="C538" t="inlineStr">
        <is>
          <t>Brielle Ramirez Balos</t>
        </is>
      </c>
      <c r="D538">
        <f>HYPERLINK("https://ota.tournamentsoftware.com/player-profile/2F36BC35-A108-44F9-B705-6F2246749033", "Link")</f>
        <v/>
      </c>
      <c r="E538" s="3" t="n">
        <v>66.29000000000001</v>
      </c>
      <c r="F538" s="4" t="n">
        <v>9</v>
      </c>
      <c r="G538" t="inlineStr">
        <is>
          <t>Tennis Alberta</t>
        </is>
      </c>
      <c r="H538" t="inlineStr">
        <is>
          <t>Saville Community Sports Centre</t>
        </is>
      </c>
      <c r="I538" t="inlineStr">
        <is>
          <t>unavailable</t>
        </is>
      </c>
      <c r="J538" s="4" t="n">
        <v>65</v>
      </c>
      <c r="K538" t="inlineStr">
        <is>
          <t>37 / 28</t>
        </is>
      </c>
      <c r="L538" t="inlineStr">
        <is>
          <t>15 / 9</t>
        </is>
      </c>
      <c r="M538" s="5" t="n">
        <v>0.57</v>
      </c>
      <c r="N538" s="5" t="n">
        <v>0.62</v>
      </c>
    </row>
    <row r="539">
      <c r="A539" t="n">
        <v>538</v>
      </c>
      <c r="B539" t="n">
        <v>2012</v>
      </c>
      <c r="C539" t="inlineStr">
        <is>
          <t>Diya Anand</t>
        </is>
      </c>
      <c r="D539">
        <f>HYPERLINK("https://ota.tournamentsoftware.com/player-profile/3939C1EF-E95B-4DD4-9208-81F6E4D5387F", "Link")</f>
        <v/>
      </c>
      <c r="E539" s="3" t="n">
        <v>65.70999999999999</v>
      </c>
      <c r="F539" s="4" t="n">
        <v>5</v>
      </c>
      <c r="G539" t="inlineStr">
        <is>
          <t>Ontario Tennis Association</t>
        </is>
      </c>
      <c r="H539" t="inlineStr">
        <is>
          <t>Rosedale Tennis Club (Hamilton)</t>
        </is>
      </c>
      <c r="I539" t="inlineStr">
        <is>
          <t>unavailable</t>
        </is>
      </c>
      <c r="J539" s="4" t="n">
        <v>20</v>
      </c>
      <c r="K539" t="inlineStr">
        <is>
          <t>4 / 16</t>
        </is>
      </c>
      <c r="L539" t="inlineStr">
        <is>
          <t>1 / 6</t>
        </is>
      </c>
      <c r="M539" s="5" t="n">
        <v>0.2</v>
      </c>
      <c r="N539" s="5" t="n">
        <v>0.14</v>
      </c>
    </row>
    <row r="540">
      <c r="A540" t="n">
        <v>539</v>
      </c>
      <c r="B540" t="n">
        <v>2013</v>
      </c>
      <c r="C540" t="inlineStr">
        <is>
          <t>Robyn Abigail Allen</t>
        </is>
      </c>
      <c r="D540">
        <f>HYPERLINK("https://ota.tournamentsoftware.com/player-profile/248A3F67-26CE-43CB-A1BB-A426F8AC9211", "Link")</f>
        <v/>
      </c>
      <c r="E540" s="3" t="n">
        <v>65.42700000000001</v>
      </c>
      <c r="F540" s="4" t="n">
        <v>4</v>
      </c>
      <c r="G540" t="inlineStr">
        <is>
          <t>Ontario Tennis Association</t>
        </is>
      </c>
      <c r="H540" t="inlineStr">
        <is>
          <t>Waterloo Tennis Club</t>
        </is>
      </c>
      <c r="I540" t="inlineStr">
        <is>
          <t>unavailable</t>
        </is>
      </c>
      <c r="J540" s="4" t="n">
        <v>24</v>
      </c>
      <c r="K540" t="inlineStr">
        <is>
          <t>5 / 19</t>
        </is>
      </c>
      <c r="L540" t="inlineStr">
        <is>
          <t>2 / 12</t>
        </is>
      </c>
      <c r="M540" s="5" t="n">
        <v>0.21</v>
      </c>
      <c r="N540" s="5" t="n">
        <v>0.14</v>
      </c>
    </row>
    <row r="541">
      <c r="A541" t="n">
        <v>540</v>
      </c>
      <c r="B541" t="n">
        <v>2015</v>
      </c>
      <c r="C541" t="inlineStr">
        <is>
          <t>Alexandria Gianvito</t>
        </is>
      </c>
      <c r="D541">
        <f>HYPERLINK("https://ota.tournamentsoftware.com/player-profile/4A4D327B-3019-4349-8F36-0769D584A4FA", "Link")</f>
        <v/>
      </c>
      <c r="E541" s="3" t="n">
        <v>64.84999999999999</v>
      </c>
      <c r="F541" s="4" t="n">
        <v>6</v>
      </c>
      <c r="G541" t="inlineStr">
        <is>
          <t>Tennis Québec</t>
        </is>
      </c>
      <c r="H541" t="inlineStr">
        <is>
          <t>No Club</t>
        </is>
      </c>
      <c r="I541" t="inlineStr">
        <is>
          <t>unavailable</t>
        </is>
      </c>
      <c r="J541" s="4" t="n">
        <v>50</v>
      </c>
      <c r="K541" t="inlineStr">
        <is>
          <t>13 / 37</t>
        </is>
      </c>
      <c r="L541" t="inlineStr">
        <is>
          <t>1 / 5</t>
        </is>
      </c>
      <c r="M541" s="5" t="n">
        <v>0.26</v>
      </c>
      <c r="N541" s="5" t="n">
        <v>0.17</v>
      </c>
    </row>
    <row r="542">
      <c r="A542" t="n">
        <v>541</v>
      </c>
      <c r="B542" t="n">
        <v>2012</v>
      </c>
      <c r="C542" t="inlineStr">
        <is>
          <t>Jemima Edwards</t>
        </is>
      </c>
      <c r="D542">
        <f>HYPERLINK("https://ota.tournamentsoftware.com/player-profile/89C8AA4C-1698-4049-8B88-9B77FC5C4B9B", "Link")</f>
        <v/>
      </c>
      <c r="E542" s="3" t="n">
        <v>64</v>
      </c>
      <c r="F542" s="4" t="n">
        <v>2</v>
      </c>
      <c r="G542" t="inlineStr">
        <is>
          <t>Ontario Tennis Association</t>
        </is>
      </c>
      <c r="H542" t="inlineStr">
        <is>
          <t>Rideau Sports Centre</t>
        </is>
      </c>
      <c r="I542" t="n">
        <v>32.5</v>
      </c>
      <c r="J542" s="4" t="n">
        <v>77</v>
      </c>
      <c r="K542" t="inlineStr">
        <is>
          <t>39 / 38</t>
        </is>
      </c>
      <c r="L542" t="inlineStr">
        <is>
          <t>3 / 1</t>
        </is>
      </c>
      <c r="M542" s="5" t="n">
        <v>0.51</v>
      </c>
      <c r="N542" s="5" t="n">
        <v>0.75</v>
      </c>
    </row>
    <row r="543">
      <c r="A543" t="n">
        <v>542</v>
      </c>
      <c r="B543" t="n">
        <v>2013</v>
      </c>
      <c r="C543" t="inlineStr">
        <is>
          <t>Audrey Humeniuk</t>
        </is>
      </c>
      <c r="D543">
        <f>HYPERLINK("https://ota.tournamentsoftware.com/player-profile/468D56FB-0ABD-4840-82FB-F2B1EB075075", "Link")</f>
        <v/>
      </c>
      <c r="E543" s="3" t="n">
        <v>63.86</v>
      </c>
      <c r="F543" s="4" t="n">
        <v>4</v>
      </c>
      <c r="G543" t="inlineStr">
        <is>
          <t>Ontario Tennis Association</t>
        </is>
      </c>
      <c r="H543" t="inlineStr">
        <is>
          <t>Tennis Centre West Ottawa</t>
        </is>
      </c>
      <c r="I543" t="n">
        <v>39.9</v>
      </c>
      <c r="J543" s="4" t="n">
        <v>8</v>
      </c>
      <c r="K543" t="inlineStr">
        <is>
          <t>1 / 7</t>
        </is>
      </c>
      <c r="L543" t="inlineStr">
        <is>
          <t>0 / 3</t>
        </is>
      </c>
      <c r="M543" s="5" t="n">
        <v>0.12</v>
      </c>
      <c r="N543" s="5" t="n">
        <v>0</v>
      </c>
    </row>
    <row r="544">
      <c r="A544" t="n">
        <v>543</v>
      </c>
      <c r="B544" t="n">
        <v>2013</v>
      </c>
      <c r="C544" t="inlineStr">
        <is>
          <t>Camélia Duong</t>
        </is>
      </c>
      <c r="D544">
        <f>HYPERLINK("https://ota.tournamentsoftware.com/player-profile/86B52BC3-1BF6-4334-8E35-8F6D2AF1C95B", "Link")</f>
        <v/>
      </c>
      <c r="E544" s="3" t="n">
        <v>63.787</v>
      </c>
      <c r="F544" s="4" t="n">
        <v>10</v>
      </c>
      <c r="G544" t="inlineStr">
        <is>
          <t>Tennis Québec</t>
        </is>
      </c>
      <c r="H544" t="inlineStr">
        <is>
          <t>Tennis Ile- des- Soeurs</t>
        </is>
      </c>
      <c r="I544" t="n">
        <v>38.3</v>
      </c>
      <c r="J544" s="4" t="n">
        <v>58</v>
      </c>
      <c r="K544" t="inlineStr">
        <is>
          <t>9 / 49</t>
        </is>
      </c>
      <c r="L544" t="inlineStr">
        <is>
          <t>1 / 6</t>
        </is>
      </c>
      <c r="M544" s="5" t="n">
        <v>0.16</v>
      </c>
      <c r="N544" s="5" t="n">
        <v>0.14</v>
      </c>
    </row>
    <row r="545">
      <c r="A545" t="n">
        <v>544</v>
      </c>
      <c r="B545" t="n">
        <v>2013</v>
      </c>
      <c r="C545" t="inlineStr">
        <is>
          <t>Deborah Zhao</t>
        </is>
      </c>
      <c r="D545">
        <f>HYPERLINK("https://ota.tournamentsoftware.com/player-profile/F6904719-B024-412B-8805-0CEB145651FD", "Link")</f>
        <v/>
      </c>
      <c r="E545" s="3" t="n">
        <v>63.288</v>
      </c>
      <c r="F545" s="4" t="n">
        <v>3</v>
      </c>
      <c r="G545" t="inlineStr">
        <is>
          <t>Tennis Prince Edward Island</t>
        </is>
      </c>
      <c r="H545" t="inlineStr">
        <is>
          <t>Charlottetown Recreation Tennis Group</t>
        </is>
      </c>
      <c r="I545" t="n">
        <v>36.6</v>
      </c>
      <c r="J545" s="4" t="n">
        <v>136</v>
      </c>
      <c r="K545" t="inlineStr">
        <is>
          <t>65 / 71</t>
        </is>
      </c>
      <c r="L545" t="inlineStr">
        <is>
          <t>3 / 7</t>
        </is>
      </c>
      <c r="M545" s="5" t="n">
        <v>0.48</v>
      </c>
      <c r="N545" s="5" t="n">
        <v>0.3</v>
      </c>
    </row>
    <row r="546">
      <c r="A546" t="n">
        <v>545</v>
      </c>
      <c r="B546" t="n">
        <v>2015</v>
      </c>
      <c r="C546" t="inlineStr">
        <is>
          <t>Aayushi Gautam</t>
        </is>
      </c>
      <c r="D546">
        <f>HYPERLINK("https://ota.tournamentsoftware.com/player-profile/A24CEE26-7629-46B9-89B0-12B054D2DFB9", "Link")</f>
        <v/>
      </c>
      <c r="E546" s="3" t="n">
        <v>63.275</v>
      </c>
      <c r="F546" s="4" t="n">
        <v>13</v>
      </c>
      <c r="G546" t="inlineStr">
        <is>
          <t>Tennis Alberta</t>
        </is>
      </c>
      <c r="H546" t="inlineStr">
        <is>
          <t>Saville Community Sports Centre</t>
        </is>
      </c>
      <c r="I546" t="n">
        <v>33.6</v>
      </c>
      <c r="J546" s="4" t="n">
        <v>152</v>
      </c>
      <c r="K546" t="inlineStr">
        <is>
          <t>90 / 62</t>
        </is>
      </c>
      <c r="L546" t="inlineStr">
        <is>
          <t>16 / 8</t>
        </is>
      </c>
      <c r="M546" s="5" t="n">
        <v>0.59</v>
      </c>
      <c r="N546" s="5" t="n">
        <v>0.67</v>
      </c>
    </row>
    <row r="547">
      <c r="A547" t="n">
        <v>546</v>
      </c>
      <c r="B547" t="n">
        <v>2012</v>
      </c>
      <c r="C547" t="inlineStr">
        <is>
          <t>kate zixi ye</t>
        </is>
      </c>
      <c r="D547">
        <f>HYPERLINK("https://ota.tournamentsoftware.com/player-profile/0A8F7797-88F4-49C6-8F3D-6079B8242406", "Link")</f>
        <v/>
      </c>
      <c r="E547" s="3" t="n">
        <v>62.909</v>
      </c>
      <c r="F547" s="4" t="n">
        <v>5</v>
      </c>
      <c r="G547" t="inlineStr">
        <is>
          <t>Ontario Tennis Association</t>
        </is>
      </c>
      <c r="H547" t="inlineStr">
        <is>
          <t>No Club</t>
        </is>
      </c>
      <c r="I547" t="n">
        <v>37.9</v>
      </c>
      <c r="J547" s="4" t="n">
        <v>11</v>
      </c>
      <c r="K547" t="inlineStr">
        <is>
          <t>2 / 9</t>
        </is>
      </c>
      <c r="L547" t="inlineStr">
        <is>
          <t>1 / 4</t>
        </is>
      </c>
      <c r="M547" s="5" t="n">
        <v>0.18</v>
      </c>
      <c r="N547" s="5" t="n">
        <v>0.2</v>
      </c>
    </row>
    <row r="548">
      <c r="A548" t="n">
        <v>547</v>
      </c>
      <c r="B548" t="n">
        <v>2013</v>
      </c>
      <c r="C548" t="inlineStr">
        <is>
          <t>Vina BLANCHARD</t>
        </is>
      </c>
      <c r="D548">
        <f>HYPERLINK("https://ota.tournamentsoftware.com/player-profile/B5AD0E2A-4843-4177-AD96-5A3203B5C718", "Link")</f>
        <v/>
      </c>
      <c r="E548" s="3" t="n">
        <v>62.695</v>
      </c>
      <c r="F548" s="4" t="n">
        <v>6</v>
      </c>
      <c r="G548" t="inlineStr">
        <is>
          <t>Ontario Tennis Association</t>
        </is>
      </c>
      <c r="H548" t="inlineStr">
        <is>
          <t>Ontario Racquet Club</t>
        </is>
      </c>
      <c r="I548" t="inlineStr">
        <is>
          <t>unavailable</t>
        </is>
      </c>
      <c r="J548" s="4" t="n">
        <v>25</v>
      </c>
      <c r="K548" t="inlineStr">
        <is>
          <t>11 / 14</t>
        </is>
      </c>
      <c r="L548" t="inlineStr">
        <is>
          <t>2 / 8</t>
        </is>
      </c>
      <c r="M548" s="5" t="n">
        <v>0.44</v>
      </c>
      <c r="N548" s="5" t="n">
        <v>0.2</v>
      </c>
    </row>
    <row r="549">
      <c r="A549" t="n">
        <v>548</v>
      </c>
      <c r="B549" t="n">
        <v>2012</v>
      </c>
      <c r="C549" t="inlineStr">
        <is>
          <t>Hannah Ines Fischer-Kandelas</t>
        </is>
      </c>
      <c r="D549">
        <f>HYPERLINK("https://ota.tournamentsoftware.com/player-profile/672C977E-EE19-4DD0-AE73-F6FCDD2EE1E1", "Link")</f>
        <v/>
      </c>
      <c r="E549" s="3" t="n">
        <v>62.453</v>
      </c>
      <c r="F549" s="4" t="n">
        <v>4</v>
      </c>
      <c r="G549" t="inlineStr">
        <is>
          <t>Ontario Tennis Association</t>
        </is>
      </c>
      <c r="H549" t="inlineStr">
        <is>
          <t>Wychwood Tennis Club</t>
        </is>
      </c>
      <c r="I549" t="n">
        <v>39.1</v>
      </c>
      <c r="J549" s="4" t="n">
        <v>22</v>
      </c>
      <c r="K549" t="inlineStr">
        <is>
          <t>9 / 13</t>
        </is>
      </c>
      <c r="L549" t="inlineStr">
        <is>
          <t>2 / 7</t>
        </is>
      </c>
      <c r="M549" s="5" t="n">
        <v>0.41</v>
      </c>
      <c r="N549" s="5" t="n">
        <v>0.22</v>
      </c>
    </row>
    <row r="550">
      <c r="A550" t="n">
        <v>549</v>
      </c>
      <c r="B550" t="n">
        <v>2016</v>
      </c>
      <c r="C550" t="inlineStr">
        <is>
          <t>Hayley Bryce</t>
        </is>
      </c>
      <c r="D550">
        <f>HYPERLINK("https://ota.tournamentsoftware.com/player-profile/B433F420-A779-4270-B32A-8DE5FF43BD05", "Link")</f>
        <v/>
      </c>
      <c r="E550" s="3" t="n">
        <v>62.412</v>
      </c>
      <c r="F550" s="4" t="n">
        <v>12</v>
      </c>
      <c r="G550" t="inlineStr">
        <is>
          <t>Ontario Tennis Association</t>
        </is>
      </c>
      <c r="H550" t="inlineStr">
        <is>
          <t>SmartVMC Racquetsports by ACE</t>
        </is>
      </c>
      <c r="I550" t="inlineStr">
        <is>
          <t>unavailable</t>
        </is>
      </c>
      <c r="J550" s="4" t="n">
        <v>76</v>
      </c>
      <c r="K550" t="inlineStr">
        <is>
          <t>34 / 42</t>
        </is>
      </c>
      <c r="L550" t="inlineStr">
        <is>
          <t>17 / 20</t>
        </is>
      </c>
      <c r="M550" s="5" t="n">
        <v>0.45</v>
      </c>
      <c r="N550" s="5" t="n">
        <v>0.46</v>
      </c>
    </row>
    <row r="551">
      <c r="A551" t="n">
        <v>550</v>
      </c>
      <c r="B551" t="n">
        <v>2014</v>
      </c>
      <c r="C551" t="inlineStr">
        <is>
          <t>Chloe Huang</t>
        </is>
      </c>
      <c r="D551">
        <f>HYPERLINK("https://ota.tournamentsoftware.com/player-profile/F00195EB-06BF-48AD-9E24-7FA037871F13", "Link")</f>
        <v/>
      </c>
      <c r="E551" s="3" t="n">
        <v>62.111</v>
      </c>
      <c r="F551" s="4" t="n">
        <v>3</v>
      </c>
      <c r="G551" t="inlineStr">
        <is>
          <t>Ontario Tennis Association</t>
        </is>
      </c>
      <c r="H551" t="inlineStr">
        <is>
          <t>Richmond Hill Country Club</t>
        </is>
      </c>
      <c r="I551" t="n">
        <v>38.8</v>
      </c>
      <c r="J551" s="4" t="n">
        <v>54</v>
      </c>
      <c r="K551" t="inlineStr">
        <is>
          <t>20 / 34</t>
        </is>
      </c>
      <c r="L551" t="inlineStr">
        <is>
          <t>0 / 3</t>
        </is>
      </c>
      <c r="M551" s="5" t="n">
        <v>0.37</v>
      </c>
      <c r="N551" s="5" t="n">
        <v>0</v>
      </c>
    </row>
    <row r="552">
      <c r="A552" t="n">
        <v>551</v>
      </c>
      <c r="B552" t="n">
        <v>2012</v>
      </c>
      <c r="C552" t="inlineStr">
        <is>
          <t>Alice Zhang</t>
        </is>
      </c>
      <c r="D552">
        <f>HYPERLINK("https://ota.tournamentsoftware.com/player-profile/D65C72B6-843B-48BF-A073-AE5080F1EA2D", "Link")</f>
        <v/>
      </c>
      <c r="E552" s="3" t="n">
        <v>61.807</v>
      </c>
      <c r="F552" s="4" t="n">
        <v>4</v>
      </c>
      <c r="G552" t="inlineStr">
        <is>
          <t>Ontario Tennis Association</t>
        </is>
      </c>
      <c r="H552" t="inlineStr">
        <is>
          <t>ACE Tennis - Burlington</t>
        </is>
      </c>
      <c r="I552" t="n">
        <v>37.2</v>
      </c>
      <c r="J552" s="4" t="n">
        <v>10</v>
      </c>
      <c r="K552" t="inlineStr">
        <is>
          <t>2 / 8</t>
        </is>
      </c>
      <c r="L552" t="inlineStr">
        <is>
          <t>2 / 6</t>
        </is>
      </c>
      <c r="M552" s="5" t="n">
        <v>0.2</v>
      </c>
      <c r="N552" s="5" t="n">
        <v>0.25</v>
      </c>
    </row>
    <row r="553">
      <c r="A553" t="n">
        <v>552</v>
      </c>
      <c r="B553" t="n">
        <v>2015</v>
      </c>
      <c r="C553" t="inlineStr">
        <is>
          <t>Clara Surprenant</t>
        </is>
      </c>
      <c r="D553">
        <f>HYPERLINK("https://ota.tournamentsoftware.com/player-profile/82684D26-C7AE-41C6-893D-5E94585A41D7", "Link")</f>
        <v/>
      </c>
      <c r="E553" s="3" t="n">
        <v>60.705</v>
      </c>
      <c r="F553" s="4" t="n">
        <v>6</v>
      </c>
      <c r="G553" t="inlineStr">
        <is>
          <t>Tennis Québec</t>
        </is>
      </c>
      <c r="H553" t="inlineStr">
        <is>
          <t>SANI Sport</t>
        </is>
      </c>
      <c r="I553" t="n">
        <v>36.6</v>
      </c>
      <c r="J553" s="4" t="n">
        <v>85</v>
      </c>
      <c r="K553" t="inlineStr">
        <is>
          <t>40 / 45</t>
        </is>
      </c>
      <c r="L553" t="inlineStr">
        <is>
          <t>2 / 4</t>
        </is>
      </c>
      <c r="M553" s="5" t="n">
        <v>0.47</v>
      </c>
      <c r="N553" s="5" t="n">
        <v>0.33</v>
      </c>
    </row>
    <row r="554">
      <c r="A554" t="n">
        <v>553</v>
      </c>
      <c r="B554" t="n">
        <v>2014</v>
      </c>
      <c r="C554" t="inlineStr">
        <is>
          <t>Minnie Jinwen Xu</t>
        </is>
      </c>
      <c r="D554">
        <f>HYPERLINK("https://ota.tournamentsoftware.com/player-profile/617AABE9-B600-4656-9194-77743DDDC351", "Link")</f>
        <v/>
      </c>
      <c r="E554" s="3" t="n">
        <v>60.695</v>
      </c>
      <c r="F554" s="4" t="n">
        <v>12</v>
      </c>
      <c r="G554" t="inlineStr">
        <is>
          <t>British Columbia</t>
        </is>
      </c>
      <c r="H554" t="inlineStr">
        <is>
          <t>The Tennis Centre</t>
        </is>
      </c>
      <c r="I554" t="n">
        <v>35.4</v>
      </c>
      <c r="J554" s="4" t="n">
        <v>128</v>
      </c>
      <c r="K554" t="inlineStr">
        <is>
          <t>67 / 61</t>
        </is>
      </c>
      <c r="L554" t="inlineStr">
        <is>
          <t>13 / 12</t>
        </is>
      </c>
      <c r="M554" s="5" t="n">
        <v>0.52</v>
      </c>
      <c r="N554" s="5" t="n">
        <v>0.52</v>
      </c>
    </row>
    <row r="555">
      <c r="A555" t="n">
        <v>554</v>
      </c>
      <c r="B555" t="n">
        <v>2016</v>
      </c>
      <c r="C555" t="inlineStr">
        <is>
          <t>Anne Cherednychenko</t>
        </is>
      </c>
      <c r="D555">
        <f>HYPERLINK("https://ota.tournamentsoftware.com/player-profile/8FB2FF81-D0FE-4491-B99E-18BAAFE1E3CD", "Link")</f>
        <v/>
      </c>
      <c r="E555" s="3" t="n">
        <v>60.335</v>
      </c>
      <c r="F555" s="4" t="n">
        <v>9</v>
      </c>
      <c r="G555" t="inlineStr">
        <is>
          <t>Tennis Québec</t>
        </is>
      </c>
      <c r="H555" t="inlineStr">
        <is>
          <t>No Club</t>
        </is>
      </c>
      <c r="I555" t="n">
        <v>35.1</v>
      </c>
      <c r="J555" s="4" t="n">
        <v>64</v>
      </c>
      <c r="K555" t="inlineStr">
        <is>
          <t>39 / 25</t>
        </is>
      </c>
      <c r="L555" t="inlineStr">
        <is>
          <t>15 / 11</t>
        </is>
      </c>
      <c r="M555" s="5" t="n">
        <v>0.61</v>
      </c>
      <c r="N555" s="5" t="n">
        <v>0.58</v>
      </c>
    </row>
    <row r="556">
      <c r="A556" t="n">
        <v>555</v>
      </c>
      <c r="B556" t="n">
        <v>2016</v>
      </c>
      <c r="C556" t="inlineStr">
        <is>
          <t>Abigail Jianing Zhou</t>
        </is>
      </c>
      <c r="D556">
        <f>HYPERLINK("https://ota.tournamentsoftware.com/player-profile/E53B2389-2E47-459E-9543-5DBB506C324A", "Link")</f>
        <v/>
      </c>
      <c r="E556" s="3" t="n">
        <v>60.24</v>
      </c>
      <c r="F556" s="4" t="n">
        <v>14</v>
      </c>
      <c r="G556" t="inlineStr">
        <is>
          <t>Ontario Tennis Association</t>
        </is>
      </c>
      <c r="H556" t="inlineStr">
        <is>
          <t>Joshua Creek Golf &amp; Tennis</t>
        </is>
      </c>
      <c r="I556" t="n">
        <v>36.9</v>
      </c>
      <c r="J556" s="4" t="n">
        <v>151</v>
      </c>
      <c r="K556" t="inlineStr">
        <is>
          <t>63 / 88</t>
        </is>
      </c>
      <c r="L556" t="inlineStr">
        <is>
          <t>25 / 23</t>
        </is>
      </c>
      <c r="M556" s="5" t="n">
        <v>0.42</v>
      </c>
      <c r="N556" s="5" t="n">
        <v>0.52</v>
      </c>
    </row>
    <row r="557">
      <c r="A557" t="n">
        <v>556</v>
      </c>
      <c r="B557" t="n">
        <v>2016</v>
      </c>
      <c r="C557" t="inlineStr">
        <is>
          <t>Vianna Mostashari</t>
        </is>
      </c>
      <c r="D557">
        <f>HYPERLINK("https://ota.tournamentsoftware.com/player-profile/670B74EC-3F81-45DD-8F9B-AEE768B61639", "Link")</f>
        <v/>
      </c>
      <c r="E557" s="3" t="n">
        <v>60.235</v>
      </c>
      <c r="F557" s="4" t="n">
        <v>11</v>
      </c>
      <c r="G557" t="inlineStr">
        <is>
          <t>British Columbia</t>
        </is>
      </c>
      <c r="H557" t="inlineStr">
        <is>
          <t>North Vancouver Tennis Centre</t>
        </is>
      </c>
      <c r="I557" t="n">
        <v>35.9</v>
      </c>
      <c r="J557" s="4" t="n">
        <v>157</v>
      </c>
      <c r="K557" t="inlineStr">
        <is>
          <t>88 / 69</t>
        </is>
      </c>
      <c r="L557" t="inlineStr">
        <is>
          <t>8 / 16</t>
        </is>
      </c>
      <c r="M557" s="5" t="n">
        <v>0.5600000000000001</v>
      </c>
      <c r="N557" s="5" t="n">
        <v>0.33</v>
      </c>
    </row>
    <row r="558">
      <c r="A558" t="n">
        <v>557</v>
      </c>
      <c r="B558" t="n">
        <v>2015</v>
      </c>
      <c r="C558" t="inlineStr">
        <is>
          <t>Karina Lee Griffin</t>
        </is>
      </c>
      <c r="D558">
        <f>HYPERLINK("https://ota.tournamentsoftware.com/player-profile/51794C7A-992F-4A4D-9983-0483174644A1", "Link")</f>
        <v/>
      </c>
      <c r="E558" s="3" t="n">
        <v>59.63</v>
      </c>
      <c r="F558" s="4" t="n">
        <v>18</v>
      </c>
      <c r="G558" t="inlineStr">
        <is>
          <t>British Columbia</t>
        </is>
      </c>
      <c r="H558" t="inlineStr">
        <is>
          <t>North Vancouver Tennis Centre</t>
        </is>
      </c>
      <c r="I558" t="n">
        <v>34.8</v>
      </c>
      <c r="J558" s="4" t="n">
        <v>153</v>
      </c>
      <c r="K558" t="inlineStr">
        <is>
          <t>73 / 80</t>
        </is>
      </c>
      <c r="L558" t="inlineStr">
        <is>
          <t>12 / 18</t>
        </is>
      </c>
      <c r="M558" s="5" t="n">
        <v>0.48</v>
      </c>
      <c r="N558" s="5" t="n">
        <v>0.4</v>
      </c>
    </row>
    <row r="559">
      <c r="A559" t="n">
        <v>558</v>
      </c>
      <c r="B559" t="n">
        <v>2014</v>
      </c>
      <c r="C559" t="inlineStr">
        <is>
          <t>Bo Brisson</t>
        </is>
      </c>
      <c r="D559">
        <f>HYPERLINK("https://ota.tournamentsoftware.com/player-profile/836F9923-C4A5-42E1-8BF0-0788DAB02146", "Link")</f>
        <v/>
      </c>
      <c r="E559" s="3" t="n">
        <v>59.608</v>
      </c>
      <c r="F559" s="4" t="n">
        <v>6</v>
      </c>
      <c r="G559" t="inlineStr">
        <is>
          <t>Ontario Tennis Association</t>
        </is>
      </c>
      <c r="H559" t="inlineStr">
        <is>
          <t>GSM Tennis Club</t>
        </is>
      </c>
      <c r="I559" t="inlineStr">
        <is>
          <t>unavailable</t>
        </is>
      </c>
      <c r="J559" s="4" t="n">
        <v>117</v>
      </c>
      <c r="K559" t="inlineStr">
        <is>
          <t>38 / 79</t>
        </is>
      </c>
      <c r="L559" t="inlineStr">
        <is>
          <t>4 / 3</t>
        </is>
      </c>
      <c r="M559" s="5" t="n">
        <v>0.32</v>
      </c>
      <c r="N559" s="5" t="n">
        <v>0.57</v>
      </c>
    </row>
    <row r="560">
      <c r="A560" t="n">
        <v>559</v>
      </c>
      <c r="B560" t="n">
        <v>2014</v>
      </c>
      <c r="C560" t="inlineStr">
        <is>
          <t>Tara Nastic</t>
        </is>
      </c>
      <c r="D560">
        <f>HYPERLINK("https://ota.tournamentsoftware.com/player-profile/43FF8AFD-A54E-4011-88C7-132B60B568E8", "Link")</f>
        <v/>
      </c>
      <c r="E560" s="3" t="n">
        <v>59.373</v>
      </c>
      <c r="F560" s="4" t="n">
        <v>5</v>
      </c>
      <c r="G560" t="inlineStr">
        <is>
          <t>Ontario Tennis Association</t>
        </is>
      </c>
      <c r="H560" t="inlineStr">
        <is>
          <t>Royal City Tennis Club</t>
        </is>
      </c>
      <c r="I560" t="inlineStr">
        <is>
          <t>unavailable</t>
        </is>
      </c>
      <c r="J560" s="4" t="n">
        <v>19</v>
      </c>
      <c r="K560" t="inlineStr">
        <is>
          <t>4 / 15</t>
        </is>
      </c>
      <c r="L560" t="inlineStr">
        <is>
          <t>1 / 3</t>
        </is>
      </c>
      <c r="M560" s="5" t="n">
        <v>0.21</v>
      </c>
      <c r="N560" s="5" t="n">
        <v>0.25</v>
      </c>
    </row>
    <row r="561">
      <c r="A561" t="n">
        <v>560</v>
      </c>
      <c r="B561" t="n">
        <v>2013</v>
      </c>
      <c r="C561" t="inlineStr">
        <is>
          <t>Noa Anne Broere</t>
        </is>
      </c>
      <c r="D561">
        <f>HYPERLINK("https://ota.tournamentsoftware.com/player-profile/A5724AD9-99FF-4D46-A565-ED1BBCAE83F4", "Link")</f>
        <v/>
      </c>
      <c r="E561" s="3" t="n">
        <v>59.291</v>
      </c>
      <c r="F561" s="4" t="n">
        <v>17</v>
      </c>
      <c r="G561" t="inlineStr">
        <is>
          <t>British Columbia</t>
        </is>
      </c>
      <c r="H561" t="inlineStr">
        <is>
          <t>Vancouver Lawn Tennis and Badminton Club</t>
        </is>
      </c>
      <c r="I561" t="n">
        <v>35</v>
      </c>
      <c r="J561" s="4" t="n">
        <v>75</v>
      </c>
      <c r="K561" t="inlineStr">
        <is>
          <t>30 / 45</t>
        </is>
      </c>
      <c r="L561" t="inlineStr">
        <is>
          <t>9 / 14</t>
        </is>
      </c>
      <c r="M561" s="5" t="n">
        <v>0.4</v>
      </c>
      <c r="N561" s="5" t="n">
        <v>0.39</v>
      </c>
    </row>
    <row r="562">
      <c r="A562" t="n">
        <v>561</v>
      </c>
      <c r="B562" t="n">
        <v>2014</v>
      </c>
      <c r="C562" t="inlineStr">
        <is>
          <t>Victoria Guiral</t>
        </is>
      </c>
      <c r="D562">
        <f>HYPERLINK("https://ota.tournamentsoftware.com/player-profile/1DC3BD6C-A3EA-46CB-A6B3-CB5D3D2F1E7D", "Link")</f>
        <v/>
      </c>
      <c r="E562" s="3" t="n">
        <v>59.121</v>
      </c>
      <c r="F562" s="4" t="n">
        <v>4</v>
      </c>
      <c r="G562" t="inlineStr">
        <is>
          <t>Tennis Québec</t>
        </is>
      </c>
      <c r="H562" t="inlineStr">
        <is>
          <t>Tennis Interclub Piedmont</t>
        </is>
      </c>
      <c r="I562" t="n">
        <v>38.8</v>
      </c>
      <c r="J562" s="4" t="n">
        <v>18</v>
      </c>
      <c r="K562" t="inlineStr">
        <is>
          <t>6 / 12</t>
        </is>
      </c>
      <c r="L562" t="inlineStr">
        <is>
          <t>1 / 5</t>
        </is>
      </c>
      <c r="M562" s="5" t="n">
        <v>0.33</v>
      </c>
      <c r="N562" s="5" t="n">
        <v>0.17</v>
      </c>
    </row>
    <row r="563">
      <c r="A563" t="n">
        <v>562</v>
      </c>
      <c r="B563" t="n">
        <v>2015</v>
      </c>
      <c r="C563" t="inlineStr">
        <is>
          <t>Ava Gracia Hurley</t>
        </is>
      </c>
      <c r="D563">
        <f>HYPERLINK("https://ota.tournamentsoftware.com/player-profile/DC3D1043-9FBA-467F-8103-AE9D0DEEF066", "Link")</f>
        <v/>
      </c>
      <c r="E563" s="3" t="n">
        <v>58.941</v>
      </c>
      <c r="F563" s="4" t="n">
        <v>11</v>
      </c>
      <c r="G563" t="inlineStr">
        <is>
          <t>Ontario Tennis Association</t>
        </is>
      </c>
      <c r="H563" t="inlineStr">
        <is>
          <t>Manotick Tennis Club</t>
        </is>
      </c>
      <c r="I563" t="inlineStr">
        <is>
          <t>unavailable</t>
        </is>
      </c>
      <c r="J563" s="4" t="n">
        <v>33</v>
      </c>
      <c r="K563" t="inlineStr">
        <is>
          <t>13 / 20</t>
        </is>
      </c>
      <c r="L563" t="inlineStr">
        <is>
          <t>5 / 9</t>
        </is>
      </c>
      <c r="M563" s="5" t="n">
        <v>0.39</v>
      </c>
      <c r="N563" s="5" t="n">
        <v>0.36</v>
      </c>
    </row>
    <row r="564">
      <c r="A564" t="n">
        <v>563</v>
      </c>
      <c r="B564" t="n">
        <v>2013</v>
      </c>
      <c r="C564" t="inlineStr">
        <is>
          <t>Presley Pellegrino</t>
        </is>
      </c>
      <c r="D564">
        <f>HYPERLINK("https://ota.tournamentsoftware.com/player-profile/A7978533-179E-4FC4-8D48-C160FA6FF2E3", "Link")</f>
        <v/>
      </c>
      <c r="E564" s="3" t="n">
        <v>58.878</v>
      </c>
      <c r="F564" s="4" t="n">
        <v>3</v>
      </c>
      <c r="G564" t="inlineStr">
        <is>
          <t>Ontario Tennis Association</t>
        </is>
      </c>
      <c r="H564" t="inlineStr">
        <is>
          <t>No Club</t>
        </is>
      </c>
      <c r="I564" t="n">
        <v>35.1</v>
      </c>
      <c r="J564" s="4" t="n">
        <v>97</v>
      </c>
      <c r="K564" t="inlineStr">
        <is>
          <t>40 / 57</t>
        </is>
      </c>
      <c r="L564" t="inlineStr">
        <is>
          <t>2 / 2</t>
        </is>
      </c>
      <c r="M564" s="5" t="n">
        <v>0.41</v>
      </c>
      <c r="N564" s="5" t="n">
        <v>0.5</v>
      </c>
    </row>
    <row r="565">
      <c r="A565" t="n">
        <v>564</v>
      </c>
      <c r="B565" t="n">
        <v>2015</v>
      </c>
      <c r="C565" t="inlineStr">
        <is>
          <t>Aria MARTIN</t>
        </is>
      </c>
      <c r="D565">
        <f>HYPERLINK("https://ota.tournamentsoftware.com/player-profile/220708AF-B049-4C3B-83FA-C1AAC60269C5", "Link")</f>
        <v/>
      </c>
      <c r="E565" s="3" t="n">
        <v>58.434</v>
      </c>
      <c r="F565" s="4" t="n">
        <v>16</v>
      </c>
      <c r="G565" t="inlineStr">
        <is>
          <t>British Columbia</t>
        </is>
      </c>
      <c r="H565" t="inlineStr">
        <is>
          <t>Vancouver Lawn Tennis and Badminton Club</t>
        </is>
      </c>
      <c r="I565" t="n">
        <v>35.1</v>
      </c>
      <c r="J565" s="4" t="n">
        <v>133</v>
      </c>
      <c r="K565" t="inlineStr">
        <is>
          <t>53 / 80</t>
        </is>
      </c>
      <c r="L565" t="inlineStr">
        <is>
          <t>24 / 17</t>
        </is>
      </c>
      <c r="M565" s="5" t="n">
        <v>0.4</v>
      </c>
      <c r="N565" s="5" t="n">
        <v>0.59</v>
      </c>
    </row>
    <row r="566">
      <c r="A566" t="n">
        <v>565</v>
      </c>
      <c r="B566" t="n">
        <v>2015</v>
      </c>
      <c r="C566" t="inlineStr">
        <is>
          <t>Maeva Kaur Dhillon</t>
        </is>
      </c>
      <c r="D566">
        <f>HYPERLINK("https://ota.tournamentsoftware.com/player-profile/1E3A662C-1993-423F-99BB-0CD2F93CC62A", "Link")</f>
        <v/>
      </c>
      <c r="E566" s="3" t="n">
        <v>58.125</v>
      </c>
      <c r="F566" s="4" t="n">
        <v>10</v>
      </c>
      <c r="G566" t="inlineStr">
        <is>
          <t>Tennis Alberta</t>
        </is>
      </c>
      <c r="H566" t="inlineStr">
        <is>
          <t>Saville Community Sports Centre</t>
        </is>
      </c>
      <c r="I566" t="n">
        <v>37.4</v>
      </c>
      <c r="J566" s="4" t="n">
        <v>74</v>
      </c>
      <c r="K566" t="inlineStr">
        <is>
          <t>22 / 52</t>
        </is>
      </c>
      <c r="L566" t="inlineStr">
        <is>
          <t>5 / 9</t>
        </is>
      </c>
      <c r="M566" s="5" t="n">
        <v>0.3</v>
      </c>
      <c r="N566" s="5" t="n">
        <v>0.36</v>
      </c>
    </row>
    <row r="567">
      <c r="A567" t="n">
        <v>566</v>
      </c>
      <c r="B567" t="n">
        <v>2012</v>
      </c>
      <c r="C567" t="inlineStr">
        <is>
          <t>Chloe Teng</t>
        </is>
      </c>
      <c r="D567">
        <f>HYPERLINK("https://ota.tournamentsoftware.com/player-profile/F5AC5875-4E89-4D3E-BF17-24986F702240", "Link")</f>
        <v/>
      </c>
      <c r="E567" s="3" t="n">
        <v>57.902</v>
      </c>
      <c r="F567" s="4" t="n">
        <v>11</v>
      </c>
      <c r="G567" t="inlineStr">
        <is>
          <t>Ontario Tennis Association</t>
        </is>
      </c>
      <c r="H567" t="inlineStr">
        <is>
          <t>Tennis Clubs of Canada</t>
        </is>
      </c>
      <c r="I567" t="n">
        <v>38.2</v>
      </c>
      <c r="J567" s="4" t="n">
        <v>40</v>
      </c>
      <c r="K567" t="inlineStr">
        <is>
          <t>10 / 30</t>
        </is>
      </c>
      <c r="L567" t="inlineStr">
        <is>
          <t>7 / 19</t>
        </is>
      </c>
      <c r="M567" s="5" t="n">
        <v>0.25</v>
      </c>
      <c r="N567" s="5" t="n">
        <v>0.27</v>
      </c>
    </row>
    <row r="568">
      <c r="A568" t="n">
        <v>567</v>
      </c>
      <c r="B568" t="n">
        <v>2013</v>
      </c>
      <c r="C568" t="inlineStr">
        <is>
          <t>Gabrielle Galgay</t>
        </is>
      </c>
      <c r="D568">
        <f>HYPERLINK("https://ota.tournamentsoftware.com/player-profile/1A26365B-FAA0-4130-8F92-B67D497E82D9", "Link")</f>
        <v/>
      </c>
      <c r="E568" s="3" t="n">
        <v>57.069</v>
      </c>
      <c r="F568" s="4" t="n">
        <v>4</v>
      </c>
      <c r="G568" t="inlineStr">
        <is>
          <t>Ontario Tennis Association</t>
        </is>
      </c>
      <c r="H568" t="inlineStr">
        <is>
          <t>No Club</t>
        </is>
      </c>
      <c r="I568" t="n">
        <v>34.3</v>
      </c>
      <c r="J568" s="4" t="n">
        <v>10</v>
      </c>
      <c r="K568" t="inlineStr">
        <is>
          <t>4 / 6</t>
        </is>
      </c>
      <c r="L568" t="inlineStr">
        <is>
          <t>1 / 3</t>
        </is>
      </c>
      <c r="M568" s="5" t="n">
        <v>0.4</v>
      </c>
      <c r="N568" s="5" t="n">
        <v>0.25</v>
      </c>
    </row>
    <row r="569">
      <c r="A569" t="n">
        <v>568</v>
      </c>
      <c r="B569" t="n">
        <v>2013</v>
      </c>
      <c r="C569" t="inlineStr">
        <is>
          <t>Grace Christina Lawrence</t>
        </is>
      </c>
      <c r="D569">
        <f>HYPERLINK("https://ota.tournamentsoftware.com/player-profile/9FEF2F9B-F202-41CF-8B36-42B1520055E0", "Link")</f>
        <v/>
      </c>
      <c r="E569" s="3" t="n">
        <v>57.027</v>
      </c>
      <c r="F569" s="4" t="n">
        <v>9</v>
      </c>
      <c r="G569" t="inlineStr">
        <is>
          <t>Ontario Tennis Association</t>
        </is>
      </c>
      <c r="H569" t="inlineStr">
        <is>
          <t>Toronto Lawn Tennis Club</t>
        </is>
      </c>
      <c r="I569" t="n">
        <v>35.9</v>
      </c>
      <c r="J569" s="4" t="n">
        <v>107</v>
      </c>
      <c r="K569" t="inlineStr">
        <is>
          <t>48 / 59</t>
        </is>
      </c>
      <c r="L569" t="inlineStr">
        <is>
          <t>4 / 4</t>
        </is>
      </c>
      <c r="M569" s="5" t="n">
        <v>0.45</v>
      </c>
      <c r="N569" s="5" t="n">
        <v>0.5</v>
      </c>
    </row>
    <row r="570">
      <c r="A570" t="n">
        <v>569</v>
      </c>
      <c r="B570" t="n">
        <v>2015</v>
      </c>
      <c r="C570" t="inlineStr">
        <is>
          <t>Ella Bloom Chulak</t>
        </is>
      </c>
      <c r="D570">
        <f>HYPERLINK("https://ota.tournamentsoftware.com/player-profile/3DBBE08D-DBAA-43E3-BCD3-2820667C7A24", "Link")</f>
        <v/>
      </c>
      <c r="E570" s="3" t="n">
        <v>55.96</v>
      </c>
      <c r="F570" s="4" t="n">
        <v>10</v>
      </c>
      <c r="G570" t="inlineStr">
        <is>
          <t>Ontario Tennis Association</t>
        </is>
      </c>
      <c r="H570" t="inlineStr">
        <is>
          <t>Richmondhill Golf &amp; Country Club</t>
        </is>
      </c>
      <c r="I570" t="n">
        <v>35.7</v>
      </c>
      <c r="J570" s="4" t="n">
        <v>85</v>
      </c>
      <c r="K570" t="inlineStr">
        <is>
          <t>35 / 50</t>
        </is>
      </c>
      <c r="L570" t="inlineStr">
        <is>
          <t>11 / 8</t>
        </is>
      </c>
      <c r="M570" s="5" t="n">
        <v>0.41</v>
      </c>
      <c r="N570" s="5" t="n">
        <v>0.58</v>
      </c>
    </row>
    <row r="571">
      <c r="A571" t="n">
        <v>570</v>
      </c>
      <c r="B571" t="n">
        <v>2015</v>
      </c>
      <c r="C571" t="inlineStr">
        <is>
          <t>Madeleine Penelope Haun</t>
        </is>
      </c>
      <c r="D571">
        <f>HYPERLINK("https://ota.tournamentsoftware.com/player-profile/6F8A0525-0D8F-4263-8F76-0B8CF4B34D42", "Link")</f>
        <v/>
      </c>
      <c r="E571" s="3" t="n">
        <v>55.31</v>
      </c>
      <c r="F571" s="4" t="n">
        <v>10</v>
      </c>
      <c r="G571" t="inlineStr">
        <is>
          <t>Tennis Alberta</t>
        </is>
      </c>
      <c r="H571" t="inlineStr">
        <is>
          <t>Osten &amp; Victor Alberta Tennis Centre</t>
        </is>
      </c>
      <c r="I571" t="n">
        <v>37.3</v>
      </c>
      <c r="J571" s="4" t="n">
        <v>152</v>
      </c>
      <c r="K571" t="inlineStr">
        <is>
          <t>82 / 70</t>
        </is>
      </c>
      <c r="L571" t="inlineStr">
        <is>
          <t>5 / 8</t>
        </is>
      </c>
      <c r="M571" s="5" t="n">
        <v>0.54</v>
      </c>
      <c r="N571" s="5" t="n">
        <v>0.38</v>
      </c>
    </row>
    <row r="572">
      <c r="A572" t="n">
        <v>571</v>
      </c>
      <c r="B572" t="n">
        <v>2012</v>
      </c>
      <c r="C572" t="inlineStr">
        <is>
          <t>Karmi Singh</t>
        </is>
      </c>
      <c r="D572">
        <f>HYPERLINK("https://ota.tournamentsoftware.com/player-profile/B68DC1C1-BC37-443E-AB03-601E1E7E72A2", "Link")</f>
        <v/>
      </c>
      <c r="E572" s="3" t="n">
        <v>54.499</v>
      </c>
      <c r="F572" s="4" t="n">
        <v>4</v>
      </c>
      <c r="G572" t="inlineStr">
        <is>
          <t>Ontario Tennis Association</t>
        </is>
      </c>
      <c r="H572" t="inlineStr">
        <is>
          <t>Ontario Racquet Club</t>
        </is>
      </c>
      <c r="I572" t="inlineStr">
        <is>
          <t>unavailable</t>
        </is>
      </c>
      <c r="J572" s="4" t="n">
        <v>59</v>
      </c>
      <c r="K572" t="inlineStr">
        <is>
          <t>26 / 33</t>
        </is>
      </c>
      <c r="L572" t="inlineStr">
        <is>
          <t>1 / 5</t>
        </is>
      </c>
      <c r="M572" s="5" t="n">
        <v>0.44</v>
      </c>
      <c r="N572" s="5" t="n">
        <v>0.17</v>
      </c>
    </row>
    <row r="573">
      <c r="A573" t="n">
        <v>572</v>
      </c>
      <c r="B573" t="n">
        <v>2016</v>
      </c>
      <c r="C573" t="inlineStr">
        <is>
          <t>Xirui Ding</t>
        </is>
      </c>
      <c r="D573">
        <f>HYPERLINK("https://ota.tournamentsoftware.com/player-profile/6DC46DF7-2964-4ED2-9C01-D39C773C942F", "Link")</f>
        <v/>
      </c>
      <c r="E573" s="3" t="n">
        <v>54.085</v>
      </c>
      <c r="F573" s="4" t="n">
        <v>7</v>
      </c>
      <c r="G573" t="inlineStr">
        <is>
          <t>Ontario Tennis Association</t>
        </is>
      </c>
      <c r="H573" t="inlineStr">
        <is>
          <t>Valan Tennis Academy</t>
        </is>
      </c>
      <c r="I573" t="n">
        <v>37.5</v>
      </c>
      <c r="J573" s="4" t="n">
        <v>98</v>
      </c>
      <c r="K573" t="inlineStr">
        <is>
          <t>61 / 37</t>
        </is>
      </c>
      <c r="L573" t="inlineStr">
        <is>
          <t>56 / 28</t>
        </is>
      </c>
      <c r="M573" s="5" t="n">
        <v>0.62</v>
      </c>
      <c r="N573" s="5" t="n">
        <v>0.67</v>
      </c>
    </row>
    <row r="574">
      <c r="A574" t="n">
        <v>573</v>
      </c>
      <c r="B574" t="n">
        <v>2016</v>
      </c>
      <c r="C574" t="inlineStr">
        <is>
          <t>Saanvi Sharma</t>
        </is>
      </c>
      <c r="D574">
        <f>HYPERLINK("https://ota.tournamentsoftware.com/player-profile/CE1D7CD8-1C3C-4F68-B568-48AC24E75437", "Link")</f>
        <v/>
      </c>
      <c r="E574" s="3" t="n">
        <v>53.28</v>
      </c>
      <c r="F574" s="4" t="n">
        <v>4</v>
      </c>
      <c r="G574" t="inlineStr">
        <is>
          <t>Tennis Québec</t>
        </is>
      </c>
      <c r="H574" t="inlineStr">
        <is>
          <t>Tennis Ile- des- Soeurs</t>
        </is>
      </c>
      <c r="I574" t="n">
        <v>37</v>
      </c>
      <c r="J574" s="4" t="n">
        <v>88</v>
      </c>
      <c r="K574" t="inlineStr">
        <is>
          <t>43 / 45</t>
        </is>
      </c>
      <c r="L574" t="inlineStr">
        <is>
          <t>12 / 8</t>
        </is>
      </c>
      <c r="M574" s="5" t="n">
        <v>0.49</v>
      </c>
      <c r="N574" s="5" t="n">
        <v>0.6</v>
      </c>
    </row>
    <row r="575">
      <c r="A575" t="n">
        <v>574</v>
      </c>
      <c r="B575" t="n">
        <v>2013</v>
      </c>
      <c r="C575" t="inlineStr">
        <is>
          <t>Julia Soldatov</t>
        </is>
      </c>
      <c r="D575">
        <f>HYPERLINK("https://ota.tournamentsoftware.com/player-profile/9CDD8F0E-2B06-4818-8B32-A0ED95A9E6DF", "Link")</f>
        <v/>
      </c>
      <c r="E575" s="3" t="n">
        <v>53.274</v>
      </c>
      <c r="F575" s="4" t="n">
        <v>5</v>
      </c>
      <c r="G575" t="inlineStr">
        <is>
          <t>Ontario Tennis Association</t>
        </is>
      </c>
      <c r="H575" t="inlineStr">
        <is>
          <t>Newmarket Community Tennis Club</t>
        </is>
      </c>
      <c r="I575" t="n">
        <v>38.7</v>
      </c>
      <c r="J575" s="4" t="n">
        <v>19</v>
      </c>
      <c r="K575" t="inlineStr">
        <is>
          <t>6 / 13</t>
        </is>
      </c>
      <c r="L575" t="inlineStr">
        <is>
          <t>6 / 13</t>
        </is>
      </c>
      <c r="M575" s="5" t="n">
        <v>0.32</v>
      </c>
      <c r="N575" s="5" t="n">
        <v>0.32</v>
      </c>
    </row>
    <row r="576">
      <c r="A576" t="n">
        <v>575</v>
      </c>
      <c r="B576" t="n">
        <v>2012</v>
      </c>
      <c r="C576" t="inlineStr">
        <is>
          <t>Daisy Brown</t>
        </is>
      </c>
      <c r="D576">
        <f>HYPERLINK("https://ota.tournamentsoftware.com/player-profile/9CF1A8A4-6BA5-46C8-92F4-3E802A738811", "Link")</f>
        <v/>
      </c>
      <c r="E576" s="3" t="n">
        <v>52.543</v>
      </c>
      <c r="F576" s="4" t="n">
        <v>5</v>
      </c>
      <c r="G576" t="inlineStr">
        <is>
          <t>British Columbia</t>
        </is>
      </c>
      <c r="H576" t="inlineStr">
        <is>
          <t>Oak Bay Recreation Centre</t>
        </is>
      </c>
      <c r="I576" t="n">
        <v>35.4</v>
      </c>
      <c r="J576" s="4" t="n">
        <v>59</v>
      </c>
      <c r="K576" t="inlineStr">
        <is>
          <t>33 / 26</t>
        </is>
      </c>
      <c r="L576" t="inlineStr">
        <is>
          <t>3 / 4</t>
        </is>
      </c>
      <c r="M576" s="5" t="n">
        <v>0.5600000000000001</v>
      </c>
      <c r="N576" s="5" t="n">
        <v>0.43</v>
      </c>
    </row>
    <row r="577">
      <c r="A577" t="n">
        <v>576</v>
      </c>
      <c r="B577" t="n">
        <v>2014</v>
      </c>
      <c r="C577" t="inlineStr">
        <is>
          <t>Julia Jzmati</t>
        </is>
      </c>
      <c r="D577">
        <f>HYPERLINK("https://ota.tournamentsoftware.com/player-profile/2AADF196-C892-43B1-9128-5338F8D87E95", "Link")</f>
        <v/>
      </c>
      <c r="E577" s="3" t="n">
        <v>52.454</v>
      </c>
      <c r="F577" s="4" t="n">
        <v>11</v>
      </c>
      <c r="G577" t="inlineStr">
        <is>
          <t>Ontario Tennis Association</t>
        </is>
      </c>
      <c r="H577" t="inlineStr">
        <is>
          <t>Rideau Sports Centre</t>
        </is>
      </c>
      <c r="I577" t="n">
        <v>39.5</v>
      </c>
      <c r="J577" s="4" t="n">
        <v>29</v>
      </c>
      <c r="K577" t="inlineStr">
        <is>
          <t>5 / 24</t>
        </is>
      </c>
      <c r="L577" t="inlineStr">
        <is>
          <t>1 / 9</t>
        </is>
      </c>
      <c r="M577" s="5" t="n">
        <v>0.17</v>
      </c>
      <c r="N577" s="5" t="n">
        <v>0.1</v>
      </c>
    </row>
    <row r="578">
      <c r="A578" t="n">
        <v>577</v>
      </c>
      <c r="B578" t="n">
        <v>2014</v>
      </c>
      <c r="C578" t="inlineStr">
        <is>
          <t>Shaghun Dhillon</t>
        </is>
      </c>
      <c r="D578">
        <f>HYPERLINK("https://ota.tournamentsoftware.com/player-profile/97B5DEDE-AA93-468B-902A-462AB9B42432", "Link")</f>
        <v/>
      </c>
      <c r="E578" s="3" t="n">
        <v>52.409</v>
      </c>
      <c r="F578" s="4" t="n">
        <v>10</v>
      </c>
      <c r="G578" t="inlineStr">
        <is>
          <t>Ontario Tennis Association</t>
        </is>
      </c>
      <c r="H578" t="inlineStr">
        <is>
          <t>Premier Racquet Club</t>
        </is>
      </c>
      <c r="I578" t="n">
        <v>36.9</v>
      </c>
      <c r="J578" s="4" t="n">
        <v>52</v>
      </c>
      <c r="K578" t="inlineStr">
        <is>
          <t>29 / 23</t>
        </is>
      </c>
      <c r="L578" t="inlineStr">
        <is>
          <t>23 / 17</t>
        </is>
      </c>
      <c r="M578" s="5" t="n">
        <v>0.5600000000000001</v>
      </c>
      <c r="N578" s="5" t="n">
        <v>0.57</v>
      </c>
    </row>
    <row r="579">
      <c r="A579" t="n">
        <v>578</v>
      </c>
      <c r="B579" t="n">
        <v>2015</v>
      </c>
      <c r="C579" t="inlineStr">
        <is>
          <t>Dania Ahmed</t>
        </is>
      </c>
      <c r="D579">
        <f>HYPERLINK("https://ota.tournamentsoftware.com/player-profile/3A4EF5D7-2C40-4E2A-A979-D3231C03A93C", "Link")</f>
        <v/>
      </c>
      <c r="E579" s="3" t="n">
        <v>51.709</v>
      </c>
      <c r="F579" s="4" t="n">
        <v>11</v>
      </c>
      <c r="G579" t="inlineStr">
        <is>
          <t>Ontario Tennis Association</t>
        </is>
      </c>
      <c r="H579" t="inlineStr">
        <is>
          <t>Waterloo Tennis Club</t>
        </is>
      </c>
      <c r="I579" t="n">
        <v>37</v>
      </c>
      <c r="J579" s="4" t="n">
        <v>84</v>
      </c>
      <c r="K579" t="inlineStr">
        <is>
          <t>50 / 34</t>
        </is>
      </c>
      <c r="L579" t="inlineStr">
        <is>
          <t>3 / 9</t>
        </is>
      </c>
      <c r="M579" s="5" t="n">
        <v>0.6</v>
      </c>
      <c r="N579" s="5" t="n">
        <v>0.25</v>
      </c>
    </row>
    <row r="580">
      <c r="A580" t="n">
        <v>579</v>
      </c>
      <c r="B580" t="n">
        <v>2014</v>
      </c>
      <c r="C580" t="inlineStr">
        <is>
          <t>Ann Ha</t>
        </is>
      </c>
      <c r="D580">
        <f>HYPERLINK("https://ota.tournamentsoftware.com/player-profile/139E73DD-882F-4509-9B0C-BB790DA8399D", "Link")</f>
        <v/>
      </c>
      <c r="E580" s="3" t="n">
        <v>50.846</v>
      </c>
      <c r="F580" s="4" t="n">
        <v>3</v>
      </c>
      <c r="G580" t="inlineStr">
        <is>
          <t>Tennis Saskatchewan</t>
        </is>
      </c>
      <c r="H580" t="inlineStr">
        <is>
          <t>Lakewood Indoor Tennis Centre</t>
        </is>
      </c>
      <c r="I580" t="inlineStr">
        <is>
          <t>unavailable</t>
        </is>
      </c>
      <c r="J580" s="4" t="n">
        <v>9</v>
      </c>
      <c r="K580" t="inlineStr">
        <is>
          <t>1 / 8</t>
        </is>
      </c>
      <c r="L580" t="inlineStr">
        <is>
          <t>1 / 8</t>
        </is>
      </c>
      <c r="M580" s="5" t="n">
        <v>0.11</v>
      </c>
      <c r="N580" s="5" t="n">
        <v>0.11</v>
      </c>
    </row>
    <row r="581">
      <c r="A581" t="n">
        <v>580</v>
      </c>
      <c r="B581" t="n">
        <v>2012</v>
      </c>
      <c r="C581" t="inlineStr">
        <is>
          <t>Elise Chan</t>
        </is>
      </c>
      <c r="D581">
        <f>HYPERLINK("https://ota.tournamentsoftware.com/player-profile/74C14A51-A560-4368-85E6-96F13264726F", "Link")</f>
        <v/>
      </c>
      <c r="E581" s="3" t="n">
        <v>50.266</v>
      </c>
      <c r="F581" s="4" t="n">
        <v>4</v>
      </c>
      <c r="G581" t="inlineStr">
        <is>
          <t>Ontario Tennis Association</t>
        </is>
      </c>
      <c r="H581" t="inlineStr">
        <is>
          <t>Rideau Sports Centre</t>
        </is>
      </c>
      <c r="I581" t="n">
        <v>38.4</v>
      </c>
      <c r="J581" s="4" t="n">
        <v>3</v>
      </c>
      <c r="K581" t="inlineStr">
        <is>
          <t>0 / 3</t>
        </is>
      </c>
      <c r="L581" t="inlineStr">
        <is>
          <t>0 / 3</t>
        </is>
      </c>
      <c r="M581" s="5" t="n">
        <v>0</v>
      </c>
      <c r="N581" s="5" t="n">
        <v>0</v>
      </c>
    </row>
    <row r="582">
      <c r="A582" t="n">
        <v>581</v>
      </c>
      <c r="B582" t="n">
        <v>2014</v>
      </c>
      <c r="C582" t="inlineStr">
        <is>
          <t>Sofia Morisette</t>
        </is>
      </c>
      <c r="D582">
        <f>HYPERLINK("https://ota.tournamentsoftware.com/player-profile/F99611AC-3485-4574-897D-68151916B40D", "Link")</f>
        <v/>
      </c>
      <c r="E582" s="3" t="n">
        <v>50.011</v>
      </c>
      <c r="F582" s="4" t="n">
        <v>4</v>
      </c>
      <c r="G582" t="inlineStr">
        <is>
          <t>British Columbia</t>
        </is>
      </c>
      <c r="H582" t="inlineStr">
        <is>
          <t>Tennis BC Hub @ Richmond</t>
        </is>
      </c>
      <c r="I582" t="n">
        <v>35.8</v>
      </c>
      <c r="J582" s="4" t="n">
        <v>128</v>
      </c>
      <c r="K582" t="inlineStr">
        <is>
          <t>51 / 77</t>
        </is>
      </c>
      <c r="L582" t="inlineStr">
        <is>
          <t>2 / 6</t>
        </is>
      </c>
      <c r="M582" s="5" t="n">
        <v>0.4</v>
      </c>
      <c r="N582" s="5" t="n">
        <v>0.25</v>
      </c>
    </row>
    <row r="583">
      <c r="A583" t="n">
        <v>582</v>
      </c>
      <c r="B583" t="n">
        <v>2014</v>
      </c>
      <c r="C583" t="inlineStr">
        <is>
          <t>Emma Ghantous</t>
        </is>
      </c>
      <c r="D583">
        <f>HYPERLINK("https://ota.tournamentsoftware.com/player-profile/0EA6BF71-F3BF-4EA7-95F6-B80CD551F4FB", "Link")</f>
        <v/>
      </c>
      <c r="E583" s="3" t="n">
        <v>49.68</v>
      </c>
      <c r="F583" s="4" t="n">
        <v>2</v>
      </c>
      <c r="G583" t="inlineStr">
        <is>
          <t>Tennis Québec</t>
        </is>
      </c>
      <c r="H583" t="inlineStr">
        <is>
          <t>Tennis 13</t>
        </is>
      </c>
      <c r="I583" t="n">
        <v>33.4</v>
      </c>
      <c r="J583" s="4" t="n">
        <v>126</v>
      </c>
      <c r="K583" t="inlineStr">
        <is>
          <t>77 / 49</t>
        </is>
      </c>
      <c r="L583" t="inlineStr">
        <is>
          <t>0 / 0</t>
        </is>
      </c>
      <c r="M583" s="5" t="n">
        <v>0.61</v>
      </c>
      <c r="N583" s="5" t="n">
        <v>0</v>
      </c>
    </row>
    <row r="584">
      <c r="A584" t="n">
        <v>583</v>
      </c>
      <c r="B584" t="n">
        <v>2015</v>
      </c>
      <c r="C584" t="inlineStr">
        <is>
          <t>Sofia Kiselenko</t>
        </is>
      </c>
      <c r="D584">
        <f>HYPERLINK("https://ota.tournamentsoftware.com/player-profile/8164E8EB-17A8-4270-A12B-31EFF18C9343", "Link")</f>
        <v/>
      </c>
      <c r="E584" s="3" t="n">
        <v>49.342</v>
      </c>
      <c r="F584" s="4" t="n">
        <v>15</v>
      </c>
      <c r="G584" t="inlineStr">
        <is>
          <t>Tennis Alberta</t>
        </is>
      </c>
      <c r="H584" t="inlineStr">
        <is>
          <t>Osten &amp; Victor Alberta Tennis Centre</t>
        </is>
      </c>
      <c r="I584" t="n">
        <v>37.3</v>
      </c>
      <c r="J584" s="4" t="n">
        <v>130</v>
      </c>
      <c r="K584" t="inlineStr">
        <is>
          <t>42 / 88</t>
        </is>
      </c>
      <c r="L584" t="inlineStr">
        <is>
          <t>10 / 14</t>
        </is>
      </c>
      <c r="M584" s="5" t="n">
        <v>0.32</v>
      </c>
      <c r="N584" s="5" t="n">
        <v>0.42</v>
      </c>
    </row>
    <row r="585">
      <c r="A585" t="n">
        <v>584</v>
      </c>
      <c r="B585" t="n">
        <v>2017</v>
      </c>
      <c r="C585" t="inlineStr">
        <is>
          <t>Vivian Spurrell</t>
        </is>
      </c>
      <c r="D585">
        <f>HYPERLINK("https://ota.tournamentsoftware.com/player-profile/9CFE670B-9D8C-4BC2-8DDB-1C78F17AE1FF", "Link")</f>
        <v/>
      </c>
      <c r="E585" s="3" t="n">
        <v>49.126</v>
      </c>
      <c r="F585" s="4" t="n">
        <v>3</v>
      </c>
      <c r="G585" t="inlineStr">
        <is>
          <t>Tennis Newfoundland &amp; Labrador</t>
        </is>
      </c>
      <c r="H585" t="inlineStr">
        <is>
          <t>Greenbelt Tennis Club</t>
        </is>
      </c>
      <c r="I585" t="inlineStr">
        <is>
          <t>unavailable</t>
        </is>
      </c>
      <c r="J585" s="4" t="n">
        <v>20</v>
      </c>
      <c r="K585" t="inlineStr">
        <is>
          <t>15 / 5</t>
        </is>
      </c>
      <c r="L585" t="inlineStr">
        <is>
          <t>11 / 3</t>
        </is>
      </c>
      <c r="M585" s="5" t="n">
        <v>0.75</v>
      </c>
      <c r="N585" s="5" t="n">
        <v>0.79</v>
      </c>
    </row>
    <row r="586">
      <c r="A586" t="n">
        <v>585</v>
      </c>
      <c r="B586" t="n">
        <v>2016</v>
      </c>
      <c r="C586" t="inlineStr">
        <is>
          <t>Ziqi Yu</t>
        </is>
      </c>
      <c r="D586">
        <f>HYPERLINK("https://ota.tournamentsoftware.com/player-profile/89FEB2A7-669B-4D40-A67D-54016F42DA82", "Link")</f>
        <v/>
      </c>
      <c r="E586" s="3" t="n">
        <v>48.859</v>
      </c>
      <c r="F586" s="4" t="n">
        <v>14</v>
      </c>
      <c r="G586" t="inlineStr">
        <is>
          <t>Ontario Tennis Association</t>
        </is>
      </c>
      <c r="H586" t="inlineStr">
        <is>
          <t>Blackmore Tennis Club</t>
        </is>
      </c>
      <c r="I586" t="n">
        <v>34.7</v>
      </c>
      <c r="J586" s="4" t="n">
        <v>94</v>
      </c>
      <c r="K586" t="inlineStr">
        <is>
          <t>60 / 34</t>
        </is>
      </c>
      <c r="L586" t="inlineStr">
        <is>
          <t>24 / 15</t>
        </is>
      </c>
      <c r="M586" s="5" t="n">
        <v>0.64</v>
      </c>
      <c r="N586" s="5" t="n">
        <v>0.62</v>
      </c>
    </row>
    <row r="587">
      <c r="A587" t="n">
        <v>586</v>
      </c>
      <c r="B587" t="n">
        <v>2014</v>
      </c>
      <c r="C587" t="inlineStr">
        <is>
          <t>Mathilde Langis</t>
        </is>
      </c>
      <c r="D587">
        <f>HYPERLINK("https://ota.tournamentsoftware.com/player-profile/39929D79-FF7E-4461-9561-38C5D88AE666", "Link")</f>
        <v/>
      </c>
      <c r="E587" s="3" t="n">
        <v>48.716</v>
      </c>
      <c r="F587" s="4" t="n">
        <v>5</v>
      </c>
      <c r="G587" t="inlineStr">
        <is>
          <t>Tennis Québec</t>
        </is>
      </c>
      <c r="H587" t="inlineStr">
        <is>
          <t>Académie de tennis UNI(T)</t>
        </is>
      </c>
      <c r="I587" t="n">
        <v>36.2</v>
      </c>
      <c r="J587" s="4" t="n">
        <v>72</v>
      </c>
      <c r="K587" t="inlineStr">
        <is>
          <t>31 / 41</t>
        </is>
      </c>
      <c r="L587" t="inlineStr">
        <is>
          <t>1 / 2</t>
        </is>
      </c>
      <c r="M587" s="5" t="n">
        <v>0.43</v>
      </c>
      <c r="N587" s="5" t="n">
        <v>0.33</v>
      </c>
    </row>
    <row r="588">
      <c r="A588" t="n">
        <v>587</v>
      </c>
      <c r="B588" t="n">
        <v>2015</v>
      </c>
      <c r="C588" t="inlineStr">
        <is>
          <t>Scarlett Chan</t>
        </is>
      </c>
      <c r="D588">
        <f>HYPERLINK("https://ota.tournamentsoftware.com/player-profile/FC173056-E1A0-4194-9722-D15B8524262F", "Link")</f>
        <v/>
      </c>
      <c r="E588" s="3" t="n">
        <v>48.556</v>
      </c>
      <c r="F588" s="4" t="n">
        <v>6</v>
      </c>
      <c r="G588" t="inlineStr">
        <is>
          <t>Ontario Tennis Association</t>
        </is>
      </c>
      <c r="H588" t="inlineStr">
        <is>
          <t>Mayfair East Racquet Club</t>
        </is>
      </c>
      <c r="I588" t="n">
        <v>36.7</v>
      </c>
      <c r="J588" s="4" t="n">
        <v>81</v>
      </c>
      <c r="K588" t="inlineStr">
        <is>
          <t>48 / 33</t>
        </is>
      </c>
      <c r="L588" t="inlineStr">
        <is>
          <t>4 / 7</t>
        </is>
      </c>
      <c r="M588" s="5" t="n">
        <v>0.59</v>
      </c>
      <c r="N588" s="5" t="n">
        <v>0.36</v>
      </c>
    </row>
    <row r="589">
      <c r="A589" t="n">
        <v>588</v>
      </c>
      <c r="B589" t="n">
        <v>2015</v>
      </c>
      <c r="C589" t="inlineStr">
        <is>
          <t>Aubrey Baldinelli</t>
        </is>
      </c>
      <c r="D589">
        <f>HYPERLINK("https://ota.tournamentsoftware.com/player-profile/4C52D449-95CA-49A9-B524-B01117EAD86C", "Link")</f>
        <v/>
      </c>
      <c r="E589" s="3" t="n">
        <v>48.55</v>
      </c>
      <c r="F589" s="4" t="n">
        <v>10</v>
      </c>
      <c r="G589" t="inlineStr">
        <is>
          <t>Ontario Tennis Association</t>
        </is>
      </c>
      <c r="H589" t="inlineStr">
        <is>
          <t>Youngs Sportsplex</t>
        </is>
      </c>
      <c r="I589" t="n">
        <v>37.3</v>
      </c>
      <c r="J589" s="4" t="n">
        <v>43</v>
      </c>
      <c r="K589" t="inlineStr">
        <is>
          <t>22 / 21</t>
        </is>
      </c>
      <c r="L589" t="inlineStr">
        <is>
          <t>5 / 13</t>
        </is>
      </c>
      <c r="M589" s="5" t="n">
        <v>0.51</v>
      </c>
      <c r="N589" s="5" t="n">
        <v>0.28</v>
      </c>
    </row>
    <row r="590">
      <c r="A590" t="n">
        <v>589</v>
      </c>
      <c r="B590" t="n">
        <v>2015</v>
      </c>
      <c r="C590" t="inlineStr">
        <is>
          <t>Miadel Flores</t>
        </is>
      </c>
      <c r="D590">
        <f>HYPERLINK("https://ota.tournamentsoftware.com/player-profile/19F5DCB9-D4C1-477E-9443-DA276E9A30BC", "Link")</f>
        <v/>
      </c>
      <c r="E590" s="3" t="n">
        <v>48.438</v>
      </c>
      <c r="F590" s="4" t="n">
        <v>4</v>
      </c>
      <c r="G590" t="inlineStr">
        <is>
          <t>Tennis Québec</t>
        </is>
      </c>
      <c r="H590" t="inlineStr">
        <is>
          <t>No Club</t>
        </is>
      </c>
      <c r="I590" t="n">
        <v>40</v>
      </c>
      <c r="J590" s="4" t="n">
        <v>5</v>
      </c>
      <c r="K590" t="inlineStr">
        <is>
          <t>1 / 4</t>
        </is>
      </c>
      <c r="L590" t="inlineStr">
        <is>
          <t>1 / 4</t>
        </is>
      </c>
      <c r="M590" s="5" t="n">
        <v>0.2</v>
      </c>
      <c r="N590" s="5" t="n">
        <v>0.2</v>
      </c>
    </row>
    <row r="591">
      <c r="A591" t="n">
        <v>590</v>
      </c>
      <c r="B591" t="n">
        <v>2014</v>
      </c>
      <c r="C591" t="inlineStr">
        <is>
          <t>Tess Marie Trenholm</t>
        </is>
      </c>
      <c r="D591">
        <f>HYPERLINK("https://ota.tournamentsoftware.com/player-profile/37DD9223-BE00-45F7-9DE9-3EA92F74CD7B", "Link")</f>
        <v/>
      </c>
      <c r="E591" s="3" t="n">
        <v>48.421</v>
      </c>
      <c r="F591" s="4" t="n">
        <v>16</v>
      </c>
      <c r="G591" t="inlineStr">
        <is>
          <t>Ontario Tennis Association</t>
        </is>
      </c>
      <c r="H591" t="inlineStr">
        <is>
          <t>Ontario Racquet Club</t>
        </is>
      </c>
      <c r="I591" t="n">
        <v>38.7</v>
      </c>
      <c r="J591" s="4" t="n">
        <v>92</v>
      </c>
      <c r="K591" t="inlineStr">
        <is>
          <t>25 / 67</t>
        </is>
      </c>
      <c r="L591" t="inlineStr">
        <is>
          <t>6 / 12</t>
        </is>
      </c>
      <c r="M591" s="5" t="n">
        <v>0.27</v>
      </c>
      <c r="N591" s="5" t="n">
        <v>0.33</v>
      </c>
    </row>
    <row r="592">
      <c r="A592" t="n">
        <v>591</v>
      </c>
      <c r="B592" t="n">
        <v>2013</v>
      </c>
      <c r="C592" t="inlineStr">
        <is>
          <t>Gloria Yang</t>
        </is>
      </c>
      <c r="D592">
        <f>HYPERLINK("https://ota.tournamentsoftware.com/player-profile/93D03535-4A4B-4898-A531-8F0DB9BA8BD8", "Link")</f>
        <v/>
      </c>
      <c r="E592" s="3" t="n">
        <v>48.153</v>
      </c>
      <c r="F592" s="4" t="n">
        <v>2</v>
      </c>
      <c r="G592" t="inlineStr">
        <is>
          <t>Tennis Prince Edward Island</t>
        </is>
      </c>
      <c r="H592" t="inlineStr">
        <is>
          <t>Royalty Racquet Centre</t>
        </is>
      </c>
      <c r="I592" t="inlineStr">
        <is>
          <t>unavailable</t>
        </is>
      </c>
      <c r="J592" s="4" t="n">
        <v>21</v>
      </c>
      <c r="K592" t="inlineStr">
        <is>
          <t>9 / 12</t>
        </is>
      </c>
      <c r="L592" t="inlineStr">
        <is>
          <t>5 / 8</t>
        </is>
      </c>
      <c r="M592" s="5" t="n">
        <v>0.43</v>
      </c>
      <c r="N592" s="5" t="n">
        <v>0.38</v>
      </c>
    </row>
    <row r="593">
      <c r="A593" t="n">
        <v>592</v>
      </c>
      <c r="B593" t="n">
        <v>2012</v>
      </c>
      <c r="C593" t="inlineStr">
        <is>
          <t>Nora Skogen</t>
        </is>
      </c>
      <c r="D593">
        <f>HYPERLINK("https://ota.tournamentsoftware.com/player-profile/84E488EE-ABCE-4936-AC77-DCF33DA7BE52", "Link")</f>
        <v/>
      </c>
      <c r="E593" s="3" t="n">
        <v>47.579</v>
      </c>
      <c r="F593" s="4" t="n">
        <v>2</v>
      </c>
      <c r="G593" t="inlineStr">
        <is>
          <t>British Columbia</t>
        </is>
      </c>
      <c r="H593" t="inlineStr">
        <is>
          <t>Hollyburn Country Club</t>
        </is>
      </c>
      <c r="I593" t="n">
        <v>32.3</v>
      </c>
      <c r="J593" s="4" t="n">
        <v>164</v>
      </c>
      <c r="K593" t="inlineStr">
        <is>
          <t>79 / 85</t>
        </is>
      </c>
      <c r="L593" t="inlineStr">
        <is>
          <t>1 / 1</t>
        </is>
      </c>
      <c r="M593" s="5" t="n">
        <v>0.48</v>
      </c>
      <c r="N593" s="5" t="n">
        <v>0.5</v>
      </c>
    </row>
    <row r="594">
      <c r="A594" t="n">
        <v>593</v>
      </c>
      <c r="B594" t="n">
        <v>2016</v>
      </c>
      <c r="C594" t="inlineStr">
        <is>
          <t>Chloe Garikimukkula</t>
        </is>
      </c>
      <c r="D594">
        <f>HYPERLINK("https://ota.tournamentsoftware.com/player-profile/8B630DA5-F61E-4159-9316-7EA463790908", "Link")</f>
        <v/>
      </c>
      <c r="E594" s="3" t="n">
        <v>47.448</v>
      </c>
      <c r="F594" s="4" t="n">
        <v>10</v>
      </c>
      <c r="G594" t="inlineStr">
        <is>
          <t>Ontario Tennis Association</t>
        </is>
      </c>
      <c r="H594" t="inlineStr">
        <is>
          <t>Burlington Tennis Club</t>
        </is>
      </c>
      <c r="I594" t="n">
        <v>35.9</v>
      </c>
      <c r="J594" s="4" t="n">
        <v>99</v>
      </c>
      <c r="K594" t="inlineStr">
        <is>
          <t>58 / 41</t>
        </is>
      </c>
      <c r="L594" t="inlineStr">
        <is>
          <t>39 / 26</t>
        </is>
      </c>
      <c r="M594" s="5" t="n">
        <v>0.59</v>
      </c>
      <c r="N594" s="5" t="n">
        <v>0.6</v>
      </c>
    </row>
    <row r="595">
      <c r="A595" t="n">
        <v>594</v>
      </c>
      <c r="B595" t="n">
        <v>2014</v>
      </c>
      <c r="C595" t="inlineStr">
        <is>
          <t>Charlotte Adeline Ratchford</t>
        </is>
      </c>
      <c r="D595">
        <f>HYPERLINK("https://ota.tournamentsoftware.com/player-profile/552DF1FC-65F6-48FE-8B31-884C1DC273DB", "Link")</f>
        <v/>
      </c>
      <c r="E595" s="3" t="n">
        <v>45.516</v>
      </c>
      <c r="F595" s="4" t="n">
        <v>16</v>
      </c>
      <c r="G595" t="inlineStr">
        <is>
          <t>British Columbia</t>
        </is>
      </c>
      <c r="H595" t="inlineStr">
        <is>
          <t>Jericho Tennis Club</t>
        </is>
      </c>
      <c r="I595" t="n">
        <v>37.1</v>
      </c>
      <c r="J595" s="4" t="n">
        <v>43</v>
      </c>
      <c r="K595" t="inlineStr">
        <is>
          <t>14 / 29</t>
        </is>
      </c>
      <c r="L595" t="inlineStr">
        <is>
          <t>12 / 24</t>
        </is>
      </c>
      <c r="M595" s="5" t="n">
        <v>0.33</v>
      </c>
      <c r="N595" s="5" t="n">
        <v>0.33</v>
      </c>
    </row>
    <row r="596">
      <c r="A596" t="n">
        <v>595</v>
      </c>
      <c r="B596" t="n">
        <v>2015</v>
      </c>
      <c r="C596" t="inlineStr">
        <is>
          <t>Kinsley Jade Lin</t>
        </is>
      </c>
      <c r="D596">
        <f>HYPERLINK("https://ota.tournamentsoftware.com/player-profile/1FF4FA2D-412B-4E4A-AE72-948C7BC68D73", "Link")</f>
        <v/>
      </c>
      <c r="E596" s="3" t="n">
        <v>44.956</v>
      </c>
      <c r="F596" s="4" t="n">
        <v>10</v>
      </c>
      <c r="G596" t="inlineStr">
        <is>
          <t>Ontario Tennis Association</t>
        </is>
      </c>
      <c r="H596" t="inlineStr">
        <is>
          <t>The Tennis School</t>
        </is>
      </c>
      <c r="I596" t="n">
        <v>37.1</v>
      </c>
      <c r="J596" s="4" t="n">
        <v>92</v>
      </c>
      <c r="K596" t="inlineStr">
        <is>
          <t>40 / 52</t>
        </is>
      </c>
      <c r="L596" t="inlineStr">
        <is>
          <t>5 / 9</t>
        </is>
      </c>
      <c r="M596" s="5" t="n">
        <v>0.43</v>
      </c>
      <c r="N596" s="5" t="n">
        <v>0.36</v>
      </c>
    </row>
    <row r="597">
      <c r="A597" t="n">
        <v>596</v>
      </c>
      <c r="B597" t="n">
        <v>2015</v>
      </c>
      <c r="C597" t="inlineStr">
        <is>
          <t>LILLIAN LI</t>
        </is>
      </c>
      <c r="D597">
        <f>HYPERLINK("https://ota.tournamentsoftware.com/player-profile/6381808D-332A-4694-9A60-DD4214A2A2F0", "Link")</f>
        <v/>
      </c>
      <c r="E597" s="3" t="n">
        <v>44.713</v>
      </c>
      <c r="F597" s="4" t="n">
        <v>8</v>
      </c>
      <c r="G597" t="inlineStr">
        <is>
          <t>Ontario Tennis Association</t>
        </is>
      </c>
      <c r="H597" t="inlineStr">
        <is>
          <t>Rideau Sports Centre</t>
        </is>
      </c>
      <c r="I597" t="n">
        <v>39.7</v>
      </c>
      <c r="J597" s="4" t="n">
        <v>19</v>
      </c>
      <c r="K597" t="inlineStr">
        <is>
          <t>4 / 15</t>
        </is>
      </c>
      <c r="L597" t="inlineStr">
        <is>
          <t>0 / 8</t>
        </is>
      </c>
      <c r="M597" s="5" t="n">
        <v>0.21</v>
      </c>
      <c r="N597" s="5" t="n">
        <v>0</v>
      </c>
    </row>
    <row r="598">
      <c r="A598" t="n">
        <v>597</v>
      </c>
      <c r="B598" t="n">
        <v>2015</v>
      </c>
      <c r="C598" t="inlineStr">
        <is>
          <t>Alexia Lionis</t>
        </is>
      </c>
      <c r="D598">
        <f>HYPERLINK("https://ota.tournamentsoftware.com/player-profile/C2079715-4A8A-4F16-A5F2-10633FCB08AA", "Link")</f>
        <v/>
      </c>
      <c r="E598" s="3" t="n">
        <v>44.665</v>
      </c>
      <c r="F598" s="4" t="n">
        <v>5</v>
      </c>
      <c r="G598" t="inlineStr">
        <is>
          <t>Ontario Tennis Association</t>
        </is>
      </c>
      <c r="H598" t="inlineStr">
        <is>
          <t>Ontario Racquet Club</t>
        </is>
      </c>
      <c r="I598" t="inlineStr">
        <is>
          <t>unavailable</t>
        </is>
      </c>
      <c r="J598" s="4" t="n">
        <v>76</v>
      </c>
      <c r="K598" t="inlineStr">
        <is>
          <t>34 / 42</t>
        </is>
      </c>
      <c r="L598" t="inlineStr">
        <is>
          <t>5 / 8</t>
        </is>
      </c>
      <c r="M598" s="5" t="n">
        <v>0.45</v>
      </c>
      <c r="N598" s="5" t="n">
        <v>0.38</v>
      </c>
    </row>
    <row r="599">
      <c r="A599" t="n">
        <v>598</v>
      </c>
      <c r="B599" t="n">
        <v>2014</v>
      </c>
      <c r="C599" t="inlineStr">
        <is>
          <t>Victoria Kycia Block</t>
        </is>
      </c>
      <c r="D599">
        <f>HYPERLINK("https://ota.tournamentsoftware.com/player-profile/1F978CA6-97AC-4A84-BBEB-B431DDD9A28B", "Link")</f>
        <v/>
      </c>
      <c r="E599" s="3" t="n">
        <v>43.73</v>
      </c>
      <c r="F599" s="4" t="n">
        <v>11</v>
      </c>
      <c r="G599" t="inlineStr">
        <is>
          <t>Tennis Alberta</t>
        </is>
      </c>
      <c r="H599" t="inlineStr">
        <is>
          <t>Saville Community Sports Centre</t>
        </is>
      </c>
      <c r="I599" t="n">
        <v>35.3</v>
      </c>
      <c r="J599" s="4" t="n">
        <v>45</v>
      </c>
      <c r="K599" t="inlineStr">
        <is>
          <t>13 / 32</t>
        </is>
      </c>
      <c r="L599" t="inlineStr">
        <is>
          <t>6 / 9</t>
        </is>
      </c>
      <c r="M599" s="5" t="n">
        <v>0.29</v>
      </c>
      <c r="N599" s="5" t="n">
        <v>0.4</v>
      </c>
    </row>
    <row r="600">
      <c r="A600" t="n">
        <v>599</v>
      </c>
      <c r="B600" t="n">
        <v>2017</v>
      </c>
      <c r="C600" t="inlineStr">
        <is>
          <t>Arianna Fernanda Chacon</t>
        </is>
      </c>
      <c r="D600">
        <f>HYPERLINK("https://ota.tournamentsoftware.com/player-profile/3B36D99D-C9E7-48A2-BC06-6AD3725AC12E", "Link")</f>
        <v/>
      </c>
      <c r="E600" s="3" t="n">
        <v>43.336</v>
      </c>
      <c r="F600" s="4" t="n">
        <v>13</v>
      </c>
      <c r="G600" t="inlineStr">
        <is>
          <t>Tennis Alberta</t>
        </is>
      </c>
      <c r="H600" t="inlineStr">
        <is>
          <t>Aforza</t>
        </is>
      </c>
      <c r="I600" t="n">
        <v>34.6</v>
      </c>
      <c r="J600" s="4" t="n">
        <v>197</v>
      </c>
      <c r="K600" t="inlineStr">
        <is>
          <t>103 / 94</t>
        </is>
      </c>
      <c r="L600" t="inlineStr">
        <is>
          <t>30 / 18</t>
        </is>
      </c>
      <c r="M600" s="5" t="n">
        <v>0.52</v>
      </c>
      <c r="N600" s="5" t="n">
        <v>0.62</v>
      </c>
    </row>
    <row r="601">
      <c r="A601" t="n">
        <v>600</v>
      </c>
      <c r="B601" t="n">
        <v>2013</v>
      </c>
      <c r="C601" t="inlineStr">
        <is>
          <t>Emma Isabella Lamacchia</t>
        </is>
      </c>
      <c r="D601">
        <f>HYPERLINK("https://ota.tournamentsoftware.com/player-profile/13408327-82EC-4D4E-B3D1-9FA084C53782", "Link")</f>
        <v/>
      </c>
      <c r="E601" s="3" t="n">
        <v>43.33</v>
      </c>
      <c r="F601" s="4" t="n">
        <v>3</v>
      </c>
      <c r="G601" t="inlineStr">
        <is>
          <t>Ontario Tennis Association</t>
        </is>
      </c>
      <c r="H601" t="inlineStr">
        <is>
          <t>Advantage Tennis International at Veneto</t>
        </is>
      </c>
      <c r="I601" t="n">
        <v>39.9</v>
      </c>
      <c r="J601" s="4" t="n">
        <v>19</v>
      </c>
      <c r="K601" t="inlineStr">
        <is>
          <t>2 / 17</t>
        </is>
      </c>
      <c r="L601" t="inlineStr">
        <is>
          <t>2 / 17</t>
        </is>
      </c>
      <c r="M601" s="5" t="n">
        <v>0.11</v>
      </c>
      <c r="N601" s="5" t="n">
        <v>0.11</v>
      </c>
    </row>
    <row r="602">
      <c r="A602" t="n">
        <v>601</v>
      </c>
      <c r="B602" t="n">
        <v>2012</v>
      </c>
      <c r="C602" t="inlineStr">
        <is>
          <t>Valeria Taborda - Valverde</t>
        </is>
      </c>
      <c r="D602">
        <f>HYPERLINK("https://ota.tournamentsoftware.com/player-profile/E0201B38-AEE1-4BAC-B0FB-FA389A1FFEA8", "Link")</f>
        <v/>
      </c>
      <c r="E602" s="3" t="n">
        <v>43.272</v>
      </c>
      <c r="F602" s="4" t="n">
        <v>2</v>
      </c>
      <c r="G602" t="inlineStr">
        <is>
          <t>Ontario Tennis Association</t>
        </is>
      </c>
      <c r="H602" t="inlineStr">
        <is>
          <t>Port Hope Racquet Club</t>
        </is>
      </c>
      <c r="I602" t="inlineStr">
        <is>
          <t>unavailable</t>
        </is>
      </c>
      <c r="J602" s="4" t="n">
        <v>35</v>
      </c>
      <c r="K602" t="inlineStr">
        <is>
          <t>13 / 22</t>
        </is>
      </c>
      <c r="L602" t="inlineStr">
        <is>
          <t>1 / 1</t>
        </is>
      </c>
      <c r="M602" s="5" t="n">
        <v>0.37</v>
      </c>
      <c r="N602" s="5" t="n">
        <v>0.5</v>
      </c>
    </row>
    <row r="603">
      <c r="A603" t="n">
        <v>602</v>
      </c>
      <c r="B603" t="n">
        <v>2012</v>
      </c>
      <c r="C603" t="inlineStr">
        <is>
          <t>Aurélie Houde</t>
        </is>
      </c>
      <c r="D603">
        <f>HYPERLINK("https://ota.tournamentsoftware.com/player-profile/F697AB49-11E9-42EF-B0E6-5DF0E77AF99C", "Link")</f>
        <v/>
      </c>
      <c r="E603" s="3" t="n">
        <v>43.226</v>
      </c>
      <c r="F603" s="4" t="n">
        <v>5</v>
      </c>
      <c r="G603" t="inlineStr">
        <is>
          <t>Tennis Québec</t>
        </is>
      </c>
      <c r="H603" t="inlineStr">
        <is>
          <t>Association de tennis de Drummondville</t>
        </is>
      </c>
      <c r="I603" t="n">
        <v>39.7</v>
      </c>
      <c r="J603" s="4" t="n">
        <v>22</v>
      </c>
      <c r="K603" t="inlineStr">
        <is>
          <t>1 / 21</t>
        </is>
      </c>
      <c r="L603" t="inlineStr">
        <is>
          <t>0 / 3</t>
        </is>
      </c>
      <c r="M603" s="5" t="n">
        <v>0.05</v>
      </c>
      <c r="N603" s="5" t="n">
        <v>0</v>
      </c>
    </row>
    <row r="604">
      <c r="A604" t="n">
        <v>603</v>
      </c>
      <c r="B604" t="n">
        <v>2013</v>
      </c>
      <c r="C604" t="inlineStr">
        <is>
          <t>Anika Surtani</t>
        </is>
      </c>
      <c r="D604">
        <f>HYPERLINK("https://ota.tournamentsoftware.com/player-profile/8434E356-BD3E-4FDA-9513-46F335FD471C", "Link")</f>
        <v/>
      </c>
      <c r="E604" s="3" t="n">
        <v>42.618</v>
      </c>
      <c r="F604" s="4" t="n">
        <v>6</v>
      </c>
      <c r="G604" t="inlineStr">
        <is>
          <t>Ontario Tennis Association</t>
        </is>
      </c>
      <c r="H604" t="inlineStr">
        <is>
          <t>Boulevard Club</t>
        </is>
      </c>
      <c r="I604" t="inlineStr">
        <is>
          <t>unavailable</t>
        </is>
      </c>
      <c r="J604" s="4" t="n">
        <v>18</v>
      </c>
      <c r="K604" t="inlineStr">
        <is>
          <t>4 / 14</t>
        </is>
      </c>
      <c r="L604" t="inlineStr">
        <is>
          <t>2 / 6</t>
        </is>
      </c>
      <c r="M604" s="5" t="n">
        <v>0.22</v>
      </c>
      <c r="N604" s="5" t="n">
        <v>0.25</v>
      </c>
    </row>
    <row r="605">
      <c r="A605" t="n">
        <v>604</v>
      </c>
      <c r="B605" t="n">
        <v>2014</v>
      </c>
      <c r="C605" t="inlineStr">
        <is>
          <t>Ann-Mayelle Veillard</t>
        </is>
      </c>
      <c r="D605">
        <f>HYPERLINK("https://ota.tournamentsoftware.com/player-profile/C734CB2A-2E7E-46C5-B1F0-69D754EF8527", "Link")</f>
        <v/>
      </c>
      <c r="E605" s="3" t="n">
        <v>42.328</v>
      </c>
      <c r="F605" s="4" t="n">
        <v>11</v>
      </c>
      <c r="G605" t="inlineStr">
        <is>
          <t>Tennis Québec</t>
        </is>
      </c>
      <c r="H605" t="inlineStr">
        <is>
          <t>No Club</t>
        </is>
      </c>
      <c r="I605" t="inlineStr">
        <is>
          <t>unavailable</t>
        </is>
      </c>
      <c r="J605" s="4" t="n">
        <v>22</v>
      </c>
      <c r="K605" t="inlineStr">
        <is>
          <t>10 / 12</t>
        </is>
      </c>
      <c r="L605" t="inlineStr">
        <is>
          <t>10 / 12</t>
        </is>
      </c>
      <c r="M605" s="5" t="n">
        <v>0.45</v>
      </c>
      <c r="N605" s="5" t="n">
        <v>0.45</v>
      </c>
    </row>
    <row r="606">
      <c r="A606" t="n">
        <v>605</v>
      </c>
      <c r="B606" t="n">
        <v>2012</v>
      </c>
      <c r="C606" t="inlineStr">
        <is>
          <t>Mackenzie Quek</t>
        </is>
      </c>
      <c r="D606">
        <f>HYPERLINK("https://ota.tournamentsoftware.com/player-profile/51407A91-7051-4BC3-B583-F0DC1E06E113", "Link")</f>
        <v/>
      </c>
      <c r="E606" s="3" t="n">
        <v>42.274</v>
      </c>
      <c r="F606" s="4" t="n">
        <v>4</v>
      </c>
      <c r="G606" t="inlineStr">
        <is>
          <t>Ontario Tennis Association</t>
        </is>
      </c>
      <c r="H606" t="inlineStr">
        <is>
          <t>Concord Tennis Academy</t>
        </is>
      </c>
      <c r="I606" t="inlineStr">
        <is>
          <t>unavailable</t>
        </is>
      </c>
      <c r="J606" s="4" t="n">
        <v>13</v>
      </c>
      <c r="K606" t="inlineStr">
        <is>
          <t>3 / 10</t>
        </is>
      </c>
      <c r="L606" t="inlineStr">
        <is>
          <t>3 / 10</t>
        </is>
      </c>
      <c r="M606" s="5" t="n">
        <v>0.23</v>
      </c>
      <c r="N606" s="5" t="n">
        <v>0.23</v>
      </c>
    </row>
    <row r="607">
      <c r="A607" t="n">
        <v>606</v>
      </c>
      <c r="B607" t="n">
        <v>2015</v>
      </c>
      <c r="C607" t="inlineStr">
        <is>
          <t>Mia Kojic</t>
        </is>
      </c>
      <c r="D607">
        <f>HYPERLINK("https://ota.tournamentsoftware.com/player-profile/1573DFB3-8189-4CE9-AAAC-9ADF1738AD9C", "Link")</f>
        <v/>
      </c>
      <c r="E607" s="3" t="n">
        <v>41.917</v>
      </c>
      <c r="F607" s="4" t="n">
        <v>7</v>
      </c>
      <c r="G607" t="inlineStr">
        <is>
          <t>Ontario Tennis Association</t>
        </is>
      </c>
      <c r="H607" t="inlineStr">
        <is>
          <t>Ontario Racquet Club</t>
        </is>
      </c>
      <c r="I607" t="n">
        <v>36.7</v>
      </c>
      <c r="J607" s="4" t="n">
        <v>95</v>
      </c>
      <c r="K607" t="inlineStr">
        <is>
          <t>41 / 54</t>
        </is>
      </c>
      <c r="L607" t="inlineStr">
        <is>
          <t>5 / 9</t>
        </is>
      </c>
      <c r="M607" s="5" t="n">
        <v>0.43</v>
      </c>
      <c r="N607" s="5" t="n">
        <v>0.36</v>
      </c>
    </row>
    <row r="608">
      <c r="A608" t="n">
        <v>607</v>
      </c>
      <c r="B608" t="n">
        <v>2014</v>
      </c>
      <c r="C608" t="inlineStr">
        <is>
          <t>Chloe Leblond</t>
        </is>
      </c>
      <c r="D608">
        <f>HYPERLINK("https://ota.tournamentsoftware.com/player-profile/B25C8E1B-DD5B-45CB-A94E-27B9E436CCF5", "Link")</f>
        <v/>
      </c>
      <c r="E608" s="3" t="n">
        <v>41.903</v>
      </c>
      <c r="F608" s="4" t="n">
        <v>5</v>
      </c>
      <c r="G608" t="inlineStr">
        <is>
          <t>Ontario Tennis Association</t>
        </is>
      </c>
      <c r="H608" t="inlineStr">
        <is>
          <t>Tam Heather Tennis Club</t>
        </is>
      </c>
      <c r="I608" t="inlineStr">
        <is>
          <t>unavailable</t>
        </is>
      </c>
      <c r="J608" s="4" t="n">
        <v>59</v>
      </c>
      <c r="K608" t="inlineStr">
        <is>
          <t>31 / 28</t>
        </is>
      </c>
      <c r="L608" t="inlineStr">
        <is>
          <t>6 / 4</t>
        </is>
      </c>
      <c r="M608" s="5" t="n">
        <v>0.53</v>
      </c>
      <c r="N608" s="5" t="n">
        <v>0.6</v>
      </c>
    </row>
    <row r="609">
      <c r="A609" t="n">
        <v>608</v>
      </c>
      <c r="B609" t="n">
        <v>2013</v>
      </c>
      <c r="C609" t="inlineStr">
        <is>
          <t>Hengxi Celine Du</t>
        </is>
      </c>
      <c r="D609">
        <f>HYPERLINK("https://ota.tournamentsoftware.com/player-profile/7011B5E4-06D4-4830-95A3-18CF46BE4ED0", "Link")</f>
        <v/>
      </c>
      <c r="E609" s="3" t="n">
        <v>41.83</v>
      </c>
      <c r="F609" s="4" t="n">
        <v>2</v>
      </c>
      <c r="G609" t="inlineStr">
        <is>
          <t>Ontario Tennis Association</t>
        </is>
      </c>
      <c r="H609" t="inlineStr">
        <is>
          <t>Premier Racquet Clubs – Mississauga</t>
        </is>
      </c>
      <c r="I609" t="inlineStr">
        <is>
          <t>unavailable</t>
        </is>
      </c>
      <c r="J609" s="4" t="n">
        <v>20</v>
      </c>
      <c r="K609" t="inlineStr">
        <is>
          <t>6 / 14</t>
        </is>
      </c>
      <c r="L609" t="inlineStr">
        <is>
          <t>5 / 7</t>
        </is>
      </c>
      <c r="M609" s="5" t="n">
        <v>0.3</v>
      </c>
      <c r="N609" s="5" t="n">
        <v>0.42</v>
      </c>
    </row>
    <row r="610">
      <c r="A610" t="n">
        <v>609</v>
      </c>
      <c r="B610" t="n">
        <v>2014</v>
      </c>
      <c r="C610" t="inlineStr">
        <is>
          <t>Melina Ioannidis</t>
        </is>
      </c>
      <c r="D610">
        <f>HYPERLINK("https://ota.tournamentsoftware.com/player-profile/7105A5E6-611D-4531-9016-F7FBEE3F6368", "Link")</f>
        <v/>
      </c>
      <c r="E610" s="3" t="n">
        <v>41.56</v>
      </c>
      <c r="F610" s="4" t="n">
        <v>6</v>
      </c>
      <c r="G610" t="inlineStr">
        <is>
          <t>Ontario Tennis Association</t>
        </is>
      </c>
      <c r="H610" t="inlineStr">
        <is>
          <t>Aurora Community Tennis Club</t>
        </is>
      </c>
      <c r="I610" t="n">
        <v>37</v>
      </c>
      <c r="J610" s="4" t="n">
        <v>61</v>
      </c>
      <c r="K610" t="inlineStr">
        <is>
          <t>34 / 27</t>
        </is>
      </c>
      <c r="L610" t="inlineStr">
        <is>
          <t>4 / 5</t>
        </is>
      </c>
      <c r="M610" s="5" t="n">
        <v>0.5600000000000001</v>
      </c>
      <c r="N610" s="5" t="n">
        <v>0.44</v>
      </c>
    </row>
    <row r="611">
      <c r="A611" t="n">
        <v>610</v>
      </c>
      <c r="B611" t="n">
        <v>2015</v>
      </c>
      <c r="C611" t="inlineStr">
        <is>
          <t>Juliette Tremblay</t>
        </is>
      </c>
      <c r="D611">
        <f>HYPERLINK("https://ota.tournamentsoftware.com/player-profile/94E82DA2-01EF-471F-BB0F-8CEAA1C42076", "Link")</f>
        <v/>
      </c>
      <c r="E611" s="3" t="n">
        <v>41.328</v>
      </c>
      <c r="F611" s="4" t="n">
        <v>9</v>
      </c>
      <c r="G611" t="inlineStr">
        <is>
          <t>Tennis Québec</t>
        </is>
      </c>
      <c r="H611" t="inlineStr">
        <is>
          <t>Tennis Outaouais Performance (TOP)</t>
        </is>
      </c>
      <c r="I611" t="n">
        <v>37.6</v>
      </c>
      <c r="J611" s="4" t="n">
        <v>52</v>
      </c>
      <c r="K611" t="inlineStr">
        <is>
          <t>16 / 36</t>
        </is>
      </c>
      <c r="L611" t="inlineStr">
        <is>
          <t>5 / 11</t>
        </is>
      </c>
      <c r="M611" s="5" t="n">
        <v>0.31</v>
      </c>
      <c r="N611" s="5" t="n">
        <v>0.31</v>
      </c>
    </row>
    <row r="612">
      <c r="A612" t="n">
        <v>611</v>
      </c>
      <c r="B612" t="n">
        <v>2014</v>
      </c>
      <c r="C612" t="inlineStr">
        <is>
          <t>Alena Sui</t>
        </is>
      </c>
      <c r="D612">
        <f>HYPERLINK("https://ota.tournamentsoftware.com/player-profile/92B690E9-D6C6-410C-A457-5AC3927E933A", "Link")</f>
        <v/>
      </c>
      <c r="E612" s="3" t="n">
        <v>41.268</v>
      </c>
      <c r="F612" s="4" t="n">
        <v>11</v>
      </c>
      <c r="G612" t="inlineStr">
        <is>
          <t>British Columbia</t>
        </is>
      </c>
      <c r="H612" t="inlineStr">
        <is>
          <t>No Club</t>
        </is>
      </c>
      <c r="I612" t="n">
        <v>38.4</v>
      </c>
      <c r="J612" s="4" t="n">
        <v>77</v>
      </c>
      <c r="K612" t="inlineStr">
        <is>
          <t>35 / 42</t>
        </is>
      </c>
      <c r="L612" t="inlineStr">
        <is>
          <t>15 / 20</t>
        </is>
      </c>
      <c r="M612" s="5" t="n">
        <v>0.45</v>
      </c>
      <c r="N612" s="5" t="n">
        <v>0.43</v>
      </c>
    </row>
    <row r="613">
      <c r="A613" t="n">
        <v>612</v>
      </c>
      <c r="B613" t="n">
        <v>2016</v>
      </c>
      <c r="C613" t="inlineStr">
        <is>
          <t>Kiara Krishnan</t>
        </is>
      </c>
      <c r="D613">
        <f>HYPERLINK("https://ota.tournamentsoftware.com/player-profile/50D3305E-63D5-4EFB-B53F-B64E463DE26E", "Link")</f>
        <v/>
      </c>
      <c r="E613" s="3" t="n">
        <v>41.04</v>
      </c>
      <c r="F613" s="4" t="n">
        <v>28</v>
      </c>
      <c r="G613" t="inlineStr">
        <is>
          <t>Ontario Tennis Association</t>
        </is>
      </c>
      <c r="H613" t="inlineStr">
        <is>
          <t>Toronto Tennis Academy</t>
        </is>
      </c>
      <c r="I613" t="n">
        <v>37.8</v>
      </c>
      <c r="J613" s="4" t="n">
        <v>247</v>
      </c>
      <c r="K613" t="inlineStr">
        <is>
          <t>98 / 149</t>
        </is>
      </c>
      <c r="L613" t="inlineStr">
        <is>
          <t>11 / 32</t>
        </is>
      </c>
      <c r="M613" s="5" t="n">
        <v>0.4</v>
      </c>
      <c r="N613" s="5" t="n">
        <v>0.26</v>
      </c>
    </row>
    <row r="614">
      <c r="A614" t="n">
        <v>612</v>
      </c>
      <c r="B614" t="n">
        <v>2015</v>
      </c>
      <c r="C614" t="inlineStr">
        <is>
          <t>Lillian Tooryani</t>
        </is>
      </c>
      <c r="D614">
        <f>HYPERLINK("https://ota.tournamentsoftware.com/player-profile/B149ED5D-E26B-4577-8AAB-620DB4A7A85F", "Link")</f>
        <v/>
      </c>
      <c r="E614" s="3" t="n">
        <v>41.04</v>
      </c>
      <c r="F614" s="4" t="n">
        <v>11</v>
      </c>
      <c r="G614" t="inlineStr">
        <is>
          <t>Ontario Tennis Association</t>
        </is>
      </c>
      <c r="H614" t="inlineStr">
        <is>
          <t>Mayfair West Fitness &amp; Racquet Club</t>
        </is>
      </c>
      <c r="I614" t="n">
        <v>37.2</v>
      </c>
      <c r="J614" s="4" t="n">
        <v>41</v>
      </c>
      <c r="K614" t="inlineStr">
        <is>
          <t>16 / 25</t>
        </is>
      </c>
      <c r="L614" t="inlineStr">
        <is>
          <t>13 / 12</t>
        </is>
      </c>
      <c r="M614" s="5" t="n">
        <v>0.39</v>
      </c>
      <c r="N614" s="5" t="n">
        <v>0.52</v>
      </c>
    </row>
    <row r="615">
      <c r="A615" t="n">
        <v>614</v>
      </c>
      <c r="B615" t="n">
        <v>2015</v>
      </c>
      <c r="C615" t="inlineStr">
        <is>
          <t>ALICE Wan yee Wong</t>
        </is>
      </c>
      <c r="D615">
        <f>HYPERLINK("https://ota.tournamentsoftware.com/player-profile/1B8AB01B-692B-4E5E-B513-A24155329374", "Link")</f>
        <v/>
      </c>
      <c r="E615" s="3" t="n">
        <v>40.564</v>
      </c>
      <c r="F615" s="4" t="n">
        <v>12</v>
      </c>
      <c r="G615" t="inlineStr">
        <is>
          <t>British Columbia</t>
        </is>
      </c>
      <c r="H615" t="inlineStr">
        <is>
          <t>The Tennis Centre</t>
        </is>
      </c>
      <c r="I615" t="n">
        <v>35</v>
      </c>
      <c r="J615" s="4" t="n">
        <v>118</v>
      </c>
      <c r="K615" t="inlineStr">
        <is>
          <t>56 / 62</t>
        </is>
      </c>
      <c r="L615" t="inlineStr">
        <is>
          <t>16 / 13</t>
        </is>
      </c>
      <c r="M615" s="5" t="n">
        <v>0.47</v>
      </c>
      <c r="N615" s="5" t="n">
        <v>0.55</v>
      </c>
    </row>
    <row r="616">
      <c r="A616" t="n">
        <v>615</v>
      </c>
      <c r="B616" t="n">
        <v>2014</v>
      </c>
      <c r="C616" t="inlineStr">
        <is>
          <t>Laura Gyori</t>
        </is>
      </c>
      <c r="D616">
        <f>HYPERLINK("https://ota.tournamentsoftware.com/player-profile/5A55107A-8C3C-4255-8453-79017D4120E3", "Link")</f>
        <v/>
      </c>
      <c r="E616" s="3" t="n">
        <v>39.952</v>
      </c>
      <c r="F616" s="4" t="n">
        <v>4</v>
      </c>
      <c r="G616" t="inlineStr">
        <is>
          <t>Ontario Tennis Association</t>
        </is>
      </c>
      <c r="H616" t="inlineStr">
        <is>
          <t>Rideau Sports Centre</t>
        </is>
      </c>
      <c r="I616" t="inlineStr">
        <is>
          <t>unavailable</t>
        </is>
      </c>
      <c r="J616" s="4" t="n">
        <v>16</v>
      </c>
      <c r="K616" t="inlineStr">
        <is>
          <t>5 / 11</t>
        </is>
      </c>
      <c r="L616" t="inlineStr">
        <is>
          <t>2 / 4</t>
        </is>
      </c>
      <c r="M616" s="5" t="n">
        <v>0.31</v>
      </c>
      <c r="N616" s="5" t="n">
        <v>0.33</v>
      </c>
    </row>
    <row r="617">
      <c r="A617" t="n">
        <v>616</v>
      </c>
      <c r="B617" t="n">
        <v>2013</v>
      </c>
      <c r="C617" t="inlineStr">
        <is>
          <t>Naia Luke</t>
        </is>
      </c>
      <c r="D617">
        <f>HYPERLINK("https://ota.tournamentsoftware.com/player-profile/E8620DEC-5B72-4D85-9171-1F914B105E62", "Link")</f>
        <v/>
      </c>
      <c r="E617" s="3" t="n">
        <v>39.333</v>
      </c>
      <c r="F617" s="4" t="n">
        <v>5</v>
      </c>
      <c r="G617" t="inlineStr">
        <is>
          <t>British Columbia</t>
        </is>
      </c>
      <c r="H617" t="inlineStr">
        <is>
          <t>Jericho Tennis Club</t>
        </is>
      </c>
      <c r="I617" t="n">
        <v>39.6</v>
      </c>
      <c r="J617" s="4" t="n">
        <v>41</v>
      </c>
      <c r="K617" t="inlineStr">
        <is>
          <t>9 / 32</t>
        </is>
      </c>
      <c r="L617" t="inlineStr">
        <is>
          <t>0 / 7</t>
        </is>
      </c>
      <c r="M617" s="5" t="n">
        <v>0.22</v>
      </c>
      <c r="N617" s="5" t="n">
        <v>0</v>
      </c>
    </row>
    <row r="618">
      <c r="A618" t="n">
        <v>617</v>
      </c>
      <c r="B618" t="n">
        <v>2013</v>
      </c>
      <c r="C618" t="inlineStr">
        <is>
          <t>Mengge(Maya) Xu</t>
        </is>
      </c>
      <c r="D618">
        <f>HYPERLINK("https://ota.tournamentsoftware.com/player-profile/9CD6D408-1A72-4E0B-A9C9-DD675B785873", "Link")</f>
        <v/>
      </c>
      <c r="E618" s="3" t="n">
        <v>38.66</v>
      </c>
      <c r="F618" s="4" t="n">
        <v>6</v>
      </c>
      <c r="G618" t="inlineStr">
        <is>
          <t>Ontario Tennis Association</t>
        </is>
      </c>
      <c r="H618" t="inlineStr">
        <is>
          <t>Markham Tennis Club</t>
        </is>
      </c>
      <c r="I618" t="n">
        <v>39.4</v>
      </c>
      <c r="J618" s="4" t="n">
        <v>27</v>
      </c>
      <c r="K618" t="inlineStr">
        <is>
          <t>9 / 18</t>
        </is>
      </c>
      <c r="L618" t="inlineStr">
        <is>
          <t>4 / 6</t>
        </is>
      </c>
      <c r="M618" s="5" t="n">
        <v>0.33</v>
      </c>
      <c r="N618" s="5" t="n">
        <v>0.4</v>
      </c>
    </row>
    <row r="619">
      <c r="A619" t="n">
        <v>618</v>
      </c>
      <c r="B619" t="n">
        <v>2013</v>
      </c>
      <c r="C619" t="inlineStr">
        <is>
          <t>Kate Lalli</t>
        </is>
      </c>
      <c r="D619">
        <f>HYPERLINK("https://ota.tournamentsoftware.com/player-profile/37A0CF8B-C4DF-49F1-946F-E349A3E42015", "Link")</f>
        <v/>
      </c>
      <c r="E619" s="3" t="n">
        <v>38.609</v>
      </c>
      <c r="F619" s="4" t="n">
        <v>4</v>
      </c>
      <c r="G619" t="inlineStr">
        <is>
          <t>Tennis Québec</t>
        </is>
      </c>
      <c r="H619" t="inlineStr">
        <is>
          <t>No Club</t>
        </is>
      </c>
      <c r="I619" t="n">
        <v>37.6</v>
      </c>
      <c r="J619" s="4" t="n">
        <v>15</v>
      </c>
      <c r="K619" t="inlineStr">
        <is>
          <t>4 / 11</t>
        </is>
      </c>
      <c r="L619" t="inlineStr">
        <is>
          <t>1 / 6</t>
        </is>
      </c>
      <c r="M619" s="5" t="n">
        <v>0.27</v>
      </c>
      <c r="N619" s="5" t="n">
        <v>0.14</v>
      </c>
    </row>
    <row r="620">
      <c r="A620" t="n">
        <v>619</v>
      </c>
      <c r="B620" t="n">
        <v>2016</v>
      </c>
      <c r="C620" t="inlineStr">
        <is>
          <t>Olivia Yueer Hao</t>
        </is>
      </c>
      <c r="D620">
        <f>HYPERLINK("https://ota.tournamentsoftware.com/player-profile/61C0E090-4E32-499F-86FE-FFD674DD6128", "Link")</f>
        <v/>
      </c>
      <c r="E620" s="3" t="n">
        <v>38.377</v>
      </c>
      <c r="F620" s="4" t="n">
        <v>7</v>
      </c>
      <c r="G620" t="inlineStr">
        <is>
          <t>Ontario Tennis Association</t>
        </is>
      </c>
      <c r="H620" t="inlineStr">
        <is>
          <t>Valan Tennis Academy</t>
        </is>
      </c>
      <c r="I620" t="n">
        <v>38.3</v>
      </c>
      <c r="J620" s="4" t="n">
        <v>68</v>
      </c>
      <c r="K620" t="inlineStr">
        <is>
          <t>31 / 37</t>
        </is>
      </c>
      <c r="L620" t="inlineStr">
        <is>
          <t>27 / 22</t>
        </is>
      </c>
      <c r="M620" s="5" t="n">
        <v>0.46</v>
      </c>
      <c r="N620" s="5" t="n">
        <v>0.55</v>
      </c>
    </row>
    <row r="621">
      <c r="A621" t="n">
        <v>620</v>
      </c>
      <c r="B621" t="n">
        <v>2013</v>
      </c>
      <c r="C621" t="inlineStr">
        <is>
          <t>Yu Nohara</t>
        </is>
      </c>
      <c r="D621">
        <f>HYPERLINK("https://ota.tournamentsoftware.com/player-profile/4AB57DE3-C832-4B9F-8F8F-AECBF5EE5A81", "Link")</f>
        <v/>
      </c>
      <c r="E621" s="3" t="n">
        <v>38.216</v>
      </c>
      <c r="F621" s="4" t="n">
        <v>4</v>
      </c>
      <c r="G621" t="inlineStr">
        <is>
          <t>British Columbia</t>
        </is>
      </c>
      <c r="H621" t="inlineStr">
        <is>
          <t>Tennis for Life</t>
        </is>
      </c>
      <c r="I621" t="n">
        <v>37.6</v>
      </c>
      <c r="J621" s="4" t="n">
        <v>20</v>
      </c>
      <c r="K621" t="inlineStr">
        <is>
          <t>9 / 11</t>
        </is>
      </c>
      <c r="L621" t="inlineStr">
        <is>
          <t>1 / 3</t>
        </is>
      </c>
      <c r="M621" s="5" t="n">
        <v>0.45</v>
      </c>
      <c r="N621" s="5" t="n">
        <v>0.25</v>
      </c>
    </row>
    <row r="622">
      <c r="A622" t="n">
        <v>621</v>
      </c>
      <c r="B622" t="n">
        <v>2013</v>
      </c>
      <c r="C622" t="inlineStr">
        <is>
          <t>Daniella Adekoya</t>
        </is>
      </c>
      <c r="D622">
        <f>HYPERLINK("https://ota.tournamentsoftware.com/player-profile/1AE7E627-3ED1-4E93-9C7E-52183DBA7410", "Link")</f>
        <v/>
      </c>
      <c r="E622" s="3" t="n">
        <v>38.016</v>
      </c>
      <c r="F622" s="4" t="n">
        <v>3</v>
      </c>
      <c r="G622" t="inlineStr">
        <is>
          <t>Ontario Tennis Association</t>
        </is>
      </c>
      <c r="H622" t="inlineStr">
        <is>
          <t>Rideau Sports Centre</t>
        </is>
      </c>
      <c r="I622" t="n">
        <v>37.1</v>
      </c>
      <c r="J622" s="4" t="n">
        <v>25</v>
      </c>
      <c r="K622" t="inlineStr">
        <is>
          <t>7 / 18</t>
        </is>
      </c>
      <c r="L622" t="inlineStr">
        <is>
          <t>0 / 1</t>
        </is>
      </c>
      <c r="M622" s="5" t="n">
        <v>0.28</v>
      </c>
      <c r="N622" s="5" t="n">
        <v>0</v>
      </c>
    </row>
    <row r="623">
      <c r="A623" t="n">
        <v>622</v>
      </c>
      <c r="B623" t="n">
        <v>2017</v>
      </c>
      <c r="C623" t="inlineStr">
        <is>
          <t>Aria Bloom</t>
        </is>
      </c>
      <c r="D623">
        <f>HYPERLINK("https://ota.tournamentsoftware.com/player-profile/7C30BE00-7F15-42B9-BA96-B3B2895898A0", "Link")</f>
        <v/>
      </c>
      <c r="E623" s="3" t="n">
        <v>38.002</v>
      </c>
      <c r="F623" s="4" t="n">
        <v>6</v>
      </c>
      <c r="G623" t="inlineStr">
        <is>
          <t>Tennis Alberta</t>
        </is>
      </c>
      <c r="H623" t="inlineStr">
        <is>
          <t>Osten &amp; Victor Alberta Tennis Centre</t>
        </is>
      </c>
      <c r="I623" t="n">
        <v>34.1</v>
      </c>
      <c r="J623" s="4" t="n">
        <v>119</v>
      </c>
      <c r="K623" t="inlineStr">
        <is>
          <t>90 / 29</t>
        </is>
      </c>
      <c r="L623" t="inlineStr">
        <is>
          <t>36 / 6</t>
        </is>
      </c>
      <c r="M623" s="5" t="n">
        <v>0.76</v>
      </c>
      <c r="N623" s="5" t="n">
        <v>0.86</v>
      </c>
    </row>
    <row r="624">
      <c r="A624" t="n">
        <v>623</v>
      </c>
      <c r="B624" t="n">
        <v>2015</v>
      </c>
      <c r="C624" t="inlineStr">
        <is>
          <t>Anna Bella Grozdanovski</t>
        </is>
      </c>
      <c r="D624">
        <f>HYPERLINK("https://ota.tournamentsoftware.com/player-profile/C1BD78E7-5BB0-4BD0-9D53-DA02A232F8A0", "Link")</f>
        <v/>
      </c>
      <c r="E624" s="3" t="n">
        <v>37.548</v>
      </c>
      <c r="F624" s="4" t="n">
        <v>4</v>
      </c>
      <c r="G624" t="inlineStr">
        <is>
          <t>Ontario Tennis Association</t>
        </is>
      </c>
      <c r="H624" t="inlineStr">
        <is>
          <t>No Club</t>
        </is>
      </c>
      <c r="I624" t="n">
        <v>37.6</v>
      </c>
      <c r="J624" s="4" t="n">
        <v>36</v>
      </c>
      <c r="K624" t="inlineStr">
        <is>
          <t>17 / 19</t>
        </is>
      </c>
      <c r="L624" t="inlineStr">
        <is>
          <t>8 / 4</t>
        </is>
      </c>
      <c r="M624" s="5" t="n">
        <v>0.47</v>
      </c>
      <c r="N624" s="5" t="n">
        <v>0.67</v>
      </c>
    </row>
    <row r="625">
      <c r="A625" t="n">
        <v>624</v>
      </c>
      <c r="B625" t="n">
        <v>2013</v>
      </c>
      <c r="C625" t="inlineStr">
        <is>
          <t>Alexa Ardeleanu</t>
        </is>
      </c>
      <c r="D625">
        <f>HYPERLINK("https://ota.tournamentsoftware.com/player-profile/109D0444-3430-4CBD-A2CA-522592228926", "Link")</f>
        <v/>
      </c>
      <c r="E625" s="3" t="n">
        <v>37.397</v>
      </c>
      <c r="F625" s="4" t="n">
        <v>3</v>
      </c>
      <c r="G625" t="inlineStr">
        <is>
          <t>Ontario Tennis Association</t>
        </is>
      </c>
      <c r="H625" t="inlineStr">
        <is>
          <t>No Club</t>
        </is>
      </c>
      <c r="I625" t="n">
        <v>37.8</v>
      </c>
      <c r="J625" s="4" t="n">
        <v>5</v>
      </c>
      <c r="K625" t="inlineStr">
        <is>
          <t>1 / 4</t>
        </is>
      </c>
      <c r="L625" t="inlineStr">
        <is>
          <t>1 / 4</t>
        </is>
      </c>
      <c r="M625" s="5" t="n">
        <v>0.2</v>
      </c>
      <c r="N625" s="5" t="n">
        <v>0.2</v>
      </c>
    </row>
    <row r="626">
      <c r="A626" t="n">
        <v>625</v>
      </c>
      <c r="B626" t="n">
        <v>2015</v>
      </c>
      <c r="C626" t="inlineStr">
        <is>
          <t>Sloane Burdick</t>
        </is>
      </c>
      <c r="D626">
        <f>HYPERLINK("https://ota.tournamentsoftware.com/player-profile/B4ED1890-6E53-4FCC-9711-828BDD90CD1F", "Link")</f>
        <v/>
      </c>
      <c r="E626" s="3" t="n">
        <v>36.168</v>
      </c>
      <c r="F626" s="4" t="n">
        <v>8</v>
      </c>
      <c r="G626" t="inlineStr">
        <is>
          <t>British Columbia</t>
        </is>
      </c>
      <c r="H626" t="inlineStr">
        <is>
          <t>Vanguard Tennis Academy</t>
        </is>
      </c>
      <c r="I626" t="n">
        <v>36.8</v>
      </c>
      <c r="J626" s="4" t="n">
        <v>71</v>
      </c>
      <c r="K626" t="inlineStr">
        <is>
          <t>35 / 36</t>
        </is>
      </c>
      <c r="L626" t="inlineStr">
        <is>
          <t>8 / 9</t>
        </is>
      </c>
      <c r="M626" s="5" t="n">
        <v>0.49</v>
      </c>
      <c r="N626" s="5" t="n">
        <v>0.47</v>
      </c>
    </row>
    <row r="627">
      <c r="A627" t="n">
        <v>626</v>
      </c>
      <c r="B627" t="n">
        <v>2015</v>
      </c>
      <c r="C627" t="inlineStr">
        <is>
          <t>Allegra Gill</t>
        </is>
      </c>
      <c r="D627">
        <f>HYPERLINK("https://ota.tournamentsoftware.com/player-profile/74E5B02E-036C-4D6F-B122-5C8FEF79A927", "Link")</f>
        <v/>
      </c>
      <c r="E627" s="3" t="n">
        <v>35.726</v>
      </c>
      <c r="F627" s="4" t="n">
        <v>5</v>
      </c>
      <c r="G627" t="inlineStr">
        <is>
          <t>Ontario Tennis Association</t>
        </is>
      </c>
      <c r="H627" t="inlineStr">
        <is>
          <t>Zekelman Tennis Centre</t>
        </is>
      </c>
      <c r="I627" t="n">
        <v>39.9</v>
      </c>
      <c r="J627" s="4" t="n">
        <v>95</v>
      </c>
      <c r="K627" t="inlineStr">
        <is>
          <t>15 / 80</t>
        </is>
      </c>
      <c r="L627" t="inlineStr">
        <is>
          <t>8 / 18</t>
        </is>
      </c>
      <c r="M627" s="5" t="n">
        <v>0.16</v>
      </c>
      <c r="N627" s="5" t="n">
        <v>0.31</v>
      </c>
    </row>
    <row r="628">
      <c r="A628" t="n">
        <v>627</v>
      </c>
      <c r="B628" t="n">
        <v>2015</v>
      </c>
      <c r="C628" t="inlineStr">
        <is>
          <t>Victoria Guo</t>
        </is>
      </c>
      <c r="D628">
        <f>HYPERLINK("https://ota.tournamentsoftware.com/player-profile/54FA7561-0327-4A42-A5FE-A5519116069C", "Link")</f>
        <v/>
      </c>
      <c r="E628" s="3" t="n">
        <v>35.632</v>
      </c>
      <c r="F628" s="4" t="n">
        <v>4</v>
      </c>
      <c r="G628" t="inlineStr">
        <is>
          <t>Ontario Tennis Association</t>
        </is>
      </c>
      <c r="H628" t="inlineStr">
        <is>
          <t>Craig Henry</t>
        </is>
      </c>
      <c r="I628" t="n">
        <v>39.3</v>
      </c>
      <c r="J628" s="4" t="n">
        <v>27</v>
      </c>
      <c r="K628" t="inlineStr">
        <is>
          <t>10 / 17</t>
        </is>
      </c>
      <c r="L628" t="inlineStr">
        <is>
          <t>1 / 4</t>
        </is>
      </c>
      <c r="M628" s="5" t="n">
        <v>0.37</v>
      </c>
      <c r="N628" s="5" t="n">
        <v>0.2</v>
      </c>
    </row>
    <row r="629">
      <c r="A629" t="n">
        <v>628</v>
      </c>
      <c r="B629" t="n">
        <v>2013</v>
      </c>
      <c r="C629" t="inlineStr">
        <is>
          <t>Mehak Garg</t>
        </is>
      </c>
      <c r="D629">
        <f>HYPERLINK("https://ota.tournamentsoftware.com/player-profile/2FA47597-FC2B-4F26-80C4-912C2FC70064", "Link")</f>
        <v/>
      </c>
      <c r="E629" s="3" t="n">
        <v>35.51</v>
      </c>
      <c r="F629" s="4" t="n">
        <v>1</v>
      </c>
      <c r="G629" t="inlineStr">
        <is>
          <t>Tennis Saskatchewan</t>
        </is>
      </c>
      <c r="H629" t="inlineStr">
        <is>
          <t>Lakewood Indoor Tennis Centre</t>
        </is>
      </c>
      <c r="I629" t="n">
        <v>36.7</v>
      </c>
      <c r="J629" s="4" t="n">
        <v>10</v>
      </c>
      <c r="K629" t="inlineStr">
        <is>
          <t>3 / 7</t>
        </is>
      </c>
      <c r="L629" t="inlineStr">
        <is>
          <t>3 / 7</t>
        </is>
      </c>
      <c r="M629" s="5" t="n">
        <v>0.3</v>
      </c>
      <c r="N629" s="5" t="n">
        <v>0.3</v>
      </c>
    </row>
    <row r="630">
      <c r="A630" t="n">
        <v>629</v>
      </c>
      <c r="B630" t="n">
        <v>2014</v>
      </c>
      <c r="C630" t="inlineStr">
        <is>
          <t>Violette Hébert</t>
        </is>
      </c>
      <c r="D630">
        <f>HYPERLINK("https://ota.tournamentsoftware.com/player-profile/53615BF8-C3DB-4C99-8745-F5A7E4DC7C2E", "Link")</f>
        <v/>
      </c>
      <c r="E630" s="3" t="n">
        <v>35.466</v>
      </c>
      <c r="F630" s="4" t="n">
        <v>10</v>
      </c>
      <c r="G630" t="inlineStr">
        <is>
          <t>Tennis Québec</t>
        </is>
      </c>
      <c r="H630" t="inlineStr">
        <is>
          <t>EB Tennis inc.</t>
        </is>
      </c>
      <c r="I630" t="n">
        <v>39.2</v>
      </c>
      <c r="J630" s="4" t="n">
        <v>49</v>
      </c>
      <c r="K630" t="inlineStr">
        <is>
          <t>14 / 35</t>
        </is>
      </c>
      <c r="L630" t="inlineStr">
        <is>
          <t>4 / 13</t>
        </is>
      </c>
      <c r="M630" s="5" t="n">
        <v>0.29</v>
      </c>
      <c r="N630" s="5" t="n">
        <v>0.24</v>
      </c>
    </row>
    <row r="631">
      <c r="A631" t="n">
        <v>630</v>
      </c>
      <c r="B631" t="n">
        <v>2015</v>
      </c>
      <c r="C631" t="inlineStr">
        <is>
          <t>Nya BLANCHARD</t>
        </is>
      </c>
      <c r="D631">
        <f>HYPERLINK("https://ota.tournamentsoftware.com/player-profile/E8E00722-2274-4657-BCF4-B20EEBB0EB21", "Link")</f>
        <v/>
      </c>
      <c r="E631" s="3" t="n">
        <v>34.903</v>
      </c>
      <c r="F631" s="4" t="n">
        <v>6</v>
      </c>
      <c r="G631" t="inlineStr">
        <is>
          <t>Ontario Tennis Association</t>
        </is>
      </c>
      <c r="H631" t="inlineStr">
        <is>
          <t>Ontario Racquet Club</t>
        </is>
      </c>
      <c r="I631" t="n">
        <v>35.7</v>
      </c>
      <c r="J631" s="4" t="n">
        <v>41</v>
      </c>
      <c r="K631" t="inlineStr">
        <is>
          <t>23 / 18</t>
        </is>
      </c>
      <c r="L631" t="inlineStr">
        <is>
          <t>8 / 7</t>
        </is>
      </c>
      <c r="M631" s="5" t="n">
        <v>0.5600000000000001</v>
      </c>
      <c r="N631" s="5" t="n">
        <v>0.53</v>
      </c>
    </row>
    <row r="632">
      <c r="A632" t="n">
        <v>631</v>
      </c>
      <c r="B632" t="n">
        <v>2012</v>
      </c>
      <c r="C632" t="inlineStr">
        <is>
          <t>Capri Metelitsa</t>
        </is>
      </c>
      <c r="D632">
        <f>HYPERLINK("https://ota.tournamentsoftware.com/player-profile/AD54A68E-D415-4925-B832-8287172FB727", "Link")</f>
        <v/>
      </c>
      <c r="E632" s="3" t="n">
        <v>34.735</v>
      </c>
      <c r="F632" s="4" t="n">
        <v>10</v>
      </c>
      <c r="G632" t="inlineStr">
        <is>
          <t>Tennis Alberta</t>
        </is>
      </c>
      <c r="H632" t="inlineStr">
        <is>
          <t>Aforza</t>
        </is>
      </c>
      <c r="I632" t="n">
        <v>36.4</v>
      </c>
      <c r="J632" s="4" t="n">
        <v>50</v>
      </c>
      <c r="K632" t="inlineStr">
        <is>
          <t>23 / 27</t>
        </is>
      </c>
      <c r="L632" t="inlineStr">
        <is>
          <t>2 / 8</t>
        </is>
      </c>
      <c r="M632" s="5" t="n">
        <v>0.46</v>
      </c>
      <c r="N632" s="5" t="n">
        <v>0.2</v>
      </c>
    </row>
    <row r="633">
      <c r="A633" t="n">
        <v>632</v>
      </c>
      <c r="B633" t="n">
        <v>2013</v>
      </c>
      <c r="C633" t="inlineStr">
        <is>
          <t>Caroline Chuyi Wang</t>
        </is>
      </c>
      <c r="D633">
        <f>HYPERLINK("https://ota.tournamentsoftware.com/player-profile/3F052198-DCE4-4852-8FA0-B0793E67B6FC", "Link")</f>
        <v/>
      </c>
      <c r="E633" s="3" t="n">
        <v>34.166</v>
      </c>
      <c r="F633" s="4" t="n">
        <v>4</v>
      </c>
      <c r="G633" t="inlineStr">
        <is>
          <t>British Columbia</t>
        </is>
      </c>
      <c r="H633" t="inlineStr">
        <is>
          <t>Richmond Country Club</t>
        </is>
      </c>
      <c r="I633" t="n">
        <v>37.9</v>
      </c>
      <c r="J633" s="4" t="n">
        <v>26</v>
      </c>
      <c r="K633" t="inlineStr">
        <is>
          <t>11 / 15</t>
        </is>
      </c>
      <c r="L633" t="inlineStr">
        <is>
          <t>11 / 15</t>
        </is>
      </c>
      <c r="M633" s="5" t="n">
        <v>0.42</v>
      </c>
      <c r="N633" s="5" t="n">
        <v>0.42</v>
      </c>
    </row>
    <row r="634">
      <c r="A634" t="n">
        <v>633</v>
      </c>
      <c r="B634" t="n">
        <v>2013</v>
      </c>
      <c r="C634" t="inlineStr">
        <is>
          <t>Lingxi Sun</t>
        </is>
      </c>
      <c r="D634">
        <f>HYPERLINK("https://ota.tournamentsoftware.com/player-profile/09E8E557-02B1-46EF-87E8-A28C42A56E9D", "Link")</f>
        <v/>
      </c>
      <c r="E634" s="3" t="n">
        <v>34.041</v>
      </c>
      <c r="F634" s="4" t="n">
        <v>4</v>
      </c>
      <c r="G634" t="inlineStr">
        <is>
          <t>British Columbia</t>
        </is>
      </c>
      <c r="H634" t="inlineStr">
        <is>
          <t>UBC Tennis Centre</t>
        </is>
      </c>
      <c r="I634" t="n">
        <v>32.4</v>
      </c>
      <c r="J634" s="4" t="n">
        <v>39</v>
      </c>
      <c r="K634" t="inlineStr">
        <is>
          <t>23 / 16</t>
        </is>
      </c>
      <c r="L634" t="inlineStr">
        <is>
          <t>0 / 0</t>
        </is>
      </c>
      <c r="M634" s="5" t="n">
        <v>0.59</v>
      </c>
      <c r="N634" s="5" t="n">
        <v>0</v>
      </c>
    </row>
    <row r="635">
      <c r="A635" t="n">
        <v>634</v>
      </c>
      <c r="B635" t="n">
        <v>2015</v>
      </c>
      <c r="C635" t="inlineStr">
        <is>
          <t>Olivia Mary Hipwell</t>
        </is>
      </c>
      <c r="D635">
        <f>HYPERLINK("https://ota.tournamentsoftware.com/player-profile/1595D3E6-D4CF-4ADE-B136-FD5AC473C7F7", "Link")</f>
        <v/>
      </c>
      <c r="E635" s="3" t="n">
        <v>33.917</v>
      </c>
      <c r="F635" s="4" t="n">
        <v>7</v>
      </c>
      <c r="G635" t="inlineStr">
        <is>
          <t>Ontario Tennis Association</t>
        </is>
      </c>
      <c r="H635" t="inlineStr">
        <is>
          <t>Ontario Racquet Club</t>
        </is>
      </c>
      <c r="I635" t="inlineStr">
        <is>
          <t>unavailable</t>
        </is>
      </c>
      <c r="J635" s="4" t="n">
        <v>79</v>
      </c>
      <c r="K635" t="inlineStr">
        <is>
          <t>28 / 51</t>
        </is>
      </c>
      <c r="L635" t="inlineStr">
        <is>
          <t>4 / 9</t>
        </is>
      </c>
      <c r="M635" s="5" t="n">
        <v>0.35</v>
      </c>
      <c r="N635" s="5" t="n">
        <v>0.31</v>
      </c>
    </row>
    <row r="636">
      <c r="A636" t="n">
        <v>635</v>
      </c>
      <c r="B636" t="n">
        <v>2014</v>
      </c>
      <c r="C636" t="inlineStr">
        <is>
          <t>Georgena Banquicio</t>
        </is>
      </c>
      <c r="D636">
        <f>HYPERLINK("https://ota.tournamentsoftware.com/player-profile/AB3893CF-B68D-4258-893E-E7C3FB601465", "Link")</f>
        <v/>
      </c>
      <c r="E636" s="3" t="n">
        <v>33.663</v>
      </c>
      <c r="F636" s="4" t="n">
        <v>5</v>
      </c>
      <c r="G636" t="inlineStr">
        <is>
          <t>Tennis New Brunswick</t>
        </is>
      </c>
      <c r="H636" t="inlineStr">
        <is>
          <t>Abony Family Tennis Center</t>
        </is>
      </c>
      <c r="I636" t="n">
        <v>37.4</v>
      </c>
      <c r="J636" s="4" t="n">
        <v>72</v>
      </c>
      <c r="K636" t="inlineStr">
        <is>
          <t>34 / 38</t>
        </is>
      </c>
      <c r="L636" t="inlineStr">
        <is>
          <t>2 / 6</t>
        </is>
      </c>
      <c r="M636" s="5" t="n">
        <v>0.47</v>
      </c>
      <c r="N636" s="5" t="n">
        <v>0.25</v>
      </c>
    </row>
    <row r="637">
      <c r="A637" t="n">
        <v>636</v>
      </c>
      <c r="B637" t="n">
        <v>2013</v>
      </c>
      <c r="C637" t="inlineStr">
        <is>
          <t>SOPHIA MARIA TRULESCU</t>
        </is>
      </c>
      <c r="D637">
        <f>HYPERLINK("https://ota.tournamentsoftware.com/player-profile/A41CCD9F-8BEB-4085-842F-8E5A7DA612FF", "Link")</f>
        <v/>
      </c>
      <c r="E637" s="3" t="n">
        <v>33.35</v>
      </c>
      <c r="F637" s="4" t="n">
        <v>2</v>
      </c>
      <c r="G637" t="inlineStr">
        <is>
          <t>Ontario Tennis Association</t>
        </is>
      </c>
      <c r="H637" t="inlineStr">
        <is>
          <t>Rosedale Tennis Club (Hamilton)</t>
        </is>
      </c>
      <c r="I637" t="n">
        <v>34.4</v>
      </c>
      <c r="J637" s="4" t="n">
        <v>55</v>
      </c>
      <c r="K637" t="inlineStr">
        <is>
          <t>41 / 14</t>
        </is>
      </c>
      <c r="L637" t="inlineStr">
        <is>
          <t>4 / 2</t>
        </is>
      </c>
      <c r="M637" s="5" t="n">
        <v>0.75</v>
      </c>
      <c r="N637" s="5" t="n">
        <v>0.67</v>
      </c>
    </row>
    <row r="638">
      <c r="A638" t="n">
        <v>637</v>
      </c>
      <c r="B638" t="n">
        <v>2014</v>
      </c>
      <c r="C638" t="inlineStr">
        <is>
          <t>Victoria Dorvius</t>
        </is>
      </c>
      <c r="D638">
        <f>HYPERLINK("https://ota.tournamentsoftware.com/player-profile/0742AD15-E29E-4761-9ABC-EF929E7499C5", "Link")</f>
        <v/>
      </c>
      <c r="E638" s="3" t="n">
        <v>33.305</v>
      </c>
      <c r="F638" s="4" t="n">
        <v>3</v>
      </c>
      <c r="G638" t="inlineStr">
        <is>
          <t>Tennis Québec</t>
        </is>
      </c>
      <c r="H638" t="inlineStr">
        <is>
          <t>No Club</t>
        </is>
      </c>
      <c r="I638" t="n">
        <v>40</v>
      </c>
      <c r="J638" s="4" t="n">
        <v>8</v>
      </c>
      <c r="K638" t="inlineStr">
        <is>
          <t>0 / 8</t>
        </is>
      </c>
      <c r="L638" t="inlineStr">
        <is>
          <t>0 / 3</t>
        </is>
      </c>
      <c r="M638" s="5" t="n">
        <v>0</v>
      </c>
      <c r="N638" s="5" t="n">
        <v>0</v>
      </c>
    </row>
    <row r="639">
      <c r="A639" t="n">
        <v>638</v>
      </c>
      <c r="B639" t="n">
        <v>2016</v>
      </c>
      <c r="C639" t="inlineStr">
        <is>
          <t>Eliana Gamboa Puentevella</t>
        </is>
      </c>
      <c r="D639">
        <f>HYPERLINK("https://ota.tournamentsoftware.com/player-profile/F092EBD2-5997-4E03-AED5-C7E2E614192B", "Link")</f>
        <v/>
      </c>
      <c r="E639" s="3" t="n">
        <v>32.902</v>
      </c>
      <c r="F639" s="4" t="n">
        <v>10</v>
      </c>
      <c r="G639" t="inlineStr">
        <is>
          <t>British Columbia</t>
        </is>
      </c>
      <c r="H639" t="inlineStr">
        <is>
          <t>Suncoast Racquet Club</t>
        </is>
      </c>
      <c r="I639" t="n">
        <v>37.1</v>
      </c>
      <c r="J639" s="4" t="n">
        <v>122</v>
      </c>
      <c r="K639" t="inlineStr">
        <is>
          <t>58 / 64</t>
        </is>
      </c>
      <c r="L639" t="inlineStr">
        <is>
          <t>28 / 20</t>
        </is>
      </c>
      <c r="M639" s="5" t="n">
        <v>0.48</v>
      </c>
      <c r="N639" s="5" t="n">
        <v>0.58</v>
      </c>
    </row>
    <row r="640">
      <c r="A640" t="n">
        <v>639</v>
      </c>
      <c r="B640" t="n">
        <v>2015</v>
      </c>
      <c r="C640" t="inlineStr">
        <is>
          <t>Enlin Fan</t>
        </is>
      </c>
      <c r="D640">
        <f>HYPERLINK("https://ota.tournamentsoftware.com/player-profile/0F38D490-CA76-4A12-BE87-0BAC308EDC74", "Link")</f>
        <v/>
      </c>
      <c r="E640" s="3" t="n">
        <v>32.538</v>
      </c>
      <c r="F640" s="4" t="n">
        <v>6</v>
      </c>
      <c r="G640" t="inlineStr">
        <is>
          <t>British Columbia</t>
        </is>
      </c>
      <c r="H640" t="inlineStr">
        <is>
          <t>The Tennis Centre</t>
        </is>
      </c>
      <c r="I640" t="inlineStr">
        <is>
          <t>unavailable</t>
        </is>
      </c>
      <c r="J640" s="4" t="n">
        <v>93</v>
      </c>
      <c r="K640" t="inlineStr">
        <is>
          <t>42 / 51</t>
        </is>
      </c>
      <c r="L640" t="inlineStr">
        <is>
          <t>7 / 6</t>
        </is>
      </c>
      <c r="M640" s="5" t="n">
        <v>0.45</v>
      </c>
      <c r="N640" s="5" t="n">
        <v>0.54</v>
      </c>
    </row>
    <row r="641">
      <c r="A641" t="n">
        <v>640</v>
      </c>
      <c r="B641" t="n">
        <v>2015</v>
      </c>
      <c r="C641" t="inlineStr">
        <is>
          <t>GAURI BHARDWAJ</t>
        </is>
      </c>
      <c r="D641">
        <f>HYPERLINK("https://ota.tournamentsoftware.com/player-profile/7D0915D9-E26B-4DD0-AA8A-90DD2833C0F8", "Link")</f>
        <v/>
      </c>
      <c r="E641" s="3" t="n">
        <v>32.49</v>
      </c>
      <c r="F641" s="4" t="n">
        <v>6</v>
      </c>
      <c r="G641" t="inlineStr">
        <is>
          <t>Ontario Tennis Association</t>
        </is>
      </c>
      <c r="H641" t="inlineStr">
        <is>
          <t>Premier Racquet Clubs – Mississauga</t>
        </is>
      </c>
      <c r="I641" t="n">
        <v>37.6</v>
      </c>
      <c r="J641" s="4" t="n">
        <v>105</v>
      </c>
      <c r="K641" t="inlineStr">
        <is>
          <t>38 / 67</t>
        </is>
      </c>
      <c r="L641" t="inlineStr">
        <is>
          <t>3 / 3</t>
        </is>
      </c>
      <c r="M641" s="5" t="n">
        <v>0.36</v>
      </c>
      <c r="N641" s="5" t="n">
        <v>0.5</v>
      </c>
    </row>
    <row r="642">
      <c r="A642" t="n">
        <v>641</v>
      </c>
      <c r="B642" t="n">
        <v>2012</v>
      </c>
      <c r="C642" t="inlineStr">
        <is>
          <t>Allison Wu</t>
        </is>
      </c>
      <c r="D642">
        <f>HYPERLINK("https://ota.tournamentsoftware.com/player-profile/5B6A5CCB-4E85-427C-99E0-E2078ED2493C", "Link")</f>
        <v/>
      </c>
      <c r="E642" s="3" t="n">
        <v>32.168</v>
      </c>
      <c r="F642" s="4" t="n">
        <v>4</v>
      </c>
      <c r="G642" t="inlineStr">
        <is>
          <t>British Columbia</t>
        </is>
      </c>
      <c r="H642" t="inlineStr">
        <is>
          <t>Coquitlam Tennis Club</t>
        </is>
      </c>
      <c r="I642" t="n">
        <v>39.4</v>
      </c>
      <c r="J642" s="4" t="n">
        <v>54</v>
      </c>
      <c r="K642" t="inlineStr">
        <is>
          <t>9 / 45</t>
        </is>
      </c>
      <c r="L642" t="inlineStr">
        <is>
          <t>0 / 4</t>
        </is>
      </c>
      <c r="M642" s="5" t="n">
        <v>0.17</v>
      </c>
      <c r="N642" s="5" t="n">
        <v>0</v>
      </c>
    </row>
    <row r="643">
      <c r="A643" t="n">
        <v>642</v>
      </c>
      <c r="B643" t="n">
        <v>2015</v>
      </c>
      <c r="C643" t="inlineStr">
        <is>
          <t>Piper Harrison</t>
        </is>
      </c>
      <c r="D643">
        <f>HYPERLINK("https://ota.tournamentsoftware.com/player-profile/8FD01254-4DB3-4BFF-A784-65DB87717C42", "Link")</f>
        <v/>
      </c>
      <c r="E643" s="3" t="n">
        <v>31.992</v>
      </c>
      <c r="F643" s="4" t="n">
        <v>7</v>
      </c>
      <c r="G643" t="inlineStr">
        <is>
          <t>Ontario Tennis Association</t>
        </is>
      </c>
      <c r="H643" t="inlineStr">
        <is>
          <t>Boulevard Club</t>
        </is>
      </c>
      <c r="I643" t="n">
        <v>38.6</v>
      </c>
      <c r="J643" s="4" t="n">
        <v>56</v>
      </c>
      <c r="K643" t="inlineStr">
        <is>
          <t>18 / 38</t>
        </is>
      </c>
      <c r="L643" t="inlineStr">
        <is>
          <t>6 / 10</t>
        </is>
      </c>
      <c r="M643" s="5" t="n">
        <v>0.32</v>
      </c>
      <c r="N643" s="5" t="n">
        <v>0.38</v>
      </c>
    </row>
    <row r="644">
      <c r="A644" t="n">
        <v>643</v>
      </c>
      <c r="B644" t="n">
        <v>2012</v>
      </c>
      <c r="C644" t="inlineStr">
        <is>
          <t>Rosalie Lanthier</t>
        </is>
      </c>
      <c r="D644">
        <f>HYPERLINK("https://ota.tournamentsoftware.com/player-profile/7853B67E-AF4D-4FFF-9839-6455ACC0C941", "Link")</f>
        <v/>
      </c>
      <c r="E644" s="3" t="n">
        <v>31.759</v>
      </c>
      <c r="F644" s="4" t="n">
        <v>5</v>
      </c>
      <c r="G644" t="inlineStr">
        <is>
          <t>Tennis Québec</t>
        </is>
      </c>
      <c r="H644" t="inlineStr">
        <is>
          <t>EB Tennis inc.</t>
        </is>
      </c>
      <c r="I644" t="n">
        <v>40</v>
      </c>
      <c r="J644" s="4" t="n">
        <v>15</v>
      </c>
      <c r="K644" t="inlineStr">
        <is>
          <t>1 / 14</t>
        </is>
      </c>
      <c r="L644" t="inlineStr">
        <is>
          <t>0 / 4</t>
        </is>
      </c>
      <c r="M644" s="5" t="n">
        <v>0.07000000000000001</v>
      </c>
      <c r="N644" s="5" t="n">
        <v>0</v>
      </c>
    </row>
    <row r="645">
      <c r="A645" t="n">
        <v>644</v>
      </c>
      <c r="B645" t="n">
        <v>2016</v>
      </c>
      <c r="C645" t="inlineStr">
        <is>
          <t>Talia Petrovski</t>
        </is>
      </c>
      <c r="D645">
        <f>HYPERLINK("https://ota.tournamentsoftware.com/player-profile/85787F1F-708B-4576-AEFA-F82C6105B16E", "Link")</f>
        <v/>
      </c>
      <c r="E645" s="3" t="n">
        <v>31.234</v>
      </c>
      <c r="F645" s="4" t="n">
        <v>17</v>
      </c>
      <c r="G645" t="inlineStr">
        <is>
          <t>British Columbia</t>
        </is>
      </c>
      <c r="H645" t="inlineStr">
        <is>
          <t>Tennis for Life</t>
        </is>
      </c>
      <c r="I645" t="n">
        <v>35.6</v>
      </c>
      <c r="J645" s="4" t="n">
        <v>143</v>
      </c>
      <c r="K645" t="inlineStr">
        <is>
          <t>81 / 62</t>
        </is>
      </c>
      <c r="L645" t="inlineStr">
        <is>
          <t>51 / 24</t>
        </is>
      </c>
      <c r="M645" s="5" t="n">
        <v>0.57</v>
      </c>
      <c r="N645" s="5" t="n">
        <v>0.68</v>
      </c>
    </row>
    <row r="646">
      <c r="A646" t="n">
        <v>645</v>
      </c>
      <c r="B646" t="n">
        <v>2016</v>
      </c>
      <c r="C646" t="inlineStr">
        <is>
          <t>Lily Chen</t>
        </is>
      </c>
      <c r="D646">
        <f>HYPERLINK("https://ota.tournamentsoftware.com/player-profile/A6A0EB19-7DDD-4B25-B81C-FCA911081AB5", "Link")</f>
        <v/>
      </c>
      <c r="E646" s="3" t="n">
        <v>31.117</v>
      </c>
      <c r="F646" s="4" t="n">
        <v>15</v>
      </c>
      <c r="G646" t="inlineStr">
        <is>
          <t>British Columbia</t>
        </is>
      </c>
      <c r="H646" t="inlineStr">
        <is>
          <t>No Club</t>
        </is>
      </c>
      <c r="I646" t="n">
        <v>36.2</v>
      </c>
      <c r="J646" s="4" t="n">
        <v>100</v>
      </c>
      <c r="K646" t="inlineStr">
        <is>
          <t>39 / 61</t>
        </is>
      </c>
      <c r="L646" t="inlineStr">
        <is>
          <t>12 / 18</t>
        </is>
      </c>
      <c r="M646" s="5" t="n">
        <v>0.39</v>
      </c>
      <c r="N646" s="5" t="n">
        <v>0.4</v>
      </c>
    </row>
    <row r="647">
      <c r="A647" t="n">
        <v>646</v>
      </c>
      <c r="B647" t="n">
        <v>2014</v>
      </c>
      <c r="C647" t="inlineStr">
        <is>
          <t>Mila Phoebe Madrid</t>
        </is>
      </c>
      <c r="D647">
        <f>HYPERLINK("https://ota.tournamentsoftware.com/player-profile/3994748B-2ED2-4F57-8907-B1AE9B874F9B", "Link")</f>
        <v/>
      </c>
      <c r="E647" s="3" t="n">
        <v>31.05</v>
      </c>
      <c r="F647" s="4" t="n">
        <v>3</v>
      </c>
      <c r="G647" t="inlineStr">
        <is>
          <t>Ontario Tennis Association</t>
        </is>
      </c>
      <c r="H647" t="inlineStr">
        <is>
          <t>Newmarket Winter Tennis Club</t>
        </is>
      </c>
      <c r="I647" t="n">
        <v>37.6</v>
      </c>
      <c r="J647" s="4" t="n">
        <v>47</v>
      </c>
      <c r="K647" t="inlineStr">
        <is>
          <t>17 / 30</t>
        </is>
      </c>
      <c r="L647" t="inlineStr">
        <is>
          <t>10 / 4</t>
        </is>
      </c>
      <c r="M647" s="5" t="n">
        <v>0.36</v>
      </c>
      <c r="N647" s="5" t="n">
        <v>0.71</v>
      </c>
    </row>
    <row r="648">
      <c r="A648" t="n">
        <v>647</v>
      </c>
      <c r="B648" t="n">
        <v>2014</v>
      </c>
      <c r="C648" t="inlineStr">
        <is>
          <t>Ignatia Walsh</t>
        </is>
      </c>
      <c r="D648">
        <f>HYPERLINK("https://ota.tournamentsoftware.com/player-profile/AEC8F080-693E-4608-867A-22E590A9E567", "Link")</f>
        <v/>
      </c>
      <c r="E648" s="3" t="n">
        <v>30.526</v>
      </c>
      <c r="F648" s="4" t="n">
        <v>14</v>
      </c>
      <c r="G648" t="inlineStr">
        <is>
          <t>Ontario Tennis Association</t>
        </is>
      </c>
      <c r="H648" t="inlineStr">
        <is>
          <t>Premier Racquet Clubs – Mississauga</t>
        </is>
      </c>
      <c r="I648" t="inlineStr">
        <is>
          <t>unavailable</t>
        </is>
      </c>
      <c r="J648" s="4" t="n">
        <v>53</v>
      </c>
      <c r="K648" t="inlineStr">
        <is>
          <t>13 / 40</t>
        </is>
      </c>
      <c r="L648" t="inlineStr">
        <is>
          <t>6 / 16</t>
        </is>
      </c>
      <c r="M648" s="5" t="n">
        <v>0.25</v>
      </c>
      <c r="N648" s="5" t="n">
        <v>0.27</v>
      </c>
    </row>
    <row r="649">
      <c r="A649" t="n">
        <v>648</v>
      </c>
      <c r="B649" t="n">
        <v>2015</v>
      </c>
      <c r="C649" t="inlineStr">
        <is>
          <t>Ziba Forooghian</t>
        </is>
      </c>
      <c r="D649">
        <f>HYPERLINK("https://ota.tournamentsoftware.com/player-profile/F7878057-CB20-46E1-B220-553040C8AC48", "Link")</f>
        <v/>
      </c>
      <c r="E649" s="3" t="n">
        <v>30.012</v>
      </c>
      <c r="F649" s="4" t="n">
        <v>17</v>
      </c>
      <c r="G649" t="inlineStr">
        <is>
          <t>British Columbia</t>
        </is>
      </c>
      <c r="H649" t="inlineStr">
        <is>
          <t>Arbutus Club</t>
        </is>
      </c>
      <c r="I649" t="n">
        <v>36.9</v>
      </c>
      <c r="J649" s="4" t="n">
        <v>77</v>
      </c>
      <c r="K649" t="inlineStr">
        <is>
          <t>25 / 52</t>
        </is>
      </c>
      <c r="L649" t="inlineStr">
        <is>
          <t>12 / 29</t>
        </is>
      </c>
      <c r="M649" s="5" t="n">
        <v>0.32</v>
      </c>
      <c r="N649" s="5" t="n">
        <v>0.29</v>
      </c>
    </row>
    <row r="650">
      <c r="A650" t="n">
        <v>649</v>
      </c>
      <c r="B650" t="n">
        <v>2014</v>
      </c>
      <c r="C650" t="inlineStr">
        <is>
          <t>Sophie Vivienne Ma</t>
        </is>
      </c>
      <c r="D650">
        <f>HYPERLINK("https://ota.tournamentsoftware.com/player-profile/5BFCC3E7-799D-4957-B35C-26164F771CAB", "Link")</f>
        <v/>
      </c>
      <c r="E650" s="3" t="n">
        <v>29.912</v>
      </c>
      <c r="F650" s="4" t="n">
        <v>8</v>
      </c>
      <c r="G650" t="inlineStr">
        <is>
          <t>Ontario Tennis Association</t>
        </is>
      </c>
      <c r="H650" t="inlineStr">
        <is>
          <t>NYTA Winter Tennis Club</t>
        </is>
      </c>
      <c r="I650" t="n">
        <v>39.2</v>
      </c>
      <c r="J650" s="4" t="n">
        <v>54</v>
      </c>
      <c r="K650" t="inlineStr">
        <is>
          <t>17 / 37</t>
        </is>
      </c>
      <c r="L650" t="inlineStr">
        <is>
          <t>2 / 10</t>
        </is>
      </c>
      <c r="M650" s="5" t="n">
        <v>0.31</v>
      </c>
      <c r="N650" s="5" t="n">
        <v>0.17</v>
      </c>
    </row>
    <row r="651">
      <c r="A651" t="n">
        <v>650</v>
      </c>
      <c r="B651" t="n">
        <v>2012</v>
      </c>
      <c r="C651" t="inlineStr">
        <is>
          <t>Remy Quinn Durocher</t>
        </is>
      </c>
      <c r="D651">
        <f>HYPERLINK("https://ota.tournamentsoftware.com/player-profile/64BF8C80-3EDB-464A-896D-5D47CC387451", "Link")</f>
        <v/>
      </c>
      <c r="E651" s="3" t="n">
        <v>29.376</v>
      </c>
      <c r="F651" s="4" t="n">
        <v>1</v>
      </c>
      <c r="G651" t="inlineStr">
        <is>
          <t>Tennis Prince Edward Island</t>
        </is>
      </c>
      <c r="H651" t="inlineStr">
        <is>
          <t>Stratford Tennis Club</t>
        </is>
      </c>
      <c r="I651" t="n">
        <v>40</v>
      </c>
      <c r="J651" s="4" t="n">
        <v>8</v>
      </c>
      <c r="K651" t="inlineStr">
        <is>
          <t>1 / 7</t>
        </is>
      </c>
      <c r="L651" t="inlineStr">
        <is>
          <t>0 / 2</t>
        </is>
      </c>
      <c r="M651" s="5" t="n">
        <v>0.12</v>
      </c>
      <c r="N651" s="5" t="n">
        <v>0</v>
      </c>
    </row>
    <row r="652">
      <c r="A652" t="n">
        <v>651</v>
      </c>
      <c r="B652" t="n">
        <v>2014</v>
      </c>
      <c r="C652" t="inlineStr">
        <is>
          <t>Mila Levac</t>
        </is>
      </c>
      <c r="D652">
        <f>HYPERLINK("https://ota.tournamentsoftware.com/player-profile/7F793D8E-41D7-4B70-87B7-9D30B32ED35F", "Link")</f>
        <v/>
      </c>
      <c r="E652" s="3" t="n">
        <v>29.368</v>
      </c>
      <c r="F652" s="4" t="n">
        <v>4</v>
      </c>
      <c r="G652" t="inlineStr">
        <is>
          <t>Ontario Tennis Association</t>
        </is>
      </c>
      <c r="H652" t="inlineStr">
        <is>
          <t>Rideau Sports Centre</t>
        </is>
      </c>
      <c r="I652" t="n">
        <v>39.4</v>
      </c>
      <c r="J652" s="4" t="n">
        <v>76</v>
      </c>
      <c r="K652" t="inlineStr">
        <is>
          <t>13 / 63</t>
        </is>
      </c>
      <c r="L652" t="inlineStr">
        <is>
          <t>0 / 4</t>
        </is>
      </c>
      <c r="M652" s="5" t="n">
        <v>0.17</v>
      </c>
      <c r="N652" s="5" t="n">
        <v>0</v>
      </c>
    </row>
    <row r="653">
      <c r="A653" t="n">
        <v>652</v>
      </c>
      <c r="B653" t="n">
        <v>2013</v>
      </c>
      <c r="C653" t="inlineStr">
        <is>
          <t>Brooklyn Desjardins</t>
        </is>
      </c>
      <c r="D653">
        <f>HYPERLINK("https://ota.tournamentsoftware.com/player-profile/EDCAF363-81B5-4378-83DC-E36CD3ACC539", "Link")</f>
        <v/>
      </c>
      <c r="E653" s="3" t="n">
        <v>29.163</v>
      </c>
      <c r="F653" s="4" t="n">
        <v>4</v>
      </c>
      <c r="G653" t="inlineStr">
        <is>
          <t>Tennis Québec</t>
        </is>
      </c>
      <c r="H653" t="inlineStr">
        <is>
          <t>Club Sportif Côte-de-Liesse</t>
        </is>
      </c>
      <c r="I653" t="n">
        <v>37.7</v>
      </c>
      <c r="J653" s="4" t="n">
        <v>49</v>
      </c>
      <c r="K653" t="inlineStr">
        <is>
          <t>19 / 30</t>
        </is>
      </c>
      <c r="L653" t="inlineStr">
        <is>
          <t>0 / 0</t>
        </is>
      </c>
      <c r="M653" s="5" t="n">
        <v>0.39</v>
      </c>
      <c r="N653" s="5" t="n">
        <v>0</v>
      </c>
    </row>
    <row r="654">
      <c r="A654" t="n">
        <v>653</v>
      </c>
      <c r="B654" t="n">
        <v>2016</v>
      </c>
      <c r="C654" t="inlineStr">
        <is>
          <t>Madison Dionne</t>
        </is>
      </c>
      <c r="D654">
        <f>HYPERLINK("https://ota.tournamentsoftware.com/player-profile/E7A43ABD-96E4-46C3-84A5-BAF14D846E4C", "Link")</f>
        <v/>
      </c>
      <c r="E654" s="3" t="n">
        <v>29.157</v>
      </c>
      <c r="F654" s="4" t="n">
        <v>7</v>
      </c>
      <c r="G654" t="inlineStr">
        <is>
          <t>Ontario Tennis Association</t>
        </is>
      </c>
      <c r="H654" t="inlineStr">
        <is>
          <t>Ontario Racquet Club</t>
        </is>
      </c>
      <c r="I654" t="n">
        <v>37.3</v>
      </c>
      <c r="J654" s="4" t="n">
        <v>98</v>
      </c>
      <c r="K654" t="inlineStr">
        <is>
          <t>31 / 67</t>
        </is>
      </c>
      <c r="L654" t="inlineStr">
        <is>
          <t>15 / 13</t>
        </is>
      </c>
      <c r="M654" s="5" t="n">
        <v>0.32</v>
      </c>
      <c r="N654" s="5" t="n">
        <v>0.54</v>
      </c>
    </row>
    <row r="655">
      <c r="A655" t="n">
        <v>654</v>
      </c>
      <c r="B655" t="n">
        <v>2015</v>
      </c>
      <c r="C655" t="inlineStr">
        <is>
          <t>Iris RuiYing Cen</t>
        </is>
      </c>
      <c r="D655">
        <f>HYPERLINK("https://ota.tournamentsoftware.com/player-profile/D53FD847-C5AE-41A6-BFB8-EE8B251EDFBF", "Link")</f>
        <v/>
      </c>
      <c r="E655" s="3" t="n">
        <v>29.111</v>
      </c>
      <c r="F655" s="4" t="n">
        <v>7</v>
      </c>
      <c r="G655" t="inlineStr">
        <is>
          <t>Ontario Tennis Association</t>
        </is>
      </c>
      <c r="H655" t="inlineStr">
        <is>
          <t>Meadowvale West Tennis Club</t>
        </is>
      </c>
      <c r="I655" t="n">
        <v>38.1</v>
      </c>
      <c r="J655" s="4" t="n">
        <v>77</v>
      </c>
      <c r="K655" t="inlineStr">
        <is>
          <t>20 / 57</t>
        </is>
      </c>
      <c r="L655" t="inlineStr">
        <is>
          <t>2 / 4</t>
        </is>
      </c>
      <c r="M655" s="5" t="n">
        <v>0.26</v>
      </c>
      <c r="N655" s="5" t="n">
        <v>0.33</v>
      </c>
    </row>
    <row r="656">
      <c r="A656" t="n">
        <v>655</v>
      </c>
      <c r="B656" t="n">
        <v>2014</v>
      </c>
      <c r="C656" t="inlineStr">
        <is>
          <t>Mila Khayretdinova</t>
        </is>
      </c>
      <c r="D656">
        <f>HYPERLINK("https://ota.tournamentsoftware.com/player-profile/04DE0A72-CDB6-4637-88E8-378348327654", "Link")</f>
        <v/>
      </c>
      <c r="E656" s="3" t="n">
        <v>28.855</v>
      </c>
      <c r="F656" s="4" t="n">
        <v>7</v>
      </c>
      <c r="G656" t="inlineStr">
        <is>
          <t>Tennis Québec</t>
        </is>
      </c>
      <c r="H656" t="inlineStr">
        <is>
          <t>No Club</t>
        </is>
      </c>
      <c r="I656" t="n">
        <v>39.1</v>
      </c>
      <c r="J656" s="4" t="n">
        <v>41</v>
      </c>
      <c r="K656" t="inlineStr">
        <is>
          <t>3 / 38</t>
        </is>
      </c>
      <c r="L656" t="inlineStr">
        <is>
          <t>3 / 6</t>
        </is>
      </c>
      <c r="M656" s="5" t="n">
        <v>0.07000000000000001</v>
      </c>
      <c r="N656" s="5" t="n">
        <v>0.33</v>
      </c>
    </row>
    <row r="657">
      <c r="A657" t="n">
        <v>656</v>
      </c>
      <c r="B657" t="n">
        <v>2015</v>
      </c>
      <c r="C657" t="inlineStr">
        <is>
          <t>Asena Kiamil</t>
        </is>
      </c>
      <c r="D657">
        <f>HYPERLINK("https://ota.tournamentsoftware.com/player-profile/E9A72281-6B76-4B36-9040-E802436447FA", "Link")</f>
        <v/>
      </c>
      <c r="E657" s="3" t="n">
        <v>28.824</v>
      </c>
      <c r="F657" s="4" t="n">
        <v>6</v>
      </c>
      <c r="G657" t="inlineStr">
        <is>
          <t>Ontario Tennis Association</t>
        </is>
      </c>
      <c r="H657" t="inlineStr">
        <is>
          <t>Royal City Tennis Club</t>
        </is>
      </c>
      <c r="I657" t="n">
        <v>37.8</v>
      </c>
      <c r="J657" s="4" t="n">
        <v>86</v>
      </c>
      <c r="K657" t="inlineStr">
        <is>
          <t>46 / 40</t>
        </is>
      </c>
      <c r="L657" t="inlineStr">
        <is>
          <t>4 / 6</t>
        </is>
      </c>
      <c r="M657" s="5" t="n">
        <v>0.53</v>
      </c>
      <c r="N657" s="5" t="n">
        <v>0.4</v>
      </c>
    </row>
    <row r="658">
      <c r="A658" t="n">
        <v>657</v>
      </c>
      <c r="B658" t="n">
        <v>2016</v>
      </c>
      <c r="C658" t="inlineStr">
        <is>
          <t>Stella Somerville</t>
        </is>
      </c>
      <c r="D658">
        <f>HYPERLINK("https://ota.tournamentsoftware.com/player-profile/87C92774-21A4-4A46-97F9-D656FA91A212", "Link")</f>
        <v/>
      </c>
      <c r="E658" s="3" t="n">
        <v>28.8</v>
      </c>
      <c r="F658" s="4" t="n">
        <v>5</v>
      </c>
      <c r="G658" t="inlineStr">
        <is>
          <t>Ontario Tennis Association</t>
        </is>
      </c>
      <c r="H658" t="inlineStr">
        <is>
          <t>Advantage Tennis International at Veneto</t>
        </is>
      </c>
      <c r="I658" t="n">
        <v>37.3</v>
      </c>
      <c r="J658" s="4" t="n">
        <v>85</v>
      </c>
      <c r="K658" t="inlineStr">
        <is>
          <t>39 / 46</t>
        </is>
      </c>
      <c r="L658" t="inlineStr">
        <is>
          <t>8 / 8</t>
        </is>
      </c>
      <c r="M658" s="5" t="n">
        <v>0.46</v>
      </c>
      <c r="N658" s="5" t="n">
        <v>0.5</v>
      </c>
    </row>
    <row r="659">
      <c r="A659" t="n">
        <v>658</v>
      </c>
      <c r="B659" t="n">
        <v>2013</v>
      </c>
      <c r="C659" t="inlineStr">
        <is>
          <t>TIFFANY ZHENG</t>
        </is>
      </c>
      <c r="D659">
        <f>HYPERLINK("https://ota.tournamentsoftware.com/player-profile/59B34621-D499-450A-BDB3-B38C363BEAD1", "Link")</f>
        <v/>
      </c>
      <c r="E659" s="3" t="n">
        <v>28.481</v>
      </c>
      <c r="F659" s="4" t="n">
        <v>1</v>
      </c>
      <c r="G659" t="inlineStr">
        <is>
          <t>Ontario Tennis Association</t>
        </is>
      </c>
      <c r="H659" t="inlineStr">
        <is>
          <t>Carleton Tennis Centre</t>
        </is>
      </c>
      <c r="I659" t="n">
        <v>34</v>
      </c>
      <c r="J659" s="4" t="n">
        <v>1</v>
      </c>
      <c r="K659" t="inlineStr">
        <is>
          <t>1 / 0</t>
        </is>
      </c>
      <c r="L659" t="inlineStr">
        <is>
          <t>1 / 0</t>
        </is>
      </c>
      <c r="M659" s="5" t="n">
        <v>1</v>
      </c>
      <c r="N659" s="5" t="n">
        <v>1</v>
      </c>
    </row>
    <row r="660">
      <c r="A660" t="n">
        <v>659</v>
      </c>
      <c r="B660" t="n">
        <v>2013</v>
      </c>
      <c r="C660" t="inlineStr">
        <is>
          <t>Meryem Besri Besri</t>
        </is>
      </c>
      <c r="D660">
        <f>HYPERLINK("https://ota.tournamentsoftware.com/player-profile/24E638E5-93ED-46F3-95E6-F944EA4EAAE7", "Link")</f>
        <v/>
      </c>
      <c r="E660" s="3" t="n">
        <v>28.425</v>
      </c>
      <c r="F660" s="4" t="n">
        <v>3</v>
      </c>
      <c r="G660" t="inlineStr">
        <is>
          <t>Tennis Alberta</t>
        </is>
      </c>
      <c r="H660" t="inlineStr">
        <is>
          <t>Calgary - Public</t>
        </is>
      </c>
      <c r="I660" t="n">
        <v>31.9</v>
      </c>
      <c r="J660" s="4" t="n">
        <v>6</v>
      </c>
      <c r="K660" t="inlineStr">
        <is>
          <t>3 / 3</t>
        </is>
      </c>
      <c r="L660" t="inlineStr">
        <is>
          <t>3 / 3</t>
        </is>
      </c>
      <c r="M660" s="5" t="n">
        <v>0.5</v>
      </c>
      <c r="N660" s="5" t="n">
        <v>0.5</v>
      </c>
    </row>
    <row r="661">
      <c r="A661" t="n">
        <v>660</v>
      </c>
      <c r="B661" t="n">
        <v>2016</v>
      </c>
      <c r="C661" t="inlineStr">
        <is>
          <t>Flora Ziyue Wang</t>
        </is>
      </c>
      <c r="D661">
        <f>HYPERLINK("https://ota.tournamentsoftware.com/player-profile/65435931-BBD0-46BD-839E-4188787640BE", "Link")</f>
        <v/>
      </c>
      <c r="E661" s="3" t="n">
        <v>28.368</v>
      </c>
      <c r="F661" s="4" t="n">
        <v>6</v>
      </c>
      <c r="G661" t="inlineStr">
        <is>
          <t>Ontario Tennis Association</t>
        </is>
      </c>
      <c r="H661" t="inlineStr">
        <is>
          <t>Unionville Tennis Club</t>
        </is>
      </c>
      <c r="I661" t="n">
        <v>35.1</v>
      </c>
      <c r="J661" s="4" t="n">
        <v>81</v>
      </c>
      <c r="K661" t="inlineStr">
        <is>
          <t>42 / 39</t>
        </is>
      </c>
      <c r="L661" t="inlineStr">
        <is>
          <t>15 / 8</t>
        </is>
      </c>
      <c r="M661" s="5" t="n">
        <v>0.52</v>
      </c>
      <c r="N661" s="5" t="n">
        <v>0.65</v>
      </c>
    </row>
    <row r="662">
      <c r="A662" t="n">
        <v>661</v>
      </c>
      <c r="B662" t="n">
        <v>2016</v>
      </c>
      <c r="C662" t="inlineStr">
        <is>
          <t>Ama Marie Elvira Kouadio</t>
        </is>
      </c>
      <c r="D662">
        <f>HYPERLINK("https://ota.tournamentsoftware.com/player-profile/25362040-6649-44FF-A97B-DDFA8FFF0B73", "Link")</f>
        <v/>
      </c>
      <c r="E662" s="3" t="n">
        <v>27.991</v>
      </c>
      <c r="F662" s="4" t="n">
        <v>3</v>
      </c>
      <c r="G662" t="inlineStr">
        <is>
          <t>Tennis Québec</t>
        </is>
      </c>
      <c r="H662" t="inlineStr">
        <is>
          <t>Carrefour Multisports</t>
        </is>
      </c>
      <c r="I662" t="n">
        <v>34.4</v>
      </c>
      <c r="J662" s="4" t="n">
        <v>65</v>
      </c>
      <c r="K662" t="inlineStr">
        <is>
          <t>41 / 24</t>
        </is>
      </c>
      <c r="L662" t="inlineStr">
        <is>
          <t>5 / 4</t>
        </is>
      </c>
      <c r="M662" s="5" t="n">
        <v>0.63</v>
      </c>
      <c r="N662" s="5" t="n">
        <v>0.5600000000000001</v>
      </c>
    </row>
    <row r="663">
      <c r="A663" t="n">
        <v>662</v>
      </c>
      <c r="B663" t="n">
        <v>2013</v>
      </c>
      <c r="C663" t="inlineStr">
        <is>
          <t>Phoebe Xu</t>
        </is>
      </c>
      <c r="D663">
        <f>HYPERLINK("https://ota.tournamentsoftware.com/player-profile/278C7B40-F6F9-4402-A8BF-F8069FAF9612", "Link")</f>
        <v/>
      </c>
      <c r="E663" s="3" t="n">
        <v>27.864</v>
      </c>
      <c r="F663" s="4" t="n">
        <v>2</v>
      </c>
      <c r="G663" t="inlineStr">
        <is>
          <t>Ontario Tennis Association</t>
        </is>
      </c>
      <c r="H663" t="inlineStr">
        <is>
          <t>Sandy Beach Tennis Club</t>
        </is>
      </c>
      <c r="I663" t="n">
        <v>32</v>
      </c>
      <c r="J663" s="4" t="n">
        <v>89</v>
      </c>
      <c r="K663" t="inlineStr">
        <is>
          <t>50 / 39</t>
        </is>
      </c>
      <c r="L663" t="inlineStr">
        <is>
          <t>1 / 1</t>
        </is>
      </c>
      <c r="M663" s="5" t="n">
        <v>0.5600000000000001</v>
      </c>
      <c r="N663" s="5" t="n">
        <v>0.5</v>
      </c>
    </row>
    <row r="664">
      <c r="A664" t="n">
        <v>663</v>
      </c>
      <c r="B664" t="n">
        <v>2015</v>
      </c>
      <c r="C664" t="inlineStr">
        <is>
          <t>Parine Jani</t>
        </is>
      </c>
      <c r="D664">
        <f>HYPERLINK("https://ota.tournamentsoftware.com/player-profile/DEF6C92A-14C0-4DEB-A4E3-22B40C75E14A", "Link")</f>
        <v/>
      </c>
      <c r="E664" s="3" t="n">
        <v>27.46</v>
      </c>
      <c r="F664" s="4" t="n">
        <v>4</v>
      </c>
      <c r="G664" t="inlineStr">
        <is>
          <t>Ontario Tennis Association</t>
        </is>
      </c>
      <c r="H664" t="inlineStr">
        <is>
          <t>Unionville Tennis Club</t>
        </is>
      </c>
      <c r="I664" t="n">
        <v>40</v>
      </c>
      <c r="J664" s="4" t="n">
        <v>42</v>
      </c>
      <c r="K664" t="inlineStr">
        <is>
          <t>7 / 35</t>
        </is>
      </c>
      <c r="L664" t="inlineStr">
        <is>
          <t>1 / 10</t>
        </is>
      </c>
      <c r="M664" s="5" t="n">
        <v>0.17</v>
      </c>
      <c r="N664" s="5" t="n">
        <v>0.09</v>
      </c>
    </row>
    <row r="665">
      <c r="A665" t="n">
        <v>664</v>
      </c>
      <c r="B665" t="n">
        <v>2012</v>
      </c>
      <c r="C665" t="inlineStr">
        <is>
          <t>Emma Gao</t>
        </is>
      </c>
      <c r="D665">
        <f>HYPERLINK("https://ota.tournamentsoftware.com/player-profile/C88BC343-3DFB-493C-85F2-14F8A90F6D68", "Link")</f>
        <v/>
      </c>
      <c r="E665" s="3" t="n">
        <v>27.439</v>
      </c>
      <c r="F665" s="4" t="n">
        <v>3</v>
      </c>
      <c r="G665" t="inlineStr">
        <is>
          <t>British Columbia</t>
        </is>
      </c>
      <c r="H665" t="inlineStr">
        <is>
          <t>Tennis for Life</t>
        </is>
      </c>
      <c r="I665" t="inlineStr">
        <is>
          <t>unavailable</t>
        </is>
      </c>
      <c r="J665" s="4" t="n">
        <v>33</v>
      </c>
      <c r="K665" t="inlineStr">
        <is>
          <t>9 / 24</t>
        </is>
      </c>
      <c r="L665" t="inlineStr">
        <is>
          <t>0 / 5</t>
        </is>
      </c>
      <c r="M665" s="5" t="n">
        <v>0.27</v>
      </c>
      <c r="N665" s="5" t="n">
        <v>0</v>
      </c>
    </row>
    <row r="666">
      <c r="A666" t="n">
        <v>665</v>
      </c>
      <c r="B666" t="n">
        <v>2012</v>
      </c>
      <c r="C666" t="inlineStr">
        <is>
          <t>Adelaide Morgan</t>
        </is>
      </c>
      <c r="D666">
        <f>HYPERLINK("https://ota.tournamentsoftware.com/player-profile/349677AB-87B2-407B-BDFF-04EE8550EE87", "Link")</f>
        <v/>
      </c>
      <c r="E666" s="3" t="n">
        <v>27.259</v>
      </c>
      <c r="F666" s="4" t="n">
        <v>2</v>
      </c>
      <c r="G666" t="inlineStr">
        <is>
          <t>Ontario Tennis Association</t>
        </is>
      </c>
      <c r="H666" t="inlineStr">
        <is>
          <t>Eglinton Flats Winter Tennis Club</t>
        </is>
      </c>
      <c r="I666" t="inlineStr">
        <is>
          <t>unavailable</t>
        </is>
      </c>
      <c r="J666" s="4" t="n">
        <v>15</v>
      </c>
      <c r="K666" t="inlineStr">
        <is>
          <t>5 / 10</t>
        </is>
      </c>
      <c r="L666" t="inlineStr">
        <is>
          <t>0 / 4</t>
        </is>
      </c>
      <c r="M666" s="5" t="n">
        <v>0.33</v>
      </c>
      <c r="N666" s="5" t="n">
        <v>0</v>
      </c>
    </row>
    <row r="667">
      <c r="A667" t="n">
        <v>666</v>
      </c>
      <c r="B667" t="n">
        <v>2012</v>
      </c>
      <c r="C667" t="inlineStr">
        <is>
          <t>Tallulah Oakes</t>
        </is>
      </c>
      <c r="D667">
        <f>HYPERLINK("https://ota.tournamentsoftware.com/player-profile/B5372F0A-C15A-4DDD-A97C-9E3BACE4A05E", "Link")</f>
        <v/>
      </c>
      <c r="E667" s="3" t="n">
        <v>26.613</v>
      </c>
      <c r="F667" s="4" t="n">
        <v>2</v>
      </c>
      <c r="G667" t="inlineStr">
        <is>
          <t>British Columbia</t>
        </is>
      </c>
      <c r="H667" t="inlineStr">
        <is>
          <t>Hollyburn Country Club</t>
        </is>
      </c>
      <c r="I667" t="n">
        <v>35.3</v>
      </c>
      <c r="J667" s="4" t="n">
        <v>72</v>
      </c>
      <c r="K667" t="inlineStr">
        <is>
          <t>27 / 45</t>
        </is>
      </c>
      <c r="L667" t="inlineStr">
        <is>
          <t>1 / 2</t>
        </is>
      </c>
      <c r="M667" s="5" t="n">
        <v>0.38</v>
      </c>
      <c r="N667" s="5" t="n">
        <v>0.33</v>
      </c>
    </row>
    <row r="668">
      <c r="A668" t="n">
        <v>667</v>
      </c>
      <c r="B668" t="n">
        <v>2012</v>
      </c>
      <c r="C668" t="inlineStr">
        <is>
          <t>Kira Karstoff</t>
        </is>
      </c>
      <c r="D668">
        <f>HYPERLINK("https://ota.tournamentsoftware.com/player-profile/1755679B-A50B-4F8F-B603-0578043F7638", "Link")</f>
        <v/>
      </c>
      <c r="E668" s="3" t="n">
        <v>26.611</v>
      </c>
      <c r="F668" s="4" t="n">
        <v>2</v>
      </c>
      <c r="G668" t="inlineStr">
        <is>
          <t>Ontario Tennis Association</t>
        </is>
      </c>
      <c r="H668" t="inlineStr">
        <is>
          <t>Toronto Cricket Skating &amp; Curling</t>
        </is>
      </c>
      <c r="I668" t="inlineStr">
        <is>
          <t>unavailable</t>
        </is>
      </c>
      <c r="J668" s="4" t="n">
        <v>48</v>
      </c>
      <c r="K668" t="inlineStr">
        <is>
          <t>21 / 27</t>
        </is>
      </c>
      <c r="L668" t="inlineStr">
        <is>
          <t>2 / 4</t>
        </is>
      </c>
      <c r="M668" s="5" t="n">
        <v>0.44</v>
      </c>
      <c r="N668" s="5" t="n">
        <v>0.33</v>
      </c>
    </row>
    <row r="669">
      <c r="A669" t="n">
        <v>668</v>
      </c>
      <c r="B669" t="n">
        <v>2013</v>
      </c>
      <c r="C669" t="inlineStr">
        <is>
          <t>Mayssa Maddouri</t>
        </is>
      </c>
      <c r="D669">
        <f>HYPERLINK("https://ota.tournamentsoftware.com/player-profile/911D4DB6-C985-4A43-8264-359A0386F2C5", "Link")</f>
        <v/>
      </c>
      <c r="E669" s="3" t="n">
        <v>26.568</v>
      </c>
      <c r="F669" s="4" t="n">
        <v>2</v>
      </c>
      <c r="G669" t="inlineStr">
        <is>
          <t>Tennis Québec</t>
        </is>
      </c>
      <c r="H669" t="inlineStr">
        <is>
          <t>EB Tennis inc.</t>
        </is>
      </c>
      <c r="I669" t="inlineStr">
        <is>
          <t>unavailable</t>
        </is>
      </c>
      <c r="J669" s="4" t="n">
        <v>3</v>
      </c>
      <c r="K669" t="inlineStr">
        <is>
          <t>0 / 3</t>
        </is>
      </c>
      <c r="L669" t="inlineStr">
        <is>
          <t>0 / 3</t>
        </is>
      </c>
      <c r="M669" s="5" t="n">
        <v>0</v>
      </c>
      <c r="N669" s="5" t="n">
        <v>0</v>
      </c>
    </row>
    <row r="670">
      <c r="A670" t="n">
        <v>669</v>
      </c>
      <c r="B670" t="n">
        <v>2012</v>
      </c>
      <c r="C670" t="inlineStr">
        <is>
          <t>Juanita Valeria Ruiz</t>
        </is>
      </c>
      <c r="D670">
        <f>HYPERLINK("https://ota.tournamentsoftware.com/player-profile/60CB93B1-F620-4737-8F49-B06F794F4103", "Link")</f>
        <v/>
      </c>
      <c r="E670" s="3" t="n">
        <v>26.426</v>
      </c>
      <c r="F670" s="4" t="n">
        <v>2</v>
      </c>
      <c r="G670" t="inlineStr">
        <is>
          <t>Ontario Tennis Association</t>
        </is>
      </c>
      <c r="H670" t="inlineStr">
        <is>
          <t>No Club</t>
        </is>
      </c>
      <c r="I670" t="inlineStr">
        <is>
          <t>unavailable</t>
        </is>
      </c>
      <c r="J670" s="4" t="n">
        <v>69</v>
      </c>
      <c r="K670" t="inlineStr">
        <is>
          <t>26 / 43</t>
        </is>
      </c>
      <c r="L670" t="inlineStr">
        <is>
          <t>0 / 0</t>
        </is>
      </c>
      <c r="M670" s="5" t="n">
        <v>0.38</v>
      </c>
      <c r="N670" s="5" t="n">
        <v>0</v>
      </c>
    </row>
    <row r="671">
      <c r="A671" t="n">
        <v>670</v>
      </c>
      <c r="B671" t="n">
        <v>2012</v>
      </c>
      <c r="C671" t="inlineStr">
        <is>
          <t>Erica Amy Els</t>
        </is>
      </c>
      <c r="D671">
        <f>HYPERLINK("https://ota.tournamentsoftware.com/player-profile/2D6CC49A-BAE5-4768-9244-8FB4F1D2CABC", "Link")</f>
        <v/>
      </c>
      <c r="E671" s="3" t="n">
        <v>26.417</v>
      </c>
      <c r="F671" s="4" t="n">
        <v>5</v>
      </c>
      <c r="G671" t="inlineStr">
        <is>
          <t>Tennis Alberta</t>
        </is>
      </c>
      <c r="H671" t="inlineStr">
        <is>
          <t>No Club</t>
        </is>
      </c>
      <c r="I671" t="n">
        <v>39.2</v>
      </c>
      <c r="J671" s="4" t="n">
        <v>9</v>
      </c>
      <c r="K671" t="inlineStr">
        <is>
          <t>1 / 8</t>
        </is>
      </c>
      <c r="L671" t="inlineStr">
        <is>
          <t>1 / 8</t>
        </is>
      </c>
      <c r="M671" s="5" t="n">
        <v>0.11</v>
      </c>
      <c r="N671" s="5" t="n">
        <v>0.11</v>
      </c>
    </row>
    <row r="672">
      <c r="A672" t="n">
        <v>671</v>
      </c>
      <c r="B672" t="n">
        <v>2014</v>
      </c>
      <c r="C672" t="inlineStr">
        <is>
          <t>Audrey Lu</t>
        </is>
      </c>
      <c r="D672">
        <f>HYPERLINK("https://ota.tournamentsoftware.com/player-profile/01588371-7322-467B-AA75-DDD8230D1899", "Link")</f>
        <v/>
      </c>
      <c r="E672" s="3" t="n">
        <v>26.154</v>
      </c>
      <c r="F672" s="4" t="n">
        <v>6</v>
      </c>
      <c r="G672" t="inlineStr">
        <is>
          <t>Ontario Tennis Association</t>
        </is>
      </c>
      <c r="H672" t="inlineStr">
        <is>
          <t>Toronto Cricket Skating &amp; Curling</t>
        </is>
      </c>
      <c r="I672" t="inlineStr">
        <is>
          <t>unavailable</t>
        </is>
      </c>
      <c r="J672" s="4" t="n">
        <v>24</v>
      </c>
      <c r="K672" t="inlineStr">
        <is>
          <t>10 / 14</t>
        </is>
      </c>
      <c r="L672" t="inlineStr">
        <is>
          <t>10 / 11</t>
        </is>
      </c>
      <c r="M672" s="5" t="n">
        <v>0.42</v>
      </c>
      <c r="N672" s="5" t="n">
        <v>0.48</v>
      </c>
    </row>
    <row r="673">
      <c r="A673" t="n">
        <v>672</v>
      </c>
      <c r="B673" t="n">
        <v>2017</v>
      </c>
      <c r="C673" t="inlineStr">
        <is>
          <t>Anastasia Savtchenko</t>
        </is>
      </c>
      <c r="D673">
        <f>HYPERLINK("https://ota.tournamentsoftware.com/player-profile/FF881545-63C4-4D7F-B9E4-0A8D65FB9607", "Link")</f>
        <v/>
      </c>
      <c r="E673" s="3" t="n">
        <v>25.92</v>
      </c>
      <c r="F673" s="4" t="n">
        <v>5</v>
      </c>
      <c r="G673" t="inlineStr">
        <is>
          <t>Ontario Tennis Association</t>
        </is>
      </c>
      <c r="H673" t="inlineStr">
        <is>
          <t>Valan Tennis Academy</t>
        </is>
      </c>
      <c r="I673" t="inlineStr">
        <is>
          <t>unavailable</t>
        </is>
      </c>
      <c r="J673" s="4" t="n">
        <v>91</v>
      </c>
      <c r="K673" t="inlineStr">
        <is>
          <t>51 / 40</t>
        </is>
      </c>
      <c r="L673" t="inlineStr">
        <is>
          <t>15 / 11</t>
        </is>
      </c>
      <c r="M673" s="5" t="n">
        <v>0.5600000000000001</v>
      </c>
      <c r="N673" s="5" t="n">
        <v>0.58</v>
      </c>
    </row>
    <row r="674">
      <c r="A674" t="n">
        <v>673</v>
      </c>
      <c r="B674" t="n">
        <v>2015</v>
      </c>
      <c r="C674" t="inlineStr">
        <is>
          <t>Charlotte Harvey</t>
        </is>
      </c>
      <c r="D674">
        <f>HYPERLINK("https://ota.tournamentsoftware.com/player-profile/222A5F1C-DAD0-4E2A-B035-6A15561C1E0A", "Link")</f>
        <v/>
      </c>
      <c r="E674" s="3" t="n">
        <v>25.848</v>
      </c>
      <c r="F674" s="4" t="n">
        <v>3</v>
      </c>
      <c r="G674" t="inlineStr">
        <is>
          <t>Tennis Québec</t>
        </is>
      </c>
      <c r="H674" t="inlineStr">
        <is>
          <t>Les Tennis de Rimouski (intérieur)</t>
        </is>
      </c>
      <c r="I674" t="n">
        <v>36.5</v>
      </c>
      <c r="J674" s="4" t="n">
        <v>11</v>
      </c>
      <c r="K674" t="inlineStr">
        <is>
          <t>6 / 5</t>
        </is>
      </c>
      <c r="L674" t="inlineStr">
        <is>
          <t>4 / 4</t>
        </is>
      </c>
      <c r="M674" s="5" t="n">
        <v>0.55</v>
      </c>
      <c r="N674" s="5" t="n">
        <v>0.5</v>
      </c>
    </row>
    <row r="675">
      <c r="A675" t="n">
        <v>674</v>
      </c>
      <c r="B675" t="n">
        <v>2015</v>
      </c>
      <c r="C675" t="inlineStr">
        <is>
          <t>Isadora Xu</t>
        </is>
      </c>
      <c r="D675">
        <f>HYPERLINK("https://ota.tournamentsoftware.com/player-profile/78173253-32AB-4E0D-8618-AEF874C973EC", "Link")</f>
        <v/>
      </c>
      <c r="E675" s="3" t="n">
        <v>25.746</v>
      </c>
      <c r="F675" s="4" t="n">
        <v>11</v>
      </c>
      <c r="G675" t="inlineStr">
        <is>
          <t>British Columbia</t>
        </is>
      </c>
      <c r="H675" t="inlineStr">
        <is>
          <t>Arbutus Club</t>
        </is>
      </c>
      <c r="I675" t="n">
        <v>39.3</v>
      </c>
      <c r="J675" s="4" t="n">
        <v>46</v>
      </c>
      <c r="K675" t="inlineStr">
        <is>
          <t>19 / 27</t>
        </is>
      </c>
      <c r="L675" t="inlineStr">
        <is>
          <t>15 / 21</t>
        </is>
      </c>
      <c r="M675" s="5" t="n">
        <v>0.41</v>
      </c>
      <c r="N675" s="5" t="n">
        <v>0.42</v>
      </c>
    </row>
    <row r="676">
      <c r="A676" t="n">
        <v>675</v>
      </c>
      <c r="B676" t="n">
        <v>2012</v>
      </c>
      <c r="C676" t="inlineStr">
        <is>
          <t>Harper Van Beveren</t>
        </is>
      </c>
      <c r="D676">
        <f>HYPERLINK("https://ota.tournamentsoftware.com/player-profile/5981FBA6-1FF9-4CF8-8DE2-DDB8BFEA4094", "Link")</f>
        <v/>
      </c>
      <c r="E676" s="3" t="n">
        <v>25.531</v>
      </c>
      <c r="F676" s="4" t="n">
        <v>2</v>
      </c>
      <c r="G676" t="inlineStr">
        <is>
          <t>Ontario Tennis Association</t>
        </is>
      </c>
      <c r="H676" t="inlineStr">
        <is>
          <t>Rosedale Tennis Club (Hamilton)</t>
        </is>
      </c>
      <c r="I676" t="inlineStr">
        <is>
          <t>unavailable</t>
        </is>
      </c>
      <c r="J676" s="4" t="n">
        <v>16</v>
      </c>
      <c r="K676" t="inlineStr">
        <is>
          <t>5 / 11</t>
        </is>
      </c>
      <c r="L676" t="inlineStr">
        <is>
          <t>1 / 1</t>
        </is>
      </c>
      <c r="M676" s="5" t="n">
        <v>0.31</v>
      </c>
      <c r="N676" s="5" t="n">
        <v>0.5</v>
      </c>
    </row>
    <row r="677">
      <c r="A677" t="n">
        <v>676</v>
      </c>
      <c r="B677" t="n">
        <v>2013</v>
      </c>
      <c r="C677" t="inlineStr">
        <is>
          <t>Robin Lee</t>
        </is>
      </c>
      <c r="D677">
        <f>HYPERLINK("https://ota.tournamentsoftware.com/player-profile/0DB12770-F2FF-469C-87ED-5B5A242C6A08", "Link")</f>
        <v/>
      </c>
      <c r="E677" s="3" t="n">
        <v>25.431</v>
      </c>
      <c r="F677" s="4" t="n">
        <v>5</v>
      </c>
      <c r="G677" t="inlineStr">
        <is>
          <t>Ontario Tennis Association</t>
        </is>
      </c>
      <c r="H677" t="inlineStr">
        <is>
          <t>No Club</t>
        </is>
      </c>
      <c r="I677" t="n">
        <v>39.2</v>
      </c>
      <c r="J677" s="4" t="n">
        <v>58</v>
      </c>
      <c r="K677" t="inlineStr">
        <is>
          <t>11 / 47</t>
        </is>
      </c>
      <c r="L677" t="inlineStr">
        <is>
          <t>0 / 0</t>
        </is>
      </c>
      <c r="M677" s="5" t="n">
        <v>0.19</v>
      </c>
      <c r="N677" s="5" t="n">
        <v>0</v>
      </c>
    </row>
    <row r="678">
      <c r="A678" t="n">
        <v>677</v>
      </c>
      <c r="B678" t="n">
        <v>2014</v>
      </c>
      <c r="C678" t="inlineStr">
        <is>
          <t>kunyou Guan</t>
        </is>
      </c>
      <c r="D678">
        <f>HYPERLINK("https://ota.tournamentsoftware.com/player-profile/1F3E9C6C-8AD9-4B0B-B88C-410B372DBAF5", "Link")</f>
        <v/>
      </c>
      <c r="E678" s="3" t="n">
        <v>25.267</v>
      </c>
      <c r="F678" s="4" t="n">
        <v>6</v>
      </c>
      <c r="G678" t="inlineStr">
        <is>
          <t>Ontario Tennis Association</t>
        </is>
      </c>
      <c r="H678" t="inlineStr">
        <is>
          <t>Mayfair West Fitness &amp; Racquet Club</t>
        </is>
      </c>
      <c r="I678" t="n">
        <v>37.7</v>
      </c>
      <c r="J678" s="4" t="n">
        <v>36</v>
      </c>
      <c r="K678" t="inlineStr">
        <is>
          <t>18 / 18</t>
        </is>
      </c>
      <c r="L678" t="inlineStr">
        <is>
          <t>5 / 7</t>
        </is>
      </c>
      <c r="M678" s="5" t="n">
        <v>0.5</v>
      </c>
      <c r="N678" s="5" t="n">
        <v>0.42</v>
      </c>
    </row>
    <row r="679">
      <c r="A679" t="n">
        <v>678</v>
      </c>
      <c r="B679" t="n">
        <v>2014</v>
      </c>
      <c r="C679" t="inlineStr">
        <is>
          <t>Mia Krusarovski</t>
        </is>
      </c>
      <c r="D679">
        <f>HYPERLINK("https://ota.tournamentsoftware.com/player-profile/BE8F67EB-3C85-4EE8-8915-58C34DCD86C7", "Link")</f>
        <v/>
      </c>
      <c r="E679" s="3" t="n">
        <v>25.17</v>
      </c>
      <c r="F679" s="4" t="n">
        <v>3</v>
      </c>
      <c r="G679" t="inlineStr">
        <is>
          <t>Ontario Tennis Association</t>
        </is>
      </c>
      <c r="H679" t="inlineStr">
        <is>
          <t>Zekelman Tennis Centre</t>
        </is>
      </c>
      <c r="I679" t="n">
        <v>34.8</v>
      </c>
      <c r="J679" s="4" t="n">
        <v>16</v>
      </c>
      <c r="K679" t="inlineStr">
        <is>
          <t>5 / 11</t>
        </is>
      </c>
      <c r="L679" t="inlineStr">
        <is>
          <t>4 / 2</t>
        </is>
      </c>
      <c r="M679" s="5" t="n">
        <v>0.31</v>
      </c>
      <c r="N679" s="5" t="n">
        <v>0.67</v>
      </c>
    </row>
    <row r="680">
      <c r="A680" t="n">
        <v>679</v>
      </c>
      <c r="B680" t="n">
        <v>2014</v>
      </c>
      <c r="C680" t="inlineStr">
        <is>
          <t>Adrianna Rajchel</t>
        </is>
      </c>
      <c r="D680">
        <f>HYPERLINK("https://ota.tournamentsoftware.com/player-profile/CF345FA9-9F2F-4BDB-8B66-131A15D8B231", "Link")</f>
        <v/>
      </c>
      <c r="E680" s="3" t="n">
        <v>24.832</v>
      </c>
      <c r="F680" s="4" t="n">
        <v>3</v>
      </c>
      <c r="G680" t="inlineStr">
        <is>
          <t>Ontario Tennis Association</t>
        </is>
      </c>
      <c r="H680" t="inlineStr">
        <is>
          <t>Carleton Tennis Centre</t>
        </is>
      </c>
      <c r="I680" t="n">
        <v>38.5</v>
      </c>
      <c r="J680" s="4" t="n">
        <v>15</v>
      </c>
      <c r="K680" t="inlineStr">
        <is>
          <t>4 / 11</t>
        </is>
      </c>
      <c r="L680" t="inlineStr">
        <is>
          <t>1 / 3</t>
        </is>
      </c>
      <c r="M680" s="5" t="n">
        <v>0.27</v>
      </c>
      <c r="N680" s="5" t="n">
        <v>0.25</v>
      </c>
    </row>
    <row r="681">
      <c r="A681" t="n">
        <v>680</v>
      </c>
      <c r="B681" t="n">
        <v>2016</v>
      </c>
      <c r="C681" t="inlineStr">
        <is>
          <t>Jessie DONG</t>
        </is>
      </c>
      <c r="D681">
        <f>HYPERLINK("https://ota.tournamentsoftware.com/player-profile/DD46DDC2-A0FA-4A57-9C2B-207D02D3DFB6", "Link")</f>
        <v/>
      </c>
      <c r="E681" s="3" t="n">
        <v>24.6</v>
      </c>
      <c r="F681" s="4" t="n">
        <v>6</v>
      </c>
      <c r="G681" t="inlineStr">
        <is>
          <t>Ontario Tennis Association</t>
        </is>
      </c>
      <c r="H681" t="inlineStr">
        <is>
          <t>Burlington Hall Sporting Club</t>
        </is>
      </c>
      <c r="I681" t="n">
        <v>39</v>
      </c>
      <c r="J681" s="4" t="n">
        <v>55</v>
      </c>
      <c r="K681" t="inlineStr">
        <is>
          <t>22 / 33</t>
        </is>
      </c>
      <c r="L681" t="inlineStr">
        <is>
          <t>22 / 33</t>
        </is>
      </c>
      <c r="M681" s="5" t="n">
        <v>0.4</v>
      </c>
      <c r="N681" s="5" t="n">
        <v>0.4</v>
      </c>
    </row>
    <row r="682">
      <c r="A682" t="n">
        <v>681</v>
      </c>
      <c r="B682" t="n">
        <v>2015</v>
      </c>
      <c r="C682" t="inlineStr">
        <is>
          <t>Milana Maor</t>
        </is>
      </c>
      <c r="D682">
        <f>HYPERLINK("https://ota.tournamentsoftware.com/player-profile/EFC2E194-22E1-4017-A2E8-0B41E7DB9101", "Link")</f>
        <v/>
      </c>
      <c r="E682" s="3" t="n">
        <v>24.284</v>
      </c>
      <c r="F682" s="4" t="n">
        <v>6</v>
      </c>
      <c r="G682" t="inlineStr">
        <is>
          <t>Ontario Tennis Association</t>
        </is>
      </c>
      <c r="H682" t="inlineStr">
        <is>
          <t>No Club</t>
        </is>
      </c>
      <c r="I682" t="n">
        <v>37.3</v>
      </c>
      <c r="J682" s="4" t="n">
        <v>52</v>
      </c>
      <c r="K682" t="inlineStr">
        <is>
          <t>21 / 31</t>
        </is>
      </c>
      <c r="L682" t="inlineStr">
        <is>
          <t>4 / 12</t>
        </is>
      </c>
      <c r="M682" s="5" t="n">
        <v>0.4</v>
      </c>
      <c r="N682" s="5" t="n">
        <v>0.25</v>
      </c>
    </row>
    <row r="683">
      <c r="A683" t="n">
        <v>682</v>
      </c>
      <c r="B683" t="n">
        <v>2012</v>
      </c>
      <c r="C683" t="inlineStr">
        <is>
          <t>Naomi Lau</t>
        </is>
      </c>
      <c r="D683">
        <f>HYPERLINK("https://ota.tournamentsoftware.com/player-profile/0A97F4BF-4260-46FD-AB50-BFA06A31A239", "Link")</f>
        <v/>
      </c>
      <c r="E683" s="3" t="n">
        <v>24.089</v>
      </c>
      <c r="F683" s="4" t="n">
        <v>2</v>
      </c>
      <c r="G683" t="inlineStr">
        <is>
          <t>Ontario Tennis Association</t>
        </is>
      </c>
      <c r="H683" t="inlineStr">
        <is>
          <t>Central Tennis Club</t>
        </is>
      </c>
      <c r="I683" t="n">
        <v>37.2</v>
      </c>
      <c r="J683" s="4" t="n">
        <v>32</v>
      </c>
      <c r="K683" t="inlineStr">
        <is>
          <t>12 / 20</t>
        </is>
      </c>
      <c r="L683" t="inlineStr">
        <is>
          <t>6 / 6</t>
        </is>
      </c>
      <c r="M683" s="5" t="n">
        <v>0.38</v>
      </c>
      <c r="N683" s="5" t="n">
        <v>0.5</v>
      </c>
    </row>
    <row r="684">
      <c r="A684" t="n">
        <v>683</v>
      </c>
      <c r="B684" t="n">
        <v>2015</v>
      </c>
      <c r="C684" t="inlineStr">
        <is>
          <t>Diana Troitska</t>
        </is>
      </c>
      <c r="D684">
        <f>HYPERLINK("https://ota.tournamentsoftware.com/player-profile/6F22C01B-A1B6-4624-8606-C4D0FEB24026", "Link")</f>
        <v/>
      </c>
      <c r="E684" s="3" t="n">
        <v>23.546</v>
      </c>
      <c r="F684" s="4" t="n">
        <v>2</v>
      </c>
      <c r="G684" t="inlineStr">
        <is>
          <t>Tennis Québec</t>
        </is>
      </c>
      <c r="H684" t="inlineStr">
        <is>
          <t>No Club</t>
        </is>
      </c>
      <c r="I684" t="inlineStr">
        <is>
          <t>unavailable</t>
        </is>
      </c>
      <c r="J684" s="4" t="n">
        <v>13</v>
      </c>
      <c r="K684" t="inlineStr">
        <is>
          <t>2 / 11</t>
        </is>
      </c>
      <c r="L684" t="inlineStr">
        <is>
          <t>0 / 1</t>
        </is>
      </c>
      <c r="M684" s="5" t="n">
        <v>0.15</v>
      </c>
      <c r="N684" s="5" t="n">
        <v>0</v>
      </c>
    </row>
    <row r="685">
      <c r="A685" t="n">
        <v>684</v>
      </c>
      <c r="B685" t="n">
        <v>2012</v>
      </c>
      <c r="C685" t="inlineStr">
        <is>
          <t>Nika Yaghoubi</t>
        </is>
      </c>
      <c r="D685">
        <f>HYPERLINK("https://ota.tournamentsoftware.com/player-profile/D6970753-702D-4123-8798-708EAC6B7E32", "Link")</f>
        <v/>
      </c>
      <c r="E685" s="3" t="n">
        <v>23.448</v>
      </c>
      <c r="F685" s="4" t="n">
        <v>2</v>
      </c>
      <c r="G685" t="inlineStr">
        <is>
          <t>Tennis Alberta</t>
        </is>
      </c>
      <c r="H685" t="inlineStr">
        <is>
          <t>Saville Community Sports Centre</t>
        </is>
      </c>
      <c r="I685" t="n">
        <v>35.1</v>
      </c>
      <c r="J685" s="4" t="n">
        <v>12</v>
      </c>
      <c r="K685" t="inlineStr">
        <is>
          <t>6 / 6</t>
        </is>
      </c>
      <c r="L685" t="inlineStr">
        <is>
          <t>6 / 6</t>
        </is>
      </c>
      <c r="M685" s="5" t="n">
        <v>0.5</v>
      </c>
      <c r="N685" s="5" t="n">
        <v>0.5</v>
      </c>
    </row>
    <row r="686">
      <c r="A686" t="n">
        <v>685</v>
      </c>
      <c r="B686" t="n">
        <v>2015</v>
      </c>
      <c r="C686" t="inlineStr">
        <is>
          <t>Cassia Contreras</t>
        </is>
      </c>
      <c r="D686">
        <f>HYPERLINK("https://ota.tournamentsoftware.com/player-profile/84692E6B-274F-4FC9-9179-D4BC6F34FCEE", "Link")</f>
        <v/>
      </c>
      <c r="E686" s="3" t="n">
        <v>23.208</v>
      </c>
      <c r="F686" s="4" t="n">
        <v>4</v>
      </c>
      <c r="G686" t="inlineStr">
        <is>
          <t>Ontario Tennis Association</t>
        </is>
      </c>
      <c r="H686" t="inlineStr">
        <is>
          <t>Toronto Tennis Academy</t>
        </is>
      </c>
      <c r="I686" t="inlineStr">
        <is>
          <t>unavailable</t>
        </is>
      </c>
      <c r="J686" s="4" t="n">
        <v>50</v>
      </c>
      <c r="K686" t="inlineStr">
        <is>
          <t>18 / 32</t>
        </is>
      </c>
      <c r="L686" t="inlineStr">
        <is>
          <t>5 / 7</t>
        </is>
      </c>
      <c r="M686" s="5" t="n">
        <v>0.36</v>
      </c>
      <c r="N686" s="5" t="n">
        <v>0.42</v>
      </c>
    </row>
    <row r="687">
      <c r="A687" t="n">
        <v>686</v>
      </c>
      <c r="B687" t="n">
        <v>2015</v>
      </c>
      <c r="C687" t="inlineStr">
        <is>
          <t>Margot Couture</t>
        </is>
      </c>
      <c r="D687">
        <f>HYPERLINK("https://ota.tournamentsoftware.com/player-profile/7DE265DB-E3E6-4C4E-90BD-199DB99DCAEB", "Link")</f>
        <v/>
      </c>
      <c r="E687" s="3" t="n">
        <v>23.186</v>
      </c>
      <c r="F687" s="4" t="n">
        <v>5</v>
      </c>
      <c r="G687" t="inlineStr">
        <is>
          <t>Tennis Québec</t>
        </is>
      </c>
      <c r="H687" t="inlineStr">
        <is>
          <t>SANI Sport</t>
        </is>
      </c>
      <c r="I687" t="n">
        <v>38.1</v>
      </c>
      <c r="J687" s="4" t="n">
        <v>27</v>
      </c>
      <c r="K687" t="inlineStr">
        <is>
          <t>7 / 20</t>
        </is>
      </c>
      <c r="L687" t="inlineStr">
        <is>
          <t>2 / 5</t>
        </is>
      </c>
      <c r="M687" s="5" t="n">
        <v>0.26</v>
      </c>
      <c r="N687" s="5" t="n">
        <v>0.29</v>
      </c>
    </row>
    <row r="688">
      <c r="A688" t="n">
        <v>687</v>
      </c>
      <c r="B688" t="n">
        <v>2015</v>
      </c>
      <c r="C688" t="inlineStr">
        <is>
          <t>Eliana Green</t>
        </is>
      </c>
      <c r="D688">
        <f>HYPERLINK("https://ota.tournamentsoftware.com/player-profile/6AF8FC12-BD58-4E7C-B446-1CAAB9ADE85D", "Link")</f>
        <v/>
      </c>
      <c r="E688" s="3" t="n">
        <v>23.112</v>
      </c>
      <c r="F688" s="4" t="n">
        <v>1</v>
      </c>
      <c r="G688" t="inlineStr">
        <is>
          <t>Tennis Saskatchewan</t>
        </is>
      </c>
      <c r="H688" t="inlineStr">
        <is>
          <t>Lakeshore Tennis Club</t>
        </is>
      </c>
      <c r="I688" t="n">
        <v>38.1</v>
      </c>
      <c r="J688" s="4" t="n">
        <v>32</v>
      </c>
      <c r="K688" t="inlineStr">
        <is>
          <t>5 / 27</t>
        </is>
      </c>
      <c r="L688" t="inlineStr">
        <is>
          <t>2 / 4</t>
        </is>
      </c>
      <c r="M688" s="5" t="n">
        <v>0.16</v>
      </c>
      <c r="N688" s="5" t="n">
        <v>0.33</v>
      </c>
    </row>
    <row r="689">
      <c r="A689" t="n">
        <v>688</v>
      </c>
      <c r="B689" t="n">
        <v>2014</v>
      </c>
      <c r="C689" t="inlineStr">
        <is>
          <t>Dina Chakri</t>
        </is>
      </c>
      <c r="D689">
        <f>HYPERLINK("https://ota.tournamentsoftware.com/player-profile/8824FD85-93E3-4F7D-8968-FC836D77769D", "Link")</f>
        <v/>
      </c>
      <c r="E689" s="3" t="n">
        <v>22.953</v>
      </c>
      <c r="F689" s="4" t="n">
        <v>7</v>
      </c>
      <c r="G689" t="inlineStr">
        <is>
          <t>Tennis Québec</t>
        </is>
      </c>
      <c r="H689" t="inlineStr">
        <is>
          <t>Tennis 13</t>
        </is>
      </c>
      <c r="I689" t="n">
        <v>38.9</v>
      </c>
      <c r="J689" s="4" t="n">
        <v>10</v>
      </c>
      <c r="K689" t="inlineStr">
        <is>
          <t>2 / 8</t>
        </is>
      </c>
      <c r="L689" t="inlineStr">
        <is>
          <t>2 / 8</t>
        </is>
      </c>
      <c r="M689" s="5" t="n">
        <v>0.2</v>
      </c>
      <c r="N689" s="5" t="n">
        <v>0.2</v>
      </c>
    </row>
    <row r="690">
      <c r="A690" t="n">
        <v>689</v>
      </c>
      <c r="B690" t="n">
        <v>2013</v>
      </c>
      <c r="C690" t="inlineStr">
        <is>
          <t>Kashvi Chaudhary</t>
        </is>
      </c>
      <c r="D690">
        <f>HYPERLINK("https://ota.tournamentsoftware.com/player-profile/0597AAB7-43E9-42CF-B00B-4928F8A2A1CD", "Link")</f>
        <v/>
      </c>
      <c r="E690" s="3" t="n">
        <v>22.919</v>
      </c>
      <c r="F690" s="4" t="n">
        <v>4</v>
      </c>
      <c r="G690" t="inlineStr">
        <is>
          <t>Ontario Tennis Association</t>
        </is>
      </c>
      <c r="H690" t="inlineStr">
        <is>
          <t>Brampton Tennis Club</t>
        </is>
      </c>
      <c r="I690" t="n">
        <v>39.9</v>
      </c>
      <c r="J690" s="4" t="n">
        <v>14</v>
      </c>
      <c r="K690" t="inlineStr">
        <is>
          <t>2 / 12</t>
        </is>
      </c>
      <c r="L690" t="inlineStr">
        <is>
          <t>0 / 0</t>
        </is>
      </c>
      <c r="M690" s="5" t="n">
        <v>0.14</v>
      </c>
      <c r="N690" s="5" t="n">
        <v>0</v>
      </c>
    </row>
    <row r="691">
      <c r="A691" t="n">
        <v>690</v>
      </c>
      <c r="B691" t="n">
        <v>2014</v>
      </c>
      <c r="C691" t="inlineStr">
        <is>
          <t>Jasmine El Ouadi</t>
        </is>
      </c>
      <c r="D691">
        <f>HYPERLINK("https://ota.tournamentsoftware.com/player-profile/FBECFAB6-3ABF-4F1B-AD1C-230CB79A1119", "Link")</f>
        <v/>
      </c>
      <c r="E691" s="3" t="n">
        <v>22.903</v>
      </c>
      <c r="F691" s="4" t="n">
        <v>6</v>
      </c>
      <c r="G691" t="inlineStr">
        <is>
          <t>Tennis Alberta</t>
        </is>
      </c>
      <c r="H691" t="inlineStr">
        <is>
          <t>Calgary - Public</t>
        </is>
      </c>
      <c r="I691" t="n">
        <v>40</v>
      </c>
      <c r="J691" s="4" t="n">
        <v>11</v>
      </c>
      <c r="K691" t="inlineStr">
        <is>
          <t>0 / 11</t>
        </is>
      </c>
      <c r="L691" t="inlineStr">
        <is>
          <t>0 / 3</t>
        </is>
      </c>
      <c r="M691" s="5" t="n">
        <v>0</v>
      </c>
      <c r="N691" s="5" t="n">
        <v>0</v>
      </c>
    </row>
    <row r="692">
      <c r="A692" t="n">
        <v>691</v>
      </c>
      <c r="B692" t="n">
        <v>2016</v>
      </c>
      <c r="C692" t="inlineStr">
        <is>
          <t>Emma Yu</t>
        </is>
      </c>
      <c r="D692">
        <f>HYPERLINK("https://ota.tournamentsoftware.com/player-profile/08E91FF6-D5E8-42FC-9B0D-2002B0263706", "Link")</f>
        <v/>
      </c>
      <c r="E692" s="3" t="n">
        <v>22.896</v>
      </c>
      <c r="F692" s="4" t="n">
        <v>4</v>
      </c>
      <c r="G692" t="inlineStr">
        <is>
          <t>Tennis Nova Scotia</t>
        </is>
      </c>
      <c r="H692" t="inlineStr">
        <is>
          <t>Atlantic Tennis Centre</t>
        </is>
      </c>
      <c r="I692" t="n">
        <v>36.2</v>
      </c>
      <c r="J692" s="4" t="n">
        <v>41</v>
      </c>
      <c r="K692" t="inlineStr">
        <is>
          <t>24 / 17</t>
        </is>
      </c>
      <c r="L692" t="inlineStr">
        <is>
          <t>16 / 6</t>
        </is>
      </c>
      <c r="M692" s="5" t="n">
        <v>0.59</v>
      </c>
      <c r="N692" s="5" t="n">
        <v>0.73</v>
      </c>
    </row>
    <row r="693">
      <c r="A693" t="n">
        <v>692</v>
      </c>
      <c r="B693" t="n">
        <v>2013</v>
      </c>
      <c r="C693" t="inlineStr">
        <is>
          <t>Mariya Fedchyshyna</t>
        </is>
      </c>
      <c r="D693">
        <f>HYPERLINK("https://ota.tournamentsoftware.com/player-profile/5A64317A-A412-4DEB-A68D-94CE45EAE2DD", "Link")</f>
        <v/>
      </c>
      <c r="E693" s="3" t="n">
        <v>22.696</v>
      </c>
      <c r="F693" s="4" t="n">
        <v>2</v>
      </c>
      <c r="G693" t="inlineStr">
        <is>
          <t>British Columbia</t>
        </is>
      </c>
      <c r="H693" t="inlineStr">
        <is>
          <t>Oak Bay Recreation Centre</t>
        </is>
      </c>
      <c r="I693" t="inlineStr">
        <is>
          <t>unavailable</t>
        </is>
      </c>
      <c r="J693" s="4" t="n">
        <v>7</v>
      </c>
      <c r="K693" t="inlineStr">
        <is>
          <t>1 / 6</t>
        </is>
      </c>
      <c r="L693" t="inlineStr">
        <is>
          <t>1 / 4</t>
        </is>
      </c>
      <c r="M693" s="5" t="n">
        <v>0.14</v>
      </c>
      <c r="N693" s="5" t="n">
        <v>0.2</v>
      </c>
    </row>
    <row r="694">
      <c r="A694" t="n">
        <v>693</v>
      </c>
      <c r="B694" t="n">
        <v>2015</v>
      </c>
      <c r="C694" t="inlineStr">
        <is>
          <t>Laila Hilmi</t>
        </is>
      </c>
      <c r="D694">
        <f>HYPERLINK("https://ota.tournamentsoftware.com/player-profile/73A707F1-78B1-45FE-A608-D2E6AA82EA8F", "Link")</f>
        <v/>
      </c>
      <c r="E694" s="3" t="n">
        <v>22.595</v>
      </c>
      <c r="F694" s="4" t="n">
        <v>3</v>
      </c>
      <c r="G694" t="inlineStr">
        <is>
          <t>Tennis Québec</t>
        </is>
      </c>
      <c r="H694" t="inlineStr">
        <is>
          <t>Tennis Montréal Excellence</t>
        </is>
      </c>
      <c r="I694" t="inlineStr">
        <is>
          <t>unavailable</t>
        </is>
      </c>
      <c r="J694" s="4" t="n">
        <v>46</v>
      </c>
      <c r="K694" t="inlineStr">
        <is>
          <t>13 / 33</t>
        </is>
      </c>
      <c r="L694" t="inlineStr">
        <is>
          <t>4 / 3</t>
        </is>
      </c>
      <c r="M694" s="5" t="n">
        <v>0.28</v>
      </c>
      <c r="N694" s="5" t="n">
        <v>0.57</v>
      </c>
    </row>
    <row r="695">
      <c r="A695" t="n">
        <v>694</v>
      </c>
      <c r="B695" t="n">
        <v>2012</v>
      </c>
      <c r="C695" t="inlineStr">
        <is>
          <t>Ruike Ni</t>
        </is>
      </c>
      <c r="D695">
        <f>HYPERLINK("https://ota.tournamentsoftware.com/player-profile/862000EB-CE8E-4CA2-BA1E-5441407CA2E5", "Link")</f>
        <v/>
      </c>
      <c r="E695" s="3" t="n">
        <v>22.464</v>
      </c>
      <c r="F695" s="4" t="n">
        <v>2</v>
      </c>
      <c r="G695" t="inlineStr">
        <is>
          <t>British Columbia</t>
        </is>
      </c>
      <c r="H695" t="inlineStr">
        <is>
          <t>Tennis for Life</t>
        </is>
      </c>
      <c r="I695" t="n">
        <v>38.5</v>
      </c>
      <c r="J695" s="4" t="n">
        <v>7</v>
      </c>
      <c r="K695" t="inlineStr">
        <is>
          <t>2 / 5</t>
        </is>
      </c>
      <c r="L695" t="inlineStr">
        <is>
          <t>0 / 2</t>
        </is>
      </c>
      <c r="M695" s="5" t="n">
        <v>0.29</v>
      </c>
      <c r="N695" s="5" t="n">
        <v>0</v>
      </c>
    </row>
    <row r="696">
      <c r="A696" t="n">
        <v>695</v>
      </c>
      <c r="B696" t="n">
        <v>2014</v>
      </c>
      <c r="C696" t="inlineStr">
        <is>
          <t>Ariella Naomi Shegelman</t>
        </is>
      </c>
      <c r="D696">
        <f>HYPERLINK("https://ota.tournamentsoftware.com/player-profile/F4A076BF-B4C6-4301-B22A-3E13FD483AD5", "Link")</f>
        <v/>
      </c>
      <c r="E696" s="3" t="n">
        <v>22.405</v>
      </c>
      <c r="F696" s="4" t="n">
        <v>3</v>
      </c>
      <c r="G696" t="inlineStr">
        <is>
          <t>Ontario Tennis Association</t>
        </is>
      </c>
      <c r="H696" t="inlineStr">
        <is>
          <t>Concord Tennis Academy</t>
        </is>
      </c>
      <c r="I696" t="n">
        <v>35.9</v>
      </c>
      <c r="J696" s="4" t="n">
        <v>28</v>
      </c>
      <c r="K696" t="inlineStr">
        <is>
          <t>14 / 14</t>
        </is>
      </c>
      <c r="L696" t="inlineStr">
        <is>
          <t>4 / 4</t>
        </is>
      </c>
      <c r="M696" s="5" t="n">
        <v>0.5</v>
      </c>
      <c r="N696" s="5" t="n">
        <v>0.5</v>
      </c>
    </row>
    <row r="697">
      <c r="A697" t="n">
        <v>696</v>
      </c>
      <c r="B697" t="n">
        <v>2012</v>
      </c>
      <c r="C697" t="inlineStr">
        <is>
          <t>LUCY HA</t>
        </is>
      </c>
      <c r="D697">
        <f>HYPERLINK("https://ota.tournamentsoftware.com/player-profile/5289FB1D-8B94-446A-83C5-187068CE2F5D", "Link")</f>
        <v/>
      </c>
      <c r="E697" s="3" t="n">
        <v>22.167</v>
      </c>
      <c r="F697" s="4" t="n">
        <v>3</v>
      </c>
      <c r="G697" t="inlineStr">
        <is>
          <t>British Columbia</t>
        </is>
      </c>
      <c r="H697" t="inlineStr">
        <is>
          <t>Tennis BC Hub @ Richmond</t>
        </is>
      </c>
      <c r="I697" t="n">
        <v>37.7</v>
      </c>
      <c r="J697" s="4" t="n">
        <v>28</v>
      </c>
      <c r="K697" t="inlineStr">
        <is>
          <t>4 / 24</t>
        </is>
      </c>
      <c r="L697" t="inlineStr">
        <is>
          <t>0 / 2</t>
        </is>
      </c>
      <c r="M697" s="5" t="n">
        <v>0.14</v>
      </c>
      <c r="N697" s="5" t="n">
        <v>0</v>
      </c>
    </row>
    <row r="698">
      <c r="A698" t="n">
        <v>697</v>
      </c>
      <c r="B698" t="n">
        <v>2015</v>
      </c>
      <c r="C698" t="inlineStr">
        <is>
          <t>Mila Anglade</t>
        </is>
      </c>
      <c r="D698">
        <f>HYPERLINK("https://ota.tournamentsoftware.com/player-profile/05635752-0D80-4827-BA70-1CECB2BE0528", "Link")</f>
        <v/>
      </c>
      <c r="E698" s="3" t="n">
        <v>22.12</v>
      </c>
      <c r="F698" s="4" t="n">
        <v>4</v>
      </c>
      <c r="G698" t="inlineStr">
        <is>
          <t>Tennis Québec</t>
        </is>
      </c>
      <c r="H698" t="inlineStr">
        <is>
          <t>Carrefour Multisports</t>
        </is>
      </c>
      <c r="I698" t="inlineStr">
        <is>
          <t>unavailable</t>
        </is>
      </c>
      <c r="J698" s="4" t="n">
        <v>61</v>
      </c>
      <c r="K698" t="inlineStr">
        <is>
          <t>36 / 25</t>
        </is>
      </c>
      <c r="L698" t="inlineStr">
        <is>
          <t>5 / 2</t>
        </is>
      </c>
      <c r="M698" s="5" t="n">
        <v>0.59</v>
      </c>
      <c r="N698" s="5" t="n">
        <v>0.71</v>
      </c>
    </row>
    <row r="699">
      <c r="A699" t="n">
        <v>698</v>
      </c>
      <c r="B699" t="n">
        <v>2012</v>
      </c>
      <c r="C699" t="inlineStr">
        <is>
          <t>Belen Aldana</t>
        </is>
      </c>
      <c r="D699">
        <f>HYPERLINK("https://ota.tournamentsoftware.com/player-profile/403664F3-E594-4FFF-BEC0-1AF63F2F73E4", "Link")</f>
        <v/>
      </c>
      <c r="E699" s="3" t="n">
        <v>21.934</v>
      </c>
      <c r="F699" s="4" t="n">
        <v>5</v>
      </c>
      <c r="G699" t="inlineStr">
        <is>
          <t>Tennis Québec</t>
        </is>
      </c>
      <c r="H699" t="inlineStr">
        <is>
          <t>SANI Sport</t>
        </is>
      </c>
      <c r="I699" t="n">
        <v>38</v>
      </c>
      <c r="J699" s="4" t="n">
        <v>8</v>
      </c>
      <c r="K699" t="inlineStr">
        <is>
          <t>0 / 8</t>
        </is>
      </c>
      <c r="L699" t="inlineStr">
        <is>
          <t>0 / 8</t>
        </is>
      </c>
      <c r="M699" s="5" t="n">
        <v>0</v>
      </c>
      <c r="N699" s="5" t="n">
        <v>0</v>
      </c>
    </row>
    <row r="700">
      <c r="A700" t="n">
        <v>699</v>
      </c>
      <c r="B700" t="n">
        <v>2015</v>
      </c>
      <c r="C700" t="inlineStr">
        <is>
          <t>Hannah Lewis</t>
        </is>
      </c>
      <c r="D700">
        <f>HYPERLINK("https://ota.tournamentsoftware.com/player-profile/B25290C5-DB82-4ED0-843D-33516AFF301F", "Link")</f>
        <v/>
      </c>
      <c r="E700" s="3" t="n">
        <v>21.645</v>
      </c>
      <c r="F700" s="4" t="n">
        <v>4</v>
      </c>
      <c r="G700" t="inlineStr">
        <is>
          <t>Ontario Tennis Association</t>
        </is>
      </c>
      <c r="H700" t="inlineStr">
        <is>
          <t>Tam Heather Tennis Club</t>
        </is>
      </c>
      <c r="I700" t="n">
        <v>38.3</v>
      </c>
      <c r="J700" s="4" t="n">
        <v>37</v>
      </c>
      <c r="K700" t="inlineStr">
        <is>
          <t>9 / 28</t>
        </is>
      </c>
      <c r="L700" t="inlineStr">
        <is>
          <t>8 / 11</t>
        </is>
      </c>
      <c r="M700" s="5" t="n">
        <v>0.24</v>
      </c>
      <c r="N700" s="5" t="n">
        <v>0.42</v>
      </c>
    </row>
    <row r="701">
      <c r="A701" t="n">
        <v>700</v>
      </c>
      <c r="B701" t="n">
        <v>2014</v>
      </c>
      <c r="C701" t="inlineStr">
        <is>
          <t>Camila Danielle Arias</t>
        </is>
      </c>
      <c r="D701">
        <f>HYPERLINK("https://ota.tournamentsoftware.com/player-profile/7E2B5B8F-95C7-4374-8F7F-D60E81CAB657", "Link")</f>
        <v/>
      </c>
      <c r="E701" s="3" t="n">
        <v>21.537</v>
      </c>
      <c r="F701" s="4" t="n">
        <v>6</v>
      </c>
      <c r="G701" t="inlineStr">
        <is>
          <t>Tennis Québec</t>
        </is>
      </c>
      <c r="H701" t="inlineStr">
        <is>
          <t>SANI Sport</t>
        </is>
      </c>
      <c r="I701" t="inlineStr">
        <is>
          <t>unavailable</t>
        </is>
      </c>
      <c r="J701" s="4" t="n">
        <v>40</v>
      </c>
      <c r="K701" t="inlineStr">
        <is>
          <t>13 / 27</t>
        </is>
      </c>
      <c r="L701" t="inlineStr">
        <is>
          <t>4 / 4</t>
        </is>
      </c>
      <c r="M701" s="5" t="n">
        <v>0.33</v>
      </c>
      <c r="N701" s="5" t="n">
        <v>0.5</v>
      </c>
    </row>
    <row r="702">
      <c r="A702" t="n">
        <v>701</v>
      </c>
      <c r="B702" t="n">
        <v>2016</v>
      </c>
      <c r="C702" t="inlineStr">
        <is>
          <t>Brielle Han</t>
        </is>
      </c>
      <c r="D702">
        <f>HYPERLINK("https://ota.tournamentsoftware.com/player-profile/76F58D78-6F14-462B-9C79-943F718FD16A", "Link")</f>
        <v/>
      </c>
      <c r="E702" s="3" t="n">
        <v>21.501</v>
      </c>
      <c r="F702" s="4" t="n">
        <v>9</v>
      </c>
      <c r="G702" t="inlineStr">
        <is>
          <t>British Columbia</t>
        </is>
      </c>
      <c r="H702" t="inlineStr">
        <is>
          <t>North Vancouver Tennis Centre</t>
        </is>
      </c>
      <c r="I702" t="inlineStr">
        <is>
          <t>unavailable</t>
        </is>
      </c>
      <c r="J702" s="4" t="n">
        <v>200</v>
      </c>
      <c r="K702" t="inlineStr">
        <is>
          <t>69 / 131</t>
        </is>
      </c>
      <c r="L702" t="inlineStr">
        <is>
          <t>21 / 19</t>
        </is>
      </c>
      <c r="M702" s="5" t="n">
        <v>0.34</v>
      </c>
      <c r="N702" s="5" t="n">
        <v>0.53</v>
      </c>
    </row>
    <row r="703">
      <c r="A703" t="n">
        <v>702</v>
      </c>
      <c r="B703" t="n">
        <v>2015</v>
      </c>
      <c r="C703" t="inlineStr">
        <is>
          <t>Élisa Deschatelets</t>
        </is>
      </c>
      <c r="D703">
        <f>HYPERLINK("https://ota.tournamentsoftware.com/player-profile/C5ECD0AF-5510-44E4-897A-6A3A4D73CDEF", "Link")</f>
        <v/>
      </c>
      <c r="E703" s="3" t="n">
        <v>21.501</v>
      </c>
      <c r="F703" s="4" t="n">
        <v>4</v>
      </c>
      <c r="G703" t="inlineStr">
        <is>
          <t>Tennis Québec</t>
        </is>
      </c>
      <c r="H703" t="inlineStr">
        <is>
          <t>Centre Récréatif Rock Forest / École Tennestrie</t>
        </is>
      </c>
      <c r="I703" t="n">
        <v>40</v>
      </c>
      <c r="J703" s="4" t="n">
        <v>25</v>
      </c>
      <c r="K703" t="inlineStr">
        <is>
          <t>4 / 21</t>
        </is>
      </c>
      <c r="L703" t="inlineStr">
        <is>
          <t>0 / 7</t>
        </is>
      </c>
      <c r="M703" s="5" t="n">
        <v>0.16</v>
      </c>
      <c r="N703" s="5" t="n">
        <v>0</v>
      </c>
    </row>
    <row r="704">
      <c r="A704" t="n">
        <v>703</v>
      </c>
      <c r="B704" t="n">
        <v>2014</v>
      </c>
      <c r="C704" t="inlineStr">
        <is>
          <t>Mia Baker</t>
        </is>
      </c>
      <c r="D704">
        <f>HYPERLINK("https://ota.tournamentsoftware.com/player-profile/ABFF2DBE-5CD7-451A-B77E-526F2DB67DA2", "Link")</f>
        <v/>
      </c>
      <c r="E704" s="3" t="n">
        <v>21.49</v>
      </c>
      <c r="F704" s="4" t="n">
        <v>10</v>
      </c>
      <c r="G704" t="inlineStr">
        <is>
          <t>Tennis Québec</t>
        </is>
      </c>
      <c r="H704" t="inlineStr">
        <is>
          <t>SANI Sport</t>
        </is>
      </c>
      <c r="I704" t="n">
        <v>40</v>
      </c>
      <c r="J704" s="4" t="n">
        <v>59</v>
      </c>
      <c r="K704" t="inlineStr">
        <is>
          <t>2 / 57</t>
        </is>
      </c>
      <c r="L704" t="inlineStr">
        <is>
          <t>0 / 12</t>
        </is>
      </c>
      <c r="M704" s="5" t="n">
        <v>0.03</v>
      </c>
      <c r="N704" s="5" t="n">
        <v>0</v>
      </c>
    </row>
    <row r="705">
      <c r="A705" t="n">
        <v>704</v>
      </c>
      <c r="B705" t="n">
        <v>2015</v>
      </c>
      <c r="C705" t="inlineStr">
        <is>
          <t>Tara Sepahsalari</t>
        </is>
      </c>
      <c r="D705">
        <f>HYPERLINK("https://ota.tournamentsoftware.com/player-profile/EB26731B-07C8-4C3E-8214-7DD265D4A843", "Link")</f>
        <v/>
      </c>
      <c r="E705" s="3" t="n">
        <v>21.226</v>
      </c>
      <c r="F705" s="4" t="n">
        <v>5</v>
      </c>
      <c r="G705" t="inlineStr">
        <is>
          <t>Tennis Québec</t>
        </is>
      </c>
      <c r="H705" t="inlineStr">
        <is>
          <t>EB Tennis inc.</t>
        </is>
      </c>
      <c r="I705" t="n">
        <v>40</v>
      </c>
      <c r="J705" s="4" t="n">
        <v>33</v>
      </c>
      <c r="K705" t="inlineStr">
        <is>
          <t>5 / 28</t>
        </is>
      </c>
      <c r="L705" t="inlineStr">
        <is>
          <t>1 / 8</t>
        </is>
      </c>
      <c r="M705" s="5" t="n">
        <v>0.15</v>
      </c>
      <c r="N705" s="5" t="n">
        <v>0.11</v>
      </c>
    </row>
    <row r="706">
      <c r="A706" t="n">
        <v>705</v>
      </c>
      <c r="B706" t="n">
        <v>2012</v>
      </c>
      <c r="C706" t="inlineStr">
        <is>
          <t>Elise Landry</t>
        </is>
      </c>
      <c r="D706">
        <f>HYPERLINK("https://ota.tournamentsoftware.com/player-profile/E61A7837-F4EB-4DDA-B26F-2D7CE7910B80", "Link")</f>
        <v/>
      </c>
      <c r="E706" s="3" t="n">
        <v>20.99</v>
      </c>
      <c r="F706" s="4" t="n">
        <v>2</v>
      </c>
      <c r="G706" t="inlineStr">
        <is>
          <t>Ontario Tennis Association</t>
        </is>
      </c>
      <c r="H706" t="inlineStr">
        <is>
          <t>Toronto Tennis City</t>
        </is>
      </c>
      <c r="I706" t="inlineStr">
        <is>
          <t>unavailable</t>
        </is>
      </c>
      <c r="J706" s="4" t="n">
        <v>7</v>
      </c>
      <c r="K706" t="inlineStr">
        <is>
          <t>5 / 2</t>
        </is>
      </c>
      <c r="L706" t="inlineStr">
        <is>
          <t>5 / 2</t>
        </is>
      </c>
      <c r="M706" s="5" t="n">
        <v>0.71</v>
      </c>
      <c r="N706" s="5" t="n">
        <v>0.71</v>
      </c>
    </row>
    <row r="707">
      <c r="A707" t="n">
        <v>706</v>
      </c>
      <c r="B707" t="n">
        <v>2013</v>
      </c>
      <c r="C707" t="inlineStr">
        <is>
          <t>Vedika P Sant</t>
        </is>
      </c>
      <c r="D707">
        <f>HYPERLINK("https://ota.tournamentsoftware.com/player-profile/37441797-5F95-4518-997F-3F1602AC6E85", "Link")</f>
        <v/>
      </c>
      <c r="E707" s="3" t="n">
        <v>20.667</v>
      </c>
      <c r="F707" s="4" t="n">
        <v>1</v>
      </c>
      <c r="G707" t="inlineStr">
        <is>
          <t>Ontario Tennis Association</t>
        </is>
      </c>
      <c r="H707" t="inlineStr">
        <is>
          <t>Martingrove Tennis Club</t>
        </is>
      </c>
      <c r="I707" t="inlineStr">
        <is>
          <t>unavailable</t>
        </is>
      </c>
      <c r="J707" s="4" t="n">
        <v>8</v>
      </c>
      <c r="K707" t="inlineStr">
        <is>
          <t>2 / 6</t>
        </is>
      </c>
      <c r="L707" t="inlineStr">
        <is>
          <t>0 / 1</t>
        </is>
      </c>
      <c r="M707" s="5" t="n">
        <v>0.25</v>
      </c>
      <c r="N707" s="5" t="n">
        <v>0</v>
      </c>
    </row>
    <row r="708">
      <c r="A708" t="n">
        <v>707</v>
      </c>
      <c r="B708" t="n">
        <v>2013</v>
      </c>
      <c r="C708" t="inlineStr">
        <is>
          <t>Rebecca Maria Marcu</t>
        </is>
      </c>
      <c r="D708">
        <f>HYPERLINK("https://ota.tournamentsoftware.com/player-profile/1A9DB997-6193-4975-8534-F68D4F83BF32", "Link")</f>
        <v/>
      </c>
      <c r="E708" s="3" t="n">
        <v>20.131</v>
      </c>
      <c r="F708" s="4" t="n">
        <v>2</v>
      </c>
      <c r="G708" t="inlineStr">
        <is>
          <t>Ontario Tennis Association</t>
        </is>
      </c>
      <c r="H708" t="inlineStr">
        <is>
          <t>National Capital Tennis Association</t>
        </is>
      </c>
      <c r="I708" t="inlineStr">
        <is>
          <t>unavailable</t>
        </is>
      </c>
      <c r="J708" s="4" t="n">
        <v>4</v>
      </c>
      <c r="K708" t="inlineStr">
        <is>
          <t>1 / 3</t>
        </is>
      </c>
      <c r="L708" t="inlineStr">
        <is>
          <t>0 / 2</t>
        </is>
      </c>
      <c r="M708" s="5" t="n">
        <v>0.25</v>
      </c>
      <c r="N708" s="5" t="n">
        <v>0</v>
      </c>
    </row>
    <row r="709">
      <c r="A709" t="n">
        <v>708</v>
      </c>
      <c r="B709" t="n">
        <v>2014</v>
      </c>
      <c r="C709" t="inlineStr">
        <is>
          <t>Cheryl Elizabeth Ong</t>
        </is>
      </c>
      <c r="D709">
        <f>HYPERLINK("https://ota.tournamentsoftware.com/player-profile/11AC4E6A-0B03-4BB4-ACB7-333E7FD9064F", "Link")</f>
        <v/>
      </c>
      <c r="E709" s="3" t="n">
        <v>20.052</v>
      </c>
      <c r="F709" s="4" t="n">
        <v>9</v>
      </c>
      <c r="G709" t="inlineStr">
        <is>
          <t>British Columbia</t>
        </is>
      </c>
      <c r="H709" t="inlineStr">
        <is>
          <t>Tennis for Life</t>
        </is>
      </c>
      <c r="I709" t="inlineStr">
        <is>
          <t>unavailable</t>
        </is>
      </c>
      <c r="J709" s="4" t="n">
        <v>38</v>
      </c>
      <c r="K709" t="inlineStr">
        <is>
          <t>11 / 27</t>
        </is>
      </c>
      <c r="L709" t="inlineStr">
        <is>
          <t>7 / 11</t>
        </is>
      </c>
      <c r="M709" s="5" t="n">
        <v>0.29</v>
      </c>
      <c r="N709" s="5" t="n">
        <v>0.39</v>
      </c>
    </row>
    <row r="710">
      <c r="A710" t="n">
        <v>709</v>
      </c>
      <c r="B710" t="n">
        <v>2012</v>
      </c>
      <c r="C710" t="inlineStr">
        <is>
          <t>Emily Chai</t>
        </is>
      </c>
      <c r="D710">
        <f>HYPERLINK("https://ota.tournamentsoftware.com/player-profile/0DE38792-F237-4087-A5C1-369B6A3E0088", "Link")</f>
        <v/>
      </c>
      <c r="E710" s="3" t="n">
        <v>19.958</v>
      </c>
      <c r="F710" s="4" t="n">
        <v>2</v>
      </c>
      <c r="G710" t="inlineStr">
        <is>
          <t>Ontario Tennis Association</t>
        </is>
      </c>
      <c r="H710" t="inlineStr">
        <is>
          <t>ON Tennis Toronto No Club</t>
        </is>
      </c>
      <c r="I710" t="n">
        <v>38.4</v>
      </c>
      <c r="J710" s="4" t="n">
        <v>7</v>
      </c>
      <c r="K710" t="inlineStr">
        <is>
          <t>1 / 6</t>
        </is>
      </c>
      <c r="L710" t="inlineStr">
        <is>
          <t>1 / 6</t>
        </is>
      </c>
      <c r="M710" s="5" t="n">
        <v>0.14</v>
      </c>
      <c r="N710" s="5" t="n">
        <v>0.14</v>
      </c>
    </row>
    <row r="711">
      <c r="A711" t="n">
        <v>710</v>
      </c>
      <c r="B711" t="n">
        <v>2012</v>
      </c>
      <c r="C711" t="inlineStr">
        <is>
          <t>Yulli Anne Tsang</t>
        </is>
      </c>
      <c r="D711">
        <f>HYPERLINK("https://ota.tournamentsoftware.com/player-profile/E8CCFA74-9017-45A2-B403-724A9977CD1E", "Link")</f>
        <v/>
      </c>
      <c r="E711" s="3" t="n">
        <v>19.768</v>
      </c>
      <c r="F711" s="4" t="n">
        <v>5</v>
      </c>
      <c r="G711" t="inlineStr">
        <is>
          <t>Tennis Alberta</t>
        </is>
      </c>
      <c r="H711" t="inlineStr">
        <is>
          <t>Derrick Golf &amp; Winter Club</t>
        </is>
      </c>
      <c r="I711" t="n">
        <v>35.9</v>
      </c>
      <c r="J711" s="4" t="n">
        <v>28</v>
      </c>
      <c r="K711" t="inlineStr">
        <is>
          <t>9 / 19</t>
        </is>
      </c>
      <c r="L711" t="inlineStr">
        <is>
          <t>4 / 8</t>
        </is>
      </c>
      <c r="M711" s="5" t="n">
        <v>0.32</v>
      </c>
      <c r="N711" s="5" t="n">
        <v>0.33</v>
      </c>
    </row>
    <row r="712">
      <c r="A712" t="n">
        <v>711</v>
      </c>
      <c r="B712" t="n">
        <v>2015</v>
      </c>
      <c r="C712" t="inlineStr">
        <is>
          <t>Isla Cowper</t>
        </is>
      </c>
      <c r="D712">
        <f>HYPERLINK("https://ota.tournamentsoftware.com/player-profile/B4F82BC2-5552-446F-89FC-C5F7C7A674B7", "Link")</f>
        <v/>
      </c>
      <c r="E712" s="3" t="n">
        <v>19.629</v>
      </c>
      <c r="F712" s="4" t="n">
        <v>6</v>
      </c>
      <c r="G712" t="inlineStr">
        <is>
          <t>Ontario Tennis Association</t>
        </is>
      </c>
      <c r="H712" t="inlineStr">
        <is>
          <t>Tam Heather Tennis Club</t>
        </is>
      </c>
      <c r="I712" t="n">
        <v>39.4</v>
      </c>
      <c r="J712" s="4" t="n">
        <v>68</v>
      </c>
      <c r="K712" t="inlineStr">
        <is>
          <t>28 / 40</t>
        </is>
      </c>
      <c r="L712" t="inlineStr">
        <is>
          <t>8 / 16</t>
        </is>
      </c>
      <c r="M712" s="5" t="n">
        <v>0.41</v>
      </c>
      <c r="N712" s="5" t="n">
        <v>0.33</v>
      </c>
    </row>
    <row r="713">
      <c r="A713" t="n">
        <v>712</v>
      </c>
      <c r="B713" t="n">
        <v>2014</v>
      </c>
      <c r="C713" t="inlineStr">
        <is>
          <t>Mia Mengchen Sun</t>
        </is>
      </c>
      <c r="D713">
        <f>HYPERLINK("https://ota.tournamentsoftware.com/player-profile/BFD3D157-D2B6-45BF-BE92-CACB69CCC59C", "Link")</f>
        <v/>
      </c>
      <c r="E713" s="3" t="n">
        <v>19.626</v>
      </c>
      <c r="F713" s="4" t="n">
        <v>5</v>
      </c>
      <c r="G713" t="inlineStr">
        <is>
          <t>Ontario Tennis Association</t>
        </is>
      </c>
      <c r="H713" t="inlineStr">
        <is>
          <t>Markham Tennis Club</t>
        </is>
      </c>
      <c r="I713" t="n">
        <v>37.9</v>
      </c>
      <c r="J713" s="4" t="n">
        <v>51</v>
      </c>
      <c r="K713" t="inlineStr">
        <is>
          <t>32 / 19</t>
        </is>
      </c>
      <c r="L713" t="inlineStr">
        <is>
          <t>0 / 0</t>
        </is>
      </c>
      <c r="M713" s="5" t="n">
        <v>0.63</v>
      </c>
      <c r="N713" s="5" t="n">
        <v>0</v>
      </c>
    </row>
    <row r="714">
      <c r="A714" t="n">
        <v>713</v>
      </c>
      <c r="B714" t="n">
        <v>2017</v>
      </c>
      <c r="C714" t="inlineStr">
        <is>
          <t>Mackenzie Alexandra Greer</t>
        </is>
      </c>
      <c r="D714">
        <f>HYPERLINK("https://ota.tournamentsoftware.com/player-profile/E975EEBE-CD33-46CE-BFFF-1BB5A6FB8672", "Link")</f>
        <v/>
      </c>
      <c r="E714" s="3" t="n">
        <v>19.44</v>
      </c>
      <c r="F714" s="4" t="n">
        <v>3</v>
      </c>
      <c r="G714" t="inlineStr">
        <is>
          <t>Ontario Tennis Association</t>
        </is>
      </c>
      <c r="H714" t="inlineStr">
        <is>
          <t>Stefanovic Tennis Academy</t>
        </is>
      </c>
      <c r="I714" t="n">
        <v>37.2</v>
      </c>
      <c r="J714" s="4" t="n">
        <v>145</v>
      </c>
      <c r="K714" t="inlineStr">
        <is>
          <t>116 / 29</t>
        </is>
      </c>
      <c r="L714" t="inlineStr">
        <is>
          <t>72 / 11</t>
        </is>
      </c>
      <c r="M714" s="5" t="n">
        <v>0.8</v>
      </c>
      <c r="N714" s="5" t="n">
        <v>0.87</v>
      </c>
    </row>
    <row r="715">
      <c r="A715" t="n">
        <v>714</v>
      </c>
      <c r="B715" t="n">
        <v>2012</v>
      </c>
      <c r="C715" t="inlineStr">
        <is>
          <t>Leah Lalonde</t>
        </is>
      </c>
      <c r="D715">
        <f>HYPERLINK("https://ota.tournamentsoftware.com/player-profile/00453502-5F0D-45E9-960B-731844BB2EE7", "Link")</f>
        <v/>
      </c>
      <c r="E715" s="3" t="n">
        <v>19.385</v>
      </c>
      <c r="F715" s="4" t="n">
        <v>1</v>
      </c>
      <c r="G715" t="inlineStr">
        <is>
          <t>Ontario Tennis Association</t>
        </is>
      </c>
      <c r="H715" t="inlineStr">
        <is>
          <t>North Bay Tennis Club</t>
        </is>
      </c>
      <c r="I715" t="inlineStr">
        <is>
          <t>unavailable</t>
        </is>
      </c>
      <c r="J715" s="4" t="n">
        <v>79</v>
      </c>
      <c r="K715" t="inlineStr">
        <is>
          <t>47 / 32</t>
        </is>
      </c>
      <c r="L715" t="inlineStr">
        <is>
          <t>0 / 0</t>
        </is>
      </c>
      <c r="M715" s="5" t="n">
        <v>0.59</v>
      </c>
      <c r="N715" s="5" t="n">
        <v>0</v>
      </c>
    </row>
    <row r="716">
      <c r="A716" t="n">
        <v>715</v>
      </c>
      <c r="B716" t="n">
        <v>2014</v>
      </c>
      <c r="C716" t="inlineStr">
        <is>
          <t>Adele Cui</t>
        </is>
      </c>
      <c r="D716">
        <f>HYPERLINK("https://ota.tournamentsoftware.com/player-profile/E096F094-0386-4439-807E-E147F97C754F", "Link")</f>
        <v/>
      </c>
      <c r="E716" s="3" t="n">
        <v>19.024</v>
      </c>
      <c r="F716" s="4" t="n">
        <v>5</v>
      </c>
      <c r="G716" t="inlineStr">
        <is>
          <t>British Columbia</t>
        </is>
      </c>
      <c r="H716" t="inlineStr">
        <is>
          <t>UBC Tennis Centre</t>
        </is>
      </c>
      <c r="I716" t="n">
        <v>35.8</v>
      </c>
      <c r="J716" s="4" t="n">
        <v>80</v>
      </c>
      <c r="K716" t="inlineStr">
        <is>
          <t>46 / 34</t>
        </is>
      </c>
      <c r="L716" t="inlineStr">
        <is>
          <t>1 / 4</t>
        </is>
      </c>
      <c r="M716" s="5" t="n">
        <v>0.57</v>
      </c>
      <c r="N716" s="5" t="n">
        <v>0.2</v>
      </c>
    </row>
    <row r="717">
      <c r="A717" t="n">
        <v>716</v>
      </c>
      <c r="B717" t="n">
        <v>2014</v>
      </c>
      <c r="C717" t="inlineStr">
        <is>
          <t>Camilia Aroub</t>
        </is>
      </c>
      <c r="D717">
        <f>HYPERLINK("https://ota.tournamentsoftware.com/player-profile/7CE0472D-53F2-438D-B060-8BB037C14F01", "Link")</f>
        <v/>
      </c>
      <c r="E717" s="3" t="n">
        <v>18.866</v>
      </c>
      <c r="F717" s="4" t="n">
        <v>8</v>
      </c>
      <c r="G717" t="inlineStr">
        <is>
          <t>Tennis Québec</t>
        </is>
      </c>
      <c r="H717" t="inlineStr">
        <is>
          <t>Club Sportif Côte-de-Liesse</t>
        </is>
      </c>
      <c r="I717" t="n">
        <v>40</v>
      </c>
      <c r="J717" s="4" t="n">
        <v>16</v>
      </c>
      <c r="K717" t="inlineStr">
        <is>
          <t>2 / 14</t>
        </is>
      </c>
      <c r="L717" t="inlineStr">
        <is>
          <t>2 / 11</t>
        </is>
      </c>
      <c r="M717" s="5" t="n">
        <v>0.12</v>
      </c>
      <c r="N717" s="5" t="n">
        <v>0.15</v>
      </c>
    </row>
    <row r="718">
      <c r="A718" t="n">
        <v>717</v>
      </c>
      <c r="B718" t="n">
        <v>2014</v>
      </c>
      <c r="C718" t="inlineStr">
        <is>
          <t>Olivia V. Jin</t>
        </is>
      </c>
      <c r="D718">
        <f>HYPERLINK("https://ota.tournamentsoftware.com/player-profile/88713252-C9AF-4DC4-B40D-11479A26EE47", "Link")</f>
        <v/>
      </c>
      <c r="E718" s="3" t="n">
        <v>18.821</v>
      </c>
      <c r="F718" s="4" t="n">
        <v>8</v>
      </c>
      <c r="G718" t="inlineStr">
        <is>
          <t>British Columbia</t>
        </is>
      </c>
      <c r="H718" t="inlineStr">
        <is>
          <t>Hollyburn Country Club</t>
        </is>
      </c>
      <c r="I718" t="n">
        <v>35.6</v>
      </c>
      <c r="J718" s="4" t="n">
        <v>85</v>
      </c>
      <c r="K718" t="inlineStr">
        <is>
          <t>26 / 59</t>
        </is>
      </c>
      <c r="L718" t="inlineStr">
        <is>
          <t>6 / 2</t>
        </is>
      </c>
      <c r="M718" s="5" t="n">
        <v>0.31</v>
      </c>
      <c r="N718" s="5" t="n">
        <v>0.75</v>
      </c>
    </row>
    <row r="719">
      <c r="A719" t="n">
        <v>718</v>
      </c>
      <c r="B719" t="n">
        <v>2012</v>
      </c>
      <c r="C719" t="inlineStr">
        <is>
          <t>Maddy Frances Hughes</t>
        </is>
      </c>
      <c r="D719">
        <f>HYPERLINK("https://ota.tournamentsoftware.com/player-profile/78566C46-653E-4667-ADCE-638FA56C318F", "Link")</f>
        <v/>
      </c>
      <c r="E719" s="3" t="n">
        <v>18.771</v>
      </c>
      <c r="F719" s="4" t="n">
        <v>2</v>
      </c>
      <c r="G719" t="inlineStr">
        <is>
          <t>Ontario Tennis Association</t>
        </is>
      </c>
      <c r="H719" t="inlineStr">
        <is>
          <t>Boulevard Club</t>
        </is>
      </c>
      <c r="I719" t="n">
        <v>37.7</v>
      </c>
      <c r="J719" s="4" t="n">
        <v>41</v>
      </c>
      <c r="K719" t="inlineStr">
        <is>
          <t>16 / 25</t>
        </is>
      </c>
      <c r="L719" t="inlineStr">
        <is>
          <t>4 / 7</t>
        </is>
      </c>
      <c r="M719" s="5" t="n">
        <v>0.39</v>
      </c>
      <c r="N719" s="5" t="n">
        <v>0.36</v>
      </c>
    </row>
    <row r="720">
      <c r="A720" t="n">
        <v>719</v>
      </c>
      <c r="B720" t="n">
        <v>2012</v>
      </c>
      <c r="C720" t="inlineStr">
        <is>
          <t>Diya Parkash</t>
        </is>
      </c>
      <c r="D720">
        <f>HYPERLINK("https://ota.tournamentsoftware.com/player-profile/73A3C93B-23D0-4FC2-9B92-CA5DFE4335FD", "Link")</f>
        <v/>
      </c>
      <c r="E720" s="3" t="n">
        <v>18.484</v>
      </c>
      <c r="F720" s="4" t="n">
        <v>1</v>
      </c>
      <c r="G720" t="inlineStr">
        <is>
          <t>Tennis Nova Scotia</t>
        </is>
      </c>
      <c r="H720" t="inlineStr">
        <is>
          <t>HEADSTART</t>
        </is>
      </c>
      <c r="I720" t="n">
        <v>36.8</v>
      </c>
      <c r="J720" s="4" t="n">
        <v>6</v>
      </c>
      <c r="K720" t="inlineStr">
        <is>
          <t>3 / 3</t>
        </is>
      </c>
      <c r="L720" t="inlineStr">
        <is>
          <t>3 / 3</t>
        </is>
      </c>
      <c r="M720" s="5" t="n">
        <v>0.5</v>
      </c>
      <c r="N720" s="5" t="n">
        <v>0.5</v>
      </c>
    </row>
    <row r="721">
      <c r="A721" t="n">
        <v>720</v>
      </c>
      <c r="B721" t="n">
        <v>2013</v>
      </c>
      <c r="C721" t="inlineStr">
        <is>
          <t>Eve Fuemana</t>
        </is>
      </c>
      <c r="D721">
        <f>HYPERLINK("https://ota.tournamentsoftware.com/player-profile/C6B89948-0347-4A82-9588-926B794A08CE", "Link")</f>
        <v/>
      </c>
      <c r="E721" s="3" t="n">
        <v>18.447</v>
      </c>
      <c r="F721" s="4" t="n">
        <v>1</v>
      </c>
      <c r="G721" t="inlineStr">
        <is>
          <t>Ontario Tennis Association</t>
        </is>
      </c>
      <c r="H721" t="inlineStr">
        <is>
          <t>Toronto Tennis City</t>
        </is>
      </c>
      <c r="I721" t="n">
        <v>27.7</v>
      </c>
      <c r="J721" s="4" t="n">
        <v>3</v>
      </c>
      <c r="K721" t="inlineStr">
        <is>
          <t>0 / 3</t>
        </is>
      </c>
      <c r="L721" t="inlineStr">
        <is>
          <t>0 / 1</t>
        </is>
      </c>
      <c r="M721" s="5" t="n">
        <v>0</v>
      </c>
      <c r="N721" s="5" t="n">
        <v>0</v>
      </c>
    </row>
    <row r="722">
      <c r="A722" t="n">
        <v>721</v>
      </c>
      <c r="B722" t="n">
        <v>2014</v>
      </c>
      <c r="C722" t="inlineStr">
        <is>
          <t>Éloïse Renaud</t>
        </is>
      </c>
      <c r="D722">
        <f>HYPERLINK("https://ota.tournamentsoftware.com/player-profile/B18DE2B4-0E8A-4263-8136-FCC7F7A61D01", "Link")</f>
        <v/>
      </c>
      <c r="E722" s="3" t="n">
        <v>18.36</v>
      </c>
      <c r="F722" s="4" t="n">
        <v>4</v>
      </c>
      <c r="G722" t="inlineStr">
        <is>
          <t>Tennis Québec</t>
        </is>
      </c>
      <c r="H722" t="inlineStr">
        <is>
          <t>Tennis 13</t>
        </is>
      </c>
      <c r="I722" t="inlineStr">
        <is>
          <t>unavailable</t>
        </is>
      </c>
      <c r="J722" s="4" t="n">
        <v>8</v>
      </c>
      <c r="K722" t="inlineStr">
        <is>
          <t>4 / 4</t>
        </is>
      </c>
      <c r="L722" t="inlineStr">
        <is>
          <t>1 / 2</t>
        </is>
      </c>
      <c r="M722" s="5" t="n">
        <v>0.5</v>
      </c>
      <c r="N722" s="5" t="n">
        <v>0.33</v>
      </c>
    </row>
    <row r="723">
      <c r="A723" t="n">
        <v>722</v>
      </c>
      <c r="B723" t="n">
        <v>2015</v>
      </c>
      <c r="C723" t="inlineStr">
        <is>
          <t>Simone Tremblay-Roy</t>
        </is>
      </c>
      <c r="D723">
        <f>HYPERLINK("https://ota.tournamentsoftware.com/player-profile/E7E1A20D-ED12-47F1-913D-3022C4BE6070", "Link")</f>
        <v/>
      </c>
      <c r="E723" s="3" t="n">
        <v>18.332</v>
      </c>
      <c r="F723" s="4" t="n">
        <v>2</v>
      </c>
      <c r="G723" t="inlineStr">
        <is>
          <t>Tennis Québec</t>
        </is>
      </c>
      <c r="H723" t="inlineStr">
        <is>
          <t>Club de tennis intérieur Saguenay</t>
        </is>
      </c>
      <c r="I723" t="n">
        <v>37.4</v>
      </c>
      <c r="J723" s="4" t="n">
        <v>7</v>
      </c>
      <c r="K723" t="inlineStr">
        <is>
          <t>4 / 3</t>
        </is>
      </c>
      <c r="L723" t="inlineStr">
        <is>
          <t>1 / 3</t>
        </is>
      </c>
      <c r="M723" s="5" t="n">
        <v>0.57</v>
      </c>
      <c r="N723" s="5" t="n">
        <v>0.25</v>
      </c>
    </row>
    <row r="724">
      <c r="A724" t="n">
        <v>723</v>
      </c>
      <c r="B724" t="n">
        <v>2013</v>
      </c>
      <c r="C724" t="inlineStr">
        <is>
          <t>Blake Beck Sadler</t>
        </is>
      </c>
      <c r="D724">
        <f>HYPERLINK("https://ota.tournamentsoftware.com/player-profile/B44D5381-342B-4AF0-8200-EA0CEE1E54B7", "Link")</f>
        <v/>
      </c>
      <c r="E724" s="3" t="n">
        <v>17.916</v>
      </c>
      <c r="F724" s="4" t="n">
        <v>2</v>
      </c>
      <c r="G724" t="inlineStr">
        <is>
          <t>Ontario Tennis Association</t>
        </is>
      </c>
      <c r="H724" t="inlineStr">
        <is>
          <t>Ontario Racquet Club</t>
        </is>
      </c>
      <c r="I724" t="n">
        <v>35.9</v>
      </c>
      <c r="J724" s="4" t="n">
        <v>22</v>
      </c>
      <c r="K724" t="inlineStr">
        <is>
          <t>12 / 10</t>
        </is>
      </c>
      <c r="L724" t="inlineStr">
        <is>
          <t>1 / 1</t>
        </is>
      </c>
      <c r="M724" s="5" t="n">
        <v>0.55</v>
      </c>
      <c r="N724" s="5" t="n">
        <v>0.5</v>
      </c>
    </row>
    <row r="725">
      <c r="A725" t="n">
        <v>724</v>
      </c>
      <c r="B725" t="n">
        <v>2014</v>
      </c>
      <c r="C725" t="inlineStr">
        <is>
          <t>Sophia Marietta Dee</t>
        </is>
      </c>
      <c r="D725">
        <f>HYPERLINK("https://ota.tournamentsoftware.com/player-profile/C69F5ADB-3749-4D97-A809-250A73BB30C1", "Link")</f>
        <v/>
      </c>
      <c r="E725" s="3" t="n">
        <v>17.903</v>
      </c>
      <c r="F725" s="4" t="n">
        <v>6</v>
      </c>
      <c r="G725" t="inlineStr">
        <is>
          <t>British Columbia</t>
        </is>
      </c>
      <c r="H725" t="inlineStr">
        <is>
          <t>Arbutus Club</t>
        </is>
      </c>
      <c r="I725" t="n">
        <v>36.8</v>
      </c>
      <c r="J725" s="4" t="n">
        <v>40</v>
      </c>
      <c r="K725" t="inlineStr">
        <is>
          <t>14 / 26</t>
        </is>
      </c>
      <c r="L725" t="inlineStr">
        <is>
          <t>5 / 7</t>
        </is>
      </c>
      <c r="M725" s="5" t="n">
        <v>0.35</v>
      </c>
      <c r="N725" s="5" t="n">
        <v>0.42</v>
      </c>
    </row>
    <row r="726">
      <c r="A726" t="n">
        <v>725</v>
      </c>
      <c r="B726" t="n">
        <v>2014</v>
      </c>
      <c r="C726" t="inlineStr">
        <is>
          <t>Emma Jingya Xi</t>
        </is>
      </c>
      <c r="D726">
        <f>HYPERLINK("https://ota.tournamentsoftware.com/player-profile/540C86FB-2BC4-4357-8C94-AA0A3EEBDC22", "Link")</f>
        <v/>
      </c>
      <c r="E726" s="3" t="n">
        <v>17.4</v>
      </c>
      <c r="F726" s="4" t="n">
        <v>2</v>
      </c>
      <c r="G726" t="inlineStr">
        <is>
          <t>Ontario Tennis Association</t>
        </is>
      </c>
      <c r="H726" t="inlineStr">
        <is>
          <t>ACE Tennis - Burlington</t>
        </is>
      </c>
      <c r="I726" t="inlineStr">
        <is>
          <t>unavailable</t>
        </is>
      </c>
      <c r="J726" s="4" t="n">
        <v>40</v>
      </c>
      <c r="K726" t="inlineStr">
        <is>
          <t>14 / 26</t>
        </is>
      </c>
      <c r="L726" t="inlineStr">
        <is>
          <t>1 / 4</t>
        </is>
      </c>
      <c r="M726" s="5" t="n">
        <v>0.35</v>
      </c>
      <c r="N726" s="5" t="n">
        <v>0.2</v>
      </c>
    </row>
    <row r="727">
      <c r="A727" t="n">
        <v>726</v>
      </c>
      <c r="B727" t="n">
        <v>2013</v>
      </c>
      <c r="C727" t="inlineStr">
        <is>
          <t>Lily Pilipowicz</t>
        </is>
      </c>
      <c r="D727">
        <f>HYPERLINK("https://ota.tournamentsoftware.com/player-profile/B42CFB1E-4A07-4108-A904-8512C36C48D8", "Link")</f>
        <v/>
      </c>
      <c r="E727" s="3" t="n">
        <v>17.313</v>
      </c>
      <c r="F727" s="4" t="n">
        <v>4</v>
      </c>
      <c r="G727" t="inlineStr">
        <is>
          <t>Tennis Alberta</t>
        </is>
      </c>
      <c r="H727" t="inlineStr">
        <is>
          <t>Aforza</t>
        </is>
      </c>
      <c r="I727" t="n">
        <v>33.9</v>
      </c>
      <c r="J727" s="4" t="n">
        <v>40</v>
      </c>
      <c r="K727" t="inlineStr">
        <is>
          <t>19 / 21</t>
        </is>
      </c>
      <c r="L727" t="inlineStr">
        <is>
          <t>0 / 1</t>
        </is>
      </c>
      <c r="M727" s="5" t="n">
        <v>0.47</v>
      </c>
      <c r="N727" s="5" t="n">
        <v>0</v>
      </c>
    </row>
    <row r="728">
      <c r="A728" t="n">
        <v>727</v>
      </c>
      <c r="B728" t="n">
        <v>2016</v>
      </c>
      <c r="C728" t="inlineStr">
        <is>
          <t>Nourine Chebitou</t>
        </is>
      </c>
      <c r="D728">
        <f>HYPERLINK("https://ota.tournamentsoftware.com/player-profile/7B847012-F77E-40EE-A816-39ABE1031DA9", "Link")</f>
        <v/>
      </c>
      <c r="E728" s="3" t="n">
        <v>17.28</v>
      </c>
      <c r="F728" s="4" t="n">
        <v>1</v>
      </c>
      <c r="G728" t="inlineStr">
        <is>
          <t>Tennis Québec</t>
        </is>
      </c>
      <c r="H728" t="inlineStr">
        <is>
          <t>SANI Sport</t>
        </is>
      </c>
      <c r="I728" t="n">
        <v>37.3</v>
      </c>
      <c r="J728" s="4" t="n">
        <v>5</v>
      </c>
      <c r="K728" t="inlineStr">
        <is>
          <t>1 / 4</t>
        </is>
      </c>
      <c r="L728" t="inlineStr">
        <is>
          <t>1 / 1</t>
        </is>
      </c>
      <c r="M728" s="5" t="n">
        <v>0.2</v>
      </c>
      <c r="N728" s="5" t="n">
        <v>0.5</v>
      </c>
    </row>
    <row r="729">
      <c r="A729" t="n">
        <v>727</v>
      </c>
      <c r="B729" t="n">
        <v>2014</v>
      </c>
      <c r="C729" t="inlineStr">
        <is>
          <t>Rehmat Kaur Sandhar</t>
        </is>
      </c>
      <c r="D729">
        <f>HYPERLINK("https://ota.tournamentsoftware.com/player-profile/F8357E3D-210F-40E0-BA8A-8FFDBD0DC17E", "Link")</f>
        <v/>
      </c>
      <c r="E729" s="3" t="n">
        <v>17.28</v>
      </c>
      <c r="F729" s="4" t="n">
        <v>2</v>
      </c>
      <c r="G729" t="inlineStr">
        <is>
          <t>Ontario Tennis Association</t>
        </is>
      </c>
      <c r="H729" t="inlineStr">
        <is>
          <t>ON Tennis Toronto No Club</t>
        </is>
      </c>
      <c r="I729" t="n">
        <v>36.7</v>
      </c>
      <c r="J729" s="4" t="n">
        <v>29</v>
      </c>
      <c r="K729" t="inlineStr">
        <is>
          <t>12 / 17</t>
        </is>
      </c>
      <c r="L729" t="inlineStr">
        <is>
          <t>12 / 14</t>
        </is>
      </c>
      <c r="M729" s="5" t="n">
        <v>0.41</v>
      </c>
      <c r="N729" s="5" t="n">
        <v>0.46</v>
      </c>
    </row>
    <row r="730">
      <c r="A730" t="n">
        <v>729</v>
      </c>
      <c r="B730" t="n">
        <v>2012</v>
      </c>
      <c r="C730" t="inlineStr">
        <is>
          <t>Emily Solc</t>
        </is>
      </c>
      <c r="D730">
        <f>HYPERLINK("https://ota.tournamentsoftware.com/player-profile/0117F9E7-8DFA-459F-859A-F7CFC440388D", "Link")</f>
        <v/>
      </c>
      <c r="E730" s="3" t="n">
        <v>17.16</v>
      </c>
      <c r="F730" s="4" t="n">
        <v>1</v>
      </c>
      <c r="G730" t="inlineStr">
        <is>
          <t>Ontario Tennis Association</t>
        </is>
      </c>
      <c r="H730" t="inlineStr">
        <is>
          <t>Ajax Tennis Club</t>
        </is>
      </c>
      <c r="I730" t="n">
        <v>35.7</v>
      </c>
      <c r="J730" s="4" t="n">
        <v>15</v>
      </c>
      <c r="K730" t="inlineStr">
        <is>
          <t>6 / 9</t>
        </is>
      </c>
      <c r="L730" t="inlineStr">
        <is>
          <t>0 / 0</t>
        </is>
      </c>
      <c r="M730" s="5" t="n">
        <v>0.4</v>
      </c>
      <c r="N730" s="5" t="n">
        <v>0</v>
      </c>
    </row>
    <row r="731">
      <c r="A731" t="n">
        <v>730</v>
      </c>
      <c r="B731" t="n">
        <v>2015</v>
      </c>
      <c r="C731" t="inlineStr">
        <is>
          <t>Maggie Yang</t>
        </is>
      </c>
      <c r="D731">
        <f>HYPERLINK("https://ota.tournamentsoftware.com/player-profile/1188855E-2EBD-473C-B3CD-74B3CDDF9042", "Link")</f>
        <v/>
      </c>
      <c r="E731" s="3" t="n">
        <v>17.037</v>
      </c>
      <c r="F731" s="4" t="n">
        <v>3</v>
      </c>
      <c r="G731" t="inlineStr">
        <is>
          <t>Ontario Tennis Association</t>
        </is>
      </c>
      <c r="H731" t="inlineStr">
        <is>
          <t>Royal City Tennis Club</t>
        </is>
      </c>
      <c r="I731" t="n">
        <v>35.7</v>
      </c>
      <c r="J731" s="4" t="n">
        <v>29</v>
      </c>
      <c r="K731" t="inlineStr">
        <is>
          <t>11 / 18</t>
        </is>
      </c>
      <c r="L731" t="inlineStr">
        <is>
          <t>2 / 3</t>
        </is>
      </c>
      <c r="M731" s="5" t="n">
        <v>0.38</v>
      </c>
      <c r="N731" s="5" t="n">
        <v>0.4</v>
      </c>
    </row>
    <row r="732">
      <c r="A732" t="n">
        <v>731</v>
      </c>
      <c r="B732" t="n">
        <v>2016</v>
      </c>
      <c r="C732" t="inlineStr">
        <is>
          <t>Madison Prsa</t>
        </is>
      </c>
      <c r="D732">
        <f>HYPERLINK("https://ota.tournamentsoftware.com/player-profile/E90BB9E9-F58B-415B-8202-1B024EFB9E36", "Link")</f>
        <v/>
      </c>
      <c r="E732" s="3" t="n">
        <v>16.848</v>
      </c>
      <c r="F732" s="4" t="n">
        <v>5</v>
      </c>
      <c r="G732" t="inlineStr">
        <is>
          <t>Ontario Tennis Association</t>
        </is>
      </c>
      <c r="H732" t="inlineStr">
        <is>
          <t>Advantage Tennis International at Veneto</t>
        </is>
      </c>
      <c r="I732" t="n">
        <v>37.3</v>
      </c>
      <c r="J732" s="4" t="n">
        <v>142</v>
      </c>
      <c r="K732" t="inlineStr">
        <is>
          <t>54 / 88</t>
        </is>
      </c>
      <c r="L732" t="inlineStr">
        <is>
          <t>13 / 20</t>
        </is>
      </c>
      <c r="M732" s="5" t="n">
        <v>0.38</v>
      </c>
      <c r="N732" s="5" t="n">
        <v>0.39</v>
      </c>
    </row>
    <row r="733">
      <c r="A733" t="n">
        <v>732</v>
      </c>
      <c r="B733" t="n">
        <v>2012</v>
      </c>
      <c r="C733" t="inlineStr">
        <is>
          <t>Elise Weaser</t>
        </is>
      </c>
      <c r="D733">
        <f>HYPERLINK("https://ota.tournamentsoftware.com/player-profile/DA22DB71-D6D8-4605-B329-E9AEA5B14695", "Link")</f>
        <v/>
      </c>
      <c r="E733" s="3" t="n">
        <v>16.632</v>
      </c>
      <c r="F733" s="4" t="n">
        <v>1</v>
      </c>
      <c r="G733" t="inlineStr">
        <is>
          <t>Ontario Tennis Association</t>
        </is>
      </c>
      <c r="H733" t="inlineStr">
        <is>
          <t>Ontario Racquet Club</t>
        </is>
      </c>
      <c r="I733" t="n">
        <v>38</v>
      </c>
      <c r="J733" s="4" t="n">
        <v>28</v>
      </c>
      <c r="K733" t="inlineStr">
        <is>
          <t>6 / 22</t>
        </is>
      </c>
      <c r="L733" t="inlineStr">
        <is>
          <t>1 / 1</t>
        </is>
      </c>
      <c r="M733" s="5" t="n">
        <v>0.21</v>
      </c>
      <c r="N733" s="5" t="n">
        <v>0.5</v>
      </c>
    </row>
    <row r="734">
      <c r="A734" t="n">
        <v>733</v>
      </c>
      <c r="B734" t="n">
        <v>2013</v>
      </c>
      <c r="C734" t="inlineStr">
        <is>
          <t>Vasta Keshavarz</t>
        </is>
      </c>
      <c r="D734">
        <f>HYPERLINK("https://ota.tournamentsoftware.com/player-profile/601A80FC-EABC-4AF6-9B13-BEBCF22814BA", "Link")</f>
        <v/>
      </c>
      <c r="E734" s="3" t="n">
        <v>16.603</v>
      </c>
      <c r="F734" s="4" t="n">
        <v>4</v>
      </c>
      <c r="G734" t="inlineStr">
        <is>
          <t>British Columbia</t>
        </is>
      </c>
      <c r="H734" t="inlineStr">
        <is>
          <t>North Vancouver Tennis Centre</t>
        </is>
      </c>
      <c r="I734" t="inlineStr">
        <is>
          <t>unavailable</t>
        </is>
      </c>
      <c r="J734" s="4" t="n">
        <v>37</v>
      </c>
      <c r="K734" t="inlineStr">
        <is>
          <t>12 / 25</t>
        </is>
      </c>
      <c r="L734" t="inlineStr">
        <is>
          <t>4 / 18</t>
        </is>
      </c>
      <c r="M734" s="5" t="n">
        <v>0.32</v>
      </c>
      <c r="N734" s="5" t="n">
        <v>0.18</v>
      </c>
    </row>
    <row r="735">
      <c r="A735" t="n">
        <v>734</v>
      </c>
      <c r="B735" t="n">
        <v>2015</v>
      </c>
      <c r="C735" t="inlineStr">
        <is>
          <t>Léa Anténor</t>
        </is>
      </c>
      <c r="D735">
        <f>HYPERLINK("https://ota.tournamentsoftware.com/player-profile/C5888674-E1AF-487D-88CD-4864B4B9365E", "Link")</f>
        <v/>
      </c>
      <c r="E735" s="3" t="n">
        <v>16.489</v>
      </c>
      <c r="F735" s="4" t="n">
        <v>3</v>
      </c>
      <c r="G735" t="inlineStr">
        <is>
          <t>Tennis Québec</t>
        </is>
      </c>
      <c r="H735" t="inlineStr">
        <is>
          <t>No Club</t>
        </is>
      </c>
      <c r="I735" t="inlineStr">
        <is>
          <t>unavailable</t>
        </is>
      </c>
      <c r="J735" s="4" t="n">
        <v>2</v>
      </c>
      <c r="K735" t="inlineStr">
        <is>
          <t>0 / 2</t>
        </is>
      </c>
      <c r="L735" t="inlineStr">
        <is>
          <t>0 / 2</t>
        </is>
      </c>
      <c r="M735" s="5" t="n">
        <v>0</v>
      </c>
      <c r="N735" s="5" t="n">
        <v>0</v>
      </c>
    </row>
    <row r="736">
      <c r="A736" t="n">
        <v>735</v>
      </c>
      <c r="B736" t="n">
        <v>2014</v>
      </c>
      <c r="C736" t="inlineStr">
        <is>
          <t>Livia Hu</t>
        </is>
      </c>
      <c r="D736">
        <f>HYPERLINK("https://ota.tournamentsoftware.com/player-profile/F0626954-59DE-45D2-AE30-FCA903A00699", "Link")</f>
        <v/>
      </c>
      <c r="E736" s="3" t="n">
        <v>16.459</v>
      </c>
      <c r="F736" s="4" t="n">
        <v>2</v>
      </c>
      <c r="G736" t="inlineStr">
        <is>
          <t>Tennis Saskatchewan</t>
        </is>
      </c>
      <c r="H736" t="inlineStr">
        <is>
          <t>No Club</t>
        </is>
      </c>
      <c r="I736" t="n">
        <v>30.1</v>
      </c>
      <c r="J736" s="4" t="n">
        <v>38</v>
      </c>
      <c r="K736" t="inlineStr">
        <is>
          <t>23 / 15</t>
        </is>
      </c>
      <c r="L736" t="inlineStr">
        <is>
          <t>5 / 3</t>
        </is>
      </c>
      <c r="M736" s="5" t="n">
        <v>0.61</v>
      </c>
      <c r="N736" s="5" t="n">
        <v>0.62</v>
      </c>
    </row>
    <row r="737">
      <c r="A737" t="n">
        <v>736</v>
      </c>
      <c r="B737" t="n">
        <v>2016</v>
      </c>
      <c r="C737" t="inlineStr">
        <is>
          <t>Yuetian Caroline Guo</t>
        </is>
      </c>
      <c r="D737">
        <f>HYPERLINK("https://ota.tournamentsoftware.com/player-profile/D9EEB088-31A0-4FD1-A91B-A82319998935", "Link")</f>
        <v/>
      </c>
      <c r="E737" s="3" t="n">
        <v>16.33</v>
      </c>
      <c r="F737" s="4" t="n">
        <v>9</v>
      </c>
      <c r="G737" t="inlineStr">
        <is>
          <t>British Columbia</t>
        </is>
      </c>
      <c r="H737" t="inlineStr">
        <is>
          <t>The Tennis Centre</t>
        </is>
      </c>
      <c r="I737" t="n">
        <v>37.2</v>
      </c>
      <c r="J737" s="4" t="n">
        <v>100</v>
      </c>
      <c r="K737" t="inlineStr">
        <is>
          <t>57 / 43</t>
        </is>
      </c>
      <c r="L737" t="inlineStr">
        <is>
          <t>27 / 17</t>
        </is>
      </c>
      <c r="M737" s="5" t="n">
        <v>0.57</v>
      </c>
      <c r="N737" s="5" t="n">
        <v>0.61</v>
      </c>
    </row>
    <row r="738">
      <c r="A738" t="n">
        <v>737</v>
      </c>
      <c r="B738" t="n">
        <v>2015</v>
      </c>
      <c r="C738" t="inlineStr">
        <is>
          <t>Margaux Eile</t>
        </is>
      </c>
      <c r="D738">
        <f>HYPERLINK("https://ota.tournamentsoftware.com/player-profile/9023DCCB-FDAB-4759-A4C9-E99C2FD3C6AD", "Link")</f>
        <v/>
      </c>
      <c r="E738" s="3" t="n">
        <v>16.313</v>
      </c>
      <c r="F738" s="4" t="n">
        <v>6</v>
      </c>
      <c r="G738" t="inlineStr">
        <is>
          <t>Tennis Québec</t>
        </is>
      </c>
      <c r="H738" t="inlineStr">
        <is>
          <t>Midtown Le Sporting Club Sanctuaire</t>
        </is>
      </c>
      <c r="I738" t="inlineStr">
        <is>
          <t>unavailable</t>
        </is>
      </c>
      <c r="J738" s="4" t="n">
        <v>25</v>
      </c>
      <c r="K738" t="inlineStr">
        <is>
          <t>2 / 23</t>
        </is>
      </c>
      <c r="L738" t="inlineStr">
        <is>
          <t>0 / 6</t>
        </is>
      </c>
      <c r="M738" s="5" t="n">
        <v>0.08</v>
      </c>
      <c r="N738" s="5" t="n">
        <v>0</v>
      </c>
    </row>
    <row r="739">
      <c r="A739" t="n">
        <v>738</v>
      </c>
      <c r="B739" t="n">
        <v>2013</v>
      </c>
      <c r="C739" t="inlineStr">
        <is>
          <t>Kate Sumner</t>
        </is>
      </c>
      <c r="D739">
        <f>HYPERLINK("https://ota.tournamentsoftware.com/player-profile/42BF9410-8926-4C81-9B50-F1262CEF0360", "Link")</f>
        <v/>
      </c>
      <c r="E739" s="3" t="n">
        <v>16.027</v>
      </c>
      <c r="F739" s="4" t="n">
        <v>3</v>
      </c>
      <c r="G739" t="inlineStr">
        <is>
          <t>Ontario Tennis Association</t>
        </is>
      </c>
      <c r="H739" t="inlineStr">
        <is>
          <t>Toronto Cricket Skating &amp; Curling</t>
        </is>
      </c>
      <c r="I739" t="inlineStr">
        <is>
          <t>unavailable</t>
        </is>
      </c>
      <c r="J739" s="4" t="n">
        <v>33</v>
      </c>
      <c r="K739" t="inlineStr">
        <is>
          <t>11 / 22</t>
        </is>
      </c>
      <c r="L739" t="inlineStr">
        <is>
          <t>1 / 1</t>
        </is>
      </c>
      <c r="M739" s="5" t="n">
        <v>0.33</v>
      </c>
      <c r="N739" s="5" t="n">
        <v>0.5</v>
      </c>
    </row>
    <row r="740">
      <c r="A740" t="n">
        <v>739</v>
      </c>
      <c r="B740" t="n">
        <v>2017</v>
      </c>
      <c r="C740" t="inlineStr">
        <is>
          <t>Safiatou Ntentie Nchange</t>
        </is>
      </c>
      <c r="D740">
        <f>HYPERLINK("https://ota.tournamentsoftware.com/player-profile/5B1E15AE-3503-449A-B482-B98077F40A43", "Link")</f>
        <v/>
      </c>
      <c r="E740" s="3" t="n">
        <v>15.898</v>
      </c>
      <c r="F740" s="4" t="n">
        <v>6</v>
      </c>
      <c r="G740" t="inlineStr">
        <is>
          <t>Tennis Alberta</t>
        </is>
      </c>
      <c r="H740" t="inlineStr">
        <is>
          <t>No Club</t>
        </is>
      </c>
      <c r="I740" t="n">
        <v>35.6</v>
      </c>
      <c r="J740" s="4" t="n">
        <v>39</v>
      </c>
      <c r="K740" t="inlineStr">
        <is>
          <t>27 / 12</t>
        </is>
      </c>
      <c r="L740" t="inlineStr">
        <is>
          <t>23 / 11</t>
        </is>
      </c>
      <c r="M740" s="5" t="n">
        <v>0.6899999999999999</v>
      </c>
      <c r="N740" s="5" t="n">
        <v>0.68</v>
      </c>
    </row>
    <row r="741">
      <c r="A741" t="n">
        <v>740</v>
      </c>
      <c r="B741" t="n">
        <v>2014</v>
      </c>
      <c r="C741" t="inlineStr">
        <is>
          <t>Precious J. Mutiku</t>
        </is>
      </c>
      <c r="D741">
        <f>HYPERLINK("https://ota.tournamentsoftware.com/player-profile/60A61325-C72A-4622-B3AF-5291E7A5657A", "Link")</f>
        <v/>
      </c>
      <c r="E741" s="3" t="n">
        <v>15.059</v>
      </c>
      <c r="F741" s="4" t="n">
        <v>1</v>
      </c>
      <c r="G741" t="inlineStr">
        <is>
          <t>Tennis Manitoba</t>
        </is>
      </c>
      <c r="H741" t="inlineStr">
        <is>
          <t>Taylor Tennis</t>
        </is>
      </c>
      <c r="I741" t="n">
        <v>37</v>
      </c>
      <c r="J741" s="4" t="n">
        <v>3</v>
      </c>
      <c r="K741" t="inlineStr">
        <is>
          <t>1 / 2</t>
        </is>
      </c>
      <c r="L741" t="inlineStr">
        <is>
          <t>0 / 1</t>
        </is>
      </c>
      <c r="M741" s="5" t="n">
        <v>0.33</v>
      </c>
      <c r="N741" s="5" t="n">
        <v>0</v>
      </c>
    </row>
    <row r="742">
      <c r="A742" t="n">
        <v>741</v>
      </c>
      <c r="B742" t="n">
        <v>2013</v>
      </c>
      <c r="C742" t="inlineStr">
        <is>
          <t>Kensington Gavin</t>
        </is>
      </c>
      <c r="D742">
        <f>HYPERLINK("https://ota.tournamentsoftware.com/player-profile/A4C08F5F-BDB2-4714-9F20-18E924F0B20C", "Link")</f>
        <v/>
      </c>
      <c r="E742" s="3" t="n">
        <v>15</v>
      </c>
      <c r="F742" s="4" t="n">
        <v>1</v>
      </c>
      <c r="G742" t="inlineStr">
        <is>
          <t>British Columbia</t>
        </is>
      </c>
      <c r="H742" t="inlineStr">
        <is>
          <t>No Club</t>
        </is>
      </c>
      <c r="I742" t="n">
        <v>33.1</v>
      </c>
      <c r="J742" s="4" t="n">
        <v>121</v>
      </c>
      <c r="K742" t="inlineStr">
        <is>
          <t>70 / 51</t>
        </is>
      </c>
      <c r="L742" t="inlineStr">
        <is>
          <t>0 / 0</t>
        </is>
      </c>
      <c r="M742" s="5" t="n">
        <v>0.58</v>
      </c>
      <c r="N742" s="5" t="n">
        <v>0</v>
      </c>
    </row>
    <row r="743">
      <c r="A743" t="n">
        <v>742</v>
      </c>
      <c r="B743" t="n">
        <v>2016</v>
      </c>
      <c r="C743" t="inlineStr">
        <is>
          <t>Heidi Liu</t>
        </is>
      </c>
      <c r="D743">
        <f>HYPERLINK("https://ota.tournamentsoftware.com/player-profile/E3F0466B-50E4-4105-A35A-1BB6B1C1C09C", "Link")</f>
        <v/>
      </c>
      <c r="E743" s="3" t="n">
        <v>14.97</v>
      </c>
      <c r="F743" s="4" t="n">
        <v>6</v>
      </c>
      <c r="G743" t="inlineStr">
        <is>
          <t>British Columbia</t>
        </is>
      </c>
      <c r="H743" t="inlineStr">
        <is>
          <t>UBC Tennis Centre</t>
        </is>
      </c>
      <c r="I743" t="n">
        <v>38.3</v>
      </c>
      <c r="J743" s="4" t="n">
        <v>77</v>
      </c>
      <c r="K743" t="inlineStr">
        <is>
          <t>44 / 33</t>
        </is>
      </c>
      <c r="L743" t="inlineStr">
        <is>
          <t>21 / 20</t>
        </is>
      </c>
      <c r="M743" s="5" t="n">
        <v>0.57</v>
      </c>
      <c r="N743" s="5" t="n">
        <v>0.51</v>
      </c>
    </row>
    <row r="744">
      <c r="A744" t="n">
        <v>743</v>
      </c>
      <c r="B744" t="n">
        <v>2012</v>
      </c>
      <c r="C744" t="inlineStr">
        <is>
          <t>Navia Kaylynn Barlow</t>
        </is>
      </c>
      <c r="D744">
        <f>HYPERLINK("https://ota.tournamentsoftware.com/player-profile/44A25362-E73B-4E09-954B-7A375954482B", "Link")</f>
        <v/>
      </c>
      <c r="E744" s="3" t="n">
        <v>14.647</v>
      </c>
      <c r="F744" s="4" t="n">
        <v>3</v>
      </c>
      <c r="G744" t="inlineStr">
        <is>
          <t>Tennis Alberta</t>
        </is>
      </c>
      <c r="H744" t="inlineStr">
        <is>
          <t>Derrick Golf &amp; Winter Club</t>
        </is>
      </c>
      <c r="I744" t="inlineStr">
        <is>
          <t>unavailable</t>
        </is>
      </c>
      <c r="J744" s="4" t="n">
        <v>6</v>
      </c>
      <c r="K744" t="inlineStr">
        <is>
          <t>2 / 4</t>
        </is>
      </c>
      <c r="L744" t="inlineStr">
        <is>
          <t>2 / 4</t>
        </is>
      </c>
      <c r="M744" s="5" t="n">
        <v>0.33</v>
      </c>
      <c r="N744" s="5" t="n">
        <v>0.33</v>
      </c>
    </row>
    <row r="745">
      <c r="A745" t="n">
        <v>744</v>
      </c>
      <c r="B745" t="n">
        <v>2015</v>
      </c>
      <c r="C745" t="inlineStr">
        <is>
          <t>Mira Akhoundova</t>
        </is>
      </c>
      <c r="D745">
        <f>HYPERLINK("https://ota.tournamentsoftware.com/player-profile/DFAA2C12-ED04-42F9-9711-F91A6745B43A", "Link")</f>
        <v/>
      </c>
      <c r="E745" s="3" t="n">
        <v>14.585</v>
      </c>
      <c r="F745" s="4" t="n">
        <v>3</v>
      </c>
      <c r="G745" t="inlineStr">
        <is>
          <t>Ontario Tennis Association</t>
        </is>
      </c>
      <c r="H745" t="inlineStr">
        <is>
          <t>Marilyn Redvers Tennis Club</t>
        </is>
      </c>
      <c r="I745" t="n">
        <v>40</v>
      </c>
      <c r="J745" s="4" t="n">
        <v>28</v>
      </c>
      <c r="K745" t="inlineStr">
        <is>
          <t>14 / 14</t>
        </is>
      </c>
      <c r="L745" t="inlineStr">
        <is>
          <t>5 / 9</t>
        </is>
      </c>
      <c r="M745" s="5" t="n">
        <v>0.5</v>
      </c>
      <c r="N745" s="5" t="n">
        <v>0.36</v>
      </c>
    </row>
    <row r="746">
      <c r="A746" t="n">
        <v>745</v>
      </c>
      <c r="B746" t="n">
        <v>2017</v>
      </c>
      <c r="C746" t="inlineStr">
        <is>
          <t>Erika ko</t>
        </is>
      </c>
      <c r="D746">
        <f>HYPERLINK("https://ota.tournamentsoftware.com/player-profile/63E3DB95-CFC7-47F5-8461-E32C50FD6342", "Link")</f>
        <v/>
      </c>
      <c r="E746" s="3" t="n">
        <v>14.4</v>
      </c>
      <c r="F746" s="4" t="n">
        <v>6</v>
      </c>
      <c r="G746" t="inlineStr">
        <is>
          <t>British Columbia</t>
        </is>
      </c>
      <c r="H746" t="inlineStr">
        <is>
          <t>Richmond Country Club</t>
        </is>
      </c>
      <c r="I746" t="n">
        <v>37.9</v>
      </c>
      <c r="J746" s="4" t="n">
        <v>135</v>
      </c>
      <c r="K746" t="inlineStr">
        <is>
          <t>61 / 74</t>
        </is>
      </c>
      <c r="L746" t="inlineStr">
        <is>
          <t>4 / 8</t>
        </is>
      </c>
      <c r="M746" s="5" t="n">
        <v>0.45</v>
      </c>
      <c r="N746" s="5" t="n">
        <v>0.33</v>
      </c>
    </row>
    <row r="747">
      <c r="A747" t="n">
        <v>746</v>
      </c>
      <c r="B747" t="n">
        <v>2015</v>
      </c>
      <c r="C747" t="inlineStr">
        <is>
          <t>Nadia Mnyusiwalla</t>
        </is>
      </c>
      <c r="D747">
        <f>HYPERLINK("https://ota.tournamentsoftware.com/player-profile/0DB52458-FB00-472A-BE89-03A77FEBF08E", "Link")</f>
        <v/>
      </c>
      <c r="E747" s="3" t="n">
        <v>14.381</v>
      </c>
      <c r="F747" s="4" t="n">
        <v>3</v>
      </c>
      <c r="G747" t="inlineStr">
        <is>
          <t>Ontario Tennis Association</t>
        </is>
      </c>
      <c r="H747" t="inlineStr">
        <is>
          <t>Waterloo Tennis Club</t>
        </is>
      </c>
      <c r="I747" t="inlineStr">
        <is>
          <t>unavailable</t>
        </is>
      </c>
      <c r="J747" s="4" t="n">
        <v>54</v>
      </c>
      <c r="K747" t="inlineStr">
        <is>
          <t>15 / 39</t>
        </is>
      </c>
      <c r="L747" t="inlineStr">
        <is>
          <t>2 / 14</t>
        </is>
      </c>
      <c r="M747" s="5" t="n">
        <v>0.28</v>
      </c>
      <c r="N747" s="5" t="n">
        <v>0.12</v>
      </c>
    </row>
    <row r="748">
      <c r="A748" t="n">
        <v>747</v>
      </c>
      <c r="B748" t="n">
        <v>2014</v>
      </c>
      <c r="C748" t="inlineStr">
        <is>
          <t>Yuxin Bella Cao</t>
        </is>
      </c>
      <c r="D748">
        <f>HYPERLINK("https://ota.tournamentsoftware.com/player-profile/ECABBEB5-67C3-48F1-8CC6-A7628D8721E8", "Link")</f>
        <v/>
      </c>
      <c r="E748" s="3" t="n">
        <v>14.292</v>
      </c>
      <c r="F748" s="4" t="n">
        <v>3</v>
      </c>
      <c r="G748" t="inlineStr">
        <is>
          <t>Ontario Tennis Association</t>
        </is>
      </c>
      <c r="H748" t="inlineStr">
        <is>
          <t>ACE Tennis - Burlington</t>
        </is>
      </c>
      <c r="I748" t="n">
        <v>38.9</v>
      </c>
      <c r="J748" s="4" t="n">
        <v>38</v>
      </c>
      <c r="K748" t="inlineStr">
        <is>
          <t>11 / 27</t>
        </is>
      </c>
      <c r="L748" t="inlineStr">
        <is>
          <t>1 / 1</t>
        </is>
      </c>
      <c r="M748" s="5" t="n">
        <v>0.29</v>
      </c>
      <c r="N748" s="5" t="n">
        <v>0.5</v>
      </c>
    </row>
    <row r="749">
      <c r="A749" t="n">
        <v>748</v>
      </c>
      <c r="B749" t="n">
        <v>2014</v>
      </c>
      <c r="C749" t="inlineStr">
        <is>
          <t>Elise Hiu-Wing Lin</t>
        </is>
      </c>
      <c r="D749">
        <f>HYPERLINK("https://ota.tournamentsoftware.com/player-profile/6079C290-F004-492F-BD70-120B06A08264", "Link")</f>
        <v/>
      </c>
      <c r="E749" s="3" t="n">
        <v>14.283</v>
      </c>
      <c r="F749" s="4" t="n">
        <v>4</v>
      </c>
      <c r="G749" t="inlineStr">
        <is>
          <t>British Columbia</t>
        </is>
      </c>
      <c r="H749" t="inlineStr">
        <is>
          <t>No Club</t>
        </is>
      </c>
      <c r="I749" t="n">
        <v>36.2</v>
      </c>
      <c r="J749" s="4" t="n">
        <v>47</v>
      </c>
      <c r="K749" t="inlineStr">
        <is>
          <t>17 / 30</t>
        </is>
      </c>
      <c r="L749" t="inlineStr">
        <is>
          <t>4 / 5</t>
        </is>
      </c>
      <c r="M749" s="5" t="n">
        <v>0.36</v>
      </c>
      <c r="N749" s="5" t="n">
        <v>0.44</v>
      </c>
    </row>
    <row r="750">
      <c r="A750" t="n">
        <v>749</v>
      </c>
      <c r="B750" t="n">
        <v>2012</v>
      </c>
      <c r="C750" t="inlineStr">
        <is>
          <t>Renee Burton</t>
        </is>
      </c>
      <c r="D750">
        <f>HYPERLINK("https://ota.tournamentsoftware.com/player-profile/88D51E75-4EAF-4390-8A85-9E01D5A7B97C", "Link")</f>
        <v/>
      </c>
      <c r="E750" s="3" t="n">
        <v>14.11</v>
      </c>
      <c r="F750" s="4" t="n">
        <v>1</v>
      </c>
      <c r="G750" t="inlineStr">
        <is>
          <t>Ontario Tennis Association</t>
        </is>
      </c>
      <c r="H750" t="inlineStr">
        <is>
          <t>ACE Tennis - Burlington</t>
        </is>
      </c>
      <c r="I750" t="n">
        <v>35.9</v>
      </c>
      <c r="J750" s="4" t="n">
        <v>13</v>
      </c>
      <c r="K750" t="inlineStr">
        <is>
          <t>9 / 4</t>
        </is>
      </c>
      <c r="L750" t="inlineStr">
        <is>
          <t>9 / 4</t>
        </is>
      </c>
      <c r="M750" s="5" t="n">
        <v>0.6899999999999999</v>
      </c>
      <c r="N750" s="5" t="n">
        <v>0.6899999999999999</v>
      </c>
    </row>
    <row r="751">
      <c r="A751" t="n">
        <v>750</v>
      </c>
      <c r="B751" t="n">
        <v>2015</v>
      </c>
      <c r="C751" t="inlineStr">
        <is>
          <t>Nalla Isabella Lteif</t>
        </is>
      </c>
      <c r="D751">
        <f>HYPERLINK("https://ota.tournamentsoftware.com/player-profile/B0DC1A2D-B87B-4E66-A5EE-9C9F6EC668D4", "Link")</f>
        <v/>
      </c>
      <c r="E751" s="3" t="n">
        <v>13.839</v>
      </c>
      <c r="F751" s="4" t="n">
        <v>3</v>
      </c>
      <c r="G751" t="inlineStr">
        <is>
          <t>Tennis Québec</t>
        </is>
      </c>
      <c r="H751" t="inlineStr">
        <is>
          <t>Carrefour Multisports</t>
        </is>
      </c>
      <c r="I751" t="n">
        <v>39</v>
      </c>
      <c r="J751" s="4" t="n">
        <v>9</v>
      </c>
      <c r="K751" t="inlineStr">
        <is>
          <t>3 / 6</t>
        </is>
      </c>
      <c r="L751" t="inlineStr">
        <is>
          <t>1 / 3</t>
        </is>
      </c>
      <c r="M751" s="5" t="n">
        <v>0.33</v>
      </c>
      <c r="N751" s="5" t="n">
        <v>0.25</v>
      </c>
    </row>
    <row r="752">
      <c r="A752" t="n">
        <v>751</v>
      </c>
      <c r="B752" t="n">
        <v>2012</v>
      </c>
      <c r="C752" t="inlineStr">
        <is>
          <t>Julia Michelle Cipriano</t>
        </is>
      </c>
      <c r="D752">
        <f>HYPERLINK("https://ota.tournamentsoftware.com/player-profile/EC29FADF-ECEA-4CC3-AE9B-2987D1E47266", "Link")</f>
        <v/>
      </c>
      <c r="E752" s="3" t="n">
        <v>13.725</v>
      </c>
      <c r="F752" s="4" t="n">
        <v>2</v>
      </c>
      <c r="G752" t="inlineStr">
        <is>
          <t>British Columbia</t>
        </is>
      </c>
      <c r="H752" t="inlineStr">
        <is>
          <t>West Vancouver Tennis Club</t>
        </is>
      </c>
      <c r="I752" t="n">
        <v>37</v>
      </c>
      <c r="J752" s="4" t="n">
        <v>18</v>
      </c>
      <c r="K752" t="inlineStr">
        <is>
          <t>8 / 10</t>
        </is>
      </c>
      <c r="L752" t="inlineStr">
        <is>
          <t>6 / 6</t>
        </is>
      </c>
      <c r="M752" s="5" t="n">
        <v>0.44</v>
      </c>
      <c r="N752" s="5" t="n">
        <v>0.5</v>
      </c>
    </row>
    <row r="753">
      <c r="A753" t="n">
        <v>752</v>
      </c>
      <c r="B753" t="n">
        <v>2016</v>
      </c>
      <c r="C753" t="inlineStr">
        <is>
          <t>Joud Marmash</t>
        </is>
      </c>
      <c r="D753">
        <f>HYPERLINK("https://ota.tournamentsoftware.com/player-profile/7F8FB01C-3EB1-48B9-B051-119BB01F4118", "Link")</f>
        <v/>
      </c>
      <c r="E753" s="3" t="n">
        <v>13.68</v>
      </c>
      <c r="F753" s="4" t="n">
        <v>5</v>
      </c>
      <c r="G753" t="inlineStr">
        <is>
          <t>Ontario Tennis Association</t>
        </is>
      </c>
      <c r="H753" t="inlineStr">
        <is>
          <t>Zekelman Tennis Centre</t>
        </is>
      </c>
      <c r="I753" t="n">
        <v>37.8</v>
      </c>
      <c r="J753" s="4" t="n">
        <v>16</v>
      </c>
      <c r="K753" t="inlineStr">
        <is>
          <t>5 / 11</t>
        </is>
      </c>
      <c r="L753" t="inlineStr">
        <is>
          <t>5 / 11</t>
        </is>
      </c>
      <c r="M753" s="5" t="n">
        <v>0.31</v>
      </c>
      <c r="N753" s="5" t="n">
        <v>0.31</v>
      </c>
    </row>
    <row r="754">
      <c r="A754" t="n">
        <v>753</v>
      </c>
      <c r="B754" t="n">
        <v>2013</v>
      </c>
      <c r="C754" t="inlineStr">
        <is>
          <t>Nitya Myneni</t>
        </is>
      </c>
      <c r="D754">
        <f>HYPERLINK("https://ota.tournamentsoftware.com/player-profile/482EDD14-11AD-4221-B031-4CDB8348AC62", "Link")</f>
        <v/>
      </c>
      <c r="E754" s="3" t="n">
        <v>13.478</v>
      </c>
      <c r="F754" s="4" t="n">
        <v>2</v>
      </c>
      <c r="G754" t="inlineStr">
        <is>
          <t>British Columbia</t>
        </is>
      </c>
      <c r="H754" t="inlineStr">
        <is>
          <t>The Tennis Centre</t>
        </is>
      </c>
      <c r="I754" t="n">
        <v>40</v>
      </c>
      <c r="J754" s="4" t="n">
        <v>26</v>
      </c>
      <c r="K754" t="inlineStr">
        <is>
          <t>8 / 18</t>
        </is>
      </c>
      <c r="L754" t="inlineStr">
        <is>
          <t>0 / 4</t>
        </is>
      </c>
      <c r="M754" s="5" t="n">
        <v>0.31</v>
      </c>
      <c r="N754" s="5" t="n">
        <v>0</v>
      </c>
    </row>
    <row r="755">
      <c r="A755" t="n">
        <v>754</v>
      </c>
      <c r="B755" t="n">
        <v>2013</v>
      </c>
      <c r="C755" t="inlineStr">
        <is>
          <t>Hailey Johnson</t>
        </is>
      </c>
      <c r="D755">
        <f>HYPERLINK("https://ota.tournamentsoftware.com/player-profile/D4247C6C-DBD8-41D1-867E-D35290341BA8", "Link")</f>
        <v/>
      </c>
      <c r="E755" s="3" t="n">
        <v>13.23</v>
      </c>
      <c r="F755" s="4" t="n">
        <v>2</v>
      </c>
      <c r="G755" t="inlineStr">
        <is>
          <t>British Columbia</t>
        </is>
      </c>
      <c r="H755" t="inlineStr">
        <is>
          <t>Tennis for Life</t>
        </is>
      </c>
      <c r="I755" t="inlineStr">
        <is>
          <t>unavailable</t>
        </is>
      </c>
      <c r="J755" s="4" t="n">
        <v>49</v>
      </c>
      <c r="K755" t="inlineStr">
        <is>
          <t>28 / 21</t>
        </is>
      </c>
      <c r="L755" t="inlineStr">
        <is>
          <t>1 / 1</t>
        </is>
      </c>
      <c r="M755" s="5" t="n">
        <v>0.57</v>
      </c>
      <c r="N755" s="5" t="n">
        <v>0.5</v>
      </c>
    </row>
    <row r="756">
      <c r="A756" t="n">
        <v>755</v>
      </c>
      <c r="B756" t="n">
        <v>2014</v>
      </c>
      <c r="C756" t="inlineStr">
        <is>
          <t>Olivia Duthoit</t>
        </is>
      </c>
      <c r="D756">
        <f>HYPERLINK("https://ota.tournamentsoftware.com/player-profile/7ADA0A6D-C257-4896-AEB0-8E053AAA4B48", "Link")</f>
        <v/>
      </c>
      <c r="E756" s="3" t="n">
        <v>13.092</v>
      </c>
      <c r="F756" s="4" t="n">
        <v>2</v>
      </c>
      <c r="G756" t="inlineStr">
        <is>
          <t>Tennis Québec</t>
        </is>
      </c>
      <c r="H756" t="inlineStr">
        <is>
          <t>Club Avantage Multi-sports / Académie de tennis Hérisset Bordeleau</t>
        </is>
      </c>
      <c r="I756" t="n">
        <v>36.6</v>
      </c>
      <c r="J756" s="4" t="n">
        <v>18</v>
      </c>
      <c r="K756" t="inlineStr">
        <is>
          <t>3 / 15</t>
        </is>
      </c>
      <c r="L756" t="inlineStr">
        <is>
          <t>2 / 3</t>
        </is>
      </c>
      <c r="M756" s="5" t="n">
        <v>0.17</v>
      </c>
      <c r="N756" s="5" t="n">
        <v>0.4</v>
      </c>
    </row>
    <row r="757">
      <c r="A757" t="n">
        <v>756</v>
      </c>
      <c r="B757" t="n">
        <v>2013</v>
      </c>
      <c r="C757" t="inlineStr">
        <is>
          <t>caitlin wong</t>
        </is>
      </c>
      <c r="D757">
        <f>HYPERLINK("https://ota.tournamentsoftware.com/player-profile/A6697051-116D-4981-AA23-11E1BF963FD3", "Link")</f>
        <v/>
      </c>
      <c r="E757" s="3" t="n">
        <v>13</v>
      </c>
      <c r="F757" s="4" t="n">
        <v>1</v>
      </c>
      <c r="G757" t="inlineStr">
        <is>
          <t>Ontario Tennis Association</t>
        </is>
      </c>
      <c r="H757" t="inlineStr">
        <is>
          <t>Blackmore Tennis Club</t>
        </is>
      </c>
      <c r="I757" t="n">
        <v>37.2</v>
      </c>
      <c r="J757" s="4" t="n">
        <v>56</v>
      </c>
      <c r="K757" t="inlineStr">
        <is>
          <t>29 / 27</t>
        </is>
      </c>
      <c r="L757" t="inlineStr">
        <is>
          <t>0 / 0</t>
        </is>
      </c>
      <c r="M757" s="5" t="n">
        <v>0.52</v>
      </c>
      <c r="N757" s="5" t="n">
        <v>0</v>
      </c>
    </row>
    <row r="758">
      <c r="A758" t="n">
        <v>757</v>
      </c>
      <c r="B758" t="n">
        <v>2012</v>
      </c>
      <c r="C758" t="inlineStr">
        <is>
          <t>Ai-Ni Amelia Cheng</t>
        </is>
      </c>
      <c r="D758">
        <f>HYPERLINK("https://ota.tournamentsoftware.com/player-profile/040F8D36-CAF3-4E90-85FB-8F17F2F92E8F", "Link")</f>
        <v/>
      </c>
      <c r="E758" s="3" t="n">
        <v>12.906</v>
      </c>
      <c r="F758" s="4" t="n">
        <v>1</v>
      </c>
      <c r="G758" t="inlineStr">
        <is>
          <t>Ontario Tennis Association</t>
        </is>
      </c>
      <c r="H758" t="inlineStr">
        <is>
          <t>ON West Central No Club</t>
        </is>
      </c>
      <c r="I758" t="n">
        <v>38.5</v>
      </c>
      <c r="J758" s="4" t="n">
        <v>7</v>
      </c>
      <c r="K758" t="inlineStr">
        <is>
          <t>4 / 3</t>
        </is>
      </c>
      <c r="L758" t="inlineStr">
        <is>
          <t>0 / 2</t>
        </is>
      </c>
      <c r="M758" s="5" t="n">
        <v>0.57</v>
      </c>
      <c r="N758" s="5" t="n">
        <v>0</v>
      </c>
    </row>
    <row r="759">
      <c r="A759" t="n">
        <v>758</v>
      </c>
      <c r="B759" t="n">
        <v>2016</v>
      </c>
      <c r="C759" t="inlineStr">
        <is>
          <t>Delia Stoian</t>
        </is>
      </c>
      <c r="D759">
        <f>HYPERLINK("https://ota.tournamentsoftware.com/player-profile/97BF71BC-EF3B-40A8-B2A8-4211E6570024", "Link")</f>
        <v/>
      </c>
      <c r="E759" s="3" t="n">
        <v>12.871</v>
      </c>
      <c r="F759" s="4" t="n">
        <v>2</v>
      </c>
      <c r="G759" t="inlineStr">
        <is>
          <t>Tennis Québec</t>
        </is>
      </c>
      <c r="H759" t="inlineStr">
        <is>
          <t>SANI Sport</t>
        </is>
      </c>
      <c r="I759" t="n">
        <v>37.1</v>
      </c>
      <c r="J759" s="4" t="n">
        <v>84</v>
      </c>
      <c r="K759" t="inlineStr">
        <is>
          <t>48 / 36</t>
        </is>
      </c>
      <c r="L759" t="inlineStr">
        <is>
          <t>20 / 15</t>
        </is>
      </c>
      <c r="M759" s="5" t="n">
        <v>0.57</v>
      </c>
      <c r="N759" s="5" t="n">
        <v>0.57</v>
      </c>
    </row>
    <row r="760">
      <c r="A760" t="n">
        <v>759</v>
      </c>
      <c r="B760" t="n">
        <v>2013</v>
      </c>
      <c r="C760" t="inlineStr">
        <is>
          <t>Addison Gilbertson</t>
        </is>
      </c>
      <c r="D760">
        <f>HYPERLINK("https://ota.tournamentsoftware.com/player-profile/C50AF072-EF16-4516-9D5D-42DF1D345F44", "Link")</f>
        <v/>
      </c>
      <c r="E760" s="3" t="n">
        <v>12.687</v>
      </c>
      <c r="F760" s="4" t="n">
        <v>5</v>
      </c>
      <c r="G760" t="inlineStr">
        <is>
          <t>Tennis Alberta</t>
        </is>
      </c>
      <c r="H760" t="inlineStr">
        <is>
          <t>Royal Glenora Club</t>
        </is>
      </c>
      <c r="I760" t="n">
        <v>38.1</v>
      </c>
      <c r="J760" s="4" t="n">
        <v>48</v>
      </c>
      <c r="K760" t="inlineStr">
        <is>
          <t>18 / 30</t>
        </is>
      </c>
      <c r="L760" t="inlineStr">
        <is>
          <t>1 / 4</t>
        </is>
      </c>
      <c r="M760" s="5" t="n">
        <v>0.38</v>
      </c>
      <c r="N760" s="5" t="n">
        <v>0.2</v>
      </c>
    </row>
    <row r="761">
      <c r="A761" t="n">
        <v>760</v>
      </c>
      <c r="B761" t="n">
        <v>2014</v>
      </c>
      <c r="C761" t="inlineStr">
        <is>
          <t>Baani Kaur Saini</t>
        </is>
      </c>
      <c r="D761">
        <f>HYPERLINK("https://ota.tournamentsoftware.com/player-profile/F8A85050-87CB-4D78-BB4D-4D11F0D18229", "Link")</f>
        <v/>
      </c>
      <c r="E761" s="3" t="n">
        <v>12.663</v>
      </c>
      <c r="F761" s="4" t="n">
        <v>2</v>
      </c>
      <c r="G761" t="inlineStr">
        <is>
          <t>Ontario Tennis Association</t>
        </is>
      </c>
      <c r="H761" t="inlineStr">
        <is>
          <t>Bramalea Tennis Club</t>
        </is>
      </c>
      <c r="I761" t="n">
        <v>39.3</v>
      </c>
      <c r="J761" s="4" t="n">
        <v>5</v>
      </c>
      <c r="K761" t="inlineStr">
        <is>
          <t>0 / 5</t>
        </is>
      </c>
      <c r="L761" t="inlineStr">
        <is>
          <t>0 / 0</t>
        </is>
      </c>
      <c r="M761" s="5" t="n">
        <v>0</v>
      </c>
      <c r="N761" s="5" t="n">
        <v>0</v>
      </c>
    </row>
    <row r="762">
      <c r="A762" t="n">
        <v>761</v>
      </c>
      <c r="B762" t="n">
        <v>2015</v>
      </c>
      <c r="C762" t="inlineStr">
        <is>
          <t>Mirra Tverskaia</t>
        </is>
      </c>
      <c r="D762">
        <f>HYPERLINK("https://ota.tournamentsoftware.com/player-profile/A09D283B-5C23-4F54-A304-0C0125F7637B", "Link")</f>
        <v/>
      </c>
      <c r="E762" s="3" t="n">
        <v>12.632</v>
      </c>
      <c r="F762" s="4" t="n">
        <v>3</v>
      </c>
      <c r="G762" t="inlineStr">
        <is>
          <t>Tennis Prince Edward Island</t>
        </is>
      </c>
      <c r="H762" t="inlineStr">
        <is>
          <t>Royalty Racquet Centre</t>
        </is>
      </c>
      <c r="I762" t="inlineStr">
        <is>
          <t>unavailable</t>
        </is>
      </c>
      <c r="J762" s="4" t="n">
        <v>39</v>
      </c>
      <c r="K762" t="inlineStr">
        <is>
          <t>14 / 25</t>
        </is>
      </c>
      <c r="L762" t="inlineStr">
        <is>
          <t>0 / 1</t>
        </is>
      </c>
      <c r="M762" s="5" t="n">
        <v>0.36</v>
      </c>
      <c r="N762" s="5" t="n">
        <v>0</v>
      </c>
    </row>
    <row r="763">
      <c r="A763" t="n">
        <v>762</v>
      </c>
      <c r="B763" t="n">
        <v>2015</v>
      </c>
      <c r="C763" t="inlineStr">
        <is>
          <t>Amelia Alexei</t>
        </is>
      </c>
      <c r="D763">
        <f>HYPERLINK("https://ota.tournamentsoftware.com/player-profile/7C4A6760-7216-46E2-B5F7-A7F51935EA6B", "Link")</f>
        <v/>
      </c>
      <c r="E763" s="3" t="n">
        <v>12.6</v>
      </c>
      <c r="F763" s="4" t="n">
        <v>2</v>
      </c>
      <c r="G763" t="inlineStr">
        <is>
          <t>Ontario Tennis Association</t>
        </is>
      </c>
      <c r="H763" t="inlineStr">
        <is>
          <t>Toronto Tennis Academy</t>
        </is>
      </c>
      <c r="I763" t="n">
        <v>37.3</v>
      </c>
      <c r="J763" s="4" t="n">
        <v>95</v>
      </c>
      <c r="K763" t="inlineStr">
        <is>
          <t>63 / 32</t>
        </is>
      </c>
      <c r="L763" t="inlineStr">
        <is>
          <t>0 / 0</t>
        </is>
      </c>
      <c r="M763" s="5" t="n">
        <v>0.66</v>
      </c>
      <c r="N763" s="5" t="n">
        <v>0</v>
      </c>
    </row>
    <row r="764">
      <c r="A764" t="n">
        <v>763</v>
      </c>
      <c r="B764" t="n">
        <v>2015</v>
      </c>
      <c r="C764" t="inlineStr">
        <is>
          <t>Charlotte Huiyan Li</t>
        </is>
      </c>
      <c r="D764">
        <f>HYPERLINK("https://ota.tournamentsoftware.com/player-profile/150EC5E4-980E-4649-9619-E10B11D9BA5E", "Link")</f>
        <v/>
      </c>
      <c r="E764" s="3" t="n">
        <v>12.528</v>
      </c>
      <c r="F764" s="4" t="n">
        <v>3</v>
      </c>
      <c r="G764" t="inlineStr">
        <is>
          <t>British Columbia</t>
        </is>
      </c>
      <c r="H764" t="inlineStr">
        <is>
          <t>Tennis for Life</t>
        </is>
      </c>
      <c r="I764" t="n">
        <v>36.2</v>
      </c>
      <c r="J764" s="4" t="n">
        <v>39</v>
      </c>
      <c r="K764" t="inlineStr">
        <is>
          <t>15 / 24</t>
        </is>
      </c>
      <c r="L764" t="inlineStr">
        <is>
          <t>2 / 2</t>
        </is>
      </c>
      <c r="M764" s="5" t="n">
        <v>0.38</v>
      </c>
      <c r="N764" s="5" t="n">
        <v>0.5</v>
      </c>
    </row>
    <row r="765">
      <c r="A765" t="n">
        <v>764</v>
      </c>
      <c r="B765" t="n">
        <v>2013</v>
      </c>
      <c r="C765" t="inlineStr">
        <is>
          <t>Felicia Mingfei Li</t>
        </is>
      </c>
      <c r="D765">
        <f>HYPERLINK("https://ota.tournamentsoftware.com/player-profile/32F60D7D-3E57-4800-9C5C-282147021863", "Link")</f>
        <v/>
      </c>
      <c r="E765" s="3" t="n">
        <v>12.378</v>
      </c>
      <c r="F765" s="4" t="n">
        <v>2</v>
      </c>
      <c r="G765" t="inlineStr">
        <is>
          <t>Ontario Tennis Association</t>
        </is>
      </c>
      <c r="H765" t="inlineStr">
        <is>
          <t>Marilyn Redvers Tennis Club</t>
        </is>
      </c>
      <c r="I765" t="n">
        <v>39.7</v>
      </c>
      <c r="J765" s="4" t="n">
        <v>31</v>
      </c>
      <c r="K765" t="inlineStr">
        <is>
          <t>9 / 22</t>
        </is>
      </c>
      <c r="L765" t="inlineStr">
        <is>
          <t>0 / 2</t>
        </is>
      </c>
      <c r="M765" s="5" t="n">
        <v>0.29</v>
      </c>
      <c r="N765" s="5" t="n">
        <v>0</v>
      </c>
    </row>
    <row r="766">
      <c r="A766" t="n">
        <v>765</v>
      </c>
      <c r="B766" t="n">
        <v>2012</v>
      </c>
      <c r="C766" t="inlineStr">
        <is>
          <t>Anzhuo Yi</t>
        </is>
      </c>
      <c r="D766">
        <f>HYPERLINK("https://ota.tournamentsoftware.com/player-profile/60444867-D5FF-4226-8841-4058D520099B", "Link")</f>
        <v/>
      </c>
      <c r="E766" s="3" t="n">
        <v>12.336</v>
      </c>
      <c r="F766" s="4" t="n">
        <v>1</v>
      </c>
      <c r="G766" t="inlineStr">
        <is>
          <t>Ontario Tennis Association</t>
        </is>
      </c>
      <c r="H766" t="inlineStr">
        <is>
          <t>Premier Racquet Clubs – Mississauga</t>
        </is>
      </c>
      <c r="I766" t="n">
        <v>37.7</v>
      </c>
      <c r="J766" s="4" t="n">
        <v>8</v>
      </c>
      <c r="K766" t="inlineStr">
        <is>
          <t>2 / 6</t>
        </is>
      </c>
      <c r="L766" t="inlineStr">
        <is>
          <t>2 / 6</t>
        </is>
      </c>
      <c r="M766" s="5" t="n">
        <v>0.25</v>
      </c>
      <c r="N766" s="5" t="n">
        <v>0.25</v>
      </c>
    </row>
    <row r="767">
      <c r="A767" t="n">
        <v>766</v>
      </c>
      <c r="B767" t="n">
        <v>2013</v>
      </c>
      <c r="C767" t="inlineStr">
        <is>
          <t>Aura Hayer</t>
        </is>
      </c>
      <c r="D767">
        <f>HYPERLINK("https://ota.tournamentsoftware.com/player-profile/969F22DA-6980-4E13-BAE2-6BD2D0C08F88", "Link")</f>
        <v/>
      </c>
      <c r="E767" s="3" t="n">
        <v>12.138</v>
      </c>
      <c r="F767" s="4" t="n">
        <v>2</v>
      </c>
      <c r="G767" t="inlineStr">
        <is>
          <t>British Columbia</t>
        </is>
      </c>
      <c r="H767" t="inlineStr">
        <is>
          <t>Sunshine Hills Tennis Club</t>
        </is>
      </c>
      <c r="I767" t="n">
        <v>38.5</v>
      </c>
      <c r="J767" s="4" t="n">
        <v>103</v>
      </c>
      <c r="K767" t="inlineStr">
        <is>
          <t>32 / 71</t>
        </is>
      </c>
      <c r="L767" t="inlineStr">
        <is>
          <t>2 / 5</t>
        </is>
      </c>
      <c r="M767" s="5" t="n">
        <v>0.31</v>
      </c>
      <c r="N767" s="5" t="n">
        <v>0.29</v>
      </c>
    </row>
    <row r="768">
      <c r="A768" t="n">
        <v>767</v>
      </c>
      <c r="B768" t="n">
        <v>2016</v>
      </c>
      <c r="C768" t="inlineStr">
        <is>
          <t>Melinna Yu Nuo Yang</t>
        </is>
      </c>
      <c r="D768">
        <f>HYPERLINK("https://ota.tournamentsoftware.com/player-profile/6BCCA5B4-7059-414C-A06D-D2936B6A3CC2", "Link")</f>
        <v/>
      </c>
      <c r="E768" s="3" t="n">
        <v>12</v>
      </c>
      <c r="F768" s="4" t="n">
        <v>4</v>
      </c>
      <c r="G768" t="inlineStr">
        <is>
          <t>Tennis Québec</t>
        </is>
      </c>
      <c r="H768" t="inlineStr">
        <is>
          <t>Club Sportif Côte-de-Liesse</t>
        </is>
      </c>
      <c r="I768" t="inlineStr">
        <is>
          <t>unavailable</t>
        </is>
      </c>
      <c r="J768" s="4" t="n">
        <v>88</v>
      </c>
      <c r="K768" t="inlineStr">
        <is>
          <t>35 / 53</t>
        </is>
      </c>
      <c r="L768" t="inlineStr">
        <is>
          <t>14 / 11</t>
        </is>
      </c>
      <c r="M768" s="5" t="n">
        <v>0.4</v>
      </c>
      <c r="N768" s="5" t="n">
        <v>0.5600000000000001</v>
      </c>
    </row>
    <row r="769">
      <c r="A769" t="n">
        <v>767</v>
      </c>
      <c r="B769" t="n">
        <v>2016</v>
      </c>
      <c r="C769" t="inlineStr">
        <is>
          <t>Eiman Javaid Khan</t>
        </is>
      </c>
      <c r="D769">
        <f>HYPERLINK("https://ota.tournamentsoftware.com/player-profile/417EBA88-24AB-42AB-9421-1764C4FCA777", "Link")</f>
        <v/>
      </c>
      <c r="E769" s="3" t="n">
        <v>12</v>
      </c>
      <c r="F769" s="4" t="n">
        <v>2</v>
      </c>
      <c r="G769" t="inlineStr">
        <is>
          <t>Tennis Newfoundland &amp; Labrador</t>
        </is>
      </c>
      <c r="H769" t="inlineStr">
        <is>
          <t>Greenbelt Tennis Club</t>
        </is>
      </c>
      <c r="I769" t="inlineStr">
        <is>
          <t>unavailable</t>
        </is>
      </c>
      <c r="J769" s="4" t="n">
        <v>14</v>
      </c>
      <c r="K769" t="inlineStr">
        <is>
          <t>4 / 10</t>
        </is>
      </c>
      <c r="L769" t="inlineStr">
        <is>
          <t>3 / 6</t>
        </is>
      </c>
      <c r="M769" s="5" t="n">
        <v>0.29</v>
      </c>
      <c r="N769" s="5" t="n">
        <v>0.33</v>
      </c>
    </row>
    <row r="770">
      <c r="A770" t="n">
        <v>769</v>
      </c>
      <c r="B770" t="n">
        <v>2014</v>
      </c>
      <c r="C770" t="inlineStr">
        <is>
          <t>Kayla Caden</t>
        </is>
      </c>
      <c r="D770">
        <f>HYPERLINK("https://ota.tournamentsoftware.com/player-profile/EB31E71A-90E6-4B10-9538-33BC7B66EA6E", "Link")</f>
        <v/>
      </c>
      <c r="E770" s="3" t="n">
        <v>11.809</v>
      </c>
      <c r="F770" s="4" t="n">
        <v>3</v>
      </c>
      <c r="G770" t="inlineStr">
        <is>
          <t>Tennis Québec</t>
        </is>
      </c>
      <c r="H770" t="inlineStr">
        <is>
          <t>Club de tennis St-Lambert</t>
        </is>
      </c>
      <c r="I770" t="n">
        <v>38.1</v>
      </c>
      <c r="J770" s="4" t="n">
        <v>11</v>
      </c>
      <c r="K770" t="inlineStr">
        <is>
          <t>4 / 7</t>
        </is>
      </c>
      <c r="L770" t="inlineStr">
        <is>
          <t>2 / 3</t>
        </is>
      </c>
      <c r="M770" s="5" t="n">
        <v>0.36</v>
      </c>
      <c r="N770" s="5" t="n">
        <v>0.4</v>
      </c>
    </row>
    <row r="771">
      <c r="A771" t="n">
        <v>770</v>
      </c>
      <c r="B771" t="n">
        <v>2012</v>
      </c>
      <c r="C771" t="inlineStr">
        <is>
          <t>Angel Wen</t>
        </is>
      </c>
      <c r="D771">
        <f>HYPERLINK("https://ota.tournamentsoftware.com/player-profile/2BF37F0F-B2BA-4533-859D-5AFB82154AAC", "Link")</f>
        <v/>
      </c>
      <c r="E771" s="3" t="n">
        <v>11.664</v>
      </c>
      <c r="F771" s="4" t="n">
        <v>1</v>
      </c>
      <c r="G771" t="inlineStr">
        <is>
          <t>Tennis Nova Scotia</t>
        </is>
      </c>
      <c r="H771" t="inlineStr">
        <is>
          <t>Atlantic Tennis Centre</t>
        </is>
      </c>
      <c r="I771" t="n">
        <v>36.8</v>
      </c>
      <c r="J771" s="4" t="n">
        <v>2</v>
      </c>
      <c r="K771" t="inlineStr">
        <is>
          <t>0 / 2</t>
        </is>
      </c>
      <c r="L771" t="inlineStr">
        <is>
          <t>0 / 0</t>
        </is>
      </c>
      <c r="M771" s="5" t="n">
        <v>0</v>
      </c>
      <c r="N771" s="5" t="n">
        <v>0</v>
      </c>
    </row>
    <row r="772">
      <c r="A772" t="n">
        <v>771</v>
      </c>
      <c r="B772" t="n">
        <v>2013</v>
      </c>
      <c r="C772" t="inlineStr">
        <is>
          <t>Giselle Christine Lambert</t>
        </is>
      </c>
      <c r="D772">
        <f>HYPERLINK("https://ota.tournamentsoftware.com/player-profile/2E2CA1C3-86CC-418F-BF1B-9B9E4D99F292", "Link")</f>
        <v/>
      </c>
      <c r="E772" s="3" t="n">
        <v>11.48</v>
      </c>
      <c r="F772" s="4" t="n">
        <v>2</v>
      </c>
      <c r="G772" t="inlineStr">
        <is>
          <t>British Columbia</t>
        </is>
      </c>
      <c r="H772" t="inlineStr">
        <is>
          <t>Hollyburn Country Club</t>
        </is>
      </c>
      <c r="I772" t="n">
        <v>36.9</v>
      </c>
      <c r="J772" s="4" t="n">
        <v>44</v>
      </c>
      <c r="K772" t="inlineStr">
        <is>
          <t>10 / 34</t>
        </is>
      </c>
      <c r="L772" t="inlineStr">
        <is>
          <t>0 / 0</t>
        </is>
      </c>
      <c r="M772" s="5" t="n">
        <v>0.23</v>
      </c>
      <c r="N772" s="5" t="n">
        <v>0</v>
      </c>
    </row>
    <row r="773">
      <c r="A773" t="n">
        <v>772</v>
      </c>
      <c r="B773" t="n">
        <v>2016</v>
      </c>
      <c r="C773" t="inlineStr">
        <is>
          <t>Harper Whitehead</t>
        </is>
      </c>
      <c r="D773">
        <f>HYPERLINK("https://ota.tournamentsoftware.com/player-profile/11F4D113-D7D4-48BC-9EC5-3040B116C96D", "Link")</f>
        <v/>
      </c>
      <c r="E773" s="3" t="n">
        <v>11.448</v>
      </c>
      <c r="F773" s="4" t="n">
        <v>8</v>
      </c>
      <c r="G773" t="inlineStr">
        <is>
          <t>Tennis Nova Scotia</t>
        </is>
      </c>
      <c r="H773" t="inlineStr">
        <is>
          <t>Atlantic Tennis Centre</t>
        </is>
      </c>
      <c r="I773" t="n">
        <v>38</v>
      </c>
      <c r="J773" s="4" t="n">
        <v>80</v>
      </c>
      <c r="K773" t="inlineStr">
        <is>
          <t>35 / 45</t>
        </is>
      </c>
      <c r="L773" t="inlineStr">
        <is>
          <t>10 / 15</t>
        </is>
      </c>
      <c r="M773" s="5" t="n">
        <v>0.44</v>
      </c>
      <c r="N773" s="5" t="n">
        <v>0.4</v>
      </c>
    </row>
    <row r="774">
      <c r="A774" t="n">
        <v>772</v>
      </c>
      <c r="B774" t="n">
        <v>2015</v>
      </c>
      <c r="C774" t="inlineStr">
        <is>
          <t>Daisy Dai</t>
        </is>
      </c>
      <c r="D774">
        <f>HYPERLINK("https://ota.tournamentsoftware.com/player-profile/C64DEFB9-4BBC-4AA1-8CC8-9020440935AB", "Link")</f>
        <v/>
      </c>
      <c r="E774" s="3" t="n">
        <v>11.448</v>
      </c>
      <c r="F774" s="4" t="n">
        <v>1</v>
      </c>
      <c r="G774" t="inlineStr">
        <is>
          <t>Tennis Nova Scotia</t>
        </is>
      </c>
      <c r="H774" t="inlineStr">
        <is>
          <t>Atlantic Tennis Centre</t>
        </is>
      </c>
      <c r="I774" t="n">
        <v>35.3</v>
      </c>
      <c r="J774" s="4" t="n">
        <v>23</v>
      </c>
      <c r="K774" t="inlineStr">
        <is>
          <t>16 / 7</t>
        </is>
      </c>
      <c r="L774" t="inlineStr">
        <is>
          <t>4 / 2</t>
        </is>
      </c>
      <c r="M774" s="5" t="n">
        <v>0.7</v>
      </c>
      <c r="N774" s="5" t="n">
        <v>0.67</v>
      </c>
    </row>
    <row r="775">
      <c r="A775" t="n">
        <v>774</v>
      </c>
      <c r="B775" t="n">
        <v>2015</v>
      </c>
      <c r="C775" t="inlineStr">
        <is>
          <t>Cléony Le</t>
        </is>
      </c>
      <c r="D775">
        <f>HYPERLINK("https://ota.tournamentsoftware.com/player-profile/D1C4971B-CB54-436E-9303-C69424DC84AC", "Link")</f>
        <v/>
      </c>
      <c r="E775" s="3" t="n">
        <v>11.429</v>
      </c>
      <c r="F775" s="4" t="n">
        <v>1</v>
      </c>
      <c r="G775" t="inlineStr">
        <is>
          <t>Tennis Québec</t>
        </is>
      </c>
      <c r="H775" t="inlineStr">
        <is>
          <t>Centre récréatif de Repentigny / Académie Tennis Momentum</t>
        </is>
      </c>
      <c r="I775" t="n">
        <v>37</v>
      </c>
      <c r="J775" s="4" t="n">
        <v>32</v>
      </c>
      <c r="K775" t="inlineStr">
        <is>
          <t>15 / 17</t>
        </is>
      </c>
      <c r="L775" t="inlineStr">
        <is>
          <t>0 / 1</t>
        </is>
      </c>
      <c r="M775" s="5" t="n">
        <v>0.47</v>
      </c>
      <c r="N775" s="5" t="n">
        <v>0</v>
      </c>
    </row>
    <row r="776">
      <c r="A776" t="n">
        <v>775</v>
      </c>
      <c r="B776" t="n">
        <v>2012</v>
      </c>
      <c r="C776" t="inlineStr">
        <is>
          <t>Charley Burgess</t>
        </is>
      </c>
      <c r="D776">
        <f>HYPERLINK("https://ota.tournamentsoftware.com/player-profile/F7818ED5-A370-4D5D-9CAE-03309F03D5FD", "Link")</f>
        <v/>
      </c>
      <c r="E776" s="3" t="n">
        <v>11.301</v>
      </c>
      <c r="F776" s="4" t="n">
        <v>3</v>
      </c>
      <c r="G776" t="inlineStr">
        <is>
          <t>Tennis Alberta</t>
        </is>
      </c>
      <c r="H776" t="inlineStr">
        <is>
          <t>The Glencoe Club</t>
        </is>
      </c>
      <c r="I776" t="inlineStr">
        <is>
          <t>unavailable</t>
        </is>
      </c>
      <c r="J776" s="4" t="n">
        <v>52</v>
      </c>
      <c r="K776" t="inlineStr">
        <is>
          <t>23 / 29</t>
        </is>
      </c>
      <c r="L776" t="inlineStr">
        <is>
          <t>0 / 0</t>
        </is>
      </c>
      <c r="M776" s="5" t="n">
        <v>0.44</v>
      </c>
      <c r="N776" s="5" t="n">
        <v>0</v>
      </c>
    </row>
    <row r="777">
      <c r="A777" t="n">
        <v>776</v>
      </c>
      <c r="B777" t="n">
        <v>2014</v>
      </c>
      <c r="C777" t="inlineStr">
        <is>
          <t>Neiva George</t>
        </is>
      </c>
      <c r="D777">
        <f>HYPERLINK("https://ota.tournamentsoftware.com/player-profile/1A9BA311-0F1E-40A7-9341-ECED97AEEBBD", "Link")</f>
        <v/>
      </c>
      <c r="E777" s="3" t="n">
        <v>11.286</v>
      </c>
      <c r="F777" s="4" t="n">
        <v>2</v>
      </c>
      <c r="G777" t="inlineStr">
        <is>
          <t>Ontario Tennis Association</t>
        </is>
      </c>
      <c r="H777" t="inlineStr">
        <is>
          <t>Headwaters Racquet Club</t>
        </is>
      </c>
      <c r="I777" t="n">
        <v>36.8</v>
      </c>
      <c r="J777" s="4" t="n">
        <v>45</v>
      </c>
      <c r="K777" t="inlineStr">
        <is>
          <t>23 / 22</t>
        </is>
      </c>
      <c r="L777" t="inlineStr">
        <is>
          <t>7 / 4</t>
        </is>
      </c>
      <c r="M777" s="5" t="n">
        <v>0.51</v>
      </c>
      <c r="N777" s="5" t="n">
        <v>0.64</v>
      </c>
    </row>
    <row r="778">
      <c r="A778" t="n">
        <v>777</v>
      </c>
      <c r="B778" t="n">
        <v>2016</v>
      </c>
      <c r="C778" t="inlineStr">
        <is>
          <t>Emma Hao</t>
        </is>
      </c>
      <c r="D778">
        <f>HYPERLINK("https://ota.tournamentsoftware.com/player-profile/144D222A-CD06-4355-817D-B27D5DB62B85", "Link")</f>
        <v/>
      </c>
      <c r="E778" s="3" t="n">
        <v>11.141</v>
      </c>
      <c r="F778" s="4" t="n">
        <v>3</v>
      </c>
      <c r="G778" t="inlineStr">
        <is>
          <t>Ontario Tennis Association</t>
        </is>
      </c>
      <c r="H778" t="inlineStr">
        <is>
          <t>Toronto Tennis City</t>
        </is>
      </c>
      <c r="I778" t="n">
        <v>37.6</v>
      </c>
      <c r="J778" s="4" t="n">
        <v>67</v>
      </c>
      <c r="K778" t="inlineStr">
        <is>
          <t>36 / 31</t>
        </is>
      </c>
      <c r="L778" t="inlineStr">
        <is>
          <t>16 / 7</t>
        </is>
      </c>
      <c r="M778" s="5" t="n">
        <v>0.54</v>
      </c>
      <c r="N778" s="5" t="n">
        <v>0.7</v>
      </c>
    </row>
    <row r="779">
      <c r="A779" t="n">
        <v>778</v>
      </c>
      <c r="B779" t="n">
        <v>2015</v>
      </c>
      <c r="C779" t="inlineStr">
        <is>
          <t>Marissa Grisedale</t>
        </is>
      </c>
      <c r="D779">
        <f>HYPERLINK("https://ota.tournamentsoftware.com/player-profile/FACB5C24-4DB7-463B-A373-69C70E1AC8E4", "Link")</f>
        <v/>
      </c>
      <c r="E779" s="3" t="n">
        <v>11.043</v>
      </c>
      <c r="F779" s="4" t="n">
        <v>3</v>
      </c>
      <c r="G779" t="inlineStr">
        <is>
          <t>British Columbia</t>
        </is>
      </c>
      <c r="H779" t="inlineStr">
        <is>
          <t>Commons Racquet Club at Predator Ridge</t>
        </is>
      </c>
      <c r="I779" t="n">
        <v>37.2</v>
      </c>
      <c r="J779" s="4" t="n">
        <v>40</v>
      </c>
      <c r="K779" t="inlineStr">
        <is>
          <t>20 / 20</t>
        </is>
      </c>
      <c r="L779" t="inlineStr">
        <is>
          <t>3 / 5</t>
        </is>
      </c>
      <c r="M779" s="5" t="n">
        <v>0.5</v>
      </c>
      <c r="N779" s="5" t="n">
        <v>0.38</v>
      </c>
    </row>
    <row r="780">
      <c r="A780" t="n">
        <v>779</v>
      </c>
      <c r="B780" t="n">
        <v>2012</v>
      </c>
      <c r="C780" t="inlineStr">
        <is>
          <t>Maya Chow</t>
        </is>
      </c>
      <c r="D780">
        <f>HYPERLINK("https://ota.tournamentsoftware.com/player-profile/FE33DD51-BEAF-4E17-BDBB-2558B4A2AFE6", "Link")</f>
        <v/>
      </c>
      <c r="E780" s="3" t="n">
        <v>11.011</v>
      </c>
      <c r="F780" s="4" t="n">
        <v>1</v>
      </c>
      <c r="G780" t="inlineStr">
        <is>
          <t>Ontario Tennis Association</t>
        </is>
      </c>
      <c r="H780" t="inlineStr">
        <is>
          <t>ACE Tennis - Toronto Tennis City</t>
        </is>
      </c>
      <c r="I780" t="n">
        <v>34.6</v>
      </c>
      <c r="J780" s="4" t="n">
        <v>16</v>
      </c>
      <c r="K780" t="inlineStr">
        <is>
          <t>10 / 6</t>
        </is>
      </c>
      <c r="L780" t="inlineStr">
        <is>
          <t>10 / 6</t>
        </is>
      </c>
      <c r="M780" s="5" t="n">
        <v>0.62</v>
      </c>
      <c r="N780" s="5" t="n">
        <v>0.62</v>
      </c>
    </row>
    <row r="781">
      <c r="A781" t="n">
        <v>780</v>
      </c>
      <c r="B781" t="n">
        <v>2014</v>
      </c>
      <c r="C781" t="inlineStr">
        <is>
          <t>Saisha Sharma</t>
        </is>
      </c>
      <c r="D781">
        <f>HYPERLINK("https://ota.tournamentsoftware.com/player-profile/4141EEE9-8372-4477-B6C4-DE0E9616249B", "Link")</f>
        <v/>
      </c>
      <c r="E781" s="3" t="n">
        <v>11.011</v>
      </c>
      <c r="F781" s="4" t="n">
        <v>2</v>
      </c>
      <c r="G781" t="inlineStr">
        <is>
          <t>Ontario Tennis Association</t>
        </is>
      </c>
      <c r="H781" t="inlineStr">
        <is>
          <t>Premier Racquet Clubs – Brampton</t>
        </is>
      </c>
      <c r="I781" t="n">
        <v>37.1</v>
      </c>
      <c r="J781" s="4" t="n">
        <v>16</v>
      </c>
      <c r="K781" t="inlineStr">
        <is>
          <t>11 / 5</t>
        </is>
      </c>
      <c r="L781" t="inlineStr">
        <is>
          <t>11 / 5</t>
        </is>
      </c>
      <c r="M781" s="5" t="n">
        <v>0.6899999999999999</v>
      </c>
      <c r="N781" s="5" t="n">
        <v>0.6899999999999999</v>
      </c>
    </row>
    <row r="782">
      <c r="A782" t="n">
        <v>781</v>
      </c>
      <c r="B782" t="n">
        <v>2015</v>
      </c>
      <c r="C782" t="inlineStr">
        <is>
          <t>Fabiola Antonella Sanchez Ferreyra</t>
        </is>
      </c>
      <c r="D782">
        <f>HYPERLINK("https://ota.tournamentsoftware.com/player-profile/B37A6388-D965-4303-A37E-1111875A98DF", "Link")</f>
        <v/>
      </c>
      <c r="E782" s="3" t="n">
        <v>10.873</v>
      </c>
      <c r="F782" s="4" t="n">
        <v>1</v>
      </c>
      <c r="G782" t="inlineStr">
        <is>
          <t>Tennis Québec</t>
        </is>
      </c>
      <c r="H782" t="inlineStr">
        <is>
          <t>SANI Sport</t>
        </is>
      </c>
      <c r="I782" t="n">
        <v>39.4</v>
      </c>
      <c r="J782" s="4" t="n">
        <v>12</v>
      </c>
      <c r="K782" t="inlineStr">
        <is>
          <t>7 / 5</t>
        </is>
      </c>
      <c r="L782" t="inlineStr">
        <is>
          <t>0 / 1</t>
        </is>
      </c>
      <c r="M782" s="5" t="n">
        <v>0.58</v>
      </c>
      <c r="N782" s="5" t="n">
        <v>0</v>
      </c>
    </row>
    <row r="783">
      <c r="A783" t="n">
        <v>782</v>
      </c>
      <c r="B783" t="n">
        <v>2012</v>
      </c>
      <c r="C783" t="inlineStr">
        <is>
          <t>Jiayi Emma Wang</t>
        </is>
      </c>
      <c r="D783">
        <f>HYPERLINK("https://ota.tournamentsoftware.com/player-profile/C6ED9D5C-83AD-4AC9-9DCE-1D21A2304573", "Link")</f>
        <v/>
      </c>
      <c r="E783" s="3" t="n">
        <v>10.8</v>
      </c>
      <c r="F783" s="4" t="n">
        <v>1</v>
      </c>
      <c r="G783" t="inlineStr">
        <is>
          <t>British Columbia</t>
        </is>
      </c>
      <c r="H783" t="inlineStr">
        <is>
          <t>No Club</t>
        </is>
      </c>
      <c r="I783" t="inlineStr">
        <is>
          <t>unavailable</t>
        </is>
      </c>
      <c r="J783" s="4" t="n">
        <v>12</v>
      </c>
      <c r="K783" t="inlineStr">
        <is>
          <t>2 / 10</t>
        </is>
      </c>
      <c r="L783" t="inlineStr">
        <is>
          <t>1 / 1</t>
        </is>
      </c>
      <c r="M783" s="5" t="n">
        <v>0.17</v>
      </c>
      <c r="N783" s="5" t="n">
        <v>0.5</v>
      </c>
    </row>
    <row r="784">
      <c r="A784" t="n">
        <v>782</v>
      </c>
      <c r="B784" t="n">
        <v>2015</v>
      </c>
      <c r="C784" t="inlineStr">
        <is>
          <t>Meera Ramanathan</t>
        </is>
      </c>
      <c r="D784">
        <f>HYPERLINK("https://ota.tournamentsoftware.com/player-profile/4BFD1C94-F572-47D9-8892-3117B37D58A1", "Link")</f>
        <v/>
      </c>
      <c r="E784" s="3" t="n">
        <v>10.8</v>
      </c>
      <c r="F784" s="4" t="n">
        <v>1</v>
      </c>
      <c r="G784" t="inlineStr">
        <is>
          <t>Ontario Tennis Association</t>
        </is>
      </c>
      <c r="H784" t="inlineStr">
        <is>
          <t>Rideau Sports Centre</t>
        </is>
      </c>
      <c r="I784" t="n">
        <v>38.1</v>
      </c>
      <c r="J784" s="4" t="n">
        <v>2</v>
      </c>
      <c r="K784" t="inlineStr">
        <is>
          <t>1 / 1</t>
        </is>
      </c>
      <c r="L784" t="inlineStr">
        <is>
          <t>1 / 1</t>
        </is>
      </c>
      <c r="M784" s="5" t="n">
        <v>0.5</v>
      </c>
      <c r="N784" s="5" t="n">
        <v>0.5</v>
      </c>
    </row>
    <row r="785">
      <c r="A785" t="n">
        <v>782</v>
      </c>
      <c r="B785" t="n">
        <v>2015</v>
      </c>
      <c r="C785" t="inlineStr">
        <is>
          <t>Tamara Amad</t>
        </is>
      </c>
      <c r="D785">
        <f>HYPERLINK("https://ota.tournamentsoftware.com/player-profile/4DB13A7D-F9F2-45DD-AAD4-FA9987D24AC9", "Link")</f>
        <v/>
      </c>
      <c r="E785" s="3" t="n">
        <v>10.8</v>
      </c>
      <c r="F785" s="4" t="n">
        <v>1</v>
      </c>
      <c r="G785" t="inlineStr">
        <is>
          <t>Ontario Tennis Association</t>
        </is>
      </c>
      <c r="H785" t="inlineStr">
        <is>
          <t>Ontario Racquet Club</t>
        </is>
      </c>
      <c r="I785" t="inlineStr">
        <is>
          <t>unavailable</t>
        </is>
      </c>
      <c r="J785" s="4" t="n">
        <v>20</v>
      </c>
      <c r="K785" t="inlineStr">
        <is>
          <t>12 / 8</t>
        </is>
      </c>
      <c r="L785" t="inlineStr">
        <is>
          <t>3 / 3</t>
        </is>
      </c>
      <c r="M785" s="5" t="n">
        <v>0.6</v>
      </c>
      <c r="N785" s="5" t="n">
        <v>0.5</v>
      </c>
    </row>
    <row r="786">
      <c r="A786" t="n">
        <v>782</v>
      </c>
      <c r="B786" t="n">
        <v>2016</v>
      </c>
      <c r="C786" t="inlineStr">
        <is>
          <t>Archini Bera</t>
        </is>
      </c>
      <c r="D786">
        <f>HYPERLINK("https://ota.tournamentsoftware.com/player-profile/6FA68B83-6E0E-4A78-81A0-6004576A8E6E", "Link")</f>
        <v/>
      </c>
      <c r="E786" s="3" t="n">
        <v>10.8</v>
      </c>
      <c r="F786" s="4" t="n">
        <v>3</v>
      </c>
      <c r="G786" t="inlineStr">
        <is>
          <t>Ontario Tennis Association</t>
        </is>
      </c>
      <c r="H786" t="inlineStr">
        <is>
          <t>Rideau Sports Centre</t>
        </is>
      </c>
      <c r="I786" t="inlineStr">
        <is>
          <t>unavailable</t>
        </is>
      </c>
      <c r="J786" s="4" t="n">
        <v>50</v>
      </c>
      <c r="K786" t="inlineStr">
        <is>
          <t>30 / 20</t>
        </is>
      </c>
      <c r="L786" t="inlineStr">
        <is>
          <t>27 / 11</t>
        </is>
      </c>
      <c r="M786" s="5" t="n">
        <v>0.6</v>
      </c>
      <c r="N786" s="5" t="n">
        <v>0.71</v>
      </c>
    </row>
    <row r="787">
      <c r="A787" t="n">
        <v>782</v>
      </c>
      <c r="B787" t="n">
        <v>2016</v>
      </c>
      <c r="C787" t="inlineStr">
        <is>
          <t>Christina Chen</t>
        </is>
      </c>
      <c r="D787">
        <f>HYPERLINK("https://ota.tournamentsoftware.com/player-profile/77F19A45-EF05-4CCE-896B-44A6BEF594C7", "Link")</f>
        <v/>
      </c>
      <c r="E787" s="3" t="n">
        <v>10.8</v>
      </c>
      <c r="F787" s="4" t="n">
        <v>2</v>
      </c>
      <c r="G787" t="inlineStr">
        <is>
          <t>Ontario Tennis Association</t>
        </is>
      </c>
      <c r="H787" t="inlineStr">
        <is>
          <t>No Club</t>
        </is>
      </c>
      <c r="I787" t="n">
        <v>39.6</v>
      </c>
      <c r="J787" s="4" t="n">
        <v>73</v>
      </c>
      <c r="K787" t="inlineStr">
        <is>
          <t>7 / 66</t>
        </is>
      </c>
      <c r="L787" t="inlineStr">
        <is>
          <t>3 / 13</t>
        </is>
      </c>
      <c r="M787" s="5" t="n">
        <v>0.1</v>
      </c>
      <c r="N787" s="5" t="n">
        <v>0.19</v>
      </c>
    </row>
    <row r="788">
      <c r="A788" t="n">
        <v>782</v>
      </c>
      <c r="B788" t="n">
        <v>2016</v>
      </c>
      <c r="C788" t="inlineStr">
        <is>
          <t>Yanya Zhao</t>
        </is>
      </c>
      <c r="D788">
        <f>HYPERLINK("https://ota.tournamentsoftware.com/player-profile/60E4C9B4-B466-467C-B9D3-335A318BE74C", "Link")</f>
        <v/>
      </c>
      <c r="E788" s="3" t="n">
        <v>10.8</v>
      </c>
      <c r="F788" s="4" t="n">
        <v>2</v>
      </c>
      <c r="G788" t="inlineStr">
        <is>
          <t>Ontario Tennis Association</t>
        </is>
      </c>
      <c r="H788" t="inlineStr">
        <is>
          <t>Valan Tennis Academy</t>
        </is>
      </c>
      <c r="I788" t="n">
        <v>37</v>
      </c>
      <c r="J788" s="4" t="n">
        <v>79</v>
      </c>
      <c r="K788" t="inlineStr">
        <is>
          <t>48 / 31</t>
        </is>
      </c>
      <c r="L788" t="inlineStr">
        <is>
          <t>48 / 31</t>
        </is>
      </c>
      <c r="M788" s="5" t="n">
        <v>0.61</v>
      </c>
      <c r="N788" s="5" t="n">
        <v>0.61</v>
      </c>
    </row>
    <row r="789">
      <c r="A789" t="n">
        <v>788</v>
      </c>
      <c r="B789" t="n">
        <v>2012</v>
      </c>
      <c r="C789" t="inlineStr">
        <is>
          <t>Sofia Kalchenko</t>
        </is>
      </c>
      <c r="D789">
        <f>HYPERLINK("https://ota.tournamentsoftware.com/player-profile/95371403-EC89-475C-B20A-60F935026FFA", "Link")</f>
        <v/>
      </c>
      <c r="E789" s="3" t="n">
        <v>10.627</v>
      </c>
      <c r="F789" s="4" t="n">
        <v>4</v>
      </c>
      <c r="G789" t="inlineStr">
        <is>
          <t>Tennis Alberta</t>
        </is>
      </c>
      <c r="H789" t="inlineStr">
        <is>
          <t>Aforza</t>
        </is>
      </c>
      <c r="I789" t="inlineStr">
        <is>
          <t>unavailable</t>
        </is>
      </c>
      <c r="J789" s="4" t="n">
        <v>41</v>
      </c>
      <c r="K789" t="inlineStr">
        <is>
          <t>20 / 21</t>
        </is>
      </c>
      <c r="L789" t="inlineStr">
        <is>
          <t>3 / 1</t>
        </is>
      </c>
      <c r="M789" s="5" t="n">
        <v>0.49</v>
      </c>
      <c r="N789" s="5" t="n">
        <v>0.75</v>
      </c>
    </row>
    <row r="790">
      <c r="A790" t="n">
        <v>789</v>
      </c>
      <c r="B790" t="n">
        <v>2015</v>
      </c>
      <c r="C790" t="inlineStr">
        <is>
          <t>ALYSSA MA</t>
        </is>
      </c>
      <c r="D790">
        <f>HYPERLINK("https://ota.tournamentsoftware.com/player-profile/7C80CDC4-31A2-4667-A2A3-AE7AD2699300", "Link")</f>
        <v/>
      </c>
      <c r="E790" s="3" t="n">
        <v>10.368</v>
      </c>
      <c r="F790" s="4" t="n">
        <v>2</v>
      </c>
      <c r="G790" t="inlineStr">
        <is>
          <t>Ontario Tennis Association</t>
        </is>
      </c>
      <c r="H790" t="inlineStr">
        <is>
          <t>Blackmore Tennis Club</t>
        </is>
      </c>
      <c r="I790" t="n">
        <v>36.4</v>
      </c>
      <c r="J790" s="4" t="n">
        <v>13</v>
      </c>
      <c r="K790" t="inlineStr">
        <is>
          <t>7 / 6</t>
        </is>
      </c>
      <c r="L790" t="inlineStr">
        <is>
          <t>1 / 3</t>
        </is>
      </c>
      <c r="M790" s="5" t="n">
        <v>0.54</v>
      </c>
      <c r="N790" s="5" t="n">
        <v>0.25</v>
      </c>
    </row>
    <row r="791">
      <c r="A791" t="n">
        <v>789</v>
      </c>
      <c r="B791" t="n">
        <v>2015</v>
      </c>
      <c r="C791" t="inlineStr">
        <is>
          <t>Emmanuelle Farah Kwin Onana</t>
        </is>
      </c>
      <c r="D791">
        <f>HYPERLINK("https://ota.tournamentsoftware.com/player-profile/7931DDBA-D7CA-40E8-97CF-DF1CA8113B24", "Link")</f>
        <v/>
      </c>
      <c r="E791" s="3" t="n">
        <v>10.368</v>
      </c>
      <c r="F791" s="4" t="n">
        <v>1</v>
      </c>
      <c r="G791" t="inlineStr">
        <is>
          <t>Tennis Québec</t>
        </is>
      </c>
      <c r="H791" t="inlineStr">
        <is>
          <t>Club de tennis de Gatineau</t>
        </is>
      </c>
      <c r="I791" t="inlineStr">
        <is>
          <t>unavailable</t>
        </is>
      </c>
      <c r="J791" s="4" t="n">
        <v>13</v>
      </c>
      <c r="K791" t="inlineStr">
        <is>
          <t>6 / 7</t>
        </is>
      </c>
      <c r="L791" t="inlineStr">
        <is>
          <t>0 / 1</t>
        </is>
      </c>
      <c r="M791" s="5" t="n">
        <v>0.46</v>
      </c>
      <c r="N791" s="5" t="n">
        <v>0</v>
      </c>
    </row>
    <row r="792">
      <c r="A792" t="n">
        <v>789</v>
      </c>
      <c r="B792" t="n">
        <v>2016</v>
      </c>
      <c r="C792" t="inlineStr">
        <is>
          <t>Alice Trépanier</t>
        </is>
      </c>
      <c r="D792">
        <f>HYPERLINK("https://ota.tournamentsoftware.com/player-profile/005FD3B5-057F-4BFE-B6D1-1D3CC87FBA27", "Link")</f>
        <v/>
      </c>
      <c r="E792" s="3" t="n">
        <v>10.368</v>
      </c>
      <c r="F792" s="4" t="n">
        <v>1</v>
      </c>
      <c r="G792" t="inlineStr">
        <is>
          <t>Tennis Québec</t>
        </is>
      </c>
      <c r="H792" t="inlineStr">
        <is>
          <t>Centre Récréatif Rock Forest</t>
        </is>
      </c>
      <c r="I792" t="inlineStr">
        <is>
          <t>unavailable</t>
        </is>
      </c>
      <c r="J792" s="4" t="n">
        <v>28</v>
      </c>
      <c r="K792" t="inlineStr">
        <is>
          <t>13 / 15</t>
        </is>
      </c>
      <c r="L792" t="inlineStr">
        <is>
          <t>9 / 7</t>
        </is>
      </c>
      <c r="M792" s="5" t="n">
        <v>0.46</v>
      </c>
      <c r="N792" s="5" t="n">
        <v>0.5600000000000001</v>
      </c>
    </row>
    <row r="793">
      <c r="A793" t="n">
        <v>792</v>
      </c>
      <c r="B793" t="n">
        <v>2014</v>
      </c>
      <c r="C793" t="inlineStr">
        <is>
          <t>Flore Laferrière</t>
        </is>
      </c>
      <c r="D793">
        <f>HYPERLINK("https://ota.tournamentsoftware.com/player-profile/14AB607F-E600-4113-85A8-3FA78DC9A248", "Link")</f>
        <v/>
      </c>
      <c r="E793" s="3" t="n">
        <v>10.149</v>
      </c>
      <c r="F793" s="4" t="n">
        <v>3</v>
      </c>
      <c r="G793" t="inlineStr">
        <is>
          <t>Tennis Québec</t>
        </is>
      </c>
      <c r="H793" t="inlineStr">
        <is>
          <t>Tennis 3R- l’Academie l’échange</t>
        </is>
      </c>
      <c r="I793" t="n">
        <v>39.6</v>
      </c>
      <c r="J793" s="4" t="n">
        <v>8</v>
      </c>
      <c r="K793" t="inlineStr">
        <is>
          <t>1 / 7</t>
        </is>
      </c>
      <c r="L793" t="inlineStr">
        <is>
          <t>0 / 3</t>
        </is>
      </c>
      <c r="M793" s="5" t="n">
        <v>0.12</v>
      </c>
      <c r="N793" s="5" t="n">
        <v>0</v>
      </c>
    </row>
    <row r="794">
      <c r="A794" t="n">
        <v>793</v>
      </c>
      <c r="B794" t="n">
        <v>2015</v>
      </c>
      <c r="C794" t="inlineStr">
        <is>
          <t>Autumn VandeCoevering</t>
        </is>
      </c>
      <c r="D794">
        <f>HYPERLINK("https://ota.tournamentsoftware.com/player-profile/1CD9DDAD-A036-4365-A97E-F88D56D4B94B", "Link")</f>
        <v/>
      </c>
      <c r="E794" s="3" t="n">
        <v>10.146</v>
      </c>
      <c r="F794" s="4" t="n">
        <v>2</v>
      </c>
      <c r="G794" t="inlineStr">
        <is>
          <t>Ontario Tennis Association</t>
        </is>
      </c>
      <c r="H794" t="inlineStr">
        <is>
          <t>Greenhills Golf Club</t>
        </is>
      </c>
      <c r="I794" t="inlineStr">
        <is>
          <t>unavailable</t>
        </is>
      </c>
      <c r="J794" s="4" t="n">
        <v>6</v>
      </c>
      <c r="K794" t="inlineStr">
        <is>
          <t>2 / 4</t>
        </is>
      </c>
      <c r="L794" t="inlineStr">
        <is>
          <t>2 / 4</t>
        </is>
      </c>
      <c r="M794" s="5" t="n">
        <v>0.33</v>
      </c>
      <c r="N794" s="5" t="n">
        <v>0.33</v>
      </c>
    </row>
    <row r="795">
      <c r="A795" t="n">
        <v>794</v>
      </c>
      <c r="B795" t="n">
        <v>2015</v>
      </c>
      <c r="C795" t="inlineStr">
        <is>
          <t>Jaelynn Lumandas</t>
        </is>
      </c>
      <c r="D795">
        <f>HYPERLINK("https://ota.tournamentsoftware.com/player-profile/586CE1E5-E974-4A42-B919-DE1FC94F6144", "Link")</f>
        <v/>
      </c>
      <c r="E795" s="3" t="n">
        <v>10.137</v>
      </c>
      <c r="F795" s="4" t="n">
        <v>3</v>
      </c>
      <c r="G795" t="inlineStr">
        <is>
          <t>Tennis Alberta</t>
        </is>
      </c>
      <c r="H795" t="inlineStr">
        <is>
          <t>Saville Community Sports Centre</t>
        </is>
      </c>
      <c r="I795" t="n">
        <v>40</v>
      </c>
      <c r="J795" s="4" t="n">
        <v>25</v>
      </c>
      <c r="K795" t="inlineStr">
        <is>
          <t>1 / 24</t>
        </is>
      </c>
      <c r="L795" t="inlineStr">
        <is>
          <t>0 / 4</t>
        </is>
      </c>
      <c r="M795" s="5" t="n">
        <v>0.04</v>
      </c>
      <c r="N795" s="5" t="n">
        <v>0</v>
      </c>
    </row>
    <row r="796">
      <c r="A796" t="n">
        <v>795</v>
      </c>
      <c r="B796" t="n">
        <v>2012</v>
      </c>
      <c r="C796" t="inlineStr">
        <is>
          <t>Xiaoyue (Vivian) Zhang</t>
        </is>
      </c>
      <c r="D796">
        <f>HYPERLINK("https://ota.tournamentsoftware.com/player-profile/78AF63B4-51BB-4826-AFEB-269DB17B18ED", "Link")</f>
        <v/>
      </c>
      <c r="E796" s="3" t="n">
        <v>9.720000000000001</v>
      </c>
      <c r="F796" s="4" t="n">
        <v>1</v>
      </c>
      <c r="G796" t="inlineStr">
        <is>
          <t>British Columbia</t>
        </is>
      </c>
      <c r="H796" t="inlineStr">
        <is>
          <t>Coquitlam Tennis Club</t>
        </is>
      </c>
      <c r="I796" t="n">
        <v>37.6</v>
      </c>
      <c r="J796" s="4" t="n">
        <v>4</v>
      </c>
      <c r="K796" t="inlineStr">
        <is>
          <t>1 / 3</t>
        </is>
      </c>
      <c r="L796" t="inlineStr">
        <is>
          <t>0 / 0</t>
        </is>
      </c>
      <c r="M796" s="5" t="n">
        <v>0.25</v>
      </c>
      <c r="N796" s="5" t="n">
        <v>0</v>
      </c>
    </row>
    <row r="797">
      <c r="A797" t="n">
        <v>796</v>
      </c>
      <c r="B797" t="n">
        <v>2013</v>
      </c>
      <c r="C797" t="inlineStr">
        <is>
          <t>Anastasia Gorceac</t>
        </is>
      </c>
      <c r="D797">
        <f>HYPERLINK("https://ota.tournamentsoftware.com/player-profile/34DB6E68-DC2D-46A3-9FCF-82A58A1EDBE3", "Link")</f>
        <v/>
      </c>
      <c r="E797" s="3" t="n">
        <v>9.612</v>
      </c>
      <c r="F797" s="4" t="n">
        <v>2</v>
      </c>
      <c r="G797" t="inlineStr">
        <is>
          <t>Tennis Québec</t>
        </is>
      </c>
      <c r="H797" t="inlineStr">
        <is>
          <t>No Club</t>
        </is>
      </c>
      <c r="I797" t="n">
        <v>37.9</v>
      </c>
      <c r="J797" s="4" t="n">
        <v>8</v>
      </c>
      <c r="K797" t="inlineStr">
        <is>
          <t>4 / 4</t>
        </is>
      </c>
      <c r="L797" t="inlineStr">
        <is>
          <t>0 / 0</t>
        </is>
      </c>
      <c r="M797" s="5" t="n">
        <v>0.5</v>
      </c>
      <c r="N797" s="5" t="n">
        <v>0</v>
      </c>
    </row>
    <row r="798">
      <c r="A798" t="n">
        <v>797</v>
      </c>
      <c r="B798" t="n">
        <v>2015</v>
      </c>
      <c r="C798" t="inlineStr">
        <is>
          <t>Violet Rose Divell</t>
        </is>
      </c>
      <c r="D798">
        <f>HYPERLINK("https://ota.tournamentsoftware.com/player-profile/264EFCE5-2D5B-4014-A1E4-CF0F958237B9", "Link")</f>
        <v/>
      </c>
      <c r="E798" s="3" t="n">
        <v>9.598000000000001</v>
      </c>
      <c r="F798" s="4" t="n">
        <v>3</v>
      </c>
      <c r="G798" t="inlineStr">
        <is>
          <t>Tennis Québec</t>
        </is>
      </c>
      <c r="H798" t="inlineStr">
        <is>
          <t>Académie de tennis UNI(T)</t>
        </is>
      </c>
      <c r="I798" t="n">
        <v>39.4</v>
      </c>
      <c r="J798" s="4" t="n">
        <v>6</v>
      </c>
      <c r="K798" t="inlineStr">
        <is>
          <t>1 / 5</t>
        </is>
      </c>
      <c r="L798" t="inlineStr">
        <is>
          <t>1 / 5</t>
        </is>
      </c>
      <c r="M798" s="5" t="n">
        <v>0.17</v>
      </c>
      <c r="N798" s="5" t="n">
        <v>0.17</v>
      </c>
    </row>
    <row r="799">
      <c r="A799" t="n">
        <v>798</v>
      </c>
      <c r="B799" t="n">
        <v>2013</v>
      </c>
      <c r="C799" t="inlineStr">
        <is>
          <t>Yujin Cao</t>
        </is>
      </c>
      <c r="D799">
        <f>HYPERLINK("https://ota.tournamentsoftware.com/player-profile/8260D181-2742-4015-AD52-73D66B6FD70A", "Link")</f>
        <v/>
      </c>
      <c r="E799" s="3" t="n">
        <v>9.59</v>
      </c>
      <c r="F799" s="4" t="n">
        <v>2</v>
      </c>
      <c r="G799" t="inlineStr">
        <is>
          <t>Tennis Québec</t>
        </is>
      </c>
      <c r="H799" t="inlineStr">
        <is>
          <t>Tennis 13</t>
        </is>
      </c>
      <c r="I799" t="inlineStr">
        <is>
          <t>unavailable</t>
        </is>
      </c>
      <c r="J799" s="4" t="n">
        <v>5</v>
      </c>
      <c r="K799" t="inlineStr">
        <is>
          <t>2 / 3</t>
        </is>
      </c>
      <c r="L799" t="inlineStr">
        <is>
          <t>0 / 1</t>
        </is>
      </c>
      <c r="M799" s="5" t="n">
        <v>0.4</v>
      </c>
      <c r="N799" s="5" t="n">
        <v>0</v>
      </c>
    </row>
    <row r="800">
      <c r="A800" t="n">
        <v>799</v>
      </c>
      <c r="B800" t="n">
        <v>2014</v>
      </c>
      <c r="C800" t="inlineStr">
        <is>
          <t>Juliette Viel</t>
        </is>
      </c>
      <c r="D800">
        <f>HYPERLINK("https://ota.tournamentsoftware.com/player-profile/3C42B108-2BA4-41D7-8AE2-19A52170601F", "Link")</f>
        <v/>
      </c>
      <c r="E800" s="3" t="n">
        <v>9.555</v>
      </c>
      <c r="F800" s="4" t="n">
        <v>2</v>
      </c>
      <c r="G800" t="inlineStr">
        <is>
          <t>Tennis Québec</t>
        </is>
      </c>
      <c r="H800" t="inlineStr">
        <is>
          <t>Club de tennis de Rivière-du-Loup</t>
        </is>
      </c>
      <c r="I800" t="n">
        <v>35.4</v>
      </c>
      <c r="J800" s="4" t="n">
        <v>20</v>
      </c>
      <c r="K800" t="inlineStr">
        <is>
          <t>8 / 12</t>
        </is>
      </c>
      <c r="L800" t="inlineStr">
        <is>
          <t>1 / 2</t>
        </is>
      </c>
      <c r="M800" s="5" t="n">
        <v>0.4</v>
      </c>
      <c r="N800" s="5" t="n">
        <v>0.33</v>
      </c>
    </row>
    <row r="801">
      <c r="A801" t="n">
        <v>800</v>
      </c>
      <c r="B801" t="n">
        <v>2012</v>
      </c>
      <c r="C801" t="inlineStr">
        <is>
          <t>Eya Louati</t>
        </is>
      </c>
      <c r="D801">
        <f>HYPERLINK("https://ota.tournamentsoftware.com/player-profile/679317D4-2CCC-4345-A8E0-4E4AB637C148", "Link")</f>
        <v/>
      </c>
      <c r="E801" s="3" t="n">
        <v>9.504</v>
      </c>
      <c r="F801" s="4" t="n">
        <v>1</v>
      </c>
      <c r="G801" t="inlineStr">
        <is>
          <t>Tennis Québec</t>
        </is>
      </c>
      <c r="H801" t="inlineStr">
        <is>
          <t>SANI Sport</t>
        </is>
      </c>
      <c r="I801" t="inlineStr">
        <is>
          <t>unavailable</t>
        </is>
      </c>
      <c r="J801" s="4" t="n">
        <v>90</v>
      </c>
      <c r="K801" t="inlineStr">
        <is>
          <t>28 / 62</t>
        </is>
      </c>
      <c r="L801" t="inlineStr">
        <is>
          <t>1 / 2</t>
        </is>
      </c>
      <c r="M801" s="5" t="n">
        <v>0.31</v>
      </c>
      <c r="N801" s="5" t="n">
        <v>0.33</v>
      </c>
    </row>
    <row r="802">
      <c r="A802" t="n">
        <v>801</v>
      </c>
      <c r="B802" t="n">
        <v>2014</v>
      </c>
      <c r="C802" t="inlineStr">
        <is>
          <t>Yingshan Zoey Chen</t>
        </is>
      </c>
      <c r="D802">
        <f>HYPERLINK("https://ota.tournamentsoftware.com/player-profile/A4F9AF2C-7FB4-474F-BA3A-0E1AB32672E3", "Link")</f>
        <v/>
      </c>
      <c r="E802" s="3" t="n">
        <v>9.414999999999999</v>
      </c>
      <c r="F802" s="4" t="n">
        <v>3</v>
      </c>
      <c r="G802" t="inlineStr">
        <is>
          <t>Ontario Tennis Association</t>
        </is>
      </c>
      <c r="H802" t="inlineStr">
        <is>
          <t>Thornhill Country Club</t>
        </is>
      </c>
      <c r="I802" t="n">
        <v>38.5</v>
      </c>
      <c r="J802" s="4" t="n">
        <v>24</v>
      </c>
      <c r="K802" t="inlineStr">
        <is>
          <t>5 / 19</t>
        </is>
      </c>
      <c r="L802" t="inlineStr">
        <is>
          <t>2 / 4</t>
        </is>
      </c>
      <c r="M802" s="5" t="n">
        <v>0.21</v>
      </c>
      <c r="N802" s="5" t="n">
        <v>0.33</v>
      </c>
    </row>
    <row r="803">
      <c r="A803" t="n">
        <v>802</v>
      </c>
      <c r="B803" t="n">
        <v>2013</v>
      </c>
      <c r="C803" t="inlineStr">
        <is>
          <t>Harper Thompson</t>
        </is>
      </c>
      <c r="D803">
        <f>HYPERLINK("https://ota.tournamentsoftware.com/player-profile/D930EA05-6917-4BB8-9AD8-DE7F29C99324", "Link")</f>
        <v/>
      </c>
      <c r="E803" s="3" t="n">
        <v>8.938000000000001</v>
      </c>
      <c r="F803" s="4" t="n">
        <v>3</v>
      </c>
      <c r="G803" t="inlineStr">
        <is>
          <t>Tennis Alberta</t>
        </is>
      </c>
      <c r="H803" t="inlineStr">
        <is>
          <t>The Glencoe Club</t>
        </is>
      </c>
      <c r="I803" t="inlineStr">
        <is>
          <t>unavailable</t>
        </is>
      </c>
      <c r="J803" s="4" t="n">
        <v>44</v>
      </c>
      <c r="K803" t="inlineStr">
        <is>
          <t>2 / 42</t>
        </is>
      </c>
      <c r="L803" t="inlineStr">
        <is>
          <t>0 / 2</t>
        </is>
      </c>
      <c r="M803" s="5" t="n">
        <v>0.05</v>
      </c>
      <c r="N803" s="5" t="n">
        <v>0</v>
      </c>
    </row>
    <row r="804">
      <c r="A804" t="n">
        <v>803</v>
      </c>
      <c r="B804" t="n">
        <v>2014</v>
      </c>
      <c r="C804" t="inlineStr">
        <is>
          <t>Avery Rose Kon</t>
        </is>
      </c>
      <c r="D804">
        <f>HYPERLINK("https://ota.tournamentsoftware.com/player-profile/3F621439-578C-4BDD-A8A2-880ECC795615", "Link")</f>
        <v/>
      </c>
      <c r="E804" s="3" t="n">
        <v>8.888</v>
      </c>
      <c r="F804" s="4" t="n">
        <v>2</v>
      </c>
      <c r="G804" t="inlineStr">
        <is>
          <t>Ontario Tennis Association</t>
        </is>
      </c>
      <c r="H804" t="inlineStr">
        <is>
          <t>Toronto Lawn Tennis Club</t>
        </is>
      </c>
      <c r="I804" t="n">
        <v>36.6</v>
      </c>
      <c r="J804" s="4" t="n">
        <v>8</v>
      </c>
      <c r="K804" t="inlineStr">
        <is>
          <t>1 / 7</t>
        </is>
      </c>
      <c r="L804" t="inlineStr">
        <is>
          <t>0 / 2</t>
        </is>
      </c>
      <c r="M804" s="5" t="n">
        <v>0.12</v>
      </c>
      <c r="N804" s="5" t="n">
        <v>0</v>
      </c>
    </row>
    <row r="805">
      <c r="A805" t="n">
        <v>804</v>
      </c>
      <c r="B805" t="n">
        <v>2014</v>
      </c>
      <c r="C805" t="inlineStr">
        <is>
          <t>Annabelle Zhao</t>
        </is>
      </c>
      <c r="D805">
        <f>HYPERLINK("https://ota.tournamentsoftware.com/player-profile/F9367D16-E3B7-41BB-810F-85E4C6371542", "Link")</f>
        <v/>
      </c>
      <c r="E805" s="3" t="n">
        <v>8.882999999999999</v>
      </c>
      <c r="F805" s="4" t="n">
        <v>3</v>
      </c>
      <c r="G805" t="inlineStr">
        <is>
          <t>British Columbia</t>
        </is>
      </c>
      <c r="H805" t="inlineStr">
        <is>
          <t>The Tennis Centre</t>
        </is>
      </c>
      <c r="I805" t="n">
        <v>39</v>
      </c>
      <c r="J805" s="4" t="n">
        <v>61</v>
      </c>
      <c r="K805" t="inlineStr">
        <is>
          <t>30 / 31</t>
        </is>
      </c>
      <c r="L805" t="inlineStr">
        <is>
          <t>10 / 8</t>
        </is>
      </c>
      <c r="M805" s="5" t="n">
        <v>0.49</v>
      </c>
      <c r="N805" s="5" t="n">
        <v>0.5600000000000001</v>
      </c>
    </row>
    <row r="806">
      <c r="A806" t="n">
        <v>805</v>
      </c>
      <c r="B806" t="n">
        <v>2014</v>
      </c>
      <c r="C806" t="inlineStr">
        <is>
          <t>Jylian May II Mauricio Luces</t>
        </is>
      </c>
      <c r="D806">
        <f>HYPERLINK("https://ota.tournamentsoftware.com/player-profile/EE4C1547-2DEF-4E96-BA65-F8069863F09D", "Link")</f>
        <v/>
      </c>
      <c r="E806" s="3" t="n">
        <v>8.861000000000001</v>
      </c>
      <c r="F806" s="4" t="n">
        <v>7</v>
      </c>
      <c r="G806" t="inlineStr">
        <is>
          <t>Tennis Alberta</t>
        </is>
      </c>
      <c r="H806" t="inlineStr">
        <is>
          <t>Osten &amp; Victor Alberta Tennis Centre</t>
        </is>
      </c>
      <c r="I806" t="inlineStr">
        <is>
          <t>unavailable</t>
        </is>
      </c>
      <c r="J806" s="4" t="n">
        <v>33</v>
      </c>
      <c r="K806" t="inlineStr">
        <is>
          <t>6 / 27</t>
        </is>
      </c>
      <c r="L806" t="inlineStr">
        <is>
          <t>2 / 8</t>
        </is>
      </c>
      <c r="M806" s="5" t="n">
        <v>0.18</v>
      </c>
      <c r="N806" s="5" t="n">
        <v>0.2</v>
      </c>
    </row>
    <row r="807">
      <c r="A807" t="n">
        <v>806</v>
      </c>
      <c r="B807" t="n">
        <v>2013</v>
      </c>
      <c r="C807" t="inlineStr">
        <is>
          <t>Juliana Pena</t>
        </is>
      </c>
      <c r="D807">
        <f>HYPERLINK("https://ota.tournamentsoftware.com/player-profile/8F1CA811-953C-4FAC-980B-55D7FE7A6E50", "Link")</f>
        <v/>
      </c>
      <c r="E807" s="3" t="n">
        <v>8.813000000000001</v>
      </c>
      <c r="F807" s="4" t="n">
        <v>2</v>
      </c>
      <c r="G807" t="inlineStr">
        <is>
          <t>Tennis Québec</t>
        </is>
      </c>
      <c r="H807" t="inlineStr">
        <is>
          <t>Tennis Québec (région Montréal Ouest)</t>
        </is>
      </c>
      <c r="I807" t="inlineStr">
        <is>
          <t>unavailable</t>
        </is>
      </c>
      <c r="J807" s="4" t="n">
        <v>10</v>
      </c>
      <c r="K807" t="inlineStr">
        <is>
          <t>3 / 7</t>
        </is>
      </c>
      <c r="L807" t="inlineStr">
        <is>
          <t>0 / 0</t>
        </is>
      </c>
      <c r="M807" s="5" t="n">
        <v>0.3</v>
      </c>
      <c r="N807" s="5" t="n">
        <v>0</v>
      </c>
    </row>
    <row r="808">
      <c r="A808" t="n">
        <v>807</v>
      </c>
      <c r="B808" t="n">
        <v>2015</v>
      </c>
      <c r="C808" t="inlineStr">
        <is>
          <t>Olive Allen</t>
        </is>
      </c>
      <c r="D808">
        <f>HYPERLINK("https://ota.tournamentsoftware.com/player-profile/B0709DF4-F657-4BE5-870B-1467DB919D18", "Link")</f>
        <v/>
      </c>
      <c r="E808" s="3" t="n">
        <v>8.744999999999999</v>
      </c>
      <c r="F808" s="4" t="n">
        <v>3</v>
      </c>
      <c r="G808" t="inlineStr">
        <is>
          <t>British Columbia</t>
        </is>
      </c>
      <c r="H808" t="inlineStr">
        <is>
          <t>Hollyburn Country Club</t>
        </is>
      </c>
      <c r="I808" t="n">
        <v>40</v>
      </c>
      <c r="J808" s="4" t="n">
        <v>38</v>
      </c>
      <c r="K808" t="inlineStr">
        <is>
          <t>13 / 25</t>
        </is>
      </c>
      <c r="L808" t="inlineStr">
        <is>
          <t>4 / 9</t>
        </is>
      </c>
      <c r="M808" s="5" t="n">
        <v>0.34</v>
      </c>
      <c r="N808" s="5" t="n">
        <v>0.31</v>
      </c>
    </row>
    <row r="809">
      <c r="A809" t="n">
        <v>808</v>
      </c>
      <c r="B809" t="n">
        <v>2015</v>
      </c>
      <c r="C809" t="inlineStr">
        <is>
          <t>Isabella Maria Galati</t>
        </is>
      </c>
      <c r="D809">
        <f>HYPERLINK("https://ota.tournamentsoftware.com/player-profile/401ED85D-9EDD-4DED-B064-33902C7F4DF4", "Link")</f>
        <v/>
      </c>
      <c r="E809" s="3" t="n">
        <v>8.694000000000001</v>
      </c>
      <c r="F809" s="4" t="n">
        <v>2</v>
      </c>
      <c r="G809" t="inlineStr">
        <is>
          <t>Ontario Tennis Association</t>
        </is>
      </c>
      <c r="H809" t="inlineStr">
        <is>
          <t>Pickering Tennis Academy</t>
        </is>
      </c>
      <c r="I809" t="n">
        <v>37.7</v>
      </c>
      <c r="J809" s="4" t="n">
        <v>24</v>
      </c>
      <c r="K809" t="inlineStr">
        <is>
          <t>11 / 13</t>
        </is>
      </c>
      <c r="L809" t="inlineStr">
        <is>
          <t>5 / 2</t>
        </is>
      </c>
      <c r="M809" s="5" t="n">
        <v>0.46</v>
      </c>
      <c r="N809" s="5" t="n">
        <v>0.71</v>
      </c>
    </row>
    <row r="810">
      <c r="A810" t="n">
        <v>809</v>
      </c>
      <c r="B810" t="n">
        <v>2015</v>
      </c>
      <c r="C810" t="inlineStr">
        <is>
          <t>Chloe Brown</t>
        </is>
      </c>
      <c r="D810">
        <f>HYPERLINK("https://ota.tournamentsoftware.com/player-profile/E3B2C995-F41E-4C95-81DE-7B219EF03CBD", "Link")</f>
        <v/>
      </c>
      <c r="E810" s="3" t="n">
        <v>8.640000000000001</v>
      </c>
      <c r="F810" s="4" t="n">
        <v>4</v>
      </c>
      <c r="G810" t="inlineStr">
        <is>
          <t>British Columbia</t>
        </is>
      </c>
      <c r="H810" t="inlineStr">
        <is>
          <t>Commons Racquet Club at Predator Ridge</t>
        </is>
      </c>
      <c r="I810" t="n">
        <v>38.5</v>
      </c>
      <c r="J810" s="4" t="n">
        <v>25</v>
      </c>
      <c r="K810" t="inlineStr">
        <is>
          <t>10 / 15</t>
        </is>
      </c>
      <c r="L810" t="inlineStr">
        <is>
          <t>7 / 5</t>
        </is>
      </c>
      <c r="M810" s="5" t="n">
        <v>0.4</v>
      </c>
      <c r="N810" s="5" t="n">
        <v>0.58</v>
      </c>
    </row>
    <row r="811">
      <c r="A811" t="n">
        <v>809</v>
      </c>
      <c r="B811" t="n">
        <v>2014</v>
      </c>
      <c r="C811" t="inlineStr">
        <is>
          <t>Candice Cui</t>
        </is>
      </c>
      <c r="D811">
        <f>HYPERLINK("https://ota.tournamentsoftware.com/player-profile/389A79F0-4AEE-4BAD-A33E-98A21CD35738", "Link")</f>
        <v/>
      </c>
      <c r="E811" s="3" t="n">
        <v>8.640000000000001</v>
      </c>
      <c r="F811" s="4" t="n">
        <v>2</v>
      </c>
      <c r="G811" t="inlineStr">
        <is>
          <t>British Columbia</t>
        </is>
      </c>
      <c r="H811" t="inlineStr">
        <is>
          <t>Okanagan Mission Tennis Club Kelowna</t>
        </is>
      </c>
      <c r="I811" t="inlineStr">
        <is>
          <t>unavailable</t>
        </is>
      </c>
      <c r="J811" s="4" t="n">
        <v>30</v>
      </c>
      <c r="K811" t="inlineStr">
        <is>
          <t>11 / 19</t>
        </is>
      </c>
      <c r="L811" t="inlineStr">
        <is>
          <t>2 / 2</t>
        </is>
      </c>
      <c r="M811" s="5" t="n">
        <v>0.37</v>
      </c>
      <c r="N811" s="5" t="n">
        <v>0.5</v>
      </c>
    </row>
    <row r="812">
      <c r="A812" t="n">
        <v>811</v>
      </c>
      <c r="B812" t="n">
        <v>2013</v>
      </c>
      <c r="C812" t="inlineStr">
        <is>
          <t>Nya Robinson</t>
        </is>
      </c>
      <c r="D812">
        <f>HYPERLINK("https://ota.tournamentsoftware.com/player-profile/FCE45E04-6DF1-4A68-89D1-ACB65286BF31", "Link")</f>
        <v/>
      </c>
      <c r="E812" s="3" t="n">
        <v>8.449999999999999</v>
      </c>
      <c r="F812" s="4" t="n">
        <v>5</v>
      </c>
      <c r="G812" t="inlineStr">
        <is>
          <t>Tennis Alberta</t>
        </is>
      </c>
      <c r="H812" t="inlineStr">
        <is>
          <t>Osten &amp; Victor Alberta Tennis Centre</t>
        </is>
      </c>
      <c r="I812" t="n">
        <v>38.1</v>
      </c>
      <c r="J812" s="4" t="n">
        <v>17</v>
      </c>
      <c r="K812" t="inlineStr">
        <is>
          <t>7 / 10</t>
        </is>
      </c>
      <c r="L812" t="inlineStr">
        <is>
          <t>2 / 1</t>
        </is>
      </c>
      <c r="M812" s="5" t="n">
        <v>0.41</v>
      </c>
      <c r="N812" s="5" t="n">
        <v>0.67</v>
      </c>
    </row>
    <row r="813">
      <c r="A813" t="n">
        <v>812</v>
      </c>
      <c r="B813" t="n">
        <v>2013</v>
      </c>
      <c r="C813" t="inlineStr">
        <is>
          <t>KIanna Jia Christianson</t>
        </is>
      </c>
      <c r="D813">
        <f>HYPERLINK("https://ota.tournamentsoftware.com/player-profile/A76E75A0-5CAF-4017-8B3C-2D69366CF0FB", "Link")</f>
        <v/>
      </c>
      <c r="E813" s="3" t="n">
        <v>8.423999999999999</v>
      </c>
      <c r="F813" s="4" t="n">
        <v>1</v>
      </c>
      <c r="G813" t="inlineStr">
        <is>
          <t>British Columbia</t>
        </is>
      </c>
      <c r="H813" t="inlineStr">
        <is>
          <t>City of Burnaby</t>
        </is>
      </c>
      <c r="I813" t="n">
        <v>40</v>
      </c>
      <c r="J813" s="4" t="n">
        <v>10</v>
      </c>
      <c r="K813" t="inlineStr">
        <is>
          <t>5 / 5</t>
        </is>
      </c>
      <c r="L813" t="inlineStr">
        <is>
          <t>2 / 3</t>
        </is>
      </c>
      <c r="M813" s="5" t="n">
        <v>0.5</v>
      </c>
      <c r="N813" s="5" t="n">
        <v>0.4</v>
      </c>
    </row>
    <row r="814">
      <c r="A814" t="n">
        <v>812</v>
      </c>
      <c r="B814" t="n">
        <v>2012</v>
      </c>
      <c r="C814" t="inlineStr">
        <is>
          <t>Elisha Lee</t>
        </is>
      </c>
      <c r="D814">
        <f>HYPERLINK("https://ota.tournamentsoftware.com/player-profile/0D8F1552-F5AE-4BBB-B462-7DFD495EA5D1", "Link")</f>
        <v/>
      </c>
      <c r="E814" s="3" t="n">
        <v>8.423999999999999</v>
      </c>
      <c r="F814" s="4" t="n">
        <v>1</v>
      </c>
      <c r="G814" t="inlineStr">
        <is>
          <t>British Columbia</t>
        </is>
      </c>
      <c r="H814" t="inlineStr">
        <is>
          <t>Great West Fitness and Racquets Club</t>
        </is>
      </c>
      <c r="I814" t="n">
        <v>37.8</v>
      </c>
      <c r="J814" s="4" t="n">
        <v>49</v>
      </c>
      <c r="K814" t="inlineStr">
        <is>
          <t>20 / 29</t>
        </is>
      </c>
      <c r="L814" t="inlineStr">
        <is>
          <t>10 / 12</t>
        </is>
      </c>
      <c r="M814" s="5" t="n">
        <v>0.41</v>
      </c>
      <c r="N814" s="5" t="n">
        <v>0.45</v>
      </c>
    </row>
    <row r="815">
      <c r="A815" t="n">
        <v>814</v>
      </c>
      <c r="B815" t="n">
        <v>2016</v>
      </c>
      <c r="C815" t="inlineStr">
        <is>
          <t>Samantha Bronwyn Daniell</t>
        </is>
      </c>
      <c r="D815">
        <f>HYPERLINK("https://ota.tournamentsoftware.com/player-profile/7D796AB4-F8DD-43AD-8451-41C0A3E3949A", "Link")</f>
        <v/>
      </c>
      <c r="E815" s="3" t="n">
        <v>8.371</v>
      </c>
      <c r="F815" s="4" t="n">
        <v>7</v>
      </c>
      <c r="G815" t="inlineStr">
        <is>
          <t>British Columbia</t>
        </is>
      </c>
      <c r="H815" t="inlineStr">
        <is>
          <t>The Tennis Centre</t>
        </is>
      </c>
      <c r="I815" t="n">
        <v>37.7</v>
      </c>
      <c r="J815" s="4" t="n">
        <v>124</v>
      </c>
      <c r="K815" t="inlineStr">
        <is>
          <t>62 / 62</t>
        </is>
      </c>
      <c r="L815" t="inlineStr">
        <is>
          <t>30 / 24</t>
        </is>
      </c>
      <c r="M815" s="5" t="n">
        <v>0.5</v>
      </c>
      <c r="N815" s="5" t="n">
        <v>0.5600000000000001</v>
      </c>
    </row>
    <row r="816">
      <c r="A816" t="n">
        <v>815</v>
      </c>
      <c r="B816" t="n">
        <v>2015</v>
      </c>
      <c r="C816" t="inlineStr">
        <is>
          <t>Mila Sofia Galvez Bourgeois-Charbonneau</t>
        </is>
      </c>
      <c r="D816">
        <f>HYPERLINK("https://ota.tournamentsoftware.com/player-profile/4F9CCD8C-A7BD-4FA0-B17A-3689BD230A0C", "Link")</f>
        <v/>
      </c>
      <c r="E816" s="3" t="n">
        <v>8.298</v>
      </c>
      <c r="F816" s="4" t="n">
        <v>2</v>
      </c>
      <c r="G816" t="inlineStr">
        <is>
          <t>Tennis Québec</t>
        </is>
      </c>
      <c r="H816" t="inlineStr">
        <is>
          <t>AA Autre club</t>
        </is>
      </c>
      <c r="I816" t="n">
        <v>37.3</v>
      </c>
      <c r="J816" s="4" t="n">
        <v>10</v>
      </c>
      <c r="K816" t="inlineStr">
        <is>
          <t>5 / 5</t>
        </is>
      </c>
      <c r="L816" t="inlineStr">
        <is>
          <t>5 / 2</t>
        </is>
      </c>
      <c r="M816" s="5" t="n">
        <v>0.5</v>
      </c>
      <c r="N816" s="5" t="n">
        <v>0.71</v>
      </c>
    </row>
    <row r="817">
      <c r="A817" t="n">
        <v>816</v>
      </c>
      <c r="B817" t="n">
        <v>2016</v>
      </c>
      <c r="C817" t="inlineStr">
        <is>
          <t>Scarlett Prsa</t>
        </is>
      </c>
      <c r="D817">
        <f>HYPERLINK("https://ota.tournamentsoftware.com/player-profile/CDBDFDF5-0DDE-4F1C-B33B-F163CF134B52", "Link")</f>
        <v/>
      </c>
      <c r="E817" s="3" t="n">
        <v>8.105</v>
      </c>
      <c r="F817" s="4" t="n">
        <v>5</v>
      </c>
      <c r="G817" t="inlineStr">
        <is>
          <t>Ontario Tennis Association</t>
        </is>
      </c>
      <c r="H817" t="inlineStr">
        <is>
          <t>Advantage Tennis International at Veneto</t>
        </is>
      </c>
      <c r="I817" t="n">
        <v>38.4</v>
      </c>
      <c r="J817" s="4" t="n">
        <v>137</v>
      </c>
      <c r="K817" t="inlineStr">
        <is>
          <t>52 / 85</t>
        </is>
      </c>
      <c r="L817" t="inlineStr">
        <is>
          <t>16 / 19</t>
        </is>
      </c>
      <c r="M817" s="5" t="n">
        <v>0.38</v>
      </c>
      <c r="N817" s="5" t="n">
        <v>0.46</v>
      </c>
    </row>
    <row r="818">
      <c r="A818" t="n">
        <v>817</v>
      </c>
      <c r="B818" t="n">
        <v>2015</v>
      </c>
      <c r="C818" t="inlineStr">
        <is>
          <t>Sofia Belyavskaya</t>
        </is>
      </c>
      <c r="D818">
        <f>HYPERLINK("https://ota.tournamentsoftware.com/player-profile/103C1284-54D3-4E14-8B3B-D860AD353A8C", "Link")</f>
        <v/>
      </c>
      <c r="E818" s="3" t="n">
        <v>8.045999999999999</v>
      </c>
      <c r="F818" s="4" t="n">
        <v>3</v>
      </c>
      <c r="G818" t="inlineStr">
        <is>
          <t>British Columbia</t>
        </is>
      </c>
      <c r="H818" t="inlineStr">
        <is>
          <t>The Tennis Centre</t>
        </is>
      </c>
      <c r="I818" t="n">
        <v>37.2</v>
      </c>
      <c r="J818" s="4" t="n">
        <v>88</v>
      </c>
      <c r="K818" t="inlineStr">
        <is>
          <t>35 / 53</t>
        </is>
      </c>
      <c r="L818" t="inlineStr">
        <is>
          <t>2 / 5</t>
        </is>
      </c>
      <c r="M818" s="5" t="n">
        <v>0.4</v>
      </c>
      <c r="N818" s="5" t="n">
        <v>0.29</v>
      </c>
    </row>
    <row r="819">
      <c r="A819" t="n">
        <v>818</v>
      </c>
      <c r="B819" t="n">
        <v>2014</v>
      </c>
      <c r="C819" t="inlineStr">
        <is>
          <t>Marie Renaud</t>
        </is>
      </c>
      <c r="D819">
        <f>HYPERLINK("https://ota.tournamentsoftware.com/player-profile/9538BC58-3E12-400B-B7A6-AA4E495D60F5", "Link")</f>
        <v/>
      </c>
      <c r="E819" s="3" t="n">
        <v>8.01</v>
      </c>
      <c r="F819" s="4" t="n">
        <v>1</v>
      </c>
      <c r="G819" t="inlineStr">
        <is>
          <t>Tennis Québec</t>
        </is>
      </c>
      <c r="H819" t="inlineStr">
        <is>
          <t>Les Tennis de Rimouski (intérieur)</t>
        </is>
      </c>
      <c r="I819" t="inlineStr">
        <is>
          <t>unavailable</t>
        </is>
      </c>
      <c r="J819" s="4" t="n">
        <v>3</v>
      </c>
      <c r="K819" t="inlineStr">
        <is>
          <t>1 / 2</t>
        </is>
      </c>
      <c r="L819" t="inlineStr">
        <is>
          <t>1 / 2</t>
        </is>
      </c>
      <c r="M819" s="5" t="n">
        <v>0.33</v>
      </c>
      <c r="N819" s="5" t="n">
        <v>0.33</v>
      </c>
    </row>
    <row r="820">
      <c r="A820" t="n">
        <v>818</v>
      </c>
      <c r="B820" t="n">
        <v>2015</v>
      </c>
      <c r="C820" t="inlineStr">
        <is>
          <t>Juliette Merino</t>
        </is>
      </c>
      <c r="D820">
        <f>HYPERLINK("https://ota.tournamentsoftware.com/player-profile/E3FBD49F-6297-464B-AD97-8C82D2E93FB7", "Link")</f>
        <v/>
      </c>
      <c r="E820" s="3" t="n">
        <v>8.01</v>
      </c>
      <c r="F820" s="4" t="n">
        <v>1</v>
      </c>
      <c r="G820" t="inlineStr">
        <is>
          <t>Ontario Tennis Association</t>
        </is>
      </c>
      <c r="H820" t="inlineStr">
        <is>
          <t>Ontario Racquet Club</t>
        </is>
      </c>
      <c r="I820" t="inlineStr">
        <is>
          <t>unavailable</t>
        </is>
      </c>
      <c r="J820" s="4" t="n">
        <v>31</v>
      </c>
      <c r="K820" t="inlineStr">
        <is>
          <t>12 / 19</t>
        </is>
      </c>
      <c r="L820" t="inlineStr">
        <is>
          <t>3 / 5</t>
        </is>
      </c>
      <c r="M820" s="5" t="n">
        <v>0.39</v>
      </c>
      <c r="N820" s="5" t="n">
        <v>0.38</v>
      </c>
    </row>
    <row r="821">
      <c r="A821" t="n">
        <v>818</v>
      </c>
      <c r="B821" t="n">
        <v>2013</v>
      </c>
      <c r="C821" t="inlineStr">
        <is>
          <t>Anaya Mohammed Shurrab</t>
        </is>
      </c>
      <c r="D821">
        <f>HYPERLINK("https://ota.tournamentsoftware.com/player-profile/A4BA7F79-3B20-4355-B83D-7B81774D6C97", "Link")</f>
        <v/>
      </c>
      <c r="E821" s="3" t="n">
        <v>8.01</v>
      </c>
      <c r="F821" s="4" t="n">
        <v>1</v>
      </c>
      <c r="G821" t="inlineStr">
        <is>
          <t>Ontario Tennis Association</t>
        </is>
      </c>
      <c r="H821" t="inlineStr">
        <is>
          <t>Sudbury Indoor Tennis Centre</t>
        </is>
      </c>
      <c r="I821" t="n">
        <v>38.8</v>
      </c>
      <c r="J821" s="4" t="n">
        <v>2</v>
      </c>
      <c r="K821" t="inlineStr">
        <is>
          <t>0 / 2</t>
        </is>
      </c>
      <c r="L821" t="inlineStr">
        <is>
          <t>0 / 0</t>
        </is>
      </c>
      <c r="M821" s="5" t="n">
        <v>0</v>
      </c>
      <c r="N821" s="5" t="n">
        <v>0</v>
      </c>
    </row>
    <row r="822">
      <c r="A822" t="n">
        <v>821</v>
      </c>
      <c r="B822" t="n">
        <v>2015</v>
      </c>
      <c r="C822" t="inlineStr">
        <is>
          <t>Lyskha Ann Louis</t>
        </is>
      </c>
      <c r="D822">
        <f>HYPERLINK("https://ota.tournamentsoftware.com/player-profile/E63460EF-56D0-4F3C-845C-D047E7B9C366", "Link")</f>
        <v/>
      </c>
      <c r="E822" s="3" t="n">
        <v>7.906</v>
      </c>
      <c r="F822" s="4" t="n">
        <v>2</v>
      </c>
      <c r="G822" t="inlineStr">
        <is>
          <t>Tennis Québec</t>
        </is>
      </c>
      <c r="H822" t="inlineStr">
        <is>
          <t>Tennis 13</t>
        </is>
      </c>
      <c r="I822" t="n">
        <v>36.4</v>
      </c>
      <c r="J822" s="4" t="n">
        <v>9</v>
      </c>
      <c r="K822" t="inlineStr">
        <is>
          <t>4 / 5</t>
        </is>
      </c>
      <c r="L822" t="inlineStr">
        <is>
          <t>4 / 2</t>
        </is>
      </c>
      <c r="M822" s="5" t="n">
        <v>0.44</v>
      </c>
      <c r="N822" s="5" t="n">
        <v>0.67</v>
      </c>
    </row>
    <row r="823">
      <c r="A823" t="n">
        <v>822</v>
      </c>
      <c r="B823" t="n">
        <v>2013</v>
      </c>
      <c r="C823" t="inlineStr">
        <is>
          <t>Seher Sharma</t>
        </is>
      </c>
      <c r="D823">
        <f>HYPERLINK("https://ota.tournamentsoftware.com/player-profile/383B0843-9E5F-4A01-8304-C01EA147B7A2", "Link")</f>
        <v/>
      </c>
      <c r="E823" s="3" t="n">
        <v>7.892</v>
      </c>
      <c r="F823" s="4" t="n">
        <v>1</v>
      </c>
      <c r="G823" t="inlineStr">
        <is>
          <t>Ontario Tennis Association</t>
        </is>
      </c>
      <c r="H823" t="inlineStr">
        <is>
          <t>Glendale Tennis Club</t>
        </is>
      </c>
      <c r="I823" t="inlineStr">
        <is>
          <t>unavailable</t>
        </is>
      </c>
      <c r="J823" s="4" t="n">
        <v>15</v>
      </c>
      <c r="K823" t="inlineStr">
        <is>
          <t>4 / 11</t>
        </is>
      </c>
      <c r="L823" t="inlineStr">
        <is>
          <t>0 / 2</t>
        </is>
      </c>
      <c r="M823" s="5" t="n">
        <v>0.27</v>
      </c>
      <c r="N823" s="5" t="n">
        <v>0</v>
      </c>
    </row>
    <row r="824">
      <c r="A824" t="n">
        <v>823</v>
      </c>
      <c r="B824" t="n">
        <v>2014</v>
      </c>
      <c r="C824" t="inlineStr">
        <is>
          <t>Gloriana Shiqi Zhang</t>
        </is>
      </c>
      <c r="D824">
        <f>HYPERLINK("https://ota.tournamentsoftware.com/player-profile/2717E828-0882-43B7-ADDB-D078FFA580CF", "Link")</f>
        <v/>
      </c>
      <c r="E824" s="3" t="n">
        <v>7.776</v>
      </c>
      <c r="F824" s="4" t="n">
        <v>2</v>
      </c>
      <c r="G824" t="inlineStr">
        <is>
          <t>British Columbia</t>
        </is>
      </c>
      <c r="H824" t="inlineStr">
        <is>
          <t>Hollyburn Country Club</t>
        </is>
      </c>
      <c r="I824" t="inlineStr">
        <is>
          <t>unavailable</t>
        </is>
      </c>
      <c r="J824" s="4" t="n">
        <v>32</v>
      </c>
      <c r="K824" t="inlineStr">
        <is>
          <t>5 / 27</t>
        </is>
      </c>
      <c r="L824" t="inlineStr">
        <is>
          <t>0 / 0</t>
        </is>
      </c>
      <c r="M824" s="5" t="n">
        <v>0.16</v>
      </c>
      <c r="N824" s="5" t="n">
        <v>0</v>
      </c>
    </row>
    <row r="825">
      <c r="A825" t="n">
        <v>824</v>
      </c>
      <c r="B825" t="n">
        <v>2014</v>
      </c>
      <c r="C825" t="inlineStr">
        <is>
          <t>Madelyn Palsat</t>
        </is>
      </c>
      <c r="D825">
        <f>HYPERLINK("https://ota.tournamentsoftware.com/player-profile/B7A28D92-CC5D-460E-A752-75C63DAB2E9F", "Link")</f>
        <v/>
      </c>
      <c r="E825" s="3" t="n">
        <v>7.733</v>
      </c>
      <c r="F825" s="4" t="n">
        <v>5</v>
      </c>
      <c r="G825" t="inlineStr">
        <is>
          <t>Tennis Alberta</t>
        </is>
      </c>
      <c r="H825" t="inlineStr">
        <is>
          <t>Royal Glenora Club</t>
        </is>
      </c>
      <c r="I825" t="n">
        <v>37.6</v>
      </c>
      <c r="J825" s="4" t="n">
        <v>16</v>
      </c>
      <c r="K825" t="inlineStr">
        <is>
          <t>7 / 9</t>
        </is>
      </c>
      <c r="L825" t="inlineStr">
        <is>
          <t>7 / 9</t>
        </is>
      </c>
      <c r="M825" s="5" t="n">
        <v>0.44</v>
      </c>
      <c r="N825" s="5" t="n">
        <v>0.44</v>
      </c>
    </row>
    <row r="826">
      <c r="A826" t="n">
        <v>825</v>
      </c>
      <c r="B826" t="n">
        <v>2015</v>
      </c>
      <c r="C826" t="inlineStr">
        <is>
          <t>Dani Banquicio</t>
        </is>
      </c>
      <c r="D826">
        <f>HYPERLINK("https://ota.tournamentsoftware.com/player-profile/46430071-90F3-4471-A44B-9BE4F31E2D72", "Link")</f>
        <v/>
      </c>
      <c r="E826" s="3" t="n">
        <v>7.652</v>
      </c>
      <c r="F826" s="4" t="n">
        <v>2</v>
      </c>
      <c r="G826" t="inlineStr">
        <is>
          <t>Tennis New Brunswick</t>
        </is>
      </c>
      <c r="H826" t="inlineStr">
        <is>
          <t>Abony Family Tennis Center</t>
        </is>
      </c>
      <c r="I826" t="n">
        <v>40</v>
      </c>
      <c r="J826" s="4" t="n">
        <v>54</v>
      </c>
      <c r="K826" t="inlineStr">
        <is>
          <t>17 / 37</t>
        </is>
      </c>
      <c r="L826" t="inlineStr">
        <is>
          <t>3 / 7</t>
        </is>
      </c>
      <c r="M826" s="5" t="n">
        <v>0.31</v>
      </c>
      <c r="N826" s="5" t="n">
        <v>0.3</v>
      </c>
    </row>
    <row r="827">
      <c r="A827" t="n">
        <v>826</v>
      </c>
      <c r="B827" t="n">
        <v>2014</v>
      </c>
      <c r="C827" t="inlineStr">
        <is>
          <t>Audrey Dionne-Chen</t>
        </is>
      </c>
      <c r="D827">
        <f>HYPERLINK("https://ota.tournamentsoftware.com/player-profile/7AE565BD-506E-4133-AA69-F89B361E38C0", "Link")</f>
        <v/>
      </c>
      <c r="E827" s="3" t="n">
        <v>7.552</v>
      </c>
      <c r="F827" s="4" t="n">
        <v>1</v>
      </c>
      <c r="G827" t="inlineStr">
        <is>
          <t>Ontario Tennis Association</t>
        </is>
      </c>
      <c r="H827" t="inlineStr">
        <is>
          <t>Rideau Sports Centre</t>
        </is>
      </c>
      <c r="I827" t="n">
        <v>39.4</v>
      </c>
      <c r="J827" s="4" t="n">
        <v>14</v>
      </c>
      <c r="K827" t="inlineStr">
        <is>
          <t>4 / 10</t>
        </is>
      </c>
      <c r="L827" t="inlineStr">
        <is>
          <t>0 / 1</t>
        </is>
      </c>
      <c r="M827" s="5" t="n">
        <v>0.29</v>
      </c>
      <c r="N827" s="5" t="n">
        <v>0</v>
      </c>
    </row>
    <row r="828">
      <c r="A828" t="n">
        <v>827</v>
      </c>
      <c r="B828" t="n">
        <v>2016</v>
      </c>
      <c r="C828" t="inlineStr">
        <is>
          <t>Hazel Geng</t>
        </is>
      </c>
      <c r="D828">
        <f>HYPERLINK("https://ota.tournamentsoftware.com/player-profile/00BB4A74-B4FB-4FAC-B874-79D9E778FAAE", "Link")</f>
        <v/>
      </c>
      <c r="E828" s="3" t="n">
        <v>7.417</v>
      </c>
      <c r="F828" s="4" t="n">
        <v>3</v>
      </c>
      <c r="G828" t="inlineStr">
        <is>
          <t>British Columbia</t>
        </is>
      </c>
      <c r="H828" t="inlineStr">
        <is>
          <t>Vancouver Lawn Tennis and Badminton Club</t>
        </is>
      </c>
      <c r="I828" t="n">
        <v>36.9</v>
      </c>
      <c r="J828" s="4" t="n">
        <v>45</v>
      </c>
      <c r="K828" t="inlineStr">
        <is>
          <t>12 / 33</t>
        </is>
      </c>
      <c r="L828" t="inlineStr">
        <is>
          <t>5 / 5</t>
        </is>
      </c>
      <c r="M828" s="5" t="n">
        <v>0.27</v>
      </c>
      <c r="N828" s="5" t="n">
        <v>0.5</v>
      </c>
    </row>
    <row r="829">
      <c r="A829" t="n">
        <v>828</v>
      </c>
      <c r="B829" t="n">
        <v>2013</v>
      </c>
      <c r="C829" t="inlineStr">
        <is>
          <t>rafaela pena</t>
        </is>
      </c>
      <c r="D829">
        <f>HYPERLINK("https://ota.tournamentsoftware.com/player-profile/A4EAF82E-5402-4B2B-B03B-0E790D9A9F99", "Link")</f>
        <v/>
      </c>
      <c r="E829" s="3" t="n">
        <v>7.174</v>
      </c>
      <c r="F829" s="4" t="n">
        <v>2</v>
      </c>
      <c r="G829" t="inlineStr">
        <is>
          <t>Tennis Québec</t>
        </is>
      </c>
      <c r="H829" t="inlineStr">
        <is>
          <t>Tennis Québec (région Montréal Ouest)</t>
        </is>
      </c>
      <c r="I829" t="inlineStr">
        <is>
          <t>unavailable</t>
        </is>
      </c>
      <c r="J829" s="4" t="n">
        <v>10</v>
      </c>
      <c r="K829" t="inlineStr">
        <is>
          <t>4 / 6</t>
        </is>
      </c>
      <c r="L829" t="inlineStr">
        <is>
          <t>0 / 0</t>
        </is>
      </c>
      <c r="M829" s="5" t="n">
        <v>0.4</v>
      </c>
      <c r="N829" s="5" t="n">
        <v>0</v>
      </c>
    </row>
    <row r="830">
      <c r="A830" t="n">
        <v>829</v>
      </c>
      <c r="B830" t="n">
        <v>2017</v>
      </c>
      <c r="C830" t="inlineStr">
        <is>
          <t>Kaja Gacanin</t>
        </is>
      </c>
      <c r="D830">
        <f>HYPERLINK("https://ota.tournamentsoftware.com/player-profile/51158AF8-F463-4974-AE1F-B1924D114B2F", "Link")</f>
        <v/>
      </c>
      <c r="E830" s="3" t="n">
        <v>6.84</v>
      </c>
      <c r="F830" s="4" t="n">
        <v>2</v>
      </c>
      <c r="G830" t="inlineStr">
        <is>
          <t>Ontario Tennis Association</t>
        </is>
      </c>
      <c r="H830" t="inlineStr">
        <is>
          <t>Zekelman Tennis Centre</t>
        </is>
      </c>
      <c r="I830" t="n">
        <v>38.6</v>
      </c>
      <c r="J830" s="4" t="n">
        <v>7</v>
      </c>
      <c r="K830" t="inlineStr">
        <is>
          <t>2 / 5</t>
        </is>
      </c>
      <c r="L830" t="inlineStr">
        <is>
          <t>2 / 5</t>
        </is>
      </c>
      <c r="M830" s="5" t="n">
        <v>0.29</v>
      </c>
      <c r="N830" s="5" t="n">
        <v>0.29</v>
      </c>
    </row>
    <row r="831">
      <c r="A831" t="n">
        <v>830</v>
      </c>
      <c r="B831" t="n">
        <v>2014</v>
      </c>
      <c r="C831" t="inlineStr">
        <is>
          <t>Mantian Ellie Ni</t>
        </is>
      </c>
      <c r="D831">
        <f>HYPERLINK("https://ota.tournamentsoftware.com/player-profile/7FD8D72E-3679-4613-A482-A282508BEA32", "Link")</f>
        <v/>
      </c>
      <c r="E831" s="3" t="n">
        <v>6.607</v>
      </c>
      <c r="F831" s="4" t="n">
        <v>2</v>
      </c>
      <c r="G831" t="inlineStr">
        <is>
          <t>Ontario Tennis Association</t>
        </is>
      </c>
      <c r="H831" t="inlineStr">
        <is>
          <t>Premier Racquet Club</t>
        </is>
      </c>
      <c r="I831" t="n">
        <v>39.5</v>
      </c>
      <c r="J831" s="4" t="n">
        <v>23</v>
      </c>
      <c r="K831" t="inlineStr">
        <is>
          <t>7 / 16</t>
        </is>
      </c>
      <c r="L831" t="inlineStr">
        <is>
          <t>3 / 4</t>
        </is>
      </c>
      <c r="M831" s="5" t="n">
        <v>0.3</v>
      </c>
      <c r="N831" s="5" t="n">
        <v>0.43</v>
      </c>
    </row>
    <row r="832">
      <c r="A832" t="n">
        <v>830</v>
      </c>
      <c r="B832" t="n">
        <v>2015</v>
      </c>
      <c r="C832" t="inlineStr">
        <is>
          <t>Ruby Mika Szakacs</t>
        </is>
      </c>
      <c r="D832">
        <f>HYPERLINK("https://ota.tournamentsoftware.com/player-profile/200B8C95-20A4-4F60-90C6-7E30A84EAEA7", "Link")</f>
        <v/>
      </c>
      <c r="E832" s="3" t="n">
        <v>6.607</v>
      </c>
      <c r="F832" s="4" t="n">
        <v>2</v>
      </c>
      <c r="G832" t="inlineStr">
        <is>
          <t>Ontario Tennis Association</t>
        </is>
      </c>
      <c r="H832" t="inlineStr">
        <is>
          <t>No Club</t>
        </is>
      </c>
      <c r="I832" t="n">
        <v>39.4</v>
      </c>
      <c r="J832" s="4" t="n">
        <v>55</v>
      </c>
      <c r="K832" t="inlineStr">
        <is>
          <t>28 / 27</t>
        </is>
      </c>
      <c r="L832" t="inlineStr">
        <is>
          <t>0 / 4</t>
        </is>
      </c>
      <c r="M832" s="5" t="n">
        <v>0.51</v>
      </c>
      <c r="N832" s="5" t="n">
        <v>0</v>
      </c>
    </row>
    <row r="833">
      <c r="A833" t="n">
        <v>832</v>
      </c>
      <c r="B833" t="n">
        <v>2015</v>
      </c>
      <c r="C833" t="inlineStr">
        <is>
          <t>Ivana Novatus Nguma</t>
        </is>
      </c>
      <c r="D833">
        <f>HYPERLINK("https://ota.tournamentsoftware.com/player-profile/152EACD1-B447-4FFD-B45D-419526079F6E", "Link")</f>
        <v/>
      </c>
      <c r="E833" s="3" t="n">
        <v>6.6</v>
      </c>
      <c r="F833" s="4" t="n">
        <v>1</v>
      </c>
      <c r="G833" t="inlineStr">
        <is>
          <t>Tennis Alberta</t>
        </is>
      </c>
      <c r="H833" t="inlineStr">
        <is>
          <t>Calgary Tennis Society</t>
        </is>
      </c>
      <c r="I833" t="n">
        <v>37.7</v>
      </c>
      <c r="J833" s="4" t="n">
        <v>22</v>
      </c>
      <c r="K833" t="inlineStr">
        <is>
          <t>11 / 11</t>
        </is>
      </c>
      <c r="L833" t="inlineStr">
        <is>
          <t>7 / 3</t>
        </is>
      </c>
      <c r="M833" s="5" t="n">
        <v>0.5</v>
      </c>
      <c r="N833" s="5" t="n">
        <v>0.7</v>
      </c>
    </row>
    <row r="834">
      <c r="A834" t="n">
        <v>833</v>
      </c>
      <c r="B834" t="n">
        <v>2016</v>
      </c>
      <c r="C834" t="inlineStr">
        <is>
          <t>Charlotte Gordovin</t>
        </is>
      </c>
      <c r="D834">
        <f>HYPERLINK("https://ota.tournamentsoftware.com/player-profile/961D5F8B-09E8-477B-A5D4-F4815570D913", "Link")</f>
        <v/>
      </c>
      <c r="E834" s="3" t="n">
        <v>6.48</v>
      </c>
      <c r="F834" s="4" t="n">
        <v>2</v>
      </c>
      <c r="G834" t="inlineStr">
        <is>
          <t>Ontario Tennis Association</t>
        </is>
      </c>
      <c r="H834" t="inlineStr">
        <is>
          <t>ON Tennis Toronto No Club</t>
        </is>
      </c>
      <c r="I834" t="inlineStr">
        <is>
          <t>unavailable</t>
        </is>
      </c>
      <c r="J834" s="4" t="n">
        <v>84</v>
      </c>
      <c r="K834" t="inlineStr">
        <is>
          <t>41 / 43</t>
        </is>
      </c>
      <c r="L834" t="inlineStr">
        <is>
          <t>14 / 16</t>
        </is>
      </c>
      <c r="M834" s="5" t="n">
        <v>0.49</v>
      </c>
      <c r="N834" s="5" t="n">
        <v>0.47</v>
      </c>
    </row>
    <row r="835">
      <c r="A835" t="n">
        <v>833</v>
      </c>
      <c r="B835" t="n">
        <v>2014</v>
      </c>
      <c r="C835" t="inlineStr">
        <is>
          <t>Mila Isaeva</t>
        </is>
      </c>
      <c r="D835">
        <f>HYPERLINK("https://ota.tournamentsoftware.com/player-profile/318B72C3-8E32-46E5-B532-524E3B59755C", "Link")</f>
        <v/>
      </c>
      <c r="E835" s="3" t="n">
        <v>6.48</v>
      </c>
      <c r="F835" s="4" t="n">
        <v>1</v>
      </c>
      <c r="G835" t="inlineStr">
        <is>
          <t>Ontario Tennis Association</t>
        </is>
      </c>
      <c r="H835" t="inlineStr">
        <is>
          <t>Tam Heather Tennis Club</t>
        </is>
      </c>
      <c r="I835" t="n">
        <v>38.3</v>
      </c>
      <c r="J835" s="4" t="n">
        <v>15</v>
      </c>
      <c r="K835" t="inlineStr">
        <is>
          <t>8 / 7</t>
        </is>
      </c>
      <c r="L835" t="inlineStr">
        <is>
          <t>6 / 4</t>
        </is>
      </c>
      <c r="M835" s="5" t="n">
        <v>0.53</v>
      </c>
      <c r="N835" s="5" t="n">
        <v>0.6</v>
      </c>
    </row>
    <row r="836">
      <c r="A836" t="n">
        <v>833</v>
      </c>
      <c r="B836" t="n">
        <v>2015</v>
      </c>
      <c r="C836" t="inlineStr">
        <is>
          <t>Catherine Qu</t>
        </is>
      </c>
      <c r="D836">
        <f>HYPERLINK("https://ota.tournamentsoftware.com/player-profile/6BFBAA24-1779-441C-B7FC-7EF81219D270", "Link")</f>
        <v/>
      </c>
      <c r="E836" s="3" t="n">
        <v>6.48</v>
      </c>
      <c r="F836" s="4" t="n">
        <v>1</v>
      </c>
      <c r="G836" t="inlineStr">
        <is>
          <t>Ontario Tennis Association</t>
        </is>
      </c>
      <c r="H836" t="inlineStr">
        <is>
          <t>Royal City Tennis Club</t>
        </is>
      </c>
      <c r="I836" t="n">
        <v>36.4</v>
      </c>
      <c r="J836" s="4" t="n">
        <v>19</v>
      </c>
      <c r="K836" t="inlineStr">
        <is>
          <t>3 / 16</t>
        </is>
      </c>
      <c r="L836" t="inlineStr">
        <is>
          <t>1 / 1</t>
        </is>
      </c>
      <c r="M836" s="5" t="n">
        <v>0.16</v>
      </c>
      <c r="N836" s="5" t="n">
        <v>0.5</v>
      </c>
    </row>
    <row r="837">
      <c r="A837" t="n">
        <v>833</v>
      </c>
      <c r="B837" t="n">
        <v>2017</v>
      </c>
      <c r="C837" t="inlineStr">
        <is>
          <t>Riley Yang</t>
        </is>
      </c>
      <c r="D837">
        <f>HYPERLINK("https://ota.tournamentsoftware.com/player-profile/26AD4F6A-B4DE-4D98-85C5-1F82427AD36B", "Link")</f>
        <v/>
      </c>
      <c r="E837" s="3" t="n">
        <v>6.48</v>
      </c>
      <c r="F837" s="4" t="n">
        <v>1</v>
      </c>
      <c r="G837" t="inlineStr">
        <is>
          <t>Ontario Tennis Association</t>
        </is>
      </c>
      <c r="H837" t="inlineStr">
        <is>
          <t>Mayfair West Fitness &amp; Racquet Club</t>
        </is>
      </c>
      <c r="I837" t="inlineStr">
        <is>
          <t>unavailable</t>
        </is>
      </c>
      <c r="J837" s="4" t="n">
        <v>168</v>
      </c>
      <c r="K837" t="inlineStr">
        <is>
          <t>89 / 79</t>
        </is>
      </c>
      <c r="L837" t="inlineStr">
        <is>
          <t>53 / 35</t>
        </is>
      </c>
      <c r="M837" s="5" t="n">
        <v>0.53</v>
      </c>
      <c r="N837" s="5" t="n">
        <v>0.6</v>
      </c>
    </row>
    <row r="838">
      <c r="A838" t="n">
        <v>833</v>
      </c>
      <c r="B838" t="n">
        <v>2014</v>
      </c>
      <c r="C838" t="inlineStr">
        <is>
          <t>Vira Beskupska</t>
        </is>
      </c>
      <c r="D838">
        <f>HYPERLINK("https://ota.tournamentsoftware.com/player-profile/116FA89C-68A6-4FE9-ADC6-34260809351C", "Link")</f>
        <v/>
      </c>
      <c r="E838" s="3" t="n">
        <v>6.48</v>
      </c>
      <c r="F838" s="4" t="n">
        <v>1</v>
      </c>
      <c r="G838" t="inlineStr">
        <is>
          <t>Ontario Tennis Association</t>
        </is>
      </c>
      <c r="H838" t="inlineStr">
        <is>
          <t>National Tennis School</t>
        </is>
      </c>
      <c r="I838" t="inlineStr">
        <is>
          <t>unavailable</t>
        </is>
      </c>
      <c r="J838" s="4" t="n">
        <v>1</v>
      </c>
      <c r="K838" t="inlineStr">
        <is>
          <t>0 / 1</t>
        </is>
      </c>
      <c r="L838" t="inlineStr">
        <is>
          <t>0 / 1</t>
        </is>
      </c>
      <c r="M838" s="5" t="n">
        <v>0</v>
      </c>
      <c r="N838" s="5" t="n">
        <v>0</v>
      </c>
    </row>
    <row r="839">
      <c r="A839" t="n">
        <v>833</v>
      </c>
      <c r="B839" t="n">
        <v>2014</v>
      </c>
      <c r="C839" t="inlineStr">
        <is>
          <t>Elina Chai</t>
        </is>
      </c>
      <c r="D839">
        <f>HYPERLINK("https://ota.tournamentsoftware.com/player-profile/93EB3F3A-118C-460C-AB18-42D8F042E5A9", "Link")</f>
        <v/>
      </c>
      <c r="E839" s="3" t="n">
        <v>6.48</v>
      </c>
      <c r="F839" s="4" t="n">
        <v>1</v>
      </c>
      <c r="G839" t="inlineStr">
        <is>
          <t>Ontario Tennis Association</t>
        </is>
      </c>
      <c r="H839" t="inlineStr">
        <is>
          <t>ACE Tennis - Toronto Tennis City</t>
        </is>
      </c>
      <c r="I839" t="n">
        <v>38.5</v>
      </c>
      <c r="J839" s="4" t="n">
        <v>6</v>
      </c>
      <c r="K839" t="inlineStr">
        <is>
          <t>4 / 2</t>
        </is>
      </c>
      <c r="L839" t="inlineStr">
        <is>
          <t>4 / 2</t>
        </is>
      </c>
      <c r="M839" s="5" t="n">
        <v>0.67</v>
      </c>
      <c r="N839" s="5" t="n">
        <v>0.67</v>
      </c>
    </row>
    <row r="840">
      <c r="A840" t="n">
        <v>839</v>
      </c>
      <c r="B840" t="n">
        <v>2015</v>
      </c>
      <c r="C840" t="inlineStr">
        <is>
          <t>Niveah Watt-Shelton</t>
        </is>
      </c>
      <c r="D840">
        <f>HYPERLINK("https://ota.tournamentsoftware.com/player-profile/2142B288-43FF-46B4-8037-BD18E957E823", "Link")</f>
        <v/>
      </c>
      <c r="E840" s="3" t="n">
        <v>6.33</v>
      </c>
      <c r="F840" s="4" t="n">
        <v>2</v>
      </c>
      <c r="G840" t="inlineStr">
        <is>
          <t>British Columbia</t>
        </is>
      </c>
      <c r="H840" t="inlineStr">
        <is>
          <t>UBC Tennis Centre</t>
        </is>
      </c>
      <c r="I840" t="inlineStr">
        <is>
          <t>unavailable</t>
        </is>
      </c>
      <c r="J840" s="4" t="n">
        <v>58</v>
      </c>
      <c r="K840" t="inlineStr">
        <is>
          <t>28 / 30</t>
        </is>
      </c>
      <c r="L840" t="inlineStr">
        <is>
          <t>8 / 8</t>
        </is>
      </c>
      <c r="M840" s="5" t="n">
        <v>0.48</v>
      </c>
      <c r="N840" s="5" t="n">
        <v>0.5</v>
      </c>
    </row>
    <row r="841">
      <c r="A841" t="n">
        <v>840</v>
      </c>
      <c r="B841" t="n">
        <v>2012</v>
      </c>
      <c r="C841" t="inlineStr">
        <is>
          <t>Huiran Zhang</t>
        </is>
      </c>
      <c r="D841">
        <f>HYPERLINK("https://ota.tournamentsoftware.com/player-profile/1E917C5C-2B33-48E2-908B-A812DD532CD4", "Link")</f>
        <v/>
      </c>
      <c r="E841" s="3" t="n">
        <v>6.248</v>
      </c>
      <c r="F841" s="4" t="n">
        <v>1</v>
      </c>
      <c r="G841" t="inlineStr">
        <is>
          <t>British Columbia</t>
        </is>
      </c>
      <c r="H841" t="inlineStr">
        <is>
          <t>No Club</t>
        </is>
      </c>
      <c r="I841" t="n">
        <v>37.6</v>
      </c>
      <c r="J841" s="4" t="n">
        <v>13</v>
      </c>
      <c r="K841" t="inlineStr">
        <is>
          <t>2 / 11</t>
        </is>
      </c>
      <c r="L841" t="inlineStr">
        <is>
          <t>1 / 4</t>
        </is>
      </c>
      <c r="M841" s="5" t="n">
        <v>0.15</v>
      </c>
      <c r="N841" s="5" t="n">
        <v>0.2</v>
      </c>
    </row>
    <row r="842">
      <c r="A842" t="n">
        <v>840</v>
      </c>
      <c r="B842" t="n">
        <v>2012</v>
      </c>
      <c r="C842" t="inlineStr">
        <is>
          <t>Feiran Zhang</t>
        </is>
      </c>
      <c r="D842">
        <f>HYPERLINK("https://ota.tournamentsoftware.com/player-profile/8FFC114F-FEF3-40BF-AF97-E338D1EA4209", "Link")</f>
        <v/>
      </c>
      <c r="E842" s="3" t="n">
        <v>6.248</v>
      </c>
      <c r="F842" s="4" t="n">
        <v>1</v>
      </c>
      <c r="G842" t="inlineStr">
        <is>
          <t>British Columbia</t>
        </is>
      </c>
      <c r="H842" t="inlineStr">
        <is>
          <t>No Club</t>
        </is>
      </c>
      <c r="I842" t="n">
        <v>38.1</v>
      </c>
      <c r="J842" s="4" t="n">
        <v>14</v>
      </c>
      <c r="K842" t="inlineStr">
        <is>
          <t>5 / 9</t>
        </is>
      </c>
      <c r="L842" t="inlineStr">
        <is>
          <t>2 / 3</t>
        </is>
      </c>
      <c r="M842" s="5" t="n">
        <v>0.36</v>
      </c>
      <c r="N842" s="5" t="n">
        <v>0.4</v>
      </c>
    </row>
    <row r="843">
      <c r="A843" t="n">
        <v>842</v>
      </c>
      <c r="B843" t="n">
        <v>2015</v>
      </c>
      <c r="C843" t="inlineStr">
        <is>
          <t>Lydia Hilborn</t>
        </is>
      </c>
      <c r="D843">
        <f>HYPERLINK("https://ota.tournamentsoftware.com/player-profile/30626EFD-AB33-4307-B2FA-1CF205F3C271", "Link")</f>
        <v/>
      </c>
      <c r="E843" s="3" t="n">
        <v>6.23</v>
      </c>
      <c r="F843" s="4" t="n">
        <v>1</v>
      </c>
      <c r="G843" t="inlineStr">
        <is>
          <t>Ontario Tennis Association</t>
        </is>
      </c>
      <c r="H843" t="inlineStr">
        <is>
          <t>Cutten Fields</t>
        </is>
      </c>
      <c r="I843" t="n">
        <v>37.5</v>
      </c>
      <c r="J843" s="4" t="n">
        <v>50</v>
      </c>
      <c r="K843" t="inlineStr">
        <is>
          <t>23 / 27</t>
        </is>
      </c>
      <c r="L843" t="inlineStr">
        <is>
          <t>0 / 0</t>
        </is>
      </c>
      <c r="M843" s="5" t="n">
        <v>0.46</v>
      </c>
      <c r="N843" s="5" t="n">
        <v>0</v>
      </c>
    </row>
    <row r="844">
      <c r="A844" t="n">
        <v>843</v>
      </c>
      <c r="B844" t="n">
        <v>2014</v>
      </c>
      <c r="C844" t="inlineStr">
        <is>
          <t>Abigale Julia Dioszeghy Beatty</t>
        </is>
      </c>
      <c r="D844">
        <f>HYPERLINK("https://ota.tournamentsoftware.com/player-profile/3376BA08-B4B7-40B5-A81E-8F995772526B", "Link")</f>
        <v/>
      </c>
      <c r="E844" s="3" t="n">
        <v>6.221</v>
      </c>
      <c r="F844" s="4" t="n">
        <v>4</v>
      </c>
      <c r="G844" t="inlineStr">
        <is>
          <t>Tennis Alberta</t>
        </is>
      </c>
      <c r="H844" t="inlineStr">
        <is>
          <t>Royal Glenora Club</t>
        </is>
      </c>
      <c r="I844" t="n">
        <v>37.5</v>
      </c>
      <c r="J844" s="4" t="n">
        <v>14</v>
      </c>
      <c r="K844" t="inlineStr">
        <is>
          <t>7 / 7</t>
        </is>
      </c>
      <c r="L844" t="inlineStr">
        <is>
          <t>7 / 7</t>
        </is>
      </c>
      <c r="M844" s="5" t="n">
        <v>0.5</v>
      </c>
      <c r="N844" s="5" t="n">
        <v>0.5</v>
      </c>
    </row>
    <row r="845">
      <c r="A845" t="n">
        <v>844</v>
      </c>
      <c r="B845" t="n">
        <v>2014</v>
      </c>
      <c r="C845" t="inlineStr">
        <is>
          <t>Dina Karahotzitis</t>
        </is>
      </c>
      <c r="D845">
        <f>HYPERLINK("https://ota.tournamentsoftware.com/player-profile/741C9055-B842-4064-A339-E591B8FD72C4", "Link")</f>
        <v/>
      </c>
      <c r="E845" s="3" t="n">
        <v>6</v>
      </c>
      <c r="F845" s="4" t="n">
        <v>1</v>
      </c>
      <c r="G845" t="inlineStr">
        <is>
          <t>Ontario Tennis Association</t>
        </is>
      </c>
      <c r="H845" t="inlineStr">
        <is>
          <t>Mayfair West Fitness &amp; Racquet Club</t>
        </is>
      </c>
      <c r="I845" t="n">
        <v>34.9</v>
      </c>
      <c r="J845" s="4" t="n">
        <v>19</v>
      </c>
      <c r="K845" t="inlineStr">
        <is>
          <t>0 / 19</t>
        </is>
      </c>
      <c r="L845" t="inlineStr">
        <is>
          <t>0 / 0</t>
        </is>
      </c>
      <c r="M845" s="5" t="n">
        <v>0</v>
      </c>
      <c r="N845" s="5" t="n">
        <v>0</v>
      </c>
    </row>
    <row r="846">
      <c r="A846" t="n">
        <v>844</v>
      </c>
      <c r="B846" t="n">
        <v>2015</v>
      </c>
      <c r="C846" t="inlineStr">
        <is>
          <t>Allison Zhang</t>
        </is>
      </c>
      <c r="D846">
        <f>HYPERLINK("https://ota.tournamentsoftware.com/player-profile/7EED065B-4139-4D18-B6C0-4800BB20D171", "Link")</f>
        <v/>
      </c>
      <c r="E846" s="3" t="n">
        <v>6</v>
      </c>
      <c r="F846" s="4" t="n">
        <v>1</v>
      </c>
      <c r="G846" t="inlineStr">
        <is>
          <t>Ontario Tennis Association</t>
        </is>
      </c>
      <c r="H846" t="inlineStr">
        <is>
          <t>No Club</t>
        </is>
      </c>
      <c r="I846" t="inlineStr">
        <is>
          <t>unavailable</t>
        </is>
      </c>
      <c r="J846" s="4" t="n">
        <v>23</v>
      </c>
      <c r="K846" t="inlineStr">
        <is>
          <t>4 / 19</t>
        </is>
      </c>
      <c r="L846" t="inlineStr">
        <is>
          <t>0 / 0</t>
        </is>
      </c>
      <c r="M846" s="5" t="n">
        <v>0.17</v>
      </c>
      <c r="N846" s="5" t="n">
        <v>0</v>
      </c>
    </row>
    <row r="847">
      <c r="A847" t="n">
        <v>846</v>
      </c>
      <c r="B847" t="n">
        <v>2015</v>
      </c>
      <c r="C847" t="inlineStr">
        <is>
          <t>Vera Nino</t>
        </is>
      </c>
      <c r="D847">
        <f>HYPERLINK("https://ota.tournamentsoftware.com/player-profile/081EF9A9-B991-431D-B2FC-AC8426BD2711", "Link")</f>
        <v/>
      </c>
      <c r="E847" s="3" t="n">
        <v>5.803</v>
      </c>
      <c r="F847" s="4" t="n">
        <v>1</v>
      </c>
      <c r="G847" t="inlineStr">
        <is>
          <t>Ontario Tennis Association</t>
        </is>
      </c>
      <c r="H847" t="inlineStr">
        <is>
          <t>Zekelman Tennis Centre</t>
        </is>
      </c>
      <c r="I847" t="inlineStr">
        <is>
          <t>unavailable</t>
        </is>
      </c>
      <c r="J847" s="4" t="n">
        <v>6</v>
      </c>
      <c r="K847" t="inlineStr">
        <is>
          <t>0 / 6</t>
        </is>
      </c>
      <c r="L847" t="inlineStr">
        <is>
          <t>0 / 6</t>
        </is>
      </c>
      <c r="M847" s="5" t="n">
        <v>0</v>
      </c>
      <c r="N847" s="5" t="n">
        <v>0</v>
      </c>
    </row>
    <row r="848">
      <c r="A848" t="n">
        <v>847</v>
      </c>
      <c r="B848" t="n">
        <v>2013</v>
      </c>
      <c r="C848" t="inlineStr">
        <is>
          <t>Isabella Salum</t>
        </is>
      </c>
      <c r="D848">
        <f>HYPERLINK("https://ota.tournamentsoftware.com/player-profile/AD20BB62-5360-484E-820D-DA1E16118088", "Link")</f>
        <v/>
      </c>
      <c r="E848" s="3" t="n">
        <v>5.497</v>
      </c>
      <c r="F848" s="4" t="n">
        <v>1</v>
      </c>
      <c r="G848" t="inlineStr">
        <is>
          <t>British Columbia</t>
        </is>
      </c>
      <c r="H848" t="inlineStr">
        <is>
          <t>Bear Mountain Tennis Centre</t>
        </is>
      </c>
      <c r="I848" t="inlineStr">
        <is>
          <t>unavailable</t>
        </is>
      </c>
      <c r="J848" s="4" t="n">
        <v>23</v>
      </c>
      <c r="K848" t="inlineStr">
        <is>
          <t>6 / 17</t>
        </is>
      </c>
      <c r="L848" t="inlineStr">
        <is>
          <t>1 / 2</t>
        </is>
      </c>
      <c r="M848" s="5" t="n">
        <v>0.26</v>
      </c>
      <c r="N848" s="5" t="n">
        <v>0.33</v>
      </c>
    </row>
    <row r="849">
      <c r="A849" t="n">
        <v>847</v>
      </c>
      <c r="B849" t="n">
        <v>2014</v>
      </c>
      <c r="C849" t="inlineStr">
        <is>
          <t>Anabelle Duchesne</t>
        </is>
      </c>
      <c r="D849">
        <f>HYPERLINK("https://ota.tournamentsoftware.com/player-profile/3D9B7A28-72A0-4133-925D-142C95DC7FA9", "Link")</f>
        <v/>
      </c>
      <c r="E849" s="3" t="n">
        <v>5.497</v>
      </c>
      <c r="F849" s="4" t="n">
        <v>1</v>
      </c>
      <c r="G849" t="inlineStr">
        <is>
          <t>Tennis Québec</t>
        </is>
      </c>
      <c r="H849" t="inlineStr">
        <is>
          <t>Les Tennis de Rimouski (intérieur)</t>
        </is>
      </c>
      <c r="I849" t="n">
        <v>39.8</v>
      </c>
      <c r="J849" s="4" t="n">
        <v>3</v>
      </c>
      <c r="K849" t="inlineStr">
        <is>
          <t>0 / 3</t>
        </is>
      </c>
      <c r="L849" t="inlineStr">
        <is>
          <t>0 / 3</t>
        </is>
      </c>
      <c r="M849" s="5" t="n">
        <v>0</v>
      </c>
      <c r="N849" s="5" t="n">
        <v>0</v>
      </c>
    </row>
    <row r="850">
      <c r="A850" t="n">
        <v>849</v>
      </c>
      <c r="B850" t="n">
        <v>2013</v>
      </c>
      <c r="C850" t="inlineStr">
        <is>
          <t>Eve Bussière</t>
        </is>
      </c>
      <c r="D850">
        <f>HYPERLINK("https://ota.tournamentsoftware.com/player-profile/01D291A9-D1EC-4A34-907D-E221D9B25023", "Link")</f>
        <v/>
      </c>
      <c r="E850" s="3" t="n">
        <v>5.408</v>
      </c>
      <c r="F850" s="4" t="n">
        <v>2</v>
      </c>
      <c r="G850" t="inlineStr">
        <is>
          <t>Tennis Québec</t>
        </is>
      </c>
      <c r="H850" t="inlineStr">
        <is>
          <t>No Club</t>
        </is>
      </c>
      <c r="I850" t="inlineStr">
        <is>
          <t>unavailable</t>
        </is>
      </c>
      <c r="J850" s="4" t="n">
        <v>10</v>
      </c>
      <c r="K850" t="inlineStr">
        <is>
          <t>2 / 8</t>
        </is>
      </c>
      <c r="L850" t="inlineStr">
        <is>
          <t>0 / 0</t>
        </is>
      </c>
      <c r="M850" s="5" t="n">
        <v>0.2</v>
      </c>
      <c r="N850" s="5" t="n">
        <v>0</v>
      </c>
    </row>
    <row r="851">
      <c r="A851" t="n">
        <v>850</v>
      </c>
      <c r="B851" t="n">
        <v>2012</v>
      </c>
      <c r="C851" t="inlineStr">
        <is>
          <t>Emma Thomson</t>
        </is>
      </c>
      <c r="D851">
        <f>HYPERLINK("https://ota.tournamentsoftware.com/player-profile/EE28DE8E-EE8A-4FBB-885B-733BCB8A08C4", "Link")</f>
        <v/>
      </c>
      <c r="E851" s="3" t="n">
        <v>5.404</v>
      </c>
      <c r="F851" s="4" t="n">
        <v>3</v>
      </c>
      <c r="G851" t="inlineStr">
        <is>
          <t>Tennis Alberta</t>
        </is>
      </c>
      <c r="H851" t="inlineStr">
        <is>
          <t>Osten &amp; Victor Alberta Tennis Centre</t>
        </is>
      </c>
      <c r="I851" t="inlineStr">
        <is>
          <t>unavailable</t>
        </is>
      </c>
      <c r="J851" s="4" t="n">
        <v>6</v>
      </c>
      <c r="K851" t="inlineStr">
        <is>
          <t>1 / 5</t>
        </is>
      </c>
      <c r="L851" t="inlineStr">
        <is>
          <t>1 / 1</t>
        </is>
      </c>
      <c r="M851" s="5" t="n">
        <v>0.17</v>
      </c>
      <c r="N851" s="5" t="n">
        <v>0.5</v>
      </c>
    </row>
    <row r="852">
      <c r="A852" t="n">
        <v>851</v>
      </c>
      <c r="B852" t="n">
        <v>2016</v>
      </c>
      <c r="C852" t="inlineStr">
        <is>
          <t>Marusya Bakaeva</t>
        </is>
      </c>
      <c r="D852">
        <f>HYPERLINK("https://ota.tournamentsoftware.com/player-profile/B7C51186-F387-4E99-B849-E8275BB7C0E9", "Link")</f>
        <v/>
      </c>
      <c r="E852" s="3" t="n">
        <v>5.125</v>
      </c>
      <c r="F852" s="4" t="n">
        <v>1</v>
      </c>
      <c r="G852" t="inlineStr">
        <is>
          <t>Ontario Tennis Association</t>
        </is>
      </c>
      <c r="H852" t="inlineStr">
        <is>
          <t>Toronto Tennis City</t>
        </is>
      </c>
      <c r="I852" t="n">
        <v>35.9</v>
      </c>
      <c r="J852" s="4" t="n">
        <v>14</v>
      </c>
      <c r="K852" t="inlineStr">
        <is>
          <t>6 / 8</t>
        </is>
      </c>
      <c r="L852" t="inlineStr">
        <is>
          <t>3 / 4</t>
        </is>
      </c>
      <c r="M852" s="5" t="n">
        <v>0.43</v>
      </c>
      <c r="N852" s="5" t="n">
        <v>0.43</v>
      </c>
    </row>
    <row r="853">
      <c r="A853" t="n">
        <v>851</v>
      </c>
      <c r="B853" t="n">
        <v>2014</v>
      </c>
      <c r="C853" t="inlineStr">
        <is>
          <t>Alexandra Ciacoi-Pop</t>
        </is>
      </c>
      <c r="D853">
        <f>HYPERLINK("https://ota.tournamentsoftware.com/player-profile/4F87B1A1-F52A-4C8C-8C6B-776A59CC6D03", "Link")</f>
        <v/>
      </c>
      <c r="E853" s="3" t="n">
        <v>5.125</v>
      </c>
      <c r="F853" s="4" t="n">
        <v>1</v>
      </c>
      <c r="G853" t="inlineStr">
        <is>
          <t>Ontario Tennis Association</t>
        </is>
      </c>
      <c r="H853" t="inlineStr">
        <is>
          <t>Parkway Valley Tennis Club</t>
        </is>
      </c>
      <c r="I853" t="n">
        <v>38.8</v>
      </c>
      <c r="J853" s="4" t="n">
        <v>28</v>
      </c>
      <c r="K853" t="inlineStr">
        <is>
          <t>11 / 17</t>
        </is>
      </c>
      <c r="L853" t="inlineStr">
        <is>
          <t>7 / 12</t>
        </is>
      </c>
      <c r="M853" s="5" t="n">
        <v>0.39</v>
      </c>
      <c r="N853" s="5" t="n">
        <v>0.37</v>
      </c>
    </row>
    <row r="854">
      <c r="A854" t="n">
        <v>853</v>
      </c>
      <c r="B854" t="n">
        <v>2012</v>
      </c>
      <c r="C854" t="inlineStr">
        <is>
          <t>Frankie Hunsberger</t>
        </is>
      </c>
      <c r="D854">
        <f>HYPERLINK("https://ota.tournamentsoftware.com/player-profile/288F03A3-20CB-46BE-B35D-7428B5B7FA35", "Link")</f>
        <v/>
      </c>
      <c r="E854" s="3" t="n">
        <v>5.054</v>
      </c>
      <c r="F854" s="4" t="n">
        <v>2</v>
      </c>
      <c r="G854" t="inlineStr">
        <is>
          <t>British Columbia</t>
        </is>
      </c>
      <c r="H854" t="inlineStr">
        <is>
          <t>North Shore Winter Club</t>
        </is>
      </c>
      <c r="I854" t="inlineStr">
        <is>
          <t>unavailable</t>
        </is>
      </c>
      <c r="J854" s="4" t="inlineStr"/>
      <c r="K854" t="inlineStr">
        <is>
          <t>unavailable</t>
        </is>
      </c>
      <c r="L854" t="inlineStr">
        <is>
          <t>unavailable</t>
        </is>
      </c>
      <c r="M854" s="5" t="inlineStr"/>
      <c r="N854" s="5" t="inlineStr"/>
    </row>
    <row r="855">
      <c r="A855" t="n">
        <v>854</v>
      </c>
      <c r="B855" t="n">
        <v>2014</v>
      </c>
      <c r="C855" t="inlineStr">
        <is>
          <t>Mackenzie Lee</t>
        </is>
      </c>
      <c r="D855">
        <f>HYPERLINK("https://ota.tournamentsoftware.com/player-profile/7734E749-B5B7-4067-9AE1-B5CB58EFDC1A", "Link")</f>
        <v/>
      </c>
      <c r="E855" s="3" t="n">
        <v>5</v>
      </c>
      <c r="F855" s="4" t="n">
        <v>1</v>
      </c>
      <c r="G855" t="inlineStr">
        <is>
          <t>Ontario Tennis Association</t>
        </is>
      </c>
      <c r="H855" t="inlineStr">
        <is>
          <t>Toronto Lawn Tennis Club</t>
        </is>
      </c>
      <c r="I855" t="inlineStr">
        <is>
          <t>unavailable</t>
        </is>
      </c>
      <c r="J855" s="4" t="n">
        <v>13</v>
      </c>
      <c r="K855" t="inlineStr">
        <is>
          <t>5 / 8</t>
        </is>
      </c>
      <c r="L855" t="inlineStr">
        <is>
          <t>4 / 3</t>
        </is>
      </c>
      <c r="M855" s="5" t="n">
        <v>0.38</v>
      </c>
      <c r="N855" s="5" t="n">
        <v>0.57</v>
      </c>
    </row>
    <row r="856">
      <c r="A856" t="n">
        <v>854</v>
      </c>
      <c r="B856" t="n">
        <v>2015</v>
      </c>
      <c r="C856" t="inlineStr">
        <is>
          <t>Cynthia Wang</t>
        </is>
      </c>
      <c r="D856">
        <f>HYPERLINK("https://ota.tournamentsoftware.com/player-profile/C8736B80-1071-4F4F-86B0-CA7FB630F618", "Link")</f>
        <v/>
      </c>
      <c r="E856" s="3" t="n">
        <v>5</v>
      </c>
      <c r="F856" s="4" t="n">
        <v>1</v>
      </c>
      <c r="G856" t="inlineStr">
        <is>
          <t>Ontario Tennis Association</t>
        </is>
      </c>
      <c r="H856" t="inlineStr">
        <is>
          <t>SmartVMC Racquetsports by ACE</t>
        </is>
      </c>
      <c r="I856" t="n">
        <v>37.3</v>
      </c>
      <c r="J856" s="4" t="n">
        <v>3</v>
      </c>
      <c r="K856" t="inlineStr">
        <is>
          <t>0 / 3</t>
        </is>
      </c>
      <c r="L856" t="inlineStr">
        <is>
          <t>0 / 0</t>
        </is>
      </c>
      <c r="M856" s="5" t="n">
        <v>0</v>
      </c>
      <c r="N856" s="5" t="n">
        <v>0</v>
      </c>
    </row>
    <row r="857">
      <c r="A857" t="n">
        <v>854</v>
      </c>
      <c r="B857" t="n">
        <v>2014</v>
      </c>
      <c r="C857" t="inlineStr">
        <is>
          <t>Freya Run Rutledge</t>
        </is>
      </c>
      <c r="D857">
        <f>HYPERLINK("https://ota.tournamentsoftware.com/player-profile/76B60137-7272-4F42-A455-109E20840062", "Link")</f>
        <v/>
      </c>
      <c r="E857" s="3" t="n">
        <v>5</v>
      </c>
      <c r="F857" s="4" t="n">
        <v>1</v>
      </c>
      <c r="G857" t="inlineStr">
        <is>
          <t>Ontario Tennis Association</t>
        </is>
      </c>
      <c r="H857" t="inlineStr">
        <is>
          <t>Boulevard Club</t>
        </is>
      </c>
      <c r="I857" t="n">
        <v>34.9</v>
      </c>
      <c r="J857" s="4" t="n">
        <v>14</v>
      </c>
      <c r="K857" t="inlineStr">
        <is>
          <t>0 / 14</t>
        </is>
      </c>
      <c r="L857" t="inlineStr">
        <is>
          <t>0 / 1</t>
        </is>
      </c>
      <c r="M857" s="5" t="n">
        <v>0</v>
      </c>
      <c r="N857" s="5" t="n">
        <v>0</v>
      </c>
    </row>
    <row r="858">
      <c r="A858" t="n">
        <v>854</v>
      </c>
      <c r="B858" t="n">
        <v>2013</v>
      </c>
      <c r="C858" t="inlineStr">
        <is>
          <t>Barbara Li</t>
        </is>
      </c>
      <c r="D858">
        <f>HYPERLINK("https://ota.tournamentsoftware.com/player-profile/FFEAFA99-A203-4A57-A5C8-1E0592A53A81", "Link")</f>
        <v/>
      </c>
      <c r="E858" s="3" t="n">
        <v>5</v>
      </c>
      <c r="F858" s="4" t="n">
        <v>1</v>
      </c>
      <c r="G858" t="inlineStr">
        <is>
          <t>British Columbia</t>
        </is>
      </c>
      <c r="H858" t="inlineStr">
        <is>
          <t>Hollyburn Country Club</t>
        </is>
      </c>
      <c r="I858" t="n">
        <v>39.7</v>
      </c>
      <c r="J858" s="4" t="n">
        <v>13</v>
      </c>
      <c r="K858" t="inlineStr">
        <is>
          <t>3 / 10</t>
        </is>
      </c>
      <c r="L858" t="inlineStr">
        <is>
          <t>0 / 0</t>
        </is>
      </c>
      <c r="M858" s="5" t="n">
        <v>0.23</v>
      </c>
      <c r="N858" s="5" t="n">
        <v>0</v>
      </c>
    </row>
    <row r="859">
      <c r="A859" t="n">
        <v>858</v>
      </c>
      <c r="B859" t="n">
        <v>2015</v>
      </c>
      <c r="C859" t="inlineStr">
        <is>
          <t>Rowan Ferris</t>
        </is>
      </c>
      <c r="D859">
        <f>HYPERLINK("https://ota.tournamentsoftware.com/player-profile/48292DD6-1A8C-41C7-997E-9A5C5BD68EFF", "Link")</f>
        <v/>
      </c>
      <c r="E859" s="3" t="n">
        <v>4.966</v>
      </c>
      <c r="F859" s="4" t="n">
        <v>1</v>
      </c>
      <c r="G859" t="inlineStr">
        <is>
          <t>Tennis Alberta</t>
        </is>
      </c>
      <c r="H859" t="inlineStr">
        <is>
          <t>Medicine Hat Tennis Club</t>
        </is>
      </c>
      <c r="I859" t="n">
        <v>39.4</v>
      </c>
      <c r="J859" s="4" t="n">
        <v>8</v>
      </c>
      <c r="K859" t="inlineStr">
        <is>
          <t>2 / 6</t>
        </is>
      </c>
      <c r="L859" t="inlineStr">
        <is>
          <t>0 / 2</t>
        </is>
      </c>
      <c r="M859" s="5" t="n">
        <v>0.25</v>
      </c>
      <c r="N859" s="5" t="n">
        <v>0</v>
      </c>
    </row>
    <row r="860">
      <c r="A860" t="n">
        <v>859</v>
      </c>
      <c r="B860" t="n">
        <v>2014</v>
      </c>
      <c r="C860" t="inlineStr">
        <is>
          <t>Alicia Januario</t>
        </is>
      </c>
      <c r="D860">
        <f>HYPERLINK("https://ota.tournamentsoftware.com/player-profile/C042725A-21A9-463F-848F-04CEA3B56FE5", "Link")</f>
        <v/>
      </c>
      <c r="E860" s="3" t="n">
        <v>4.927</v>
      </c>
      <c r="F860" s="4" t="n">
        <v>2</v>
      </c>
      <c r="G860" t="inlineStr">
        <is>
          <t>Tennis Québec</t>
        </is>
      </c>
      <c r="H860" t="inlineStr">
        <is>
          <t>No Club</t>
        </is>
      </c>
      <c r="I860" t="n">
        <v>37.7</v>
      </c>
      <c r="J860" s="4" t="n">
        <v>6</v>
      </c>
      <c r="K860" t="inlineStr">
        <is>
          <t>1 / 5</t>
        </is>
      </c>
      <c r="L860" t="inlineStr">
        <is>
          <t>1 / 5</t>
        </is>
      </c>
      <c r="M860" s="5" t="n">
        <v>0.17</v>
      </c>
      <c r="N860" s="5" t="n">
        <v>0.17</v>
      </c>
    </row>
    <row r="861">
      <c r="A861" t="n">
        <v>860</v>
      </c>
      <c r="B861" t="n">
        <v>2013</v>
      </c>
      <c r="C861" t="inlineStr">
        <is>
          <t>Grâce-David Adzo TRAORÉ</t>
        </is>
      </c>
      <c r="D861">
        <f>HYPERLINK("https://ota.tournamentsoftware.com/player-profile/2A96F5BB-709B-450E-A0CA-0442985A8D03", "Link")</f>
        <v/>
      </c>
      <c r="E861" s="3" t="n">
        <v>4.806</v>
      </c>
      <c r="F861" s="4" t="n">
        <v>1</v>
      </c>
      <c r="G861" t="inlineStr">
        <is>
          <t>Tennis Québec</t>
        </is>
      </c>
      <c r="H861" t="inlineStr">
        <is>
          <t>QC AutreClub</t>
        </is>
      </c>
      <c r="I861" t="inlineStr">
        <is>
          <t>unavailable</t>
        </is>
      </c>
      <c r="J861" s="4" t="n">
        <v>1</v>
      </c>
      <c r="K861" t="inlineStr">
        <is>
          <t>0 / 1</t>
        </is>
      </c>
      <c r="L861" t="inlineStr">
        <is>
          <t>0 / 0</t>
        </is>
      </c>
      <c r="M861" s="5" t="n">
        <v>0</v>
      </c>
      <c r="N861" s="5" t="n">
        <v>0</v>
      </c>
    </row>
    <row r="862">
      <c r="A862" t="n">
        <v>860</v>
      </c>
      <c r="B862" t="n">
        <v>2014</v>
      </c>
      <c r="C862" t="inlineStr">
        <is>
          <t>Iris Li</t>
        </is>
      </c>
      <c r="D862">
        <f>HYPERLINK("https://ota.tournamentsoftware.com/player-profile/CC36F5CC-203F-4A28-B27C-068A0E15610C", "Link")</f>
        <v/>
      </c>
      <c r="E862" s="3" t="n">
        <v>4.806</v>
      </c>
      <c r="F862" s="4" t="n">
        <v>2</v>
      </c>
      <c r="G862" t="inlineStr">
        <is>
          <t>British Columbia</t>
        </is>
      </c>
      <c r="H862" t="inlineStr">
        <is>
          <t>Tennis for Life</t>
        </is>
      </c>
      <c r="I862" t="n">
        <v>39.6</v>
      </c>
      <c r="J862" s="4" t="n">
        <v>37</v>
      </c>
      <c r="K862" t="inlineStr">
        <is>
          <t>11 / 26</t>
        </is>
      </c>
      <c r="L862" t="inlineStr">
        <is>
          <t>2 / 4</t>
        </is>
      </c>
      <c r="M862" s="5" t="n">
        <v>0.3</v>
      </c>
      <c r="N862" s="5" t="n">
        <v>0.33</v>
      </c>
    </row>
    <row r="863">
      <c r="A863" t="n">
        <v>860</v>
      </c>
      <c r="B863" t="n">
        <v>2014</v>
      </c>
      <c r="C863" t="inlineStr">
        <is>
          <t>Hannah Kucherawy</t>
        </is>
      </c>
      <c r="D863">
        <f>HYPERLINK("https://ota.tournamentsoftware.com/player-profile/E2ACD595-E7E5-40E3-935D-57DCECB8E04C", "Link")</f>
        <v/>
      </c>
      <c r="E863" s="3" t="n">
        <v>4.806</v>
      </c>
      <c r="F863" s="4" t="n">
        <v>1</v>
      </c>
      <c r="G863" t="inlineStr">
        <is>
          <t>Ontario Tennis Association</t>
        </is>
      </c>
      <c r="H863" t="inlineStr">
        <is>
          <t>Simcoe Tennis</t>
        </is>
      </c>
      <c r="I863" t="n">
        <v>35.6</v>
      </c>
      <c r="J863" s="4" t="n">
        <v>23</v>
      </c>
      <c r="K863" t="inlineStr">
        <is>
          <t>3 / 20</t>
        </is>
      </c>
      <c r="L863" t="inlineStr">
        <is>
          <t>1 / 1</t>
        </is>
      </c>
      <c r="M863" s="5" t="n">
        <v>0.13</v>
      </c>
      <c r="N863" s="5" t="n">
        <v>0.5</v>
      </c>
    </row>
    <row r="864">
      <c r="A864" t="n">
        <v>860</v>
      </c>
      <c r="B864" t="n">
        <v>2014</v>
      </c>
      <c r="C864" t="inlineStr">
        <is>
          <t>Emma Sun</t>
        </is>
      </c>
      <c r="D864">
        <f>HYPERLINK("https://ota.tournamentsoftware.com/player-profile/872E410F-742F-4F80-9387-6C15C73FE92E", "Link")</f>
        <v/>
      </c>
      <c r="E864" s="3" t="n">
        <v>4.806</v>
      </c>
      <c r="F864" s="4" t="n">
        <v>1</v>
      </c>
      <c r="G864" t="inlineStr">
        <is>
          <t>Ontario Tennis Association</t>
        </is>
      </c>
      <c r="H864" t="inlineStr">
        <is>
          <t>Valan Tennis Academy</t>
        </is>
      </c>
      <c r="I864" t="n">
        <v>38.6</v>
      </c>
      <c r="J864" s="4" t="n">
        <v>18</v>
      </c>
      <c r="K864" t="inlineStr">
        <is>
          <t>10 / 8</t>
        </is>
      </c>
      <c r="L864" t="inlineStr">
        <is>
          <t>1 / 1</t>
        </is>
      </c>
      <c r="M864" s="5" t="n">
        <v>0.5600000000000001</v>
      </c>
      <c r="N864" s="5" t="n">
        <v>0.5</v>
      </c>
    </row>
    <row r="865">
      <c r="A865" t="n">
        <v>864</v>
      </c>
      <c r="B865" t="n">
        <v>2012</v>
      </c>
      <c r="C865" t="inlineStr">
        <is>
          <t>Katie Elizabeth Furlan</t>
        </is>
      </c>
      <c r="D865">
        <f>HYPERLINK("https://ota.tournamentsoftware.com/player-profile/CB36C2DA-0DAF-44E4-AE44-0A925ED0DFC0", "Link")</f>
        <v/>
      </c>
      <c r="E865" s="3" t="n">
        <v>4.538</v>
      </c>
      <c r="F865" s="4" t="n">
        <v>4</v>
      </c>
      <c r="G865" t="inlineStr">
        <is>
          <t>Tennis Alberta</t>
        </is>
      </c>
      <c r="H865" t="inlineStr">
        <is>
          <t>The Glencoe Club</t>
        </is>
      </c>
      <c r="I865" t="n">
        <v>38.4</v>
      </c>
      <c r="J865" s="4" t="n">
        <v>25</v>
      </c>
      <c r="K865" t="inlineStr">
        <is>
          <t>6 / 19</t>
        </is>
      </c>
      <c r="L865" t="inlineStr">
        <is>
          <t>0 / 2</t>
        </is>
      </c>
      <c r="M865" s="5" t="n">
        <v>0.24</v>
      </c>
      <c r="N865" s="5" t="n">
        <v>0</v>
      </c>
    </row>
    <row r="866">
      <c r="A866" t="n">
        <v>865</v>
      </c>
      <c r="B866" t="n">
        <v>2016</v>
      </c>
      <c r="C866" t="inlineStr">
        <is>
          <t>Michelle Hiu Tung Law</t>
        </is>
      </c>
      <c r="D866">
        <f>HYPERLINK("https://ota.tournamentsoftware.com/player-profile/6B7246D7-C656-43B4-A93A-54E15E04D73D", "Link")</f>
        <v/>
      </c>
      <c r="E866" s="3" t="n">
        <v>4.536</v>
      </c>
      <c r="F866" s="4" t="n">
        <v>8</v>
      </c>
      <c r="G866" t="inlineStr">
        <is>
          <t>Tennis Alberta</t>
        </is>
      </c>
      <c r="H866" t="inlineStr">
        <is>
          <t>Saville Community Sports Centre</t>
        </is>
      </c>
      <c r="I866" t="n">
        <v>38.4</v>
      </c>
      <c r="J866" s="4" t="n">
        <v>77</v>
      </c>
      <c r="K866" t="inlineStr">
        <is>
          <t>31 / 46</t>
        </is>
      </c>
      <c r="L866" t="inlineStr">
        <is>
          <t>12 / 18</t>
        </is>
      </c>
      <c r="M866" s="5" t="n">
        <v>0.4</v>
      </c>
      <c r="N866" s="5" t="n">
        <v>0.4</v>
      </c>
    </row>
    <row r="867">
      <c r="A867" t="n">
        <v>866</v>
      </c>
      <c r="B867" t="n">
        <v>2012</v>
      </c>
      <c r="C867" t="inlineStr">
        <is>
          <t>Lucia Racquel Deagle</t>
        </is>
      </c>
      <c r="D867">
        <f>HYPERLINK("https://ota.tournamentsoftware.com/player-profile/9262B9F2-035F-451E-8B86-6E98C95AB597", "Link")</f>
        <v/>
      </c>
      <c r="E867" s="3" t="n">
        <v>4.173</v>
      </c>
      <c r="F867" s="4" t="n">
        <v>2</v>
      </c>
      <c r="G867" t="inlineStr">
        <is>
          <t>Tennis Alberta</t>
        </is>
      </c>
      <c r="H867" t="inlineStr">
        <is>
          <t>Aforza</t>
        </is>
      </c>
      <c r="I867" t="n">
        <v>39.2</v>
      </c>
      <c r="J867" s="4" t="n">
        <v>17</v>
      </c>
      <c r="K867" t="inlineStr">
        <is>
          <t>1 / 16</t>
        </is>
      </c>
      <c r="L867" t="inlineStr">
        <is>
          <t>0 / 0</t>
        </is>
      </c>
      <c r="M867" s="5" t="n">
        <v>0.06</v>
      </c>
      <c r="N867" s="5" t="n">
        <v>0</v>
      </c>
    </row>
    <row r="868">
      <c r="A868" t="n">
        <v>867</v>
      </c>
      <c r="B868" t="n">
        <v>2015</v>
      </c>
      <c r="C868" t="inlineStr">
        <is>
          <t>Emmy Judge</t>
        </is>
      </c>
      <c r="D868">
        <f>HYPERLINK("https://ota.tournamentsoftware.com/player-profile/553284DE-2D65-4837-B86A-2230DB300AC5", "Link")</f>
        <v/>
      </c>
      <c r="E868" s="3" t="n">
        <v>4.077</v>
      </c>
      <c r="F868" s="4" t="n">
        <v>1</v>
      </c>
      <c r="G868" t="inlineStr">
        <is>
          <t>Ontario Tennis Association</t>
        </is>
      </c>
      <c r="H868" t="inlineStr">
        <is>
          <t>No Club</t>
        </is>
      </c>
      <c r="I868" t="inlineStr">
        <is>
          <t>unavailable</t>
        </is>
      </c>
      <c r="J868" s="4" t="n">
        <v>1</v>
      </c>
      <c r="K868" t="inlineStr">
        <is>
          <t>0 / 1</t>
        </is>
      </c>
      <c r="L868" t="inlineStr">
        <is>
          <t>0 / 1</t>
        </is>
      </c>
      <c r="M868" s="5" t="n">
        <v>0</v>
      </c>
      <c r="N868" s="5" t="n">
        <v>0</v>
      </c>
    </row>
    <row r="869">
      <c r="A869" t="n">
        <v>868</v>
      </c>
      <c r="B869" t="n">
        <v>2016</v>
      </c>
      <c r="C869" t="inlineStr">
        <is>
          <t>Peiyu(Cici) Li</t>
        </is>
      </c>
      <c r="D869">
        <f>HYPERLINK("https://ota.tournamentsoftware.com/player-profile/C4571297-B444-4579-A011-D24753628021", "Link")</f>
        <v/>
      </c>
      <c r="E869" s="3" t="n">
        <v>4.052</v>
      </c>
      <c r="F869" s="4" t="n">
        <v>6</v>
      </c>
      <c r="G869" t="inlineStr">
        <is>
          <t>Tennis Nova Scotia</t>
        </is>
      </c>
      <c r="H869" t="inlineStr">
        <is>
          <t>Atlantic Tennis Centre</t>
        </is>
      </c>
      <c r="I869" t="n">
        <v>40</v>
      </c>
      <c r="J869" s="4" t="n">
        <v>50</v>
      </c>
      <c r="K869" t="inlineStr">
        <is>
          <t>18 / 32</t>
        </is>
      </c>
      <c r="L869" t="inlineStr">
        <is>
          <t>10 / 22</t>
        </is>
      </c>
      <c r="M869" s="5" t="n">
        <v>0.36</v>
      </c>
      <c r="N869" s="5" t="n">
        <v>0.31</v>
      </c>
    </row>
    <row r="870">
      <c r="A870" t="n">
        <v>869</v>
      </c>
      <c r="B870" t="n">
        <v>2013</v>
      </c>
      <c r="C870" t="inlineStr">
        <is>
          <t>Xi Niu</t>
        </is>
      </c>
      <c r="D870">
        <f>HYPERLINK("https://ota.tournamentsoftware.com/player-profile/B2759B21-5521-4528-9454-D7FF201653DE", "Link")</f>
        <v/>
      </c>
      <c r="E870" s="3" t="n">
        <v>4</v>
      </c>
      <c r="F870" s="4" t="n">
        <v>1</v>
      </c>
      <c r="G870" t="inlineStr">
        <is>
          <t>British Columbia</t>
        </is>
      </c>
      <c r="H870" t="inlineStr">
        <is>
          <t>No Club</t>
        </is>
      </c>
      <c r="I870" t="inlineStr">
        <is>
          <t>unavailable</t>
        </is>
      </c>
      <c r="J870" s="4" t="n">
        <v>3</v>
      </c>
      <c r="K870" t="inlineStr">
        <is>
          <t>0 / 3</t>
        </is>
      </c>
      <c r="L870" t="inlineStr">
        <is>
          <t>0 / 0</t>
        </is>
      </c>
      <c r="M870" s="5" t="n">
        <v>0</v>
      </c>
      <c r="N870" s="5" t="n">
        <v>0</v>
      </c>
    </row>
    <row r="871">
      <c r="A871" t="n">
        <v>869</v>
      </c>
      <c r="B871" t="n">
        <v>2014</v>
      </c>
      <c r="C871" t="inlineStr">
        <is>
          <t>Sophia Zhao</t>
        </is>
      </c>
      <c r="D871">
        <f>HYPERLINK("https://ota.tournamentsoftware.com/player-profile/388D9D37-AB69-4888-AB07-C709FC6BB450", "Link")</f>
        <v/>
      </c>
      <c r="E871" s="3" t="n">
        <v>4</v>
      </c>
      <c r="F871" s="4" t="n">
        <v>1</v>
      </c>
      <c r="G871" t="inlineStr">
        <is>
          <t>British Columbia</t>
        </is>
      </c>
      <c r="H871" t="inlineStr">
        <is>
          <t>Hollyburn Country Club</t>
        </is>
      </c>
      <c r="I871" t="inlineStr">
        <is>
          <t>unavailable</t>
        </is>
      </c>
      <c r="J871" s="4" t="n">
        <v>3</v>
      </c>
      <c r="K871" t="inlineStr">
        <is>
          <t>0 / 3</t>
        </is>
      </c>
      <c r="L871" t="inlineStr">
        <is>
          <t>0 / 0</t>
        </is>
      </c>
      <c r="M871" s="5" t="n">
        <v>0</v>
      </c>
      <c r="N871" s="5" t="n">
        <v>0</v>
      </c>
    </row>
    <row r="872">
      <c r="A872" t="n">
        <v>869</v>
      </c>
      <c r="B872" t="n">
        <v>2014</v>
      </c>
      <c r="C872" t="inlineStr">
        <is>
          <t>Sophia Jaffer</t>
        </is>
      </c>
      <c r="D872">
        <f>HYPERLINK("https://ota.tournamentsoftware.com/player-profile/264F2E7F-0F8D-4B4E-875F-FAAFDB4E9D43", "Link")</f>
        <v/>
      </c>
      <c r="E872" s="3" t="n">
        <v>4</v>
      </c>
      <c r="F872" s="4" t="n">
        <v>1</v>
      </c>
      <c r="G872" t="inlineStr">
        <is>
          <t>British Columbia</t>
        </is>
      </c>
      <c r="H872" t="inlineStr">
        <is>
          <t>Hollyburn Country Club</t>
        </is>
      </c>
      <c r="I872" t="n">
        <v>38.6</v>
      </c>
      <c r="J872" s="4" t="n">
        <v>17</v>
      </c>
      <c r="K872" t="inlineStr">
        <is>
          <t>6 / 11</t>
        </is>
      </c>
      <c r="L872" t="inlineStr">
        <is>
          <t>6 / 6</t>
        </is>
      </c>
      <c r="M872" s="5" t="n">
        <v>0.35</v>
      </c>
      <c r="N872" s="5" t="n">
        <v>0.5</v>
      </c>
    </row>
    <row r="873">
      <c r="A873" t="n">
        <v>872</v>
      </c>
      <c r="B873" t="n">
        <v>2013</v>
      </c>
      <c r="C873" t="inlineStr">
        <is>
          <t>Vittoria Veronica Noce</t>
        </is>
      </c>
      <c r="D873">
        <f>HYPERLINK("https://ota.tournamentsoftware.com/player-profile/00D388D4-0B24-4339-9B51-BDB96207A30D", "Link")</f>
        <v/>
      </c>
      <c r="E873" s="3" t="n">
        <v>3.889</v>
      </c>
      <c r="F873" s="4" t="n">
        <v>3</v>
      </c>
      <c r="G873" t="inlineStr">
        <is>
          <t>Tennis Alberta</t>
        </is>
      </c>
      <c r="H873" t="inlineStr">
        <is>
          <t>Derrick Golf &amp; Winter Club</t>
        </is>
      </c>
      <c r="I873" t="n">
        <v>37.1</v>
      </c>
      <c r="J873" s="4" t="n">
        <v>51</v>
      </c>
      <c r="K873" t="inlineStr">
        <is>
          <t>13 / 38</t>
        </is>
      </c>
      <c r="L873" t="inlineStr">
        <is>
          <t>3 / 5</t>
        </is>
      </c>
      <c r="M873" s="5" t="n">
        <v>0.25</v>
      </c>
      <c r="N873" s="5" t="n">
        <v>0.38</v>
      </c>
    </row>
    <row r="874">
      <c r="A874" t="n">
        <v>873</v>
      </c>
      <c r="B874" t="n">
        <v>2015</v>
      </c>
      <c r="C874" t="inlineStr">
        <is>
          <t>Maya Clara Shakra</t>
        </is>
      </c>
      <c r="D874">
        <f>HYPERLINK("https://ota.tournamentsoftware.com/player-profile/50FA5A17-1808-42C0-B8C3-34766E9151A2", "Link")</f>
        <v/>
      </c>
      <c r="E874" s="3" t="n">
        <v>3.888</v>
      </c>
      <c r="F874" s="4" t="n">
        <v>1</v>
      </c>
      <c r="G874" t="inlineStr">
        <is>
          <t>Ontario Tennis Association</t>
        </is>
      </c>
      <c r="H874" t="inlineStr">
        <is>
          <t>Toronto Tennis Academy</t>
        </is>
      </c>
      <c r="I874" t="inlineStr">
        <is>
          <t>unavailable</t>
        </is>
      </c>
      <c r="J874" s="4" t="n">
        <v>44</v>
      </c>
      <c r="K874" t="inlineStr">
        <is>
          <t>14 / 30</t>
        </is>
      </c>
      <c r="L874" t="inlineStr">
        <is>
          <t>3 / 6</t>
        </is>
      </c>
      <c r="M874" s="5" t="n">
        <v>0.32</v>
      </c>
      <c r="N874" s="5" t="n">
        <v>0.33</v>
      </c>
    </row>
    <row r="875">
      <c r="A875" t="n">
        <v>873</v>
      </c>
      <c r="B875" t="n">
        <v>2016</v>
      </c>
      <c r="C875" t="inlineStr">
        <is>
          <t>Yuxuan Niu</t>
        </is>
      </c>
      <c r="D875">
        <f>HYPERLINK("https://ota.tournamentsoftware.com/player-profile/49C2723D-DBBA-48CA-B20D-69A550E45FB4", "Link")</f>
        <v/>
      </c>
      <c r="E875" s="3" t="n">
        <v>3.888</v>
      </c>
      <c r="F875" s="4" t="n">
        <v>2</v>
      </c>
      <c r="G875" t="inlineStr">
        <is>
          <t>Ontario Tennis Association</t>
        </is>
      </c>
      <c r="H875" t="inlineStr">
        <is>
          <t>Premier Racquet Clubs – Mississauga</t>
        </is>
      </c>
      <c r="I875" t="inlineStr">
        <is>
          <t>unavailable</t>
        </is>
      </c>
      <c r="J875" s="4" t="n">
        <v>19</v>
      </c>
      <c r="K875" t="inlineStr">
        <is>
          <t>13 / 6</t>
        </is>
      </c>
      <c r="L875" t="inlineStr">
        <is>
          <t>13 / 6</t>
        </is>
      </c>
      <c r="M875" s="5" t="n">
        <v>0.68</v>
      </c>
      <c r="N875" s="5" t="n">
        <v>0.68</v>
      </c>
    </row>
    <row r="876">
      <c r="A876" t="n">
        <v>873</v>
      </c>
      <c r="B876" t="n">
        <v>2015</v>
      </c>
      <c r="C876" t="inlineStr">
        <is>
          <t>Olivia Franchi</t>
        </is>
      </c>
      <c r="D876">
        <f>HYPERLINK("https://ota.tournamentsoftware.com/player-profile/71DEE53D-92D1-4C5D-A9AE-0F02860DD189", "Link")</f>
        <v/>
      </c>
      <c r="E876" s="3" t="n">
        <v>3.888</v>
      </c>
      <c r="F876" s="4" t="n">
        <v>1</v>
      </c>
      <c r="G876" t="inlineStr">
        <is>
          <t>Ontario Tennis Association</t>
        </is>
      </c>
      <c r="H876" t="inlineStr">
        <is>
          <t>Barrie North Winter Tennis</t>
        </is>
      </c>
      <c r="I876" t="n">
        <v>37.6</v>
      </c>
      <c r="J876" s="4" t="n">
        <v>14</v>
      </c>
      <c r="K876" t="inlineStr">
        <is>
          <t>0 / 14</t>
        </is>
      </c>
      <c r="L876" t="inlineStr">
        <is>
          <t>0 / 2</t>
        </is>
      </c>
      <c r="M876" s="5" t="n">
        <v>0</v>
      </c>
      <c r="N876" s="5" t="n">
        <v>0</v>
      </c>
    </row>
    <row r="877">
      <c r="A877" t="n">
        <v>873</v>
      </c>
      <c r="B877" t="n">
        <v>2017</v>
      </c>
      <c r="C877" t="inlineStr">
        <is>
          <t>Nysa Iyer</t>
        </is>
      </c>
      <c r="D877">
        <f>HYPERLINK("https://ota.tournamentsoftware.com/player-profile/7133F3A1-6724-4B35-BBF9-2DFB20E0D933", "Link")</f>
        <v/>
      </c>
      <c r="E877" s="3" t="n">
        <v>3.888</v>
      </c>
      <c r="F877" s="4" t="n">
        <v>3</v>
      </c>
      <c r="G877" t="inlineStr">
        <is>
          <t>Tennis Alberta</t>
        </is>
      </c>
      <c r="H877" t="inlineStr">
        <is>
          <t>No Club</t>
        </is>
      </c>
      <c r="I877" t="n">
        <v>38.1</v>
      </c>
      <c r="J877" s="4" t="n">
        <v>65</v>
      </c>
      <c r="K877" t="inlineStr">
        <is>
          <t>32 / 33</t>
        </is>
      </c>
      <c r="L877" t="inlineStr">
        <is>
          <t>15 / 12</t>
        </is>
      </c>
      <c r="M877" s="5" t="n">
        <v>0.49</v>
      </c>
      <c r="N877" s="5" t="n">
        <v>0.5600000000000001</v>
      </c>
    </row>
    <row r="878">
      <c r="A878" t="n">
        <v>873</v>
      </c>
      <c r="B878" t="n">
        <v>2015</v>
      </c>
      <c r="C878" t="inlineStr">
        <is>
          <t>JIAYI LIN</t>
        </is>
      </c>
      <c r="D878">
        <f>HYPERLINK("https://ota.tournamentsoftware.com/player-profile/9025A036-DFDA-4A69-B03F-EEE43D14A3C3", "Link")</f>
        <v/>
      </c>
      <c r="E878" s="3" t="n">
        <v>3.888</v>
      </c>
      <c r="F878" s="4" t="n">
        <v>1</v>
      </c>
      <c r="G878" t="inlineStr">
        <is>
          <t>Ontario Tennis Association</t>
        </is>
      </c>
      <c r="H878" t="inlineStr">
        <is>
          <t>Mayfair Parkway Racquet Club</t>
        </is>
      </c>
      <c r="I878" t="n">
        <v>39.5</v>
      </c>
      <c r="J878" s="4" t="n">
        <v>2</v>
      </c>
      <c r="K878" t="inlineStr">
        <is>
          <t>0 / 2</t>
        </is>
      </c>
      <c r="L878" t="inlineStr">
        <is>
          <t>0 / 2</t>
        </is>
      </c>
      <c r="M878" s="5" t="n">
        <v>0</v>
      </c>
      <c r="N878" s="5" t="n">
        <v>0</v>
      </c>
    </row>
    <row r="879">
      <c r="A879" t="n">
        <v>873</v>
      </c>
      <c r="B879" t="n">
        <v>2013</v>
      </c>
      <c r="C879" t="inlineStr">
        <is>
          <t>Amy Duo</t>
        </is>
      </c>
      <c r="D879">
        <f>HYPERLINK("https://ota.tournamentsoftware.com/player-profile/71495656-F9AD-402C-B368-62609F5D70B9", "Link")</f>
        <v/>
      </c>
      <c r="E879" s="3" t="n">
        <v>3.888</v>
      </c>
      <c r="F879" s="4" t="n">
        <v>1</v>
      </c>
      <c r="G879" t="inlineStr">
        <is>
          <t>British Columbia</t>
        </is>
      </c>
      <c r="H879" t="inlineStr">
        <is>
          <t>North Shore Winter Club</t>
        </is>
      </c>
      <c r="I879" t="inlineStr">
        <is>
          <t>unavailable</t>
        </is>
      </c>
      <c r="J879" s="4" t="n">
        <v>29</v>
      </c>
      <c r="K879" t="inlineStr">
        <is>
          <t>10 / 19</t>
        </is>
      </c>
      <c r="L879" t="inlineStr">
        <is>
          <t>2 / 2</t>
        </is>
      </c>
      <c r="M879" s="5" t="n">
        <v>0.34</v>
      </c>
      <c r="N879" s="5" t="n">
        <v>0.5</v>
      </c>
    </row>
    <row r="880">
      <c r="A880" t="n">
        <v>873</v>
      </c>
      <c r="B880" t="n">
        <v>2014</v>
      </c>
      <c r="C880" t="inlineStr">
        <is>
          <t>Yanxi Chen</t>
        </is>
      </c>
      <c r="D880">
        <f>HYPERLINK("https://ota.tournamentsoftware.com/player-profile/E6571B14-6651-4CD3-A420-8263947DBA1E", "Link")</f>
        <v/>
      </c>
      <c r="E880" s="3" t="n">
        <v>3.888</v>
      </c>
      <c r="F880" s="4" t="n">
        <v>1</v>
      </c>
      <c r="G880" t="inlineStr">
        <is>
          <t>British Columbia</t>
        </is>
      </c>
      <c r="H880" t="inlineStr">
        <is>
          <t>West Vancouver Tennis Club</t>
        </is>
      </c>
      <c r="I880" t="n">
        <v>38.6</v>
      </c>
      <c r="J880" s="4" t="n">
        <v>10</v>
      </c>
      <c r="K880" t="inlineStr">
        <is>
          <t>5 / 5</t>
        </is>
      </c>
      <c r="L880" t="inlineStr">
        <is>
          <t>3 / 3</t>
        </is>
      </c>
      <c r="M880" s="5" t="n">
        <v>0.5</v>
      </c>
      <c r="N880" s="5" t="n">
        <v>0.5</v>
      </c>
    </row>
    <row r="881">
      <c r="A881" t="n">
        <v>880</v>
      </c>
      <c r="B881" t="n">
        <v>2014</v>
      </c>
      <c r="C881" t="inlineStr">
        <is>
          <t>Charlotte Lanthier</t>
        </is>
      </c>
      <c r="D881">
        <f>HYPERLINK("https://ota.tournamentsoftware.com/player-profile/930A92EC-BBE2-40FD-8684-CB6F18EAD19A", "Link")</f>
        <v/>
      </c>
      <c r="E881" s="3" t="n">
        <v>3.758</v>
      </c>
      <c r="F881" s="4" t="n">
        <v>5</v>
      </c>
      <c r="G881" t="inlineStr">
        <is>
          <t>Tennis Québec</t>
        </is>
      </c>
      <c r="H881" t="inlineStr">
        <is>
          <t>EB Tennis inc.</t>
        </is>
      </c>
      <c r="I881" t="n">
        <v>39.6</v>
      </c>
      <c r="J881" s="4" t="n">
        <v>6</v>
      </c>
      <c r="K881" t="inlineStr">
        <is>
          <t>0 / 6</t>
        </is>
      </c>
      <c r="L881" t="inlineStr">
        <is>
          <t>0 / 4</t>
        </is>
      </c>
      <c r="M881" s="5" t="n">
        <v>0</v>
      </c>
      <c r="N881" s="5" t="n">
        <v>0</v>
      </c>
    </row>
    <row r="882">
      <c r="A882" t="n">
        <v>880</v>
      </c>
      <c r="B882" t="n">
        <v>2015</v>
      </c>
      <c r="C882" t="inlineStr">
        <is>
          <t>Tamara Skayem</t>
        </is>
      </c>
      <c r="D882">
        <f>HYPERLINK("https://ota.tournamentsoftware.com/player-profile/C90206C3-DC6E-4BE3-938F-C8608F20CDD6", "Link")</f>
        <v/>
      </c>
      <c r="E882" s="3" t="n">
        <v>3.758</v>
      </c>
      <c r="F882" s="4" t="n">
        <v>1</v>
      </c>
      <c r="G882" t="inlineStr">
        <is>
          <t>Tennis Québec</t>
        </is>
      </c>
      <c r="H882" t="inlineStr">
        <is>
          <t>No Club</t>
        </is>
      </c>
      <c r="I882" t="inlineStr">
        <is>
          <t>unavailable</t>
        </is>
      </c>
      <c r="J882" s="4" t="n">
        <v>0</v>
      </c>
      <c r="K882" t="inlineStr">
        <is>
          <t>0 / 0</t>
        </is>
      </c>
      <c r="L882" t="inlineStr">
        <is>
          <t>0 / 0</t>
        </is>
      </c>
      <c r="M882" s="5" t="n">
        <v>0</v>
      </c>
      <c r="N882" s="5" t="n">
        <v>0</v>
      </c>
    </row>
    <row r="883">
      <c r="A883" t="n">
        <v>882</v>
      </c>
      <c r="B883" t="n">
        <v>2013</v>
      </c>
      <c r="C883" t="inlineStr">
        <is>
          <t>Apphia Anderson</t>
        </is>
      </c>
      <c r="D883">
        <f>HYPERLINK("https://ota.tournamentsoftware.com/player-profile/557E4D67-D9E9-47B3-800F-DB2194C8FCA3", "Link")</f>
        <v/>
      </c>
      <c r="E883" s="3" t="n">
        <v>3.629</v>
      </c>
      <c r="F883" s="4" t="n">
        <v>2</v>
      </c>
      <c r="G883" t="inlineStr">
        <is>
          <t>Tennis Alberta</t>
        </is>
      </c>
      <c r="H883" t="inlineStr">
        <is>
          <t>No Club</t>
        </is>
      </c>
      <c r="I883" t="inlineStr">
        <is>
          <t>unavailable</t>
        </is>
      </c>
      <c r="J883" s="4" t="n">
        <v>3</v>
      </c>
      <c r="K883" t="inlineStr">
        <is>
          <t>0 / 3</t>
        </is>
      </c>
      <c r="L883" t="inlineStr">
        <is>
          <t>0 / 3</t>
        </is>
      </c>
      <c r="M883" s="5" t="n">
        <v>0</v>
      </c>
      <c r="N883" s="5" t="n">
        <v>0</v>
      </c>
    </row>
    <row r="884">
      <c r="A884" t="n">
        <v>882</v>
      </c>
      <c r="B884" t="n">
        <v>2014</v>
      </c>
      <c r="C884" t="inlineStr">
        <is>
          <t>Kaira Ankit Arora</t>
        </is>
      </c>
      <c r="D884">
        <f>HYPERLINK("https://ota.tournamentsoftware.com/player-profile/48CDC473-6B50-4781-BB3F-2B72F12C6320", "Link")</f>
        <v/>
      </c>
      <c r="E884" s="3" t="n">
        <v>3.629</v>
      </c>
      <c r="F884" s="4" t="n">
        <v>1</v>
      </c>
      <c r="G884" t="inlineStr">
        <is>
          <t>Ontario Tennis Association</t>
        </is>
      </c>
      <c r="H884" t="inlineStr">
        <is>
          <t>Mohawk Tennis Club</t>
        </is>
      </c>
      <c r="I884" t="n">
        <v>39.1</v>
      </c>
      <c r="J884" s="4" t="n">
        <v>23</v>
      </c>
      <c r="K884" t="inlineStr">
        <is>
          <t>2 / 21</t>
        </is>
      </c>
      <c r="L884" t="inlineStr">
        <is>
          <t>0 / 0</t>
        </is>
      </c>
      <c r="M884" s="5" t="n">
        <v>0.09</v>
      </c>
      <c r="N884" s="5" t="n">
        <v>0</v>
      </c>
    </row>
    <row r="885">
      <c r="A885" t="n">
        <v>882</v>
      </c>
      <c r="B885" t="n">
        <v>2014</v>
      </c>
      <c r="C885" t="inlineStr">
        <is>
          <t>Cindy Chai</t>
        </is>
      </c>
      <c r="D885">
        <f>HYPERLINK("https://ota.tournamentsoftware.com/player-profile/1777FA49-1C9D-4D7D-AF29-8B5B024F1F30", "Link")</f>
        <v/>
      </c>
      <c r="E885" s="3" t="n">
        <v>3.629</v>
      </c>
      <c r="F885" s="4" t="n">
        <v>1</v>
      </c>
      <c r="G885" t="inlineStr">
        <is>
          <t>Ontario Tennis Association</t>
        </is>
      </c>
      <c r="H885" t="inlineStr">
        <is>
          <t>Ontario Racquet Club</t>
        </is>
      </c>
      <c r="I885" t="inlineStr">
        <is>
          <t>unavailable</t>
        </is>
      </c>
      <c r="J885" s="4" t="n">
        <v>8</v>
      </c>
      <c r="K885" t="inlineStr">
        <is>
          <t>3 / 5</t>
        </is>
      </c>
      <c r="L885" t="inlineStr">
        <is>
          <t>3 / 3</t>
        </is>
      </c>
      <c r="M885" s="5" t="n">
        <v>0.38</v>
      </c>
      <c r="N885" s="5" t="n">
        <v>0.5</v>
      </c>
    </row>
    <row r="886">
      <c r="A886" t="n">
        <v>885</v>
      </c>
      <c r="B886" t="n">
        <v>2015</v>
      </c>
      <c r="C886" t="inlineStr">
        <is>
          <t>Lea Youssef</t>
        </is>
      </c>
      <c r="D886">
        <f>HYPERLINK("https://ota.tournamentsoftware.com/player-profile/DC3DBF03-8EF5-4959-B08E-EE226DB25DE6", "Link")</f>
        <v/>
      </c>
      <c r="E886" s="3" t="n">
        <v>3.471</v>
      </c>
      <c r="F886" s="4" t="n">
        <v>1</v>
      </c>
      <c r="G886" t="inlineStr">
        <is>
          <t>Tennis Québec</t>
        </is>
      </c>
      <c r="H886" t="inlineStr">
        <is>
          <t>Tennis 13</t>
        </is>
      </c>
      <c r="I886" t="inlineStr">
        <is>
          <t>unavailable</t>
        </is>
      </c>
      <c r="J886" s="4" t="n">
        <v>2</v>
      </c>
      <c r="K886" t="inlineStr">
        <is>
          <t>0 / 2</t>
        </is>
      </c>
      <c r="L886" t="inlineStr">
        <is>
          <t>0 / 2</t>
        </is>
      </c>
      <c r="M886" s="5" t="n">
        <v>0</v>
      </c>
      <c r="N886" s="5" t="n">
        <v>0</v>
      </c>
    </row>
    <row r="887">
      <c r="A887" t="n">
        <v>886</v>
      </c>
      <c r="B887" t="n">
        <v>2012</v>
      </c>
      <c r="C887" t="inlineStr">
        <is>
          <t>Hannah Grace Burrows</t>
        </is>
      </c>
      <c r="D887">
        <f>HYPERLINK("https://ota.tournamentsoftware.com/player-profile/A4FFA0A4-EAE7-43E6-AF92-E22114BE5D8B", "Link")</f>
        <v/>
      </c>
      <c r="E887" s="3" t="n">
        <v>3.421</v>
      </c>
      <c r="F887" s="4" t="n">
        <v>2</v>
      </c>
      <c r="G887" t="inlineStr">
        <is>
          <t>Tennis Alberta</t>
        </is>
      </c>
      <c r="H887" t="inlineStr">
        <is>
          <t>The Glencoe Club</t>
        </is>
      </c>
      <c r="I887" t="n">
        <v>38.8</v>
      </c>
      <c r="J887" s="4" t="n">
        <v>28</v>
      </c>
      <c r="K887" t="inlineStr">
        <is>
          <t>6 / 22</t>
        </is>
      </c>
      <c r="L887" t="inlineStr">
        <is>
          <t>0 / 2</t>
        </is>
      </c>
      <c r="M887" s="5" t="n">
        <v>0.21</v>
      </c>
      <c r="N887" s="5" t="n">
        <v>0</v>
      </c>
    </row>
    <row r="888">
      <c r="A888" t="n">
        <v>887</v>
      </c>
      <c r="B888" t="n">
        <v>2016</v>
      </c>
      <c r="C888" t="inlineStr">
        <is>
          <t>Bella Huang</t>
        </is>
      </c>
      <c r="D888">
        <f>HYPERLINK("https://ota.tournamentsoftware.com/player-profile/468B6432-F842-48F8-9A02-3A80761D962B", "Link")</f>
        <v/>
      </c>
      <c r="E888" s="3" t="n">
        <v>3.24</v>
      </c>
      <c r="F888" s="4" t="n">
        <v>1</v>
      </c>
      <c r="G888" t="inlineStr">
        <is>
          <t>British Columbia</t>
        </is>
      </c>
      <c r="H888" t="inlineStr">
        <is>
          <t>Richmond Country Club</t>
        </is>
      </c>
      <c r="I888" t="n">
        <v>38.1</v>
      </c>
      <c r="J888" s="4" t="n">
        <v>33</v>
      </c>
      <c r="K888" t="inlineStr">
        <is>
          <t>10 / 23</t>
        </is>
      </c>
      <c r="L888" t="inlineStr">
        <is>
          <t>2 / 3</t>
        </is>
      </c>
      <c r="M888" s="5" t="n">
        <v>0.3</v>
      </c>
      <c r="N888" s="5" t="n">
        <v>0.4</v>
      </c>
    </row>
    <row r="889">
      <c r="A889" t="n">
        <v>887</v>
      </c>
      <c r="B889" t="n">
        <v>2016</v>
      </c>
      <c r="C889" t="inlineStr">
        <is>
          <t>Jaclyn Zhang</t>
        </is>
      </c>
      <c r="D889">
        <f>HYPERLINK("https://ota.tournamentsoftware.com/player-profile/E6E9780C-ACDE-4CFD-B134-4984C266BCEB", "Link")</f>
        <v/>
      </c>
      <c r="E889" s="3" t="n">
        <v>3.24</v>
      </c>
      <c r="F889" s="4" t="n">
        <v>3</v>
      </c>
      <c r="G889" t="inlineStr">
        <is>
          <t>British Columbia</t>
        </is>
      </c>
      <c r="H889" t="inlineStr">
        <is>
          <t>UBC Tennis Centre</t>
        </is>
      </c>
      <c r="I889" t="n">
        <v>39.1</v>
      </c>
      <c r="J889" s="4" t="n">
        <v>71</v>
      </c>
      <c r="K889" t="inlineStr">
        <is>
          <t>42 / 29</t>
        </is>
      </c>
      <c r="L889" t="inlineStr">
        <is>
          <t>16 / 17</t>
        </is>
      </c>
      <c r="M889" s="5" t="n">
        <v>0.59</v>
      </c>
      <c r="N889" s="5" t="n">
        <v>0.48</v>
      </c>
    </row>
    <row r="890">
      <c r="A890" t="n">
        <v>889</v>
      </c>
      <c r="B890" t="n">
        <v>2015</v>
      </c>
      <c r="C890" t="inlineStr">
        <is>
          <t>Ruhi Juneja</t>
        </is>
      </c>
      <c r="D890">
        <f>HYPERLINK("https://ota.tournamentsoftware.com/player-profile/E7A03006-4960-4A35-8B80-22CB122EB413", "Link")</f>
        <v/>
      </c>
      <c r="E890" s="3" t="n">
        <v>3.165</v>
      </c>
      <c r="F890" s="4" t="n">
        <v>4</v>
      </c>
      <c r="G890" t="inlineStr">
        <is>
          <t>Tennis Alberta</t>
        </is>
      </c>
      <c r="H890" t="inlineStr">
        <is>
          <t>IQ Tennis and Pickleball Centre</t>
        </is>
      </c>
      <c r="I890" t="n">
        <v>40</v>
      </c>
      <c r="J890" s="4" t="n">
        <v>8</v>
      </c>
      <c r="K890" t="inlineStr">
        <is>
          <t>1 / 7</t>
        </is>
      </c>
      <c r="L890" t="inlineStr">
        <is>
          <t>1 / 7</t>
        </is>
      </c>
      <c r="M890" s="5" t="n">
        <v>0.12</v>
      </c>
      <c r="N890" s="5" t="n">
        <v>0.12</v>
      </c>
    </row>
    <row r="891">
      <c r="A891" t="n">
        <v>890</v>
      </c>
      <c r="B891" t="n">
        <v>2014</v>
      </c>
      <c r="C891" t="inlineStr">
        <is>
          <t>Amaara Bhardwaj</t>
        </is>
      </c>
      <c r="D891">
        <f>HYPERLINK("https://ota.tournamentsoftware.com/player-profile/5E30A7A6-4E75-4094-9C50-E36BC2D57510", "Link")</f>
        <v/>
      </c>
      <c r="E891" s="3" t="n">
        <v>3.098</v>
      </c>
      <c r="F891" s="4" t="n">
        <v>1</v>
      </c>
      <c r="G891" t="inlineStr">
        <is>
          <t>British Columbia</t>
        </is>
      </c>
      <c r="H891" t="inlineStr">
        <is>
          <t>No Club</t>
        </is>
      </c>
      <c r="I891" t="n">
        <v>39.7</v>
      </c>
      <c r="J891" s="4" t="n">
        <v>15</v>
      </c>
      <c r="K891" t="inlineStr">
        <is>
          <t>7 / 8</t>
        </is>
      </c>
      <c r="L891" t="inlineStr">
        <is>
          <t>0 / 2</t>
        </is>
      </c>
      <c r="M891" s="5" t="n">
        <v>0.47</v>
      </c>
      <c r="N891" s="5" t="n">
        <v>0</v>
      </c>
    </row>
    <row r="892">
      <c r="A892" t="n">
        <v>891</v>
      </c>
      <c r="B892" t="n">
        <v>2014</v>
      </c>
      <c r="C892" t="inlineStr">
        <is>
          <t>Arianna Shiyong Zhang</t>
        </is>
      </c>
      <c r="D892">
        <f>HYPERLINK("https://ota.tournamentsoftware.com/player-profile/534D64C5-0604-4070-B56D-0E5A49B9F850", "Link")</f>
        <v/>
      </c>
      <c r="E892" s="3" t="n">
        <v>3.075</v>
      </c>
      <c r="F892" s="4" t="n">
        <v>1</v>
      </c>
      <c r="G892" t="inlineStr">
        <is>
          <t>British Columbia</t>
        </is>
      </c>
      <c r="H892" t="inlineStr">
        <is>
          <t>Hollyburn Country Club</t>
        </is>
      </c>
      <c r="I892" t="inlineStr">
        <is>
          <t>unavailable</t>
        </is>
      </c>
      <c r="J892" s="4" t="n">
        <v>34</v>
      </c>
      <c r="K892" t="inlineStr">
        <is>
          <t>13 / 21</t>
        </is>
      </c>
      <c r="L892" t="inlineStr">
        <is>
          <t>0 / 0</t>
        </is>
      </c>
      <c r="M892" s="5" t="n">
        <v>0.38</v>
      </c>
      <c r="N892" s="5" t="n">
        <v>0</v>
      </c>
    </row>
    <row r="893">
      <c r="A893" t="n">
        <v>892</v>
      </c>
      <c r="B893" t="n">
        <v>2014</v>
      </c>
      <c r="C893" t="inlineStr">
        <is>
          <t>Evelyn Jewell Rautenbach</t>
        </is>
      </c>
      <c r="D893">
        <f>HYPERLINK("https://ota.tournamentsoftware.com/player-profile/867F5D6A-BB9A-4FEB-A95E-565609563C13", "Link")</f>
        <v/>
      </c>
      <c r="E893" s="3" t="n">
        <v>2.618</v>
      </c>
      <c r="F893" s="4" t="n">
        <v>2</v>
      </c>
      <c r="G893" t="inlineStr">
        <is>
          <t>Tennis Alberta</t>
        </is>
      </c>
      <c r="H893" t="inlineStr">
        <is>
          <t>The Glencoe Club</t>
        </is>
      </c>
      <c r="I893" t="n">
        <v>36.6</v>
      </c>
      <c r="J893" s="4" t="n">
        <v>34</v>
      </c>
      <c r="K893" t="inlineStr">
        <is>
          <t>14 / 20</t>
        </is>
      </c>
      <c r="L893" t="inlineStr">
        <is>
          <t>1 / 1</t>
        </is>
      </c>
      <c r="M893" s="5" t="n">
        <v>0.41</v>
      </c>
      <c r="N893" s="5" t="n">
        <v>0.5</v>
      </c>
    </row>
    <row r="894">
      <c r="A894" t="n">
        <v>893</v>
      </c>
      <c r="B894" t="n">
        <v>2014</v>
      </c>
      <c r="C894" t="inlineStr">
        <is>
          <t>Frances Fletcher</t>
        </is>
      </c>
      <c r="D894">
        <f>HYPERLINK("https://ota.tournamentsoftware.com/player-profile/67CBECB7-306E-4C07-AB72-7C9F967F74F1", "Link")</f>
        <v/>
      </c>
      <c r="E894" s="3" t="n">
        <v>2.431</v>
      </c>
      <c r="F894" s="4" t="n">
        <v>2</v>
      </c>
      <c r="G894" t="inlineStr">
        <is>
          <t>Tennis Québec</t>
        </is>
      </c>
      <c r="H894" t="inlineStr">
        <is>
          <t>Club Sportif Côte-de-Liesse</t>
        </is>
      </c>
      <c r="I894" t="n">
        <v>37.8</v>
      </c>
      <c r="J894" s="4" t="n">
        <v>3</v>
      </c>
      <c r="K894" t="inlineStr">
        <is>
          <t>1 / 2</t>
        </is>
      </c>
      <c r="L894" t="inlineStr">
        <is>
          <t>1 / 2</t>
        </is>
      </c>
      <c r="M894" s="5" t="n">
        <v>0.33</v>
      </c>
      <c r="N894" s="5" t="n">
        <v>0.33</v>
      </c>
    </row>
    <row r="895">
      <c r="A895" t="n">
        <v>894</v>
      </c>
      <c r="B895" t="n">
        <v>2016</v>
      </c>
      <c r="C895" t="inlineStr">
        <is>
          <t>Ella Luo</t>
        </is>
      </c>
      <c r="D895">
        <f>HYPERLINK("https://ota.tournamentsoftware.com/player-profile/3031CAE1-D7FD-42C8-B04F-2247B30476FE", "Link")</f>
        <v/>
      </c>
      <c r="E895" s="3" t="n">
        <v>2.419</v>
      </c>
      <c r="F895" s="4" t="n">
        <v>2</v>
      </c>
      <c r="G895" t="inlineStr">
        <is>
          <t>Tennis Alberta</t>
        </is>
      </c>
      <c r="H895" t="inlineStr">
        <is>
          <t>Saville Community Sports Centre</t>
        </is>
      </c>
      <c r="I895" t="n">
        <v>38.3</v>
      </c>
      <c r="J895" s="4" t="n">
        <v>30</v>
      </c>
      <c r="K895" t="inlineStr">
        <is>
          <t>12 / 18</t>
        </is>
      </c>
      <c r="L895" t="inlineStr">
        <is>
          <t>12 / 14</t>
        </is>
      </c>
      <c r="M895" s="5" t="n">
        <v>0.4</v>
      </c>
      <c r="N895" s="5" t="n">
        <v>0.46</v>
      </c>
    </row>
    <row r="896">
      <c r="A896" t="n">
        <v>895</v>
      </c>
      <c r="B896" t="n">
        <v>2015</v>
      </c>
      <c r="C896" t="inlineStr">
        <is>
          <t>Claire Sattar</t>
        </is>
      </c>
      <c r="D896">
        <f>HYPERLINK("https://ota.tournamentsoftware.com/player-profile/F9E336C7-A13D-430E-A056-C66EFFC2A0D5", "Link")</f>
        <v/>
      </c>
      <c r="E896" s="3" t="n">
        <v>2.403</v>
      </c>
      <c r="F896" s="4" t="n">
        <v>3</v>
      </c>
      <c r="G896" t="inlineStr">
        <is>
          <t>British Columbia</t>
        </is>
      </c>
      <c r="H896" t="inlineStr">
        <is>
          <t>Great West Fitness and Racquets Club</t>
        </is>
      </c>
      <c r="I896" t="inlineStr">
        <is>
          <t>unavailable</t>
        </is>
      </c>
      <c r="J896" s="4" t="n">
        <v>36</v>
      </c>
      <c r="K896" t="inlineStr">
        <is>
          <t>10 / 26</t>
        </is>
      </c>
      <c r="L896" t="inlineStr">
        <is>
          <t>0 / 2</t>
        </is>
      </c>
      <c r="M896" s="5" t="n">
        <v>0.28</v>
      </c>
      <c r="N896" s="5" t="n">
        <v>0</v>
      </c>
    </row>
    <row r="897">
      <c r="A897" t="n">
        <v>895</v>
      </c>
      <c r="B897" t="n">
        <v>2014</v>
      </c>
      <c r="C897" t="inlineStr">
        <is>
          <t>Danika Masi</t>
        </is>
      </c>
      <c r="D897">
        <f>HYPERLINK("https://ota.tournamentsoftware.com/player-profile/9FA580FC-05F1-4060-AF06-7AAC23F8ED24", "Link")</f>
        <v/>
      </c>
      <c r="E897" s="3" t="n">
        <v>2.403</v>
      </c>
      <c r="F897" s="4" t="n">
        <v>1</v>
      </c>
      <c r="G897" t="inlineStr">
        <is>
          <t>British Columbia</t>
        </is>
      </c>
      <c r="H897" t="inlineStr">
        <is>
          <t>Suncoast Racquet Club</t>
        </is>
      </c>
      <c r="I897" t="n">
        <v>39.3</v>
      </c>
      <c r="J897" s="4" t="n">
        <v>26</v>
      </c>
      <c r="K897" t="inlineStr">
        <is>
          <t>17 / 9</t>
        </is>
      </c>
      <c r="L897" t="inlineStr">
        <is>
          <t>9 / 2</t>
        </is>
      </c>
      <c r="M897" s="5" t="n">
        <v>0.65</v>
      </c>
      <c r="N897" s="5" t="n">
        <v>0.82</v>
      </c>
    </row>
    <row r="898">
      <c r="A898" t="n">
        <v>897</v>
      </c>
      <c r="B898" t="n">
        <v>2015</v>
      </c>
      <c r="C898" t="inlineStr">
        <is>
          <t>Alison Kao</t>
        </is>
      </c>
      <c r="D898">
        <f>HYPERLINK("https://ota.tournamentsoftware.com/player-profile/BAEC89E7-F54C-49F7-AA56-227606797D02", "Link")</f>
        <v/>
      </c>
      <c r="E898" s="3" t="n">
        <v>2.333</v>
      </c>
      <c r="F898" s="4" t="n">
        <v>2</v>
      </c>
      <c r="G898" t="inlineStr">
        <is>
          <t>Tennis Alberta</t>
        </is>
      </c>
      <c r="H898" t="inlineStr">
        <is>
          <t>Osten &amp; Victor Alberta Tennis Centre</t>
        </is>
      </c>
      <c r="I898" t="n">
        <v>39.8</v>
      </c>
      <c r="J898" s="4" t="n">
        <v>38</v>
      </c>
      <c r="K898" t="inlineStr">
        <is>
          <t>18 / 20</t>
        </is>
      </c>
      <c r="L898" t="inlineStr">
        <is>
          <t>8 / 5</t>
        </is>
      </c>
      <c r="M898" s="5" t="n">
        <v>0.47</v>
      </c>
      <c r="N898" s="5" t="n">
        <v>0.62</v>
      </c>
    </row>
    <row r="899">
      <c r="A899" t="n">
        <v>898</v>
      </c>
      <c r="B899" t="n">
        <v>2015</v>
      </c>
      <c r="C899" t="inlineStr">
        <is>
          <t>Mischa Simone Teotico</t>
        </is>
      </c>
      <c r="D899">
        <f>HYPERLINK("https://ota.tournamentsoftware.com/player-profile/E41BBBEF-6912-4E0D-BF5C-BBB0CBC74249", "Link")</f>
        <v/>
      </c>
      <c r="E899" s="3" t="n">
        <v>2.203</v>
      </c>
      <c r="F899" s="4" t="n">
        <v>5</v>
      </c>
      <c r="G899" t="inlineStr">
        <is>
          <t>Tennis Alberta</t>
        </is>
      </c>
      <c r="H899" t="inlineStr">
        <is>
          <t>Aforza</t>
        </is>
      </c>
      <c r="I899" t="n">
        <v>39.2</v>
      </c>
      <c r="J899" s="4" t="n">
        <v>60</v>
      </c>
      <c r="K899" t="inlineStr">
        <is>
          <t>13 / 47</t>
        </is>
      </c>
      <c r="L899" t="inlineStr">
        <is>
          <t>0 / 2</t>
        </is>
      </c>
      <c r="M899" s="5" t="n">
        <v>0.22</v>
      </c>
      <c r="N899" s="5" t="n">
        <v>0</v>
      </c>
    </row>
    <row r="900">
      <c r="A900" t="n">
        <v>899</v>
      </c>
      <c r="B900" t="n">
        <v>2014</v>
      </c>
      <c r="C900" t="inlineStr">
        <is>
          <t>Mia Tan</t>
        </is>
      </c>
      <c r="D900">
        <f>HYPERLINK("https://ota.tournamentsoftware.com/player-profile/9C9A5A33-4CA6-4975-BDCD-67DA2BA4B2E9", "Link")</f>
        <v/>
      </c>
      <c r="E900" s="3" t="n">
        <v>2.202</v>
      </c>
      <c r="F900" s="4" t="n">
        <v>3</v>
      </c>
      <c r="G900" t="inlineStr">
        <is>
          <t>Tennis Alberta</t>
        </is>
      </c>
      <c r="H900" t="inlineStr">
        <is>
          <t>Osten &amp; Victor Alberta Tennis Centre</t>
        </is>
      </c>
      <c r="I900" t="n">
        <v>39.1</v>
      </c>
      <c r="J900" s="4" t="n">
        <v>3</v>
      </c>
      <c r="K900" t="inlineStr">
        <is>
          <t>1 / 2</t>
        </is>
      </c>
      <c r="L900" t="inlineStr">
        <is>
          <t>0 / 0</t>
        </is>
      </c>
      <c r="M900" s="5" t="n">
        <v>0.33</v>
      </c>
      <c r="N900" s="5" t="n">
        <v>0</v>
      </c>
    </row>
    <row r="901">
      <c r="A901" t="n">
        <v>900</v>
      </c>
      <c r="B901" t="n">
        <v>2013</v>
      </c>
      <c r="C901" t="inlineStr">
        <is>
          <t>Zelda Gwen Zenith</t>
        </is>
      </c>
      <c r="D901">
        <f>HYPERLINK("https://ota.tournamentsoftware.com/player-profile/F460E6C2-2456-43C6-B19A-E5695E232448", "Link")</f>
        <v/>
      </c>
      <c r="E901" s="3" t="n">
        <v>2.16</v>
      </c>
      <c r="F901" s="4" t="n">
        <v>1</v>
      </c>
      <c r="G901" t="inlineStr">
        <is>
          <t>Tennis Alberta</t>
        </is>
      </c>
      <c r="H901" t="inlineStr">
        <is>
          <t>No Club</t>
        </is>
      </c>
      <c r="I901" t="inlineStr">
        <is>
          <t>unavailable</t>
        </is>
      </c>
      <c r="J901" s="4" t="n">
        <v>129</v>
      </c>
      <c r="K901" t="inlineStr">
        <is>
          <t>47 / 82</t>
        </is>
      </c>
      <c r="L901" t="inlineStr">
        <is>
          <t>0 / 0</t>
        </is>
      </c>
      <c r="M901" s="5" t="n">
        <v>0.36</v>
      </c>
      <c r="N901" s="5" t="n">
        <v>0</v>
      </c>
    </row>
  </sheetData>
  <autoFilter ref="A1:N9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19.9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20.7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9585.811</v>
      </c>
      <c r="F4" s="4" t="n">
        <v>11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13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21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17.8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Victoria Koniouchine</t>
        </is>
      </c>
      <c r="D7">
        <f>HYPERLINK("https://ota.tournamentsoftware.com/player-profile/4F2575CB-84B4-4072-ABEF-7652A7E74DBA", "Link")</f>
        <v/>
      </c>
      <c r="E7" s="3" t="n">
        <v>8177</v>
      </c>
      <c r="F7" s="4" t="n">
        <v>14</v>
      </c>
      <c r="G7" t="inlineStr">
        <is>
          <t>Tennis Québec</t>
        </is>
      </c>
      <c r="H7" t="inlineStr">
        <is>
          <t>Tennis Montréal Excellence</t>
        </is>
      </c>
      <c r="I7" t="n">
        <v>20.7</v>
      </c>
      <c r="J7" s="4" t="n">
        <v>380</v>
      </c>
      <c r="K7" t="inlineStr">
        <is>
          <t>244 / 136</t>
        </is>
      </c>
      <c r="L7" t="inlineStr">
        <is>
          <t>22 / 6</t>
        </is>
      </c>
      <c r="M7" s="5" t="n">
        <v>0.64</v>
      </c>
      <c r="N7" s="5" t="n">
        <v>0.79</v>
      </c>
    </row>
    <row r="8">
      <c r="A8" t="n">
        <v>7</v>
      </c>
      <c r="B8" t="n">
        <v>2012</v>
      </c>
      <c r="C8" t="inlineStr">
        <is>
          <t>Ruijing Chen</t>
        </is>
      </c>
      <c r="D8">
        <f>HYPERLINK("https://ota.tournamentsoftware.com/player-profile/CF3F9020-5B8A-4448-8412-B206DFD70D34", "Link")</f>
        <v/>
      </c>
      <c r="E8" s="3" t="n">
        <v>8026.067</v>
      </c>
      <c r="F8" s="4" t="n">
        <v>20</v>
      </c>
      <c r="G8" t="inlineStr">
        <is>
          <t>British Columbia</t>
        </is>
      </c>
      <c r="H8" t="inlineStr">
        <is>
          <t>North Vancouver Tennis Centre</t>
        </is>
      </c>
      <c r="I8" t="n">
        <v>20.4</v>
      </c>
      <c r="J8" s="4" t="n">
        <v>272</v>
      </c>
      <c r="K8" t="inlineStr">
        <is>
          <t>158 / 114</t>
        </is>
      </c>
      <c r="L8" t="inlineStr">
        <is>
          <t>40 / 19</t>
        </is>
      </c>
      <c r="M8" s="5" t="n">
        <v>0.58</v>
      </c>
      <c r="N8" s="5" t="n">
        <v>0.68</v>
      </c>
    </row>
    <row r="9">
      <c r="A9" t="n">
        <v>8</v>
      </c>
      <c r="B9" t="n">
        <v>2012</v>
      </c>
      <c r="C9" t="inlineStr">
        <is>
          <t>Karina Swaminath</t>
        </is>
      </c>
      <c r="D9">
        <f>HYPERLINK("https://ota.tournamentsoftware.com/player-profile/4DB9D061-D74F-4482-87A3-9C7480D14EFD", "Link")</f>
        <v/>
      </c>
      <c r="E9" s="3" t="n">
        <v>7284.4</v>
      </c>
      <c r="F9" s="4" t="n">
        <v>20</v>
      </c>
      <c r="G9" t="inlineStr">
        <is>
          <t>Ontario Tennis Association</t>
        </is>
      </c>
      <c r="H9" t="inlineStr">
        <is>
          <t>Premier Racquet Clubs – Mississauga</t>
        </is>
      </c>
      <c r="I9" t="n">
        <v>20.6</v>
      </c>
      <c r="J9" s="4" t="n">
        <v>318</v>
      </c>
      <c r="K9" t="inlineStr">
        <is>
          <t>206 / 112</t>
        </is>
      </c>
      <c r="L9" t="inlineStr">
        <is>
          <t>43 / 19</t>
        </is>
      </c>
      <c r="M9" s="5" t="n">
        <v>0.65</v>
      </c>
      <c r="N9" s="5" t="n">
        <v>0.6899999999999999</v>
      </c>
    </row>
    <row r="10">
      <c r="A10" t="n">
        <v>9</v>
      </c>
      <c r="B10" t="n">
        <v>2013</v>
      </c>
      <c r="C10" t="inlineStr">
        <is>
          <t>Callie Raharinosy</t>
        </is>
      </c>
      <c r="D10">
        <f>HYPERLINK("https://ota.tournamentsoftware.com/player-profile/C3BB19C9-39F8-4DF4-A576-AAB3D92B85C3", "Link")</f>
        <v/>
      </c>
      <c r="E10" s="3" t="n">
        <v>7178.294</v>
      </c>
      <c r="F10" s="4" t="n">
        <v>13</v>
      </c>
      <c r="G10" t="inlineStr">
        <is>
          <t>Ontario Tennis Association</t>
        </is>
      </c>
      <c r="H10" t="inlineStr">
        <is>
          <t>Richmondhill Golf &amp; Country Club</t>
        </is>
      </c>
      <c r="I10" t="n">
        <v>20.7</v>
      </c>
      <c r="J10" s="4" t="n">
        <v>243</v>
      </c>
      <c r="K10" t="inlineStr">
        <is>
          <t>157 / 86</t>
        </is>
      </c>
      <c r="L10" t="inlineStr">
        <is>
          <t>26 / 11</t>
        </is>
      </c>
      <c r="M10" s="5" t="n">
        <v>0.65</v>
      </c>
      <c r="N10" s="5" t="n">
        <v>0.7</v>
      </c>
    </row>
    <row r="11">
      <c r="A11" t="n">
        <v>10</v>
      </c>
      <c r="B11" t="n">
        <v>2013</v>
      </c>
      <c r="C11" t="inlineStr">
        <is>
          <t>Olivia Ma</t>
        </is>
      </c>
      <c r="D11">
        <f>HYPERLINK("https://ota.tournamentsoftware.com/player-profile/8DB93BEF-9FF1-4A58-A4CC-C5E09482F693", "Link")</f>
        <v/>
      </c>
      <c r="E11" s="3" t="n">
        <v>6870.005</v>
      </c>
      <c r="F11" s="4" t="n">
        <v>21</v>
      </c>
      <c r="G11" t="inlineStr">
        <is>
          <t>British Columbia</t>
        </is>
      </c>
      <c r="H11" t="inlineStr">
        <is>
          <t>Kamloops Tennis Centre</t>
        </is>
      </c>
      <c r="I11" t="n">
        <v>20</v>
      </c>
      <c r="J11" s="4" t="n">
        <v>240</v>
      </c>
      <c r="K11" t="inlineStr">
        <is>
          <t>161 / 79</t>
        </is>
      </c>
      <c r="L11" t="inlineStr">
        <is>
          <t>40 / 17</t>
        </is>
      </c>
      <c r="M11" s="5" t="n">
        <v>0.67</v>
      </c>
      <c r="N11" s="5" t="n">
        <v>0.7</v>
      </c>
    </row>
    <row r="12">
      <c r="A12" t="n">
        <v>11</v>
      </c>
      <c r="B12" t="n">
        <v>2012</v>
      </c>
      <c r="C12" t="inlineStr">
        <is>
          <t>Elise Chen</t>
        </is>
      </c>
      <c r="D12">
        <f>HYPERLINK("https://ota.tournamentsoftware.com/player-profile/8E8A2CD5-37E0-4690-A780-846D1895BB0A", "Link")</f>
        <v/>
      </c>
      <c r="E12" s="3" t="n">
        <v>6210.149</v>
      </c>
      <c r="F12" s="4" t="n">
        <v>18</v>
      </c>
      <c r="G12" t="inlineStr">
        <is>
          <t>Tennis Québec</t>
        </is>
      </c>
      <c r="H12" t="inlineStr">
        <is>
          <t>AA Autre club</t>
        </is>
      </c>
      <c r="I12" t="n">
        <v>20.4</v>
      </c>
      <c r="J12" s="4" t="n">
        <v>341</v>
      </c>
      <c r="K12" t="inlineStr">
        <is>
          <t>225 / 116</t>
        </is>
      </c>
      <c r="L12" t="inlineStr">
        <is>
          <t>44 / 14</t>
        </is>
      </c>
      <c r="M12" s="5" t="n">
        <v>0.66</v>
      </c>
      <c r="N12" s="5" t="n">
        <v>0.76</v>
      </c>
    </row>
    <row r="13">
      <c r="A13" t="n">
        <v>12</v>
      </c>
      <c r="B13" t="n">
        <v>2012</v>
      </c>
      <c r="C13" t="inlineStr">
        <is>
          <t>kendra zhang</t>
        </is>
      </c>
      <c r="D13">
        <f>HYPERLINK("https://ota.tournamentsoftware.com/player-profile/23508257-17E1-4A1F-A208-90A41A8C5BC8", "Link")</f>
        <v/>
      </c>
      <c r="E13" s="3" t="n">
        <v>6085.707</v>
      </c>
      <c r="F13" s="4" t="n">
        <v>16</v>
      </c>
      <c r="G13" t="inlineStr">
        <is>
          <t>Tennis Alberta</t>
        </is>
      </c>
      <c r="H13" t="inlineStr">
        <is>
          <t>Osten &amp; Victor Alberta Tennis Centre</t>
        </is>
      </c>
      <c r="I13" t="n">
        <v>20.2</v>
      </c>
      <c r="J13" s="4" t="n">
        <v>315</v>
      </c>
      <c r="K13" t="inlineStr">
        <is>
          <t>248 / 67</t>
        </is>
      </c>
      <c r="L13" t="inlineStr">
        <is>
          <t>39 / 5</t>
        </is>
      </c>
      <c r="M13" s="5" t="n">
        <v>0.79</v>
      </c>
      <c r="N13" s="5" t="n">
        <v>0.89</v>
      </c>
    </row>
    <row r="14">
      <c r="A14" t="n">
        <v>13</v>
      </c>
      <c r="B14" t="n">
        <v>2013</v>
      </c>
      <c r="C14" t="inlineStr">
        <is>
          <t>Paris Radovic</t>
        </is>
      </c>
      <c r="D14">
        <f>HYPERLINK("https://ota.tournamentsoftware.com/player-profile/F1F29E41-D080-473C-93A3-FEF9F1122EE3", "Link")</f>
        <v/>
      </c>
      <c r="E14" s="3" t="n">
        <v>6019.129</v>
      </c>
      <c r="F14" s="4" t="n">
        <v>16</v>
      </c>
      <c r="G14" t="inlineStr">
        <is>
          <t>Ontario Tennis Association</t>
        </is>
      </c>
      <c r="H14" t="inlineStr">
        <is>
          <t>Advantage Tennis International at Veneto</t>
        </is>
      </c>
      <c r="I14" t="n">
        <v>20.7</v>
      </c>
      <c r="J14" s="4" t="n">
        <v>290</v>
      </c>
      <c r="K14" t="inlineStr">
        <is>
          <t>188 / 102</t>
        </is>
      </c>
      <c r="L14" t="inlineStr">
        <is>
          <t>32 / 12</t>
        </is>
      </c>
      <c r="M14" s="5" t="n">
        <v>0.65</v>
      </c>
      <c r="N14" s="5" t="n">
        <v>0.73</v>
      </c>
    </row>
    <row r="15">
      <c r="A15" t="n">
        <v>14</v>
      </c>
      <c r="B15" t="n">
        <v>2013</v>
      </c>
      <c r="C15" t="inlineStr">
        <is>
          <t>Urvi Singh</t>
        </is>
      </c>
      <c r="D15">
        <f>HYPERLINK("https://ota.tournamentsoftware.com/player-profile/20590827-22F8-402F-BC87-449928EE4236", "Link")</f>
        <v/>
      </c>
      <c r="E15" s="3" t="n">
        <v>5765.184</v>
      </c>
      <c r="F15" s="4" t="n">
        <v>17</v>
      </c>
      <c r="G15" t="inlineStr">
        <is>
          <t>Ontario Tennis Association</t>
        </is>
      </c>
      <c r="H15" t="inlineStr">
        <is>
          <t>Guildwood Tennis Club</t>
        </is>
      </c>
      <c r="I15" t="n">
        <v>20.2</v>
      </c>
      <c r="J15" s="4" t="n">
        <v>257</v>
      </c>
      <c r="K15" t="inlineStr">
        <is>
          <t>160 / 97</t>
        </is>
      </c>
      <c r="L15" t="inlineStr">
        <is>
          <t>32 / 15</t>
        </is>
      </c>
      <c r="M15" s="5" t="n">
        <v>0.62</v>
      </c>
      <c r="N15" s="5" t="n">
        <v>0.68</v>
      </c>
    </row>
    <row r="16">
      <c r="A16" t="n">
        <v>15</v>
      </c>
      <c r="B16" t="n">
        <v>2012</v>
      </c>
      <c r="C16" t="inlineStr">
        <is>
          <t>Emma Ciobanu</t>
        </is>
      </c>
      <c r="D16">
        <f>HYPERLINK("https://ota.tournamentsoftware.com/player-profile/3FF64A25-D930-4C5E-8E36-3F04D7602157", "Link")</f>
        <v/>
      </c>
      <c r="E16" s="3" t="n">
        <v>5377.186</v>
      </c>
      <c r="F16" s="4" t="n">
        <v>17</v>
      </c>
      <c r="G16" t="inlineStr">
        <is>
          <t>Tennis Québec</t>
        </is>
      </c>
      <c r="H16" t="inlineStr">
        <is>
          <t>No Club</t>
        </is>
      </c>
      <c r="I16" t="n">
        <v>22.1</v>
      </c>
      <c r="J16" s="4" t="n">
        <v>445</v>
      </c>
      <c r="K16" t="inlineStr">
        <is>
          <t>254 / 191</t>
        </is>
      </c>
      <c r="L16" t="inlineStr">
        <is>
          <t>12 / 9</t>
        </is>
      </c>
      <c r="M16" s="5" t="n">
        <v>0.57</v>
      </c>
      <c r="N16" s="5" t="n">
        <v>0.57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23</v>
      </c>
      <c r="G17" t="inlineStr">
        <is>
          <t>British Columbia</t>
        </is>
      </c>
      <c r="H17" t="inlineStr">
        <is>
          <t>North Vancouver Tennis Centre</t>
        </is>
      </c>
      <c r="I17" t="n">
        <v>22.2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23</v>
      </c>
      <c r="G18" t="inlineStr">
        <is>
          <t>Ontario Tennis Association</t>
        </is>
      </c>
      <c r="H18" t="inlineStr">
        <is>
          <t>North Toronto Tennis Club</t>
        </is>
      </c>
      <c r="I18" t="n">
        <v>20.9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20</v>
      </c>
      <c r="G20" t="inlineStr">
        <is>
          <t>Ontario Tennis Association</t>
        </is>
      </c>
      <c r="H20" t="inlineStr">
        <is>
          <t>10XTO</t>
        </is>
      </c>
      <c r="I20" t="n">
        <v>21.5</v>
      </c>
      <c r="J20" s="4" t="n">
        <v>342</v>
      </c>
      <c r="K20" t="inlineStr">
        <is>
          <t>236 / 106</t>
        </is>
      </c>
      <c r="L20" t="inlineStr">
        <is>
          <t>44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12</v>
      </c>
      <c r="G21" t="inlineStr">
        <is>
          <t>British Columbia</t>
        </is>
      </c>
      <c r="H21" t="inlineStr">
        <is>
          <t>Jericho Tennis Club</t>
        </is>
      </c>
      <c r="I21" t="n">
        <v>21.2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13</v>
      </c>
      <c r="G22" t="inlineStr">
        <is>
          <t>British Columbia</t>
        </is>
      </c>
      <c r="H22" t="inlineStr">
        <is>
          <t>No Club</t>
        </is>
      </c>
      <c r="I22" t="n">
        <v>21.3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22</v>
      </c>
      <c r="G23" t="inlineStr">
        <is>
          <t>Tennis Québec</t>
        </is>
      </c>
      <c r="H23" t="inlineStr">
        <is>
          <t>Tennis 13</t>
        </is>
      </c>
      <c r="I23" t="n">
        <v>22.4</v>
      </c>
      <c r="J23" s="4" t="n">
        <v>310</v>
      </c>
      <c r="K23" t="inlineStr">
        <is>
          <t>195 / 115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Tennis BC Hub @ Richmond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13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21.5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16</v>
      </c>
      <c r="G26" t="inlineStr">
        <is>
          <t>Tennis Québec</t>
        </is>
      </c>
      <c r="H26" t="inlineStr">
        <is>
          <t>Tennis Ile- des- Soeurs</t>
        </is>
      </c>
      <c r="I26" t="n">
        <v>22.5</v>
      </c>
      <c r="J26" s="4" t="n">
        <v>265</v>
      </c>
      <c r="K26" t="inlineStr">
        <is>
          <t>178 / 87</t>
        </is>
      </c>
      <c r="L26" t="inlineStr">
        <is>
          <t>42 / 16</t>
        </is>
      </c>
      <c r="M26" s="5" t="n">
        <v>0.67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12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Hailey MacDonald</t>
        </is>
      </c>
      <c r="D28">
        <f>HYPERLINK("https://ota.tournamentsoftware.com/player-profile/7B752A16-6837-4A5A-AFD8-83F950F37834", "Link")</f>
        <v/>
      </c>
      <c r="E28" s="3" t="n">
        <v>3466.484</v>
      </c>
      <c r="F28" s="4" t="n">
        <v>16</v>
      </c>
      <c r="G28" t="inlineStr">
        <is>
          <t>Ontario Tennis Association</t>
        </is>
      </c>
      <c r="H28" t="inlineStr">
        <is>
          <t>Advantage Tennis International at Veneto</t>
        </is>
      </c>
      <c r="I28" t="n">
        <v>24.5</v>
      </c>
      <c r="J28" s="4" t="n">
        <v>329</v>
      </c>
      <c r="K28" t="inlineStr">
        <is>
          <t>225 / 104</t>
        </is>
      </c>
      <c r="L28" t="inlineStr">
        <is>
          <t>23 / 9</t>
        </is>
      </c>
      <c r="M28" s="5" t="n">
        <v>0.68</v>
      </c>
      <c r="N28" s="5" t="n">
        <v>0.72</v>
      </c>
    </row>
    <row r="29">
      <c r="A29" t="n">
        <v>28</v>
      </c>
      <c r="B29" t="n">
        <v>2012</v>
      </c>
      <c r="C29" t="inlineStr">
        <is>
          <t>Victoria Cui</t>
        </is>
      </c>
      <c r="D29">
        <f>HYPERLINK("https://ota.tournamentsoftware.com/player-profile/0645977B-E01D-437B-A80F-04D3BC7B5871", "Link")</f>
        <v/>
      </c>
      <c r="E29" s="3" t="n">
        <v>3377.16</v>
      </c>
      <c r="F29" s="4" t="n">
        <v>22</v>
      </c>
      <c r="G29" t="inlineStr">
        <is>
          <t>Ontario Tennis Association</t>
        </is>
      </c>
      <c r="H29" t="inlineStr">
        <is>
          <t>Mayfair East Racquet Club</t>
        </is>
      </c>
      <c r="I29" t="n">
        <v>23.7</v>
      </c>
      <c r="J29" s="4" t="n">
        <v>251</v>
      </c>
      <c r="K29" t="inlineStr">
        <is>
          <t>160 / 91</t>
        </is>
      </c>
      <c r="L29" t="inlineStr">
        <is>
          <t>32 / 18</t>
        </is>
      </c>
      <c r="M29" s="5" t="n">
        <v>0.64</v>
      </c>
      <c r="N29" s="5" t="n">
        <v>0.64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20</v>
      </c>
      <c r="G30" t="inlineStr">
        <is>
          <t>Tennis Alberta</t>
        </is>
      </c>
      <c r="H30" t="inlineStr">
        <is>
          <t>Aforza</t>
        </is>
      </c>
      <c r="I30" t="n">
        <v>22.8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22.6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28</v>
      </c>
      <c r="G32" t="inlineStr">
        <is>
          <t>Tennis Québec</t>
        </is>
      </c>
      <c r="H32" t="inlineStr">
        <is>
          <t>SANI Sport</t>
        </is>
      </c>
      <c r="I32" t="n">
        <v>23.6</v>
      </c>
      <c r="J32" s="4" t="n">
        <v>384</v>
      </c>
      <c r="K32" t="inlineStr">
        <is>
          <t>238 / 146</t>
        </is>
      </c>
      <c r="L32" t="inlineStr">
        <is>
          <t>47 / 27</t>
        </is>
      </c>
      <c r="M32" s="5" t="n">
        <v>0.62</v>
      </c>
      <c r="N32" s="5" t="n">
        <v>0.64</v>
      </c>
    </row>
    <row r="33">
      <c r="A33" t="n">
        <v>32</v>
      </c>
      <c r="B33" t="n">
        <v>2012</v>
      </c>
      <c r="C33" t="inlineStr">
        <is>
          <t>Sophie Rachel Murray</t>
        </is>
      </c>
      <c r="D33">
        <f>HYPERLINK("https://ota.tournamentsoftware.com/player-profile/ADAA4094-7084-435C-80A6-9DA79EB19D3F", "Link")</f>
        <v/>
      </c>
      <c r="E33" s="3" t="n">
        <v>2878.56</v>
      </c>
      <c r="F33" s="4" t="n">
        <v>17</v>
      </c>
      <c r="G33" t="inlineStr">
        <is>
          <t>Tennis Alberta</t>
        </is>
      </c>
      <c r="H33" t="inlineStr">
        <is>
          <t>Osten &amp; Victor Alberta Tennis Centre</t>
        </is>
      </c>
      <c r="I33" t="n">
        <v>21.4</v>
      </c>
      <c r="J33" s="4" t="n">
        <v>322</v>
      </c>
      <c r="K33" t="inlineStr">
        <is>
          <t>194 / 128</t>
        </is>
      </c>
      <c r="L33" t="inlineStr">
        <is>
          <t>20 / 6</t>
        </is>
      </c>
      <c r="M33" s="5" t="n">
        <v>0.6</v>
      </c>
      <c r="N33" s="5" t="n">
        <v>0.77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2807.223</v>
      </c>
      <c r="F34" s="4" t="n">
        <v>23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23.6</v>
      </c>
      <c r="J34" s="4" t="n">
        <v>256</v>
      </c>
      <c r="K34" t="inlineStr">
        <is>
          <t>141 / 115</t>
        </is>
      </c>
      <c r="L34" t="inlineStr">
        <is>
          <t>40 / 27</t>
        </is>
      </c>
      <c r="M34" s="5" t="n">
        <v>0.55</v>
      </c>
      <c r="N34" s="5" t="n">
        <v>0.6</v>
      </c>
    </row>
    <row r="35">
      <c r="A35" t="n">
        <v>34</v>
      </c>
      <c r="B35" t="n">
        <v>2013</v>
      </c>
      <c r="C35" t="inlineStr">
        <is>
          <t>Valesca Calabrese</t>
        </is>
      </c>
      <c r="D35">
        <f>HYPERLINK("https://ota.tournamentsoftware.com/player-profile/B0833DD4-B006-4DA5-A204-F5A1B4F3FABB", "Link")</f>
        <v/>
      </c>
      <c r="E35" s="3" t="n">
        <v>2487.42</v>
      </c>
      <c r="F35" s="4" t="n">
        <v>24</v>
      </c>
      <c r="G35" t="inlineStr">
        <is>
          <t>Ontario Tennis Association</t>
        </is>
      </c>
      <c r="H35" t="inlineStr">
        <is>
          <t>Kingston Racquet Centre</t>
        </is>
      </c>
      <c r="I35" t="n">
        <v>24.6</v>
      </c>
      <c r="J35" s="4" t="n">
        <v>266</v>
      </c>
      <c r="K35" t="inlineStr">
        <is>
          <t>178 / 88</t>
        </is>
      </c>
      <c r="L35" t="inlineStr">
        <is>
          <t>29 / 12</t>
        </is>
      </c>
      <c r="M35" s="5" t="n">
        <v>0.67</v>
      </c>
      <c r="N35" s="5" t="n">
        <v>0.71</v>
      </c>
    </row>
    <row r="36">
      <c r="A36" t="n">
        <v>35</v>
      </c>
      <c r="B36" t="n">
        <v>2012</v>
      </c>
      <c r="C36" t="inlineStr">
        <is>
          <t>Misaki Rukovanjski</t>
        </is>
      </c>
      <c r="D36">
        <f>HYPERLINK("https://ota.tournamentsoftware.com/player-profile/CECDBF80-C74F-40ED-B426-04CA75BF14C1", "Link")</f>
        <v/>
      </c>
      <c r="E36" s="3" t="n">
        <v>2485.998</v>
      </c>
      <c r="F36" s="4" t="n">
        <v>23</v>
      </c>
      <c r="G36" t="inlineStr">
        <is>
          <t>Ontario Tennis Association</t>
        </is>
      </c>
      <c r="H36" t="inlineStr">
        <is>
          <t>No Club</t>
        </is>
      </c>
      <c r="I36" t="n">
        <v>25</v>
      </c>
      <c r="J36" s="4" t="n">
        <v>270</v>
      </c>
      <c r="K36" t="inlineStr">
        <is>
          <t>170 / 100</t>
        </is>
      </c>
      <c r="L36" t="inlineStr">
        <is>
          <t>26 / 20</t>
        </is>
      </c>
      <c r="M36" s="5" t="n">
        <v>0.63</v>
      </c>
      <c r="N36" s="5" t="n">
        <v>0.57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2464.817</v>
      </c>
      <c r="F37" s="4" t="n">
        <v>18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24.2</v>
      </c>
      <c r="J37" s="4" t="n">
        <v>175</v>
      </c>
      <c r="K37" t="inlineStr">
        <is>
          <t>93 / 82</t>
        </is>
      </c>
      <c r="L37" t="inlineStr">
        <is>
          <t>23 / 16</t>
        </is>
      </c>
      <c r="M37" s="5" t="n">
        <v>0.53</v>
      </c>
      <c r="N37" s="5" t="n">
        <v>0.59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24.4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11</v>
      </c>
      <c r="G39" t="inlineStr">
        <is>
          <t>Ontario Tennis Association</t>
        </is>
      </c>
      <c r="H39" t="inlineStr">
        <is>
          <t>Carleton Tennis Centre</t>
        </is>
      </c>
      <c r="I39" t="n">
        <v>26.8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25.2</v>
      </c>
      <c r="J40" s="4" t="n">
        <v>221</v>
      </c>
      <c r="K40" t="inlineStr">
        <is>
          <t>120 / 101</t>
        </is>
      </c>
      <c r="L40" t="inlineStr">
        <is>
          <t>23 / 16</t>
        </is>
      </c>
      <c r="M40" s="5" t="n">
        <v>0.54</v>
      </c>
      <c r="N40" s="5" t="n">
        <v>0.59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2308.904</v>
      </c>
      <c r="F41" s="4" t="n">
        <v>22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22.1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2013</v>
      </c>
      <c r="C42" t="inlineStr">
        <is>
          <t>YASMINE SOUISSI</t>
        </is>
      </c>
      <c r="D42">
        <f>HYPERLINK("https://ota.tournamentsoftware.com/player-profile/1B8E66F9-8E72-48A5-A280-1ADD14488B21", "Link")</f>
        <v/>
      </c>
      <c r="E42" s="3" t="n">
        <v>2224.521</v>
      </c>
      <c r="F42" s="4" t="n">
        <v>10</v>
      </c>
      <c r="G42" t="inlineStr">
        <is>
          <t>Tennis Québec</t>
        </is>
      </c>
      <c r="H42" t="inlineStr">
        <is>
          <t>Tennis 13</t>
        </is>
      </c>
      <c r="I42" t="n">
        <v>22.2</v>
      </c>
      <c r="J42" s="4" t="n">
        <v>248</v>
      </c>
      <c r="K42" t="inlineStr">
        <is>
          <t>167 / 81</t>
        </is>
      </c>
      <c r="L42" t="inlineStr">
        <is>
          <t>24 / 13</t>
        </is>
      </c>
      <c r="M42" s="5" t="n">
        <v>0.67</v>
      </c>
      <c r="N42" s="5" t="n">
        <v>0.65</v>
      </c>
    </row>
    <row r="43">
      <c r="A43" t="n">
        <v>42</v>
      </c>
      <c r="B43" t="n">
        <v>2014</v>
      </c>
      <c r="C43" t="inlineStr">
        <is>
          <t>Adelina Tanashikova</t>
        </is>
      </c>
      <c r="D43">
        <f>HYPERLINK("https://ota.tournamentsoftware.com/player-profile/AD7F41D2-B208-4518-963D-851BBA4276F4", "Link")</f>
        <v/>
      </c>
      <c r="E43" s="3" t="n">
        <v>2209.809</v>
      </c>
      <c r="F43" s="4" t="n">
        <v>14</v>
      </c>
      <c r="G43" t="inlineStr">
        <is>
          <t>Ontario Tennis Association</t>
        </is>
      </c>
      <c r="H43" t="inlineStr">
        <is>
          <t>No Club</t>
        </is>
      </c>
      <c r="I43" t="n">
        <v>24.4</v>
      </c>
      <c r="J43" s="4" t="n">
        <v>269</v>
      </c>
      <c r="K43" t="inlineStr">
        <is>
          <t>145 / 124</t>
        </is>
      </c>
      <c r="L43" t="inlineStr">
        <is>
          <t>28 / 7</t>
        </is>
      </c>
      <c r="M43" s="5" t="n">
        <v>0.54</v>
      </c>
      <c r="N43" s="5" t="n">
        <v>0.8</v>
      </c>
    </row>
    <row r="44">
      <c r="A44" t="n">
        <v>43</v>
      </c>
      <c r="B44" t="n">
        <v>2014</v>
      </c>
      <c r="C44" t="inlineStr">
        <is>
          <t>SOPHIA JIAJIA DENG</t>
        </is>
      </c>
      <c r="D44">
        <f>HYPERLINK("https://ota.tournamentsoftware.com/player-profile/FE6DD2AD-9E29-4128-BE09-D1E88B84D2C8", "Link")</f>
        <v/>
      </c>
      <c r="E44" s="3" t="n">
        <v>2125.702</v>
      </c>
      <c r="F44" s="4" t="n">
        <v>18</v>
      </c>
      <c r="G44" t="inlineStr">
        <is>
          <t>Ontario Tennis Association</t>
        </is>
      </c>
      <c r="H44" t="inlineStr">
        <is>
          <t>Peak Performance Tennis Academy</t>
        </is>
      </c>
      <c r="I44" t="n">
        <v>25.1</v>
      </c>
      <c r="J44" s="4" t="n">
        <v>184</v>
      </c>
      <c r="K44" t="inlineStr">
        <is>
          <t>136 / 48</t>
        </is>
      </c>
      <c r="L44" t="inlineStr">
        <is>
          <t>36 / 14</t>
        </is>
      </c>
      <c r="M44" s="5" t="n">
        <v>0.74</v>
      </c>
      <c r="N44" s="5" t="n">
        <v>0.72</v>
      </c>
    </row>
    <row r="45">
      <c r="A45" t="n">
        <v>44</v>
      </c>
      <c r="B45" t="n">
        <v>2012</v>
      </c>
      <c r="C45" t="inlineStr">
        <is>
          <t>Marilyn deBruin-Sawutz</t>
        </is>
      </c>
      <c r="D45">
        <f>HYPERLINK("https://ota.tournamentsoftware.com/player-profile/3DC26724-8571-4345-A75C-D904297288CB", "Link")</f>
        <v/>
      </c>
      <c r="E45" s="3" t="n">
        <v>2120.817</v>
      </c>
      <c r="F45" s="4" t="n">
        <v>25</v>
      </c>
      <c r="G45" t="inlineStr">
        <is>
          <t>Ontario Tennis Association</t>
        </is>
      </c>
      <c r="H45" t="inlineStr">
        <is>
          <t>Advantage Tennis International at Veneto</t>
        </is>
      </c>
      <c r="I45" t="n">
        <v>23.8</v>
      </c>
      <c r="J45" s="4" t="n">
        <v>288</v>
      </c>
      <c r="K45" t="inlineStr">
        <is>
          <t>149 / 139</t>
        </is>
      </c>
      <c r="L45" t="inlineStr">
        <is>
          <t>28 / 20</t>
        </is>
      </c>
      <c r="M45" s="5" t="n">
        <v>0.52</v>
      </c>
      <c r="N45" s="5" t="n">
        <v>0.58</v>
      </c>
    </row>
    <row r="46">
      <c r="A46" t="n">
        <v>45</v>
      </c>
      <c r="B46" t="n">
        <v>2014</v>
      </c>
      <c r="C46" t="inlineStr">
        <is>
          <t>Fiona Huang</t>
        </is>
      </c>
      <c r="D46">
        <f>HYPERLINK("https://ota.tournamentsoftware.com/player-profile/701ADA13-714A-48E5-B54F-4DB9E25DBDB3", "Link")</f>
        <v/>
      </c>
      <c r="E46" s="3" t="n">
        <v>2111.25</v>
      </c>
      <c r="F46" s="4" t="n">
        <v>15</v>
      </c>
      <c r="G46" t="inlineStr">
        <is>
          <t>British Columbia</t>
        </is>
      </c>
      <c r="H46" t="inlineStr">
        <is>
          <t>No Club</t>
        </is>
      </c>
      <c r="I46" t="n">
        <v>25.2</v>
      </c>
      <c r="J46" s="4" t="n">
        <v>223</v>
      </c>
      <c r="K46" t="inlineStr">
        <is>
          <t>142 / 81</t>
        </is>
      </c>
      <c r="L46" t="inlineStr">
        <is>
          <t>34 / 14</t>
        </is>
      </c>
      <c r="M46" s="5" t="n">
        <v>0.64</v>
      </c>
      <c r="N46" s="5" t="n">
        <v>0.71</v>
      </c>
    </row>
    <row r="47">
      <c r="A47" t="n">
        <v>46</v>
      </c>
      <c r="B47" t="n">
        <v>2014</v>
      </c>
      <c r="C47" t="inlineStr">
        <is>
          <t>Roseline Nana</t>
        </is>
      </c>
      <c r="D47">
        <f>HYPERLINK("https://ota.tournamentsoftware.com/player-profile/B0A425C4-2F23-4C29-8447-4FFBF9D90967", "Link")</f>
        <v/>
      </c>
      <c r="E47" s="3" t="n">
        <v>1993.2</v>
      </c>
      <c r="F47" s="4" t="n">
        <v>27</v>
      </c>
      <c r="G47" t="inlineStr">
        <is>
          <t>Tennis Québec</t>
        </is>
      </c>
      <c r="H47" t="inlineStr">
        <is>
          <t>Tennis Montréal Excellence</t>
        </is>
      </c>
      <c r="I47" t="n">
        <v>25</v>
      </c>
      <c r="J47" s="4" t="n">
        <v>193</v>
      </c>
      <c r="K47" t="inlineStr">
        <is>
          <t>137 / 56</t>
        </is>
      </c>
      <c r="L47" t="inlineStr">
        <is>
          <t>50 / 17</t>
        </is>
      </c>
      <c r="M47" s="5" t="n">
        <v>0.71</v>
      </c>
      <c r="N47" s="5" t="n">
        <v>0.75</v>
      </c>
    </row>
    <row r="48">
      <c r="A48" t="n">
        <v>47</v>
      </c>
      <c r="B48" t="n">
        <v>2014</v>
      </c>
      <c r="C48" t="inlineStr">
        <is>
          <t>Wilma Wai Bo Yue</t>
        </is>
      </c>
      <c r="D48">
        <f>HYPERLINK("https://ota.tournamentsoftware.com/player-profile/6CAEB488-574A-45E0-B597-01F96FA5C987", "Link")</f>
        <v/>
      </c>
      <c r="E48" s="3" t="n">
        <v>1945.112</v>
      </c>
      <c r="F48" s="4" t="n">
        <v>13</v>
      </c>
      <c r="G48" t="inlineStr">
        <is>
          <t>Ontario Tennis Association</t>
        </is>
      </c>
      <c r="H48" t="inlineStr">
        <is>
          <t>No Club</t>
        </is>
      </c>
      <c r="I48" t="n">
        <v>26.9</v>
      </c>
      <c r="J48" s="4" t="n">
        <v>207</v>
      </c>
      <c r="K48" t="inlineStr">
        <is>
          <t>149 / 58</t>
        </is>
      </c>
      <c r="L48" t="inlineStr">
        <is>
          <t>34 / 12</t>
        </is>
      </c>
      <c r="M48" s="5" t="n">
        <v>0.72</v>
      </c>
      <c r="N48" s="5" t="n">
        <v>0.74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17.8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25.4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1842.085</v>
      </c>
      <c r="F51" s="4" t="n">
        <v>19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25.1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13</v>
      </c>
      <c r="G52" t="inlineStr">
        <is>
          <t>Ontario Tennis Association</t>
        </is>
      </c>
      <c r="H52" t="inlineStr">
        <is>
          <t>Rexall Centre</t>
        </is>
      </c>
      <c r="I52" t="n">
        <v>24.8</v>
      </c>
      <c r="J52" s="4" t="n">
        <v>221</v>
      </c>
      <c r="K52" t="inlineStr">
        <is>
          <t>138 / 83</t>
        </is>
      </c>
      <c r="L52" t="inlineStr">
        <is>
          <t>37 / 14</t>
        </is>
      </c>
      <c r="M52" s="5" t="n">
        <v>0.62</v>
      </c>
      <c r="N52" s="5" t="n">
        <v>0.73</v>
      </c>
    </row>
    <row r="53">
      <c r="A53" t="n">
        <v>52</v>
      </c>
      <c r="B53" t="n">
        <v>2012</v>
      </c>
      <c r="C53" t="inlineStr">
        <is>
          <t>Daria Glinna</t>
        </is>
      </c>
      <c r="D53">
        <f>HYPERLINK("https://ota.tournamentsoftware.com/player-profile/75F31A41-BD9F-46AC-A064-06ECE54741E7", "Link")</f>
        <v/>
      </c>
      <c r="E53" s="3" t="n">
        <v>1760.552</v>
      </c>
      <c r="F53" s="4" t="n">
        <v>14</v>
      </c>
      <c r="G53" t="inlineStr">
        <is>
          <t>Ontario Tennis Association</t>
        </is>
      </c>
      <c r="H53" t="inlineStr">
        <is>
          <t>Premier Racquet Clubs – Mississauga</t>
        </is>
      </c>
      <c r="I53" t="n">
        <v>28.2</v>
      </c>
      <c r="J53" s="4" t="n">
        <v>158</v>
      </c>
      <c r="K53" t="inlineStr">
        <is>
          <t>59 / 99</t>
        </is>
      </c>
      <c r="L53" t="inlineStr">
        <is>
          <t>4 / 8</t>
        </is>
      </c>
      <c r="M53" s="5" t="n">
        <v>0.37</v>
      </c>
      <c r="N53" s="5" t="n">
        <v>0.33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1747.487</v>
      </c>
      <c r="F54" s="4" t="n">
        <v>7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35</v>
      </c>
      <c r="K54" t="inlineStr">
        <is>
          <t>21 / 14</t>
        </is>
      </c>
      <c r="L54" t="inlineStr">
        <is>
          <t>8 / 5</t>
        </is>
      </c>
      <c r="M54" s="5" t="n">
        <v>0.6</v>
      </c>
      <c r="N54" s="5" t="n">
        <v>0.62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1744</v>
      </c>
      <c r="F55" s="4" t="n">
        <v>27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27.4</v>
      </c>
      <c r="J55" s="4" t="n">
        <v>269</v>
      </c>
      <c r="K55" t="inlineStr">
        <is>
          <t>166 / 103</t>
        </is>
      </c>
      <c r="L55" t="inlineStr">
        <is>
          <t>22 / 13</t>
        </is>
      </c>
      <c r="M55" s="5" t="n">
        <v>0.62</v>
      </c>
      <c r="N55" s="5" t="n">
        <v>0.63</v>
      </c>
    </row>
    <row r="56">
      <c r="A56" t="n">
        <v>55</v>
      </c>
      <c r="B56" t="n">
        <v>2013</v>
      </c>
      <c r="C56" t="inlineStr">
        <is>
          <t>Haeun (Emily) Jo</t>
        </is>
      </c>
      <c r="D56">
        <f>HYPERLINK("https://ota.tournamentsoftware.com/player-profile/BBD49A71-6CAE-4AC7-908B-9DB5263DA715", "Link")</f>
        <v/>
      </c>
      <c r="E56" s="3" t="n">
        <v>1714.8</v>
      </c>
      <c r="F56" s="4" t="n">
        <v>13</v>
      </c>
      <c r="G56" t="inlineStr">
        <is>
          <t>Tennis Nova Scotia</t>
        </is>
      </c>
      <c r="H56" t="inlineStr">
        <is>
          <t>Atlantic Tennis Centre</t>
        </is>
      </c>
      <c r="I56" t="n">
        <v>26.1</v>
      </c>
      <c r="J56" s="4" t="n">
        <v>288</v>
      </c>
      <c r="K56" t="inlineStr">
        <is>
          <t>192 / 96</t>
        </is>
      </c>
      <c r="L56" t="inlineStr">
        <is>
          <t>43 / 17</t>
        </is>
      </c>
      <c r="M56" s="5" t="n">
        <v>0.67</v>
      </c>
      <c r="N56" s="5" t="n">
        <v>0.72</v>
      </c>
    </row>
    <row r="57">
      <c r="A57" t="n">
        <v>56</v>
      </c>
      <c r="B57" t="n">
        <v>2013</v>
      </c>
      <c r="C57" t="inlineStr">
        <is>
          <t>xiayue(Cecelia) Bi</t>
        </is>
      </c>
      <c r="D57">
        <f>HYPERLINK("https://ota.tournamentsoftware.com/player-profile/081CD41C-A9E4-4340-A239-2D92F6639919", "Link")</f>
        <v/>
      </c>
      <c r="E57" s="3" t="n">
        <v>1681.279</v>
      </c>
      <c r="F57" s="4" t="n">
        <v>13</v>
      </c>
      <c r="G57" t="inlineStr">
        <is>
          <t>British Columbia</t>
        </is>
      </c>
      <c r="H57" t="inlineStr">
        <is>
          <t>North Vancouver Tennis Centre</t>
        </is>
      </c>
      <c r="I57" t="n">
        <v>24.3</v>
      </c>
      <c r="J57" s="4" t="n">
        <v>248</v>
      </c>
      <c r="K57" t="inlineStr">
        <is>
          <t>158 / 90</t>
        </is>
      </c>
      <c r="L57" t="inlineStr">
        <is>
          <t>19 / 22</t>
        </is>
      </c>
      <c r="M57" s="5" t="n">
        <v>0.64</v>
      </c>
      <c r="N57" s="5" t="n">
        <v>0.46</v>
      </c>
    </row>
    <row r="58">
      <c r="A58" t="n">
        <v>57</v>
      </c>
      <c r="B58" t="n">
        <v>2014</v>
      </c>
      <c r="C58" t="inlineStr">
        <is>
          <t>Naomi Danyod</t>
        </is>
      </c>
      <c r="D58">
        <f>HYPERLINK("https://ota.tournamentsoftware.com/player-profile/2037E4D8-F8CE-4A2B-858E-7FBBA84F2BC7", "Link")</f>
        <v/>
      </c>
      <c r="E58" s="3" t="n">
        <v>1674.084</v>
      </c>
      <c r="F58" s="4" t="n">
        <v>18</v>
      </c>
      <c r="G58" t="inlineStr">
        <is>
          <t>Tennis Québec</t>
        </is>
      </c>
      <c r="H58" t="inlineStr">
        <is>
          <t>Rouge et Or - Université Laval</t>
        </is>
      </c>
      <c r="I58" t="n">
        <v>26</v>
      </c>
      <c r="J58" s="4" t="n">
        <v>164</v>
      </c>
      <c r="K58" t="inlineStr">
        <is>
          <t>105 / 59</t>
        </is>
      </c>
      <c r="L58" t="inlineStr">
        <is>
          <t>35 / 20</t>
        </is>
      </c>
      <c r="M58" s="5" t="n">
        <v>0.64</v>
      </c>
      <c r="N58" s="5" t="n">
        <v>0.64</v>
      </c>
    </row>
    <row r="59">
      <c r="A59" t="n">
        <v>58</v>
      </c>
      <c r="B59" t="n">
        <v>2013</v>
      </c>
      <c r="C59" t="inlineStr">
        <is>
          <t>Elena Rusic</t>
        </is>
      </c>
      <c r="D59">
        <f>HYPERLINK("https://ota.tournamentsoftware.com/player-profile/C202F0BA-61C5-459D-993A-2D56C17C2B04", "Link")</f>
        <v/>
      </c>
      <c r="E59" s="3" t="n">
        <v>1612.81</v>
      </c>
      <c r="F59" s="4" t="n">
        <v>22</v>
      </c>
      <c r="G59" t="inlineStr">
        <is>
          <t>Ontario Tennis Association</t>
        </is>
      </c>
      <c r="H59" t="inlineStr">
        <is>
          <t>Joshua Creek Golf &amp; Tennis</t>
        </is>
      </c>
      <c r="I59" t="n">
        <v>26.5</v>
      </c>
      <c r="J59" s="4" t="n">
        <v>256</v>
      </c>
      <c r="K59" t="inlineStr">
        <is>
          <t>182 / 74</t>
        </is>
      </c>
      <c r="L59" t="inlineStr">
        <is>
          <t>23 / 19</t>
        </is>
      </c>
      <c r="M59" s="5" t="n">
        <v>0.71</v>
      </c>
      <c r="N59" s="5" t="n">
        <v>0.55</v>
      </c>
    </row>
    <row r="60">
      <c r="A60" t="n">
        <v>59</v>
      </c>
      <c r="B60" t="n">
        <v>2012</v>
      </c>
      <c r="C60" t="inlineStr">
        <is>
          <t>Annika Richards</t>
        </is>
      </c>
      <c r="D60">
        <f>HYPERLINK("https://ota.tournamentsoftware.com/player-profile/CFED81F9-9EA3-48DF-84C4-507456D5D68B", "Link")</f>
        <v/>
      </c>
      <c r="E60" s="3" t="n">
        <v>1580.813</v>
      </c>
      <c r="F60" s="4" t="n">
        <v>18</v>
      </c>
      <c r="G60" t="inlineStr">
        <is>
          <t>Ontario Tennis Association</t>
        </is>
      </c>
      <c r="H60" t="inlineStr">
        <is>
          <t>Toronto Cricket Skating &amp; Curling</t>
        </is>
      </c>
      <c r="I60" t="n">
        <v>27.4</v>
      </c>
      <c r="J60" s="4" t="n">
        <v>189</v>
      </c>
      <c r="K60" t="inlineStr">
        <is>
          <t>81 / 108</t>
        </is>
      </c>
      <c r="L60" t="inlineStr">
        <is>
          <t>8 / 17</t>
        </is>
      </c>
      <c r="M60" s="5" t="n">
        <v>0.43</v>
      </c>
      <c r="N60" s="5" t="n">
        <v>0.32</v>
      </c>
    </row>
    <row r="61">
      <c r="A61" t="n">
        <v>60</v>
      </c>
      <c r="B61" t="n">
        <v>2013</v>
      </c>
      <c r="C61" t="inlineStr">
        <is>
          <t>Alexane Deschênes</t>
        </is>
      </c>
      <c r="D61">
        <f>HYPERLINK("https://ota.tournamentsoftware.com/player-profile/124D1E6B-E463-4461-A5D1-9C844DE2C6D9", "Link")</f>
        <v/>
      </c>
      <c r="E61" s="3" t="n">
        <v>1534.592</v>
      </c>
      <c r="F61" s="4" t="n">
        <v>21</v>
      </c>
      <c r="G61" t="inlineStr">
        <is>
          <t>Tennis Québec</t>
        </is>
      </c>
      <c r="H61" t="inlineStr">
        <is>
          <t>Centre récréatif de Repentigny / Académie Tennis Momentum</t>
        </is>
      </c>
      <c r="I61" t="n">
        <v>25.2</v>
      </c>
      <c r="J61" s="4" t="n">
        <v>290</v>
      </c>
      <c r="K61" t="inlineStr">
        <is>
          <t>154 / 136</t>
        </is>
      </c>
      <c r="L61" t="inlineStr">
        <is>
          <t>34 / 34</t>
        </is>
      </c>
      <c r="M61" s="5" t="n">
        <v>0.53</v>
      </c>
      <c r="N61" s="5" t="n">
        <v>0.5</v>
      </c>
    </row>
    <row r="62">
      <c r="A62" t="n">
        <v>61</v>
      </c>
      <c r="B62" t="n">
        <v>2013</v>
      </c>
      <c r="C62" t="inlineStr">
        <is>
          <t>Varvara Lutsyk</t>
        </is>
      </c>
      <c r="D62">
        <f>HYPERLINK("https://ota.tournamentsoftware.com/player-profile/5197490D-6996-4375-892E-2696E508FF34", "Link")</f>
        <v/>
      </c>
      <c r="E62" s="3" t="n">
        <v>1491.991</v>
      </c>
      <c r="F62" s="4" t="n">
        <v>22</v>
      </c>
      <c r="G62" t="inlineStr">
        <is>
          <t>Tennis Québec</t>
        </is>
      </c>
      <c r="H62" t="inlineStr">
        <is>
          <t>Club Sportif Côte-de-Liesse</t>
        </is>
      </c>
      <c r="I62" t="n">
        <v>24.8</v>
      </c>
      <c r="J62" s="4" t="n">
        <v>210</v>
      </c>
      <c r="K62" t="inlineStr">
        <is>
          <t>137 / 73</t>
        </is>
      </c>
      <c r="L62" t="inlineStr">
        <is>
          <t>31 / 17</t>
        </is>
      </c>
      <c r="M62" s="5" t="n">
        <v>0.65</v>
      </c>
      <c r="N62" s="5" t="n">
        <v>0.65</v>
      </c>
    </row>
    <row r="63">
      <c r="A63" t="n">
        <v>62</v>
      </c>
      <c r="B63" t="n">
        <v>2012</v>
      </c>
      <c r="C63" t="inlineStr">
        <is>
          <t>Natalie Le'er Sang</t>
        </is>
      </c>
      <c r="D63">
        <f>HYPERLINK("https://ota.tournamentsoftware.com/player-profile/993E5845-6FAB-4557-A6F0-C3D60CD8BB97", "Link")</f>
        <v/>
      </c>
      <c r="E63" s="3" t="n">
        <v>1488.96</v>
      </c>
      <c r="F63" s="4" t="n">
        <v>17</v>
      </c>
      <c r="G63" t="inlineStr">
        <is>
          <t>British Columbia</t>
        </is>
      </c>
      <c r="H63" t="inlineStr">
        <is>
          <t>No Club</t>
        </is>
      </c>
      <c r="I63" t="n">
        <v>25.4</v>
      </c>
      <c r="J63" s="4" t="n">
        <v>111</v>
      </c>
      <c r="K63" t="inlineStr">
        <is>
          <t>78 / 33</t>
        </is>
      </c>
      <c r="L63" t="inlineStr">
        <is>
          <t>21 / 19</t>
        </is>
      </c>
      <c r="M63" s="5" t="n">
        <v>0.7</v>
      </c>
      <c r="N63" s="5" t="n">
        <v>0.53</v>
      </c>
    </row>
    <row r="64">
      <c r="A64" t="n">
        <v>63</v>
      </c>
      <c r="B64" t="n">
        <v>2012</v>
      </c>
      <c r="C64" t="inlineStr">
        <is>
          <t>Kelly L Zhang</t>
        </is>
      </c>
      <c r="D64">
        <f>HYPERLINK("https://ota.tournamentsoftware.com/player-profile/2504E03B-B05C-4307-B90E-F3F72DD94827", "Link")</f>
        <v/>
      </c>
      <c r="E64" s="3" t="n">
        <v>1476.763</v>
      </c>
      <c r="F64" s="4" t="n">
        <v>21</v>
      </c>
      <c r="G64" t="inlineStr">
        <is>
          <t>Ontario Tennis Association</t>
        </is>
      </c>
      <c r="H64" t="inlineStr">
        <is>
          <t>NYTA Winter Tennis Club</t>
        </is>
      </c>
      <c r="I64" t="n">
        <v>28.3</v>
      </c>
      <c r="J64" s="4" t="n">
        <v>186</v>
      </c>
      <c r="K64" t="inlineStr">
        <is>
          <t>91 / 95</t>
        </is>
      </c>
      <c r="L64" t="inlineStr">
        <is>
          <t>24 / 17</t>
        </is>
      </c>
      <c r="M64" s="5" t="n">
        <v>0.49</v>
      </c>
      <c r="N64" s="5" t="n">
        <v>0.59</v>
      </c>
    </row>
    <row r="65">
      <c r="A65" t="n">
        <v>64</v>
      </c>
      <c r="B65" t="n">
        <v>2013</v>
      </c>
      <c r="C65" t="inlineStr">
        <is>
          <t>Avery Badyal</t>
        </is>
      </c>
      <c r="D65">
        <f>HYPERLINK("https://ota.tournamentsoftware.com/player-profile/9486479F-C8FD-48FB-BCCD-0246C53A632C", "Link")</f>
        <v/>
      </c>
      <c r="E65" s="3" t="n">
        <v>1469.906</v>
      </c>
      <c r="F65" s="4" t="n">
        <v>12</v>
      </c>
      <c r="G65" t="inlineStr">
        <is>
          <t>British Columbia</t>
        </is>
      </c>
      <c r="H65" t="inlineStr">
        <is>
          <t>The Tennis Centre</t>
        </is>
      </c>
      <c r="I65" t="n">
        <v>25.2</v>
      </c>
      <c r="J65" s="4" t="n">
        <v>239</v>
      </c>
      <c r="K65" t="inlineStr">
        <is>
          <t>145 / 94</t>
        </is>
      </c>
      <c r="L65" t="inlineStr">
        <is>
          <t>17 / 19</t>
        </is>
      </c>
      <c r="M65" s="5" t="n">
        <v>0.61</v>
      </c>
      <c r="N65" s="5" t="n">
        <v>0.47</v>
      </c>
    </row>
    <row r="66">
      <c r="A66" t="n">
        <v>65</v>
      </c>
      <c r="B66" t="n">
        <v>2012</v>
      </c>
      <c r="C66" t="inlineStr">
        <is>
          <t>Allyson Experience</t>
        </is>
      </c>
      <c r="D66">
        <f>HYPERLINK("https://ota.tournamentsoftware.com/player-profile/9A5D0B4A-A8C7-47DA-8CAD-CA25D28C69CE", "Link")</f>
        <v/>
      </c>
      <c r="E66" s="3" t="n">
        <v>1465.571</v>
      </c>
      <c r="F66" s="4" t="n">
        <v>23</v>
      </c>
      <c r="G66" t="inlineStr">
        <is>
          <t>Tennis Québec</t>
        </is>
      </c>
      <c r="H66" t="inlineStr">
        <is>
          <t>Tennis Montréal Excellence</t>
        </is>
      </c>
      <c r="I66" t="n">
        <v>26.6</v>
      </c>
      <c r="J66" s="4" t="n">
        <v>261</v>
      </c>
      <c r="K66" t="inlineStr">
        <is>
          <t>120 / 141</t>
        </is>
      </c>
      <c r="L66" t="inlineStr">
        <is>
          <t>19 / 22</t>
        </is>
      </c>
      <c r="M66" s="5" t="n">
        <v>0.46</v>
      </c>
      <c r="N66" s="5" t="n">
        <v>0.46</v>
      </c>
    </row>
    <row r="67">
      <c r="A67" t="n">
        <v>66</v>
      </c>
      <c r="B67" t="n">
        <v>2014</v>
      </c>
      <c r="C67" t="inlineStr">
        <is>
          <t>jocelyn ai</t>
        </is>
      </c>
      <c r="D67">
        <f>HYPERLINK("https://ota.tournamentsoftware.com/player-profile/EADED953-942B-4335-BE21-C0DE8F31626D", "Link")</f>
        <v/>
      </c>
      <c r="E67" s="3" t="n">
        <v>1450.912</v>
      </c>
      <c r="F67" s="4" t="n">
        <v>22</v>
      </c>
      <c r="G67" t="inlineStr">
        <is>
          <t>Ontario Tennis Association</t>
        </is>
      </c>
      <c r="H67" t="inlineStr">
        <is>
          <t>No Club</t>
        </is>
      </c>
      <c r="I67" t="n">
        <v>27.1</v>
      </c>
      <c r="J67" s="4" t="n">
        <v>220</v>
      </c>
      <c r="K67" t="inlineStr">
        <is>
          <t>133 / 87</t>
        </is>
      </c>
      <c r="L67" t="inlineStr">
        <is>
          <t>39 / 24</t>
        </is>
      </c>
      <c r="M67" s="5" t="n">
        <v>0.6</v>
      </c>
      <c r="N67" s="5" t="n">
        <v>0.62</v>
      </c>
    </row>
    <row r="68">
      <c r="A68" t="n">
        <v>67</v>
      </c>
      <c r="B68" t="n">
        <v>2012</v>
      </c>
      <c r="C68" t="inlineStr">
        <is>
          <t>Karina Zhang</t>
        </is>
      </c>
      <c r="D68">
        <f>HYPERLINK("https://ota.tournamentsoftware.com/player-profile/7BB53E38-BBB9-4E1E-B8A2-8EFC2E762653", "Link")</f>
        <v/>
      </c>
      <c r="E68" s="3" t="n">
        <v>1427.367</v>
      </c>
      <c r="F68" s="4" t="n">
        <v>27</v>
      </c>
      <c r="G68" t="inlineStr">
        <is>
          <t>Ontario Tennis Association</t>
        </is>
      </c>
      <c r="H68" t="inlineStr">
        <is>
          <t>Richmondhill Golf &amp; Country Club</t>
        </is>
      </c>
      <c r="I68" t="n">
        <v>24.4</v>
      </c>
      <c r="J68" s="4" t="n">
        <v>209</v>
      </c>
      <c r="K68" t="inlineStr">
        <is>
          <t>130 / 79</t>
        </is>
      </c>
      <c r="L68" t="inlineStr">
        <is>
          <t>30 / 23</t>
        </is>
      </c>
      <c r="M68" s="5" t="n">
        <v>0.62</v>
      </c>
      <c r="N68" s="5" t="n">
        <v>0.57</v>
      </c>
    </row>
    <row r="69">
      <c r="A69" t="n">
        <v>68</v>
      </c>
      <c r="B69" t="n">
        <v>2014</v>
      </c>
      <c r="C69" t="inlineStr">
        <is>
          <t>Amelia Grace Balasuriya</t>
        </is>
      </c>
      <c r="D69">
        <f>HYPERLINK("https://ota.tournamentsoftware.com/player-profile/741A3060-1EA3-4E29-A0BE-1717DEF32CEA", "Link")</f>
        <v/>
      </c>
      <c r="E69" s="3" t="n">
        <v>1414.433</v>
      </c>
      <c r="F69" s="4" t="n">
        <v>27</v>
      </c>
      <c r="G69" t="inlineStr">
        <is>
          <t>Ontario Tennis Association</t>
        </is>
      </c>
      <c r="H69" t="inlineStr">
        <is>
          <t>The Supreme Court Tennis Club</t>
        </is>
      </c>
      <c r="I69" t="n">
        <v>26.7</v>
      </c>
      <c r="J69" s="4" t="n">
        <v>267</v>
      </c>
      <c r="K69" t="inlineStr">
        <is>
          <t>172 / 95</t>
        </is>
      </c>
      <c r="L69" t="inlineStr">
        <is>
          <t>49 / 25</t>
        </is>
      </c>
      <c r="M69" s="5" t="n">
        <v>0.64</v>
      </c>
      <c r="N69" s="5" t="n">
        <v>0.66</v>
      </c>
    </row>
    <row r="70">
      <c r="A70" t="n">
        <v>69</v>
      </c>
      <c r="B70" t="n">
        <v>2013</v>
      </c>
      <c r="C70" t="inlineStr">
        <is>
          <t>Dewa Ayu Devin Sum</t>
        </is>
      </c>
      <c r="D70">
        <f>HYPERLINK("https://ota.tournamentsoftware.com/player-profile/9DB24D5C-3B5C-4B40-BE7E-B331240C1B21", "Link")</f>
        <v/>
      </c>
      <c r="E70" s="3" t="n">
        <v>1397.453</v>
      </c>
      <c r="F70" s="4" t="n">
        <v>31</v>
      </c>
      <c r="G70" t="inlineStr">
        <is>
          <t>Ontario Tennis Association</t>
        </is>
      </c>
      <c r="H70" t="inlineStr">
        <is>
          <t>Premier Racquet Clubs – Mississauga</t>
        </is>
      </c>
      <c r="I70" t="n">
        <v>27.9</v>
      </c>
      <c r="J70" s="4" t="n">
        <v>179</v>
      </c>
      <c r="K70" t="inlineStr">
        <is>
          <t>93 / 86</t>
        </is>
      </c>
      <c r="L70" t="inlineStr">
        <is>
          <t>27 / 21</t>
        </is>
      </c>
      <c r="M70" s="5" t="n">
        <v>0.52</v>
      </c>
      <c r="N70" s="5" t="n">
        <v>0.5600000000000001</v>
      </c>
    </row>
    <row r="71">
      <c r="A71" t="n">
        <v>70</v>
      </c>
      <c r="B71" t="n">
        <v>2012</v>
      </c>
      <c r="C71" t="inlineStr">
        <is>
          <t>Zahava Olszynko</t>
        </is>
      </c>
      <c r="D71">
        <f>HYPERLINK("https://ota.tournamentsoftware.com/player-profile/B6F84042-B29D-4CD8-984E-787094BFA8A4", "Link")</f>
        <v/>
      </c>
      <c r="E71" s="3" t="n">
        <v>1396.116</v>
      </c>
      <c r="F71" s="4" t="n">
        <v>30</v>
      </c>
      <c r="G71" t="inlineStr">
        <is>
          <t>Ontario Tennis Association</t>
        </is>
      </c>
      <c r="H71" t="inlineStr">
        <is>
          <t>Rideau Sports Centre</t>
        </is>
      </c>
      <c r="I71" t="n">
        <v>25.4</v>
      </c>
      <c r="J71" s="4" t="n">
        <v>231</v>
      </c>
      <c r="K71" t="inlineStr">
        <is>
          <t>128 / 103</t>
        </is>
      </c>
      <c r="L71" t="inlineStr">
        <is>
          <t>36 / 23</t>
        </is>
      </c>
      <c r="M71" s="5" t="n">
        <v>0.55</v>
      </c>
      <c r="N71" s="5" t="n">
        <v>0.61</v>
      </c>
    </row>
    <row r="72">
      <c r="A72" t="n">
        <v>71</v>
      </c>
      <c r="B72" t="n">
        <v>2013</v>
      </c>
      <c r="C72" t="inlineStr">
        <is>
          <t>Eleanor Victoria Paura</t>
        </is>
      </c>
      <c r="D72">
        <f>HYPERLINK("https://ota.tournamentsoftware.com/player-profile/4D9EBB83-94D7-44A3-BD6F-1D98EF9559DF", "Link")</f>
        <v/>
      </c>
      <c r="E72" s="3" t="n">
        <v>1376.144</v>
      </c>
      <c r="F72" s="4" t="n">
        <v>11</v>
      </c>
      <c r="G72" t="inlineStr">
        <is>
          <t>Tennis Saskatchewan</t>
        </is>
      </c>
      <c r="H72" t="inlineStr">
        <is>
          <t>Lakeshore Tennis Club</t>
        </is>
      </c>
      <c r="I72" t="n">
        <v>29.7</v>
      </c>
      <c r="J72" s="4" t="n">
        <v>196</v>
      </c>
      <c r="K72" t="inlineStr">
        <is>
          <t>85 / 111</t>
        </is>
      </c>
      <c r="L72" t="inlineStr">
        <is>
          <t>27 / 22</t>
        </is>
      </c>
      <c r="M72" s="5" t="n">
        <v>0.43</v>
      </c>
      <c r="N72" s="5" t="n">
        <v>0.55</v>
      </c>
    </row>
    <row r="73">
      <c r="A73" t="n">
        <v>72</v>
      </c>
      <c r="B73" t="n">
        <v>2014</v>
      </c>
      <c r="C73" t="inlineStr">
        <is>
          <t>Emma Allen</t>
        </is>
      </c>
      <c r="D73">
        <f>HYPERLINK("https://ota.tournamentsoftware.com/player-profile/5640B61E-0EE7-4BB3-ABC3-AD9CB508E4E9", "Link")</f>
        <v/>
      </c>
      <c r="E73" s="3" t="n">
        <v>1351.651</v>
      </c>
      <c r="F73" s="4" t="n">
        <v>22</v>
      </c>
      <c r="G73" t="inlineStr">
        <is>
          <t>Ontario Tennis Association</t>
        </is>
      </c>
      <c r="H73" t="inlineStr">
        <is>
          <t>Joshua Creek Golf &amp; Tennis</t>
        </is>
      </c>
      <c r="I73" t="n">
        <v>26.7</v>
      </c>
      <c r="J73" s="4" t="n">
        <v>258</v>
      </c>
      <c r="K73" t="inlineStr">
        <is>
          <t>186 / 72</t>
        </is>
      </c>
      <c r="L73" t="inlineStr">
        <is>
          <t>38 / 20</t>
        </is>
      </c>
      <c r="M73" s="5" t="n">
        <v>0.72</v>
      </c>
      <c r="N73" s="5" t="n">
        <v>0.66</v>
      </c>
    </row>
    <row r="74">
      <c r="A74" t="n">
        <v>73</v>
      </c>
      <c r="B74" t="n">
        <v>2014</v>
      </c>
      <c r="C74" t="inlineStr">
        <is>
          <t>Nanette Du</t>
        </is>
      </c>
      <c r="D74">
        <f>HYPERLINK("https://ota.tournamentsoftware.com/player-profile/53190390-CC68-4E5E-8079-A41733ADF41A", "Link")</f>
        <v/>
      </c>
      <c r="E74" s="3" t="n">
        <v>1337.773</v>
      </c>
      <c r="F74" s="4" t="n">
        <v>16</v>
      </c>
      <c r="G74" t="inlineStr">
        <is>
          <t>Ontario Tennis Association</t>
        </is>
      </c>
      <c r="H74" t="inlineStr">
        <is>
          <t>Advantage Tennis International at Veneto</t>
        </is>
      </c>
      <c r="I74" t="n">
        <v>28.2</v>
      </c>
      <c r="J74" s="4" t="n">
        <v>150</v>
      </c>
      <c r="K74" t="inlineStr">
        <is>
          <t>94 / 56</t>
        </is>
      </c>
      <c r="L74" t="inlineStr">
        <is>
          <t>28 / 12</t>
        </is>
      </c>
      <c r="M74" s="5" t="n">
        <v>0.63</v>
      </c>
      <c r="N74" s="5" t="n">
        <v>0.7</v>
      </c>
    </row>
    <row r="75">
      <c r="A75" t="n">
        <v>74</v>
      </c>
      <c r="B75" t="n">
        <v>2013</v>
      </c>
      <c r="C75" t="inlineStr">
        <is>
          <t>Charlotte Dawes</t>
        </is>
      </c>
      <c r="D75">
        <f>HYPERLINK("https://ota.tournamentsoftware.com/player-profile/F2AC6B3A-37CF-4522-9228-9A614DED4E6F", "Link")</f>
        <v/>
      </c>
      <c r="E75" s="3" t="n">
        <v>1333.136</v>
      </c>
      <c r="F75" s="4" t="n">
        <v>14</v>
      </c>
      <c r="G75" t="inlineStr">
        <is>
          <t>Tennis Alberta</t>
        </is>
      </c>
      <c r="H75" t="inlineStr">
        <is>
          <t>Osten &amp; Victor Alberta Tennis Centre</t>
        </is>
      </c>
      <c r="I75" t="n">
        <v>27.3</v>
      </c>
      <c r="J75" s="4" t="n">
        <v>225</v>
      </c>
      <c r="K75" t="inlineStr">
        <is>
          <t>112 / 113</t>
        </is>
      </c>
      <c r="L75" t="inlineStr">
        <is>
          <t>25 / 18</t>
        </is>
      </c>
      <c r="M75" s="5" t="n">
        <v>0.5</v>
      </c>
      <c r="N75" s="5" t="n">
        <v>0.58</v>
      </c>
    </row>
    <row r="76">
      <c r="A76" t="n">
        <v>75</v>
      </c>
      <c r="B76" t="n">
        <v>2012</v>
      </c>
      <c r="C76" t="inlineStr">
        <is>
          <t>Emilie Chen</t>
        </is>
      </c>
      <c r="D76">
        <f>HYPERLINK("https://ota.tournamentsoftware.com/player-profile/829AD033-5D37-4AE8-9F34-8C50F25B20C3", "Link")</f>
        <v/>
      </c>
      <c r="E76" s="3" t="n">
        <v>1288.491</v>
      </c>
      <c r="F76" s="4" t="n">
        <v>14</v>
      </c>
      <c r="G76" t="inlineStr">
        <is>
          <t>Ontario Tennis Association</t>
        </is>
      </c>
      <c r="H76" t="inlineStr">
        <is>
          <t>Toronto Cricket Skating &amp; Curling</t>
        </is>
      </c>
      <c r="I76" t="n">
        <v>26</v>
      </c>
      <c r="J76" s="4" t="n">
        <v>214</v>
      </c>
      <c r="K76" t="inlineStr">
        <is>
          <t>89 / 125</t>
        </is>
      </c>
      <c r="L76" t="inlineStr">
        <is>
          <t>12 / 13</t>
        </is>
      </c>
      <c r="M76" s="5" t="n">
        <v>0.42</v>
      </c>
      <c r="N76" s="5" t="n">
        <v>0.48</v>
      </c>
    </row>
    <row r="77">
      <c r="A77" t="n">
        <v>76</v>
      </c>
      <c r="B77" t="n">
        <v>2013</v>
      </c>
      <c r="C77" t="inlineStr">
        <is>
          <t>Iris Fu</t>
        </is>
      </c>
      <c r="D77">
        <f>HYPERLINK("https://ota.tournamentsoftware.com/player-profile/0A3A4B5A-8950-4E67-BAA9-3F132754A3FD", "Link")</f>
        <v/>
      </c>
      <c r="E77" s="3" t="n">
        <v>1233.045</v>
      </c>
      <c r="F77" s="4" t="n">
        <v>16</v>
      </c>
      <c r="G77" t="inlineStr">
        <is>
          <t>Ontario Tennis Association</t>
        </is>
      </c>
      <c r="H77" t="inlineStr">
        <is>
          <t>Premier Racquet Clubs – Mississauga</t>
        </is>
      </c>
      <c r="I77" t="inlineStr">
        <is>
          <t>unavailable</t>
        </is>
      </c>
      <c r="J77" s="4" t="n">
        <v>240</v>
      </c>
      <c r="K77" t="inlineStr">
        <is>
          <t>138 / 102</t>
        </is>
      </c>
      <c r="L77" t="inlineStr">
        <is>
          <t>23 / 12</t>
        </is>
      </c>
      <c r="M77" s="5" t="n">
        <v>0.57</v>
      </c>
      <c r="N77" s="5" t="n">
        <v>0.66</v>
      </c>
    </row>
    <row r="78">
      <c r="A78" t="n">
        <v>77</v>
      </c>
      <c r="B78" t="n">
        <v>2013</v>
      </c>
      <c r="C78" t="inlineStr">
        <is>
          <t>Adèle Juneau</t>
        </is>
      </c>
      <c r="D78">
        <f>HYPERLINK("https://ota.tournamentsoftware.com/player-profile/3A8C3EB0-444C-4108-A91E-FC74701A660D", "Link")</f>
        <v/>
      </c>
      <c r="E78" s="3" t="n">
        <v>1231.347</v>
      </c>
      <c r="F78" s="4" t="n">
        <v>16</v>
      </c>
      <c r="G78" t="inlineStr">
        <is>
          <t>Tennis Québec</t>
        </is>
      </c>
      <c r="H78" t="inlineStr">
        <is>
          <t>Tennis 13 / Académie Ménard et associé</t>
        </is>
      </c>
      <c r="I78" t="n">
        <v>25.6</v>
      </c>
      <c r="J78" s="4" t="n">
        <v>333</v>
      </c>
      <c r="K78" t="inlineStr">
        <is>
          <t>186 / 147</t>
        </is>
      </c>
      <c r="L78" t="inlineStr">
        <is>
          <t>18 / 22</t>
        </is>
      </c>
      <c r="M78" s="5" t="n">
        <v>0.5600000000000001</v>
      </c>
      <c r="N78" s="5" t="n">
        <v>0.45</v>
      </c>
    </row>
    <row r="79">
      <c r="A79" t="n">
        <v>78</v>
      </c>
      <c r="B79" t="n">
        <v>2012</v>
      </c>
      <c r="C79" t="inlineStr">
        <is>
          <t>Alessia Lungu</t>
        </is>
      </c>
      <c r="D79">
        <f>HYPERLINK("https://ota.tournamentsoftware.com/player-profile/99FF719F-9C8F-4394-BE76-5455D457977A", "Link")</f>
        <v/>
      </c>
      <c r="E79" s="3" t="n">
        <v>1212.805</v>
      </c>
      <c r="F79" s="4" t="n">
        <v>10</v>
      </c>
      <c r="G79" t="inlineStr">
        <is>
          <t>Ontario Tennis Association</t>
        </is>
      </c>
      <c r="H79" t="inlineStr">
        <is>
          <t>Joshua Creek Golf &amp; Tennis</t>
        </is>
      </c>
      <c r="I79" t="n">
        <v>23.2</v>
      </c>
      <c r="J79" s="4" t="n">
        <v>181</v>
      </c>
      <c r="K79" t="inlineStr">
        <is>
          <t>116 / 65</t>
        </is>
      </c>
      <c r="L79" t="inlineStr">
        <is>
          <t>5 / 3</t>
        </is>
      </c>
      <c r="M79" s="5" t="n">
        <v>0.64</v>
      </c>
      <c r="N79" s="5" t="n">
        <v>0.62</v>
      </c>
    </row>
    <row r="80">
      <c r="A80" t="n">
        <v>79</v>
      </c>
      <c r="B80" t="n">
        <v>2014</v>
      </c>
      <c r="C80" t="inlineStr">
        <is>
          <t>Naella Sehic</t>
        </is>
      </c>
      <c r="D80">
        <f>HYPERLINK("https://ota.tournamentsoftware.com/player-profile/C86BA5BA-97F0-463B-BBE7-6A41452E0D47", "Link")</f>
        <v/>
      </c>
      <c r="E80" s="3" t="n">
        <v>1206.241</v>
      </c>
      <c r="F80" s="4" t="n">
        <v>20</v>
      </c>
      <c r="G80" t="inlineStr">
        <is>
          <t>Tennis Québec</t>
        </is>
      </c>
      <c r="H80" t="inlineStr">
        <is>
          <t>Tennis Ile- des- Soeurs</t>
        </is>
      </c>
      <c r="I80" t="n">
        <v>25.9</v>
      </c>
      <c r="J80" s="4" t="n">
        <v>297</v>
      </c>
      <c r="K80" t="inlineStr">
        <is>
          <t>183 / 114</t>
        </is>
      </c>
      <c r="L80" t="inlineStr">
        <is>
          <t>48 / 16</t>
        </is>
      </c>
      <c r="M80" s="5" t="n">
        <v>0.62</v>
      </c>
      <c r="N80" s="5" t="n">
        <v>0.75</v>
      </c>
    </row>
    <row r="81">
      <c r="A81" t="n">
        <v>80</v>
      </c>
      <c r="B81" t="n">
        <v>2014</v>
      </c>
      <c r="C81" t="inlineStr">
        <is>
          <t>Ruoran Hou</t>
        </is>
      </c>
      <c r="D81">
        <f>HYPERLINK("https://ota.tournamentsoftware.com/player-profile/01D9A845-667C-4EDB-ABF5-CFE1C5418675", "Link")</f>
        <v/>
      </c>
      <c r="E81" s="3" t="n">
        <v>1181.094</v>
      </c>
      <c r="F81" s="4" t="n">
        <v>15</v>
      </c>
      <c r="G81" t="inlineStr">
        <is>
          <t>Tennis Nova Scotia</t>
        </is>
      </c>
      <c r="H81" t="inlineStr">
        <is>
          <t>Atlantic Tennis Centre</t>
        </is>
      </c>
      <c r="I81" t="n">
        <v>29.5</v>
      </c>
      <c r="J81" s="4" t="n">
        <v>236</v>
      </c>
      <c r="K81" t="inlineStr">
        <is>
          <t>136 / 100</t>
        </is>
      </c>
      <c r="L81" t="inlineStr">
        <is>
          <t>38 / 27</t>
        </is>
      </c>
      <c r="M81" s="5" t="n">
        <v>0.58</v>
      </c>
      <c r="N81" s="5" t="n">
        <v>0.58</v>
      </c>
    </row>
    <row r="82">
      <c r="A82" t="n">
        <v>81</v>
      </c>
      <c r="B82" t="n">
        <v>2012</v>
      </c>
      <c r="C82" t="inlineStr">
        <is>
          <t>Ashlee Hanul Yoo</t>
        </is>
      </c>
      <c r="D82">
        <f>HYPERLINK("https://ota.tournamentsoftware.com/player-profile/BA09F220-C66B-4A96-9C0C-1BEE71ADDA56", "Link")</f>
        <v/>
      </c>
      <c r="E82" s="3" t="n">
        <v>1170.503</v>
      </c>
      <c r="F82" s="4" t="n">
        <v>13</v>
      </c>
      <c r="G82" t="inlineStr">
        <is>
          <t>British Columbia</t>
        </is>
      </c>
      <c r="H82" t="inlineStr">
        <is>
          <t>No Club</t>
        </is>
      </c>
      <c r="I82" t="inlineStr">
        <is>
          <t>unavailable</t>
        </is>
      </c>
      <c r="J82" s="4" t="n">
        <v>205</v>
      </c>
      <c r="K82" t="inlineStr">
        <is>
          <t>109 / 96</t>
        </is>
      </c>
      <c r="L82" t="inlineStr">
        <is>
          <t>18 / 18</t>
        </is>
      </c>
      <c r="M82" s="5" t="n">
        <v>0.53</v>
      </c>
      <c r="N82" s="5" t="n">
        <v>0.5</v>
      </c>
    </row>
    <row r="83">
      <c r="A83" t="n">
        <v>82</v>
      </c>
      <c r="B83" t="n">
        <v>2013</v>
      </c>
      <c r="C83" t="inlineStr">
        <is>
          <t>Halo Boyu Li</t>
        </is>
      </c>
      <c r="D83">
        <f>HYPERLINK("https://ota.tournamentsoftware.com/player-profile/42371346-12B9-439B-B9EB-FB5DD0ABCB73", "Link")</f>
        <v/>
      </c>
      <c r="E83" s="3" t="n">
        <v>1165.149</v>
      </c>
      <c r="F83" s="4" t="n">
        <v>11</v>
      </c>
      <c r="G83" t="inlineStr">
        <is>
          <t>Tennis Saskatchewan</t>
        </is>
      </c>
      <c r="H83" t="inlineStr">
        <is>
          <t>No Club</t>
        </is>
      </c>
      <c r="I83" t="n">
        <v>31</v>
      </c>
      <c r="J83" s="4" t="n">
        <v>181</v>
      </c>
      <c r="K83" t="inlineStr">
        <is>
          <t>79 / 102</t>
        </is>
      </c>
      <c r="L83" t="inlineStr">
        <is>
          <t>29 / 27</t>
        </is>
      </c>
      <c r="M83" s="5" t="n">
        <v>0.44</v>
      </c>
      <c r="N83" s="5" t="n">
        <v>0.52</v>
      </c>
    </row>
    <row r="84">
      <c r="A84" t="n">
        <v>83</v>
      </c>
      <c r="B84" t="n">
        <v>2012</v>
      </c>
      <c r="C84" t="inlineStr">
        <is>
          <t>Alexsandra Stanislavksy</t>
        </is>
      </c>
      <c r="D84">
        <f>HYPERLINK("https://ota.tournamentsoftware.com/player-profile/A067EDC1-6B71-4023-8C13-88CA87AA808B", "Link")</f>
        <v/>
      </c>
      <c r="E84" s="3" t="n">
        <v>1142.629</v>
      </c>
      <c r="F84" s="4" t="n">
        <v>31</v>
      </c>
      <c r="G84" t="inlineStr">
        <is>
          <t>Ontario Tennis Association</t>
        </is>
      </c>
      <c r="H84" t="inlineStr">
        <is>
          <t>No Club</t>
        </is>
      </c>
      <c r="I84" t="n">
        <v>29.3</v>
      </c>
      <c r="J84" s="4" t="n">
        <v>191</v>
      </c>
      <c r="K84" t="inlineStr">
        <is>
          <t>86 / 105</t>
        </is>
      </c>
      <c r="L84" t="inlineStr">
        <is>
          <t>23 / 24</t>
        </is>
      </c>
      <c r="M84" s="5" t="n">
        <v>0.45</v>
      </c>
      <c r="N84" s="5" t="n">
        <v>0.49</v>
      </c>
    </row>
    <row r="85">
      <c r="A85" t="n">
        <v>84</v>
      </c>
      <c r="B85" t="n">
        <v>2013</v>
      </c>
      <c r="C85" t="inlineStr">
        <is>
          <t>Chloé Normandin</t>
        </is>
      </c>
      <c r="D85">
        <f>HYPERLINK("https://ota.tournamentsoftware.com/player-profile/A22608C6-6D99-476C-9EC7-9A31F3CACB0A", "Link")</f>
        <v/>
      </c>
      <c r="E85" s="3" t="n">
        <v>1139.173</v>
      </c>
      <c r="F85" s="4" t="n">
        <v>23</v>
      </c>
      <c r="G85" t="inlineStr">
        <is>
          <t>Tennis Québec</t>
        </is>
      </c>
      <c r="H85" t="inlineStr">
        <is>
          <t>Tennis Ile- des- Soeurs</t>
        </is>
      </c>
      <c r="I85" t="n">
        <v>26.8</v>
      </c>
      <c r="J85" s="4" t="n">
        <v>267</v>
      </c>
      <c r="K85" t="inlineStr">
        <is>
          <t>146 / 121</t>
        </is>
      </c>
      <c r="L85" t="inlineStr">
        <is>
          <t>37 / 21</t>
        </is>
      </c>
      <c r="M85" s="5" t="n">
        <v>0.55</v>
      </c>
      <c r="N85" s="5" t="n">
        <v>0.64</v>
      </c>
    </row>
    <row r="86">
      <c r="A86" t="n">
        <v>85</v>
      </c>
      <c r="B86" t="n">
        <v>2012</v>
      </c>
      <c r="C86" t="inlineStr">
        <is>
          <t>Kate Louise Violet Dee</t>
        </is>
      </c>
      <c r="D86">
        <f>HYPERLINK("https://ota.tournamentsoftware.com/player-profile/807F7468-99D8-4717-B3DF-3F2ED69EFA0A", "Link")</f>
        <v/>
      </c>
      <c r="E86" s="3" t="n">
        <v>1135.533</v>
      </c>
      <c r="F86" s="4" t="n">
        <v>11</v>
      </c>
      <c r="G86" t="inlineStr">
        <is>
          <t>British Columbia</t>
        </is>
      </c>
      <c r="H86" t="inlineStr">
        <is>
          <t>North Vancouver Tennis Centre</t>
        </is>
      </c>
      <c r="I86" t="n">
        <v>25.7</v>
      </c>
      <c r="J86" s="4" t="n">
        <v>244</v>
      </c>
      <c r="K86" t="inlineStr">
        <is>
          <t>136 / 108</t>
        </is>
      </c>
      <c r="L86" t="inlineStr">
        <is>
          <t>14 / 16</t>
        </is>
      </c>
      <c r="M86" s="5" t="n">
        <v>0.5600000000000001</v>
      </c>
      <c r="N86" s="5" t="n">
        <v>0.47</v>
      </c>
    </row>
    <row r="87">
      <c r="A87" t="n">
        <v>86</v>
      </c>
      <c r="B87" t="n">
        <v>2012</v>
      </c>
      <c r="C87" t="inlineStr">
        <is>
          <t>Adrienne Keaton Nelson</t>
        </is>
      </c>
      <c r="D87">
        <f>HYPERLINK("https://ota.tournamentsoftware.com/player-profile/1D977DD3-331D-4977-B4D6-E3202A6C56BD", "Link")</f>
        <v/>
      </c>
      <c r="E87" s="3" t="n">
        <v>1117.411</v>
      </c>
      <c r="F87" s="4" t="n">
        <v>42</v>
      </c>
      <c r="G87" t="inlineStr">
        <is>
          <t>Ontario Tennis Association</t>
        </is>
      </c>
      <c r="H87" t="inlineStr">
        <is>
          <t>Blackmore Tennis Club</t>
        </is>
      </c>
      <c r="I87" t="n">
        <v>27.6</v>
      </c>
      <c r="J87" s="4" t="n">
        <v>233</v>
      </c>
      <c r="K87" t="inlineStr">
        <is>
          <t>114 / 119</t>
        </is>
      </c>
      <c r="L87" t="inlineStr">
        <is>
          <t>28 / 24</t>
        </is>
      </c>
      <c r="M87" s="5" t="n">
        <v>0.49</v>
      </c>
      <c r="N87" s="5" t="n">
        <v>0.54</v>
      </c>
    </row>
    <row r="88">
      <c r="A88" t="n">
        <v>87</v>
      </c>
      <c r="B88" t="n">
        <v>2013</v>
      </c>
      <c r="C88" t="inlineStr">
        <is>
          <t>Cindy Liu</t>
        </is>
      </c>
      <c r="D88">
        <f>HYPERLINK("https://ota.tournamentsoftware.com/player-profile/89018759-835F-4CE0-A297-3449F2A42D00", "Link")</f>
        <v/>
      </c>
      <c r="E88" s="3" t="n">
        <v>1113.273</v>
      </c>
      <c r="F88" s="4" t="n">
        <v>24</v>
      </c>
      <c r="G88" t="inlineStr">
        <is>
          <t>British Columbia</t>
        </is>
      </c>
      <c r="H88" t="inlineStr">
        <is>
          <t>The Tennis Centre</t>
        </is>
      </c>
      <c r="I88" t="n">
        <v>25.8</v>
      </c>
      <c r="J88" s="4" t="n">
        <v>197</v>
      </c>
      <c r="K88" t="inlineStr">
        <is>
          <t>104 / 93</t>
        </is>
      </c>
      <c r="L88" t="inlineStr">
        <is>
          <t>34 / 20</t>
        </is>
      </c>
      <c r="M88" s="5" t="n">
        <v>0.53</v>
      </c>
      <c r="N88" s="5" t="n">
        <v>0.63</v>
      </c>
    </row>
    <row r="89">
      <c r="A89" t="n">
        <v>88</v>
      </c>
      <c r="B89" t="n">
        <v>2012</v>
      </c>
      <c r="C89" t="inlineStr">
        <is>
          <t>Olivia Escobar</t>
        </is>
      </c>
      <c r="D89">
        <f>HYPERLINK("https://ota.tournamentsoftware.com/player-profile/9E3A15EA-D947-4048-B7A7-6C2437D34132", "Link")</f>
        <v/>
      </c>
      <c r="E89" s="3" t="n">
        <v>1109.116</v>
      </c>
      <c r="F89" s="4" t="n">
        <v>37</v>
      </c>
      <c r="G89" t="inlineStr">
        <is>
          <t>Tennis Québec</t>
        </is>
      </c>
      <c r="H89" t="inlineStr">
        <is>
          <t>Tennis Ile- des- Soeurs</t>
        </is>
      </c>
      <c r="I89" t="n">
        <v>28.2</v>
      </c>
      <c r="J89" s="4" t="n">
        <v>345</v>
      </c>
      <c r="K89" t="inlineStr">
        <is>
          <t>131 / 214</t>
        </is>
      </c>
      <c r="L89" t="inlineStr">
        <is>
          <t>19 / 23</t>
        </is>
      </c>
      <c r="M89" s="5" t="n">
        <v>0.38</v>
      </c>
      <c r="N89" s="5" t="n">
        <v>0.45</v>
      </c>
    </row>
    <row r="90">
      <c r="A90" t="n">
        <v>89</v>
      </c>
      <c r="B90" t="n">
        <v>2015</v>
      </c>
      <c r="C90" t="inlineStr">
        <is>
          <t>Sofia Tabunshchyk</t>
        </is>
      </c>
      <c r="D90">
        <f>HYPERLINK("https://ota.tournamentsoftware.com/player-profile/3714FE82-9045-425F-937B-7104A43D57F9", "Link")</f>
        <v/>
      </c>
      <c r="E90" s="3" t="n">
        <v>1098.18</v>
      </c>
      <c r="F90" s="4" t="n">
        <v>39</v>
      </c>
      <c r="G90" t="inlineStr">
        <is>
          <t>Ontario Tennis Association</t>
        </is>
      </c>
      <c r="H90" t="inlineStr">
        <is>
          <t>ACE Tennis - Burlington</t>
        </is>
      </c>
      <c r="I90" t="inlineStr">
        <is>
          <t>unavailable</t>
        </is>
      </c>
      <c r="J90" s="4" t="n">
        <v>327</v>
      </c>
      <c r="K90" t="inlineStr">
        <is>
          <t>163 / 164</t>
        </is>
      </c>
      <c r="L90" t="inlineStr">
        <is>
          <t>53 / 28</t>
        </is>
      </c>
      <c r="M90" s="5" t="n">
        <v>0.5</v>
      </c>
      <c r="N90" s="5" t="n">
        <v>0.65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19</v>
      </c>
      <c r="G91" t="inlineStr">
        <is>
          <t>Tennis Alberta</t>
        </is>
      </c>
      <c r="H91" t="inlineStr">
        <is>
          <t>Saville Community Sports Centre</t>
        </is>
      </c>
      <c r="I91" t="n">
        <v>26.5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31</v>
      </c>
      <c r="G92" t="inlineStr">
        <is>
          <t>Ontario Tennis Association</t>
        </is>
      </c>
      <c r="H92" t="inlineStr">
        <is>
          <t>Blackmore Tennis Club</t>
        </is>
      </c>
      <c r="I92" t="n">
        <v>30.3</v>
      </c>
      <c r="J92" s="4" t="n">
        <v>218</v>
      </c>
      <c r="K92" t="inlineStr">
        <is>
          <t>124 / 94</t>
        </is>
      </c>
      <c r="L92" t="inlineStr">
        <is>
          <t>33 / 20</t>
        </is>
      </c>
      <c r="M92" s="5" t="n">
        <v>0.57</v>
      </c>
      <c r="N92" s="5" t="n">
        <v>0.62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20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2014</v>
      </c>
      <c r="C95" t="inlineStr">
        <is>
          <t>JOANNA QIHENG FEI</t>
        </is>
      </c>
      <c r="D95">
        <f>HYPERLINK("https://ota.tournamentsoftware.com/player-profile/1DD48A17-96B6-42F9-8D67-EE4CBF6DFA95", "Link")</f>
        <v/>
      </c>
      <c r="E95" s="3" t="n">
        <v>1049.858</v>
      </c>
      <c r="F95" s="4" t="n">
        <v>20</v>
      </c>
      <c r="G95" t="inlineStr">
        <is>
          <t>British Columbia</t>
        </is>
      </c>
      <c r="H95" t="inlineStr">
        <is>
          <t>Richmond Country Club</t>
        </is>
      </c>
      <c r="I95" t="n">
        <v>25.9</v>
      </c>
      <c r="J95" s="4" t="n">
        <v>264</v>
      </c>
      <c r="K95" t="inlineStr">
        <is>
          <t>129 / 135</t>
        </is>
      </c>
      <c r="L95" t="inlineStr">
        <is>
          <t>36 / 19</t>
        </is>
      </c>
      <c r="M95" s="5" t="n">
        <v>0.49</v>
      </c>
      <c r="N95" s="5" t="n">
        <v>0.65</v>
      </c>
    </row>
    <row r="96">
      <c r="A96" t="n">
        <v>95</v>
      </c>
      <c r="B96" t="n">
        <v>2012</v>
      </c>
      <c r="C96" t="inlineStr">
        <is>
          <t>Margarita Ter-Grigoryan</t>
        </is>
      </c>
      <c r="D96">
        <f>HYPERLINK("https://ota.tournamentsoftware.com/player-profile/A86B3E87-30AA-4D57-86CF-572CF663421E", "Link")</f>
        <v/>
      </c>
      <c r="E96" s="3" t="n">
        <v>1020.42</v>
      </c>
      <c r="F96" s="4" t="n">
        <v>14</v>
      </c>
      <c r="G96" t="inlineStr">
        <is>
          <t>Tennis Saskatchewan</t>
        </is>
      </c>
      <c r="H96" t="inlineStr">
        <is>
          <t>No Club</t>
        </is>
      </c>
      <c r="I96" t="n">
        <v>30.9</v>
      </c>
      <c r="J96" s="4" t="n">
        <v>127</v>
      </c>
      <c r="K96" t="inlineStr">
        <is>
          <t>67 / 60</t>
        </is>
      </c>
      <c r="L96" t="inlineStr">
        <is>
          <t>27 / 30</t>
        </is>
      </c>
      <c r="M96" s="5" t="n">
        <v>0.53</v>
      </c>
      <c r="N96" s="5" t="n">
        <v>0.47</v>
      </c>
    </row>
    <row r="97">
      <c r="A97" t="n">
        <v>96</v>
      </c>
      <c r="B97" t="n">
        <v>2014</v>
      </c>
      <c r="C97" t="inlineStr">
        <is>
          <t>Victoria Markova</t>
        </is>
      </c>
      <c r="D97">
        <f>HYPERLINK("https://ota.tournamentsoftware.com/player-profile/DE909631-ADF4-4157-ABE4-0097B95C4307", "Link")</f>
        <v/>
      </c>
      <c r="E97" s="3" t="n">
        <v>1008.269</v>
      </c>
      <c r="F97" s="4" t="n">
        <v>23</v>
      </c>
      <c r="G97" t="inlineStr">
        <is>
          <t>Tennis Québec</t>
        </is>
      </c>
      <c r="H97" t="inlineStr">
        <is>
          <t>Carrefour Multisports</t>
        </is>
      </c>
      <c r="I97" t="n">
        <v>29.2</v>
      </c>
      <c r="J97" s="4" t="n">
        <v>224</v>
      </c>
      <c r="K97" t="inlineStr">
        <is>
          <t>122 / 102</t>
        </is>
      </c>
      <c r="L97" t="inlineStr">
        <is>
          <t>37 / 25</t>
        </is>
      </c>
      <c r="M97" s="5" t="n">
        <v>0.54</v>
      </c>
      <c r="N97" s="5" t="n">
        <v>0.6</v>
      </c>
    </row>
    <row r="98">
      <c r="A98" t="n">
        <v>97</v>
      </c>
      <c r="B98" t="n">
        <v>2012</v>
      </c>
      <c r="C98" t="inlineStr">
        <is>
          <t>Maia-Alexandra Popa</t>
        </is>
      </c>
      <c r="D98">
        <f>HYPERLINK("https://ota.tournamentsoftware.com/player-profile/1D5E0C32-9DDE-4B44-ADF9-FDB75BF638BC", "Link")</f>
        <v/>
      </c>
      <c r="E98" s="3" t="n">
        <v>992.261</v>
      </c>
      <c r="F98" s="4" t="n">
        <v>23</v>
      </c>
      <c r="G98" t="inlineStr">
        <is>
          <t>Ontario Tennis Association</t>
        </is>
      </c>
      <c r="H98" t="inlineStr">
        <is>
          <t>No Club</t>
        </is>
      </c>
      <c r="I98" t="n">
        <v>25.9</v>
      </c>
      <c r="J98" s="4" t="n">
        <v>205</v>
      </c>
      <c r="K98" t="inlineStr">
        <is>
          <t>108 / 97</t>
        </is>
      </c>
      <c r="L98" t="inlineStr">
        <is>
          <t>26 / 12</t>
        </is>
      </c>
      <c r="M98" s="5" t="n">
        <v>0.53</v>
      </c>
      <c r="N98" s="5" t="n">
        <v>0.68</v>
      </c>
    </row>
    <row r="99">
      <c r="A99" t="n">
        <v>98</v>
      </c>
      <c r="B99" t="n">
        <v>2013</v>
      </c>
      <c r="C99" t="inlineStr">
        <is>
          <t>Aubrianna Ellen York</t>
        </is>
      </c>
      <c r="D99">
        <f>HYPERLINK("https://ota.tournamentsoftware.com/player-profile/FDFD6FEF-AD8B-4B1E-ADE3-15417E1BCF05", "Link")</f>
        <v/>
      </c>
      <c r="E99" s="3" t="n">
        <v>970.944</v>
      </c>
      <c r="F99" s="4" t="n">
        <v>18</v>
      </c>
      <c r="G99" t="inlineStr">
        <is>
          <t>Tennis Alberta</t>
        </is>
      </c>
      <c r="H99" t="inlineStr">
        <is>
          <t>Aforza</t>
        </is>
      </c>
      <c r="I99" t="n">
        <v>28.1</v>
      </c>
      <c r="J99" s="4" t="n">
        <v>214</v>
      </c>
      <c r="K99" t="inlineStr">
        <is>
          <t>113 / 101</t>
        </is>
      </c>
      <c r="L99" t="inlineStr">
        <is>
          <t>28 / 19</t>
        </is>
      </c>
      <c r="M99" s="5" t="n">
        <v>0.53</v>
      </c>
      <c r="N99" s="5" t="n">
        <v>0.6</v>
      </c>
    </row>
    <row r="100">
      <c r="A100" t="n">
        <v>99</v>
      </c>
      <c r="B100" t="n">
        <v>2012</v>
      </c>
      <c r="C100" t="inlineStr">
        <is>
          <t>Chloe Lou Friesen</t>
        </is>
      </c>
      <c r="D100">
        <f>HYPERLINK("https://ota.tournamentsoftware.com/player-profile/A0A11672-F1E8-4BD3-A43A-BB82984EDDA5", "Link")</f>
        <v/>
      </c>
      <c r="E100" s="3" t="n">
        <v>959.691</v>
      </c>
      <c r="F100" s="4" t="n">
        <v>17</v>
      </c>
      <c r="G100" t="inlineStr">
        <is>
          <t>British Columbia</t>
        </is>
      </c>
      <c r="H100" t="inlineStr">
        <is>
          <t>Vancouver Lawn Tennis and Badminton Club</t>
        </is>
      </c>
      <c r="I100" t="n">
        <v>26</v>
      </c>
      <c r="J100" s="4" t="n">
        <v>235</v>
      </c>
      <c r="K100" t="inlineStr">
        <is>
          <t>129 / 106</t>
        </is>
      </c>
      <c r="L100" t="inlineStr">
        <is>
          <t>24 / 16</t>
        </is>
      </c>
      <c r="M100" s="5" t="n">
        <v>0.55</v>
      </c>
      <c r="N100" s="5" t="n">
        <v>0.6</v>
      </c>
    </row>
    <row r="101">
      <c r="A101" t="n">
        <v>100</v>
      </c>
      <c r="B101" t="n">
        <v>2015</v>
      </c>
      <c r="C101" t="inlineStr">
        <is>
          <t>Evelyn J.C. Liu</t>
        </is>
      </c>
      <c r="D101">
        <f>HYPERLINK("https://ota.tournamentsoftware.com/player-profile/193F9EEB-1528-48A2-A0D8-C6448E62254A", "Link")</f>
        <v/>
      </c>
      <c r="E101" s="3" t="n">
        <v>945.349</v>
      </c>
      <c r="F101" s="4" t="n">
        <v>19</v>
      </c>
      <c r="G101" t="inlineStr">
        <is>
          <t>British Columbia</t>
        </is>
      </c>
      <c r="H101" t="inlineStr">
        <is>
          <t>Vancouver Lawn Tennis and Badminton Club</t>
        </is>
      </c>
      <c r="I101" t="n">
        <v>26.9</v>
      </c>
      <c r="J101" s="4" t="n">
        <v>271</v>
      </c>
      <c r="K101" t="inlineStr">
        <is>
          <t>152 / 119</t>
        </is>
      </c>
      <c r="L101" t="inlineStr">
        <is>
          <t>41 / 22</t>
        </is>
      </c>
      <c r="M101" s="5" t="n">
        <v>0.5600000000000001</v>
      </c>
      <c r="N101" s="5" t="n">
        <v>0.65</v>
      </c>
    </row>
    <row r="102">
      <c r="A102" t="n">
        <v>101</v>
      </c>
      <c r="B102" t="n">
        <v>2015</v>
      </c>
      <c r="C102" t="inlineStr">
        <is>
          <t>Aahana Guha</t>
        </is>
      </c>
      <c r="D102">
        <f>HYPERLINK("https://ota.tournamentsoftware.com/player-profile/B6BFAEC0-924F-4635-B45C-E700061D4B03", "Link")</f>
        <v/>
      </c>
      <c r="E102" s="3" t="n">
        <v>944.747</v>
      </c>
      <c r="F102" s="4" t="n">
        <v>12</v>
      </c>
      <c r="G102" t="inlineStr">
        <is>
          <t>Tennis Saskatchewan</t>
        </is>
      </c>
      <c r="H102" t="inlineStr">
        <is>
          <t>Lakeshore Tennis Club</t>
        </is>
      </c>
      <c r="I102" t="n">
        <v>30.8</v>
      </c>
      <c r="J102" s="4" t="n">
        <v>171</v>
      </c>
      <c r="K102" t="inlineStr">
        <is>
          <t>90 / 81</t>
        </is>
      </c>
      <c r="L102" t="inlineStr">
        <is>
          <t>34 / 23</t>
        </is>
      </c>
      <c r="M102" s="5" t="n">
        <v>0.53</v>
      </c>
      <c r="N102" s="5" t="n">
        <v>0.6</v>
      </c>
    </row>
    <row r="103">
      <c r="A103" t="n">
        <v>102</v>
      </c>
      <c r="B103" t="n">
        <v>2012</v>
      </c>
      <c r="C103" t="inlineStr">
        <is>
          <t>Laura Patsynka</t>
        </is>
      </c>
      <c r="D103">
        <f>HYPERLINK("https://ota.tournamentsoftware.com/player-profile/49340E93-6E30-4683-9E0F-4D50A1C584F1", "Link")</f>
        <v/>
      </c>
      <c r="E103" s="3" t="n">
        <v>932.872</v>
      </c>
      <c r="F103" s="4" t="n">
        <v>30</v>
      </c>
      <c r="G103" t="inlineStr">
        <is>
          <t>Ontario Tennis Association</t>
        </is>
      </c>
      <c r="H103" t="inlineStr">
        <is>
          <t>Peak Performance Tennis Academy</t>
        </is>
      </c>
      <c r="I103" t="inlineStr">
        <is>
          <t>unavailable</t>
        </is>
      </c>
      <c r="J103" s="4" t="n">
        <v>197</v>
      </c>
      <c r="K103" t="inlineStr">
        <is>
          <t>79 / 118</t>
        </is>
      </c>
      <c r="L103" t="inlineStr">
        <is>
          <t>10 / 19</t>
        </is>
      </c>
      <c r="M103" s="5" t="n">
        <v>0.4</v>
      </c>
      <c r="N103" s="5" t="n">
        <v>0.34</v>
      </c>
    </row>
    <row r="104">
      <c r="A104" t="n">
        <v>103</v>
      </c>
      <c r="B104" t="n">
        <v>2013</v>
      </c>
      <c r="C104" t="inlineStr">
        <is>
          <t>Akshara Bavanaka</t>
        </is>
      </c>
      <c r="D104">
        <f>HYPERLINK("https://ota.tournamentsoftware.com/player-profile/DB56F65D-8A18-4169-BE31-18F89B25E14B", "Link")</f>
        <v/>
      </c>
      <c r="E104" s="3" t="n">
        <v>897.643</v>
      </c>
      <c r="F104" s="4" t="n">
        <v>38</v>
      </c>
      <c r="G104" t="inlineStr">
        <is>
          <t>Ontario Tennis Association</t>
        </is>
      </c>
      <c r="H104" t="inlineStr">
        <is>
          <t>Advantage Tennis International at Veneto</t>
        </is>
      </c>
      <c r="I104" t="n">
        <v>30.1</v>
      </c>
      <c r="J104" s="4" t="n">
        <v>231</v>
      </c>
      <c r="K104" t="inlineStr">
        <is>
          <t>119 / 112</t>
        </is>
      </c>
      <c r="L104" t="inlineStr">
        <is>
          <t>18 / 21</t>
        </is>
      </c>
      <c r="M104" s="5" t="n">
        <v>0.52</v>
      </c>
      <c r="N104" s="5" t="n">
        <v>0.46</v>
      </c>
    </row>
    <row r="105">
      <c r="A105" t="n">
        <v>104</v>
      </c>
      <c r="B105" t="n">
        <v>2013</v>
      </c>
      <c r="C105" t="inlineStr">
        <is>
          <t>Amelia Karapalevski</t>
        </is>
      </c>
      <c r="D105">
        <f>HYPERLINK("https://ota.tournamentsoftware.com/player-profile/FA2D2790-6EBD-4928-94F7-17F54621E2B4", "Link")</f>
        <v/>
      </c>
      <c r="E105" s="3" t="n">
        <v>896.6180000000001</v>
      </c>
      <c r="F105" s="4" t="n">
        <v>36</v>
      </c>
      <c r="G105" t="inlineStr">
        <is>
          <t>Ontario Tennis Association</t>
        </is>
      </c>
      <c r="H105" t="inlineStr">
        <is>
          <t>No Club</t>
        </is>
      </c>
      <c r="I105" t="n">
        <v>28</v>
      </c>
      <c r="J105" s="4" t="n">
        <v>219</v>
      </c>
      <c r="K105" t="inlineStr">
        <is>
          <t>127 / 92</t>
        </is>
      </c>
      <c r="L105" t="inlineStr">
        <is>
          <t>33 / 21</t>
        </is>
      </c>
      <c r="M105" s="5" t="n">
        <v>0.58</v>
      </c>
      <c r="N105" s="5" t="n">
        <v>0.61</v>
      </c>
    </row>
    <row r="106">
      <c r="A106" t="n">
        <v>105</v>
      </c>
      <c r="B106" t="n">
        <v>2013</v>
      </c>
      <c r="C106" t="inlineStr">
        <is>
          <t>Mia Nikolovska</t>
        </is>
      </c>
      <c r="D106">
        <f>HYPERLINK("https://ota.tournamentsoftware.com/player-profile/52158395-8ADB-4430-ABAA-C56A79756D09", "Link")</f>
        <v/>
      </c>
      <c r="E106" s="3" t="n">
        <v>895.96</v>
      </c>
      <c r="F106" s="4" t="n">
        <v>39</v>
      </c>
      <c r="G106" t="inlineStr">
        <is>
          <t>Ontario Tennis Association</t>
        </is>
      </c>
      <c r="H106" t="inlineStr">
        <is>
          <t>No Club</t>
        </is>
      </c>
      <c r="I106" t="inlineStr">
        <is>
          <t>unavailable</t>
        </is>
      </c>
      <c r="J106" s="4" t="n">
        <v>366</v>
      </c>
      <c r="K106" t="inlineStr">
        <is>
          <t>223 / 143</t>
        </is>
      </c>
      <c r="L106" t="inlineStr">
        <is>
          <t>33 / 22</t>
        </is>
      </c>
      <c r="M106" s="5" t="n">
        <v>0.61</v>
      </c>
      <c r="N106" s="5" t="n">
        <v>0.6</v>
      </c>
    </row>
    <row r="107">
      <c r="A107" t="n">
        <v>106</v>
      </c>
      <c r="B107" t="n">
        <v>2014</v>
      </c>
      <c r="C107" t="inlineStr">
        <is>
          <t>Qiuyue Li</t>
        </is>
      </c>
      <c r="D107">
        <f>HYPERLINK("https://ota.tournamentsoftware.com/player-profile/20DDEF60-3700-4387-8C53-C32DB7F857D4", "Link")</f>
        <v/>
      </c>
      <c r="E107" s="3" t="n">
        <v>884.4</v>
      </c>
      <c r="F107" s="4" t="n">
        <v>4</v>
      </c>
      <c r="G107" t="inlineStr">
        <is>
          <t>Ontario Tennis Association</t>
        </is>
      </c>
      <c r="H107" t="inlineStr">
        <is>
          <t>No Club</t>
        </is>
      </c>
      <c r="I107" t="n">
        <v>26.6</v>
      </c>
      <c r="J107" s="4" t="n">
        <v>26</v>
      </c>
      <c r="K107" t="inlineStr">
        <is>
          <t>24 / 2</t>
        </is>
      </c>
      <c r="L107" t="inlineStr">
        <is>
          <t>14 / 1</t>
        </is>
      </c>
      <c r="M107" s="5" t="n">
        <v>0.92</v>
      </c>
      <c r="N107" s="5" t="n">
        <v>0.93</v>
      </c>
    </row>
    <row r="108">
      <c r="A108" t="n">
        <v>107</v>
      </c>
      <c r="B108" t="n">
        <v>2015</v>
      </c>
      <c r="C108" t="inlineStr">
        <is>
          <t>Emilie Joly</t>
        </is>
      </c>
      <c r="D108">
        <f>HYPERLINK("https://ota.tournamentsoftware.com/player-profile/57736008-B9CA-4FCE-BEF6-90222787F336", "Link")</f>
        <v/>
      </c>
      <c r="E108" s="3" t="n">
        <v>865.3150000000001</v>
      </c>
      <c r="F108" s="4" t="n">
        <v>17</v>
      </c>
      <c r="G108" t="inlineStr">
        <is>
          <t>Ontario Tennis Association</t>
        </is>
      </c>
      <c r="H108" t="inlineStr">
        <is>
          <t>Kingston Racquet Centre</t>
        </is>
      </c>
      <c r="I108" t="n">
        <v>27.5</v>
      </c>
      <c r="J108" s="4" t="n">
        <v>224</v>
      </c>
      <c r="K108" t="inlineStr">
        <is>
          <t>156 / 68</t>
        </is>
      </c>
      <c r="L108" t="inlineStr">
        <is>
          <t>33 / 8</t>
        </is>
      </c>
      <c r="M108" s="5" t="n">
        <v>0.7</v>
      </c>
      <c r="N108" s="5" t="n">
        <v>0.8</v>
      </c>
    </row>
    <row r="109">
      <c r="A109" t="n">
        <v>108</v>
      </c>
      <c r="B109" t="n">
        <v>2012</v>
      </c>
      <c r="C109" t="inlineStr">
        <is>
          <t>Jaydalie Isaac</t>
        </is>
      </c>
      <c r="D109">
        <f>HYPERLINK("https://ota.tournamentsoftware.com/player-profile/A56DDC7B-03D0-424A-907D-63A363906F9A", "Link")</f>
        <v/>
      </c>
      <c r="E109" s="3" t="n">
        <v>851.111</v>
      </c>
      <c r="F109" s="4" t="n">
        <v>13</v>
      </c>
      <c r="G109" t="inlineStr">
        <is>
          <t>Tennis Québec</t>
        </is>
      </c>
      <c r="H109" t="inlineStr">
        <is>
          <t>No Club</t>
        </is>
      </c>
      <c r="I109" t="n">
        <v>28</v>
      </c>
      <c r="J109" s="4" t="n">
        <v>235</v>
      </c>
      <c r="K109" t="inlineStr">
        <is>
          <t>111 / 124</t>
        </is>
      </c>
      <c r="L109" t="inlineStr">
        <is>
          <t>21 / 12</t>
        </is>
      </c>
      <c r="M109" s="5" t="n">
        <v>0.47</v>
      </c>
      <c r="N109" s="5" t="n">
        <v>0.64</v>
      </c>
    </row>
    <row r="110">
      <c r="A110" t="n">
        <v>109</v>
      </c>
      <c r="B110" t="n">
        <v>2013</v>
      </c>
      <c r="C110" t="inlineStr">
        <is>
          <t>Jeanne Lampron</t>
        </is>
      </c>
      <c r="D110">
        <f>HYPERLINK("https://ota.tournamentsoftware.com/player-profile/DBA36429-C15E-4F24-9832-7D6BA94887C6", "Link")</f>
        <v/>
      </c>
      <c r="E110" s="3" t="n">
        <v>850.005</v>
      </c>
      <c r="F110" s="4" t="n">
        <v>25</v>
      </c>
      <c r="G110" t="inlineStr">
        <is>
          <t>Tennis Québec</t>
        </is>
      </c>
      <c r="H110" t="inlineStr">
        <is>
          <t>Tennis Montréal Excellence</t>
        </is>
      </c>
      <c r="I110" t="n">
        <v>26.6</v>
      </c>
      <c r="J110" s="4" t="n">
        <v>133</v>
      </c>
      <c r="K110" t="inlineStr">
        <is>
          <t>63 / 70</t>
        </is>
      </c>
      <c r="L110" t="inlineStr">
        <is>
          <t>28 / 23</t>
        </is>
      </c>
      <c r="M110" s="5" t="n">
        <v>0.47</v>
      </c>
      <c r="N110" s="5" t="n">
        <v>0.55</v>
      </c>
    </row>
    <row r="111">
      <c r="A111" t="n">
        <v>110</v>
      </c>
      <c r="B111" t="n">
        <v>2012</v>
      </c>
      <c r="C111" t="inlineStr">
        <is>
          <t>Estelle Kroupetski</t>
        </is>
      </c>
      <c r="D111">
        <f>HYPERLINK("https://ota.tournamentsoftware.com/player-profile/7A8D0D40-A77C-429C-81D6-05DC21DB8D28", "Link")</f>
        <v/>
      </c>
      <c r="E111" s="3" t="n">
        <v>846.264</v>
      </c>
      <c r="F111" s="4" t="n">
        <v>19</v>
      </c>
      <c r="G111" t="inlineStr">
        <is>
          <t>Ontario Tennis Association</t>
        </is>
      </c>
      <c r="H111" t="inlineStr">
        <is>
          <t>Ontario Racquet Club</t>
        </is>
      </c>
      <c r="I111" t="n">
        <v>28.4</v>
      </c>
      <c r="J111" s="4" t="n">
        <v>145</v>
      </c>
      <c r="K111" t="inlineStr">
        <is>
          <t>72 / 73</t>
        </is>
      </c>
      <c r="L111" t="inlineStr">
        <is>
          <t>28 / 11</t>
        </is>
      </c>
      <c r="M111" s="5" t="n">
        <v>0.5</v>
      </c>
      <c r="N111" s="5" t="n">
        <v>0.72</v>
      </c>
    </row>
    <row r="112">
      <c r="A112" t="n">
        <v>111</v>
      </c>
      <c r="B112" t="n">
        <v>2014</v>
      </c>
      <c r="C112" t="inlineStr">
        <is>
          <t>Thanida (Belle) Shaipanich</t>
        </is>
      </c>
      <c r="D112">
        <f>HYPERLINK("https://ota.tournamentsoftware.com/player-profile/98546C72-5CCA-44E8-AFB9-20B9D560E5E3", "Link")</f>
        <v/>
      </c>
      <c r="E112" s="3" t="n">
        <v>835.515</v>
      </c>
      <c r="F112" s="4" t="n">
        <v>16</v>
      </c>
      <c r="G112" t="inlineStr">
        <is>
          <t>British Columbia</t>
        </is>
      </c>
      <c r="H112" t="inlineStr">
        <is>
          <t>UBC Tennis Centre</t>
        </is>
      </c>
      <c r="I112" t="n">
        <v>27.7</v>
      </c>
      <c r="J112" s="4" t="n">
        <v>206</v>
      </c>
      <c r="K112" t="inlineStr">
        <is>
          <t>148 / 58</t>
        </is>
      </c>
      <c r="L112" t="inlineStr">
        <is>
          <t>31 / 21</t>
        </is>
      </c>
      <c r="M112" s="5" t="n">
        <v>0.72</v>
      </c>
      <c r="N112" s="5" t="n">
        <v>0.6</v>
      </c>
    </row>
    <row r="113">
      <c r="A113" t="n">
        <v>112</v>
      </c>
      <c r="B113" t="n">
        <v>2012</v>
      </c>
      <c r="C113" t="inlineStr">
        <is>
          <t>Zenaida May Kolesnikov</t>
        </is>
      </c>
      <c r="D113">
        <f>HYPERLINK("https://ota.tournamentsoftware.com/player-profile/0D20CA06-CC79-483F-87DD-AD6F5FC76972", "Link")</f>
        <v/>
      </c>
      <c r="E113" s="3" t="n">
        <v>834.88</v>
      </c>
      <c r="F113" s="4" t="n">
        <v>5</v>
      </c>
      <c r="G113" t="inlineStr">
        <is>
          <t>Ontario Tennis Association</t>
        </is>
      </c>
      <c r="H113" t="inlineStr">
        <is>
          <t>Kew Gardens Tennis Club</t>
        </is>
      </c>
      <c r="I113" t="n">
        <v>24.3</v>
      </c>
      <c r="J113" s="4" t="n">
        <v>87</v>
      </c>
      <c r="K113" t="inlineStr">
        <is>
          <t>67 / 20</t>
        </is>
      </c>
      <c r="L113" t="inlineStr">
        <is>
          <t>13 / 3</t>
        </is>
      </c>
      <c r="M113" s="5" t="n">
        <v>0.77</v>
      </c>
      <c r="N113" s="5" t="n">
        <v>0.8100000000000001</v>
      </c>
    </row>
    <row r="114">
      <c r="A114" t="n">
        <v>113</v>
      </c>
      <c r="B114" t="n">
        <v>2013</v>
      </c>
      <c r="C114" t="inlineStr">
        <is>
          <t>Natalia Sena</t>
        </is>
      </c>
      <c r="D114">
        <f>HYPERLINK("https://ota.tournamentsoftware.com/player-profile/D89592D5-D2EA-499E-9A9C-8B20B391C761", "Link")</f>
        <v/>
      </c>
      <c r="E114" s="3" t="n">
        <v>830.0940000000001</v>
      </c>
      <c r="F114" s="4" t="n">
        <v>29</v>
      </c>
      <c r="G114" t="inlineStr">
        <is>
          <t>Tennis Québec</t>
        </is>
      </c>
      <c r="H114" t="inlineStr">
        <is>
          <t>No Club</t>
        </is>
      </c>
      <c r="I114" t="n">
        <v>29</v>
      </c>
      <c r="J114" s="4" t="n">
        <v>89</v>
      </c>
      <c r="K114" t="inlineStr">
        <is>
          <t>46 / 43</t>
        </is>
      </c>
      <c r="L114" t="inlineStr">
        <is>
          <t>27 / 14</t>
        </is>
      </c>
      <c r="M114" s="5" t="n">
        <v>0.52</v>
      </c>
      <c r="N114" s="5" t="n">
        <v>0.66</v>
      </c>
    </row>
    <row r="115">
      <c r="A115" t="n">
        <v>114</v>
      </c>
      <c r="B115" t="n">
        <v>2014</v>
      </c>
      <c r="C115" t="inlineStr">
        <is>
          <t>Edwina Ed Xue</t>
        </is>
      </c>
      <c r="D115">
        <f>HYPERLINK("https://ota.tournamentsoftware.com/player-profile/16F3FDF7-F098-4A63-9D5F-87B196D248B5", "Link")</f>
        <v/>
      </c>
      <c r="E115" s="3" t="n">
        <v>821.777</v>
      </c>
      <c r="F115" s="4" t="n">
        <v>23</v>
      </c>
      <c r="G115" t="inlineStr">
        <is>
          <t>Ontario Tennis Association</t>
        </is>
      </c>
      <c r="H115" t="inlineStr">
        <is>
          <t>Granite Club</t>
        </is>
      </c>
      <c r="I115" t="n">
        <v>28.5</v>
      </c>
      <c r="J115" s="4" t="n">
        <v>288</v>
      </c>
      <c r="K115" t="inlineStr">
        <is>
          <t>169 / 119</t>
        </is>
      </c>
      <c r="L115" t="inlineStr">
        <is>
          <t>29 / 23</t>
        </is>
      </c>
      <c r="M115" s="5" t="n">
        <v>0.59</v>
      </c>
      <c r="N115" s="5" t="n">
        <v>0.5600000000000001</v>
      </c>
    </row>
    <row r="116">
      <c r="A116" t="n">
        <v>115</v>
      </c>
      <c r="B116" t="n">
        <v>2014</v>
      </c>
      <c r="C116" t="inlineStr">
        <is>
          <t>Nyah Morgan</t>
        </is>
      </c>
      <c r="D116">
        <f>HYPERLINK("https://ota.tournamentsoftware.com/player-profile/D9CA028A-3366-4954-9B65-F9840B84F93D", "Link")</f>
        <v/>
      </c>
      <c r="E116" s="3" t="n">
        <v>794.096</v>
      </c>
      <c r="F116" s="4" t="n">
        <v>22</v>
      </c>
      <c r="G116" t="inlineStr">
        <is>
          <t>Ontario Tennis Association</t>
        </is>
      </c>
      <c r="H116" t="inlineStr">
        <is>
          <t>Premier Racquet Clubs – Mississauga</t>
        </is>
      </c>
      <c r="I116" t="n">
        <v>28.4</v>
      </c>
      <c r="J116" s="4" t="n">
        <v>206</v>
      </c>
      <c r="K116" t="inlineStr">
        <is>
          <t>132 / 74</t>
        </is>
      </c>
      <c r="L116" t="inlineStr">
        <is>
          <t>30 / 18</t>
        </is>
      </c>
      <c r="M116" s="5" t="n">
        <v>0.64</v>
      </c>
      <c r="N116" s="5" t="n">
        <v>0.62</v>
      </c>
    </row>
    <row r="117">
      <c r="A117" t="n">
        <v>116</v>
      </c>
      <c r="B117" t="n">
        <v>2013</v>
      </c>
      <c r="C117" t="inlineStr">
        <is>
          <t>Melanie Moon</t>
        </is>
      </c>
      <c r="D117">
        <f>HYPERLINK("https://ota.tournamentsoftware.com/player-profile/90FC60A1-D48C-4A9A-97D8-A17B60CF6D4A", "Link")</f>
        <v/>
      </c>
      <c r="E117" s="3" t="n">
        <v>784.8390000000001</v>
      </c>
      <c r="F117" s="4" t="n">
        <v>15</v>
      </c>
      <c r="G117" t="inlineStr">
        <is>
          <t>British Columbia</t>
        </is>
      </c>
      <c r="H117" t="inlineStr">
        <is>
          <t>Vancouver Lawn Tennis and Badminton Club</t>
        </is>
      </c>
      <c r="I117" t="n">
        <v>28.3</v>
      </c>
      <c r="J117" s="4" t="n">
        <v>236</v>
      </c>
      <c r="K117" t="inlineStr">
        <is>
          <t>119 / 117</t>
        </is>
      </c>
      <c r="L117" t="inlineStr">
        <is>
          <t>10 / 17</t>
        </is>
      </c>
      <c r="M117" s="5" t="n">
        <v>0.5</v>
      </c>
      <c r="N117" s="5" t="n">
        <v>0.37</v>
      </c>
    </row>
    <row r="118">
      <c r="A118" t="n">
        <v>117</v>
      </c>
      <c r="B118" t="n">
        <v>2013</v>
      </c>
      <c r="C118" t="inlineStr">
        <is>
          <t>Élianne Bouchard</t>
        </is>
      </c>
      <c r="D118">
        <f>HYPERLINK("https://ota.tournamentsoftware.com/player-profile/44233F45-64EC-49B2-AA72-859E176C2987", "Link")</f>
        <v/>
      </c>
      <c r="E118" s="3" t="n">
        <v>784.313</v>
      </c>
      <c r="F118" s="4" t="n">
        <v>29</v>
      </c>
      <c r="G118" t="inlineStr">
        <is>
          <t>Tennis Québec</t>
        </is>
      </c>
      <c r="H118" t="inlineStr">
        <is>
          <t>Tennis Interclub Piedmont</t>
        </is>
      </c>
      <c r="I118" t="n">
        <v>29.9</v>
      </c>
      <c r="J118" s="4" t="n">
        <v>244</v>
      </c>
      <c r="K118" t="inlineStr">
        <is>
          <t>114 / 130</t>
        </is>
      </c>
      <c r="L118" t="inlineStr">
        <is>
          <t>28 / 22</t>
        </is>
      </c>
      <c r="M118" s="5" t="n">
        <v>0.47</v>
      </c>
      <c r="N118" s="5" t="n">
        <v>0.5600000000000001</v>
      </c>
    </row>
    <row r="119">
      <c r="A119" t="n">
        <v>118</v>
      </c>
      <c r="B119" t="n">
        <v>2012</v>
      </c>
      <c r="C119" t="inlineStr">
        <is>
          <t>Penelope Brandt</t>
        </is>
      </c>
      <c r="D119">
        <f>HYPERLINK("https://ota.tournamentsoftware.com/player-profile/AA2E46A9-EC33-4492-A527-0C8E0CA405B0", "Link")</f>
        <v/>
      </c>
      <c r="E119" s="3" t="n">
        <v>784.1559999999999</v>
      </c>
      <c r="F119" s="4" t="n">
        <v>25</v>
      </c>
      <c r="G119" t="inlineStr">
        <is>
          <t>Tennis Québec</t>
        </is>
      </c>
      <c r="H119" t="inlineStr">
        <is>
          <t>SANI Sport</t>
        </is>
      </c>
      <c r="I119" t="n">
        <v>27.9</v>
      </c>
      <c r="J119" s="4" t="n">
        <v>244</v>
      </c>
      <c r="K119" t="inlineStr">
        <is>
          <t>123 / 121</t>
        </is>
      </c>
      <c r="L119" t="inlineStr">
        <is>
          <t>32 / 20</t>
        </is>
      </c>
      <c r="M119" s="5" t="n">
        <v>0.5</v>
      </c>
      <c r="N119" s="5" t="n">
        <v>0.62</v>
      </c>
    </row>
    <row r="120">
      <c r="A120" t="n">
        <v>119</v>
      </c>
      <c r="B120" t="n">
        <v>2013</v>
      </c>
      <c r="C120" t="inlineStr">
        <is>
          <t>Navya Chawla</t>
        </is>
      </c>
      <c r="D120">
        <f>HYPERLINK("https://ota.tournamentsoftware.com/player-profile/26838C23-66D4-4CAD-825B-C69620EB242D", "Link")</f>
        <v/>
      </c>
      <c r="E120" s="3" t="n">
        <v>777.96</v>
      </c>
      <c r="F120" s="4" t="n">
        <v>18</v>
      </c>
      <c r="G120" t="inlineStr">
        <is>
          <t>Tennis Alberta</t>
        </is>
      </c>
      <c r="H120" t="inlineStr">
        <is>
          <t>Osten &amp; Victor Alberta Tennis Centre</t>
        </is>
      </c>
      <c r="I120" t="n">
        <v>24.5</v>
      </c>
      <c r="J120" s="4" t="n">
        <v>281</v>
      </c>
      <c r="K120" t="inlineStr">
        <is>
          <t>178 / 103</t>
        </is>
      </c>
      <c r="L120" t="inlineStr">
        <is>
          <t>14 / 13</t>
        </is>
      </c>
      <c r="M120" s="5" t="n">
        <v>0.63</v>
      </c>
      <c r="N120" s="5" t="n">
        <v>0.52</v>
      </c>
    </row>
    <row r="121">
      <c r="A121" t="n">
        <v>120</v>
      </c>
      <c r="B121" t="n">
        <v>2015</v>
      </c>
      <c r="C121" t="inlineStr">
        <is>
          <t>Olivia Lu</t>
        </is>
      </c>
      <c r="D121">
        <f>HYPERLINK("https://ota.tournamentsoftware.com/player-profile/807CAE71-A1FD-4ED2-952F-E0EDBF0E66E6", "Link")</f>
        <v/>
      </c>
      <c r="E121" s="3" t="n">
        <v>767.184</v>
      </c>
      <c r="F121" s="4" t="n">
        <v>24</v>
      </c>
      <c r="G121" t="inlineStr">
        <is>
          <t>Ontario Tennis Association</t>
        </is>
      </c>
      <c r="H121" t="inlineStr">
        <is>
          <t>Advantage Tennis International at Veneto</t>
        </is>
      </c>
      <c r="I121" t="n">
        <v>30.7</v>
      </c>
      <c r="J121" s="4" t="n">
        <v>161</v>
      </c>
      <c r="K121" t="inlineStr">
        <is>
          <t>93 / 68</t>
        </is>
      </c>
      <c r="L121" t="inlineStr">
        <is>
          <t>26 / 16</t>
        </is>
      </c>
      <c r="M121" s="5" t="n">
        <v>0.58</v>
      </c>
      <c r="N121" s="5" t="n">
        <v>0.62</v>
      </c>
    </row>
    <row r="122">
      <c r="A122" t="n">
        <v>121</v>
      </c>
      <c r="B122" t="n">
        <v>2012</v>
      </c>
      <c r="C122" t="inlineStr">
        <is>
          <t>Lourdes Valentina Haun</t>
        </is>
      </c>
      <c r="D122">
        <f>HYPERLINK("https://ota.tournamentsoftware.com/player-profile/97D1640C-AAFD-43B2-8C9A-BAA1649A3937", "Link")</f>
        <v/>
      </c>
      <c r="E122" s="3" t="n">
        <v>761.729</v>
      </c>
      <c r="F122" s="4" t="n">
        <v>14</v>
      </c>
      <c r="G122" t="inlineStr">
        <is>
          <t>Tennis Alberta</t>
        </is>
      </c>
      <c r="H122" t="inlineStr">
        <is>
          <t>Osten &amp; Victor Alberta Tennis Centre</t>
        </is>
      </c>
      <c r="I122" t="n">
        <v>26.1</v>
      </c>
      <c r="J122" s="4" t="n">
        <v>292</v>
      </c>
      <c r="K122" t="inlineStr">
        <is>
          <t>170 / 122</t>
        </is>
      </c>
      <c r="L122" t="inlineStr">
        <is>
          <t>21 / 16</t>
        </is>
      </c>
      <c r="M122" s="5" t="n">
        <v>0.58</v>
      </c>
      <c r="N122" s="5" t="n">
        <v>0.57</v>
      </c>
    </row>
    <row r="123">
      <c r="A123" t="n">
        <v>122</v>
      </c>
      <c r="B123" t="n">
        <v>2012</v>
      </c>
      <c r="C123" t="inlineStr">
        <is>
          <t>Victoria Chow</t>
        </is>
      </c>
      <c r="D123">
        <f>HYPERLINK("https://ota.tournamentsoftware.com/player-profile/7A966C5F-11C4-49ED-9F9D-2B1D18AB7E3B", "Link")</f>
        <v/>
      </c>
      <c r="E123" s="3" t="n">
        <v>743.375</v>
      </c>
      <c r="F123" s="4" t="n">
        <v>20</v>
      </c>
      <c r="G123" t="inlineStr">
        <is>
          <t>Ontario Tennis Association</t>
        </is>
      </c>
      <c r="H123" t="inlineStr">
        <is>
          <t>No Club</t>
        </is>
      </c>
      <c r="I123" t="inlineStr">
        <is>
          <t>unavailable</t>
        </is>
      </c>
      <c r="J123" s="4" t="n">
        <v>278</v>
      </c>
      <c r="K123" t="inlineStr">
        <is>
          <t>141 / 137</t>
        </is>
      </c>
      <c r="L123" t="inlineStr">
        <is>
          <t>15 / 23</t>
        </is>
      </c>
      <c r="M123" s="5" t="n">
        <v>0.51</v>
      </c>
      <c r="N123" s="5" t="n">
        <v>0.39</v>
      </c>
    </row>
    <row r="124">
      <c r="A124" t="n">
        <v>123</v>
      </c>
      <c r="B124" t="n">
        <v>2014</v>
      </c>
      <c r="C124" t="inlineStr">
        <is>
          <t>Michelle Zhang</t>
        </is>
      </c>
      <c r="D124">
        <f>HYPERLINK("https://ota.tournamentsoftware.com/player-profile/9912697B-2876-4A36-8F98-3B7F524694E1", "Link")</f>
        <v/>
      </c>
      <c r="E124" s="3" t="n">
        <v>738.6799999999999</v>
      </c>
      <c r="F124" s="4" t="n">
        <v>12</v>
      </c>
      <c r="G124" t="inlineStr">
        <is>
          <t>Tennis Nova Scotia</t>
        </is>
      </c>
      <c r="H124" t="inlineStr">
        <is>
          <t>Atlantic Tennis Centre</t>
        </is>
      </c>
      <c r="I124" t="n">
        <v>30.1</v>
      </c>
      <c r="J124" s="4" t="n">
        <v>157</v>
      </c>
      <c r="K124" t="inlineStr">
        <is>
          <t>88 / 69</t>
        </is>
      </c>
      <c r="L124" t="inlineStr">
        <is>
          <t>26 / 28</t>
        </is>
      </c>
      <c r="M124" s="5" t="n">
        <v>0.5600000000000001</v>
      </c>
      <c r="N124" s="5" t="n">
        <v>0.48</v>
      </c>
    </row>
    <row r="125">
      <c r="A125" t="n">
        <v>124</v>
      </c>
      <c r="B125" t="n">
        <v>2012</v>
      </c>
      <c r="C125" t="inlineStr">
        <is>
          <t>Emma Abdou</t>
        </is>
      </c>
      <c r="D125">
        <f>HYPERLINK("https://ota.tournamentsoftware.com/player-profile/FD6387AB-774D-491E-8A68-CE4DD20FAEF7", "Link")</f>
        <v/>
      </c>
      <c r="E125" s="3" t="n">
        <v>734.55</v>
      </c>
      <c r="F125" s="4" t="n">
        <v>34</v>
      </c>
      <c r="G125" t="inlineStr">
        <is>
          <t>Ontario Tennis Association</t>
        </is>
      </c>
      <c r="H125" t="inlineStr">
        <is>
          <t>Granite Club</t>
        </is>
      </c>
      <c r="I125" t="n">
        <v>30.5</v>
      </c>
      <c r="J125" s="4" t="n">
        <v>208</v>
      </c>
      <c r="K125" t="inlineStr">
        <is>
          <t>98 / 110</t>
        </is>
      </c>
      <c r="L125" t="inlineStr">
        <is>
          <t>30 / 27</t>
        </is>
      </c>
      <c r="M125" s="5" t="n">
        <v>0.47</v>
      </c>
      <c r="N125" s="5" t="n">
        <v>0.53</v>
      </c>
    </row>
    <row r="126">
      <c r="A126" t="n">
        <v>125</v>
      </c>
      <c r="B126" t="n">
        <v>2012</v>
      </c>
      <c r="C126" t="inlineStr">
        <is>
          <t>Joanna Pananchickal</t>
        </is>
      </c>
      <c r="D126">
        <f>HYPERLINK("https://ota.tournamentsoftware.com/player-profile/6487D297-D67D-4189-9D3C-05A8EA398E60", "Link")</f>
        <v/>
      </c>
      <c r="E126" s="3" t="n">
        <v>722.931</v>
      </c>
      <c r="F126" s="4" t="n">
        <v>12</v>
      </c>
      <c r="G126" t="inlineStr">
        <is>
          <t>Ontario Tennis Association</t>
        </is>
      </c>
      <c r="H126" t="inlineStr">
        <is>
          <t>No Club</t>
        </is>
      </c>
      <c r="I126" t="n">
        <v>30.5</v>
      </c>
      <c r="J126" s="4" t="n">
        <v>66</v>
      </c>
      <c r="K126" t="inlineStr">
        <is>
          <t>31 / 35</t>
        </is>
      </c>
      <c r="L126" t="inlineStr">
        <is>
          <t>13 / 7</t>
        </is>
      </c>
      <c r="M126" s="5" t="n">
        <v>0.47</v>
      </c>
      <c r="N126" s="5" t="n">
        <v>0.65</v>
      </c>
    </row>
    <row r="127">
      <c r="A127" t="n">
        <v>126</v>
      </c>
      <c r="B127" t="n">
        <v>2012</v>
      </c>
      <c r="C127" t="inlineStr">
        <is>
          <t>Meika Sebastian</t>
        </is>
      </c>
      <c r="D127">
        <f>HYPERLINK("https://ota.tournamentsoftware.com/player-profile/0CA7407B-419A-43BA-82FB-32200AA68BA2", "Link")</f>
        <v/>
      </c>
      <c r="E127" s="3" t="n">
        <v>719.111</v>
      </c>
      <c r="F127" s="4" t="n">
        <v>8</v>
      </c>
      <c r="G127" t="inlineStr">
        <is>
          <t>Ontario Tennis Association</t>
        </is>
      </c>
      <c r="H127" t="inlineStr">
        <is>
          <t>City of Kingston</t>
        </is>
      </c>
      <c r="I127" t="n">
        <v>24.7</v>
      </c>
      <c r="J127" s="4" t="n">
        <v>287</v>
      </c>
      <c r="K127" t="inlineStr">
        <is>
          <t>147 / 140</t>
        </is>
      </c>
      <c r="L127" t="inlineStr">
        <is>
          <t>0 / 4</t>
        </is>
      </c>
      <c r="M127" s="5" t="n">
        <v>0.51</v>
      </c>
      <c r="N127" s="5" t="n">
        <v>0</v>
      </c>
    </row>
    <row r="128">
      <c r="A128" t="n">
        <v>127</v>
      </c>
      <c r="B128" t="n">
        <v>2014</v>
      </c>
      <c r="C128" t="inlineStr">
        <is>
          <t>Nuanyi Li</t>
        </is>
      </c>
      <c r="D128">
        <f>HYPERLINK("https://ota.tournamentsoftware.com/player-profile/341DA394-9039-4254-B369-B8C52872A168", "Link")</f>
        <v/>
      </c>
      <c r="E128" s="3" t="n">
        <v>710.697</v>
      </c>
      <c r="F128" s="4" t="n">
        <v>30</v>
      </c>
      <c r="G128" t="inlineStr">
        <is>
          <t>Ontario Tennis Association</t>
        </is>
      </c>
      <c r="H128" t="inlineStr">
        <is>
          <t>Fainblum Tennis Academy</t>
        </is>
      </c>
      <c r="I128" t="n">
        <v>28.4</v>
      </c>
      <c r="J128" s="4" t="n">
        <v>289</v>
      </c>
      <c r="K128" t="inlineStr">
        <is>
          <t>179 / 110</t>
        </is>
      </c>
      <c r="L128" t="inlineStr">
        <is>
          <t>28 / 27</t>
        </is>
      </c>
      <c r="M128" s="5" t="n">
        <v>0.62</v>
      </c>
      <c r="N128" s="5" t="n">
        <v>0.51</v>
      </c>
    </row>
    <row r="129">
      <c r="A129" t="n">
        <v>128</v>
      </c>
      <c r="B129" t="n">
        <v>2012</v>
      </c>
      <c r="C129" t="inlineStr">
        <is>
          <t>Dina Yijia Zhang</t>
        </is>
      </c>
      <c r="D129">
        <f>HYPERLINK("https://ota.tournamentsoftware.com/player-profile/CF7261D5-5723-40A9-853D-2B21D7A35985", "Link")</f>
        <v/>
      </c>
      <c r="E129" s="3" t="n">
        <v>703.611</v>
      </c>
      <c r="F129" s="4" t="n">
        <v>9</v>
      </c>
      <c r="G129" t="inlineStr">
        <is>
          <t>Tennis Nova Scotia</t>
        </is>
      </c>
      <c r="H129" t="inlineStr">
        <is>
          <t>HEADSTART</t>
        </is>
      </c>
      <c r="I129" t="n">
        <v>30.8</v>
      </c>
      <c r="J129" s="4" t="n">
        <v>158</v>
      </c>
      <c r="K129" t="inlineStr">
        <is>
          <t>64 / 94</t>
        </is>
      </c>
      <c r="L129" t="inlineStr">
        <is>
          <t>8 / 15</t>
        </is>
      </c>
      <c r="M129" s="5" t="n">
        <v>0.41</v>
      </c>
      <c r="N129" s="5" t="n">
        <v>0.35</v>
      </c>
    </row>
    <row r="130">
      <c r="A130" t="n">
        <v>129</v>
      </c>
      <c r="B130" t="n">
        <v>2013</v>
      </c>
      <c r="C130" t="inlineStr">
        <is>
          <t>Elena Vamoser</t>
        </is>
      </c>
      <c r="D130">
        <f>HYPERLINK("https://ota.tournamentsoftware.com/player-profile/F839ADA6-2875-4712-9FE7-C958E075D669", "Link")</f>
        <v/>
      </c>
      <c r="E130" s="3" t="n">
        <v>697.77</v>
      </c>
      <c r="F130" s="4" t="n">
        <v>26</v>
      </c>
      <c r="G130" t="inlineStr">
        <is>
          <t>Ontario Tennis Association</t>
        </is>
      </c>
      <c r="H130" t="inlineStr">
        <is>
          <t>ACE Tennis - Burlington</t>
        </is>
      </c>
      <c r="I130" t="n">
        <v>30.7</v>
      </c>
      <c r="J130" s="4" t="n">
        <v>128</v>
      </c>
      <c r="K130" t="inlineStr">
        <is>
          <t>74 / 54</t>
        </is>
      </c>
      <c r="L130" t="inlineStr">
        <is>
          <t>15 / 17</t>
        </is>
      </c>
      <c r="M130" s="5" t="n">
        <v>0.58</v>
      </c>
      <c r="N130" s="5" t="n">
        <v>0.47</v>
      </c>
    </row>
    <row r="131">
      <c r="A131" t="n">
        <v>130</v>
      </c>
      <c r="B131" t="n">
        <v>2016</v>
      </c>
      <c r="C131" t="inlineStr">
        <is>
          <t>Kaili Ear Gui</t>
        </is>
      </c>
      <c r="D131">
        <f>HYPERLINK("https://ota.tournamentsoftware.com/player-profile/6E1FCBA7-1BA6-4DCA-9440-D121E3710638", "Link")</f>
        <v/>
      </c>
      <c r="E131" s="3" t="n">
        <v>695.772</v>
      </c>
      <c r="F131" s="4" t="n">
        <v>13</v>
      </c>
      <c r="G131" t="inlineStr">
        <is>
          <t>Tennis Saskatchewan</t>
        </is>
      </c>
      <c r="H131" t="inlineStr">
        <is>
          <t>Lakeshore Tennis Club</t>
        </is>
      </c>
      <c r="I131" t="n">
        <v>31.7</v>
      </c>
      <c r="J131" s="4" t="n">
        <v>147</v>
      </c>
      <c r="K131" t="inlineStr">
        <is>
          <t>84 / 63</t>
        </is>
      </c>
      <c r="L131" t="inlineStr">
        <is>
          <t>35 / 30</t>
        </is>
      </c>
      <c r="M131" s="5" t="n">
        <v>0.57</v>
      </c>
      <c r="N131" s="5" t="n">
        <v>0.54</v>
      </c>
    </row>
    <row r="132">
      <c r="A132" t="n">
        <v>131</v>
      </c>
      <c r="B132" t="n">
        <v>2012</v>
      </c>
      <c r="C132" t="inlineStr">
        <is>
          <t>Avea Ungureanu Pinto</t>
        </is>
      </c>
      <c r="D132">
        <f>HYPERLINK("https://ota.tournamentsoftware.com/player-profile/527FEC9E-D920-4439-9E01-51A3CFDED939", "Link")</f>
        <v/>
      </c>
      <c r="E132" s="3" t="n">
        <v>681.7809999999999</v>
      </c>
      <c r="F132" s="4" t="n">
        <v>27</v>
      </c>
      <c r="G132" t="inlineStr">
        <is>
          <t>Ontario Tennis Association</t>
        </is>
      </c>
      <c r="H132" t="inlineStr">
        <is>
          <t>Mayfair East Racquet Club</t>
        </is>
      </c>
      <c r="I132" t="n">
        <v>28.3</v>
      </c>
      <c r="J132" s="4" t="n">
        <v>144</v>
      </c>
      <c r="K132" t="inlineStr">
        <is>
          <t>78 / 66</t>
        </is>
      </c>
      <c r="L132" t="inlineStr">
        <is>
          <t>23 / 17</t>
        </is>
      </c>
      <c r="M132" s="5" t="n">
        <v>0.54</v>
      </c>
      <c r="N132" s="5" t="n">
        <v>0.57</v>
      </c>
    </row>
    <row r="133">
      <c r="A133" t="n">
        <v>132</v>
      </c>
      <c r="B133" t="n">
        <v>2012</v>
      </c>
      <c r="C133" t="inlineStr">
        <is>
          <t>Anna Lucenti</t>
        </is>
      </c>
      <c r="D133">
        <f>HYPERLINK("https://ota.tournamentsoftware.com/player-profile/332E40CD-AB90-41CE-81C3-858501B2FAD3", "Link")</f>
        <v/>
      </c>
      <c r="E133" s="3" t="n">
        <v>680.645</v>
      </c>
      <c r="F133" s="4" t="n">
        <v>30</v>
      </c>
      <c r="G133" t="inlineStr">
        <is>
          <t>Ontario Tennis Association</t>
        </is>
      </c>
      <c r="H133" t="inlineStr">
        <is>
          <t>SmartVMC Racquetsports by ACE</t>
        </is>
      </c>
      <c r="I133" t="n">
        <v>30.4</v>
      </c>
      <c r="J133" s="4" t="n">
        <v>133</v>
      </c>
      <c r="K133" t="inlineStr">
        <is>
          <t>56 / 77</t>
        </is>
      </c>
      <c r="L133" t="inlineStr">
        <is>
          <t>23 / 14</t>
        </is>
      </c>
      <c r="M133" s="5" t="n">
        <v>0.42</v>
      </c>
      <c r="N133" s="5" t="n">
        <v>0.62</v>
      </c>
    </row>
    <row r="134">
      <c r="A134" t="n">
        <v>133</v>
      </c>
      <c r="B134" t="n">
        <v>2014</v>
      </c>
      <c r="C134" t="inlineStr">
        <is>
          <t>Fengfei ZHANG</t>
        </is>
      </c>
      <c r="D134">
        <f>HYPERLINK("https://ota.tournamentsoftware.com/player-profile/AB18AFB2-DEDF-42AF-BFB1-458553AF250C", "Link")</f>
        <v/>
      </c>
      <c r="E134" s="3" t="n">
        <v>661.9109999999999</v>
      </c>
      <c r="F134" s="4" t="n">
        <v>29</v>
      </c>
      <c r="G134" t="inlineStr">
        <is>
          <t>Tennis Québec</t>
        </is>
      </c>
      <c r="H134" t="inlineStr">
        <is>
          <t>Tennis Ile- des- Soeurs</t>
        </is>
      </c>
      <c r="I134" t="n">
        <v>29.1</v>
      </c>
      <c r="J134" s="4" t="n">
        <v>232</v>
      </c>
      <c r="K134" t="inlineStr">
        <is>
          <t>102 / 130</t>
        </is>
      </c>
      <c r="L134" t="inlineStr">
        <is>
          <t>36 / 31</t>
        </is>
      </c>
      <c r="M134" s="5" t="n">
        <v>0.44</v>
      </c>
      <c r="N134" s="5" t="n">
        <v>0.54</v>
      </c>
    </row>
    <row r="135">
      <c r="A135" t="n">
        <v>134</v>
      </c>
      <c r="B135" t="n">
        <v>2012</v>
      </c>
      <c r="C135" t="inlineStr">
        <is>
          <t>Cindy Zixuan Li</t>
        </is>
      </c>
      <c r="D135">
        <f>HYPERLINK("https://ota.tournamentsoftware.com/player-profile/23E61DC5-74BF-4612-8E7F-7DA0B013D911", "Link")</f>
        <v/>
      </c>
      <c r="E135" s="3" t="n">
        <v>661.299</v>
      </c>
      <c r="F135" s="4" t="n">
        <v>10</v>
      </c>
      <c r="G135" t="inlineStr">
        <is>
          <t>British Columbia</t>
        </is>
      </c>
      <c r="H135" t="inlineStr">
        <is>
          <t>Vanguard Tennis Academy</t>
        </is>
      </c>
      <c r="I135" t="n">
        <v>27.2</v>
      </c>
      <c r="J135" s="4" t="n">
        <v>137</v>
      </c>
      <c r="K135" t="inlineStr">
        <is>
          <t>69 / 68</t>
        </is>
      </c>
      <c r="L135" t="inlineStr">
        <is>
          <t>8 / 7</t>
        </is>
      </c>
      <c r="M135" s="5" t="n">
        <v>0.5</v>
      </c>
      <c r="N135" s="5" t="n">
        <v>0.53</v>
      </c>
    </row>
    <row r="136">
      <c r="A136" t="n">
        <v>135</v>
      </c>
      <c r="B136" t="n">
        <v>2012</v>
      </c>
      <c r="C136" t="inlineStr">
        <is>
          <t>Luisa Victoria Davis</t>
        </is>
      </c>
      <c r="D136">
        <f>HYPERLINK("https://ota.tournamentsoftware.com/player-profile/F5AE6D4A-50BA-4E57-AD34-589189161D57", "Link")</f>
        <v/>
      </c>
      <c r="E136" s="3" t="n">
        <v>656.047</v>
      </c>
      <c r="F136" s="4" t="n">
        <v>12</v>
      </c>
      <c r="G136" t="inlineStr">
        <is>
          <t>Ontario Tennis Association</t>
        </is>
      </c>
      <c r="H136" t="inlineStr">
        <is>
          <t>Mayfair West Fitness &amp; Racquet Club</t>
        </is>
      </c>
      <c r="I136" t="inlineStr">
        <is>
          <t>unavailable</t>
        </is>
      </c>
      <c r="J136" s="4" t="n">
        <v>200</v>
      </c>
      <c r="K136" t="inlineStr">
        <is>
          <t>128 / 72</t>
        </is>
      </c>
      <c r="L136" t="inlineStr">
        <is>
          <t>6 / 10</t>
        </is>
      </c>
      <c r="M136" s="5" t="n">
        <v>0.64</v>
      </c>
      <c r="N136" s="5" t="n">
        <v>0.38</v>
      </c>
    </row>
    <row r="137">
      <c r="A137" t="n">
        <v>136</v>
      </c>
      <c r="B137" t="n">
        <v>2012</v>
      </c>
      <c r="C137" t="inlineStr">
        <is>
          <t>Chloe Fischer</t>
        </is>
      </c>
      <c r="D137">
        <f>HYPERLINK("https://ota.tournamentsoftware.com/player-profile/4F19921D-D25C-4DFA-8A7D-90DE48FEB722", "Link")</f>
        <v/>
      </c>
      <c r="E137" s="3" t="n">
        <v>646.653</v>
      </c>
      <c r="F137" s="4" t="n">
        <v>23</v>
      </c>
      <c r="G137" t="inlineStr">
        <is>
          <t>Ontario Tennis Association</t>
        </is>
      </c>
      <c r="H137" t="inlineStr">
        <is>
          <t>No Club</t>
        </is>
      </c>
      <c r="I137" t="n">
        <v>33</v>
      </c>
      <c r="J137" s="4" t="n">
        <v>218</v>
      </c>
      <c r="K137" t="inlineStr">
        <is>
          <t>102 / 116</t>
        </is>
      </c>
      <c r="L137" t="inlineStr">
        <is>
          <t>6 / 21</t>
        </is>
      </c>
      <c r="M137" s="5" t="n">
        <v>0.47</v>
      </c>
      <c r="N137" s="5" t="n">
        <v>0.22</v>
      </c>
    </row>
    <row r="138">
      <c r="A138" t="n">
        <v>137</v>
      </c>
      <c r="B138" t="n">
        <v>2015</v>
      </c>
      <c r="C138" t="inlineStr">
        <is>
          <t>Sofia Chan</t>
        </is>
      </c>
      <c r="D138">
        <f>HYPERLINK("https://ota.tournamentsoftware.com/player-profile/62C41ADF-8A1D-416E-AAF9-4C80ECB74645", "Link")</f>
        <v/>
      </c>
      <c r="E138" s="3" t="n">
        <v>643.928</v>
      </c>
      <c r="F138" s="4" t="n">
        <v>32</v>
      </c>
      <c r="G138" t="inlineStr">
        <is>
          <t>Ontario Tennis Association</t>
        </is>
      </c>
      <c r="H138" t="inlineStr">
        <is>
          <t>No Club</t>
        </is>
      </c>
      <c r="I138" t="n">
        <v>30.5</v>
      </c>
      <c r="J138" s="4" t="n">
        <v>156</v>
      </c>
      <c r="K138" t="inlineStr">
        <is>
          <t>100 / 56</t>
        </is>
      </c>
      <c r="L138" t="inlineStr">
        <is>
          <t>43 / 25</t>
        </is>
      </c>
      <c r="M138" s="5" t="n">
        <v>0.64</v>
      </c>
      <c r="N138" s="5" t="n">
        <v>0.63</v>
      </c>
    </row>
    <row r="139">
      <c r="A139" t="n">
        <v>138</v>
      </c>
      <c r="B139" t="n">
        <v>2015</v>
      </c>
      <c r="C139" t="inlineStr">
        <is>
          <t>Amy Jiao</t>
        </is>
      </c>
      <c r="D139">
        <f>HYPERLINK("https://ota.tournamentsoftware.com/player-profile/5977984B-8EC9-4812-BCFA-CD93C4FFD7AF", "Link")</f>
        <v/>
      </c>
      <c r="E139" s="3" t="n">
        <v>641.838</v>
      </c>
      <c r="F139" s="4" t="n">
        <v>24</v>
      </c>
      <c r="G139" t="inlineStr">
        <is>
          <t>Ontario Tennis Association</t>
        </is>
      </c>
      <c r="H139" t="inlineStr">
        <is>
          <t>Rideau Sports Centre</t>
        </is>
      </c>
      <c r="I139" t="n">
        <v>29.5</v>
      </c>
      <c r="J139" s="4" t="n">
        <v>297</v>
      </c>
      <c r="K139" t="inlineStr">
        <is>
          <t>168 / 129</t>
        </is>
      </c>
      <c r="L139" t="inlineStr">
        <is>
          <t>49 / 27</t>
        </is>
      </c>
      <c r="M139" s="5" t="n">
        <v>0.57</v>
      </c>
      <c r="N139" s="5" t="n">
        <v>0.64</v>
      </c>
    </row>
    <row r="140">
      <c r="A140" t="n">
        <v>139</v>
      </c>
      <c r="B140" t="n">
        <v>2012</v>
      </c>
      <c r="C140" t="inlineStr">
        <is>
          <t>Madison Tam</t>
        </is>
      </c>
      <c r="D140">
        <f>HYPERLINK("https://ota.tournamentsoftware.com/player-profile/827C7FCD-2D7D-406E-B5C0-29D0720096DC", "Link")</f>
        <v/>
      </c>
      <c r="E140" s="3" t="n">
        <v>638.2</v>
      </c>
      <c r="F140" s="4" t="n">
        <v>20</v>
      </c>
      <c r="G140" t="inlineStr">
        <is>
          <t>Ontario Tennis Association</t>
        </is>
      </c>
      <c r="H140" t="inlineStr">
        <is>
          <t>Sir Winston Churchill Tennis Club</t>
        </is>
      </c>
      <c r="I140" t="n">
        <v>29.1</v>
      </c>
      <c r="J140" s="4" t="n">
        <v>441</v>
      </c>
      <c r="K140" t="inlineStr">
        <is>
          <t>316 / 125</t>
        </is>
      </c>
      <c r="L140" t="inlineStr">
        <is>
          <t>19 / 10</t>
        </is>
      </c>
      <c r="M140" s="5" t="n">
        <v>0.72</v>
      </c>
      <c r="N140" s="5" t="n">
        <v>0.66</v>
      </c>
    </row>
    <row r="141">
      <c r="A141" t="n">
        <v>140</v>
      </c>
      <c r="B141" t="n">
        <v>2013</v>
      </c>
      <c r="C141" t="inlineStr">
        <is>
          <t>Leyan Isabella Yik Sum Leung</t>
        </is>
      </c>
      <c r="D141">
        <f>HYPERLINK("https://ota.tournamentsoftware.com/player-profile/7FB2D792-ABB2-4F05-B9D4-757321E9FA35", "Link")</f>
        <v/>
      </c>
      <c r="E141" s="3" t="n">
        <v>635.405</v>
      </c>
      <c r="F141" s="4" t="n">
        <v>21</v>
      </c>
      <c r="G141" t="inlineStr">
        <is>
          <t>British Columbia</t>
        </is>
      </c>
      <c r="H141" t="inlineStr">
        <is>
          <t>Vanguard Tennis Academy</t>
        </is>
      </c>
      <c r="I141" t="n">
        <v>27.7</v>
      </c>
      <c r="J141" s="4" t="n">
        <v>123</v>
      </c>
      <c r="K141" t="inlineStr">
        <is>
          <t>79 / 44</t>
        </is>
      </c>
      <c r="L141" t="inlineStr">
        <is>
          <t>29 / 16</t>
        </is>
      </c>
      <c r="M141" s="5" t="n">
        <v>0.64</v>
      </c>
      <c r="N141" s="5" t="n">
        <v>0.64</v>
      </c>
    </row>
    <row r="142">
      <c r="A142" t="n">
        <v>141</v>
      </c>
      <c r="B142" t="n">
        <v>2014</v>
      </c>
      <c r="C142" t="inlineStr">
        <is>
          <t>Emmanuella Ibrahim</t>
        </is>
      </c>
      <c r="D142">
        <f>HYPERLINK("https://ota.tournamentsoftware.com/player-profile/8CFFE2B1-9508-4CB2-8E6A-6761AA8394EA", "Link")</f>
        <v/>
      </c>
      <c r="E142" s="3" t="n">
        <v>628.717</v>
      </c>
      <c r="F142" s="4" t="n">
        <v>18</v>
      </c>
      <c r="G142" t="inlineStr">
        <is>
          <t>Tennis Alberta</t>
        </is>
      </c>
      <c r="H142" t="inlineStr">
        <is>
          <t>Aforza</t>
        </is>
      </c>
      <c r="I142" t="inlineStr">
        <is>
          <t>unavailable</t>
        </is>
      </c>
      <c r="J142" s="4" t="n">
        <v>190</v>
      </c>
      <c r="K142" t="inlineStr">
        <is>
          <t>137 / 53</t>
        </is>
      </c>
      <c r="L142" t="inlineStr">
        <is>
          <t>39 / 16</t>
        </is>
      </c>
      <c r="M142" s="5" t="n">
        <v>0.72</v>
      </c>
      <c r="N142" s="5" t="n">
        <v>0.71</v>
      </c>
    </row>
    <row r="143">
      <c r="A143" t="n">
        <v>142</v>
      </c>
      <c r="B143" t="n">
        <v>2012</v>
      </c>
      <c r="C143" t="inlineStr">
        <is>
          <t>Yutong (Olivia) Ha</t>
        </is>
      </c>
      <c r="D143">
        <f>HYPERLINK("https://ota.tournamentsoftware.com/player-profile/53AE0DB5-1F76-4FB8-9870-3B236A9DAA97", "Link")</f>
        <v/>
      </c>
      <c r="E143" s="3" t="n">
        <v>624.7430000000001</v>
      </c>
      <c r="F143" s="4" t="n">
        <v>16</v>
      </c>
      <c r="G143" t="inlineStr">
        <is>
          <t>Ontario Tennis Association</t>
        </is>
      </c>
      <c r="H143" t="inlineStr">
        <is>
          <t>Richmondhill Golf &amp; Country Club</t>
        </is>
      </c>
      <c r="I143" t="inlineStr">
        <is>
          <t>unavailable</t>
        </is>
      </c>
      <c r="J143" s="4" t="n">
        <v>195</v>
      </c>
      <c r="K143" t="inlineStr">
        <is>
          <t>84 / 111</t>
        </is>
      </c>
      <c r="L143" t="inlineStr">
        <is>
          <t>6 / 16</t>
        </is>
      </c>
      <c r="M143" s="5" t="n">
        <v>0.43</v>
      </c>
      <c r="N143" s="5" t="n">
        <v>0.27</v>
      </c>
    </row>
    <row r="144">
      <c r="A144" t="n">
        <v>143</v>
      </c>
      <c r="B144" t="n">
        <v>2012</v>
      </c>
      <c r="C144" t="inlineStr">
        <is>
          <t>Riddhi Jha</t>
        </is>
      </c>
      <c r="D144">
        <f>HYPERLINK("https://ota.tournamentsoftware.com/player-profile/3B4B01BB-2AAD-49DD-B186-312576B12DC9", "Link")</f>
        <v/>
      </c>
      <c r="E144" s="3" t="n">
        <v>622.258</v>
      </c>
      <c r="F144" s="4" t="n">
        <v>14</v>
      </c>
      <c r="G144" t="inlineStr">
        <is>
          <t>Ontario Tennis Association</t>
        </is>
      </c>
      <c r="H144" t="inlineStr">
        <is>
          <t>Bramalea Tennis Club</t>
        </is>
      </c>
      <c r="I144" t="n">
        <v>30.7</v>
      </c>
      <c r="J144" s="4" t="n">
        <v>241</v>
      </c>
      <c r="K144" t="inlineStr">
        <is>
          <t>89 / 152</t>
        </is>
      </c>
      <c r="L144" t="inlineStr">
        <is>
          <t>18 / 11</t>
        </is>
      </c>
      <c r="M144" s="5" t="n">
        <v>0.37</v>
      </c>
      <c r="N144" s="5" t="n">
        <v>0.62</v>
      </c>
    </row>
    <row r="145">
      <c r="A145" t="n">
        <v>144</v>
      </c>
      <c r="B145" t="n">
        <v>2014</v>
      </c>
      <c r="C145" t="inlineStr">
        <is>
          <t>Evelyn Wang</t>
        </is>
      </c>
      <c r="D145">
        <f>HYPERLINK("https://ota.tournamentsoftware.com/player-profile/3A43E7FB-647C-4296-8E8D-106421DC2080", "Link")</f>
        <v/>
      </c>
      <c r="E145" s="3" t="n">
        <v>615.356</v>
      </c>
      <c r="F145" s="4" t="n">
        <v>16</v>
      </c>
      <c r="G145" t="inlineStr">
        <is>
          <t>British Columbia</t>
        </is>
      </c>
      <c r="H145" t="inlineStr">
        <is>
          <t>UBC Tennis Centre</t>
        </is>
      </c>
      <c r="I145" t="n">
        <v>28.5</v>
      </c>
      <c r="J145" s="4" t="n">
        <v>246</v>
      </c>
      <c r="K145" t="inlineStr">
        <is>
          <t>123 / 123</t>
        </is>
      </c>
      <c r="L145" t="inlineStr">
        <is>
          <t>27 / 24</t>
        </is>
      </c>
      <c r="M145" s="5" t="n">
        <v>0.5</v>
      </c>
      <c r="N145" s="5" t="n">
        <v>0.53</v>
      </c>
    </row>
    <row r="146">
      <c r="A146" t="n">
        <v>145</v>
      </c>
      <c r="B146" t="n">
        <v>2015</v>
      </c>
      <c r="C146" t="inlineStr">
        <is>
          <t>Emma Yin</t>
        </is>
      </c>
      <c r="D146">
        <f>HYPERLINK("https://ota.tournamentsoftware.com/player-profile/F90E2576-5989-4051-9E1F-45C789378967", "Link")</f>
        <v/>
      </c>
      <c r="E146" s="3" t="n">
        <v>613.705</v>
      </c>
      <c r="F146" s="4" t="n">
        <v>11</v>
      </c>
      <c r="G146" t="inlineStr">
        <is>
          <t>Tennis Saskatchewan</t>
        </is>
      </c>
      <c r="H146" t="inlineStr">
        <is>
          <t>Lakeshore Tennis Club</t>
        </is>
      </c>
      <c r="I146" t="n">
        <v>30.1</v>
      </c>
      <c r="J146" s="4" t="n">
        <v>157</v>
      </c>
      <c r="K146" t="inlineStr">
        <is>
          <t>80 / 77</t>
        </is>
      </c>
      <c r="L146" t="inlineStr">
        <is>
          <t>34 / 22</t>
        </is>
      </c>
      <c r="M146" s="5" t="n">
        <v>0.51</v>
      </c>
      <c r="N146" s="5" t="n">
        <v>0.61</v>
      </c>
    </row>
    <row r="147">
      <c r="A147" t="n">
        <v>146</v>
      </c>
      <c r="B147" t="n">
        <v>2014</v>
      </c>
      <c r="C147" t="inlineStr">
        <is>
          <t>Alice Yu-Qi Ren</t>
        </is>
      </c>
      <c r="D147">
        <f>HYPERLINK("https://ota.tournamentsoftware.com/player-profile/FE127D3B-825E-4C4F-9666-BA4529348FE4", "Link")</f>
        <v/>
      </c>
      <c r="E147" s="3" t="n">
        <v>610.301</v>
      </c>
      <c r="F147" s="4" t="n">
        <v>19</v>
      </c>
      <c r="G147" t="inlineStr">
        <is>
          <t>Tennis Alberta</t>
        </is>
      </c>
      <c r="H147" t="inlineStr">
        <is>
          <t>Saville Community Sports Centre</t>
        </is>
      </c>
      <c r="I147" t="n">
        <v>28.2</v>
      </c>
      <c r="J147" s="4" t="n">
        <v>208</v>
      </c>
      <c r="K147" t="inlineStr">
        <is>
          <t>142 / 66</t>
        </is>
      </c>
      <c r="L147" t="inlineStr">
        <is>
          <t>39 / 17</t>
        </is>
      </c>
      <c r="M147" s="5" t="n">
        <v>0.68</v>
      </c>
      <c r="N147" s="5" t="n">
        <v>0.7</v>
      </c>
    </row>
    <row r="148">
      <c r="A148" t="n">
        <v>147</v>
      </c>
      <c r="B148" t="n">
        <v>2012</v>
      </c>
      <c r="C148" t="inlineStr">
        <is>
          <t>OLIVIA JUNHAN CAO</t>
        </is>
      </c>
      <c r="D148">
        <f>HYPERLINK("https://ota.tournamentsoftware.com/player-profile/3D68BE77-5DE2-40D9-BCC3-C836A764F3EF", "Link")</f>
        <v/>
      </c>
      <c r="E148" s="3" t="n">
        <v>608.6</v>
      </c>
      <c r="F148" s="4" t="n">
        <v>19</v>
      </c>
      <c r="G148" t="inlineStr">
        <is>
          <t>British Columbia</t>
        </is>
      </c>
      <c r="H148" t="inlineStr">
        <is>
          <t>Richmond Country Club</t>
        </is>
      </c>
      <c r="I148" t="n">
        <v>27.2</v>
      </c>
      <c r="J148" s="4" t="n">
        <v>147</v>
      </c>
      <c r="K148" t="inlineStr">
        <is>
          <t>100 / 47</t>
        </is>
      </c>
      <c r="L148" t="inlineStr">
        <is>
          <t>37 / 16</t>
        </is>
      </c>
      <c r="M148" s="5" t="n">
        <v>0.68</v>
      </c>
      <c r="N148" s="5" t="n">
        <v>0.7</v>
      </c>
    </row>
    <row r="149">
      <c r="A149" t="n">
        <v>148</v>
      </c>
      <c r="B149" t="n">
        <v>2014</v>
      </c>
      <c r="C149" t="inlineStr">
        <is>
          <t>Naomi Iamandi</t>
        </is>
      </c>
      <c r="D149">
        <f>HYPERLINK("https://ota.tournamentsoftware.com/player-profile/5653599F-FFB6-46FA-B574-E53D7FBC278E", "Link")</f>
        <v/>
      </c>
      <c r="E149" s="3" t="n">
        <v>607.422</v>
      </c>
      <c r="F149" s="4" t="n">
        <v>24</v>
      </c>
      <c r="G149" t="inlineStr">
        <is>
          <t>Ontario Tennis Association</t>
        </is>
      </c>
      <c r="H149" t="inlineStr">
        <is>
          <t>Joshua Creek Golf &amp; Tennis</t>
        </is>
      </c>
      <c r="I149" t="n">
        <v>30.1</v>
      </c>
      <c r="J149" s="4" t="n">
        <v>230</v>
      </c>
      <c r="K149" t="inlineStr">
        <is>
          <t>125 / 105</t>
        </is>
      </c>
      <c r="L149" t="inlineStr">
        <is>
          <t>16 / 24</t>
        </is>
      </c>
      <c r="M149" s="5" t="n">
        <v>0.54</v>
      </c>
      <c r="N149" s="5" t="n">
        <v>0.4</v>
      </c>
    </row>
    <row r="150">
      <c r="A150" t="n">
        <v>149</v>
      </c>
      <c r="B150" t="n">
        <v>2013</v>
      </c>
      <c r="C150" t="inlineStr">
        <is>
          <t>Blaire Ming min kaminski</t>
        </is>
      </c>
      <c r="D150">
        <f>HYPERLINK("https://ota.tournamentsoftware.com/player-profile/F1255585-993D-4DBF-ADE9-E5818DCBA131", "Link")</f>
        <v/>
      </c>
      <c r="E150" s="3" t="n">
        <v>601.103</v>
      </c>
      <c r="F150" s="4" t="n">
        <v>16</v>
      </c>
      <c r="G150" t="inlineStr">
        <is>
          <t>Tennis Alberta</t>
        </is>
      </c>
      <c r="H150" t="inlineStr">
        <is>
          <t>Osten &amp; Victor Alberta Tennis Centre</t>
        </is>
      </c>
      <c r="I150" t="inlineStr">
        <is>
          <t>unavailable</t>
        </is>
      </c>
      <c r="J150" s="4" t="n">
        <v>124</v>
      </c>
      <c r="K150" t="inlineStr">
        <is>
          <t>60 / 64</t>
        </is>
      </c>
      <c r="L150" t="inlineStr">
        <is>
          <t>15 / 13</t>
        </is>
      </c>
      <c r="M150" s="5" t="n">
        <v>0.48</v>
      </c>
      <c r="N150" s="5" t="n">
        <v>0.54</v>
      </c>
    </row>
    <row r="151">
      <c r="A151" t="n">
        <v>150</v>
      </c>
      <c r="B151" t="n">
        <v>2012</v>
      </c>
      <c r="C151" t="inlineStr">
        <is>
          <t>Marisol Hilal</t>
        </is>
      </c>
      <c r="D151">
        <f>HYPERLINK("https://ota.tournamentsoftware.com/player-profile/A59841ED-F3F4-4773-A197-5502453988FE", "Link")</f>
        <v/>
      </c>
      <c r="E151" s="3" t="n">
        <v>596.234</v>
      </c>
      <c r="F151" s="4" t="n">
        <v>32</v>
      </c>
      <c r="G151" t="inlineStr">
        <is>
          <t>Tennis Québec</t>
        </is>
      </c>
      <c r="H151" t="inlineStr">
        <is>
          <t>Carrefour Multisports</t>
        </is>
      </c>
      <c r="I151" t="n">
        <v>30.1</v>
      </c>
      <c r="J151" s="4" t="n">
        <v>285</v>
      </c>
      <c r="K151" t="inlineStr">
        <is>
          <t>114 / 171</t>
        </is>
      </c>
      <c r="L151" t="inlineStr">
        <is>
          <t>17 / 26</t>
        </is>
      </c>
      <c r="M151" s="5" t="n">
        <v>0.4</v>
      </c>
      <c r="N151" s="5" t="n">
        <v>0.4</v>
      </c>
    </row>
    <row r="152">
      <c r="A152" t="n">
        <v>151</v>
      </c>
      <c r="B152" t="n">
        <v>2013</v>
      </c>
      <c r="C152" t="inlineStr">
        <is>
          <t>Bianca Nestor</t>
        </is>
      </c>
      <c r="D152">
        <f>HYPERLINK("https://ota.tournamentsoftware.com/player-profile/8BAE5D37-8145-43F6-9016-30DDC5E4E994", "Link")</f>
        <v/>
      </c>
      <c r="E152" s="3" t="n">
        <v>587.992</v>
      </c>
      <c r="F152" s="4" t="n">
        <v>23</v>
      </c>
      <c r="G152" t="inlineStr">
        <is>
          <t>Ontario Tennis Association</t>
        </is>
      </c>
      <c r="H152" t="inlineStr">
        <is>
          <t>Toronto Lawn Tennis Club</t>
        </is>
      </c>
      <c r="I152" t="n">
        <v>30.3</v>
      </c>
      <c r="J152" s="4" t="n">
        <v>196</v>
      </c>
      <c r="K152" t="inlineStr">
        <is>
          <t>96 / 100</t>
        </is>
      </c>
      <c r="L152" t="inlineStr">
        <is>
          <t>15 / 14</t>
        </is>
      </c>
      <c r="M152" s="5" t="n">
        <v>0.49</v>
      </c>
      <c r="N152" s="5" t="n">
        <v>0.52</v>
      </c>
    </row>
    <row r="153">
      <c r="A153" t="n">
        <v>152</v>
      </c>
      <c r="B153" t="n">
        <v>2013</v>
      </c>
      <c r="C153" t="inlineStr">
        <is>
          <t>Zoe Yeung</t>
        </is>
      </c>
      <c r="D153">
        <f>HYPERLINK("https://ota.tournamentsoftware.com/player-profile/69712725-5DA5-49A3-9C42-5A05BBB6B230", "Link")</f>
        <v/>
      </c>
      <c r="E153" s="3" t="n">
        <v>583.942</v>
      </c>
      <c r="F153" s="4" t="n">
        <v>16</v>
      </c>
      <c r="G153" t="inlineStr">
        <is>
          <t>Tennis Alberta</t>
        </is>
      </c>
      <c r="H153" t="inlineStr">
        <is>
          <t>Osten &amp; Victor Alberta Tennis Centre</t>
        </is>
      </c>
      <c r="I153" t="n">
        <v>29.2</v>
      </c>
      <c r="J153" s="4" t="n">
        <v>184</v>
      </c>
      <c r="K153" t="inlineStr">
        <is>
          <t>87 / 97</t>
        </is>
      </c>
      <c r="L153" t="inlineStr">
        <is>
          <t>13 / 16</t>
        </is>
      </c>
      <c r="M153" s="5" t="n">
        <v>0.47</v>
      </c>
      <c r="N153" s="5" t="n">
        <v>0.45</v>
      </c>
    </row>
    <row r="154">
      <c r="A154" t="n">
        <v>153</v>
      </c>
      <c r="B154" t="n">
        <v>2014</v>
      </c>
      <c r="C154" t="inlineStr">
        <is>
          <t>Veronica Mourlatov</t>
        </is>
      </c>
      <c r="D154">
        <f>HYPERLINK("https://ota.tournamentsoftware.com/player-profile/B6154A4C-BA94-41F6-A39C-E106D7116C1A", "Link")</f>
        <v/>
      </c>
      <c r="E154" s="3" t="n">
        <v>583.4</v>
      </c>
      <c r="F154" s="4" t="n">
        <v>33</v>
      </c>
      <c r="G154" t="inlineStr">
        <is>
          <t>Ontario Tennis Association</t>
        </is>
      </c>
      <c r="H154" t="inlineStr">
        <is>
          <t>SmartVMC Racquetsports by ACE</t>
        </is>
      </c>
      <c r="I154" t="n">
        <v>30.6</v>
      </c>
      <c r="J154" s="4" t="n">
        <v>219</v>
      </c>
      <c r="K154" t="inlineStr">
        <is>
          <t>139 / 80</t>
        </is>
      </c>
      <c r="L154" t="inlineStr">
        <is>
          <t>42 / 17</t>
        </is>
      </c>
      <c r="M154" s="5" t="n">
        <v>0.63</v>
      </c>
      <c r="N154" s="5" t="n">
        <v>0.71</v>
      </c>
    </row>
    <row r="155">
      <c r="A155" t="n">
        <v>154</v>
      </c>
      <c r="B155" t="n">
        <v>2012</v>
      </c>
      <c r="C155" t="inlineStr">
        <is>
          <t>Malia Lee Datta</t>
        </is>
      </c>
      <c r="D155">
        <f>HYPERLINK("https://ota.tournamentsoftware.com/player-profile/0FC1E5E7-0316-49C4-95C5-C429E3032398", "Link")</f>
        <v/>
      </c>
      <c r="E155" s="3" t="n">
        <v>583.375</v>
      </c>
      <c r="F155" s="4" t="n">
        <v>17</v>
      </c>
      <c r="G155" t="inlineStr">
        <is>
          <t>Tennis Alberta</t>
        </is>
      </c>
      <c r="H155" t="inlineStr">
        <is>
          <t>Osten &amp; Victor Alberta Tennis Centre</t>
        </is>
      </c>
      <c r="I155" t="n">
        <v>28.6</v>
      </c>
      <c r="J155" s="4" t="n">
        <v>149</v>
      </c>
      <c r="K155" t="inlineStr">
        <is>
          <t>64 / 85</t>
        </is>
      </c>
      <c r="L155" t="inlineStr">
        <is>
          <t>13 / 18</t>
        </is>
      </c>
      <c r="M155" s="5" t="n">
        <v>0.43</v>
      </c>
      <c r="N155" s="5" t="n">
        <v>0.42</v>
      </c>
    </row>
    <row r="156">
      <c r="A156" t="n">
        <v>155</v>
      </c>
      <c r="B156" t="n">
        <v>2012</v>
      </c>
      <c r="C156" t="inlineStr">
        <is>
          <t>Eliana Cantin</t>
        </is>
      </c>
      <c r="D156">
        <f>HYPERLINK("https://ota.tournamentsoftware.com/player-profile/D4DBD3FF-74D7-4D84-BB8F-104CA729E69E", "Link")</f>
        <v/>
      </c>
      <c r="E156" s="3" t="n">
        <v>579.148</v>
      </c>
      <c r="F156" s="4" t="n">
        <v>14</v>
      </c>
      <c r="G156" t="inlineStr">
        <is>
          <t>Tennis Québec</t>
        </is>
      </c>
      <c r="H156" t="inlineStr">
        <is>
          <t>Centre récréatif de Repentigny / Académie Tennis Momentum</t>
        </is>
      </c>
      <c r="I156" t="n">
        <v>29</v>
      </c>
      <c r="J156" s="4" t="n">
        <v>186</v>
      </c>
      <c r="K156" t="inlineStr">
        <is>
          <t>91 / 95</t>
        </is>
      </c>
      <c r="L156" t="inlineStr">
        <is>
          <t>9 / 16</t>
        </is>
      </c>
      <c r="M156" s="5" t="n">
        <v>0.49</v>
      </c>
      <c r="N156" s="5" t="n">
        <v>0.36</v>
      </c>
    </row>
    <row r="157">
      <c r="A157" t="n">
        <v>156</v>
      </c>
      <c r="B157" t="n">
        <v>2013</v>
      </c>
      <c r="C157" t="inlineStr">
        <is>
          <t>Mathilde Labeeuw</t>
        </is>
      </c>
      <c r="D157">
        <f>HYPERLINK("https://ota.tournamentsoftware.com/player-profile/ACCBCF37-0334-4ED1-B564-DFD6E35F3445", "Link")</f>
        <v/>
      </c>
      <c r="E157" s="3" t="n">
        <v>578.7809999999999</v>
      </c>
      <c r="F157" s="4" t="n">
        <v>22</v>
      </c>
      <c r="G157" t="inlineStr">
        <is>
          <t>Tennis Québec</t>
        </is>
      </c>
      <c r="H157" t="inlineStr">
        <is>
          <t>SANI Sport</t>
        </is>
      </c>
      <c r="I157" t="n">
        <v>30</v>
      </c>
      <c r="J157" s="4" t="n">
        <v>192</v>
      </c>
      <c r="K157" t="inlineStr">
        <is>
          <t>91 / 101</t>
        </is>
      </c>
      <c r="L157" t="inlineStr">
        <is>
          <t>13 / 15</t>
        </is>
      </c>
      <c r="M157" s="5" t="n">
        <v>0.47</v>
      </c>
      <c r="N157" s="5" t="n">
        <v>0.46</v>
      </c>
    </row>
    <row r="158">
      <c r="A158" t="n">
        <v>157</v>
      </c>
      <c r="B158" t="n">
        <v>2012</v>
      </c>
      <c r="C158" t="inlineStr">
        <is>
          <t>Caroline ChuYun Yang</t>
        </is>
      </c>
      <c r="D158">
        <f>HYPERLINK("https://ota.tournamentsoftware.com/player-profile/973A8D96-42F5-42BC-9DF2-0A195E1A983F", "Link")</f>
        <v/>
      </c>
      <c r="E158" s="3" t="n">
        <v>574.0700000000001</v>
      </c>
      <c r="F158" s="4" t="n">
        <v>21</v>
      </c>
      <c r="G158" t="inlineStr">
        <is>
          <t>British Columbia</t>
        </is>
      </c>
      <c r="H158" t="inlineStr">
        <is>
          <t>The Tennis Centre</t>
        </is>
      </c>
      <c r="I158" t="n">
        <v>28.5</v>
      </c>
      <c r="J158" s="4" t="n">
        <v>265</v>
      </c>
      <c r="K158" t="inlineStr">
        <is>
          <t>159 / 106</t>
        </is>
      </c>
      <c r="L158" t="inlineStr">
        <is>
          <t>27 / 20</t>
        </is>
      </c>
      <c r="M158" s="5" t="n">
        <v>0.6</v>
      </c>
      <c r="N158" s="5" t="n">
        <v>0.57</v>
      </c>
    </row>
    <row r="159">
      <c r="A159" t="n">
        <v>158</v>
      </c>
      <c r="B159" t="n">
        <v>2014</v>
      </c>
      <c r="C159" t="inlineStr">
        <is>
          <t>Sophie Lu</t>
        </is>
      </c>
      <c r="D159">
        <f>HYPERLINK("https://ota.tournamentsoftware.com/player-profile/5C3C8ABA-3BF6-4232-B65C-B26C16207D0A", "Link")</f>
        <v/>
      </c>
      <c r="E159" s="3" t="n">
        <v>569.085</v>
      </c>
      <c r="F159" s="4" t="n">
        <v>18</v>
      </c>
      <c r="G159" t="inlineStr">
        <is>
          <t>Tennis Québec</t>
        </is>
      </c>
      <c r="H159" t="inlineStr">
        <is>
          <t>Tennis Ile- des- Soeurs</t>
        </is>
      </c>
      <c r="I159" t="inlineStr">
        <is>
          <t>unavailable</t>
        </is>
      </c>
      <c r="J159" s="4" t="n">
        <v>210</v>
      </c>
      <c r="K159" t="inlineStr">
        <is>
          <t>107 / 103</t>
        </is>
      </c>
      <c r="L159" t="inlineStr">
        <is>
          <t>36 / 24</t>
        </is>
      </c>
      <c r="M159" s="5" t="n">
        <v>0.51</v>
      </c>
      <c r="N159" s="5" t="n">
        <v>0.6</v>
      </c>
    </row>
    <row r="160">
      <c r="A160" t="n">
        <v>159</v>
      </c>
      <c r="B160" t="n">
        <v>2012</v>
      </c>
      <c r="C160" t="inlineStr">
        <is>
          <t>Alexandra Dorobantu</t>
        </is>
      </c>
      <c r="D160">
        <f>HYPERLINK("https://ota.tournamentsoftware.com/player-profile/CE7FB59F-F5CB-4CA3-A3EB-27DC05EB2B7D", "Link")</f>
        <v/>
      </c>
      <c r="E160" s="3" t="n">
        <v>568.771</v>
      </c>
      <c r="F160" s="4" t="n">
        <v>13</v>
      </c>
      <c r="G160" t="inlineStr">
        <is>
          <t>Tennis Alberta</t>
        </is>
      </c>
      <c r="H160" t="inlineStr">
        <is>
          <t>Saville Community Sports Centre</t>
        </is>
      </c>
      <c r="I160" t="inlineStr">
        <is>
          <t>unavailable</t>
        </is>
      </c>
      <c r="J160" s="4" t="n">
        <v>156</v>
      </c>
      <c r="K160" t="inlineStr">
        <is>
          <t>76 / 80</t>
        </is>
      </c>
      <c r="L160" t="inlineStr">
        <is>
          <t>14 / 17</t>
        </is>
      </c>
      <c r="M160" s="5" t="n">
        <v>0.49</v>
      </c>
      <c r="N160" s="5" t="n">
        <v>0.45</v>
      </c>
    </row>
    <row r="161">
      <c r="A161" t="n">
        <v>160</v>
      </c>
      <c r="B161" t="n">
        <v>2013</v>
      </c>
      <c r="C161" t="inlineStr">
        <is>
          <t>Chloe Elizabeth Kotorobai</t>
        </is>
      </c>
      <c r="D161">
        <f>HYPERLINK("https://ota.tournamentsoftware.com/player-profile/FA516D57-03A4-4F2E-810D-864F5732F5CE", "Link")</f>
        <v/>
      </c>
      <c r="E161" s="3" t="n">
        <v>559.52</v>
      </c>
      <c r="F161" s="4" t="n">
        <v>22</v>
      </c>
      <c r="G161" t="inlineStr">
        <is>
          <t>Ontario Tennis Association</t>
        </is>
      </c>
      <c r="H161" t="inlineStr">
        <is>
          <t>City of Stoney Creek</t>
        </is>
      </c>
      <c r="I161" t="n">
        <v>31.8</v>
      </c>
      <c r="J161" s="4" t="n">
        <v>92</v>
      </c>
      <c r="K161" t="inlineStr">
        <is>
          <t>36 / 56</t>
        </is>
      </c>
      <c r="L161" t="inlineStr">
        <is>
          <t>8 / 15</t>
        </is>
      </c>
      <c r="M161" s="5" t="n">
        <v>0.39</v>
      </c>
      <c r="N161" s="5" t="n">
        <v>0.35</v>
      </c>
    </row>
    <row r="162">
      <c r="A162" t="n">
        <v>161</v>
      </c>
      <c r="B162" t="n">
        <v>2015</v>
      </c>
      <c r="C162" t="inlineStr">
        <is>
          <t>Alexia Djomo</t>
        </is>
      </c>
      <c r="D162">
        <f>HYPERLINK("https://ota.tournamentsoftware.com/player-profile/DCE433A3-22C1-4484-BA5B-62931094794E", "Link")</f>
        <v/>
      </c>
      <c r="E162" s="3" t="n">
        <v>559.021</v>
      </c>
      <c r="F162" s="4" t="n">
        <v>13</v>
      </c>
      <c r="G162" t="inlineStr">
        <is>
          <t>Tennis Manitoba</t>
        </is>
      </c>
      <c r="H162" t="inlineStr">
        <is>
          <t>Winnipeg Winter Club</t>
        </is>
      </c>
      <c r="I162" t="n">
        <v>33</v>
      </c>
      <c r="J162" s="4" t="n">
        <v>78</v>
      </c>
      <c r="K162" t="inlineStr">
        <is>
          <t>31 / 47</t>
        </is>
      </c>
      <c r="L162" t="inlineStr">
        <is>
          <t>24 / 28</t>
        </is>
      </c>
      <c r="M162" s="5" t="n">
        <v>0.4</v>
      </c>
      <c r="N162" s="5" t="n">
        <v>0.46</v>
      </c>
    </row>
    <row r="163">
      <c r="A163" t="n">
        <v>162</v>
      </c>
      <c r="B163" t="n">
        <v>2015</v>
      </c>
      <c r="C163" t="inlineStr">
        <is>
          <t>NELIA BERKOUD</t>
        </is>
      </c>
      <c r="D163">
        <f>HYPERLINK("https://ota.tournamentsoftware.com/player-profile/2E73021E-DEDD-484B-95FC-00429D223FB2", "Link")</f>
        <v/>
      </c>
      <c r="E163" s="3" t="n">
        <v>554.133</v>
      </c>
      <c r="F163" s="4" t="n">
        <v>23</v>
      </c>
      <c r="G163" t="inlineStr">
        <is>
          <t>Tennis Québec</t>
        </is>
      </c>
      <c r="H163" t="inlineStr">
        <is>
          <t>Carrefour Multisports</t>
        </is>
      </c>
      <c r="I163" t="n">
        <v>30.2</v>
      </c>
      <c r="J163" s="4" t="n">
        <v>142</v>
      </c>
      <c r="K163" t="inlineStr">
        <is>
          <t>87 / 55</t>
        </is>
      </c>
      <c r="L163" t="inlineStr">
        <is>
          <t>31 / 27</t>
        </is>
      </c>
      <c r="M163" s="5" t="n">
        <v>0.61</v>
      </c>
      <c r="N163" s="5" t="n">
        <v>0.53</v>
      </c>
    </row>
    <row r="164">
      <c r="A164" t="n">
        <v>163</v>
      </c>
      <c r="B164" t="n">
        <v>2015</v>
      </c>
      <c r="C164" t="inlineStr">
        <is>
          <t>Grace Wang</t>
        </is>
      </c>
      <c r="D164">
        <f>HYPERLINK("https://ota.tournamentsoftware.com/player-profile/2F68C1DC-1A19-4E3A-AF58-6DC4541843F2", "Link")</f>
        <v/>
      </c>
      <c r="E164" s="3" t="n">
        <v>553.759</v>
      </c>
      <c r="F164" s="4" t="n">
        <v>26</v>
      </c>
      <c r="G164" t="inlineStr">
        <is>
          <t>British Columbia</t>
        </is>
      </c>
      <c r="H164" t="inlineStr">
        <is>
          <t>No Club</t>
        </is>
      </c>
      <c r="I164" t="n">
        <v>29</v>
      </c>
      <c r="J164" s="4" t="n">
        <v>239</v>
      </c>
      <c r="K164" t="inlineStr">
        <is>
          <t>143 / 96</t>
        </is>
      </c>
      <c r="L164" t="inlineStr">
        <is>
          <t>42 / 23</t>
        </is>
      </c>
      <c r="M164" s="5" t="n">
        <v>0.6</v>
      </c>
      <c r="N164" s="5" t="n">
        <v>0.65</v>
      </c>
    </row>
    <row r="165">
      <c r="A165" t="n">
        <v>164</v>
      </c>
      <c r="B165" t="n">
        <v>2014</v>
      </c>
      <c r="C165" t="inlineStr">
        <is>
          <t>Charlie Thomas-Simard</t>
        </is>
      </c>
      <c r="D165">
        <f>HYPERLINK("https://ota.tournamentsoftware.com/player-profile/E101E3D0-39D8-4861-AB44-D9BE1C346E1E", "Link")</f>
        <v/>
      </c>
      <c r="E165" s="3" t="n">
        <v>550.771</v>
      </c>
      <c r="F165" s="4" t="n">
        <v>23</v>
      </c>
      <c r="G165" t="inlineStr">
        <is>
          <t>Tennis Québec</t>
        </is>
      </c>
      <c r="H165" t="inlineStr">
        <is>
          <t>Club Avantage Multi-sports / Académie de tennis Hérisset Bordeleau</t>
        </is>
      </c>
      <c r="I165" t="n">
        <v>31.5</v>
      </c>
      <c r="J165" s="4" t="n">
        <v>121</v>
      </c>
      <c r="K165" t="inlineStr">
        <is>
          <t>65 / 56</t>
        </is>
      </c>
      <c r="L165" t="inlineStr">
        <is>
          <t>29 / 28</t>
        </is>
      </c>
      <c r="M165" s="5" t="n">
        <v>0.54</v>
      </c>
      <c r="N165" s="5" t="n">
        <v>0.51</v>
      </c>
    </row>
    <row r="166">
      <c r="A166" t="n">
        <v>165</v>
      </c>
      <c r="B166" t="n">
        <v>2013</v>
      </c>
      <c r="C166" t="inlineStr">
        <is>
          <t>Maliah Morgan</t>
        </is>
      </c>
      <c r="D166">
        <f>HYPERLINK("https://ota.tournamentsoftware.com/player-profile/9A3C1326-AE04-42FE-BCE6-AF95D32715F8", "Link")</f>
        <v/>
      </c>
      <c r="E166" s="3" t="n">
        <v>541.035</v>
      </c>
      <c r="F166" s="4" t="n">
        <v>19</v>
      </c>
      <c r="G166" t="inlineStr">
        <is>
          <t>Ontario Tennis Association</t>
        </is>
      </c>
      <c r="H166" t="inlineStr">
        <is>
          <t>Joshua Creek Golf &amp; Tennis</t>
        </is>
      </c>
      <c r="I166" t="n">
        <v>29.1</v>
      </c>
      <c r="J166" s="4" t="n">
        <v>188</v>
      </c>
      <c r="K166" t="inlineStr">
        <is>
          <t>111 / 77</t>
        </is>
      </c>
      <c r="L166" t="inlineStr">
        <is>
          <t>11 / 14</t>
        </is>
      </c>
      <c r="M166" s="5" t="n">
        <v>0.59</v>
      </c>
      <c r="N166" s="5" t="n">
        <v>0.44</v>
      </c>
    </row>
    <row r="167">
      <c r="A167" t="n">
        <v>166</v>
      </c>
      <c r="B167" t="n">
        <v>2012</v>
      </c>
      <c r="C167" t="inlineStr">
        <is>
          <t>Yuehan DONG</t>
        </is>
      </c>
      <c r="D167">
        <f>HYPERLINK("https://ota.tournamentsoftware.com/player-profile/F5996998-771E-46C9-A222-1C90911DD4C3", "Link")</f>
        <v/>
      </c>
      <c r="E167" s="3" t="n">
        <v>534.77</v>
      </c>
      <c r="F167" s="4" t="n">
        <v>29</v>
      </c>
      <c r="G167" t="inlineStr">
        <is>
          <t>Ontario Tennis Association</t>
        </is>
      </c>
      <c r="H167" t="inlineStr">
        <is>
          <t>Fainblum Tennis Academy</t>
        </is>
      </c>
      <c r="I167" t="n">
        <v>31.7</v>
      </c>
      <c r="J167" s="4" t="n">
        <v>125</v>
      </c>
      <c r="K167" t="inlineStr">
        <is>
          <t>56 / 69</t>
        </is>
      </c>
      <c r="L167" t="inlineStr">
        <is>
          <t>8 / 18</t>
        </is>
      </c>
      <c r="M167" s="5" t="n">
        <v>0.45</v>
      </c>
      <c r="N167" s="5" t="n">
        <v>0.31</v>
      </c>
    </row>
    <row r="168">
      <c r="A168" t="n">
        <v>167</v>
      </c>
      <c r="B168" t="n">
        <v>2015</v>
      </c>
      <c r="C168" t="inlineStr">
        <is>
          <t>Alyanna Jane Principe</t>
        </is>
      </c>
      <c r="D168">
        <f>HYPERLINK("https://ota.tournamentsoftware.com/player-profile/DF18434B-FE2E-4647-9481-0DA91B5C9B92", "Link")</f>
        <v/>
      </c>
      <c r="E168" s="3" t="n">
        <v>532.043</v>
      </c>
      <c r="F168" s="4" t="n">
        <v>22</v>
      </c>
      <c r="G168" t="inlineStr">
        <is>
          <t>British Columbia</t>
        </is>
      </c>
      <c r="H168" t="inlineStr">
        <is>
          <t>The Tennis Centre</t>
        </is>
      </c>
      <c r="I168" t="n">
        <v>28.1</v>
      </c>
      <c r="J168" s="4" t="n">
        <v>237</v>
      </c>
      <c r="K168" t="inlineStr">
        <is>
          <t>156 / 81</t>
        </is>
      </c>
      <c r="L168" t="inlineStr">
        <is>
          <t>34 / 22</t>
        </is>
      </c>
      <c r="M168" s="5" t="n">
        <v>0.66</v>
      </c>
      <c r="N168" s="5" t="n">
        <v>0.61</v>
      </c>
    </row>
    <row r="169">
      <c r="A169" t="n">
        <v>168</v>
      </c>
      <c r="B169" t="n">
        <v>2013</v>
      </c>
      <c r="C169" t="inlineStr">
        <is>
          <t>Sonya Notta</t>
        </is>
      </c>
      <c r="D169">
        <f>HYPERLINK("https://ota.tournamentsoftware.com/player-profile/6AF626BE-D8F1-4939-AF03-813D0A17EE25", "Link")</f>
        <v/>
      </c>
      <c r="E169" s="3" t="n">
        <v>527.968</v>
      </c>
      <c r="F169" s="4" t="n">
        <v>9</v>
      </c>
      <c r="G169" t="inlineStr">
        <is>
          <t>Ontario Tennis Association</t>
        </is>
      </c>
      <c r="H169" t="inlineStr">
        <is>
          <t>Mayfair East Racquet Club</t>
        </is>
      </c>
      <c r="I169" t="inlineStr">
        <is>
          <t>unavailable</t>
        </is>
      </c>
      <c r="J169" s="4" t="n">
        <v>76</v>
      </c>
      <c r="K169" t="inlineStr">
        <is>
          <t>51 / 25</t>
        </is>
      </c>
      <c r="L169" t="inlineStr">
        <is>
          <t>8 / 3</t>
        </is>
      </c>
      <c r="M169" s="5" t="n">
        <v>0.67</v>
      </c>
      <c r="N169" s="5" t="n">
        <v>0.73</v>
      </c>
    </row>
    <row r="170">
      <c r="A170" t="n">
        <v>169</v>
      </c>
      <c r="B170" t="n">
        <v>2014</v>
      </c>
      <c r="C170" t="inlineStr">
        <is>
          <t>Laetitia Thuy Van Nguyen</t>
        </is>
      </c>
      <c r="D170">
        <f>HYPERLINK("https://ota.tournamentsoftware.com/player-profile/B151CB64-D12D-48B2-8087-4EABB50157E8", "Link")</f>
        <v/>
      </c>
      <c r="E170" s="3" t="n">
        <v>522.812</v>
      </c>
      <c r="F170" s="4" t="n">
        <v>22</v>
      </c>
      <c r="G170" t="inlineStr">
        <is>
          <t>Tennis Québec</t>
        </is>
      </c>
      <c r="H170" t="inlineStr">
        <is>
          <t>Tennis Outaouais Performance (TOP)</t>
        </is>
      </c>
      <c r="I170" t="n">
        <v>29.8</v>
      </c>
      <c r="J170" s="4" t="n">
        <v>216</v>
      </c>
      <c r="K170" t="inlineStr">
        <is>
          <t>118 / 98</t>
        </is>
      </c>
      <c r="L170" t="inlineStr">
        <is>
          <t>32 / 23</t>
        </is>
      </c>
      <c r="M170" s="5" t="n">
        <v>0.55</v>
      </c>
      <c r="N170" s="5" t="n">
        <v>0.58</v>
      </c>
    </row>
    <row r="171">
      <c r="A171" t="n">
        <v>170</v>
      </c>
      <c r="B171" t="n">
        <v>2012</v>
      </c>
      <c r="C171" t="inlineStr">
        <is>
          <t>Meeth Kaur Rai</t>
        </is>
      </c>
      <c r="D171">
        <f>HYPERLINK("https://ota.tournamentsoftware.com/player-profile/3C191393-570A-4DF7-80D4-0613143CE54B", "Link")</f>
        <v/>
      </c>
      <c r="E171" s="3" t="n">
        <v>517.12</v>
      </c>
      <c r="F171" s="4" t="n">
        <v>18</v>
      </c>
      <c r="G171" t="inlineStr">
        <is>
          <t>British Columbia</t>
        </is>
      </c>
      <c r="H171" t="inlineStr">
        <is>
          <t>No Club</t>
        </is>
      </c>
      <c r="I171" t="n">
        <v>28.2</v>
      </c>
      <c r="J171" s="4" t="n">
        <v>226</v>
      </c>
      <c r="K171" t="inlineStr">
        <is>
          <t>124 / 102</t>
        </is>
      </c>
      <c r="L171" t="inlineStr">
        <is>
          <t>14 / 25</t>
        </is>
      </c>
      <c r="M171" s="5" t="n">
        <v>0.55</v>
      </c>
      <c r="N171" s="5" t="n">
        <v>0.36</v>
      </c>
    </row>
    <row r="172">
      <c r="A172" t="n">
        <v>171</v>
      </c>
      <c r="B172" t="n">
        <v>2012</v>
      </c>
      <c r="C172" t="inlineStr">
        <is>
          <t>Daniella Kulemin</t>
        </is>
      </c>
      <c r="D172">
        <f>HYPERLINK("https://ota.tournamentsoftware.com/player-profile/665847C2-A172-4164-B9E1-C1030269B793", "Link")</f>
        <v/>
      </c>
      <c r="E172" s="3" t="n">
        <v>515.465</v>
      </c>
      <c r="F172" s="4" t="n">
        <v>20</v>
      </c>
      <c r="G172" t="inlineStr">
        <is>
          <t>Ontario Tennis Association</t>
        </is>
      </c>
      <c r="H172" t="inlineStr">
        <is>
          <t>Concord Tennis Academy</t>
        </is>
      </c>
      <c r="I172" t="n">
        <v>30.6</v>
      </c>
      <c r="J172" s="4" t="n">
        <v>56</v>
      </c>
      <c r="K172" t="inlineStr">
        <is>
          <t>25 / 31</t>
        </is>
      </c>
      <c r="L172" t="inlineStr">
        <is>
          <t>15 / 17</t>
        </is>
      </c>
      <c r="M172" s="5" t="n">
        <v>0.45</v>
      </c>
      <c r="N172" s="5" t="n">
        <v>0.47</v>
      </c>
    </row>
    <row r="173">
      <c r="A173" t="n">
        <v>172</v>
      </c>
      <c r="B173" t="n">
        <v>2013</v>
      </c>
      <c r="C173" t="inlineStr">
        <is>
          <t>Nelly Campagna</t>
        </is>
      </c>
      <c r="D173">
        <f>HYPERLINK("https://ota.tournamentsoftware.com/player-profile/57A742FF-F88B-4C14-A895-DA6559972095", "Link")</f>
        <v/>
      </c>
      <c r="E173" s="3" t="n">
        <v>514.603</v>
      </c>
      <c r="F173" s="4" t="n">
        <v>20</v>
      </c>
      <c r="G173" t="inlineStr">
        <is>
          <t>Tennis Québec</t>
        </is>
      </c>
      <c r="H173" t="inlineStr">
        <is>
          <t>Centre récréatif de Repentigny / Académie Tennis Momentum</t>
        </is>
      </c>
      <c r="I173" t="n">
        <v>29.6</v>
      </c>
      <c r="J173" s="4" t="n">
        <v>167</v>
      </c>
      <c r="K173" t="inlineStr">
        <is>
          <t>89 / 78</t>
        </is>
      </c>
      <c r="L173" t="inlineStr">
        <is>
          <t>21 / 16</t>
        </is>
      </c>
      <c r="M173" s="5" t="n">
        <v>0.53</v>
      </c>
      <c r="N173" s="5" t="n">
        <v>0.57</v>
      </c>
    </row>
    <row r="174">
      <c r="A174" t="n">
        <v>173</v>
      </c>
      <c r="B174" t="n">
        <v>2012</v>
      </c>
      <c r="C174" t="inlineStr">
        <is>
          <t>Ira Karthi</t>
        </is>
      </c>
      <c r="D174">
        <f>HYPERLINK("https://ota.tournamentsoftware.com/player-profile/87DFD688-7475-43FD-B605-7E13CDDC471C", "Link")</f>
        <v/>
      </c>
      <c r="E174" s="3" t="n">
        <v>509.725</v>
      </c>
      <c r="F174" s="4" t="n">
        <v>19</v>
      </c>
      <c r="G174" t="inlineStr">
        <is>
          <t>Ontario Tennis Association</t>
        </is>
      </c>
      <c r="H174" t="inlineStr">
        <is>
          <t>Sandy Beach Tennis Club</t>
        </is>
      </c>
      <c r="I174" t="n">
        <v>32.4</v>
      </c>
      <c r="J174" s="4" t="n">
        <v>74</v>
      </c>
      <c r="K174" t="inlineStr">
        <is>
          <t>22 / 52</t>
        </is>
      </c>
      <c r="L174" t="inlineStr">
        <is>
          <t>11 / 14</t>
        </is>
      </c>
      <c r="M174" s="5" t="n">
        <v>0.3</v>
      </c>
      <c r="N174" s="5" t="n">
        <v>0.44</v>
      </c>
    </row>
    <row r="175">
      <c r="A175" t="n">
        <v>174</v>
      </c>
      <c r="B175" t="n">
        <v>2013</v>
      </c>
      <c r="C175" t="inlineStr">
        <is>
          <t>Sonya Resnikova</t>
        </is>
      </c>
      <c r="D175">
        <f>HYPERLINK("https://ota.tournamentsoftware.com/player-profile/083F5EEA-6E2D-488B-B778-27E4248C2F0D", "Link")</f>
        <v/>
      </c>
      <c r="E175" s="3" t="n">
        <v>508.302</v>
      </c>
      <c r="F175" s="4" t="n">
        <v>26</v>
      </c>
      <c r="G175" t="inlineStr">
        <is>
          <t>Ontario Tennis Association</t>
        </is>
      </c>
      <c r="H175" t="inlineStr">
        <is>
          <t>SmartVMC Racquetsports by ACE</t>
        </is>
      </c>
      <c r="I175" t="n">
        <v>31.8</v>
      </c>
      <c r="J175" s="4" t="n">
        <v>85</v>
      </c>
      <c r="K175" t="inlineStr">
        <is>
          <t>53 / 32</t>
        </is>
      </c>
      <c r="L175" t="inlineStr">
        <is>
          <t>21 / 18</t>
        </is>
      </c>
      <c r="M175" s="5" t="n">
        <v>0.62</v>
      </c>
      <c r="N175" s="5" t="n">
        <v>0.54</v>
      </c>
    </row>
    <row r="176">
      <c r="A176" t="n">
        <v>175</v>
      </c>
      <c r="B176" t="n">
        <v>2012</v>
      </c>
      <c r="C176" t="inlineStr">
        <is>
          <t>Emma Sun</t>
        </is>
      </c>
      <c r="D176">
        <f>HYPERLINK("https://ota.tournamentsoftware.com/player-profile/00B8EFA4-17DF-49B4-90DE-B5A577BC8620", "Link")</f>
        <v/>
      </c>
      <c r="E176" s="3" t="n">
        <v>503.724</v>
      </c>
      <c r="F176" s="4" t="n">
        <v>14</v>
      </c>
      <c r="G176" t="inlineStr">
        <is>
          <t>British Columbia</t>
        </is>
      </c>
      <c r="H176" t="inlineStr">
        <is>
          <t>The Tennis Centre</t>
        </is>
      </c>
      <c r="I176" t="n">
        <v>27.6</v>
      </c>
      <c r="J176" s="4" t="n">
        <v>258</v>
      </c>
      <c r="K176" t="inlineStr">
        <is>
          <t>123 / 135</t>
        </is>
      </c>
      <c r="L176" t="inlineStr">
        <is>
          <t>14 / 14</t>
        </is>
      </c>
      <c r="M176" s="5" t="n">
        <v>0.48</v>
      </c>
      <c r="N176" s="5" t="n">
        <v>0.5</v>
      </c>
    </row>
    <row r="177">
      <c r="A177" t="n">
        <v>176</v>
      </c>
      <c r="B177" t="n">
        <v>2012</v>
      </c>
      <c r="C177" t="inlineStr">
        <is>
          <t>Alexandra Bayentin</t>
        </is>
      </c>
      <c r="D177">
        <f>HYPERLINK("https://ota.tournamentsoftware.com/player-profile/EFF894D9-35F7-45C9-9C57-06584708D213", "Link")</f>
        <v/>
      </c>
      <c r="E177" s="3" t="n">
        <v>499.016</v>
      </c>
      <c r="F177" s="4" t="n">
        <v>14</v>
      </c>
      <c r="G177" t="inlineStr">
        <is>
          <t>Tennis Alberta</t>
        </is>
      </c>
      <c r="H177" t="inlineStr">
        <is>
          <t>Osten &amp; Victor Alberta Tennis Centre</t>
        </is>
      </c>
      <c r="I177" t="n">
        <v>29</v>
      </c>
      <c r="J177" s="4" t="n">
        <v>167</v>
      </c>
      <c r="K177" t="inlineStr">
        <is>
          <t>81 / 86</t>
        </is>
      </c>
      <c r="L177" t="inlineStr">
        <is>
          <t>11 / 12</t>
        </is>
      </c>
      <c r="M177" s="5" t="n">
        <v>0.49</v>
      </c>
      <c r="N177" s="5" t="n">
        <v>0.48</v>
      </c>
    </row>
    <row r="178">
      <c r="A178" t="n">
        <v>177</v>
      </c>
      <c r="B178" t="n">
        <v>2015</v>
      </c>
      <c r="C178" t="inlineStr">
        <is>
          <t>Abbey Crump</t>
        </is>
      </c>
      <c r="D178">
        <f>HYPERLINK("https://ota.tournamentsoftware.com/player-profile/92F0423F-2B57-40B1-A6AA-5C7DC6477800", "Link")</f>
        <v/>
      </c>
      <c r="E178" s="3" t="n">
        <v>493.889</v>
      </c>
      <c r="F178" s="4" t="n">
        <v>16</v>
      </c>
      <c r="G178" t="inlineStr">
        <is>
          <t>Ontario Tennis Association</t>
        </is>
      </c>
      <c r="H178" t="inlineStr">
        <is>
          <t>Joshua Creek Golf &amp; Tennis</t>
        </is>
      </c>
      <c r="I178" t="n">
        <v>30.7</v>
      </c>
      <c r="J178" s="4" t="n">
        <v>146</v>
      </c>
      <c r="K178" t="inlineStr">
        <is>
          <t>120 / 26</t>
        </is>
      </c>
      <c r="L178" t="inlineStr">
        <is>
          <t>28 / 15</t>
        </is>
      </c>
      <c r="M178" s="5" t="n">
        <v>0.82</v>
      </c>
      <c r="N178" s="5" t="n">
        <v>0.65</v>
      </c>
    </row>
    <row r="179">
      <c r="A179" t="n">
        <v>178</v>
      </c>
      <c r="B179" t="n">
        <v>2013</v>
      </c>
      <c r="C179" t="inlineStr">
        <is>
          <t>Mila Anna Kodjian</t>
        </is>
      </c>
      <c r="D179">
        <f>HYPERLINK("https://ota.tournamentsoftware.com/player-profile/CE1F1BC7-04CB-4652-A947-AF91FA03ECD5", "Link")</f>
        <v/>
      </c>
      <c r="E179" s="3" t="n">
        <v>491.4</v>
      </c>
      <c r="F179" s="4" t="n">
        <v>19</v>
      </c>
      <c r="G179" t="inlineStr">
        <is>
          <t>Ontario Tennis Association</t>
        </is>
      </c>
      <c r="H179" t="inlineStr">
        <is>
          <t>Rosethorn Tennis Club</t>
        </is>
      </c>
      <c r="I179" t="n">
        <v>31.6</v>
      </c>
      <c r="J179" s="4" t="n">
        <v>114</v>
      </c>
      <c r="K179" t="inlineStr">
        <is>
          <t>66 / 48</t>
        </is>
      </c>
      <c r="L179" t="inlineStr">
        <is>
          <t>25 / 10</t>
        </is>
      </c>
      <c r="M179" s="5" t="n">
        <v>0.58</v>
      </c>
      <c r="N179" s="5" t="n">
        <v>0.71</v>
      </c>
    </row>
    <row r="180">
      <c r="A180" t="n">
        <v>179</v>
      </c>
      <c r="B180" t="n">
        <v>2013</v>
      </c>
      <c r="C180" t="inlineStr">
        <is>
          <t>Livia Seguin</t>
        </is>
      </c>
      <c r="D180">
        <f>HYPERLINK("https://ota.tournamentsoftware.com/player-profile/2B987274-8A56-4EE6-B85D-948871231CC0", "Link")</f>
        <v/>
      </c>
      <c r="E180" s="3" t="n">
        <v>488.345</v>
      </c>
      <c r="F180" s="4" t="n">
        <v>35</v>
      </c>
      <c r="G180" t="inlineStr">
        <is>
          <t>Tennis Québec</t>
        </is>
      </c>
      <c r="H180" t="inlineStr">
        <is>
          <t>Tennis Interclub Piedmont</t>
        </is>
      </c>
      <c r="I180" t="n">
        <v>33</v>
      </c>
      <c r="J180" s="4" t="n">
        <v>132</v>
      </c>
      <c r="K180" t="inlineStr">
        <is>
          <t>40 / 92</t>
        </is>
      </c>
      <c r="L180" t="inlineStr">
        <is>
          <t>16 / 31</t>
        </is>
      </c>
      <c r="M180" s="5" t="n">
        <v>0.3</v>
      </c>
      <c r="N180" s="5" t="n">
        <v>0.34</v>
      </c>
    </row>
    <row r="181">
      <c r="A181" t="n">
        <v>180</v>
      </c>
      <c r="B181" t="n">
        <v>2012</v>
      </c>
      <c r="C181" t="inlineStr">
        <is>
          <t>Maya Sophia Abdullah</t>
        </is>
      </c>
      <c r="D181">
        <f>HYPERLINK("https://ota.tournamentsoftware.com/player-profile/6169AD2A-5AC2-4220-8B87-C5D54BAF6AD4", "Link")</f>
        <v/>
      </c>
      <c r="E181" s="3" t="n">
        <v>485.934</v>
      </c>
      <c r="F181" s="4" t="n">
        <v>20</v>
      </c>
      <c r="G181" t="inlineStr">
        <is>
          <t>Tennis Alberta</t>
        </is>
      </c>
      <c r="H181" t="inlineStr">
        <is>
          <t>Aforza</t>
        </is>
      </c>
      <c r="I181" t="n">
        <v>31.5</v>
      </c>
      <c r="J181" s="4" t="n">
        <v>61</v>
      </c>
      <c r="K181" t="inlineStr">
        <is>
          <t>30 / 31</t>
        </is>
      </c>
      <c r="L181" t="inlineStr">
        <is>
          <t>18 / 19</t>
        </is>
      </c>
      <c r="M181" s="5" t="n">
        <v>0.49</v>
      </c>
      <c r="N181" s="5" t="n">
        <v>0.49</v>
      </c>
    </row>
    <row r="182">
      <c r="A182" t="n">
        <v>181</v>
      </c>
      <c r="B182" t="n">
        <v>2014</v>
      </c>
      <c r="C182" t="inlineStr">
        <is>
          <t>Naima Majumdar-Moreau</t>
        </is>
      </c>
      <c r="D182">
        <f>HYPERLINK("https://ota.tournamentsoftware.com/player-profile/DCA02929-B08F-46CE-9CFE-852A987CEBF8", "Link")</f>
        <v/>
      </c>
      <c r="E182" s="3" t="n">
        <v>485.9</v>
      </c>
      <c r="F182" s="4" t="n">
        <v>30</v>
      </c>
      <c r="G182" t="inlineStr">
        <is>
          <t>Tennis Québec</t>
        </is>
      </c>
      <c r="H182" t="inlineStr">
        <is>
          <t>Tennis Ile- des- Soeurs</t>
        </is>
      </c>
      <c r="I182" t="inlineStr">
        <is>
          <t>unavailable</t>
        </is>
      </c>
      <c r="J182" s="4" t="n">
        <v>158</v>
      </c>
      <c r="K182" t="inlineStr">
        <is>
          <t>74 / 84</t>
        </is>
      </c>
      <c r="L182" t="inlineStr">
        <is>
          <t>30 / 29</t>
        </is>
      </c>
      <c r="M182" s="5" t="n">
        <v>0.47</v>
      </c>
      <c r="N182" s="5" t="n">
        <v>0.51</v>
      </c>
    </row>
    <row r="183">
      <c r="A183" t="n">
        <v>182</v>
      </c>
      <c r="B183" t="n">
        <v>2015</v>
      </c>
      <c r="C183" t="inlineStr">
        <is>
          <t>Elina Wang</t>
        </is>
      </c>
      <c r="D183">
        <f>HYPERLINK("https://ota.tournamentsoftware.com/player-profile/D1A88E02-8A26-413B-866E-8A72948B268F", "Link")</f>
        <v/>
      </c>
      <c r="E183" s="3" t="n">
        <v>482.596</v>
      </c>
      <c r="F183" s="4" t="n">
        <v>20</v>
      </c>
      <c r="G183" t="inlineStr">
        <is>
          <t>Ontario Tennis Association</t>
        </is>
      </c>
      <c r="H183" t="inlineStr">
        <is>
          <t>Richmondhill Golf &amp; Country Club</t>
        </is>
      </c>
      <c r="I183" t="n">
        <v>30.5</v>
      </c>
      <c r="J183" s="4" t="n">
        <v>232</v>
      </c>
      <c r="K183" t="inlineStr">
        <is>
          <t>153 / 79</t>
        </is>
      </c>
      <c r="L183" t="inlineStr">
        <is>
          <t>36 / 14</t>
        </is>
      </c>
      <c r="M183" s="5" t="n">
        <v>0.66</v>
      </c>
      <c r="N183" s="5" t="n">
        <v>0.72</v>
      </c>
    </row>
    <row r="184">
      <c r="A184" t="n">
        <v>183</v>
      </c>
      <c r="B184" t="n">
        <v>2013</v>
      </c>
      <c r="C184" t="inlineStr">
        <is>
          <t>Alexandra Choe</t>
        </is>
      </c>
      <c r="D184">
        <f>HYPERLINK("https://ota.tournamentsoftware.com/player-profile/0BFF8F09-A612-40D9-B491-E305A472672B", "Link")</f>
        <v/>
      </c>
      <c r="E184" s="3" t="n">
        <v>481.947</v>
      </c>
      <c r="F184" s="4" t="n">
        <v>15</v>
      </c>
      <c r="G184" t="inlineStr">
        <is>
          <t>Ontario Tennis Association</t>
        </is>
      </c>
      <c r="H184" t="inlineStr">
        <is>
          <t>Joshua Creek Golf &amp; Tennis</t>
        </is>
      </c>
      <c r="I184" t="n">
        <v>30</v>
      </c>
      <c r="J184" s="4" t="n">
        <v>221</v>
      </c>
      <c r="K184" t="inlineStr">
        <is>
          <t>135 / 86</t>
        </is>
      </c>
      <c r="L184" t="inlineStr">
        <is>
          <t>8 / 4</t>
        </is>
      </c>
      <c r="M184" s="5" t="n">
        <v>0.61</v>
      </c>
      <c r="N184" s="5" t="n">
        <v>0.67</v>
      </c>
    </row>
    <row r="185">
      <c r="A185" t="n">
        <v>184</v>
      </c>
      <c r="B185" t="n">
        <v>2014</v>
      </c>
      <c r="C185" t="inlineStr">
        <is>
          <t>Anica Yachun Liu</t>
        </is>
      </c>
      <c r="D185">
        <f>HYPERLINK("https://ota.tournamentsoftware.com/player-profile/B58148E6-4895-4918-B4B6-ADFAA5FEE0D2", "Link")</f>
        <v/>
      </c>
      <c r="E185" s="3" t="n">
        <v>479.105</v>
      </c>
      <c r="F185" s="4" t="n">
        <v>23</v>
      </c>
      <c r="G185" t="inlineStr">
        <is>
          <t>Tennis Alberta</t>
        </is>
      </c>
      <c r="H185" t="inlineStr">
        <is>
          <t>Saville Community Sports Centre</t>
        </is>
      </c>
      <c r="I185" t="n">
        <v>29.3</v>
      </c>
      <c r="J185" s="4" t="n">
        <v>224</v>
      </c>
      <c r="K185" t="inlineStr">
        <is>
          <t>111 / 113</t>
        </is>
      </c>
      <c r="L185" t="inlineStr">
        <is>
          <t>30 / 35</t>
        </is>
      </c>
      <c r="M185" s="5" t="n">
        <v>0.5</v>
      </c>
      <c r="N185" s="5" t="n">
        <v>0.46</v>
      </c>
    </row>
    <row r="186">
      <c r="A186" t="n">
        <v>185</v>
      </c>
      <c r="B186" t="n">
        <v>2012</v>
      </c>
      <c r="C186" t="inlineStr">
        <is>
          <t>Margot de Candé</t>
        </is>
      </c>
      <c r="D186">
        <f>HYPERLINK("https://ota.tournamentsoftware.com/player-profile/695315EE-6360-44B7-9352-E2A867A09DAD", "Link")</f>
        <v/>
      </c>
      <c r="E186" s="3" t="n">
        <v>478.435</v>
      </c>
      <c r="F186" s="4" t="n">
        <v>13</v>
      </c>
      <c r="G186" t="inlineStr">
        <is>
          <t>Tennis Québec</t>
        </is>
      </c>
      <c r="H186" t="inlineStr">
        <is>
          <t>Tennis Ile- des- Soeurs</t>
        </is>
      </c>
      <c r="I186" t="n">
        <v>29.9</v>
      </c>
      <c r="J186" s="4" t="n">
        <v>110</v>
      </c>
      <c r="K186" t="inlineStr">
        <is>
          <t>52 / 58</t>
        </is>
      </c>
      <c r="L186" t="inlineStr">
        <is>
          <t>12 / 3</t>
        </is>
      </c>
      <c r="M186" s="5" t="n">
        <v>0.47</v>
      </c>
      <c r="N186" s="5" t="n">
        <v>0.8</v>
      </c>
    </row>
    <row r="187">
      <c r="A187" t="n">
        <v>186</v>
      </c>
      <c r="B187" t="n">
        <v>2013</v>
      </c>
      <c r="C187" t="inlineStr">
        <is>
          <t>Juliana Sophie Ho</t>
        </is>
      </c>
      <c r="D187">
        <f>HYPERLINK("https://ota.tournamentsoftware.com/player-profile/D79AC720-EA55-42CC-ACCB-558E5C86D00C", "Link")</f>
        <v/>
      </c>
      <c r="E187" s="3" t="n">
        <v>468.722</v>
      </c>
      <c r="F187" s="4" t="n">
        <v>30</v>
      </c>
      <c r="G187" t="inlineStr">
        <is>
          <t>Ontario Tennis Association</t>
        </is>
      </c>
      <c r="H187" t="inlineStr">
        <is>
          <t>Ontario Racquet Club</t>
        </is>
      </c>
      <c r="I187" t="n">
        <v>32.3</v>
      </c>
      <c r="J187" s="4" t="n">
        <v>143</v>
      </c>
      <c r="K187" t="inlineStr">
        <is>
          <t>73 / 70</t>
        </is>
      </c>
      <c r="L187" t="inlineStr">
        <is>
          <t>21 / 19</t>
        </is>
      </c>
      <c r="M187" s="5" t="n">
        <v>0.51</v>
      </c>
      <c r="N187" s="5" t="n">
        <v>0.53</v>
      </c>
    </row>
    <row r="188">
      <c r="A188" t="n">
        <v>187</v>
      </c>
      <c r="B188" t="n">
        <v>2012</v>
      </c>
      <c r="C188" t="inlineStr">
        <is>
          <t>Izibeyle Bhopal</t>
        </is>
      </c>
      <c r="D188">
        <f>HYPERLINK("https://ota.tournamentsoftware.com/player-profile/E9C7A60A-D097-4925-9456-764C57DCF01A", "Link")</f>
        <v/>
      </c>
      <c r="E188" s="3" t="n">
        <v>468.448</v>
      </c>
      <c r="F188" s="4" t="n">
        <v>2</v>
      </c>
      <c r="G188" t="inlineStr">
        <is>
          <t>British Columbia</t>
        </is>
      </c>
      <c r="H188" t="inlineStr">
        <is>
          <t>Bear Mountain Tennis Centre</t>
        </is>
      </c>
      <c r="I188" t="n">
        <v>24.4</v>
      </c>
      <c r="J188" s="4" t="n">
        <v>64</v>
      </c>
      <c r="K188" t="inlineStr">
        <is>
          <t>39 / 25</t>
        </is>
      </c>
      <c r="L188" t="inlineStr">
        <is>
          <t>4 / 0</t>
        </is>
      </c>
      <c r="M188" s="5" t="n">
        <v>0.61</v>
      </c>
      <c r="N188" s="5" t="n">
        <v>1</v>
      </c>
    </row>
    <row r="189">
      <c r="A189" t="n">
        <v>188</v>
      </c>
      <c r="B189" t="n">
        <v>2014</v>
      </c>
      <c r="C189" t="inlineStr">
        <is>
          <t>Eva Larose</t>
        </is>
      </c>
      <c r="D189">
        <f>HYPERLINK("https://ota.tournamentsoftware.com/player-profile/BC2D4F14-515B-4F2A-AD3B-8DA03F3E5E5B", "Link")</f>
        <v/>
      </c>
      <c r="E189" s="3" t="n">
        <v>466.782</v>
      </c>
      <c r="F189" s="4" t="n">
        <v>22</v>
      </c>
      <c r="G189" t="inlineStr">
        <is>
          <t>Tennis Québec</t>
        </is>
      </c>
      <c r="H189" t="inlineStr">
        <is>
          <t>Tennis Ile- des- Soeurs</t>
        </is>
      </c>
      <c r="I189" t="inlineStr">
        <is>
          <t>unavailable</t>
        </is>
      </c>
      <c r="J189" s="4" t="n">
        <v>162</v>
      </c>
      <c r="K189" t="inlineStr">
        <is>
          <t>95 / 67</t>
        </is>
      </c>
      <c r="L189" t="inlineStr">
        <is>
          <t>43 / 19</t>
        </is>
      </c>
      <c r="M189" s="5" t="n">
        <v>0.59</v>
      </c>
      <c r="N189" s="5" t="n">
        <v>0.6899999999999999</v>
      </c>
    </row>
    <row r="190">
      <c r="A190" t="n">
        <v>189</v>
      </c>
      <c r="B190" t="n">
        <v>2016</v>
      </c>
      <c r="C190" t="inlineStr">
        <is>
          <t>Alisha Goel</t>
        </is>
      </c>
      <c r="D190">
        <f>HYPERLINK("https://ota.tournamentsoftware.com/player-profile/7F9E9DD0-77A1-4F40-B2B5-C4B89592B089", "Link")</f>
        <v/>
      </c>
      <c r="E190" s="3" t="n">
        <v>459.47</v>
      </c>
      <c r="F190" s="4" t="n">
        <v>23</v>
      </c>
      <c r="G190" t="inlineStr">
        <is>
          <t>Ontario Tennis Association</t>
        </is>
      </c>
      <c r="H190" t="inlineStr">
        <is>
          <t>The Supreme Court Tennis Club</t>
        </is>
      </c>
      <c r="I190" t="n">
        <v>32.8</v>
      </c>
      <c r="J190" s="4" t="n">
        <v>181</v>
      </c>
      <c r="K190" t="inlineStr">
        <is>
          <t>123 / 58</t>
        </is>
      </c>
      <c r="L190" t="inlineStr">
        <is>
          <t>36 / 20</t>
        </is>
      </c>
      <c r="M190" s="5" t="n">
        <v>0.68</v>
      </c>
      <c r="N190" s="5" t="n">
        <v>0.64</v>
      </c>
    </row>
    <row r="191">
      <c r="A191" t="n">
        <v>190</v>
      </c>
      <c r="B191" t="n">
        <v>2012</v>
      </c>
      <c r="C191" t="inlineStr">
        <is>
          <t>MISHIKA SURESH BALAJI</t>
        </is>
      </c>
      <c r="D191">
        <f>HYPERLINK("https://ota.tournamentsoftware.com/player-profile/B11C615C-6BB8-4655-BCAA-370D01C186B1", "Link")</f>
        <v/>
      </c>
      <c r="E191" s="3" t="n">
        <v>448</v>
      </c>
      <c r="F191" s="4" t="n">
        <v>17</v>
      </c>
      <c r="G191" t="inlineStr">
        <is>
          <t>Tennis Nova Scotia</t>
        </is>
      </c>
      <c r="H191" t="inlineStr">
        <is>
          <t>Atlantic Tennis Centre</t>
        </is>
      </c>
      <c r="I191" t="n">
        <v>28.1</v>
      </c>
      <c r="J191" s="4" t="n">
        <v>169</v>
      </c>
      <c r="K191" t="inlineStr">
        <is>
          <t>87 / 82</t>
        </is>
      </c>
      <c r="L191" t="inlineStr">
        <is>
          <t>22 / 14</t>
        </is>
      </c>
      <c r="M191" s="5" t="n">
        <v>0.51</v>
      </c>
      <c r="N191" s="5" t="n">
        <v>0.61</v>
      </c>
    </row>
    <row r="192">
      <c r="A192" t="n">
        <v>191</v>
      </c>
      <c r="B192" t="n">
        <v>2013</v>
      </c>
      <c r="C192" t="inlineStr">
        <is>
          <t>Bianca Bordogna</t>
        </is>
      </c>
      <c r="D192">
        <f>HYPERLINK("https://ota.tournamentsoftware.com/player-profile/71A0B4E7-3A92-4F64-82D6-42A032600DC7", "Link")</f>
        <v/>
      </c>
      <c r="E192" s="3" t="n">
        <v>447.08</v>
      </c>
      <c r="F192" s="4" t="n">
        <v>14</v>
      </c>
      <c r="G192" t="inlineStr">
        <is>
          <t>Ontario Tennis Association</t>
        </is>
      </c>
      <c r="H192" t="inlineStr">
        <is>
          <t>Carleton Tennis Centre</t>
        </is>
      </c>
      <c r="I192" t="n">
        <v>31.5</v>
      </c>
      <c r="J192" s="4" t="n">
        <v>104</v>
      </c>
      <c r="K192" t="inlineStr">
        <is>
          <t>53 / 51</t>
        </is>
      </c>
      <c r="L192" t="inlineStr">
        <is>
          <t>10 / 11</t>
        </is>
      </c>
      <c r="M192" s="5" t="n">
        <v>0.51</v>
      </c>
      <c r="N192" s="5" t="n">
        <v>0.48</v>
      </c>
    </row>
    <row r="193">
      <c r="A193" t="n">
        <v>192</v>
      </c>
      <c r="B193" t="n">
        <v>2013</v>
      </c>
      <c r="C193" t="inlineStr">
        <is>
          <t>Mariela Ibrahim</t>
        </is>
      </c>
      <c r="D193">
        <f>HYPERLINK("https://ota.tournamentsoftware.com/player-profile/D80C965C-4117-4C2C-9F46-F371E9E47454", "Link")</f>
        <v/>
      </c>
      <c r="E193" s="3" t="n">
        <v>447.042</v>
      </c>
      <c r="F193" s="4" t="n">
        <v>28</v>
      </c>
      <c r="G193" t="inlineStr">
        <is>
          <t>Ontario Tennis Association</t>
        </is>
      </c>
      <c r="H193" t="inlineStr">
        <is>
          <t>Concord Tennis Academy</t>
        </is>
      </c>
      <c r="I193" t="inlineStr">
        <is>
          <t>unavailable</t>
        </is>
      </c>
      <c r="J193" s="4" t="n">
        <v>102</v>
      </c>
      <c r="K193" t="inlineStr">
        <is>
          <t>58 / 44</t>
        </is>
      </c>
      <c r="L193" t="inlineStr">
        <is>
          <t>24 / 18</t>
        </is>
      </c>
      <c r="M193" s="5" t="n">
        <v>0.57</v>
      </c>
      <c r="N193" s="5" t="n">
        <v>0.57</v>
      </c>
    </row>
    <row r="194">
      <c r="A194" t="n">
        <v>193</v>
      </c>
      <c r="B194" t="n">
        <v>2015</v>
      </c>
      <c r="C194" t="inlineStr">
        <is>
          <t>Sunandita Pal</t>
        </is>
      </c>
      <c r="D194">
        <f>HYPERLINK("https://ota.tournamentsoftware.com/player-profile/10185E41-C6E2-4C6A-9A47-A3AF6C77F2A4", "Link")</f>
        <v/>
      </c>
      <c r="E194" s="3" t="n">
        <v>444.977</v>
      </c>
      <c r="F194" s="4" t="n">
        <v>27</v>
      </c>
      <c r="G194" t="inlineStr">
        <is>
          <t>Ontario Tennis Association</t>
        </is>
      </c>
      <c r="H194" t="inlineStr">
        <is>
          <t>No Club</t>
        </is>
      </c>
      <c r="I194" t="n">
        <v>33.3</v>
      </c>
      <c r="J194" s="4" t="n">
        <v>233</v>
      </c>
      <c r="K194" t="inlineStr">
        <is>
          <t>110 / 123</t>
        </is>
      </c>
      <c r="L194" t="inlineStr">
        <is>
          <t>26 / 22</t>
        </is>
      </c>
      <c r="M194" s="5" t="n">
        <v>0.47</v>
      </c>
      <c r="N194" s="5" t="n">
        <v>0.54</v>
      </c>
    </row>
    <row r="195">
      <c r="A195" t="n">
        <v>194</v>
      </c>
      <c r="B195" t="n">
        <v>2013</v>
      </c>
      <c r="C195" t="inlineStr">
        <is>
          <t>Rihanna Kulyk</t>
        </is>
      </c>
      <c r="D195">
        <f>HYPERLINK("https://ota.tournamentsoftware.com/player-profile/6E1703BA-DB25-4B47-9BB7-314BDDCFDBAC", "Link")</f>
        <v/>
      </c>
      <c r="E195" s="3" t="n">
        <v>444.665</v>
      </c>
      <c r="F195" s="4" t="n">
        <v>24</v>
      </c>
      <c r="G195" t="inlineStr">
        <is>
          <t>Tennis Québec</t>
        </is>
      </c>
      <c r="H195" t="inlineStr">
        <is>
          <t>Tennis Ile- des- Soeurs</t>
        </is>
      </c>
      <c r="I195" t="inlineStr">
        <is>
          <t>unavailable</t>
        </is>
      </c>
      <c r="J195" s="4" t="n">
        <v>241</v>
      </c>
      <c r="K195" t="inlineStr">
        <is>
          <t>106 / 135</t>
        </is>
      </c>
      <c r="L195" t="inlineStr">
        <is>
          <t>13 / 21</t>
        </is>
      </c>
      <c r="M195" s="5" t="n">
        <v>0.44</v>
      </c>
      <c r="N195" s="5" t="n">
        <v>0.38</v>
      </c>
    </row>
    <row r="196">
      <c r="A196" t="n">
        <v>195</v>
      </c>
      <c r="B196" t="n">
        <v>2014</v>
      </c>
      <c r="C196" t="inlineStr">
        <is>
          <t>KENZA JERBI</t>
        </is>
      </c>
      <c r="D196">
        <f>HYPERLINK("https://ota.tournamentsoftware.com/player-profile/C6A8B859-96DA-46D9-A270-B08DA27DDE5C", "Link")</f>
        <v/>
      </c>
      <c r="E196" s="3" t="n">
        <v>442.895</v>
      </c>
      <c r="F196" s="4" t="n">
        <v>15</v>
      </c>
      <c r="G196" t="inlineStr">
        <is>
          <t>Tennis Québec</t>
        </is>
      </c>
      <c r="H196" t="inlineStr">
        <is>
          <t>Tennis Montréal Excellence</t>
        </is>
      </c>
      <c r="I196" t="n">
        <v>31.8</v>
      </c>
      <c r="J196" s="4" t="n">
        <v>108</v>
      </c>
      <c r="K196" t="inlineStr">
        <is>
          <t>65 / 43</t>
        </is>
      </c>
      <c r="L196" t="inlineStr">
        <is>
          <t>7 / 11</t>
        </is>
      </c>
      <c r="M196" s="5" t="n">
        <v>0.6</v>
      </c>
      <c r="N196" s="5" t="n">
        <v>0.39</v>
      </c>
    </row>
    <row r="197">
      <c r="A197" t="n">
        <v>196</v>
      </c>
      <c r="B197" t="n">
        <v>2012</v>
      </c>
      <c r="C197" t="inlineStr">
        <is>
          <t>Ella Zhao</t>
        </is>
      </c>
      <c r="D197">
        <f>HYPERLINK("https://ota.tournamentsoftware.com/player-profile/4CFC4B61-0F67-4AD7-8CC6-03CC7A224737", "Link")</f>
        <v/>
      </c>
      <c r="E197" s="3" t="n">
        <v>442.478</v>
      </c>
      <c r="F197" s="4" t="n">
        <v>10</v>
      </c>
      <c r="G197" t="inlineStr">
        <is>
          <t>British Columbia</t>
        </is>
      </c>
      <c r="H197" t="inlineStr">
        <is>
          <t>North Shore Winter Club</t>
        </is>
      </c>
      <c r="I197" t="n">
        <v>26.8</v>
      </c>
      <c r="J197" s="4" t="n">
        <v>121</v>
      </c>
      <c r="K197" t="inlineStr">
        <is>
          <t>89 / 32</t>
        </is>
      </c>
      <c r="L197" t="inlineStr">
        <is>
          <t>9 / 7</t>
        </is>
      </c>
      <c r="M197" s="5" t="n">
        <v>0.74</v>
      </c>
      <c r="N197" s="5" t="n">
        <v>0.5600000000000001</v>
      </c>
    </row>
    <row r="198">
      <c r="A198" t="n">
        <v>197</v>
      </c>
      <c r="B198" t="n">
        <v>2013</v>
      </c>
      <c r="C198" t="inlineStr">
        <is>
          <t>Audrey Yiyi Xu</t>
        </is>
      </c>
      <c r="D198">
        <f>HYPERLINK("https://ota.tournamentsoftware.com/player-profile/25D8C643-E3DC-418B-948B-22520C94F8E3", "Link")</f>
        <v/>
      </c>
      <c r="E198" s="3" t="n">
        <v>439.622</v>
      </c>
      <c r="F198" s="4" t="n">
        <v>21</v>
      </c>
      <c r="G198" t="inlineStr">
        <is>
          <t>Ontario Tennis Association</t>
        </is>
      </c>
      <c r="H198" t="inlineStr">
        <is>
          <t>Joshua Creek Golf &amp; Tennis</t>
        </is>
      </c>
      <c r="I198" t="n">
        <v>32.4</v>
      </c>
      <c r="J198" s="4" t="n">
        <v>139</v>
      </c>
      <c r="K198" t="inlineStr">
        <is>
          <t>60 / 79</t>
        </is>
      </c>
      <c r="L198" t="inlineStr">
        <is>
          <t>21 / 15</t>
        </is>
      </c>
      <c r="M198" s="5" t="n">
        <v>0.43</v>
      </c>
      <c r="N198" s="5" t="n">
        <v>0.58</v>
      </c>
    </row>
    <row r="199">
      <c r="A199" t="n">
        <v>198</v>
      </c>
      <c r="B199" t="n">
        <v>2014</v>
      </c>
      <c r="C199" t="inlineStr">
        <is>
          <t>Adrianna Gianvito</t>
        </is>
      </c>
      <c r="D199">
        <f>HYPERLINK("https://ota.tournamentsoftware.com/player-profile/1412F0F4-82D3-410D-980E-969EFE386B01", "Link")</f>
        <v/>
      </c>
      <c r="E199" s="3" t="n">
        <v>439.384</v>
      </c>
      <c r="F199" s="4" t="n">
        <v>20</v>
      </c>
      <c r="G199" t="inlineStr">
        <is>
          <t>Tennis Québec</t>
        </is>
      </c>
      <c r="H199" t="inlineStr">
        <is>
          <t>No Club</t>
        </is>
      </c>
      <c r="I199" t="inlineStr">
        <is>
          <t>unavailable</t>
        </is>
      </c>
      <c r="J199" s="4" t="n">
        <v>145</v>
      </c>
      <c r="K199" t="inlineStr">
        <is>
          <t>75 / 70</t>
        </is>
      </c>
      <c r="L199" t="inlineStr">
        <is>
          <t>25 / 18</t>
        </is>
      </c>
      <c r="M199" s="5" t="n">
        <v>0.52</v>
      </c>
      <c r="N199" s="5" t="n">
        <v>0.58</v>
      </c>
    </row>
    <row r="200">
      <c r="A200" t="n">
        <v>199</v>
      </c>
      <c r="B200" t="n">
        <v>2015</v>
      </c>
      <c r="C200" t="inlineStr">
        <is>
          <t>Tina liu</t>
        </is>
      </c>
      <c r="D200">
        <f>HYPERLINK("https://ota.tournamentsoftware.com/player-profile/E7D1FBAC-8033-480E-A688-28CBCEF6D907", "Link")</f>
        <v/>
      </c>
      <c r="E200" s="3" t="n">
        <v>436.506</v>
      </c>
      <c r="F200" s="4" t="n">
        <v>29</v>
      </c>
      <c r="G200" t="inlineStr">
        <is>
          <t>Ontario Tennis Association</t>
        </is>
      </c>
      <c r="H200" t="inlineStr">
        <is>
          <t>No Club</t>
        </is>
      </c>
      <c r="I200" t="n">
        <v>32.6</v>
      </c>
      <c r="J200" s="4" t="n">
        <v>200</v>
      </c>
      <c r="K200" t="inlineStr">
        <is>
          <t>128 / 72</t>
        </is>
      </c>
      <c r="L200" t="inlineStr">
        <is>
          <t>32 / 19</t>
        </is>
      </c>
      <c r="M200" s="5" t="n">
        <v>0.64</v>
      </c>
      <c r="N200" s="5" t="n">
        <v>0.63</v>
      </c>
    </row>
    <row r="201">
      <c r="A201" t="n">
        <v>200</v>
      </c>
      <c r="B201" t="n">
        <v>2013</v>
      </c>
      <c r="C201" t="inlineStr">
        <is>
          <t>Rosemarie Gagnon</t>
        </is>
      </c>
      <c r="D201">
        <f>HYPERLINK("https://ota.tournamentsoftware.com/player-profile/55A370D6-4FAD-414D-9E3D-2889C644855A", "Link")</f>
        <v/>
      </c>
      <c r="E201" s="3" t="n">
        <v>429.244</v>
      </c>
      <c r="F201" s="4" t="n">
        <v>21</v>
      </c>
      <c r="G201" t="inlineStr">
        <is>
          <t>Tennis Québec</t>
        </is>
      </c>
      <c r="H201" t="inlineStr">
        <is>
          <t>Club de tennis intérieur Saguenay / École de tennis Delisle-Poirel</t>
        </is>
      </c>
      <c r="I201" t="n">
        <v>32.1</v>
      </c>
      <c r="J201" s="4" t="n">
        <v>110</v>
      </c>
      <c r="K201" t="inlineStr">
        <is>
          <t>49 / 61</t>
        </is>
      </c>
      <c r="L201" t="inlineStr">
        <is>
          <t>11 / 16</t>
        </is>
      </c>
      <c r="M201" s="5" t="n">
        <v>0.45</v>
      </c>
      <c r="N201" s="5" t="n">
        <v>0.41</v>
      </c>
    </row>
    <row r="202">
      <c r="A202" t="n">
        <v>201</v>
      </c>
      <c r="B202" t="n">
        <v>2012</v>
      </c>
      <c r="C202" t="inlineStr">
        <is>
          <t>Tiffany Ren Jun Cao</t>
        </is>
      </c>
      <c r="D202">
        <f>HYPERLINK("https://ota.tournamentsoftware.com/player-profile/07B17DA5-DD47-4C90-B575-478C58AD7465", "Link")</f>
        <v/>
      </c>
      <c r="E202" s="3" t="n">
        <v>426.413</v>
      </c>
      <c r="F202" s="4" t="n">
        <v>22</v>
      </c>
      <c r="G202" t="inlineStr">
        <is>
          <t>British Columbia</t>
        </is>
      </c>
      <c r="H202" t="inlineStr">
        <is>
          <t>Richmond Country Club</t>
        </is>
      </c>
      <c r="I202" t="n">
        <v>29.7</v>
      </c>
      <c r="J202" s="4" t="n">
        <v>207</v>
      </c>
      <c r="K202" t="inlineStr">
        <is>
          <t>105 / 102</t>
        </is>
      </c>
      <c r="L202" t="inlineStr">
        <is>
          <t>18 / 22</t>
        </is>
      </c>
      <c r="M202" s="5" t="n">
        <v>0.51</v>
      </c>
      <c r="N202" s="5" t="n">
        <v>0.45</v>
      </c>
    </row>
    <row r="203">
      <c r="A203" t="n">
        <v>202</v>
      </c>
      <c r="B203" t="n">
        <v>2014</v>
      </c>
      <c r="C203" t="inlineStr">
        <is>
          <t>Katelyn Li</t>
        </is>
      </c>
      <c r="D203">
        <f>HYPERLINK("https://ota.tournamentsoftware.com/player-profile/4A74B151-256A-40ED-9F9D-F00036EDD0A5", "Link")</f>
        <v/>
      </c>
      <c r="E203" s="3" t="n">
        <v>419.141</v>
      </c>
      <c r="F203" s="4" t="n">
        <v>25</v>
      </c>
      <c r="G203" t="inlineStr">
        <is>
          <t>Ontario Tennis Association</t>
        </is>
      </c>
      <c r="H203" t="inlineStr">
        <is>
          <t>No Club</t>
        </is>
      </c>
      <c r="I203" t="inlineStr">
        <is>
          <t>unavailable</t>
        </is>
      </c>
      <c r="J203" s="4" t="n">
        <v>131</v>
      </c>
      <c r="K203" t="inlineStr">
        <is>
          <t>61 / 70</t>
        </is>
      </c>
      <c r="L203" t="inlineStr">
        <is>
          <t>20 / 20</t>
        </is>
      </c>
      <c r="M203" s="5" t="n">
        <v>0.47</v>
      </c>
      <c r="N203" s="5" t="n">
        <v>0.5</v>
      </c>
    </row>
    <row r="204">
      <c r="A204" t="n">
        <v>203</v>
      </c>
      <c r="B204" t="n">
        <v>2014</v>
      </c>
      <c r="C204" t="inlineStr">
        <is>
          <t>Sophia Pavlovska</t>
        </is>
      </c>
      <c r="D204">
        <f>HYPERLINK("https://ota.tournamentsoftware.com/player-profile/5C58F1EE-F291-431D-AC00-FB9096274E0A", "Link")</f>
        <v/>
      </c>
      <c r="E204" s="3" t="n">
        <v>413.785</v>
      </c>
      <c r="F204" s="4" t="n">
        <v>13</v>
      </c>
      <c r="G204" t="inlineStr">
        <is>
          <t>Tennis New Brunswick</t>
        </is>
      </c>
      <c r="H204" t="inlineStr">
        <is>
          <t>Dieppe</t>
        </is>
      </c>
      <c r="I204" t="n">
        <v>32.7</v>
      </c>
      <c r="J204" s="4" t="n">
        <v>174</v>
      </c>
      <c r="K204" t="inlineStr">
        <is>
          <t>63 / 111</t>
        </is>
      </c>
      <c r="L204" t="inlineStr">
        <is>
          <t>17 / 16</t>
        </is>
      </c>
      <c r="M204" s="5" t="n">
        <v>0.36</v>
      </c>
      <c r="N204" s="5" t="n">
        <v>0.52</v>
      </c>
    </row>
    <row r="205">
      <c r="A205" t="n">
        <v>204</v>
      </c>
      <c r="B205" t="n">
        <v>2013</v>
      </c>
      <c r="C205" t="inlineStr">
        <is>
          <t>Isidora Trkulja</t>
        </is>
      </c>
      <c r="D205">
        <f>HYPERLINK("https://ota.tournamentsoftware.com/player-profile/1A3F3EE8-FB93-483C-A52C-E761E6FA42CE", "Link")</f>
        <v/>
      </c>
      <c r="E205" s="3" t="n">
        <v>413.395</v>
      </c>
      <c r="F205" s="4" t="n">
        <v>8</v>
      </c>
      <c r="G205" t="inlineStr">
        <is>
          <t>Tennis Alberta</t>
        </is>
      </c>
      <c r="H205" t="inlineStr">
        <is>
          <t>Saville Community Sports Centre</t>
        </is>
      </c>
      <c r="I205" t="n">
        <v>26.2</v>
      </c>
      <c r="J205" s="4" t="n">
        <v>194</v>
      </c>
      <c r="K205" t="inlineStr">
        <is>
          <t>125 / 69</t>
        </is>
      </c>
      <c r="L205" t="inlineStr">
        <is>
          <t>8 / 6</t>
        </is>
      </c>
      <c r="M205" s="5" t="n">
        <v>0.64</v>
      </c>
      <c r="N205" s="5" t="n">
        <v>0.57</v>
      </c>
    </row>
    <row r="206">
      <c r="A206" t="n">
        <v>205</v>
      </c>
      <c r="B206" t="n">
        <v>2013</v>
      </c>
      <c r="C206" t="inlineStr">
        <is>
          <t>Coralie D'Amours</t>
        </is>
      </c>
      <c r="D206">
        <f>HYPERLINK("https://ota.tournamentsoftware.com/player-profile/35A6230C-9F9D-4861-B1DB-6367FB38A039", "Link")</f>
        <v/>
      </c>
      <c r="E206" s="3" t="n">
        <v>408.39</v>
      </c>
      <c r="F206" s="4" t="n">
        <v>16</v>
      </c>
      <c r="G206" t="inlineStr">
        <is>
          <t>Ontario Tennis Association</t>
        </is>
      </c>
      <c r="H206" t="inlineStr">
        <is>
          <t>Rideau Sports Centre</t>
        </is>
      </c>
      <c r="I206" t="n">
        <v>34</v>
      </c>
      <c r="J206" s="4" t="n">
        <v>56</v>
      </c>
      <c r="K206" t="inlineStr">
        <is>
          <t>19 / 37</t>
        </is>
      </c>
      <c r="L206" t="inlineStr">
        <is>
          <t>11 / 15</t>
        </is>
      </c>
      <c r="M206" s="5" t="n">
        <v>0.34</v>
      </c>
      <c r="N206" s="5" t="n">
        <v>0.42</v>
      </c>
    </row>
    <row r="207">
      <c r="A207" t="n">
        <v>206</v>
      </c>
      <c r="B207" t="n">
        <v>2013</v>
      </c>
      <c r="C207" t="inlineStr">
        <is>
          <t>Arya Kaur Dhillon</t>
        </is>
      </c>
      <c r="D207">
        <f>HYPERLINK("https://ota.tournamentsoftware.com/player-profile/3DBC0BDE-C3D6-40A5-992E-F7274098EF5D", "Link")</f>
        <v/>
      </c>
      <c r="E207" s="3" t="n">
        <v>405.446</v>
      </c>
      <c r="F207" s="4" t="n">
        <v>18</v>
      </c>
      <c r="G207" t="inlineStr">
        <is>
          <t>Tennis Alberta</t>
        </is>
      </c>
      <c r="H207" t="inlineStr">
        <is>
          <t>Saville Community Sports Centre</t>
        </is>
      </c>
      <c r="I207" t="n">
        <v>29.5</v>
      </c>
      <c r="J207" s="4" t="n">
        <v>173</v>
      </c>
      <c r="K207" t="inlineStr">
        <is>
          <t>85 / 88</t>
        </is>
      </c>
      <c r="L207" t="inlineStr">
        <is>
          <t>23 / 20</t>
        </is>
      </c>
      <c r="M207" s="5" t="n">
        <v>0.49</v>
      </c>
      <c r="N207" s="5" t="n">
        <v>0.53</v>
      </c>
    </row>
    <row r="208">
      <c r="A208" t="n">
        <v>207</v>
      </c>
      <c r="B208" t="n">
        <v>2014</v>
      </c>
      <c r="C208" t="inlineStr">
        <is>
          <t>Hanna Julia Barta</t>
        </is>
      </c>
      <c r="D208">
        <f>HYPERLINK("https://ota.tournamentsoftware.com/player-profile/BAF4D69B-39E5-4A7E-BB04-5AF0EDC7734B", "Link")</f>
        <v/>
      </c>
      <c r="E208" s="3" t="n">
        <v>403.877</v>
      </c>
      <c r="F208" s="4" t="n">
        <v>26</v>
      </c>
      <c r="G208" t="inlineStr">
        <is>
          <t>Ontario Tennis Association</t>
        </is>
      </c>
      <c r="H208" t="inlineStr">
        <is>
          <t>Advantage Tennis International at Veneto</t>
        </is>
      </c>
      <c r="I208" t="n">
        <v>32.9</v>
      </c>
      <c r="J208" s="4" t="n">
        <v>205</v>
      </c>
      <c r="K208" t="inlineStr">
        <is>
          <t>100 / 105</t>
        </is>
      </c>
      <c r="L208" t="inlineStr">
        <is>
          <t>20 / 19</t>
        </is>
      </c>
      <c r="M208" s="5" t="n">
        <v>0.49</v>
      </c>
      <c r="N208" s="5" t="n">
        <v>0.51</v>
      </c>
    </row>
    <row r="209">
      <c r="A209" t="n">
        <v>208</v>
      </c>
      <c r="B209" t="n">
        <v>2014</v>
      </c>
      <c r="C209" t="inlineStr">
        <is>
          <t>Ema Zonjic</t>
        </is>
      </c>
      <c r="D209">
        <f>HYPERLINK("https://ota.tournamentsoftware.com/player-profile/42A43C76-E08F-4134-B876-2E9D05859D92", "Link")</f>
        <v/>
      </c>
      <c r="E209" s="3" t="n">
        <v>401.725</v>
      </c>
      <c r="F209" s="4" t="n">
        <v>26</v>
      </c>
      <c r="G209" t="inlineStr">
        <is>
          <t>Ontario Tennis Association</t>
        </is>
      </c>
      <c r="H209" t="inlineStr">
        <is>
          <t>Rideau Sports Centre</t>
        </is>
      </c>
      <c r="I209" t="n">
        <v>31.6</v>
      </c>
      <c r="J209" s="4" t="n">
        <v>180</v>
      </c>
      <c r="K209" t="inlineStr">
        <is>
          <t>100 / 80</t>
        </is>
      </c>
      <c r="L209" t="inlineStr">
        <is>
          <t>32 / 23</t>
        </is>
      </c>
      <c r="M209" s="5" t="n">
        <v>0.5600000000000001</v>
      </c>
      <c r="N209" s="5" t="n">
        <v>0.58</v>
      </c>
    </row>
    <row r="210">
      <c r="A210" t="n">
        <v>209</v>
      </c>
      <c r="B210" t="n">
        <v>2013</v>
      </c>
      <c r="C210" t="inlineStr">
        <is>
          <t>Rachel Daniel</t>
        </is>
      </c>
      <c r="D210">
        <f>HYPERLINK("https://ota.tournamentsoftware.com/player-profile/C70279D5-586C-4A9D-94CC-EB9551085FF4", "Link")</f>
        <v/>
      </c>
      <c r="E210" s="3" t="n">
        <v>398.854</v>
      </c>
      <c r="F210" s="4" t="n">
        <v>19</v>
      </c>
      <c r="G210" t="inlineStr">
        <is>
          <t>Ontario Tennis Association</t>
        </is>
      </c>
      <c r="H210" t="inlineStr">
        <is>
          <t>Advantage Tennis International at Veneto</t>
        </is>
      </c>
      <c r="I210" t="n">
        <v>32.8</v>
      </c>
      <c r="J210" s="4" t="n">
        <v>100</v>
      </c>
      <c r="K210" t="inlineStr">
        <is>
          <t>39 / 61</t>
        </is>
      </c>
      <c r="L210" t="inlineStr">
        <is>
          <t>9 / 12</t>
        </is>
      </c>
      <c r="M210" s="5" t="n">
        <v>0.39</v>
      </c>
      <c r="N210" s="5" t="n">
        <v>0.43</v>
      </c>
    </row>
    <row r="211">
      <c r="A211" t="n">
        <v>210</v>
      </c>
      <c r="B211" t="n">
        <v>2012</v>
      </c>
      <c r="C211" t="inlineStr">
        <is>
          <t>Victoria Perez Vargas</t>
        </is>
      </c>
      <c r="D211">
        <f>HYPERLINK("https://ota.tournamentsoftware.com/player-profile/6649B15F-628D-4ED7-81D6-AEB9036DF19A", "Link")</f>
        <v/>
      </c>
      <c r="E211" s="3" t="n">
        <v>396.088</v>
      </c>
      <c r="F211" s="4" t="n">
        <v>24</v>
      </c>
      <c r="G211" t="inlineStr">
        <is>
          <t>Tennis Québec</t>
        </is>
      </c>
      <c r="H211" t="inlineStr">
        <is>
          <t>Centre récréatif de Repentigny / Académie Tennis Momentum</t>
        </is>
      </c>
      <c r="I211" t="n">
        <v>32.6</v>
      </c>
      <c r="J211" s="4" t="n">
        <v>103</v>
      </c>
      <c r="K211" t="inlineStr">
        <is>
          <t>51 / 52</t>
        </is>
      </c>
      <c r="L211" t="inlineStr">
        <is>
          <t>26 / 15</t>
        </is>
      </c>
      <c r="M211" s="5" t="n">
        <v>0.5</v>
      </c>
      <c r="N211" s="5" t="n">
        <v>0.63</v>
      </c>
    </row>
    <row r="212">
      <c r="A212" t="n">
        <v>211</v>
      </c>
      <c r="B212" t="n">
        <v>2015</v>
      </c>
      <c r="C212" t="inlineStr">
        <is>
          <t>Mila Caporusso</t>
        </is>
      </c>
      <c r="D212">
        <f>HYPERLINK("https://ota.tournamentsoftware.com/player-profile/71A1C940-3E73-49DA-929B-3B90328FC4BC", "Link")</f>
        <v/>
      </c>
      <c r="E212" s="3" t="n">
        <v>392.138</v>
      </c>
      <c r="F212" s="4" t="n">
        <v>8</v>
      </c>
      <c r="G212" t="inlineStr">
        <is>
          <t>Tennis Québec</t>
        </is>
      </c>
      <c r="H212" t="inlineStr">
        <is>
          <t>Tennis 13 / Académie Ménard et associé</t>
        </is>
      </c>
      <c r="I212" t="n">
        <v>30.4</v>
      </c>
      <c r="J212" s="4" t="n">
        <v>109</v>
      </c>
      <c r="K212" t="inlineStr">
        <is>
          <t>71 / 38</t>
        </is>
      </c>
      <c r="L212" t="inlineStr">
        <is>
          <t>10 / 10</t>
        </is>
      </c>
      <c r="M212" s="5" t="n">
        <v>0.65</v>
      </c>
      <c r="N212" s="5" t="n">
        <v>0.5</v>
      </c>
    </row>
    <row r="213">
      <c r="A213" t="n">
        <v>212</v>
      </c>
      <c r="B213" t="n">
        <v>2013</v>
      </c>
      <c r="C213" t="inlineStr">
        <is>
          <t>Élisabeth Circé</t>
        </is>
      </c>
      <c r="D213">
        <f>HYPERLINK("https://ota.tournamentsoftware.com/player-profile/6616439A-F3CD-4D57-876F-DCE4AC4B88C9", "Link")</f>
        <v/>
      </c>
      <c r="E213" s="3" t="n">
        <v>389.717</v>
      </c>
      <c r="F213" s="4" t="n">
        <v>28</v>
      </c>
      <c r="G213" t="inlineStr">
        <is>
          <t>Tennis Québec</t>
        </is>
      </c>
      <c r="H213" t="inlineStr">
        <is>
          <t>Tennis Interclub Piedmont</t>
        </is>
      </c>
      <c r="I213" t="inlineStr">
        <is>
          <t>unavailable</t>
        </is>
      </c>
      <c r="J213" s="4" t="n">
        <v>145</v>
      </c>
      <c r="K213" t="inlineStr">
        <is>
          <t>47 / 98</t>
        </is>
      </c>
      <c r="L213" t="inlineStr">
        <is>
          <t>13 / 22</t>
        </is>
      </c>
      <c r="M213" s="5" t="n">
        <v>0.32</v>
      </c>
      <c r="N213" s="5" t="n">
        <v>0.37</v>
      </c>
    </row>
    <row r="214">
      <c r="A214" t="n">
        <v>213</v>
      </c>
      <c r="B214" t="n">
        <v>2014</v>
      </c>
      <c r="C214" t="inlineStr">
        <is>
          <t>Maeva Cantin</t>
        </is>
      </c>
      <c r="D214">
        <f>HYPERLINK("https://ota.tournamentsoftware.com/player-profile/B46D6374-4A68-4FB0-8516-4056AFA1047A", "Link")</f>
        <v/>
      </c>
      <c r="E214" s="3" t="n">
        <v>389.285</v>
      </c>
      <c r="F214" s="4" t="n">
        <v>17</v>
      </c>
      <c r="G214" t="inlineStr">
        <is>
          <t>Tennis Québec</t>
        </is>
      </c>
      <c r="H214" t="inlineStr">
        <is>
          <t>Centre récréatif de Repentigny / Académie Tennis Momentum</t>
        </is>
      </c>
      <c r="I214" t="n">
        <v>30.9</v>
      </c>
      <c r="J214" s="4" t="n">
        <v>149</v>
      </c>
      <c r="K214" t="inlineStr">
        <is>
          <t>79 / 70</t>
        </is>
      </c>
      <c r="L214" t="inlineStr">
        <is>
          <t>26 / 17</t>
        </is>
      </c>
      <c r="M214" s="5" t="n">
        <v>0.53</v>
      </c>
      <c r="N214" s="5" t="n">
        <v>0.6</v>
      </c>
    </row>
    <row r="215">
      <c r="A215" t="n">
        <v>214</v>
      </c>
      <c r="B215" t="n">
        <v>2014</v>
      </c>
      <c r="C215" t="inlineStr">
        <is>
          <t>Olivia Zhang</t>
        </is>
      </c>
      <c r="D215">
        <f>HYPERLINK("https://ota.tournamentsoftware.com/player-profile/8A1E61A8-3535-4F88-8C90-68A511D75AC2", "Link")</f>
        <v/>
      </c>
      <c r="E215" s="3" t="n">
        <v>388.8</v>
      </c>
      <c r="F215" s="4" t="n">
        <v>17</v>
      </c>
      <c r="G215" t="inlineStr">
        <is>
          <t>Ontario Tennis Association</t>
        </is>
      </c>
      <c r="H215" t="inlineStr">
        <is>
          <t>Richmondhill Golf &amp; Country Club</t>
        </is>
      </c>
      <c r="I215" t="n">
        <v>30.5</v>
      </c>
      <c r="J215" s="4" t="n">
        <v>99</v>
      </c>
      <c r="K215" t="inlineStr">
        <is>
          <t>61 / 38</t>
        </is>
      </c>
      <c r="L215" t="inlineStr">
        <is>
          <t>30 / 15</t>
        </is>
      </c>
      <c r="M215" s="5" t="n">
        <v>0.62</v>
      </c>
      <c r="N215" s="5" t="n">
        <v>0.67</v>
      </c>
    </row>
    <row r="216">
      <c r="A216" t="n">
        <v>215</v>
      </c>
      <c r="B216" t="n">
        <v>2012</v>
      </c>
      <c r="C216" t="inlineStr">
        <is>
          <t>Aliya Star Michel</t>
        </is>
      </c>
      <c r="D216">
        <f>HYPERLINK("https://ota.tournamentsoftware.com/player-profile/B34E6AA6-2962-4DB5-93DB-BCA4DBF97316", "Link")</f>
        <v/>
      </c>
      <c r="E216" s="3" t="n">
        <v>386.865</v>
      </c>
      <c r="F216" s="4" t="n">
        <v>7</v>
      </c>
      <c r="G216" t="inlineStr">
        <is>
          <t>Tennis Québec</t>
        </is>
      </c>
      <c r="H216" t="inlineStr">
        <is>
          <t>Carrefour Multisports</t>
        </is>
      </c>
      <c r="I216" t="n">
        <v>30</v>
      </c>
      <c r="J216" s="4" t="n">
        <v>184</v>
      </c>
      <c r="K216" t="inlineStr">
        <is>
          <t>96 / 88</t>
        </is>
      </c>
      <c r="L216" t="inlineStr">
        <is>
          <t>2 / 2</t>
        </is>
      </c>
      <c r="M216" s="5" t="n">
        <v>0.52</v>
      </c>
      <c r="N216" s="5" t="n">
        <v>0.5</v>
      </c>
    </row>
    <row r="217">
      <c r="A217" t="n">
        <v>216</v>
      </c>
      <c r="B217" t="n">
        <v>2013</v>
      </c>
      <c r="C217" t="inlineStr">
        <is>
          <t>EMMA ANTONIA DOBREAN</t>
        </is>
      </c>
      <c r="D217">
        <f>HYPERLINK("https://ota.tournamentsoftware.com/player-profile/A556E1FC-8159-42C1-A5DB-35375535B6F4", "Link")</f>
        <v/>
      </c>
      <c r="E217" s="3" t="n">
        <v>386.415</v>
      </c>
      <c r="F217" s="4" t="n">
        <v>3</v>
      </c>
      <c r="G217" t="inlineStr">
        <is>
          <t>Ontario Tennis Association</t>
        </is>
      </c>
      <c r="H217" t="inlineStr">
        <is>
          <t>No Club</t>
        </is>
      </c>
      <c r="I217" t="inlineStr">
        <is>
          <t>unavailable</t>
        </is>
      </c>
      <c r="J217" s="4" t="n">
        <v>137</v>
      </c>
      <c r="K217" t="inlineStr">
        <is>
          <t>98 / 39</t>
        </is>
      </c>
      <c r="L217" t="inlineStr">
        <is>
          <t>2 / 3</t>
        </is>
      </c>
      <c r="M217" s="5" t="n">
        <v>0.72</v>
      </c>
      <c r="N217" s="5" t="n">
        <v>0.4</v>
      </c>
    </row>
    <row r="218">
      <c r="A218" t="n">
        <v>217</v>
      </c>
      <c r="B218" t="n">
        <v>2012</v>
      </c>
      <c r="C218" t="inlineStr">
        <is>
          <t>Milena Mavrin</t>
        </is>
      </c>
      <c r="D218">
        <f>HYPERLINK("https://ota.tournamentsoftware.com/player-profile/E6DED1E8-57C3-4627-8D59-94A636610A6B", "Link")</f>
        <v/>
      </c>
      <c r="E218" s="3" t="n">
        <v>386.04</v>
      </c>
      <c r="F218" s="4" t="n">
        <v>25</v>
      </c>
      <c r="G218" t="inlineStr">
        <is>
          <t>Ontario Tennis Association</t>
        </is>
      </c>
      <c r="H218" t="inlineStr">
        <is>
          <t>Blackmore Tennis Club</t>
        </is>
      </c>
      <c r="I218" t="n">
        <v>31.6</v>
      </c>
      <c r="J218" s="4" t="n">
        <v>73</v>
      </c>
      <c r="K218" t="inlineStr">
        <is>
          <t>33 / 40</t>
        </is>
      </c>
      <c r="L218" t="inlineStr">
        <is>
          <t>25 / 20</t>
        </is>
      </c>
      <c r="M218" s="5" t="n">
        <v>0.45</v>
      </c>
      <c r="N218" s="5" t="n">
        <v>0.5600000000000001</v>
      </c>
    </row>
    <row r="219">
      <c r="A219" t="n">
        <v>218</v>
      </c>
      <c r="B219" t="n">
        <v>2014</v>
      </c>
      <c r="C219" t="inlineStr">
        <is>
          <t>Erin Yida Li</t>
        </is>
      </c>
      <c r="D219">
        <f>HYPERLINK("https://ota.tournamentsoftware.com/player-profile/48592A27-18BE-4C04-BE24-73F536B6D5D5", "Link")</f>
        <v/>
      </c>
      <c r="E219" s="3" t="n">
        <v>382.624</v>
      </c>
      <c r="F219" s="4" t="n">
        <v>20</v>
      </c>
      <c r="G219" t="inlineStr">
        <is>
          <t>Ontario Tennis Association</t>
        </is>
      </c>
      <c r="H219" t="inlineStr">
        <is>
          <t>Richmondhill Golf &amp; Country Club</t>
        </is>
      </c>
      <c r="I219" t="n">
        <v>32.8</v>
      </c>
      <c r="J219" s="4" t="n">
        <v>84</v>
      </c>
      <c r="K219" t="inlineStr">
        <is>
          <t>41 / 43</t>
        </is>
      </c>
      <c r="L219" t="inlineStr">
        <is>
          <t>18 / 18</t>
        </is>
      </c>
      <c r="M219" s="5" t="n">
        <v>0.49</v>
      </c>
      <c r="N219" s="5" t="n">
        <v>0.5</v>
      </c>
    </row>
    <row r="220">
      <c r="A220" t="n">
        <v>219</v>
      </c>
      <c r="B220" t="n">
        <v>2014</v>
      </c>
      <c r="C220" t="inlineStr">
        <is>
          <t>anne xie</t>
        </is>
      </c>
      <c r="D220">
        <f>HYPERLINK("https://ota.tournamentsoftware.com/player-profile/FA9126B9-8D97-4D5E-9E34-8893BB836AE1", "Link")</f>
        <v/>
      </c>
      <c r="E220" s="3" t="n">
        <v>378.598</v>
      </c>
      <c r="F220" s="4" t="n">
        <v>25</v>
      </c>
      <c r="G220" t="inlineStr">
        <is>
          <t>British Columbia</t>
        </is>
      </c>
      <c r="H220" t="inlineStr">
        <is>
          <t>North Vancouver Tennis Centre</t>
        </is>
      </c>
      <c r="I220" t="n">
        <v>29.1</v>
      </c>
      <c r="J220" s="4" t="n">
        <v>259</v>
      </c>
      <c r="K220" t="inlineStr">
        <is>
          <t>126 / 133</t>
        </is>
      </c>
      <c r="L220" t="inlineStr">
        <is>
          <t>29 / 25</t>
        </is>
      </c>
      <c r="M220" s="5" t="n">
        <v>0.49</v>
      </c>
      <c r="N220" s="5" t="n">
        <v>0.54</v>
      </c>
    </row>
    <row r="221">
      <c r="A221" t="n">
        <v>220</v>
      </c>
      <c r="B221" t="n">
        <v>2014</v>
      </c>
      <c r="C221" t="inlineStr">
        <is>
          <t>Isabella Quintero-Gonzalez</t>
        </is>
      </c>
      <c r="D221">
        <f>HYPERLINK("https://ota.tournamentsoftware.com/player-profile/7215E114-BC9E-4292-9B97-03B766DB64EA", "Link")</f>
        <v/>
      </c>
      <c r="E221" s="3" t="n">
        <v>370.411</v>
      </c>
      <c r="F221" s="4" t="n">
        <v>12</v>
      </c>
      <c r="G221" t="inlineStr">
        <is>
          <t>Tennis Nova Scotia</t>
        </is>
      </c>
      <c r="H221" t="inlineStr">
        <is>
          <t>Atlantic Tennis Centre</t>
        </is>
      </c>
      <c r="I221" t="n">
        <v>32.1</v>
      </c>
      <c r="J221" s="4" t="n">
        <v>128</v>
      </c>
      <c r="K221" t="inlineStr">
        <is>
          <t>65 / 63</t>
        </is>
      </c>
      <c r="L221" t="inlineStr">
        <is>
          <t>29 / 23</t>
        </is>
      </c>
      <c r="M221" s="5" t="n">
        <v>0.51</v>
      </c>
      <c r="N221" s="5" t="n">
        <v>0.5600000000000001</v>
      </c>
    </row>
    <row r="222">
      <c r="A222" t="n">
        <v>221</v>
      </c>
      <c r="B222" t="n">
        <v>2013</v>
      </c>
      <c r="C222" t="inlineStr">
        <is>
          <t>Noelle Coyne</t>
        </is>
      </c>
      <c r="D222">
        <f>HYPERLINK("https://ota.tournamentsoftware.com/player-profile/F9F10EB5-F22D-4997-85F1-78377170C70A", "Link")</f>
        <v/>
      </c>
      <c r="E222" s="3" t="n">
        <v>367.853</v>
      </c>
      <c r="F222" s="4" t="n">
        <v>26</v>
      </c>
      <c r="G222" t="inlineStr">
        <is>
          <t>Tennis Alberta</t>
        </is>
      </c>
      <c r="H222" t="inlineStr">
        <is>
          <t>Osten &amp; Victor Alberta Tennis Centre</t>
        </is>
      </c>
      <c r="I222" t="n">
        <v>31.9</v>
      </c>
      <c r="J222" s="4" t="n">
        <v>122</v>
      </c>
      <c r="K222" t="inlineStr">
        <is>
          <t>51 / 71</t>
        </is>
      </c>
      <c r="L222" t="inlineStr">
        <is>
          <t>23 / 32</t>
        </is>
      </c>
      <c r="M222" s="5" t="n">
        <v>0.42</v>
      </c>
      <c r="N222" s="5" t="n">
        <v>0.42</v>
      </c>
    </row>
    <row r="223">
      <c r="A223" t="n">
        <v>222</v>
      </c>
      <c r="B223" t="n">
        <v>2013</v>
      </c>
      <c r="C223" t="inlineStr">
        <is>
          <t>Mary Grace MacDonnell Doak</t>
        </is>
      </c>
      <c r="D223">
        <f>HYPERLINK("https://ota.tournamentsoftware.com/player-profile/7E3C3388-CB92-4FE9-B0C8-FE6415D966E4", "Link")</f>
        <v/>
      </c>
      <c r="E223" s="3" t="n">
        <v>366.079</v>
      </c>
      <c r="F223" s="4" t="n">
        <v>17</v>
      </c>
      <c r="G223" t="inlineStr">
        <is>
          <t>Ontario Tennis Association</t>
        </is>
      </c>
      <c r="H223" t="inlineStr">
        <is>
          <t>St. James Tennis Club</t>
        </is>
      </c>
      <c r="I223" t="n">
        <v>36.2</v>
      </c>
      <c r="J223" s="4" t="n">
        <v>143</v>
      </c>
      <c r="K223" t="inlineStr">
        <is>
          <t>69 / 74</t>
        </is>
      </c>
      <c r="L223" t="inlineStr">
        <is>
          <t>5 / 12</t>
        </is>
      </c>
      <c r="M223" s="5" t="n">
        <v>0.48</v>
      </c>
      <c r="N223" s="5" t="n">
        <v>0.29</v>
      </c>
    </row>
    <row r="224">
      <c r="A224" t="n">
        <v>223</v>
      </c>
      <c r="B224" t="n">
        <v>2014</v>
      </c>
      <c r="C224" t="inlineStr">
        <is>
          <t>Hailey Zhou</t>
        </is>
      </c>
      <c r="D224">
        <f>HYPERLINK("https://ota.tournamentsoftware.com/player-profile/3046278B-E91E-4DE6-B598-5CD7D202AA49", "Link")</f>
        <v/>
      </c>
      <c r="E224" s="3" t="n">
        <v>344.77</v>
      </c>
      <c r="F224" s="4" t="n">
        <v>35</v>
      </c>
      <c r="G224" t="inlineStr">
        <is>
          <t>Ontario Tennis Association</t>
        </is>
      </c>
      <c r="H224" t="inlineStr">
        <is>
          <t>Advantage Tennis International at Veneto</t>
        </is>
      </c>
      <c r="I224" t="n">
        <v>33.2</v>
      </c>
      <c r="J224" s="4" t="n">
        <v>82</v>
      </c>
      <c r="K224" t="inlineStr">
        <is>
          <t>42 / 40</t>
        </is>
      </c>
      <c r="L224" t="inlineStr">
        <is>
          <t>32 / 28</t>
        </is>
      </c>
      <c r="M224" s="5" t="n">
        <v>0.51</v>
      </c>
      <c r="N224" s="5" t="n">
        <v>0.53</v>
      </c>
    </row>
    <row r="225">
      <c r="A225" t="n">
        <v>224</v>
      </c>
      <c r="B225" t="n">
        <v>2012</v>
      </c>
      <c r="C225" t="inlineStr">
        <is>
          <t>Sneha Sahiba Bhatti</t>
        </is>
      </c>
      <c r="D225">
        <f>HYPERLINK("https://ota.tournamentsoftware.com/player-profile/16EA0E7B-0025-4333-9A2A-28395C436A40", "Link")</f>
        <v/>
      </c>
      <c r="E225" s="3" t="n">
        <v>343.767</v>
      </c>
      <c r="F225" s="4" t="n">
        <v>17</v>
      </c>
      <c r="G225" t="inlineStr">
        <is>
          <t>British Columbia</t>
        </is>
      </c>
      <c r="H225" t="inlineStr">
        <is>
          <t>Coquitlam Tennis Club</t>
        </is>
      </c>
      <c r="I225" t="n">
        <v>30.3</v>
      </c>
      <c r="J225" s="4" t="n">
        <v>186</v>
      </c>
      <c r="K225" t="inlineStr">
        <is>
          <t>93 / 93</t>
        </is>
      </c>
      <c r="L225" t="inlineStr">
        <is>
          <t>15 / 19</t>
        </is>
      </c>
      <c r="M225" s="5" t="n">
        <v>0.5</v>
      </c>
      <c r="N225" s="5" t="n">
        <v>0.44</v>
      </c>
    </row>
    <row r="226">
      <c r="A226" t="n">
        <v>225</v>
      </c>
      <c r="B226" t="n">
        <v>2012</v>
      </c>
      <c r="C226" t="inlineStr">
        <is>
          <t>Ariyana Usharah Mahanandan</t>
        </is>
      </c>
      <c r="D226">
        <f>HYPERLINK("https://ota.tournamentsoftware.com/player-profile/FE0B9224-EA2B-4B60-AB52-7A0A2ACA90DA", "Link")</f>
        <v/>
      </c>
      <c r="E226" s="3" t="n">
        <v>340.822</v>
      </c>
      <c r="F226" s="4" t="n">
        <v>24</v>
      </c>
      <c r="G226" t="inlineStr">
        <is>
          <t>Ontario Tennis Association</t>
        </is>
      </c>
      <c r="H226" t="inlineStr">
        <is>
          <t>Premier Racquet Clubs – Mississauga</t>
        </is>
      </c>
      <c r="I226" t="inlineStr">
        <is>
          <t>unavailable</t>
        </is>
      </c>
      <c r="J226" s="4" t="n">
        <v>139</v>
      </c>
      <c r="K226" t="inlineStr">
        <is>
          <t>59 / 80</t>
        </is>
      </c>
      <c r="L226" t="inlineStr">
        <is>
          <t>13 / 22</t>
        </is>
      </c>
      <c r="M226" s="5" t="n">
        <v>0.42</v>
      </c>
      <c r="N226" s="5" t="n">
        <v>0.37</v>
      </c>
    </row>
    <row r="227">
      <c r="A227" t="n">
        <v>226</v>
      </c>
      <c r="B227" t="n">
        <v>2014</v>
      </c>
      <c r="C227" t="inlineStr">
        <is>
          <t>Sara Liao</t>
        </is>
      </c>
      <c r="D227">
        <f>HYPERLINK("https://ota.tournamentsoftware.com/player-profile/A86A9BCB-375D-415C-BD04-3D7638B2F6E8", "Link")</f>
        <v/>
      </c>
      <c r="E227" s="3" t="n">
        <v>339.926</v>
      </c>
      <c r="F227" s="4" t="n">
        <v>33</v>
      </c>
      <c r="G227" t="inlineStr">
        <is>
          <t>Ontario Tennis Association</t>
        </is>
      </c>
      <c r="H227" t="inlineStr">
        <is>
          <t>Ontario Racquet Club</t>
        </is>
      </c>
      <c r="I227" t="n">
        <v>33</v>
      </c>
      <c r="J227" s="4" t="n">
        <v>119</v>
      </c>
      <c r="K227" t="inlineStr">
        <is>
          <t>58 / 61</t>
        </is>
      </c>
      <c r="L227" t="inlineStr">
        <is>
          <t>31 / 28</t>
        </is>
      </c>
      <c r="M227" s="5" t="n">
        <v>0.49</v>
      </c>
      <c r="N227" s="5" t="n">
        <v>0.53</v>
      </c>
    </row>
    <row r="228">
      <c r="A228" t="n">
        <v>227</v>
      </c>
      <c r="B228" t="n">
        <v>2012</v>
      </c>
      <c r="C228" t="inlineStr">
        <is>
          <t>Anne-Frédérique Jacob</t>
        </is>
      </c>
      <c r="D228">
        <f>HYPERLINK("https://ota.tournamentsoftware.com/player-profile/6FDF9E24-9EF2-40B8-AA29-4E8DB70822F9", "Link")</f>
        <v/>
      </c>
      <c r="E228" s="3" t="n">
        <v>339.237</v>
      </c>
      <c r="F228" s="4" t="n">
        <v>15</v>
      </c>
      <c r="G228" t="inlineStr">
        <is>
          <t>Tennis Québec</t>
        </is>
      </c>
      <c r="H228" t="inlineStr">
        <is>
          <t>SANI Sport</t>
        </is>
      </c>
      <c r="I228" t="n">
        <v>30.4</v>
      </c>
      <c r="J228" s="4" t="n">
        <v>147</v>
      </c>
      <c r="K228" t="inlineStr">
        <is>
          <t>73 / 74</t>
        </is>
      </c>
      <c r="L228" t="inlineStr">
        <is>
          <t>5 / 11</t>
        </is>
      </c>
      <c r="M228" s="5" t="n">
        <v>0.5</v>
      </c>
      <c r="N228" s="5" t="n">
        <v>0.31</v>
      </c>
    </row>
    <row r="229">
      <c r="A229" t="n">
        <v>228</v>
      </c>
      <c r="B229" t="n">
        <v>2014</v>
      </c>
      <c r="C229" t="inlineStr">
        <is>
          <t>Isabelle Prusinkiewicz</t>
        </is>
      </c>
      <c r="D229">
        <f>HYPERLINK("https://ota.tournamentsoftware.com/player-profile/15F8CE0F-EF62-4029-B13B-F131581B8B29", "Link")</f>
        <v/>
      </c>
      <c r="E229" s="3" t="n">
        <v>338.545</v>
      </c>
      <c r="F229" s="4" t="n">
        <v>24</v>
      </c>
      <c r="G229" t="inlineStr">
        <is>
          <t>Tennis Alberta</t>
        </is>
      </c>
      <c r="H229" t="inlineStr">
        <is>
          <t>Aforza</t>
        </is>
      </c>
      <c r="I229" t="n">
        <v>32</v>
      </c>
      <c r="J229" s="4" t="n">
        <v>178</v>
      </c>
      <c r="K229" t="inlineStr">
        <is>
          <t>102 / 76</t>
        </is>
      </c>
      <c r="L229" t="inlineStr">
        <is>
          <t>30 / 20</t>
        </is>
      </c>
      <c r="M229" s="5" t="n">
        <v>0.57</v>
      </c>
      <c r="N229" s="5" t="n">
        <v>0.6</v>
      </c>
    </row>
    <row r="230">
      <c r="A230" t="n">
        <v>229</v>
      </c>
      <c r="B230" t="n">
        <v>2013</v>
      </c>
      <c r="C230" t="inlineStr">
        <is>
          <t>Jessica Rosemary Hill</t>
        </is>
      </c>
      <c r="D230">
        <f>HYPERLINK("https://ota.tournamentsoftware.com/player-profile/9F68BF9A-4FFA-4754-8023-C9F4ABCF0003", "Link")</f>
        <v/>
      </c>
      <c r="E230" s="3" t="n">
        <v>336.999</v>
      </c>
      <c r="F230" s="4" t="n">
        <v>22</v>
      </c>
      <c r="G230" t="inlineStr">
        <is>
          <t>British Columbia</t>
        </is>
      </c>
      <c r="H230" t="inlineStr">
        <is>
          <t>Vancouver International Tennis Academy</t>
        </is>
      </c>
      <c r="I230" t="n">
        <v>30.2</v>
      </c>
      <c r="J230" s="4" t="n">
        <v>165</v>
      </c>
      <c r="K230" t="inlineStr">
        <is>
          <t>93 / 72</t>
        </is>
      </c>
      <c r="L230" t="inlineStr">
        <is>
          <t>23 / 17</t>
        </is>
      </c>
      <c r="M230" s="5" t="n">
        <v>0.5600000000000001</v>
      </c>
      <c r="N230" s="5" t="n">
        <v>0.57</v>
      </c>
    </row>
    <row r="231">
      <c r="A231" t="n">
        <v>230</v>
      </c>
      <c r="B231" t="n">
        <v>2013</v>
      </c>
      <c r="C231" t="inlineStr">
        <is>
          <t>Alina Luo</t>
        </is>
      </c>
      <c r="D231">
        <f>HYPERLINK("https://ota.tournamentsoftware.com/player-profile/848C25E0-4CBB-4051-8AB5-C8460313D4A3", "Link")</f>
        <v/>
      </c>
      <c r="E231" s="3" t="n">
        <v>336.847</v>
      </c>
      <c r="F231" s="4" t="n">
        <v>23</v>
      </c>
      <c r="G231" t="inlineStr">
        <is>
          <t>Tennis Québec</t>
        </is>
      </c>
      <c r="H231" t="inlineStr">
        <is>
          <t>SANI Sport</t>
        </is>
      </c>
      <c r="I231" t="n">
        <v>32.5</v>
      </c>
      <c r="J231" s="4" t="n">
        <v>217</v>
      </c>
      <c r="K231" t="inlineStr">
        <is>
          <t>103 / 114</t>
        </is>
      </c>
      <c r="L231" t="inlineStr">
        <is>
          <t>3 / 17</t>
        </is>
      </c>
      <c r="M231" s="5" t="n">
        <v>0.47</v>
      </c>
      <c r="N231" s="5" t="n">
        <v>0.15</v>
      </c>
    </row>
    <row r="232">
      <c r="A232" t="n">
        <v>231</v>
      </c>
      <c r="B232" t="n">
        <v>2014</v>
      </c>
      <c r="C232" t="inlineStr">
        <is>
          <t>Eva Paquette</t>
        </is>
      </c>
      <c r="D232">
        <f>HYPERLINK("https://ota.tournamentsoftware.com/player-profile/631BF8EC-5FD6-41F7-A4BC-1B4980693D40", "Link")</f>
        <v/>
      </c>
      <c r="E232" s="3" t="n">
        <v>336.645</v>
      </c>
      <c r="F232" s="4" t="n">
        <v>34</v>
      </c>
      <c r="G232" t="inlineStr">
        <is>
          <t>Tennis Québec</t>
        </is>
      </c>
      <c r="H232" t="inlineStr">
        <is>
          <t>Club Sportif Côte-de-Liesse</t>
        </is>
      </c>
      <c r="I232" t="n">
        <v>32.3</v>
      </c>
      <c r="J232" s="4" t="n">
        <v>205</v>
      </c>
      <c r="K232" t="inlineStr">
        <is>
          <t>104 / 101</t>
        </is>
      </c>
      <c r="L232" t="inlineStr">
        <is>
          <t>40 / 26</t>
        </is>
      </c>
      <c r="M232" s="5" t="n">
        <v>0.51</v>
      </c>
      <c r="N232" s="5" t="n">
        <v>0.61</v>
      </c>
    </row>
    <row r="233">
      <c r="A233" t="n">
        <v>232</v>
      </c>
      <c r="B233" t="n">
        <v>2013</v>
      </c>
      <c r="C233" t="inlineStr">
        <is>
          <t>Anastazia De Lain</t>
        </is>
      </c>
      <c r="D233">
        <f>HYPERLINK("https://ota.tournamentsoftware.com/player-profile/BEE8D838-8464-4CCF-9268-D0D58F108999", "Link")</f>
        <v/>
      </c>
      <c r="E233" s="3" t="n">
        <v>335.359</v>
      </c>
      <c r="F233" s="4" t="n">
        <v>21</v>
      </c>
      <c r="G233" t="inlineStr">
        <is>
          <t>Tennis Québec</t>
        </is>
      </c>
      <c r="H233" t="inlineStr">
        <is>
          <t>EB Tennis inc.</t>
        </is>
      </c>
      <c r="I233" t="n">
        <v>36.6</v>
      </c>
      <c r="J233" s="4" t="n">
        <v>174</v>
      </c>
      <c r="K233" t="inlineStr">
        <is>
          <t>37 / 137</t>
        </is>
      </c>
      <c r="L233" t="inlineStr">
        <is>
          <t>4 / 23</t>
        </is>
      </c>
      <c r="M233" s="5" t="n">
        <v>0.21</v>
      </c>
      <c r="N233" s="5" t="n">
        <v>0.15</v>
      </c>
    </row>
    <row r="234">
      <c r="A234" t="n">
        <v>233</v>
      </c>
      <c r="B234" t="n">
        <v>2013</v>
      </c>
      <c r="C234" t="inlineStr">
        <is>
          <t>Kmar ELHOUIJ</t>
        </is>
      </c>
      <c r="D234">
        <f>HYPERLINK("https://ota.tournamentsoftware.com/player-profile/D690466C-B3D9-45B2-B453-BA40F436A5C1", "Link")</f>
        <v/>
      </c>
      <c r="E234" s="3" t="n">
        <v>335.176</v>
      </c>
      <c r="F234" s="4" t="n">
        <v>4</v>
      </c>
      <c r="G234" t="inlineStr">
        <is>
          <t>Tennis New Brunswick</t>
        </is>
      </c>
      <c r="H234" t="inlineStr">
        <is>
          <t>No Club</t>
        </is>
      </c>
      <c r="I234" t="n">
        <v>27.4</v>
      </c>
      <c r="J234" s="4" t="n">
        <v>39</v>
      </c>
      <c r="K234" t="inlineStr">
        <is>
          <t>30 / 9</t>
        </is>
      </c>
      <c r="L234" t="inlineStr">
        <is>
          <t>19 / 6</t>
        </is>
      </c>
      <c r="M234" s="5" t="n">
        <v>0.77</v>
      </c>
      <c r="N234" s="5" t="n">
        <v>0.76</v>
      </c>
    </row>
    <row r="235">
      <c r="A235" t="n">
        <v>234</v>
      </c>
      <c r="B235" t="n">
        <v>2012</v>
      </c>
      <c r="C235" t="inlineStr">
        <is>
          <t>Yunia Bartha</t>
        </is>
      </c>
      <c r="D235">
        <f>HYPERLINK("https://ota.tournamentsoftware.com/player-profile/3A2980C0-C922-4870-A2B4-18E74AC903C2", "Link")</f>
        <v/>
      </c>
      <c r="E235" s="3" t="n">
        <v>332.284</v>
      </c>
      <c r="F235" s="4" t="n">
        <v>25</v>
      </c>
      <c r="G235" t="inlineStr">
        <is>
          <t>Tennis Québec</t>
        </is>
      </c>
      <c r="H235" t="inlineStr">
        <is>
          <t>Club Sportif Côte-de-Liesse</t>
        </is>
      </c>
      <c r="I235" t="n">
        <v>32.6</v>
      </c>
      <c r="J235" s="4" t="n">
        <v>141</v>
      </c>
      <c r="K235" t="inlineStr">
        <is>
          <t>56 / 85</t>
        </is>
      </c>
      <c r="L235" t="inlineStr">
        <is>
          <t>12 / 21</t>
        </is>
      </c>
      <c r="M235" s="5" t="n">
        <v>0.4</v>
      </c>
      <c r="N235" s="5" t="n">
        <v>0.36</v>
      </c>
    </row>
    <row r="236">
      <c r="A236" t="n">
        <v>235</v>
      </c>
      <c r="B236" t="n">
        <v>2013</v>
      </c>
      <c r="C236" t="inlineStr">
        <is>
          <t>Aicha Ben Ali</t>
        </is>
      </c>
      <c r="D236">
        <f>HYPERLINK("https://ota.tournamentsoftware.com/player-profile/87F8F2BE-10FE-41D7-8382-85524C1D5D23", "Link")</f>
        <v/>
      </c>
      <c r="E236" s="3" t="n">
        <v>330.988</v>
      </c>
      <c r="F236" s="4" t="n">
        <v>9</v>
      </c>
      <c r="G236" t="inlineStr">
        <is>
          <t>Tennis Saskatchewan</t>
        </is>
      </c>
      <c r="H236" t="inlineStr">
        <is>
          <t>Lakeshore Tennis Club</t>
        </is>
      </c>
      <c r="I236" t="inlineStr">
        <is>
          <t>unavailable</t>
        </is>
      </c>
      <c r="J236" s="4" t="n">
        <v>31</v>
      </c>
      <c r="K236" t="inlineStr">
        <is>
          <t>4 / 27</t>
        </is>
      </c>
      <c r="L236" t="inlineStr">
        <is>
          <t>4 / 23</t>
        </is>
      </c>
      <c r="M236" s="5" t="n">
        <v>0.13</v>
      </c>
      <c r="N236" s="5" t="n">
        <v>0.15</v>
      </c>
    </row>
    <row r="237">
      <c r="A237" t="n">
        <v>236</v>
      </c>
      <c r="B237" t="n">
        <v>2014</v>
      </c>
      <c r="C237" t="inlineStr">
        <is>
          <t>Vrishti Gehlot</t>
        </is>
      </c>
      <c r="D237">
        <f>HYPERLINK("https://ota.tournamentsoftware.com/player-profile/8D59FB71-FC68-41E0-B69F-920C29B60AD3", "Link")</f>
        <v/>
      </c>
      <c r="E237" s="3" t="n">
        <v>322.528</v>
      </c>
      <c r="F237" s="4" t="n">
        <v>27</v>
      </c>
      <c r="G237" t="inlineStr">
        <is>
          <t>Ontario Tennis Association</t>
        </is>
      </c>
      <c r="H237" t="inlineStr">
        <is>
          <t>Premier Racquet Clubs – Mississauga</t>
        </is>
      </c>
      <c r="I237" t="n">
        <v>32.6</v>
      </c>
      <c r="J237" s="4" t="n">
        <v>157</v>
      </c>
      <c r="K237" t="inlineStr">
        <is>
          <t>79 / 78</t>
        </is>
      </c>
      <c r="L237" t="inlineStr">
        <is>
          <t>31 / 19</t>
        </is>
      </c>
      <c r="M237" s="5" t="n">
        <v>0.5</v>
      </c>
      <c r="N237" s="5" t="n">
        <v>0.62</v>
      </c>
    </row>
    <row r="238">
      <c r="A238" t="n">
        <v>237</v>
      </c>
      <c r="B238" t="n">
        <v>2015</v>
      </c>
      <c r="C238" t="inlineStr">
        <is>
          <t>Josephine Yitong Wu</t>
        </is>
      </c>
      <c r="D238">
        <f>HYPERLINK("https://ota.tournamentsoftware.com/player-profile/1DF0BC06-9057-4469-9CEF-A9B5D864D9C9", "Link")</f>
        <v/>
      </c>
      <c r="E238" s="3" t="n">
        <v>321.68</v>
      </c>
      <c r="F238" s="4" t="n">
        <v>18</v>
      </c>
      <c r="G238" t="inlineStr">
        <is>
          <t>British Columbia</t>
        </is>
      </c>
      <c r="H238" t="inlineStr">
        <is>
          <t>North Vancouver Tennis Centre</t>
        </is>
      </c>
      <c r="I238" t="n">
        <v>29.5</v>
      </c>
      <c r="J238" s="4" t="n">
        <v>167</v>
      </c>
      <c r="K238" t="inlineStr">
        <is>
          <t>99 / 68</t>
        </is>
      </c>
      <c r="L238" t="inlineStr">
        <is>
          <t>22 / 12</t>
        </is>
      </c>
      <c r="M238" s="5" t="n">
        <v>0.59</v>
      </c>
      <c r="N238" s="5" t="n">
        <v>0.65</v>
      </c>
    </row>
    <row r="239">
      <c r="A239" t="n">
        <v>238</v>
      </c>
      <c r="B239" t="n">
        <v>2012</v>
      </c>
      <c r="C239" t="inlineStr">
        <is>
          <t>Abby Jean Tobac</t>
        </is>
      </c>
      <c r="D239">
        <f>HYPERLINK("https://ota.tournamentsoftware.com/player-profile/CDFDF0FB-A147-4D3C-BF4D-24E115B9EC1A", "Link")</f>
        <v/>
      </c>
      <c r="E239" s="3" t="n">
        <v>318.528</v>
      </c>
      <c r="F239" s="4" t="n">
        <v>6</v>
      </c>
      <c r="G239" t="inlineStr">
        <is>
          <t>Tennis Manitoba</t>
        </is>
      </c>
      <c r="H239" t="inlineStr">
        <is>
          <t>Taylor Tennis</t>
        </is>
      </c>
      <c r="I239" t="n">
        <v>35.1</v>
      </c>
      <c r="J239" s="4" t="n">
        <v>49</v>
      </c>
      <c r="K239" t="inlineStr">
        <is>
          <t>14 / 35</t>
        </is>
      </c>
      <c r="L239" t="inlineStr">
        <is>
          <t>2 / 9</t>
        </is>
      </c>
      <c r="M239" s="5" t="n">
        <v>0.29</v>
      </c>
      <c r="N239" s="5" t="n">
        <v>0.18</v>
      </c>
    </row>
    <row r="240">
      <c r="A240" t="n">
        <v>239</v>
      </c>
      <c r="B240" t="n">
        <v>2015</v>
      </c>
      <c r="C240" t="inlineStr">
        <is>
          <t>Clara Fanoos</t>
        </is>
      </c>
      <c r="D240">
        <f>HYPERLINK("https://ota.tournamentsoftware.com/player-profile/4AE431B3-C9E6-49D8-8003-48666B13F94B", "Link")</f>
        <v/>
      </c>
      <c r="E240" s="3" t="n">
        <v>316.509</v>
      </c>
      <c r="F240" s="4" t="n">
        <v>21</v>
      </c>
      <c r="G240" t="inlineStr">
        <is>
          <t>Tennis Québec</t>
        </is>
      </c>
      <c r="H240" t="inlineStr">
        <is>
          <t>Complexe de tennis de St-Augustin</t>
        </is>
      </c>
      <c r="I240" t="n">
        <v>31.5</v>
      </c>
      <c r="J240" s="4" t="n">
        <v>192</v>
      </c>
      <c r="K240" t="inlineStr">
        <is>
          <t>117 / 75</t>
        </is>
      </c>
      <c r="L240" t="inlineStr">
        <is>
          <t>29 / 19</t>
        </is>
      </c>
      <c r="M240" s="5" t="n">
        <v>0.61</v>
      </c>
      <c r="N240" s="5" t="n">
        <v>0.6</v>
      </c>
    </row>
    <row r="241">
      <c r="A241" t="n">
        <v>240</v>
      </c>
      <c r="B241" t="n">
        <v>2012</v>
      </c>
      <c r="C241" t="inlineStr">
        <is>
          <t>helena Khorsid-G-Mahdi</t>
        </is>
      </c>
      <c r="D241">
        <f>HYPERLINK("https://ota.tournamentsoftware.com/player-profile/D9FB3068-A1A7-4F96-B728-095D292B805C", "Link")</f>
        <v/>
      </c>
      <c r="E241" s="3" t="n">
        <v>312.56</v>
      </c>
      <c r="F241" s="4" t="n">
        <v>22</v>
      </c>
      <c r="G241" t="inlineStr">
        <is>
          <t>Ontario Tennis Association</t>
        </is>
      </c>
      <c r="H241" t="inlineStr">
        <is>
          <t>Cottingham Tennis Club</t>
        </is>
      </c>
      <c r="I241" t="inlineStr">
        <is>
          <t>unavailable</t>
        </is>
      </c>
      <c r="J241" s="4" t="n">
        <v>56</v>
      </c>
      <c r="K241" t="inlineStr">
        <is>
          <t>33 / 23</t>
        </is>
      </c>
      <c r="L241" t="inlineStr">
        <is>
          <t>19 / 16</t>
        </is>
      </c>
      <c r="M241" s="5" t="n">
        <v>0.59</v>
      </c>
      <c r="N241" s="5" t="n">
        <v>0.54</v>
      </c>
    </row>
    <row r="242">
      <c r="A242" t="n">
        <v>241</v>
      </c>
      <c r="B242" t="n">
        <v>2013</v>
      </c>
      <c r="C242" t="inlineStr">
        <is>
          <t>Katelyn Zhao</t>
        </is>
      </c>
      <c r="D242">
        <f>HYPERLINK("https://ota.tournamentsoftware.com/player-profile/C6305E19-1670-4857-9967-0344F0C8AB1D", "Link")</f>
        <v/>
      </c>
      <c r="E242" s="3" t="n">
        <v>312.472</v>
      </c>
      <c r="F242" s="4" t="n">
        <v>27</v>
      </c>
      <c r="G242" t="inlineStr">
        <is>
          <t>Ontario Tennis Association</t>
        </is>
      </c>
      <c r="H242" t="inlineStr">
        <is>
          <t>Premier Racquet Club</t>
        </is>
      </c>
      <c r="I242" t="n">
        <v>33.5</v>
      </c>
      <c r="J242" s="4" t="n">
        <v>101</v>
      </c>
      <c r="K242" t="inlineStr">
        <is>
          <t>52 / 49</t>
        </is>
      </c>
      <c r="L242" t="inlineStr">
        <is>
          <t>20 / 23</t>
        </is>
      </c>
      <c r="M242" s="5" t="n">
        <v>0.51</v>
      </c>
      <c r="N242" s="5" t="n">
        <v>0.47</v>
      </c>
    </row>
    <row r="243">
      <c r="A243" t="n">
        <v>242</v>
      </c>
      <c r="B243" t="n">
        <v>2012</v>
      </c>
      <c r="C243" t="inlineStr">
        <is>
          <t>Camie Wang</t>
        </is>
      </c>
      <c r="D243">
        <f>HYPERLINK("https://ota.tournamentsoftware.com/player-profile/5CE5CCC5-E821-48EF-86C9-6973D97D1F92", "Link")</f>
        <v/>
      </c>
      <c r="E243" s="3" t="n">
        <v>311.911</v>
      </c>
      <c r="F243" s="4" t="n">
        <v>16</v>
      </c>
      <c r="G243" t="inlineStr">
        <is>
          <t>Tennis Alberta</t>
        </is>
      </c>
      <c r="H243" t="inlineStr">
        <is>
          <t>Osten &amp; Victor Alberta Tennis Centre</t>
        </is>
      </c>
      <c r="I243" t="n">
        <v>27.9</v>
      </c>
      <c r="J243" s="4" t="n">
        <v>115</v>
      </c>
      <c r="K243" t="inlineStr">
        <is>
          <t>61 / 54</t>
        </is>
      </c>
      <c r="L243" t="inlineStr">
        <is>
          <t>20 / 19</t>
        </is>
      </c>
      <c r="M243" s="5" t="n">
        <v>0.53</v>
      </c>
      <c r="N243" s="5" t="n">
        <v>0.51</v>
      </c>
    </row>
    <row r="244">
      <c r="A244" t="n">
        <v>243</v>
      </c>
      <c r="B244" t="n">
        <v>2012</v>
      </c>
      <c r="C244" t="inlineStr">
        <is>
          <t>Daisy Tingru Wang</t>
        </is>
      </c>
      <c r="D244">
        <f>HYPERLINK("https://ota.tournamentsoftware.com/player-profile/40DA5F9F-8E70-4030-A0ED-A54E3D8832D2", "Link")</f>
        <v/>
      </c>
      <c r="E244" s="3" t="n">
        <v>310.853</v>
      </c>
      <c r="F244" s="4" t="n">
        <v>7</v>
      </c>
      <c r="G244" t="inlineStr">
        <is>
          <t>Tennis Nova Scotia</t>
        </is>
      </c>
      <c r="H244" t="inlineStr">
        <is>
          <t>HEADSTART</t>
        </is>
      </c>
      <c r="I244" t="n">
        <v>36.2</v>
      </c>
      <c r="J244" s="4" t="n">
        <v>37</v>
      </c>
      <c r="K244" t="inlineStr">
        <is>
          <t>8 / 29</t>
        </is>
      </c>
      <c r="L244" t="inlineStr">
        <is>
          <t>5 / 19</t>
        </is>
      </c>
      <c r="M244" s="5" t="n">
        <v>0.22</v>
      </c>
      <c r="N244" s="5" t="n">
        <v>0.21</v>
      </c>
    </row>
    <row r="245">
      <c r="A245" t="n">
        <v>244</v>
      </c>
      <c r="B245" t="n">
        <v>2015</v>
      </c>
      <c r="C245" t="inlineStr">
        <is>
          <t>Mia Louise LADEWIG</t>
        </is>
      </c>
      <c r="D245">
        <f>HYPERLINK("https://ota.tournamentsoftware.com/player-profile/25055713-74C7-482D-8A9B-00D94FB7068B", "Link")</f>
        <v/>
      </c>
      <c r="E245" s="3" t="n">
        <v>309.295</v>
      </c>
      <c r="F245" s="4" t="n">
        <v>23</v>
      </c>
      <c r="G245" t="inlineStr">
        <is>
          <t>British Columbia</t>
        </is>
      </c>
      <c r="H245" t="inlineStr">
        <is>
          <t>North Vancouver Tennis Centre</t>
        </is>
      </c>
      <c r="I245" t="n">
        <v>29.3</v>
      </c>
      <c r="J245" s="4" t="n">
        <v>224</v>
      </c>
      <c r="K245" t="inlineStr">
        <is>
          <t>142 / 82</t>
        </is>
      </c>
      <c r="L245" t="inlineStr">
        <is>
          <t>32 / 20</t>
        </is>
      </c>
      <c r="M245" s="5" t="n">
        <v>0.63</v>
      </c>
      <c r="N245" s="5" t="n">
        <v>0.62</v>
      </c>
    </row>
    <row r="246">
      <c r="A246" t="n">
        <v>245</v>
      </c>
      <c r="B246" t="n">
        <v>2013</v>
      </c>
      <c r="C246" t="inlineStr">
        <is>
          <t>Ria Tamber</t>
        </is>
      </c>
      <c r="D246">
        <f>HYPERLINK("https://ota.tournamentsoftware.com/player-profile/4A086BBB-EEC2-48A4-BDDA-142D9D4A3534", "Link")</f>
        <v/>
      </c>
      <c r="E246" s="3" t="n">
        <v>308.995</v>
      </c>
      <c r="F246" s="4" t="n">
        <v>24</v>
      </c>
      <c r="G246" t="inlineStr">
        <is>
          <t>Ontario Tennis Association</t>
        </is>
      </c>
      <c r="H246" t="inlineStr">
        <is>
          <t>Premier Racquet Clubs – Mississauga</t>
        </is>
      </c>
      <c r="I246" t="inlineStr">
        <is>
          <t>unavailable</t>
        </is>
      </c>
      <c r="J246" s="4" t="n">
        <v>95</v>
      </c>
      <c r="K246" t="inlineStr">
        <is>
          <t>39 / 56</t>
        </is>
      </c>
      <c r="L246" t="inlineStr">
        <is>
          <t>12 / 16</t>
        </is>
      </c>
      <c r="M246" s="5" t="n">
        <v>0.41</v>
      </c>
      <c r="N246" s="5" t="n">
        <v>0.43</v>
      </c>
    </row>
    <row r="247">
      <c r="A247" t="n">
        <v>246</v>
      </c>
      <c r="B247" t="n">
        <v>2013</v>
      </c>
      <c r="C247" t="inlineStr">
        <is>
          <t>Keona Asogwa</t>
        </is>
      </c>
      <c r="D247">
        <f>HYPERLINK("https://ota.tournamentsoftware.com/player-profile/1F426AE8-5B0F-4535-AD10-450570C37073", "Link")</f>
        <v/>
      </c>
      <c r="E247" s="3" t="n">
        <v>308.808</v>
      </c>
      <c r="F247" s="4" t="n">
        <v>17</v>
      </c>
      <c r="G247" t="inlineStr">
        <is>
          <t>Ontario Tennis Association</t>
        </is>
      </c>
      <c r="H247" t="inlineStr">
        <is>
          <t>Carleton Tennis Centre</t>
        </is>
      </c>
      <c r="I247" t="inlineStr">
        <is>
          <t>unavailable</t>
        </is>
      </c>
      <c r="J247" s="4" t="n">
        <v>108</v>
      </c>
      <c r="K247" t="inlineStr">
        <is>
          <t>40 / 68</t>
        </is>
      </c>
      <c r="L247" t="inlineStr">
        <is>
          <t>4 / 12</t>
        </is>
      </c>
      <c r="M247" s="5" t="n">
        <v>0.37</v>
      </c>
      <c r="N247" s="5" t="n">
        <v>0.25</v>
      </c>
    </row>
    <row r="248">
      <c r="A248" t="n">
        <v>247</v>
      </c>
      <c r="B248" t="n">
        <v>2015</v>
      </c>
      <c r="C248" t="inlineStr">
        <is>
          <t>Maya Lupu</t>
        </is>
      </c>
      <c r="D248">
        <f>HYPERLINK("https://ota.tournamentsoftware.com/player-profile/C02052CF-6FBB-4C91-8237-A96FF9B4C794", "Link")</f>
        <v/>
      </c>
      <c r="E248" s="3" t="n">
        <v>308.771</v>
      </c>
      <c r="F248" s="4" t="n">
        <v>16</v>
      </c>
      <c r="G248" t="inlineStr">
        <is>
          <t>Tennis Alberta</t>
        </is>
      </c>
      <c r="H248" t="inlineStr">
        <is>
          <t>Saville Community Sports Centre</t>
        </is>
      </c>
      <c r="I248" t="n">
        <v>31.2</v>
      </c>
      <c r="J248" s="4" t="n">
        <v>162</v>
      </c>
      <c r="K248" t="inlineStr">
        <is>
          <t>104 / 58</t>
        </is>
      </c>
      <c r="L248" t="inlineStr">
        <is>
          <t>19 / 23</t>
        </is>
      </c>
      <c r="M248" s="5" t="n">
        <v>0.64</v>
      </c>
      <c r="N248" s="5" t="n">
        <v>0.45</v>
      </c>
    </row>
    <row r="249">
      <c r="A249" t="n">
        <v>248</v>
      </c>
      <c r="B249" t="n">
        <v>2013</v>
      </c>
      <c r="C249" t="inlineStr">
        <is>
          <t>Kany Kaba</t>
        </is>
      </c>
      <c r="D249">
        <f>HYPERLINK("https://ota.tournamentsoftware.com/player-profile/7816DF47-252D-402D-BF26-B906A8AB6ED7", "Link")</f>
        <v/>
      </c>
      <c r="E249" s="3" t="n">
        <v>308.626</v>
      </c>
      <c r="F249" s="4" t="n">
        <v>11</v>
      </c>
      <c r="G249" t="inlineStr">
        <is>
          <t>Tennis Québec</t>
        </is>
      </c>
      <c r="H249" t="inlineStr">
        <is>
          <t>EB Tennis inc.</t>
        </is>
      </c>
      <c r="I249" t="n">
        <v>33</v>
      </c>
      <c r="J249" s="4" t="n">
        <v>138</v>
      </c>
      <c r="K249" t="inlineStr">
        <is>
          <t>83 / 55</t>
        </is>
      </c>
      <c r="L249" t="inlineStr">
        <is>
          <t>5 / 12</t>
        </is>
      </c>
      <c r="M249" s="5" t="n">
        <v>0.6</v>
      </c>
      <c r="N249" s="5" t="n">
        <v>0.29</v>
      </c>
    </row>
    <row r="250">
      <c r="A250" t="n">
        <v>249</v>
      </c>
      <c r="B250" t="n">
        <v>2013</v>
      </c>
      <c r="C250" t="inlineStr">
        <is>
          <t>ZOE SOFIA CARDENAS PANIAGUA</t>
        </is>
      </c>
      <c r="D250">
        <f>HYPERLINK("https://ota.tournamentsoftware.com/player-profile/6ADCA248-D68F-47BB-9ED7-CDC7448C4AE9", "Link")</f>
        <v/>
      </c>
      <c r="E250" s="3" t="n">
        <v>307.118</v>
      </c>
      <c r="F250" s="4" t="n">
        <v>6</v>
      </c>
      <c r="G250" t="inlineStr">
        <is>
          <t>Tennis Manitoba</t>
        </is>
      </c>
      <c r="H250" t="inlineStr">
        <is>
          <t>Tuxedo Tennis Club</t>
        </is>
      </c>
      <c r="I250" t="inlineStr">
        <is>
          <t>unavailable</t>
        </is>
      </c>
      <c r="J250" s="4" t="n">
        <v>59</v>
      </c>
      <c r="K250" t="inlineStr">
        <is>
          <t>22 / 37</t>
        </is>
      </c>
      <c r="L250" t="inlineStr">
        <is>
          <t>6 / 8</t>
        </is>
      </c>
      <c r="M250" s="5" t="n">
        <v>0.37</v>
      </c>
      <c r="N250" s="5" t="n">
        <v>0.43</v>
      </c>
    </row>
    <row r="251">
      <c r="A251" t="n">
        <v>250</v>
      </c>
      <c r="B251" t="n">
        <v>2014</v>
      </c>
      <c r="C251" t="inlineStr">
        <is>
          <t>Rosie Mai Kowalewski</t>
        </is>
      </c>
      <c r="D251">
        <f>HYPERLINK("https://ota.tournamentsoftware.com/player-profile/6AE6D507-C7A4-4B8D-AF2E-EBFE848DD41B", "Link")</f>
        <v/>
      </c>
      <c r="E251" s="3" t="n">
        <v>303.327</v>
      </c>
      <c r="F251" s="4" t="n">
        <v>19</v>
      </c>
      <c r="G251" t="inlineStr">
        <is>
          <t>Ontario Tennis Association</t>
        </is>
      </c>
      <c r="H251" t="inlineStr">
        <is>
          <t>No Club</t>
        </is>
      </c>
      <c r="I251" t="n">
        <v>31.5</v>
      </c>
      <c r="J251" s="4" t="n">
        <v>192</v>
      </c>
      <c r="K251" t="inlineStr">
        <is>
          <t>113 / 79</t>
        </is>
      </c>
      <c r="L251" t="inlineStr">
        <is>
          <t>14 / 11</t>
        </is>
      </c>
      <c r="M251" s="5" t="n">
        <v>0.59</v>
      </c>
      <c r="N251" s="5" t="n">
        <v>0.5600000000000001</v>
      </c>
    </row>
    <row r="252">
      <c r="A252" t="n">
        <v>251</v>
      </c>
      <c r="B252" t="n">
        <v>2014</v>
      </c>
      <c r="C252" t="inlineStr">
        <is>
          <t>Isabella Huang</t>
        </is>
      </c>
      <c r="D252">
        <f>HYPERLINK("https://ota.tournamentsoftware.com/player-profile/DB8FA904-8DE1-4D99-951F-F44CD792291A", "Link")</f>
        <v/>
      </c>
      <c r="E252" s="3" t="n">
        <v>302.648</v>
      </c>
      <c r="F252" s="4" t="n">
        <v>17</v>
      </c>
      <c r="G252" t="inlineStr">
        <is>
          <t>British Columbia</t>
        </is>
      </c>
      <c r="H252" t="inlineStr">
        <is>
          <t>Burnaby Tennis Club</t>
        </is>
      </c>
      <c r="I252" t="inlineStr">
        <is>
          <t>unavailable</t>
        </is>
      </c>
      <c r="J252" s="4" t="n">
        <v>196</v>
      </c>
      <c r="K252" t="inlineStr">
        <is>
          <t>112 / 84</t>
        </is>
      </c>
      <c r="L252" t="inlineStr">
        <is>
          <t>25 / 12</t>
        </is>
      </c>
      <c r="M252" s="5" t="n">
        <v>0.57</v>
      </c>
      <c r="N252" s="5" t="n">
        <v>0.68</v>
      </c>
    </row>
    <row r="253">
      <c r="A253" t="n">
        <v>252</v>
      </c>
      <c r="B253" t="n">
        <v>2013</v>
      </c>
      <c r="C253" t="inlineStr">
        <is>
          <t>Chloe Lu</t>
        </is>
      </c>
      <c r="D253">
        <f>HYPERLINK("https://ota.tournamentsoftware.com/player-profile/30F898AC-1C96-41C5-BBB0-3BFD30EC0D0D", "Link")</f>
        <v/>
      </c>
      <c r="E253" s="3" t="n">
        <v>300.706</v>
      </c>
      <c r="F253" s="4" t="n">
        <v>25</v>
      </c>
      <c r="G253" t="inlineStr">
        <is>
          <t>British Columbia</t>
        </is>
      </c>
      <c r="H253" t="inlineStr">
        <is>
          <t>UBC Tennis Centre</t>
        </is>
      </c>
      <c r="I253" t="n">
        <v>31.8</v>
      </c>
      <c r="J253" s="4" t="n">
        <v>162</v>
      </c>
      <c r="K253" t="inlineStr">
        <is>
          <t>61 / 101</t>
        </is>
      </c>
      <c r="L253" t="inlineStr">
        <is>
          <t>21 / 23</t>
        </is>
      </c>
      <c r="M253" s="5" t="n">
        <v>0.38</v>
      </c>
      <c r="N253" s="5" t="n">
        <v>0.48</v>
      </c>
    </row>
    <row r="254">
      <c r="A254" t="n">
        <v>253</v>
      </c>
      <c r="B254" t="n">
        <v>2015</v>
      </c>
      <c r="C254" t="inlineStr">
        <is>
          <t>Zoë Crago</t>
        </is>
      </c>
      <c r="D254">
        <f>HYPERLINK("https://ota.tournamentsoftware.com/player-profile/C2D18227-6075-4F1E-83A2-40A822F874D3", "Link")</f>
        <v/>
      </c>
      <c r="E254" s="3" t="n">
        <v>298.67</v>
      </c>
      <c r="F254" s="4" t="n">
        <v>28</v>
      </c>
      <c r="G254" t="inlineStr">
        <is>
          <t>Tennis Québec</t>
        </is>
      </c>
      <c r="H254" t="inlineStr">
        <is>
          <t>Tennis Montréal Excellence</t>
        </is>
      </c>
      <c r="I254" t="n">
        <v>32.9</v>
      </c>
      <c r="J254" s="4" t="n">
        <v>193</v>
      </c>
      <c r="K254" t="inlineStr">
        <is>
          <t>101 / 92</t>
        </is>
      </c>
      <c r="L254" t="inlineStr">
        <is>
          <t>29 / 24</t>
        </is>
      </c>
      <c r="M254" s="5" t="n">
        <v>0.52</v>
      </c>
      <c r="N254" s="5" t="n">
        <v>0.55</v>
      </c>
    </row>
    <row r="255">
      <c r="A255" t="n">
        <v>254</v>
      </c>
      <c r="B255" t="n">
        <v>2013</v>
      </c>
      <c r="C255" t="inlineStr">
        <is>
          <t>Tia Patel</t>
        </is>
      </c>
      <c r="D255">
        <f>HYPERLINK("https://ota.tournamentsoftware.com/player-profile/5C480574-FD9C-4816-B1CF-F51441726B25", "Link")</f>
        <v/>
      </c>
      <c r="E255" s="3" t="n">
        <v>295.069</v>
      </c>
      <c r="F255" s="4" t="n">
        <v>17</v>
      </c>
      <c r="G255" t="inlineStr">
        <is>
          <t>Ontario Tennis Association</t>
        </is>
      </c>
      <c r="H255" t="inlineStr">
        <is>
          <t>Waterloo Tennis Club</t>
        </is>
      </c>
      <c r="I255" t="n">
        <v>35.4</v>
      </c>
      <c r="J255" s="4" t="n">
        <v>76</v>
      </c>
      <c r="K255" t="inlineStr">
        <is>
          <t>27 / 49</t>
        </is>
      </c>
      <c r="L255" t="inlineStr">
        <is>
          <t>5 / 9</t>
        </is>
      </c>
      <c r="M255" s="5" t="n">
        <v>0.36</v>
      </c>
      <c r="N255" s="5" t="n">
        <v>0.36</v>
      </c>
    </row>
    <row r="256">
      <c r="A256" t="n">
        <v>255</v>
      </c>
      <c r="B256" t="n">
        <v>2012</v>
      </c>
      <c r="C256" t="inlineStr">
        <is>
          <t>Trisha Singh</t>
        </is>
      </c>
      <c r="D256">
        <f>HYPERLINK("https://ota.tournamentsoftware.com/player-profile/CA831513-6963-4556-B8FD-4D148748EB19", "Link")</f>
        <v/>
      </c>
      <c r="E256" s="3" t="n">
        <v>294.989</v>
      </c>
      <c r="F256" s="4" t="n">
        <v>18</v>
      </c>
      <c r="G256" t="inlineStr">
        <is>
          <t>Ontario Tennis Association</t>
        </is>
      </c>
      <c r="H256" t="inlineStr">
        <is>
          <t>Rideau Sports Centre</t>
        </is>
      </c>
      <c r="I256" t="n">
        <v>31.9</v>
      </c>
      <c r="J256" s="4" t="n">
        <v>89</v>
      </c>
      <c r="K256" t="inlineStr">
        <is>
          <t>39 / 50</t>
        </is>
      </c>
      <c r="L256" t="inlineStr">
        <is>
          <t>9 / 17</t>
        </is>
      </c>
      <c r="M256" s="5" t="n">
        <v>0.44</v>
      </c>
      <c r="N256" s="5" t="n">
        <v>0.35</v>
      </c>
    </row>
    <row r="257">
      <c r="A257" t="n">
        <v>256</v>
      </c>
      <c r="B257" t="n">
        <v>2014</v>
      </c>
      <c r="C257" t="inlineStr">
        <is>
          <t>Tehzeeb MRAR</t>
        </is>
      </c>
      <c r="D257">
        <f>HYPERLINK("https://ota.tournamentsoftware.com/player-profile/9E69163B-7ED7-4450-8845-0676D6C943B8", "Link")</f>
        <v/>
      </c>
      <c r="E257" s="3" t="n">
        <v>293.832</v>
      </c>
      <c r="F257" s="4" t="n">
        <v>21</v>
      </c>
      <c r="G257" t="inlineStr">
        <is>
          <t>British Columbia</t>
        </is>
      </c>
      <c r="H257" t="inlineStr">
        <is>
          <t>No Club</t>
        </is>
      </c>
      <c r="I257" t="n">
        <v>29.6</v>
      </c>
      <c r="J257" s="4" t="n">
        <v>198</v>
      </c>
      <c r="K257" t="inlineStr">
        <is>
          <t>109 / 89</t>
        </is>
      </c>
      <c r="L257" t="inlineStr">
        <is>
          <t>19 / 15</t>
        </is>
      </c>
      <c r="M257" s="5" t="n">
        <v>0.55</v>
      </c>
      <c r="N257" s="5" t="n">
        <v>0.5600000000000001</v>
      </c>
    </row>
    <row r="258">
      <c r="A258" t="n">
        <v>257</v>
      </c>
      <c r="B258" t="n">
        <v>2014</v>
      </c>
      <c r="C258" t="inlineStr">
        <is>
          <t>Krystal Xuan Sun</t>
        </is>
      </c>
      <c r="D258">
        <f>HYPERLINK("https://ota.tournamentsoftware.com/player-profile/683C106F-AE4B-4C63-B1A3-D9C25FFAD31B", "Link")</f>
        <v/>
      </c>
      <c r="E258" s="3" t="n">
        <v>289.981</v>
      </c>
      <c r="F258" s="4" t="n">
        <v>11</v>
      </c>
      <c r="G258" t="inlineStr">
        <is>
          <t>Tennis Manitoba</t>
        </is>
      </c>
      <c r="H258" t="inlineStr">
        <is>
          <t>Taylor Tennis</t>
        </is>
      </c>
      <c r="I258" t="inlineStr">
        <is>
          <t>unavailable</t>
        </is>
      </c>
      <c r="J258" s="4" t="n">
        <v>74</v>
      </c>
      <c r="K258" t="inlineStr">
        <is>
          <t>21 / 53</t>
        </is>
      </c>
      <c r="L258" t="inlineStr">
        <is>
          <t>10 / 29</t>
        </is>
      </c>
      <c r="M258" s="5" t="n">
        <v>0.28</v>
      </c>
      <c r="N258" s="5" t="n">
        <v>0.26</v>
      </c>
    </row>
    <row r="259">
      <c r="A259" t="n">
        <v>258</v>
      </c>
      <c r="B259" t="n">
        <v>2013</v>
      </c>
      <c r="C259" t="inlineStr">
        <is>
          <t>Lily Gaumond-Boivin</t>
        </is>
      </c>
      <c r="D259">
        <f>HYPERLINK("https://ota.tournamentsoftware.com/player-profile/98461C64-ECF9-40D8-849E-C8999A9F9BA1", "Link")</f>
        <v/>
      </c>
      <c r="E259" s="3" t="n">
        <v>289.881</v>
      </c>
      <c r="F259" s="4" t="n">
        <v>20</v>
      </c>
      <c r="G259" t="inlineStr">
        <is>
          <t>Tennis Québec</t>
        </is>
      </c>
      <c r="H259" t="inlineStr">
        <is>
          <t>Club Avantage Multi-sports / Académie de tennis Hérisset Bordeleau</t>
        </is>
      </c>
      <c r="I259" t="inlineStr">
        <is>
          <t>unavailable</t>
        </is>
      </c>
      <c r="J259" s="4" t="n">
        <v>120</v>
      </c>
      <c r="K259" t="inlineStr">
        <is>
          <t>59 / 61</t>
        </is>
      </c>
      <c r="L259" t="inlineStr">
        <is>
          <t>9 / 12</t>
        </is>
      </c>
      <c r="M259" s="5" t="n">
        <v>0.49</v>
      </c>
      <c r="N259" s="5" t="n">
        <v>0.43</v>
      </c>
    </row>
    <row r="260">
      <c r="A260" t="n">
        <v>259</v>
      </c>
      <c r="B260" t="n">
        <v>2012</v>
      </c>
      <c r="C260" t="inlineStr">
        <is>
          <t>Norah Diop</t>
        </is>
      </c>
      <c r="D260">
        <f>HYPERLINK("https://ota.tournamentsoftware.com/player-profile/1B130952-D24A-467D-813D-2DA5B56ADFFF", "Link")</f>
        <v/>
      </c>
      <c r="E260" s="3" t="n">
        <v>289.524</v>
      </c>
      <c r="F260" s="4" t="n">
        <v>20</v>
      </c>
      <c r="G260" t="inlineStr">
        <is>
          <t>Tennis Québec</t>
        </is>
      </c>
      <c r="H260" t="inlineStr">
        <is>
          <t>Tennis 13</t>
        </is>
      </c>
      <c r="I260" t="inlineStr">
        <is>
          <t>unavailable</t>
        </is>
      </c>
      <c r="J260" s="4" t="n">
        <v>85</v>
      </c>
      <c r="K260" t="inlineStr">
        <is>
          <t>38 / 47</t>
        </is>
      </c>
      <c r="L260" t="inlineStr">
        <is>
          <t>13 / 12</t>
        </is>
      </c>
      <c r="M260" s="5" t="n">
        <v>0.45</v>
      </c>
      <c r="N260" s="5" t="n">
        <v>0.52</v>
      </c>
    </row>
    <row r="261">
      <c r="A261" t="n">
        <v>260</v>
      </c>
      <c r="B261" t="n">
        <v>2015</v>
      </c>
      <c r="C261" t="inlineStr">
        <is>
          <t>Danica Stamatovic</t>
        </is>
      </c>
      <c r="D261">
        <f>HYPERLINK("https://ota.tournamentsoftware.com/player-profile/3D976EDA-1737-4852-A9BF-C67ED47C73C1", "Link")</f>
        <v/>
      </c>
      <c r="E261" s="3" t="n">
        <v>285.672</v>
      </c>
      <c r="F261" s="4" t="n">
        <v>22</v>
      </c>
      <c r="G261" t="inlineStr">
        <is>
          <t>Ontario Tennis Association</t>
        </is>
      </c>
      <c r="H261" t="inlineStr">
        <is>
          <t>SmartVMC Racquetsports by ACE</t>
        </is>
      </c>
      <c r="I261" t="n">
        <v>31.7</v>
      </c>
      <c r="J261" s="4" t="n">
        <v>190</v>
      </c>
      <c r="K261" t="inlineStr">
        <is>
          <t>95 / 95</t>
        </is>
      </c>
      <c r="L261" t="inlineStr">
        <is>
          <t>28 / 16</t>
        </is>
      </c>
      <c r="M261" s="5" t="n">
        <v>0.5</v>
      </c>
      <c r="N261" s="5" t="n">
        <v>0.64</v>
      </c>
    </row>
    <row r="262">
      <c r="A262" t="n">
        <v>261</v>
      </c>
      <c r="B262" t="n">
        <v>2013</v>
      </c>
      <c r="C262" t="inlineStr">
        <is>
          <t>Sasha Stack</t>
        </is>
      </c>
      <c r="D262">
        <f>HYPERLINK("https://ota.tournamentsoftware.com/player-profile/C0B95842-5E69-4EBF-8E5C-398666A7112E", "Link")</f>
        <v/>
      </c>
      <c r="E262" s="3" t="n">
        <v>283.679</v>
      </c>
      <c r="F262" s="4" t="n">
        <v>15</v>
      </c>
      <c r="G262" t="inlineStr">
        <is>
          <t>British Columbia</t>
        </is>
      </c>
      <c r="H262" t="inlineStr">
        <is>
          <t>Hollyburn Country Club</t>
        </is>
      </c>
      <c r="I262" t="n">
        <v>33</v>
      </c>
      <c r="J262" s="4" t="n">
        <v>113</v>
      </c>
      <c r="K262" t="inlineStr">
        <is>
          <t>52 / 61</t>
        </is>
      </c>
      <c r="L262" t="inlineStr">
        <is>
          <t>8 / 15</t>
        </is>
      </c>
      <c r="M262" s="5" t="n">
        <v>0.46</v>
      </c>
      <c r="N262" s="5" t="n">
        <v>0.35</v>
      </c>
    </row>
    <row r="263">
      <c r="A263" t="n">
        <v>262</v>
      </c>
      <c r="B263" t="n">
        <v>2014</v>
      </c>
      <c r="C263" t="inlineStr">
        <is>
          <t>Ela Velic</t>
        </is>
      </c>
      <c r="D263">
        <f>HYPERLINK("https://ota.tournamentsoftware.com/player-profile/5CC54F7D-0D30-4EF4-BE6C-A336041BBEE2", "Link")</f>
        <v/>
      </c>
      <c r="E263" s="3" t="n">
        <v>283.442</v>
      </c>
      <c r="F263" s="4" t="n">
        <v>23</v>
      </c>
      <c r="G263" t="inlineStr">
        <is>
          <t>Ontario Tennis Association</t>
        </is>
      </c>
      <c r="H263" t="inlineStr">
        <is>
          <t>Central Tennis Club</t>
        </is>
      </c>
      <c r="I263" t="n">
        <v>33.5</v>
      </c>
      <c r="J263" s="4" t="n">
        <v>102</v>
      </c>
      <c r="K263" t="inlineStr">
        <is>
          <t>53 / 49</t>
        </is>
      </c>
      <c r="L263" t="inlineStr">
        <is>
          <t>22 / 21</t>
        </is>
      </c>
      <c r="M263" s="5" t="n">
        <v>0.52</v>
      </c>
      <c r="N263" s="5" t="n">
        <v>0.51</v>
      </c>
    </row>
    <row r="264">
      <c r="A264" t="n">
        <v>263</v>
      </c>
      <c r="B264" t="n">
        <v>2014</v>
      </c>
      <c r="C264" t="inlineStr">
        <is>
          <t>Avelyn Deepak</t>
        </is>
      </c>
      <c r="D264">
        <f>HYPERLINK("https://ota.tournamentsoftware.com/player-profile/4412DB09-5DE9-45DA-AB13-46B4F24B409F", "Link")</f>
        <v/>
      </c>
      <c r="E264" s="3" t="n">
        <v>282.546</v>
      </c>
      <c r="F264" s="4" t="n">
        <v>10</v>
      </c>
      <c r="G264" t="inlineStr">
        <is>
          <t>Tennis Manitoba</t>
        </is>
      </c>
      <c r="H264" t="inlineStr">
        <is>
          <t>Winnipeg Winter Club</t>
        </is>
      </c>
      <c r="I264" t="n">
        <v>35.2</v>
      </c>
      <c r="J264" s="4" t="n">
        <v>35</v>
      </c>
      <c r="K264" t="inlineStr">
        <is>
          <t>9 / 26</t>
        </is>
      </c>
      <c r="L264" t="inlineStr">
        <is>
          <t>9 / 26</t>
        </is>
      </c>
      <c r="M264" s="5" t="n">
        <v>0.26</v>
      </c>
      <c r="N264" s="5" t="n">
        <v>0.26</v>
      </c>
    </row>
    <row r="265">
      <c r="A265" t="n">
        <v>264</v>
      </c>
      <c r="B265" t="n">
        <v>2014</v>
      </c>
      <c r="C265" t="inlineStr">
        <is>
          <t>Alaia Grace Serravalle</t>
        </is>
      </c>
      <c r="D265">
        <f>HYPERLINK("https://ota.tournamentsoftware.com/player-profile/EDBCEC0C-45DE-4DFD-B17A-C176B306FC97", "Link")</f>
        <v/>
      </c>
      <c r="E265" s="3" t="n">
        <v>280.68</v>
      </c>
      <c r="F265" s="4" t="n">
        <v>23</v>
      </c>
      <c r="G265" t="inlineStr">
        <is>
          <t>Ontario Tennis Association</t>
        </is>
      </c>
      <c r="H265" t="inlineStr">
        <is>
          <t>Youngs Sportsplex</t>
        </is>
      </c>
      <c r="I265" t="n">
        <v>33.1</v>
      </c>
      <c r="J265" s="4" t="n">
        <v>60</v>
      </c>
      <c r="K265" t="inlineStr">
        <is>
          <t>34 / 26</t>
        </is>
      </c>
      <c r="L265" t="inlineStr">
        <is>
          <t>22 / 17</t>
        </is>
      </c>
      <c r="M265" s="5" t="n">
        <v>0.57</v>
      </c>
      <c r="N265" s="5" t="n">
        <v>0.5600000000000001</v>
      </c>
    </row>
    <row r="266">
      <c r="A266" t="n">
        <v>265</v>
      </c>
      <c r="B266" t="n">
        <v>2012</v>
      </c>
      <c r="C266" t="inlineStr">
        <is>
          <t>ella kim brend</t>
        </is>
      </c>
      <c r="D266">
        <f>HYPERLINK("https://ota.tournamentsoftware.com/player-profile/C777EDB2-AC2E-4E02-948A-26DCAC347821", "Link")</f>
        <v/>
      </c>
      <c r="E266" s="3" t="n">
        <v>280.297</v>
      </c>
      <c r="F266" s="4" t="n">
        <v>19</v>
      </c>
      <c r="G266" t="inlineStr">
        <is>
          <t>British Columbia</t>
        </is>
      </c>
      <c r="H266" t="inlineStr">
        <is>
          <t>The Tennis Centre</t>
        </is>
      </c>
      <c r="I266" t="n">
        <v>29.6</v>
      </c>
      <c r="J266" s="4" t="n">
        <v>124</v>
      </c>
      <c r="K266" t="inlineStr">
        <is>
          <t>87 / 37</t>
        </is>
      </c>
      <c r="L266" t="inlineStr">
        <is>
          <t>35 / 12</t>
        </is>
      </c>
      <c r="M266" s="5" t="n">
        <v>0.7</v>
      </c>
      <c r="N266" s="5" t="n">
        <v>0.74</v>
      </c>
    </row>
    <row r="267">
      <c r="A267" t="n">
        <v>266</v>
      </c>
      <c r="B267" t="n">
        <v>2013</v>
      </c>
      <c r="C267" t="inlineStr">
        <is>
          <t>Chanjoban Kaur Birdi</t>
        </is>
      </c>
      <c r="D267">
        <f>HYPERLINK("https://ota.tournamentsoftware.com/player-profile/26D50988-CF95-4A0A-9087-8DC8E38F0BDB", "Link")</f>
        <v/>
      </c>
      <c r="E267" s="3" t="n">
        <v>278.58</v>
      </c>
      <c r="F267" s="4" t="n">
        <v>19</v>
      </c>
      <c r="G267" t="inlineStr">
        <is>
          <t>British Columbia</t>
        </is>
      </c>
      <c r="H267" t="inlineStr">
        <is>
          <t>Newton Tennis Club</t>
        </is>
      </c>
      <c r="I267" t="n">
        <v>30.1</v>
      </c>
      <c r="J267" s="4" t="n">
        <v>202</v>
      </c>
      <c r="K267" t="inlineStr">
        <is>
          <t>99 / 103</t>
        </is>
      </c>
      <c r="L267" t="inlineStr">
        <is>
          <t>24 / 16</t>
        </is>
      </c>
      <c r="M267" s="5" t="n">
        <v>0.49</v>
      </c>
      <c r="N267" s="5" t="n">
        <v>0.6</v>
      </c>
    </row>
    <row r="268">
      <c r="A268" t="n">
        <v>267</v>
      </c>
      <c r="B268" t="n">
        <v>2014</v>
      </c>
      <c r="C268" t="inlineStr">
        <is>
          <t>Elliette Leah Tran</t>
        </is>
      </c>
      <c r="D268">
        <f>HYPERLINK("https://ota.tournamentsoftware.com/player-profile/9986D752-4364-42A6-9A1B-E1BC239760F0", "Link")</f>
        <v/>
      </c>
      <c r="E268" s="3" t="n">
        <v>278.539</v>
      </c>
      <c r="F268" s="4" t="n">
        <v>17</v>
      </c>
      <c r="G268" t="inlineStr">
        <is>
          <t>Tennis Alberta</t>
        </is>
      </c>
      <c r="H268" t="inlineStr">
        <is>
          <t>Saville Community Sports Centre</t>
        </is>
      </c>
      <c r="I268" t="inlineStr">
        <is>
          <t>unavailable</t>
        </is>
      </c>
      <c r="J268" s="4" t="n">
        <v>118</v>
      </c>
      <c r="K268" t="inlineStr">
        <is>
          <t>59 / 59</t>
        </is>
      </c>
      <c r="L268" t="inlineStr">
        <is>
          <t>24 / 19</t>
        </is>
      </c>
      <c r="M268" s="5" t="n">
        <v>0.5</v>
      </c>
      <c r="N268" s="5" t="n">
        <v>0.5600000000000001</v>
      </c>
    </row>
    <row r="269">
      <c r="A269" t="n">
        <v>268</v>
      </c>
      <c r="B269" t="n">
        <v>2013</v>
      </c>
      <c r="C269" t="inlineStr">
        <is>
          <t>Maddie Kershaw</t>
        </is>
      </c>
      <c r="D269">
        <f>HYPERLINK("https://ota.tournamentsoftware.com/player-profile/14F8911D-BF5A-4FE7-BFF6-D5A71E72307F", "Link")</f>
        <v/>
      </c>
      <c r="E269" s="3" t="n">
        <v>278.432</v>
      </c>
      <c r="F269" s="4" t="n">
        <v>10</v>
      </c>
      <c r="G269" t="inlineStr">
        <is>
          <t>Tennis New Brunswick</t>
        </is>
      </c>
      <c r="H269" t="inlineStr">
        <is>
          <t>Abony Family Tennis Center</t>
        </is>
      </c>
      <c r="I269" t="n">
        <v>33.9</v>
      </c>
      <c r="J269" s="4" t="n">
        <v>188</v>
      </c>
      <c r="K269" t="inlineStr">
        <is>
          <t>95 / 93</t>
        </is>
      </c>
      <c r="L269" t="inlineStr">
        <is>
          <t>16 / 23</t>
        </is>
      </c>
      <c r="M269" s="5" t="n">
        <v>0.51</v>
      </c>
      <c r="N269" s="5" t="n">
        <v>0.41</v>
      </c>
    </row>
    <row r="270">
      <c r="A270" t="n">
        <v>269</v>
      </c>
      <c r="B270" t="n">
        <v>2012</v>
      </c>
      <c r="C270" t="inlineStr">
        <is>
          <t>Jana Karkoukli</t>
        </is>
      </c>
      <c r="D270">
        <f>HYPERLINK("https://ota.tournamentsoftware.com/player-profile/ED5D7332-7665-453C-87FD-D7E5B172FD8A", "Link")</f>
        <v/>
      </c>
      <c r="E270" s="3" t="n">
        <v>276.736</v>
      </c>
      <c r="F270" s="4" t="n">
        <v>24</v>
      </c>
      <c r="G270" t="inlineStr">
        <is>
          <t>Tennis Québec</t>
        </is>
      </c>
      <c r="H270" t="inlineStr">
        <is>
          <t>EB Tennis inc.</t>
        </is>
      </c>
      <c r="I270" t="n">
        <v>35.6</v>
      </c>
      <c r="J270" s="4" t="n">
        <v>186</v>
      </c>
      <c r="K270" t="inlineStr">
        <is>
          <t>51 / 135</t>
        </is>
      </c>
      <c r="L270" t="inlineStr">
        <is>
          <t>2 / 18</t>
        </is>
      </c>
      <c r="M270" s="5" t="n">
        <v>0.27</v>
      </c>
      <c r="N270" s="5" t="n">
        <v>0.1</v>
      </c>
    </row>
    <row r="271">
      <c r="A271" t="n">
        <v>270</v>
      </c>
      <c r="B271" t="n">
        <v>2014</v>
      </c>
      <c r="C271" t="inlineStr">
        <is>
          <t>Elisa Krumov</t>
        </is>
      </c>
      <c r="D271">
        <f>HYPERLINK("https://ota.tournamentsoftware.com/player-profile/8B5D18FC-0F51-468A-BE7C-7EA242A06382", "Link")</f>
        <v/>
      </c>
      <c r="E271" s="3" t="n">
        <v>270.273</v>
      </c>
      <c r="F271" s="4" t="n">
        <v>16</v>
      </c>
      <c r="G271" t="inlineStr">
        <is>
          <t>Ontario Tennis Association</t>
        </is>
      </c>
      <c r="H271" t="inlineStr">
        <is>
          <t>Joshua Creek Golf &amp; Tennis</t>
        </is>
      </c>
      <c r="I271" t="n">
        <v>32.8</v>
      </c>
      <c r="J271" s="4" t="n">
        <v>89</v>
      </c>
      <c r="K271" t="inlineStr">
        <is>
          <t>43 / 46</t>
        </is>
      </c>
      <c r="L271" t="inlineStr">
        <is>
          <t>16 / 16</t>
        </is>
      </c>
      <c r="M271" s="5" t="n">
        <v>0.48</v>
      </c>
      <c r="N271" s="5" t="n">
        <v>0.5</v>
      </c>
    </row>
    <row r="272">
      <c r="A272" t="n">
        <v>271</v>
      </c>
      <c r="B272" t="n">
        <v>2013</v>
      </c>
      <c r="C272" t="inlineStr">
        <is>
          <t>Gabriela Gardonyi</t>
        </is>
      </c>
      <c r="D272">
        <f>HYPERLINK("https://ota.tournamentsoftware.com/player-profile/EA584DC9-AF4E-413B-BF0B-75746024F8E4", "Link")</f>
        <v/>
      </c>
      <c r="E272" s="3" t="n">
        <v>269.544</v>
      </c>
      <c r="F272" s="4" t="n">
        <v>23</v>
      </c>
      <c r="G272" t="inlineStr">
        <is>
          <t>Ontario Tennis Association</t>
        </is>
      </c>
      <c r="H272" t="inlineStr">
        <is>
          <t>Richmond Hill Country Club</t>
        </is>
      </c>
      <c r="I272" t="inlineStr">
        <is>
          <t>unavailable</t>
        </is>
      </c>
      <c r="J272" s="4" t="n">
        <v>119</v>
      </c>
      <c r="K272" t="inlineStr">
        <is>
          <t>56 / 63</t>
        </is>
      </c>
      <c r="L272" t="inlineStr">
        <is>
          <t>21 / 19</t>
        </is>
      </c>
      <c r="M272" s="5" t="n">
        <v>0.47</v>
      </c>
      <c r="N272" s="5" t="n">
        <v>0.53</v>
      </c>
    </row>
    <row r="273">
      <c r="A273" t="n">
        <v>272</v>
      </c>
      <c r="B273" t="n">
        <v>2015</v>
      </c>
      <c r="C273" t="inlineStr">
        <is>
          <t>Sophia Shiqi Zeng</t>
        </is>
      </c>
      <c r="D273">
        <f>HYPERLINK("https://ota.tournamentsoftware.com/player-profile/F1A373DA-18B2-46FA-AF39-157644DB679B", "Link")</f>
        <v/>
      </c>
      <c r="E273" s="3" t="n">
        <v>267.836</v>
      </c>
      <c r="F273" s="4" t="n">
        <v>21</v>
      </c>
      <c r="G273" t="inlineStr">
        <is>
          <t>British Columbia</t>
        </is>
      </c>
      <c r="H273" t="inlineStr">
        <is>
          <t>The Tennis Centre</t>
        </is>
      </c>
      <c r="I273" t="n">
        <v>31.5</v>
      </c>
      <c r="J273" s="4" t="n">
        <v>187</v>
      </c>
      <c r="K273" t="inlineStr">
        <is>
          <t>103 / 84</t>
        </is>
      </c>
      <c r="L273" t="inlineStr">
        <is>
          <t>29 / 15</t>
        </is>
      </c>
      <c r="M273" s="5" t="n">
        <v>0.55</v>
      </c>
      <c r="N273" s="5" t="n">
        <v>0.66</v>
      </c>
    </row>
    <row r="274">
      <c r="A274" t="n">
        <v>273</v>
      </c>
      <c r="B274" t="n">
        <v>2015</v>
      </c>
      <c r="C274" t="inlineStr">
        <is>
          <t>Alia Idrissi Serghini</t>
        </is>
      </c>
      <c r="D274">
        <f>HYPERLINK("https://ota.tournamentsoftware.com/player-profile/CF328206-362D-4259-AA9F-74B7EF760A80", "Link")</f>
        <v/>
      </c>
      <c r="E274" s="3" t="n">
        <v>267.456</v>
      </c>
      <c r="F274" s="4" t="n">
        <v>19</v>
      </c>
      <c r="G274" t="inlineStr">
        <is>
          <t>Tennis Québec</t>
        </is>
      </c>
      <c r="H274" t="inlineStr">
        <is>
          <t>Centre récréatif de Repentigny / Académie Tennis Momentum</t>
        </is>
      </c>
      <c r="I274" t="n">
        <v>32.6</v>
      </c>
      <c r="J274" s="4" t="n">
        <v>139</v>
      </c>
      <c r="K274" t="inlineStr">
        <is>
          <t>84 / 55</t>
        </is>
      </c>
      <c r="L274" t="inlineStr">
        <is>
          <t>19 / 19</t>
        </is>
      </c>
      <c r="M274" s="5" t="n">
        <v>0.6</v>
      </c>
      <c r="N274" s="5" t="n">
        <v>0.5</v>
      </c>
    </row>
    <row r="275">
      <c r="A275" t="n">
        <v>274</v>
      </c>
      <c r="B275" t="n">
        <v>2015</v>
      </c>
      <c r="C275" t="inlineStr">
        <is>
          <t>Alexia Picciola</t>
        </is>
      </c>
      <c r="D275">
        <f>HYPERLINK("https://ota.tournamentsoftware.com/player-profile/91C9A734-3E6E-45CC-B46D-51BF9C9A7FC4", "Link")</f>
        <v/>
      </c>
      <c r="E275" s="3" t="n">
        <v>264.417</v>
      </c>
      <c r="F275" s="4" t="n">
        <v>19</v>
      </c>
      <c r="G275" t="inlineStr">
        <is>
          <t>Tennis Québec</t>
        </is>
      </c>
      <c r="H275" t="inlineStr">
        <is>
          <t>Tennis Montréal Excellence</t>
        </is>
      </c>
      <c r="I275" t="n">
        <v>31.5</v>
      </c>
      <c r="J275" s="4" t="n">
        <v>162</v>
      </c>
      <c r="K275" t="inlineStr">
        <is>
          <t>79 / 83</t>
        </is>
      </c>
      <c r="L275" t="inlineStr">
        <is>
          <t>32 / 17</t>
        </is>
      </c>
      <c r="M275" s="5" t="n">
        <v>0.49</v>
      </c>
      <c r="N275" s="5" t="n">
        <v>0.65</v>
      </c>
    </row>
    <row r="276">
      <c r="A276" t="n">
        <v>275</v>
      </c>
      <c r="B276" t="n">
        <v>2013</v>
      </c>
      <c r="C276" t="inlineStr">
        <is>
          <t>Mia Tran</t>
        </is>
      </c>
      <c r="D276">
        <f>HYPERLINK("https://ota.tournamentsoftware.com/player-profile/140A029D-3BE9-44F2-AA6A-53ED5C2991A8", "Link")</f>
        <v/>
      </c>
      <c r="E276" s="3" t="n">
        <v>263.48</v>
      </c>
      <c r="F276" s="4" t="n">
        <v>11</v>
      </c>
      <c r="G276" t="inlineStr">
        <is>
          <t>Ontario Tennis Association</t>
        </is>
      </c>
      <c r="H276" t="inlineStr">
        <is>
          <t>SmartVMC Racquetsports by ACE</t>
        </is>
      </c>
      <c r="I276" t="n">
        <v>32.6</v>
      </c>
      <c r="J276" s="4" t="n">
        <v>86</v>
      </c>
      <c r="K276" t="inlineStr">
        <is>
          <t>53 / 33</t>
        </is>
      </c>
      <c r="L276" t="inlineStr">
        <is>
          <t>14 / 8</t>
        </is>
      </c>
      <c r="M276" s="5" t="n">
        <v>0.62</v>
      </c>
      <c r="N276" s="5" t="n">
        <v>0.64</v>
      </c>
    </row>
    <row r="277">
      <c r="A277" t="n">
        <v>276</v>
      </c>
      <c r="B277" t="n">
        <v>2015</v>
      </c>
      <c r="C277" t="inlineStr">
        <is>
          <t>Hannah D'Souza</t>
        </is>
      </c>
      <c r="D277">
        <f>HYPERLINK("https://ota.tournamentsoftware.com/player-profile/6516E6BE-4D11-4CDB-8F62-FFE106E8A899", "Link")</f>
        <v/>
      </c>
      <c r="E277" s="3" t="n">
        <v>263.065</v>
      </c>
      <c r="F277" s="4" t="n">
        <v>28</v>
      </c>
      <c r="G277" t="inlineStr">
        <is>
          <t>Ontario Tennis Association</t>
        </is>
      </c>
      <c r="H277" t="inlineStr">
        <is>
          <t>No Club</t>
        </is>
      </c>
      <c r="I277" t="n">
        <v>33.2</v>
      </c>
      <c r="J277" s="4" t="n">
        <v>159</v>
      </c>
      <c r="K277" t="inlineStr">
        <is>
          <t>66 / 93</t>
        </is>
      </c>
      <c r="L277" t="inlineStr">
        <is>
          <t>22 / 24</t>
        </is>
      </c>
      <c r="M277" s="5" t="n">
        <v>0.42</v>
      </c>
      <c r="N277" s="5" t="n">
        <v>0.48</v>
      </c>
    </row>
    <row r="278">
      <c r="A278" t="n">
        <v>277</v>
      </c>
      <c r="B278" t="n">
        <v>2014</v>
      </c>
      <c r="C278" t="inlineStr">
        <is>
          <t>Thanushka Sadasivam</t>
        </is>
      </c>
      <c r="D278">
        <f>HYPERLINK("https://ota.tournamentsoftware.com/player-profile/CA495DA8-0B9D-4530-9886-FC567CD73AE9", "Link")</f>
        <v/>
      </c>
      <c r="E278" s="3" t="n">
        <v>260.403</v>
      </c>
      <c r="F278" s="4" t="n">
        <v>18</v>
      </c>
      <c r="G278" t="inlineStr">
        <is>
          <t>Ontario Tennis Association</t>
        </is>
      </c>
      <c r="H278" t="inlineStr">
        <is>
          <t>Ontario Racquet Club</t>
        </is>
      </c>
      <c r="I278" t="n">
        <v>35.2</v>
      </c>
      <c r="J278" s="4" t="n">
        <v>59</v>
      </c>
      <c r="K278" t="inlineStr">
        <is>
          <t>25 / 34</t>
        </is>
      </c>
      <c r="L278" t="inlineStr">
        <is>
          <t>7 / 12</t>
        </is>
      </c>
      <c r="M278" s="5" t="n">
        <v>0.42</v>
      </c>
      <c r="N278" s="5" t="n">
        <v>0.37</v>
      </c>
    </row>
    <row r="279">
      <c r="A279" t="n">
        <v>278</v>
      </c>
      <c r="B279" t="n">
        <v>2015</v>
      </c>
      <c r="C279" t="inlineStr">
        <is>
          <t>Emma Xu</t>
        </is>
      </c>
      <c r="D279">
        <f>HYPERLINK("https://ota.tournamentsoftware.com/player-profile/464089C3-D2B4-413F-A102-AF0AEFF9A318", "Link")</f>
        <v/>
      </c>
      <c r="E279" s="3" t="n">
        <v>259.338</v>
      </c>
      <c r="F279" s="4" t="n">
        <v>9</v>
      </c>
      <c r="G279" t="inlineStr">
        <is>
          <t>Tennis Manitoba</t>
        </is>
      </c>
      <c r="H279" t="inlineStr">
        <is>
          <t>Taylor Tennis</t>
        </is>
      </c>
      <c r="I279" t="n">
        <v>36.6</v>
      </c>
      <c r="J279" s="4" t="n">
        <v>98</v>
      </c>
      <c r="K279" t="inlineStr">
        <is>
          <t>27 / 71</t>
        </is>
      </c>
      <c r="L279" t="inlineStr">
        <is>
          <t>9 / 28</t>
        </is>
      </c>
      <c r="M279" s="5" t="n">
        <v>0.28</v>
      </c>
      <c r="N279" s="5" t="n">
        <v>0.24</v>
      </c>
    </row>
    <row r="280">
      <c r="A280" t="n">
        <v>279</v>
      </c>
      <c r="B280" t="n">
        <v>2013</v>
      </c>
      <c r="C280" t="inlineStr">
        <is>
          <t>Victoria Ta</t>
        </is>
      </c>
      <c r="D280">
        <f>HYPERLINK("https://ota.tournamentsoftware.com/player-profile/A9D6CF45-A7F1-427F-A376-2C40852D98CD", "Link")</f>
        <v/>
      </c>
      <c r="E280" s="3" t="n">
        <v>256.435</v>
      </c>
      <c r="F280" s="4" t="n">
        <v>19</v>
      </c>
      <c r="G280" t="inlineStr">
        <is>
          <t>Ontario Tennis Association</t>
        </is>
      </c>
      <c r="H280" t="inlineStr">
        <is>
          <t>Lambton Golf &amp; Country Club</t>
        </is>
      </c>
      <c r="I280" t="n">
        <v>32.4</v>
      </c>
      <c r="J280" s="4" t="n">
        <v>103</v>
      </c>
      <c r="K280" t="inlineStr">
        <is>
          <t>50 / 53</t>
        </is>
      </c>
      <c r="L280" t="inlineStr">
        <is>
          <t>15 / 13</t>
        </is>
      </c>
      <c r="M280" s="5" t="n">
        <v>0.49</v>
      </c>
      <c r="N280" s="5" t="n">
        <v>0.54</v>
      </c>
    </row>
    <row r="281">
      <c r="A281" t="n">
        <v>280</v>
      </c>
      <c r="B281" t="n">
        <v>2013</v>
      </c>
      <c r="C281" t="inlineStr">
        <is>
          <t>Ebun Fasanya</t>
        </is>
      </c>
      <c r="D281">
        <f>HYPERLINK("https://ota.tournamentsoftware.com/player-profile/943BB22B-8108-44B4-80BD-15A6984D1D23", "Link")</f>
        <v/>
      </c>
      <c r="E281" s="3" t="n">
        <v>256.168</v>
      </c>
      <c r="F281" s="4" t="n">
        <v>17</v>
      </c>
      <c r="G281" t="inlineStr">
        <is>
          <t>Ontario Tennis Association</t>
        </is>
      </c>
      <c r="H281" t="inlineStr">
        <is>
          <t>Joshua Creek Golf &amp; Tennis</t>
        </is>
      </c>
      <c r="I281" t="n">
        <v>33.9</v>
      </c>
      <c r="J281" s="4" t="n">
        <v>82</v>
      </c>
      <c r="K281" t="inlineStr">
        <is>
          <t>45 / 37</t>
        </is>
      </c>
      <c r="L281" t="inlineStr">
        <is>
          <t>17 / 14</t>
        </is>
      </c>
      <c r="M281" s="5" t="n">
        <v>0.55</v>
      </c>
      <c r="N281" s="5" t="n">
        <v>0.55</v>
      </c>
    </row>
    <row r="282">
      <c r="A282" t="n">
        <v>281</v>
      </c>
      <c r="B282" t="n">
        <v>2012</v>
      </c>
      <c r="C282" t="inlineStr">
        <is>
          <t>Kristina Khlyebnykova</t>
        </is>
      </c>
      <c r="D282">
        <f>HYPERLINK("https://ota.tournamentsoftware.com/player-profile/D585FC7E-ABD0-44A4-A0AC-539E39880B84", "Link")</f>
        <v/>
      </c>
      <c r="E282" s="3" t="n">
        <v>255.56</v>
      </c>
      <c r="F282" s="4" t="n">
        <v>13</v>
      </c>
      <c r="G282" t="inlineStr">
        <is>
          <t>Ontario Tennis Association</t>
        </is>
      </c>
      <c r="H282" t="inlineStr">
        <is>
          <t>Concord Tennis Academy</t>
        </is>
      </c>
      <c r="I282" t="n">
        <v>32.4</v>
      </c>
      <c r="J282" s="4" t="n">
        <v>70</v>
      </c>
      <c r="K282" t="inlineStr">
        <is>
          <t>34 / 36</t>
        </is>
      </c>
      <c r="L282" t="inlineStr">
        <is>
          <t>13 / 9</t>
        </is>
      </c>
      <c r="M282" s="5" t="n">
        <v>0.49</v>
      </c>
      <c r="N282" s="5" t="n">
        <v>0.59</v>
      </c>
    </row>
    <row r="283">
      <c r="A283" t="n">
        <v>282</v>
      </c>
      <c r="B283" t="n">
        <v>2012</v>
      </c>
      <c r="C283" t="inlineStr">
        <is>
          <t>Jessica Li</t>
        </is>
      </c>
      <c r="D283">
        <f>HYPERLINK("https://ota.tournamentsoftware.com/player-profile/9F51CCE2-07F1-48BF-B635-CE7622769243", "Link")</f>
        <v/>
      </c>
      <c r="E283" s="3" t="n">
        <v>254.244</v>
      </c>
      <c r="F283" s="4" t="n">
        <v>12</v>
      </c>
      <c r="G283" t="inlineStr">
        <is>
          <t>Ontario Tennis Association</t>
        </is>
      </c>
      <c r="H283" t="inlineStr">
        <is>
          <t>Markham Tennis Club</t>
        </is>
      </c>
      <c r="I283" t="inlineStr">
        <is>
          <t>unavailable</t>
        </is>
      </c>
      <c r="J283" s="4" t="n">
        <v>58</v>
      </c>
      <c r="K283" t="inlineStr">
        <is>
          <t>27 / 31</t>
        </is>
      </c>
      <c r="L283" t="inlineStr">
        <is>
          <t>9 / 9</t>
        </is>
      </c>
      <c r="M283" s="5" t="n">
        <v>0.47</v>
      </c>
      <c r="N283" s="5" t="n">
        <v>0.5</v>
      </c>
    </row>
    <row r="284">
      <c r="A284" t="n">
        <v>283</v>
      </c>
      <c r="B284" t="n">
        <v>2015</v>
      </c>
      <c r="C284" t="inlineStr">
        <is>
          <t>Ella Potechin</t>
        </is>
      </c>
      <c r="D284">
        <f>HYPERLINK("https://ota.tournamentsoftware.com/player-profile/6611C50A-5A2F-4DF7-B99B-97DD644D2C2A", "Link")</f>
        <v/>
      </c>
      <c r="E284" s="3" t="n">
        <v>251.009</v>
      </c>
      <c r="F284" s="4" t="n">
        <v>17</v>
      </c>
      <c r="G284" t="inlineStr">
        <is>
          <t>Ontario Tennis Association</t>
        </is>
      </c>
      <c r="H284" t="inlineStr">
        <is>
          <t>Tennis Outaouais Performance (TOP) ON</t>
        </is>
      </c>
      <c r="I284" t="n">
        <v>35.1</v>
      </c>
      <c r="J284" s="4" t="n">
        <v>92</v>
      </c>
      <c r="K284" t="inlineStr">
        <is>
          <t>36 / 56</t>
        </is>
      </c>
      <c r="L284" t="inlineStr">
        <is>
          <t>19 / 20</t>
        </is>
      </c>
      <c r="M284" s="5" t="n">
        <v>0.39</v>
      </c>
      <c r="N284" s="5" t="n">
        <v>0.49</v>
      </c>
    </row>
    <row r="285">
      <c r="A285" t="n">
        <v>284</v>
      </c>
      <c r="B285" t="n">
        <v>2015</v>
      </c>
      <c r="C285" t="inlineStr">
        <is>
          <t>Keira Braudo</t>
        </is>
      </c>
      <c r="D285">
        <f>HYPERLINK("https://ota.tournamentsoftware.com/player-profile/8D683600-A107-430B-BBAA-BD98BDCE0FD8", "Link")</f>
        <v/>
      </c>
      <c r="E285" s="3" t="n">
        <v>250.103</v>
      </c>
      <c r="F285" s="4" t="n">
        <v>13</v>
      </c>
      <c r="G285" t="inlineStr">
        <is>
          <t>Ontario Tennis Association</t>
        </is>
      </c>
      <c r="H285" t="inlineStr">
        <is>
          <t>Mayfair West Fitness &amp; Racquet Club</t>
        </is>
      </c>
      <c r="I285" t="n">
        <v>30.6</v>
      </c>
      <c r="J285" s="4" t="n">
        <v>70</v>
      </c>
      <c r="K285" t="inlineStr">
        <is>
          <t>46 / 24</t>
        </is>
      </c>
      <c r="L285" t="inlineStr">
        <is>
          <t>23 / 6</t>
        </is>
      </c>
      <c r="M285" s="5" t="n">
        <v>0.66</v>
      </c>
      <c r="N285" s="5" t="n">
        <v>0.79</v>
      </c>
    </row>
    <row r="286">
      <c r="A286" t="n">
        <v>285</v>
      </c>
      <c r="B286" t="n">
        <v>2015</v>
      </c>
      <c r="C286" t="inlineStr">
        <is>
          <t>Lydia Huang</t>
        </is>
      </c>
      <c r="D286">
        <f>HYPERLINK("https://ota.tournamentsoftware.com/player-profile/C398C976-6D88-4D76-B532-8E986C6FF0EA", "Link")</f>
        <v/>
      </c>
      <c r="E286" s="3" t="n">
        <v>250.066</v>
      </c>
      <c r="F286" s="4" t="n">
        <v>30</v>
      </c>
      <c r="G286" t="inlineStr">
        <is>
          <t>Ontario Tennis Association</t>
        </is>
      </c>
      <c r="H286" t="inlineStr">
        <is>
          <t>The Supreme Court Tennis Club</t>
        </is>
      </c>
      <c r="I286" t="n">
        <v>32.4</v>
      </c>
      <c r="J286" s="4" t="n">
        <v>105</v>
      </c>
      <c r="K286" t="inlineStr">
        <is>
          <t>65 / 40</t>
        </is>
      </c>
      <c r="L286" t="inlineStr">
        <is>
          <t>36 / 22</t>
        </is>
      </c>
      <c r="M286" s="5" t="n">
        <v>0.62</v>
      </c>
      <c r="N286" s="5" t="n">
        <v>0.62</v>
      </c>
    </row>
    <row r="287">
      <c r="A287" t="n">
        <v>286</v>
      </c>
      <c r="B287" t="n">
        <v>2014</v>
      </c>
      <c r="C287" t="inlineStr">
        <is>
          <t>Emma Lajoie</t>
        </is>
      </c>
      <c r="D287">
        <f>HYPERLINK("https://ota.tournamentsoftware.com/player-profile/E1635D80-45C0-4A06-8270-280699032897", "Link")</f>
        <v/>
      </c>
      <c r="E287" s="3" t="n">
        <v>249.285</v>
      </c>
      <c r="F287" s="4" t="n">
        <v>22</v>
      </c>
      <c r="G287" t="inlineStr">
        <is>
          <t>Tennis Québec</t>
        </is>
      </c>
      <c r="H287" t="inlineStr">
        <is>
          <t>SANI Sport</t>
        </is>
      </c>
      <c r="I287" t="n">
        <v>33</v>
      </c>
      <c r="J287" s="4" t="n">
        <v>160</v>
      </c>
      <c r="K287" t="inlineStr">
        <is>
          <t>81 / 79</t>
        </is>
      </c>
      <c r="L287" t="inlineStr">
        <is>
          <t>19 / 23</t>
        </is>
      </c>
      <c r="M287" s="5" t="n">
        <v>0.51</v>
      </c>
      <c r="N287" s="5" t="n">
        <v>0.45</v>
      </c>
    </row>
    <row r="288">
      <c r="A288" t="n">
        <v>287</v>
      </c>
      <c r="B288" t="n">
        <v>2013</v>
      </c>
      <c r="C288" t="inlineStr">
        <is>
          <t>Elina Farmanbar</t>
        </is>
      </c>
      <c r="D288">
        <f>HYPERLINK("https://ota.tournamentsoftware.com/player-profile/CBAE609B-7C8B-4EA5-976F-0F6C1089D79C", "Link")</f>
        <v/>
      </c>
      <c r="E288" s="3" t="n">
        <v>248</v>
      </c>
      <c r="F288" s="4" t="n">
        <v>1</v>
      </c>
      <c r="G288" t="inlineStr">
        <is>
          <t>Ontario Tennis Association</t>
        </is>
      </c>
      <c r="H288" t="inlineStr">
        <is>
          <t>Thornhill Park Tennis Club</t>
        </is>
      </c>
      <c r="I288" t="n">
        <v>24</v>
      </c>
      <c r="J288" s="4" t="n">
        <v>73</v>
      </c>
      <c r="K288" t="inlineStr">
        <is>
          <t>54 / 19</t>
        </is>
      </c>
      <c r="L288" t="inlineStr">
        <is>
          <t>0 / 0</t>
        </is>
      </c>
      <c r="M288" s="5" t="n">
        <v>0.74</v>
      </c>
      <c r="N288" s="5" t="n">
        <v>0</v>
      </c>
    </row>
    <row r="289">
      <c r="A289" t="n">
        <v>288</v>
      </c>
      <c r="B289" t="n">
        <v>2014</v>
      </c>
      <c r="C289" t="inlineStr">
        <is>
          <t>Mégane Bernard</t>
        </is>
      </c>
      <c r="D289">
        <f>HYPERLINK("https://ota.tournamentsoftware.com/player-profile/041B9415-6EB0-452F-AD3F-EA68CADBA2FB", "Link")</f>
        <v/>
      </c>
      <c r="E289" s="3" t="n">
        <v>247.992</v>
      </c>
      <c r="F289" s="4" t="n">
        <v>19</v>
      </c>
      <c r="G289" t="inlineStr">
        <is>
          <t>Tennis Québec</t>
        </is>
      </c>
      <c r="H289" t="inlineStr">
        <is>
          <t>Tennis 13</t>
        </is>
      </c>
      <c r="I289" t="n">
        <v>32.8</v>
      </c>
      <c r="J289" s="4" t="n">
        <v>187</v>
      </c>
      <c r="K289" t="inlineStr">
        <is>
          <t>82 / 105</t>
        </is>
      </c>
      <c r="L289" t="inlineStr">
        <is>
          <t>12 / 19</t>
        </is>
      </c>
      <c r="M289" s="5" t="n">
        <v>0.44</v>
      </c>
      <c r="N289" s="5" t="n">
        <v>0.39</v>
      </c>
    </row>
    <row r="290">
      <c r="A290" t="n">
        <v>289</v>
      </c>
      <c r="B290" t="n">
        <v>2012</v>
      </c>
      <c r="C290" t="inlineStr">
        <is>
          <t>Shrreya Elkturi</t>
        </is>
      </c>
      <c r="D290">
        <f>HYPERLINK("https://ota.tournamentsoftware.com/player-profile/1A8DA0C1-51FB-48B8-8AED-D37DAB186E95", "Link")</f>
        <v/>
      </c>
      <c r="E290" s="3" t="n">
        <v>245.675</v>
      </c>
      <c r="F290" s="4" t="n">
        <v>21</v>
      </c>
      <c r="G290" t="inlineStr">
        <is>
          <t>Ontario Tennis Association</t>
        </is>
      </c>
      <c r="H290" t="inlineStr">
        <is>
          <t>No Club</t>
        </is>
      </c>
      <c r="I290" t="n">
        <v>33</v>
      </c>
      <c r="J290" s="4" t="n">
        <v>85</v>
      </c>
      <c r="K290" t="inlineStr">
        <is>
          <t>31 / 54</t>
        </is>
      </c>
      <c r="L290" t="inlineStr">
        <is>
          <t>16 / 16</t>
        </is>
      </c>
      <c r="M290" s="5" t="n">
        <v>0.36</v>
      </c>
      <c r="N290" s="5" t="n">
        <v>0.5</v>
      </c>
    </row>
    <row r="291">
      <c r="A291" t="n">
        <v>290</v>
      </c>
      <c r="B291" t="n">
        <v>2013</v>
      </c>
      <c r="C291" t="inlineStr">
        <is>
          <t>Ava Dancik</t>
        </is>
      </c>
      <c r="D291">
        <f>HYPERLINK("https://ota.tournamentsoftware.com/player-profile/CF808414-C0CE-4B07-9667-D3EE492D6BCE", "Link")</f>
        <v/>
      </c>
      <c r="E291" s="3" t="n">
        <v>245.24</v>
      </c>
      <c r="F291" s="4" t="n">
        <v>12</v>
      </c>
      <c r="G291" t="inlineStr">
        <is>
          <t>Tennis Québec</t>
        </is>
      </c>
      <c r="H291" t="inlineStr">
        <is>
          <t>Tennis de l'Île des Sœurs / École de tennis</t>
        </is>
      </c>
      <c r="I291" t="n">
        <v>31.5</v>
      </c>
      <c r="J291" s="4" t="n">
        <v>216</v>
      </c>
      <c r="K291" t="inlineStr">
        <is>
          <t>111 / 105</t>
        </is>
      </c>
      <c r="L291" t="inlineStr">
        <is>
          <t>15 / 8</t>
        </is>
      </c>
      <c r="M291" s="5" t="n">
        <v>0.51</v>
      </c>
      <c r="N291" s="5" t="n">
        <v>0.65</v>
      </c>
    </row>
    <row r="292">
      <c r="A292" t="n">
        <v>291</v>
      </c>
      <c r="B292" t="n">
        <v>2014</v>
      </c>
      <c r="C292" t="inlineStr">
        <is>
          <t>SOFIA LUCKY</t>
        </is>
      </c>
      <c r="D292">
        <f>HYPERLINK("https://ota.tournamentsoftware.com/player-profile/9A590660-3C23-4CD7-A9AF-30CC3227EC17", "Link")</f>
        <v/>
      </c>
      <c r="E292" s="3" t="n">
        <v>245.128</v>
      </c>
      <c r="F292" s="4" t="n">
        <v>13</v>
      </c>
      <c r="G292" t="inlineStr">
        <is>
          <t>Tennis Québec</t>
        </is>
      </c>
      <c r="H292" t="inlineStr">
        <is>
          <t>Académie de tennis UNI(T)</t>
        </is>
      </c>
      <c r="I292" t="n">
        <v>34.5</v>
      </c>
      <c r="J292" s="4" t="n">
        <v>85</v>
      </c>
      <c r="K292" t="inlineStr">
        <is>
          <t>31 / 54</t>
        </is>
      </c>
      <c r="L292" t="inlineStr">
        <is>
          <t>10 / 9</t>
        </is>
      </c>
      <c r="M292" s="5" t="n">
        <v>0.36</v>
      </c>
      <c r="N292" s="5" t="n">
        <v>0.53</v>
      </c>
    </row>
    <row r="293">
      <c r="A293" t="n">
        <v>292</v>
      </c>
      <c r="B293" t="n">
        <v>2012</v>
      </c>
      <c r="C293" t="inlineStr">
        <is>
          <t>Sophia Zhang</t>
        </is>
      </c>
      <c r="D293">
        <f>HYPERLINK("https://ota.tournamentsoftware.com/player-profile/D3858E79-6F6D-42C3-B497-74590CD50165", "Link")</f>
        <v/>
      </c>
      <c r="E293" s="3" t="n">
        <v>242.786</v>
      </c>
      <c r="F293" s="4" t="n">
        <v>9</v>
      </c>
      <c r="G293" t="inlineStr">
        <is>
          <t>British Columbia</t>
        </is>
      </c>
      <c r="H293" t="inlineStr">
        <is>
          <t>Richmond Country Club</t>
        </is>
      </c>
      <c r="I293" t="n">
        <v>33.8</v>
      </c>
      <c r="J293" s="4" t="n">
        <v>122</v>
      </c>
      <c r="K293" t="inlineStr">
        <is>
          <t>33 / 89</t>
        </is>
      </c>
      <c r="L293" t="inlineStr">
        <is>
          <t>1 / 12</t>
        </is>
      </c>
      <c r="M293" s="5" t="n">
        <v>0.27</v>
      </c>
      <c r="N293" s="5" t="n">
        <v>0.08</v>
      </c>
    </row>
    <row r="294">
      <c r="A294" t="n">
        <v>293</v>
      </c>
      <c r="B294" t="n">
        <v>2012</v>
      </c>
      <c r="C294" t="inlineStr">
        <is>
          <t>MICHELLE OREANE OLA ECHAO</t>
        </is>
      </c>
      <c r="D294">
        <f>HYPERLINK("https://ota.tournamentsoftware.com/player-profile/50FA5AE5-9557-483C-94FB-05937E25C837", "Link")</f>
        <v/>
      </c>
      <c r="E294" s="3" t="n">
        <v>241.101</v>
      </c>
      <c r="F294" s="4" t="n">
        <v>10</v>
      </c>
      <c r="G294" t="inlineStr">
        <is>
          <t>Ontario Tennis Association</t>
        </is>
      </c>
      <c r="H294" t="inlineStr">
        <is>
          <t>Rideau Sports Centre</t>
        </is>
      </c>
      <c r="I294" t="n">
        <v>36.9</v>
      </c>
      <c r="J294" s="4" t="n">
        <v>55</v>
      </c>
      <c r="K294" t="inlineStr">
        <is>
          <t>12 / 43</t>
        </is>
      </c>
      <c r="L294" t="inlineStr">
        <is>
          <t>3 / 8</t>
        </is>
      </c>
      <c r="M294" s="5" t="n">
        <v>0.22</v>
      </c>
      <c r="N294" s="5" t="n">
        <v>0.27</v>
      </c>
    </row>
    <row r="295">
      <c r="A295" t="n">
        <v>294</v>
      </c>
      <c r="B295" t="n">
        <v>2015</v>
      </c>
      <c r="C295" t="inlineStr">
        <is>
          <t>Liana Arendain</t>
        </is>
      </c>
      <c r="D295">
        <f>HYPERLINK("https://ota.tournamentsoftware.com/player-profile/2D89D481-D621-43AF-8792-3F0114FE4D77", "Link")</f>
        <v/>
      </c>
      <c r="E295" s="3" t="n">
        <v>238.244</v>
      </c>
      <c r="F295" s="4" t="n">
        <v>20</v>
      </c>
      <c r="G295" t="inlineStr">
        <is>
          <t>Tennis Alberta</t>
        </is>
      </c>
      <c r="H295" t="inlineStr">
        <is>
          <t>Saville Community Sports Centre</t>
        </is>
      </c>
      <c r="I295" t="n">
        <v>31</v>
      </c>
      <c r="J295" s="4" t="n">
        <v>147</v>
      </c>
      <c r="K295" t="inlineStr">
        <is>
          <t>100 / 47</t>
        </is>
      </c>
      <c r="L295" t="inlineStr">
        <is>
          <t>33 / 19</t>
        </is>
      </c>
      <c r="M295" s="5" t="n">
        <v>0.68</v>
      </c>
      <c r="N295" s="5" t="n">
        <v>0.63</v>
      </c>
    </row>
    <row r="296">
      <c r="A296" t="n">
        <v>295</v>
      </c>
      <c r="B296" t="n">
        <v>2012</v>
      </c>
      <c r="C296" t="inlineStr">
        <is>
          <t>Ariella Wainer</t>
        </is>
      </c>
      <c r="D296">
        <f>HYPERLINK("https://ota.tournamentsoftware.com/player-profile/29A07F50-E6F3-4FFE-84BF-31DB048552D6", "Link")</f>
        <v/>
      </c>
      <c r="E296" s="3" t="n">
        <v>238.158</v>
      </c>
      <c r="F296" s="4" t="n">
        <v>22</v>
      </c>
      <c r="G296" t="inlineStr">
        <is>
          <t>Tennis Québec</t>
        </is>
      </c>
      <c r="H296" t="inlineStr">
        <is>
          <t>Club Sportif Côte-de-Liesse</t>
        </is>
      </c>
      <c r="I296" t="n">
        <v>34.8</v>
      </c>
      <c r="J296" s="4" t="n">
        <v>169</v>
      </c>
      <c r="K296" t="inlineStr">
        <is>
          <t>57 / 112</t>
        </is>
      </c>
      <c r="L296" t="inlineStr">
        <is>
          <t>3 / 17</t>
        </is>
      </c>
      <c r="M296" s="5" t="n">
        <v>0.34</v>
      </c>
      <c r="N296" s="5" t="n">
        <v>0.15</v>
      </c>
    </row>
    <row r="297">
      <c r="A297" t="n">
        <v>296</v>
      </c>
      <c r="B297" t="n">
        <v>2015</v>
      </c>
      <c r="C297" t="inlineStr">
        <is>
          <t>Violetta Munoz</t>
        </is>
      </c>
      <c r="D297">
        <f>HYPERLINK("https://ota.tournamentsoftware.com/player-profile/55FD2B42-2961-45DA-8250-9ECCED0E6566", "Link")</f>
        <v/>
      </c>
      <c r="E297" s="3" t="n">
        <v>236.517</v>
      </c>
      <c r="F297" s="4" t="n">
        <v>23</v>
      </c>
      <c r="G297" t="inlineStr">
        <is>
          <t>Tennis Québec</t>
        </is>
      </c>
      <c r="H297" t="inlineStr">
        <is>
          <t>Carrefour Multisports</t>
        </is>
      </c>
      <c r="I297" t="n">
        <v>32</v>
      </c>
      <c r="J297" s="4" t="n">
        <v>176</v>
      </c>
      <c r="K297" t="inlineStr">
        <is>
          <t>93 / 83</t>
        </is>
      </c>
      <c r="L297" t="inlineStr">
        <is>
          <t>22 / 18</t>
        </is>
      </c>
      <c r="M297" s="5" t="n">
        <v>0.53</v>
      </c>
      <c r="N297" s="5" t="n">
        <v>0.55</v>
      </c>
    </row>
    <row r="298">
      <c r="A298" t="n">
        <v>297</v>
      </c>
      <c r="B298" t="n">
        <v>2014</v>
      </c>
      <c r="C298" t="inlineStr">
        <is>
          <t>Penelope Anne McMillan</t>
        </is>
      </c>
      <c r="D298">
        <f>HYPERLINK("https://ota.tournamentsoftware.com/player-profile/D7699338-4FE5-4F30-9A7D-8E14842C2A9B", "Link")</f>
        <v/>
      </c>
      <c r="E298" s="3" t="n">
        <v>235.813</v>
      </c>
      <c r="F298" s="4" t="n">
        <v>8</v>
      </c>
      <c r="G298" t="inlineStr">
        <is>
          <t>Tennis Nova Scotia</t>
        </is>
      </c>
      <c r="H298" t="inlineStr">
        <is>
          <t>Atlantic Tennis Centre</t>
        </is>
      </c>
      <c r="I298" t="n">
        <v>35.7</v>
      </c>
      <c r="J298" s="4" t="n">
        <v>110</v>
      </c>
      <c r="K298" t="inlineStr">
        <is>
          <t>46 / 64</t>
        </is>
      </c>
      <c r="L298" t="inlineStr">
        <is>
          <t>16 / 24</t>
        </is>
      </c>
      <c r="M298" s="5" t="n">
        <v>0.42</v>
      </c>
      <c r="N298" s="5" t="n">
        <v>0.4</v>
      </c>
    </row>
    <row r="299">
      <c r="A299" t="n">
        <v>298</v>
      </c>
      <c r="B299" t="n">
        <v>2012</v>
      </c>
      <c r="C299" t="inlineStr">
        <is>
          <t>Eva Brisson</t>
        </is>
      </c>
      <c r="D299">
        <f>HYPERLINK("https://ota.tournamentsoftware.com/player-profile/BC349487-CEB9-4CB8-ABCF-1006DD0F69AA", "Link")</f>
        <v/>
      </c>
      <c r="E299" s="3" t="n">
        <v>235.096</v>
      </c>
      <c r="F299" s="4" t="n">
        <v>22</v>
      </c>
      <c r="G299" t="inlineStr">
        <is>
          <t>Tennis Québec</t>
        </is>
      </c>
      <c r="H299" t="inlineStr">
        <is>
          <t>Club Sportif Côte-de-Liesse</t>
        </is>
      </c>
      <c r="I299" t="n">
        <v>32.6</v>
      </c>
      <c r="J299" s="4" t="n">
        <v>141</v>
      </c>
      <c r="K299" t="inlineStr">
        <is>
          <t>58 / 83</t>
        </is>
      </c>
      <c r="L299" t="inlineStr">
        <is>
          <t>12 / 15</t>
        </is>
      </c>
      <c r="M299" s="5" t="n">
        <v>0.41</v>
      </c>
      <c r="N299" s="5" t="n">
        <v>0.44</v>
      </c>
    </row>
    <row r="300">
      <c r="A300" t="n">
        <v>299</v>
      </c>
      <c r="B300" t="n">
        <v>2013</v>
      </c>
      <c r="C300" t="inlineStr">
        <is>
          <t>Hazel Sharma</t>
        </is>
      </c>
      <c r="D300">
        <f>HYPERLINK("https://ota.tournamentsoftware.com/player-profile/114D9BCA-C6DA-49E0-9F64-5FB54E5B0E3E", "Link")</f>
        <v/>
      </c>
      <c r="E300" s="3" t="n">
        <v>234.934</v>
      </c>
      <c r="F300" s="4" t="n">
        <v>16</v>
      </c>
      <c r="G300" t="inlineStr">
        <is>
          <t>British Columbia</t>
        </is>
      </c>
      <c r="H300" t="inlineStr">
        <is>
          <t>The Tennis Centre</t>
        </is>
      </c>
      <c r="I300" t="n">
        <v>32.5</v>
      </c>
      <c r="J300" s="4" t="n">
        <v>192</v>
      </c>
      <c r="K300" t="inlineStr">
        <is>
          <t>85 / 107</t>
        </is>
      </c>
      <c r="L300" t="inlineStr">
        <is>
          <t>16 / 12</t>
        </is>
      </c>
      <c r="M300" s="5" t="n">
        <v>0.44</v>
      </c>
      <c r="N300" s="5" t="n">
        <v>0.57</v>
      </c>
    </row>
    <row r="301">
      <c r="A301" t="n">
        <v>300</v>
      </c>
      <c r="B301" t="n">
        <v>2016</v>
      </c>
      <c r="C301" t="inlineStr">
        <is>
          <t>Victoria Chang</t>
        </is>
      </c>
      <c r="D301">
        <f>HYPERLINK("https://ota.tournamentsoftware.com/player-profile/A391B4A7-44C6-4D9F-9A04-161A8B22E0C3", "Link")</f>
        <v/>
      </c>
      <c r="E301" s="3" t="n">
        <v>234.277</v>
      </c>
      <c r="F301" s="4" t="n">
        <v>17</v>
      </c>
      <c r="G301" t="inlineStr">
        <is>
          <t>Ontario Tennis Association</t>
        </is>
      </c>
      <c r="H301" t="inlineStr">
        <is>
          <t>Richmond Hill Country Club</t>
        </is>
      </c>
      <c r="I301" t="n">
        <v>31.4</v>
      </c>
      <c r="J301" s="4" t="n">
        <v>117</v>
      </c>
      <c r="K301" t="inlineStr">
        <is>
          <t>90 / 27</t>
        </is>
      </c>
      <c r="L301" t="inlineStr">
        <is>
          <t>42 / 11</t>
        </is>
      </c>
      <c r="M301" s="5" t="n">
        <v>0.77</v>
      </c>
      <c r="N301" s="5" t="n">
        <v>0.79</v>
      </c>
    </row>
    <row r="302">
      <c r="A302" t="n">
        <v>301</v>
      </c>
      <c r="B302" t="n">
        <v>2015</v>
      </c>
      <c r="C302" t="inlineStr">
        <is>
          <t>ESTHER HAO</t>
        </is>
      </c>
      <c r="D302">
        <f>HYPERLINK("https://ota.tournamentsoftware.com/player-profile/8EA584DE-3986-4803-A3AA-F96230F853A7", "Link")</f>
        <v/>
      </c>
      <c r="E302" s="3" t="n">
        <v>233.33</v>
      </c>
      <c r="F302" s="4" t="n">
        <v>18</v>
      </c>
      <c r="G302" t="inlineStr">
        <is>
          <t>Ontario Tennis Association</t>
        </is>
      </c>
      <c r="H302" t="inlineStr">
        <is>
          <t>Ontario Racquet Club</t>
        </is>
      </c>
      <c r="I302" t="n">
        <v>34.2</v>
      </c>
      <c r="J302" s="4" t="n">
        <v>215</v>
      </c>
      <c r="K302" t="inlineStr">
        <is>
          <t>131 / 84</t>
        </is>
      </c>
      <c r="L302" t="inlineStr">
        <is>
          <t>9 / 9</t>
        </is>
      </c>
      <c r="M302" s="5" t="n">
        <v>0.61</v>
      </c>
      <c r="N302" s="5" t="n">
        <v>0.5</v>
      </c>
    </row>
    <row r="303">
      <c r="A303" t="n">
        <v>302</v>
      </c>
      <c r="B303" t="n">
        <v>2015</v>
      </c>
      <c r="C303" t="inlineStr">
        <is>
          <t>Navena Thelepan</t>
        </is>
      </c>
      <c r="D303">
        <f>HYPERLINK("https://ota.tournamentsoftware.com/player-profile/811C2EA5-51E7-4FDE-BF82-1DF3D9D0AD27", "Link")</f>
        <v/>
      </c>
      <c r="E303" s="3" t="n">
        <v>231.661</v>
      </c>
      <c r="F303" s="4" t="n">
        <v>41</v>
      </c>
      <c r="G303" t="inlineStr">
        <is>
          <t>Ontario Tennis Association</t>
        </is>
      </c>
      <c r="H303" t="inlineStr">
        <is>
          <t>Markham Tennis Club</t>
        </is>
      </c>
      <c r="I303" t="n">
        <v>36.2</v>
      </c>
      <c r="J303" s="4" t="n">
        <v>142</v>
      </c>
      <c r="K303" t="inlineStr">
        <is>
          <t>64 / 78</t>
        </is>
      </c>
      <c r="L303" t="inlineStr">
        <is>
          <t>20 / 41</t>
        </is>
      </c>
      <c r="M303" s="5" t="n">
        <v>0.45</v>
      </c>
      <c r="N303" s="5" t="n">
        <v>0.33</v>
      </c>
    </row>
    <row r="304">
      <c r="A304" t="n">
        <v>303</v>
      </c>
      <c r="B304" t="n">
        <v>2015</v>
      </c>
      <c r="C304" t="inlineStr">
        <is>
          <t>Lacey Isabella Ly</t>
        </is>
      </c>
      <c r="D304">
        <f>HYPERLINK("https://ota.tournamentsoftware.com/player-profile/878918D3-5C76-4815-A98A-1D1A49BFC21F", "Link")</f>
        <v/>
      </c>
      <c r="E304" s="3" t="n">
        <v>231.26</v>
      </c>
      <c r="F304" s="4" t="n">
        <v>12</v>
      </c>
      <c r="G304" t="inlineStr">
        <is>
          <t>British Columbia</t>
        </is>
      </c>
      <c r="H304" t="inlineStr">
        <is>
          <t>The Tennis Centre</t>
        </is>
      </c>
      <c r="I304" t="n">
        <v>30.8</v>
      </c>
      <c r="J304" s="4" t="n">
        <v>133</v>
      </c>
      <c r="K304" t="inlineStr">
        <is>
          <t>100 / 33</t>
        </is>
      </c>
      <c r="L304" t="inlineStr">
        <is>
          <t>23 / 9</t>
        </is>
      </c>
      <c r="M304" s="5" t="n">
        <v>0.75</v>
      </c>
      <c r="N304" s="5" t="n">
        <v>0.72</v>
      </c>
    </row>
    <row r="305">
      <c r="A305" t="n">
        <v>304</v>
      </c>
      <c r="B305" t="n">
        <v>2014</v>
      </c>
      <c r="C305" t="inlineStr">
        <is>
          <t>Candice YAO</t>
        </is>
      </c>
      <c r="D305">
        <f>HYPERLINK("https://ota.tournamentsoftware.com/player-profile/2EEE6D95-1504-4E36-A996-F48A3CD7FC03", "Link")</f>
        <v/>
      </c>
      <c r="E305" s="3" t="n">
        <v>231.193</v>
      </c>
      <c r="F305" s="4" t="n">
        <v>17</v>
      </c>
      <c r="G305" t="inlineStr">
        <is>
          <t>Ontario Tennis Association</t>
        </is>
      </c>
      <c r="H305" t="inlineStr">
        <is>
          <t>Richmondhill Golf &amp; Country Club</t>
        </is>
      </c>
      <c r="I305" t="n">
        <v>32.7</v>
      </c>
      <c r="J305" s="4" t="n">
        <v>91</v>
      </c>
      <c r="K305" t="inlineStr">
        <is>
          <t>40 / 51</t>
        </is>
      </c>
      <c r="L305" t="inlineStr">
        <is>
          <t>16 / 12</t>
        </is>
      </c>
      <c r="M305" s="5" t="n">
        <v>0.44</v>
      </c>
      <c r="N305" s="5" t="n">
        <v>0.57</v>
      </c>
    </row>
    <row r="306">
      <c r="A306" t="n">
        <v>305</v>
      </c>
      <c r="B306" t="n">
        <v>2014</v>
      </c>
      <c r="C306" t="inlineStr">
        <is>
          <t>Aryella Ainame Duran Khongwir</t>
        </is>
      </c>
      <c r="D306">
        <f>HYPERLINK("https://ota.tournamentsoftware.com/player-profile/6DB3D46F-3C74-400D-92A4-62CF55426936", "Link")</f>
        <v/>
      </c>
      <c r="E306" s="3" t="n">
        <v>230.594</v>
      </c>
      <c r="F306" s="4" t="n">
        <v>19</v>
      </c>
      <c r="G306" t="inlineStr">
        <is>
          <t>Ontario Tennis Association</t>
        </is>
      </c>
      <c r="H306" t="inlineStr">
        <is>
          <t>Stefanovic Tennis Academy</t>
        </is>
      </c>
      <c r="I306" t="n">
        <v>33.5</v>
      </c>
      <c r="J306" s="4" t="n">
        <v>176</v>
      </c>
      <c r="K306" t="inlineStr">
        <is>
          <t>50 / 126</t>
        </is>
      </c>
      <c r="L306" t="inlineStr">
        <is>
          <t>16 / 14</t>
        </is>
      </c>
      <c r="M306" s="5" t="n">
        <v>0.28</v>
      </c>
      <c r="N306" s="5" t="n">
        <v>0.53</v>
      </c>
    </row>
    <row r="307">
      <c r="A307" t="n">
        <v>306</v>
      </c>
      <c r="B307" t="n">
        <v>2014</v>
      </c>
      <c r="C307" t="inlineStr">
        <is>
          <t>Dora Zhang</t>
        </is>
      </c>
      <c r="D307">
        <f>HYPERLINK("https://ota.tournamentsoftware.com/player-profile/3772BD57-A73E-4652-86C8-E1885FE20DCF", "Link")</f>
        <v/>
      </c>
      <c r="E307" s="3" t="n">
        <v>230.464</v>
      </c>
      <c r="F307" s="4" t="n">
        <v>18</v>
      </c>
      <c r="G307" t="inlineStr">
        <is>
          <t>Ontario Tennis Association</t>
        </is>
      </c>
      <c r="H307" t="inlineStr">
        <is>
          <t>Toronto Tennis City</t>
        </is>
      </c>
      <c r="I307" t="n">
        <v>33.1</v>
      </c>
      <c r="J307" s="4" t="n">
        <v>50</v>
      </c>
      <c r="K307" t="inlineStr">
        <is>
          <t>36 / 14</t>
        </is>
      </c>
      <c r="L307" t="inlineStr">
        <is>
          <t>5 / 4</t>
        </is>
      </c>
      <c r="M307" s="5" t="n">
        <v>0.72</v>
      </c>
      <c r="N307" s="5" t="n">
        <v>0.5600000000000001</v>
      </c>
    </row>
    <row r="308">
      <c r="A308" t="n">
        <v>307</v>
      </c>
      <c r="B308" t="n">
        <v>2012</v>
      </c>
      <c r="C308" t="inlineStr">
        <is>
          <t>Jamie Cui</t>
        </is>
      </c>
      <c r="D308">
        <f>HYPERLINK("https://ota.tournamentsoftware.com/player-profile/6F7B90A5-BECB-44C9-9B4E-74FED8443672", "Link")</f>
        <v/>
      </c>
      <c r="E308" s="3" t="n">
        <v>228.114</v>
      </c>
      <c r="F308" s="4" t="n">
        <v>20</v>
      </c>
      <c r="G308" t="inlineStr">
        <is>
          <t>British Columbia</t>
        </is>
      </c>
      <c r="H308" t="inlineStr">
        <is>
          <t>Coquitlam Tennis Club</t>
        </is>
      </c>
      <c r="I308" t="inlineStr">
        <is>
          <t>unavailable</t>
        </is>
      </c>
      <c r="J308" s="4" t="n">
        <v>169</v>
      </c>
      <c r="K308" t="inlineStr">
        <is>
          <t>46 / 123</t>
        </is>
      </c>
      <c r="L308" t="inlineStr">
        <is>
          <t>9 / 20</t>
        </is>
      </c>
      <c r="M308" s="5" t="n">
        <v>0.27</v>
      </c>
      <c r="N308" s="5" t="n">
        <v>0.31</v>
      </c>
    </row>
    <row r="309">
      <c r="A309" t="n">
        <v>308</v>
      </c>
      <c r="B309" t="n">
        <v>2012</v>
      </c>
      <c r="C309" t="inlineStr">
        <is>
          <t>Saroop Randhawa</t>
        </is>
      </c>
      <c r="D309">
        <f>HYPERLINK("https://ota.tournamentsoftware.com/player-profile/5F710ADB-6059-4376-8917-220BAD95C9B2", "Link")</f>
        <v/>
      </c>
      <c r="E309" s="3" t="n">
        <v>228</v>
      </c>
      <c r="F309" s="4" t="n">
        <v>2</v>
      </c>
      <c r="G309" t="inlineStr">
        <is>
          <t>Ontario Tennis Association</t>
        </is>
      </c>
      <c r="H309" t="inlineStr">
        <is>
          <t>Advantage Tennis International at Veneto</t>
        </is>
      </c>
      <c r="I309" t="n">
        <v>21.8</v>
      </c>
      <c r="J309" s="4" t="n">
        <v>153</v>
      </c>
      <c r="K309" t="inlineStr">
        <is>
          <t>114 / 39</t>
        </is>
      </c>
      <c r="L309" t="inlineStr">
        <is>
          <t>5 / 0</t>
        </is>
      </c>
      <c r="M309" s="5" t="n">
        <v>0.75</v>
      </c>
      <c r="N309" s="5" t="n">
        <v>1</v>
      </c>
    </row>
    <row r="310">
      <c r="A310" t="n">
        <v>309</v>
      </c>
      <c r="B310" t="n">
        <v>2012</v>
      </c>
      <c r="C310" t="inlineStr">
        <is>
          <t>Louanna Perron</t>
        </is>
      </c>
      <c r="D310">
        <f>HYPERLINK("https://ota.tournamentsoftware.com/player-profile/0D5BD355-F71F-4A8A-B269-0D225B56C809", "Link")</f>
        <v/>
      </c>
      <c r="E310" s="3" t="n">
        <v>227.848</v>
      </c>
      <c r="F310" s="4" t="n">
        <v>10</v>
      </c>
      <c r="G310" t="inlineStr">
        <is>
          <t>Tennis Québec</t>
        </is>
      </c>
      <c r="H310" t="inlineStr">
        <is>
          <t>Tennis 13 / Académie Ménard et associé</t>
        </is>
      </c>
      <c r="I310" t="n">
        <v>33.1</v>
      </c>
      <c r="J310" s="4" t="n">
        <v>21</v>
      </c>
      <c r="K310" t="inlineStr">
        <is>
          <t>9 / 12</t>
        </is>
      </c>
      <c r="L310" t="inlineStr">
        <is>
          <t>3 / 6</t>
        </is>
      </c>
      <c r="M310" s="5" t="n">
        <v>0.43</v>
      </c>
      <c r="N310" s="5" t="n">
        <v>0.33</v>
      </c>
    </row>
    <row r="311">
      <c r="A311" t="n">
        <v>310</v>
      </c>
      <c r="B311" t="n">
        <v>2015</v>
      </c>
      <c r="C311" t="inlineStr">
        <is>
          <t>MASAL ELA YAZICI</t>
        </is>
      </c>
      <c r="D311">
        <f>HYPERLINK("https://ota.tournamentsoftware.com/player-profile/8556435C-B5F1-47A5-8C4A-46AF5B800D78", "Link")</f>
        <v/>
      </c>
      <c r="E311" s="3" t="n">
        <v>223.946</v>
      </c>
      <c r="F311" s="4" t="n">
        <v>19</v>
      </c>
      <c r="G311" t="inlineStr">
        <is>
          <t>Ontario Tennis Association</t>
        </is>
      </c>
      <c r="H311" t="inlineStr">
        <is>
          <t>Mayfair West Fitness &amp; Racquet Club</t>
        </is>
      </c>
      <c r="I311" t="n">
        <v>33.8</v>
      </c>
      <c r="J311" s="4" t="n">
        <v>57</v>
      </c>
      <c r="K311" t="inlineStr">
        <is>
          <t>35 / 22</t>
        </is>
      </c>
      <c r="L311" t="inlineStr">
        <is>
          <t>27 / 15</t>
        </is>
      </c>
      <c r="M311" s="5" t="n">
        <v>0.61</v>
      </c>
      <c r="N311" s="5" t="n">
        <v>0.64</v>
      </c>
    </row>
    <row r="312">
      <c r="A312" t="n">
        <v>311</v>
      </c>
      <c r="B312" t="n">
        <v>2013</v>
      </c>
      <c r="C312" t="inlineStr">
        <is>
          <t>Makayla Najjar</t>
        </is>
      </c>
      <c r="D312">
        <f>HYPERLINK("https://ota.tournamentsoftware.com/player-profile/A931D3E2-A84F-4018-9B2A-A1664811863E", "Link")</f>
        <v/>
      </c>
      <c r="E312" s="3" t="n">
        <v>219.584</v>
      </c>
      <c r="F312" s="4" t="n">
        <v>13</v>
      </c>
      <c r="G312" t="inlineStr">
        <is>
          <t>Ontario Tennis Association</t>
        </is>
      </c>
      <c r="H312" t="inlineStr">
        <is>
          <t>Premier Racquet Clubs – Mississauga</t>
        </is>
      </c>
      <c r="I312" t="n">
        <v>33.3</v>
      </c>
      <c r="J312" s="4" t="n">
        <v>90</v>
      </c>
      <c r="K312" t="inlineStr">
        <is>
          <t>60 / 30</t>
        </is>
      </c>
      <c r="L312" t="inlineStr">
        <is>
          <t>17 / 11</t>
        </is>
      </c>
      <c r="M312" s="5" t="n">
        <v>0.67</v>
      </c>
      <c r="N312" s="5" t="n">
        <v>0.61</v>
      </c>
    </row>
    <row r="313">
      <c r="A313" t="n">
        <v>312</v>
      </c>
      <c r="B313" t="n">
        <v>2015</v>
      </c>
      <c r="C313" t="inlineStr">
        <is>
          <t>Mikaëlla Jean-Bart</t>
        </is>
      </c>
      <c r="D313">
        <f>HYPERLINK("https://ota.tournamentsoftware.com/player-profile/5309814B-24E5-4F46-920F-74FD0DAF8C7D", "Link")</f>
        <v/>
      </c>
      <c r="E313" s="3" t="n">
        <v>218.826</v>
      </c>
      <c r="F313" s="4" t="n">
        <v>15</v>
      </c>
      <c r="G313" t="inlineStr">
        <is>
          <t>Tennis Québec</t>
        </is>
      </c>
      <c r="H313" t="inlineStr">
        <is>
          <t>Centre récréatif de Repentigny / Académie Tennis Momentum</t>
        </is>
      </c>
      <c r="I313" t="n">
        <v>33.7</v>
      </c>
      <c r="J313" s="4" t="n">
        <v>75</v>
      </c>
      <c r="K313" t="inlineStr">
        <is>
          <t>32 / 43</t>
        </is>
      </c>
      <c r="L313" t="inlineStr">
        <is>
          <t>15 / 15</t>
        </is>
      </c>
      <c r="M313" s="5" t="n">
        <v>0.43</v>
      </c>
      <c r="N313" s="5" t="n">
        <v>0.5</v>
      </c>
    </row>
    <row r="314">
      <c r="A314" t="n">
        <v>313</v>
      </c>
      <c r="B314" t="n">
        <v>2012</v>
      </c>
      <c r="C314" t="inlineStr">
        <is>
          <t>Charlotte Gal</t>
        </is>
      </c>
      <c r="D314">
        <f>HYPERLINK("https://ota.tournamentsoftware.com/player-profile/EF0AF614-E6CE-4E3C-9FC4-7EF8A5EB6B57", "Link")</f>
        <v/>
      </c>
      <c r="E314" s="3" t="n">
        <v>218.581</v>
      </c>
      <c r="F314" s="4" t="n">
        <v>3</v>
      </c>
      <c r="G314" t="inlineStr">
        <is>
          <t>Tennis Nova Scotia</t>
        </is>
      </c>
      <c r="H314" t="inlineStr">
        <is>
          <t>HEADSTART</t>
        </is>
      </c>
      <c r="I314" t="n">
        <v>37.1</v>
      </c>
      <c r="J314" s="4" t="n">
        <v>24</v>
      </c>
      <c r="K314" t="inlineStr">
        <is>
          <t>6 / 18</t>
        </is>
      </c>
      <c r="L314" t="inlineStr">
        <is>
          <t>2 / 12</t>
        </is>
      </c>
      <c r="M314" s="5" t="n">
        <v>0.25</v>
      </c>
      <c r="N314" s="5" t="n">
        <v>0.14</v>
      </c>
    </row>
    <row r="315">
      <c r="A315" t="n">
        <v>314</v>
      </c>
      <c r="B315" t="n">
        <v>2013</v>
      </c>
      <c r="C315" t="inlineStr">
        <is>
          <t>Helena Shengyi Chen</t>
        </is>
      </c>
      <c r="D315">
        <f>HYPERLINK("https://ota.tournamentsoftware.com/player-profile/097D6397-0826-4C15-948E-B983C1D748F4", "Link")</f>
        <v/>
      </c>
      <c r="E315" s="3" t="n">
        <v>218.438</v>
      </c>
      <c r="F315" s="4" t="n">
        <v>15</v>
      </c>
      <c r="G315" t="inlineStr">
        <is>
          <t>British Columbia</t>
        </is>
      </c>
      <c r="H315" t="inlineStr">
        <is>
          <t>Tennis BC Hub @ Richmond</t>
        </is>
      </c>
      <c r="I315" t="n">
        <v>32.8</v>
      </c>
      <c r="J315" s="4" t="n">
        <v>118</v>
      </c>
      <c r="K315" t="inlineStr">
        <is>
          <t>50 / 68</t>
        </is>
      </c>
      <c r="L315" t="inlineStr">
        <is>
          <t>13 / 17</t>
        </is>
      </c>
      <c r="M315" s="5" t="n">
        <v>0.42</v>
      </c>
      <c r="N315" s="5" t="n">
        <v>0.43</v>
      </c>
    </row>
    <row r="316">
      <c r="A316" t="n">
        <v>315</v>
      </c>
      <c r="B316" t="n">
        <v>2013</v>
      </c>
      <c r="C316" t="inlineStr">
        <is>
          <t>Léa Crépault</t>
        </is>
      </c>
      <c r="D316">
        <f>HYPERLINK("https://ota.tournamentsoftware.com/player-profile/A3D2A82D-C6E8-410C-A1B3-E5DC3B845B7A", "Link")</f>
        <v/>
      </c>
      <c r="E316" s="3" t="n">
        <v>217.722</v>
      </c>
      <c r="F316" s="4" t="n">
        <v>19</v>
      </c>
      <c r="G316" t="inlineStr">
        <is>
          <t>Tennis Québec</t>
        </is>
      </c>
      <c r="H316" t="inlineStr">
        <is>
          <t>EB Tennis inc.</t>
        </is>
      </c>
      <c r="I316" t="n">
        <v>34.2</v>
      </c>
      <c r="J316" s="4" t="n">
        <v>155</v>
      </c>
      <c r="K316" t="inlineStr">
        <is>
          <t>44 / 111</t>
        </is>
      </c>
      <c r="L316" t="inlineStr">
        <is>
          <t>8 / 12</t>
        </is>
      </c>
      <c r="M316" s="5" t="n">
        <v>0.28</v>
      </c>
      <c r="N316" s="5" t="n">
        <v>0.4</v>
      </c>
    </row>
    <row r="317">
      <c r="A317" t="n">
        <v>316</v>
      </c>
      <c r="B317" t="n">
        <v>2014</v>
      </c>
      <c r="C317" t="inlineStr">
        <is>
          <t>Skylar Isabelle JOHNSTON</t>
        </is>
      </c>
      <c r="D317">
        <f>HYPERLINK("https://ota.tournamentsoftware.com/player-profile/18CCEC3F-12DA-4A55-A300-393E64FB4F6E", "Link")</f>
        <v/>
      </c>
      <c r="E317" s="3" t="n">
        <v>216.396</v>
      </c>
      <c r="F317" s="4" t="n">
        <v>11</v>
      </c>
      <c r="G317" t="inlineStr">
        <is>
          <t>Tennis Nova Scotia</t>
        </is>
      </c>
      <c r="H317" t="inlineStr">
        <is>
          <t>Gordon Hughes Tennis Club</t>
        </is>
      </c>
      <c r="I317" t="n">
        <v>32.9</v>
      </c>
      <c r="J317" s="4" t="n">
        <v>93</v>
      </c>
      <c r="K317" t="inlineStr">
        <is>
          <t>46 / 47</t>
        </is>
      </c>
      <c r="L317" t="inlineStr">
        <is>
          <t>25 / 14</t>
        </is>
      </c>
      <c r="M317" s="5" t="n">
        <v>0.49</v>
      </c>
      <c r="N317" s="5" t="n">
        <v>0.64</v>
      </c>
    </row>
    <row r="318">
      <c r="A318" t="n">
        <v>317</v>
      </c>
      <c r="B318" t="n">
        <v>2015</v>
      </c>
      <c r="C318" t="inlineStr">
        <is>
          <t>Daniella Lynne Lee</t>
        </is>
      </c>
      <c r="D318">
        <f>HYPERLINK("https://ota.tournamentsoftware.com/player-profile/92FC49CB-246B-48E6-ABC3-903AA780449F", "Link")</f>
        <v/>
      </c>
      <c r="E318" s="3" t="n">
        <v>215.601</v>
      </c>
      <c r="F318" s="4" t="n">
        <v>27</v>
      </c>
      <c r="G318" t="inlineStr">
        <is>
          <t>British Columbia</t>
        </is>
      </c>
      <c r="H318" t="inlineStr">
        <is>
          <t>Arbutus Club</t>
        </is>
      </c>
      <c r="I318" t="n">
        <v>32.4</v>
      </c>
      <c r="J318" s="4" t="n">
        <v>127</v>
      </c>
      <c r="K318" t="inlineStr">
        <is>
          <t>65 / 62</t>
        </is>
      </c>
      <c r="L318" t="inlineStr">
        <is>
          <t>26 / 23</t>
        </is>
      </c>
      <c r="M318" s="5" t="n">
        <v>0.51</v>
      </c>
      <c r="N318" s="5" t="n">
        <v>0.53</v>
      </c>
    </row>
    <row r="319">
      <c r="A319" t="n">
        <v>318</v>
      </c>
      <c r="B319" t="n">
        <v>2015</v>
      </c>
      <c r="C319" t="inlineStr">
        <is>
          <t>Yasmine Maazouz</t>
        </is>
      </c>
      <c r="D319">
        <f>HYPERLINK("https://ota.tournamentsoftware.com/player-profile/004E04F8-71A7-4C1F-B42C-805F1590C456", "Link")</f>
        <v/>
      </c>
      <c r="E319" s="3" t="n">
        <v>215.212</v>
      </c>
      <c r="F319" s="4" t="n">
        <v>8</v>
      </c>
      <c r="G319" t="inlineStr">
        <is>
          <t>Tennis Québec</t>
        </is>
      </c>
      <c r="H319" t="inlineStr">
        <is>
          <t>Tennis Montréal Excellence</t>
        </is>
      </c>
      <c r="I319" t="n">
        <v>31.3</v>
      </c>
      <c r="J319" s="4" t="n">
        <v>115</v>
      </c>
      <c r="K319" t="inlineStr">
        <is>
          <t>69 / 46</t>
        </is>
      </c>
      <c r="L319" t="inlineStr">
        <is>
          <t>20 / 7</t>
        </is>
      </c>
      <c r="M319" s="5" t="n">
        <v>0.6</v>
      </c>
      <c r="N319" s="5" t="n">
        <v>0.74</v>
      </c>
    </row>
    <row r="320">
      <c r="A320" t="n">
        <v>319</v>
      </c>
      <c r="B320" t="n">
        <v>2013</v>
      </c>
      <c r="C320" t="inlineStr">
        <is>
          <t>Annabelle Chen</t>
        </is>
      </c>
      <c r="D320">
        <f>HYPERLINK("https://ota.tournamentsoftware.com/player-profile/E532A343-867C-4B97-BCB3-998A28EC84A8", "Link")</f>
        <v/>
      </c>
      <c r="E320" s="3" t="n">
        <v>212.416</v>
      </c>
      <c r="F320" s="4" t="n">
        <v>9</v>
      </c>
      <c r="G320" t="inlineStr">
        <is>
          <t>British Columbia</t>
        </is>
      </c>
      <c r="H320" t="inlineStr">
        <is>
          <t>UBC Tennis Centre</t>
        </is>
      </c>
      <c r="I320" t="n">
        <v>32</v>
      </c>
      <c r="J320" s="4" t="n">
        <v>152</v>
      </c>
      <c r="K320" t="inlineStr">
        <is>
          <t>84 / 68</t>
        </is>
      </c>
      <c r="L320" t="inlineStr">
        <is>
          <t>0 / 4</t>
        </is>
      </c>
      <c r="M320" s="5" t="n">
        <v>0.55</v>
      </c>
      <c r="N320" s="5" t="n">
        <v>0</v>
      </c>
    </row>
    <row r="321">
      <c r="A321" t="n">
        <v>320</v>
      </c>
      <c r="B321" t="n">
        <v>2015</v>
      </c>
      <c r="C321" t="inlineStr">
        <is>
          <t>Kiyara Dinuli Hinidumarachchi</t>
        </is>
      </c>
      <c r="D321">
        <f>HYPERLINK("https://ota.tournamentsoftware.com/player-profile/FD2638E4-B06D-478E-9F5A-FE51B9EC8DF8", "Link")</f>
        <v/>
      </c>
      <c r="E321" s="3" t="n">
        <v>211.944</v>
      </c>
      <c r="F321" s="4" t="n">
        <v>17</v>
      </c>
      <c r="G321" t="inlineStr">
        <is>
          <t>Ontario Tennis Association</t>
        </is>
      </c>
      <c r="H321" t="inlineStr">
        <is>
          <t>Sarnia Tennis Club</t>
        </is>
      </c>
      <c r="I321" t="inlineStr">
        <is>
          <t>unavailable</t>
        </is>
      </c>
      <c r="J321" s="4" t="n">
        <v>155</v>
      </c>
      <c r="K321" t="inlineStr">
        <is>
          <t>95 / 60</t>
        </is>
      </c>
      <c r="L321" t="inlineStr">
        <is>
          <t>10 / 14</t>
        </is>
      </c>
      <c r="M321" s="5" t="n">
        <v>0.61</v>
      </c>
      <c r="N321" s="5" t="n">
        <v>0.42</v>
      </c>
    </row>
    <row r="322">
      <c r="A322" t="n">
        <v>321</v>
      </c>
      <c r="B322" t="n">
        <v>2012</v>
      </c>
      <c r="C322" t="inlineStr">
        <is>
          <t>GURMEHR KAUR</t>
        </is>
      </c>
      <c r="D322">
        <f>HYPERLINK("https://ota.tournamentsoftware.com/player-profile/2C69CAA6-FCC8-49BC-ACA2-32F5C15717ED", "Link")</f>
        <v/>
      </c>
      <c r="E322" s="3" t="n">
        <v>210.416</v>
      </c>
      <c r="F322" s="4" t="n">
        <v>19</v>
      </c>
      <c r="G322" t="inlineStr">
        <is>
          <t>British Columbia</t>
        </is>
      </c>
      <c r="H322" t="inlineStr">
        <is>
          <t>Newton Tennis Club</t>
        </is>
      </c>
      <c r="I322" t="n">
        <v>32.4</v>
      </c>
      <c r="J322" s="4" t="n">
        <v>179</v>
      </c>
      <c r="K322" t="inlineStr">
        <is>
          <t>78 / 101</t>
        </is>
      </c>
      <c r="L322" t="inlineStr">
        <is>
          <t>18 / 22</t>
        </is>
      </c>
      <c r="M322" s="5" t="n">
        <v>0.44</v>
      </c>
      <c r="N322" s="5" t="n">
        <v>0.45</v>
      </c>
    </row>
    <row r="323">
      <c r="A323" t="n">
        <v>322</v>
      </c>
      <c r="B323" t="n">
        <v>2015</v>
      </c>
      <c r="C323" t="inlineStr">
        <is>
          <t>Sofia Twynam</t>
        </is>
      </c>
      <c r="D323">
        <f>HYPERLINK("https://ota.tournamentsoftware.com/player-profile/025F0929-F490-4440-8CB6-08E8D1F59F08", "Link")</f>
        <v/>
      </c>
      <c r="E323" s="3" t="n">
        <v>209.039</v>
      </c>
      <c r="F323" s="4" t="n">
        <v>16</v>
      </c>
      <c r="G323" t="inlineStr">
        <is>
          <t>Tennis Québec</t>
        </is>
      </c>
      <c r="H323" t="inlineStr">
        <is>
          <t>SANI Sport</t>
        </is>
      </c>
      <c r="I323" t="n">
        <v>32.2</v>
      </c>
      <c r="J323" s="4" t="n">
        <v>127</v>
      </c>
      <c r="K323" t="inlineStr">
        <is>
          <t>69 / 58</t>
        </is>
      </c>
      <c r="L323" t="inlineStr">
        <is>
          <t>14 / 15</t>
        </is>
      </c>
      <c r="M323" s="5" t="n">
        <v>0.54</v>
      </c>
      <c r="N323" s="5" t="n">
        <v>0.48</v>
      </c>
    </row>
    <row r="324">
      <c r="A324" t="n">
        <v>323</v>
      </c>
      <c r="B324" t="n">
        <v>2014</v>
      </c>
      <c r="C324" t="inlineStr">
        <is>
          <t>Esabel Liu</t>
        </is>
      </c>
      <c r="D324">
        <f>HYPERLINK("https://ota.tournamentsoftware.com/player-profile/03274A3B-556F-4321-880B-2AF255E6A817", "Link")</f>
        <v/>
      </c>
      <c r="E324" s="3" t="n">
        <v>208.86</v>
      </c>
      <c r="F324" s="4" t="n">
        <v>20</v>
      </c>
      <c r="G324" t="inlineStr">
        <is>
          <t>British Columbia</t>
        </is>
      </c>
      <c r="H324" t="inlineStr">
        <is>
          <t>North Vancouver Tennis Centre</t>
        </is>
      </c>
      <c r="I324" t="n">
        <v>30.1</v>
      </c>
      <c r="J324" s="4" t="n">
        <v>226</v>
      </c>
      <c r="K324" t="inlineStr">
        <is>
          <t>140 / 86</t>
        </is>
      </c>
      <c r="L324" t="inlineStr">
        <is>
          <t>32 / 20</t>
        </is>
      </c>
      <c r="M324" s="5" t="n">
        <v>0.62</v>
      </c>
      <c r="N324" s="5" t="n">
        <v>0.62</v>
      </c>
    </row>
    <row r="325">
      <c r="A325" t="n">
        <v>324</v>
      </c>
      <c r="B325" t="n">
        <v>2014</v>
      </c>
      <c r="C325" t="inlineStr">
        <is>
          <t>Vida Jeftic</t>
        </is>
      </c>
      <c r="D325">
        <f>HYPERLINK("https://ota.tournamentsoftware.com/player-profile/5A42C908-572E-4E42-A8CB-609FCF083DE9", "Link")</f>
        <v/>
      </c>
      <c r="E325" s="3" t="n">
        <v>206.56</v>
      </c>
      <c r="F325" s="4" t="n">
        <v>9</v>
      </c>
      <c r="G325" t="inlineStr">
        <is>
          <t>Ontario Tennis Association</t>
        </is>
      </c>
      <c r="H325" t="inlineStr">
        <is>
          <t>Parkside Tennis Club</t>
        </is>
      </c>
      <c r="I325" t="n">
        <v>30.8</v>
      </c>
      <c r="J325" s="4" t="n">
        <v>38</v>
      </c>
      <c r="K325" t="inlineStr">
        <is>
          <t>27 / 11</t>
        </is>
      </c>
      <c r="L325" t="inlineStr">
        <is>
          <t>11 / 4</t>
        </is>
      </c>
      <c r="M325" s="5" t="n">
        <v>0.71</v>
      </c>
      <c r="N325" s="5" t="n">
        <v>0.73</v>
      </c>
    </row>
    <row r="326">
      <c r="A326" t="n">
        <v>325</v>
      </c>
      <c r="B326" t="n">
        <v>2014</v>
      </c>
      <c r="C326" t="inlineStr">
        <is>
          <t>Alexandra Strgacic</t>
        </is>
      </c>
      <c r="D326">
        <f>HYPERLINK("https://ota.tournamentsoftware.com/player-profile/C809B120-C1B7-4F85-B411-257E3DC9B63B", "Link")</f>
        <v/>
      </c>
      <c r="E326" s="3" t="n">
        <v>205.183</v>
      </c>
      <c r="F326" s="4" t="n">
        <v>7</v>
      </c>
      <c r="G326" t="inlineStr">
        <is>
          <t>Ontario Tennis Association</t>
        </is>
      </c>
      <c r="H326" t="inlineStr">
        <is>
          <t>Advantage Tennis International at Veneto</t>
        </is>
      </c>
      <c r="I326" t="n">
        <v>33.5</v>
      </c>
      <c r="J326" s="4" t="n">
        <v>165</v>
      </c>
      <c r="K326" t="inlineStr">
        <is>
          <t>96 / 69</t>
        </is>
      </c>
      <c r="L326" t="inlineStr">
        <is>
          <t>3 / 5</t>
        </is>
      </c>
      <c r="M326" s="5" t="n">
        <v>0.58</v>
      </c>
      <c r="N326" s="5" t="n">
        <v>0.38</v>
      </c>
    </row>
    <row r="327">
      <c r="A327" t="n">
        <v>326</v>
      </c>
      <c r="B327" t="n">
        <v>2013</v>
      </c>
      <c r="C327" t="inlineStr">
        <is>
          <t>Ella Iva Mavretic</t>
        </is>
      </c>
      <c r="D327">
        <f>HYPERLINK("https://ota.tournamentsoftware.com/player-profile/CF99D041-FAEF-47A9-BBE6-3D6335355408", "Link")</f>
        <v/>
      </c>
      <c r="E327" s="3" t="n">
        <v>203.735</v>
      </c>
      <c r="F327" s="4" t="n">
        <v>11</v>
      </c>
      <c r="G327" t="inlineStr">
        <is>
          <t>Ontario Tennis Association</t>
        </is>
      </c>
      <c r="H327" t="inlineStr">
        <is>
          <t>Pinafore Park</t>
        </is>
      </c>
      <c r="I327" t="n">
        <v>35.2</v>
      </c>
      <c r="J327" s="4" t="n">
        <v>198</v>
      </c>
      <c r="K327" t="inlineStr">
        <is>
          <t>88 / 110</t>
        </is>
      </c>
      <c r="L327" t="inlineStr">
        <is>
          <t>4 / 6</t>
        </is>
      </c>
      <c r="M327" s="5" t="n">
        <v>0.44</v>
      </c>
      <c r="N327" s="5" t="n">
        <v>0.4</v>
      </c>
    </row>
    <row r="328">
      <c r="A328" t="n">
        <v>327</v>
      </c>
      <c r="B328" t="n">
        <v>2014</v>
      </c>
      <c r="C328" t="inlineStr">
        <is>
          <t>Freya Jiaxin He</t>
        </is>
      </c>
      <c r="D328">
        <f>HYPERLINK("https://ota.tournamentsoftware.com/player-profile/8C1C07F2-C769-4A85-8385-40B14C9CD709", "Link")</f>
        <v/>
      </c>
      <c r="E328" s="3" t="n">
        <v>203.592</v>
      </c>
      <c r="F328" s="4" t="n">
        <v>6</v>
      </c>
      <c r="G328" t="inlineStr">
        <is>
          <t>Tennis Prince Edward Island</t>
        </is>
      </c>
      <c r="H328" t="inlineStr">
        <is>
          <t>Charlottetown Recreation Tennis Group</t>
        </is>
      </c>
      <c r="I328" t="n">
        <v>32</v>
      </c>
      <c r="J328" s="4" t="n">
        <v>102</v>
      </c>
      <c r="K328" t="inlineStr">
        <is>
          <t>56 / 46</t>
        </is>
      </c>
      <c r="L328" t="inlineStr">
        <is>
          <t>17 / 7</t>
        </is>
      </c>
      <c r="M328" s="5" t="n">
        <v>0.55</v>
      </c>
      <c r="N328" s="5" t="n">
        <v>0.71</v>
      </c>
    </row>
    <row r="329">
      <c r="A329" t="n">
        <v>328</v>
      </c>
      <c r="B329" t="n">
        <v>2012</v>
      </c>
      <c r="C329" t="inlineStr">
        <is>
          <t>Victoria Trempe</t>
        </is>
      </c>
      <c r="D329">
        <f>HYPERLINK("https://ota.tournamentsoftware.com/player-profile/90EB2857-D907-47BD-ABB6-AAED21876912", "Link")</f>
        <v/>
      </c>
      <c r="E329" s="3" t="n">
        <v>203.573</v>
      </c>
      <c r="F329" s="4" t="n">
        <v>8</v>
      </c>
      <c r="G329" t="inlineStr">
        <is>
          <t>Tennis Québec</t>
        </is>
      </c>
      <c r="H329" t="inlineStr">
        <is>
          <t>Club Sportif Côte-de-Liesse</t>
        </is>
      </c>
      <c r="I329" t="n">
        <v>34</v>
      </c>
      <c r="J329" s="4" t="n">
        <v>122</v>
      </c>
      <c r="K329" t="inlineStr">
        <is>
          <t>45 / 77</t>
        </is>
      </c>
      <c r="L329" t="inlineStr">
        <is>
          <t>2 / 4</t>
        </is>
      </c>
      <c r="M329" s="5" t="n">
        <v>0.37</v>
      </c>
      <c r="N329" s="5" t="n">
        <v>0.33</v>
      </c>
    </row>
    <row r="330">
      <c r="A330" t="n">
        <v>329</v>
      </c>
      <c r="B330" t="n">
        <v>2014</v>
      </c>
      <c r="C330" t="inlineStr">
        <is>
          <t>Mila Alexandra Voros</t>
        </is>
      </c>
      <c r="D330">
        <f>HYPERLINK("https://ota.tournamentsoftware.com/player-profile/96155B79-5199-481D-8AF1-A174FA860401", "Link")</f>
        <v/>
      </c>
      <c r="E330" s="3" t="n">
        <v>203.548</v>
      </c>
      <c r="F330" s="4" t="n">
        <v>15</v>
      </c>
      <c r="G330" t="inlineStr">
        <is>
          <t>Ontario Tennis Association</t>
        </is>
      </c>
      <c r="H330" t="inlineStr">
        <is>
          <t>GSM Tennis Club</t>
        </is>
      </c>
      <c r="I330" t="n">
        <v>34.9</v>
      </c>
      <c r="J330" s="4" t="n">
        <v>136</v>
      </c>
      <c r="K330" t="inlineStr">
        <is>
          <t>58 / 78</t>
        </is>
      </c>
      <c r="L330" t="inlineStr">
        <is>
          <t>7 / 15</t>
        </is>
      </c>
      <c r="M330" s="5" t="n">
        <v>0.43</v>
      </c>
      <c r="N330" s="5" t="n">
        <v>0.32</v>
      </c>
    </row>
    <row r="331">
      <c r="A331" t="n">
        <v>330</v>
      </c>
      <c r="B331" t="n">
        <v>2012</v>
      </c>
      <c r="C331" t="inlineStr">
        <is>
          <t>Naomi Brown</t>
        </is>
      </c>
      <c r="D331">
        <f>HYPERLINK("https://ota.tournamentsoftware.com/player-profile/3302BB60-F05F-49BC-8E90-BE5B9A063576", "Link")</f>
        <v/>
      </c>
      <c r="E331" s="3" t="n">
        <v>202.223</v>
      </c>
      <c r="F331" s="4" t="n">
        <v>7</v>
      </c>
      <c r="G331" t="inlineStr">
        <is>
          <t>Ontario Tennis Association</t>
        </is>
      </c>
      <c r="H331" t="inlineStr">
        <is>
          <t>Milton Tennis Club</t>
        </is>
      </c>
      <c r="I331" t="inlineStr">
        <is>
          <t>unavailable</t>
        </is>
      </c>
      <c r="J331" s="4" t="n">
        <v>80</v>
      </c>
      <c r="K331" t="inlineStr">
        <is>
          <t>36 / 44</t>
        </is>
      </c>
      <c r="L331" t="inlineStr">
        <is>
          <t>8 / 6</t>
        </is>
      </c>
      <c r="M331" s="5" t="n">
        <v>0.45</v>
      </c>
      <c r="N331" s="5" t="n">
        <v>0.57</v>
      </c>
    </row>
    <row r="332">
      <c r="A332" t="n">
        <v>331</v>
      </c>
      <c r="B332" t="n">
        <v>2012</v>
      </c>
      <c r="C332" t="inlineStr">
        <is>
          <t>Harsimran Kaur Sandhu</t>
        </is>
      </c>
      <c r="D332">
        <f>HYPERLINK("https://ota.tournamentsoftware.com/player-profile/10345BBC-2CC8-4DA1-AA88-2730495B6CB8", "Link")</f>
        <v/>
      </c>
      <c r="E332" s="3" t="n">
        <v>201.384</v>
      </c>
      <c r="F332" s="4" t="n">
        <v>24</v>
      </c>
      <c r="G332" t="inlineStr">
        <is>
          <t>Ontario Tennis Association</t>
        </is>
      </c>
      <c r="H332" t="inlineStr">
        <is>
          <t>Premier Racquet Clubs – Mississauga</t>
        </is>
      </c>
      <c r="I332" t="inlineStr">
        <is>
          <t>unavailable</t>
        </is>
      </c>
      <c r="J332" s="4" t="n">
        <v>104</v>
      </c>
      <c r="K332" t="inlineStr">
        <is>
          <t>46 / 58</t>
        </is>
      </c>
      <c r="L332" t="inlineStr">
        <is>
          <t>21 / 19</t>
        </is>
      </c>
      <c r="M332" s="5" t="n">
        <v>0.44</v>
      </c>
      <c r="N332" s="5" t="n">
        <v>0.53</v>
      </c>
    </row>
    <row r="333">
      <c r="A333" t="n">
        <v>332</v>
      </c>
      <c r="B333" t="n">
        <v>2015</v>
      </c>
      <c r="C333" t="inlineStr">
        <is>
          <t>Kayla Chevez</t>
        </is>
      </c>
      <c r="D333">
        <f>HYPERLINK("https://ota.tournamentsoftware.com/player-profile/EE941149-B269-44AA-A65B-D00099EE4086", "Link")</f>
        <v/>
      </c>
      <c r="E333" s="3" t="n">
        <v>201.354</v>
      </c>
      <c r="F333" s="4" t="n">
        <v>26</v>
      </c>
      <c r="G333" t="inlineStr">
        <is>
          <t>Tennis Québec</t>
        </is>
      </c>
      <c r="H333" t="inlineStr">
        <is>
          <t>Tennis Montréal Excellence</t>
        </is>
      </c>
      <c r="I333" t="n">
        <v>34.6</v>
      </c>
      <c r="J333" s="4" t="n">
        <v>142</v>
      </c>
      <c r="K333" t="inlineStr">
        <is>
          <t>69 / 73</t>
        </is>
      </c>
      <c r="L333" t="inlineStr">
        <is>
          <t>18 / 22</t>
        </is>
      </c>
      <c r="M333" s="5" t="n">
        <v>0.49</v>
      </c>
      <c r="N333" s="5" t="n">
        <v>0.45</v>
      </c>
    </row>
    <row r="334">
      <c r="A334" t="n">
        <v>333</v>
      </c>
      <c r="B334" t="n">
        <v>2014</v>
      </c>
      <c r="C334" t="inlineStr">
        <is>
          <t>Lana Kasumovic</t>
        </is>
      </c>
      <c r="D334">
        <f>HYPERLINK("https://ota.tournamentsoftware.com/player-profile/7F2BA85F-A3DF-40B8-9457-1DD55A7C11FB", "Link")</f>
        <v/>
      </c>
      <c r="E334" s="3" t="n">
        <v>200.268</v>
      </c>
      <c r="F334" s="4" t="n">
        <v>25</v>
      </c>
      <c r="G334" t="inlineStr">
        <is>
          <t>Ontario Tennis Association</t>
        </is>
      </c>
      <c r="H334" t="inlineStr">
        <is>
          <t>Rideau Sports Centre</t>
        </is>
      </c>
      <c r="I334" t="n">
        <v>34.3</v>
      </c>
      <c r="J334" s="4" t="n">
        <v>145</v>
      </c>
      <c r="K334" t="inlineStr">
        <is>
          <t>49 / 96</t>
        </is>
      </c>
      <c r="L334" t="inlineStr">
        <is>
          <t>23 / 21</t>
        </is>
      </c>
      <c r="M334" s="5" t="n">
        <v>0.34</v>
      </c>
      <c r="N334" s="5" t="n">
        <v>0.52</v>
      </c>
    </row>
    <row r="335">
      <c r="A335" t="n">
        <v>334</v>
      </c>
      <c r="B335" t="n">
        <v>2016</v>
      </c>
      <c r="C335" t="inlineStr">
        <is>
          <t>Minna TAN</t>
        </is>
      </c>
      <c r="D335">
        <f>HYPERLINK("https://ota.tournamentsoftware.com/player-profile/4830D271-776A-41F3-B5D9-B5D2EC272CB4", "Link")</f>
        <v/>
      </c>
      <c r="E335" s="3" t="n">
        <v>199.43</v>
      </c>
      <c r="F335" s="4" t="n">
        <v>9</v>
      </c>
      <c r="G335" t="inlineStr">
        <is>
          <t>Tennis Québec</t>
        </is>
      </c>
      <c r="H335" t="inlineStr">
        <is>
          <t>Tennis Ile- des- Soeurs</t>
        </is>
      </c>
      <c r="I335" t="n">
        <v>32.9</v>
      </c>
      <c r="J335" s="4" t="n">
        <v>81</v>
      </c>
      <c r="K335" t="inlineStr">
        <is>
          <t>49 / 32</t>
        </is>
      </c>
      <c r="L335" t="inlineStr">
        <is>
          <t>18 / 7</t>
        </is>
      </c>
      <c r="M335" s="5" t="n">
        <v>0.6</v>
      </c>
      <c r="N335" s="5" t="n">
        <v>0.72</v>
      </c>
    </row>
    <row r="336">
      <c r="A336" t="n">
        <v>335</v>
      </c>
      <c r="B336" t="n">
        <v>2013</v>
      </c>
      <c r="C336" t="inlineStr">
        <is>
          <t>Ana Sofia Prieto Echandia</t>
        </is>
      </c>
      <c r="D336">
        <f>HYPERLINK("https://ota.tournamentsoftware.com/player-profile/0A98F660-17C5-4374-B63C-9B5B0E183AF0", "Link")</f>
        <v/>
      </c>
      <c r="E336" s="3" t="n">
        <v>198.964</v>
      </c>
      <c r="F336" s="4" t="n">
        <v>8</v>
      </c>
      <c r="G336" t="inlineStr">
        <is>
          <t>Tennis Québec</t>
        </is>
      </c>
      <c r="H336" t="inlineStr">
        <is>
          <t>Tennis Ile- des- Soeurs</t>
        </is>
      </c>
      <c r="I336" t="n">
        <v>33.1</v>
      </c>
      <c r="J336" s="4" t="n">
        <v>33</v>
      </c>
      <c r="K336" t="inlineStr">
        <is>
          <t>19 / 14</t>
        </is>
      </c>
      <c r="L336" t="inlineStr">
        <is>
          <t>2 / 6</t>
        </is>
      </c>
      <c r="M336" s="5" t="n">
        <v>0.58</v>
      </c>
      <c r="N336" s="5" t="n">
        <v>0.25</v>
      </c>
    </row>
    <row r="337">
      <c r="A337" t="n">
        <v>336</v>
      </c>
      <c r="B337" t="n">
        <v>2014</v>
      </c>
      <c r="C337" t="inlineStr">
        <is>
          <t>Mariah Jorge-Eman</t>
        </is>
      </c>
      <c r="D337">
        <f>HYPERLINK("https://ota.tournamentsoftware.com/player-profile/B6887B12-5A2B-48B9-8A94-164305BBBBBE", "Link")</f>
        <v/>
      </c>
      <c r="E337" s="3" t="n">
        <v>198.746</v>
      </c>
      <c r="F337" s="4" t="n">
        <v>20</v>
      </c>
      <c r="G337" t="inlineStr">
        <is>
          <t>Ontario Tennis Association</t>
        </is>
      </c>
      <c r="H337" t="inlineStr">
        <is>
          <t>Premier Racquet Clubs – Mississauga</t>
        </is>
      </c>
      <c r="I337" t="n">
        <v>33.6</v>
      </c>
      <c r="J337" s="4" t="n">
        <v>102</v>
      </c>
      <c r="K337" t="inlineStr">
        <is>
          <t>48 / 54</t>
        </is>
      </c>
      <c r="L337" t="inlineStr">
        <is>
          <t>15 / 14</t>
        </is>
      </c>
      <c r="M337" s="5" t="n">
        <v>0.47</v>
      </c>
      <c r="N337" s="5" t="n">
        <v>0.52</v>
      </c>
    </row>
    <row r="338">
      <c r="A338" t="n">
        <v>337</v>
      </c>
      <c r="B338" t="n">
        <v>2013</v>
      </c>
      <c r="C338" t="inlineStr">
        <is>
          <t>Eliza Willow Nguyen</t>
        </is>
      </c>
      <c r="D338">
        <f>HYPERLINK("https://ota.tournamentsoftware.com/player-profile/1A3AE60F-B4FB-4C4C-AE09-5D730884AC0A", "Link")</f>
        <v/>
      </c>
      <c r="E338" s="3" t="n">
        <v>198.067</v>
      </c>
      <c r="F338" s="4" t="n">
        <v>12</v>
      </c>
      <c r="G338" t="inlineStr">
        <is>
          <t>Tennis Alberta</t>
        </is>
      </c>
      <c r="H338" t="inlineStr">
        <is>
          <t>Saville Community Sports Centre</t>
        </is>
      </c>
      <c r="I338" t="n">
        <v>33.1</v>
      </c>
      <c r="J338" s="4" t="n">
        <v>143</v>
      </c>
      <c r="K338" t="inlineStr">
        <is>
          <t>66 / 77</t>
        </is>
      </c>
      <c r="L338" t="inlineStr">
        <is>
          <t>10 / 13</t>
        </is>
      </c>
      <c r="M338" s="5" t="n">
        <v>0.46</v>
      </c>
      <c r="N338" s="5" t="n">
        <v>0.43</v>
      </c>
    </row>
    <row r="339">
      <c r="A339" t="n">
        <v>338</v>
      </c>
      <c r="B339" t="n">
        <v>2013</v>
      </c>
      <c r="C339" t="inlineStr">
        <is>
          <t>Ophélia Carbonneau</t>
        </is>
      </c>
      <c r="D339">
        <f>HYPERLINK("https://ota.tournamentsoftware.com/player-profile/8B592B8F-8B82-48EF-9CDD-0CBA40EBB412", "Link")</f>
        <v/>
      </c>
      <c r="E339" s="3" t="n">
        <v>197.747</v>
      </c>
      <c r="F339" s="4" t="n">
        <v>17</v>
      </c>
      <c r="G339" t="inlineStr">
        <is>
          <t>Tennis Québec</t>
        </is>
      </c>
      <c r="H339" t="inlineStr">
        <is>
          <t>Tennis Interclub Piedmont</t>
        </is>
      </c>
      <c r="I339" t="n">
        <v>36.4</v>
      </c>
      <c r="J339" s="4" t="n">
        <v>108</v>
      </c>
      <c r="K339" t="inlineStr">
        <is>
          <t>31 / 77</t>
        </is>
      </c>
      <c r="L339" t="inlineStr">
        <is>
          <t>7 / 14</t>
        </is>
      </c>
      <c r="M339" s="5" t="n">
        <v>0.29</v>
      </c>
      <c r="N339" s="5" t="n">
        <v>0.33</v>
      </c>
    </row>
    <row r="340">
      <c r="A340" t="n">
        <v>339</v>
      </c>
      <c r="B340" t="n">
        <v>2014</v>
      </c>
      <c r="C340" t="inlineStr">
        <is>
          <t>Ella Meng</t>
        </is>
      </c>
      <c r="D340">
        <f>HYPERLINK("https://ota.tournamentsoftware.com/player-profile/B7EC0DBA-A6B8-49FA-A398-63ABEF8384E7", "Link")</f>
        <v/>
      </c>
      <c r="E340" s="3" t="n">
        <v>194.534</v>
      </c>
      <c r="F340" s="4" t="n">
        <v>12</v>
      </c>
      <c r="G340" t="inlineStr">
        <is>
          <t>Ontario Tennis Association</t>
        </is>
      </c>
      <c r="H340" t="inlineStr">
        <is>
          <t>Marilyn Redvers Tennis Club</t>
        </is>
      </c>
      <c r="I340" t="n">
        <v>33.8</v>
      </c>
      <c r="J340" s="4" t="n">
        <v>84</v>
      </c>
      <c r="K340" t="inlineStr">
        <is>
          <t>30 / 54</t>
        </is>
      </c>
      <c r="L340" t="inlineStr">
        <is>
          <t>11 / 12</t>
        </is>
      </c>
      <c r="M340" s="5" t="n">
        <v>0.36</v>
      </c>
      <c r="N340" s="5" t="n">
        <v>0.48</v>
      </c>
    </row>
    <row r="341">
      <c r="A341" t="n">
        <v>340</v>
      </c>
      <c r="B341" t="n">
        <v>2012</v>
      </c>
      <c r="C341" t="inlineStr">
        <is>
          <t>Carys Miles</t>
        </is>
      </c>
      <c r="D341">
        <f>HYPERLINK("https://ota.tournamentsoftware.com/player-profile/7FCFD8F6-5B52-4825-B8AA-B72BF77A3298", "Link")</f>
        <v/>
      </c>
      <c r="E341" s="3" t="n">
        <v>194.325</v>
      </c>
      <c r="F341" s="4" t="n">
        <v>15</v>
      </c>
      <c r="G341" t="inlineStr">
        <is>
          <t>Tennis Alberta</t>
        </is>
      </c>
      <c r="H341" t="inlineStr">
        <is>
          <t>Osten &amp; Victor Alberta Tennis Centre</t>
        </is>
      </c>
      <c r="I341" t="n">
        <v>31.1</v>
      </c>
      <c r="J341" s="4" t="n">
        <v>200</v>
      </c>
      <c r="K341" t="inlineStr">
        <is>
          <t>98 / 102</t>
        </is>
      </c>
      <c r="L341" t="inlineStr">
        <is>
          <t>4 / 9</t>
        </is>
      </c>
      <c r="M341" s="5" t="n">
        <v>0.49</v>
      </c>
      <c r="N341" s="5" t="n">
        <v>0.31</v>
      </c>
    </row>
    <row r="342">
      <c r="A342" t="n">
        <v>341</v>
      </c>
      <c r="B342" t="n">
        <v>2015</v>
      </c>
      <c r="C342" t="inlineStr">
        <is>
          <t>Emma Echeverri Vujicic</t>
        </is>
      </c>
      <c r="D342">
        <f>HYPERLINK("https://ota.tournamentsoftware.com/player-profile/644C3F8A-163C-4BEA-8EBD-9263F89347F9", "Link")</f>
        <v/>
      </c>
      <c r="E342" s="3" t="n">
        <v>194.237</v>
      </c>
      <c r="F342" s="4" t="n">
        <v>22</v>
      </c>
      <c r="G342" t="inlineStr">
        <is>
          <t>Ontario Tennis Association</t>
        </is>
      </c>
      <c r="H342" t="inlineStr">
        <is>
          <t>Mayfair West Fitness &amp; Racquet Club</t>
        </is>
      </c>
      <c r="I342" t="n">
        <v>33.8</v>
      </c>
      <c r="J342" s="4" t="n">
        <v>130</v>
      </c>
      <c r="K342" t="inlineStr">
        <is>
          <t>63 / 67</t>
        </is>
      </c>
      <c r="L342" t="inlineStr">
        <is>
          <t>24 / 13</t>
        </is>
      </c>
      <c r="M342" s="5" t="n">
        <v>0.48</v>
      </c>
      <c r="N342" s="5" t="n">
        <v>0.65</v>
      </c>
    </row>
    <row r="343">
      <c r="A343" t="n">
        <v>342</v>
      </c>
      <c r="B343" t="n">
        <v>2012</v>
      </c>
      <c r="C343" t="inlineStr">
        <is>
          <t>Gabrielle Siewe Meliatou</t>
        </is>
      </c>
      <c r="D343">
        <f>HYPERLINK("https://ota.tournamentsoftware.com/player-profile/7E53A46A-6CF0-4DB8-9382-FCE1966714A8", "Link")</f>
        <v/>
      </c>
      <c r="E343" s="3" t="n">
        <v>192.866</v>
      </c>
      <c r="F343" s="4" t="n">
        <v>18</v>
      </c>
      <c r="G343" t="inlineStr">
        <is>
          <t>Tennis Québec</t>
        </is>
      </c>
      <c r="H343" t="inlineStr">
        <is>
          <t>SANI Sport</t>
        </is>
      </c>
      <c r="I343" t="n">
        <v>35.5</v>
      </c>
      <c r="J343" s="4" t="n">
        <v>78</v>
      </c>
      <c r="K343" t="inlineStr">
        <is>
          <t>24 / 54</t>
        </is>
      </c>
      <c r="L343" t="inlineStr">
        <is>
          <t>5 / 11</t>
        </is>
      </c>
      <c r="M343" s="5" t="n">
        <v>0.31</v>
      </c>
      <c r="N343" s="5" t="n">
        <v>0.31</v>
      </c>
    </row>
    <row r="344">
      <c r="A344" t="n">
        <v>343</v>
      </c>
      <c r="B344" t="n">
        <v>2016</v>
      </c>
      <c r="C344" t="inlineStr">
        <is>
          <t>Tanishka Varishtha Tripathi</t>
        </is>
      </c>
      <c r="D344">
        <f>HYPERLINK("https://ota.tournamentsoftware.com/player-profile/C966D3AB-F944-4405-A712-C5FA591776A1", "Link")</f>
        <v/>
      </c>
      <c r="E344" s="3" t="n">
        <v>192.289</v>
      </c>
      <c r="F344" s="4" t="n">
        <v>13</v>
      </c>
      <c r="G344" t="inlineStr">
        <is>
          <t>Ontario Tennis Association</t>
        </is>
      </c>
      <c r="H344" t="inlineStr">
        <is>
          <t>Tennis Outaouais Performance (TOP) ON</t>
        </is>
      </c>
      <c r="I344" t="n">
        <v>32</v>
      </c>
      <c r="J344" s="4" t="n">
        <v>140</v>
      </c>
      <c r="K344" t="inlineStr">
        <is>
          <t>101 / 39</t>
        </is>
      </c>
      <c r="L344" t="inlineStr">
        <is>
          <t>24 / 12</t>
        </is>
      </c>
      <c r="M344" s="5" t="n">
        <v>0.72</v>
      </c>
      <c r="N344" s="5" t="n">
        <v>0.67</v>
      </c>
    </row>
    <row r="345">
      <c r="A345" t="n">
        <v>344</v>
      </c>
      <c r="B345" t="n">
        <v>2012</v>
      </c>
      <c r="C345" t="inlineStr">
        <is>
          <t>Xinyi Zhang</t>
        </is>
      </c>
      <c r="D345">
        <f>HYPERLINK("https://ota.tournamentsoftware.com/player-profile/BCC8B346-C184-4803-9CC2-592D143B667B", "Link")</f>
        <v/>
      </c>
      <c r="E345" s="3" t="n">
        <v>191.822</v>
      </c>
      <c r="F345" s="4" t="n">
        <v>17</v>
      </c>
      <c r="G345" t="inlineStr">
        <is>
          <t>Ontario Tennis Association</t>
        </is>
      </c>
      <c r="H345" t="inlineStr">
        <is>
          <t>Marilyn Redvers Tennis Club</t>
        </is>
      </c>
      <c r="I345" t="n">
        <v>33.9</v>
      </c>
      <c r="J345" s="4" t="n">
        <v>52</v>
      </c>
      <c r="K345" t="inlineStr">
        <is>
          <t>26 / 26</t>
        </is>
      </c>
      <c r="L345" t="inlineStr">
        <is>
          <t>15 / 18</t>
        </is>
      </c>
      <c r="M345" s="5" t="n">
        <v>0.5</v>
      </c>
      <c r="N345" s="5" t="n">
        <v>0.45</v>
      </c>
    </row>
    <row r="346">
      <c r="A346" t="n">
        <v>345</v>
      </c>
      <c r="B346" t="n">
        <v>2015</v>
      </c>
      <c r="C346" t="inlineStr">
        <is>
          <t>Olivia Ormandy</t>
        </is>
      </c>
      <c r="D346">
        <f>HYPERLINK("https://ota.tournamentsoftware.com/player-profile/C2722647-7EFC-4E85-B2ED-55E77949843B", "Link")</f>
        <v/>
      </c>
      <c r="E346" s="3" t="n">
        <v>190.2</v>
      </c>
      <c r="F346" s="4" t="n">
        <v>27</v>
      </c>
      <c r="G346" t="inlineStr">
        <is>
          <t>Tennis Québec</t>
        </is>
      </c>
      <c r="H346" t="inlineStr">
        <is>
          <t>Tennis Interclub Piedmont</t>
        </is>
      </c>
      <c r="I346" t="n">
        <v>33.2</v>
      </c>
      <c r="J346" s="4" t="n">
        <v>194</v>
      </c>
      <c r="K346" t="inlineStr">
        <is>
          <t>95 / 99</t>
        </is>
      </c>
      <c r="L346" t="inlineStr">
        <is>
          <t>23 / 25</t>
        </is>
      </c>
      <c r="M346" s="5" t="n">
        <v>0.49</v>
      </c>
      <c r="N346" s="5" t="n">
        <v>0.48</v>
      </c>
    </row>
    <row r="347">
      <c r="A347" t="n">
        <v>346</v>
      </c>
      <c r="B347" t="n">
        <v>2012</v>
      </c>
      <c r="C347" t="inlineStr">
        <is>
          <t>Sabrina Sajjad</t>
        </is>
      </c>
      <c r="D347">
        <f>HYPERLINK("https://ota.tournamentsoftware.com/player-profile/6C7EB560-0C6C-49E6-9B42-49009727ED3D", "Link")</f>
        <v/>
      </c>
      <c r="E347" s="3" t="n">
        <v>189.48</v>
      </c>
      <c r="F347" s="4" t="n">
        <v>15</v>
      </c>
      <c r="G347" t="inlineStr">
        <is>
          <t>Ontario Tennis Association</t>
        </is>
      </c>
      <c r="H347" t="inlineStr">
        <is>
          <t>No Club</t>
        </is>
      </c>
      <c r="I347" t="n">
        <v>33.9</v>
      </c>
      <c r="J347" s="4" t="n">
        <v>69</v>
      </c>
      <c r="K347" t="inlineStr">
        <is>
          <t>35 / 34</t>
        </is>
      </c>
      <c r="L347" t="inlineStr">
        <is>
          <t>8 / 10</t>
        </is>
      </c>
      <c r="M347" s="5" t="n">
        <v>0.51</v>
      </c>
      <c r="N347" s="5" t="n">
        <v>0.44</v>
      </c>
    </row>
    <row r="348">
      <c r="A348" t="n">
        <v>347</v>
      </c>
      <c r="B348" t="n">
        <v>2014</v>
      </c>
      <c r="C348" t="inlineStr">
        <is>
          <t>Payton Isabelle JOHNSTON</t>
        </is>
      </c>
      <c r="D348">
        <f>HYPERLINK("https://ota.tournamentsoftware.com/player-profile/30639279-6EB4-43A0-806A-9F7E6209EBA5", "Link")</f>
        <v/>
      </c>
      <c r="E348" s="3" t="n">
        <v>189.449</v>
      </c>
      <c r="F348" s="4" t="n">
        <v>11</v>
      </c>
      <c r="G348" t="inlineStr">
        <is>
          <t>Tennis Nova Scotia</t>
        </is>
      </c>
      <c r="H348" t="inlineStr">
        <is>
          <t>Gordon Hughes Tennis Club</t>
        </is>
      </c>
      <c r="I348" t="n">
        <v>34.3</v>
      </c>
      <c r="J348" s="4" t="n">
        <v>96</v>
      </c>
      <c r="K348" t="inlineStr">
        <is>
          <t>49 / 47</t>
        </is>
      </c>
      <c r="L348" t="inlineStr">
        <is>
          <t>18 / 21</t>
        </is>
      </c>
      <c r="M348" s="5" t="n">
        <v>0.51</v>
      </c>
      <c r="N348" s="5" t="n">
        <v>0.46</v>
      </c>
    </row>
    <row r="349">
      <c r="A349" t="n">
        <v>348</v>
      </c>
      <c r="B349" t="n">
        <v>2016</v>
      </c>
      <c r="C349" t="inlineStr">
        <is>
          <t>Emily Zheng</t>
        </is>
      </c>
      <c r="D349">
        <f>HYPERLINK("https://ota.tournamentsoftware.com/player-profile/6AB11A61-4852-4958-84E1-2773676D29C2", "Link")</f>
        <v/>
      </c>
      <c r="E349" s="3" t="n">
        <v>187.89</v>
      </c>
      <c r="F349" s="4" t="n">
        <v>28</v>
      </c>
      <c r="G349" t="inlineStr">
        <is>
          <t>Ontario Tennis Association</t>
        </is>
      </c>
      <c r="H349" t="inlineStr">
        <is>
          <t>Toronto Cricket Skating &amp; Curling</t>
        </is>
      </c>
      <c r="I349" t="n">
        <v>33.2</v>
      </c>
      <c r="J349" s="4" t="n">
        <v>108</v>
      </c>
      <c r="K349" t="inlineStr">
        <is>
          <t>44 / 64</t>
        </is>
      </c>
      <c r="L349" t="inlineStr">
        <is>
          <t>23 / 14</t>
        </is>
      </c>
      <c r="M349" s="5" t="n">
        <v>0.41</v>
      </c>
      <c r="N349" s="5" t="n">
        <v>0.62</v>
      </c>
    </row>
    <row r="350">
      <c r="A350" t="n">
        <v>349</v>
      </c>
      <c r="B350" t="n">
        <v>2012</v>
      </c>
      <c r="C350" t="inlineStr">
        <is>
          <t>Ruoyu Wang</t>
        </is>
      </c>
      <c r="D350">
        <f>HYPERLINK("https://ota.tournamentsoftware.com/player-profile/BF1A51BB-FF4F-417F-AE41-0914B75C7FF1", "Link")</f>
        <v/>
      </c>
      <c r="E350" s="3" t="n">
        <v>187.562</v>
      </c>
      <c r="F350" s="4" t="n">
        <v>12</v>
      </c>
      <c r="G350" t="inlineStr">
        <is>
          <t>Tennis Québec</t>
        </is>
      </c>
      <c r="H350" t="inlineStr">
        <is>
          <t>Tennis 13</t>
        </is>
      </c>
      <c r="I350" t="inlineStr">
        <is>
          <t>unavailable</t>
        </is>
      </c>
      <c r="J350" s="4" t="n">
        <v>19</v>
      </c>
      <c r="K350" t="inlineStr">
        <is>
          <t>5 / 14</t>
        </is>
      </c>
      <c r="L350" t="inlineStr">
        <is>
          <t>4 / 8</t>
        </is>
      </c>
      <c r="M350" s="5" t="n">
        <v>0.26</v>
      </c>
      <c r="N350" s="5" t="n">
        <v>0.33</v>
      </c>
    </row>
    <row r="351">
      <c r="A351" t="n">
        <v>350</v>
      </c>
      <c r="B351" t="n">
        <v>2012</v>
      </c>
      <c r="C351" t="inlineStr">
        <is>
          <t>Angelica Rose Spyrka</t>
        </is>
      </c>
      <c r="D351">
        <f>HYPERLINK("https://ota.tournamentsoftware.com/player-profile/7A8F99DB-3ADA-4FDB-AC08-5095AAF01985", "Link")</f>
        <v/>
      </c>
      <c r="E351" s="3" t="n">
        <v>186.118</v>
      </c>
      <c r="F351" s="4" t="n">
        <v>13</v>
      </c>
      <c r="G351" t="inlineStr">
        <is>
          <t>British Columbia</t>
        </is>
      </c>
      <c r="H351" t="inlineStr">
        <is>
          <t>Vanguard Tennis Academy</t>
        </is>
      </c>
      <c r="I351" t="n">
        <v>33.3</v>
      </c>
      <c r="J351" s="4" t="n">
        <v>74</v>
      </c>
      <c r="K351" t="inlineStr">
        <is>
          <t>32 / 42</t>
        </is>
      </c>
      <c r="L351" t="inlineStr">
        <is>
          <t>6 / 10</t>
        </is>
      </c>
      <c r="M351" s="5" t="n">
        <v>0.43</v>
      </c>
      <c r="N351" s="5" t="n">
        <v>0.38</v>
      </c>
    </row>
    <row r="352">
      <c r="A352" t="n">
        <v>351</v>
      </c>
      <c r="B352" t="n">
        <v>2013</v>
      </c>
      <c r="C352" t="inlineStr">
        <is>
          <t>Alma Safinia</t>
        </is>
      </c>
      <c r="D352">
        <f>HYPERLINK("https://ota.tournamentsoftware.com/player-profile/5EF88718-BF69-42BC-A643-1C11174AD1CB", "Link")</f>
        <v/>
      </c>
      <c r="E352" s="3" t="n">
        <v>185.426</v>
      </c>
      <c r="F352" s="4" t="n">
        <v>1</v>
      </c>
      <c r="G352" t="inlineStr">
        <is>
          <t>Tennis Nova Scotia</t>
        </is>
      </c>
      <c r="H352" t="inlineStr">
        <is>
          <t>Atlantic Tennis Centre</t>
        </is>
      </c>
      <c r="I352" t="n">
        <v>33.9</v>
      </c>
      <c r="J352" s="4" t="n">
        <v>26</v>
      </c>
      <c r="K352" t="inlineStr">
        <is>
          <t>13 / 13</t>
        </is>
      </c>
      <c r="L352" t="inlineStr">
        <is>
          <t>2 / 5</t>
        </is>
      </c>
      <c r="M352" s="5" t="n">
        <v>0.5</v>
      </c>
      <c r="N352" s="5" t="n">
        <v>0.29</v>
      </c>
    </row>
    <row r="353">
      <c r="A353" t="n">
        <v>352</v>
      </c>
      <c r="B353" t="n">
        <v>2013</v>
      </c>
      <c r="C353" t="inlineStr">
        <is>
          <t>Alysha Alexis</t>
        </is>
      </c>
      <c r="D353">
        <f>HYPERLINK("https://ota.tournamentsoftware.com/player-profile/42191CE6-0E1E-460D-80E0-9A7FF78DA6C6", "Link")</f>
        <v/>
      </c>
      <c r="E353" s="3" t="n">
        <v>185.03</v>
      </c>
      <c r="F353" s="4" t="n">
        <v>18</v>
      </c>
      <c r="G353" t="inlineStr">
        <is>
          <t>Tennis Québec</t>
        </is>
      </c>
      <c r="H353" t="inlineStr">
        <is>
          <t>Académie Tennis Momentum (club extérieur)</t>
        </is>
      </c>
      <c r="I353" t="n">
        <v>33.9</v>
      </c>
      <c r="J353" s="4" t="n">
        <v>68</v>
      </c>
      <c r="K353" t="inlineStr">
        <is>
          <t>32 / 36</t>
        </is>
      </c>
      <c r="L353" t="inlineStr">
        <is>
          <t>12 / 12</t>
        </is>
      </c>
      <c r="M353" s="5" t="n">
        <v>0.47</v>
      </c>
      <c r="N353" s="5" t="n">
        <v>0.5</v>
      </c>
    </row>
    <row r="354">
      <c r="A354" t="n">
        <v>353</v>
      </c>
      <c r="B354" t="n">
        <v>2014</v>
      </c>
      <c r="C354" t="inlineStr">
        <is>
          <t>Amelia Rogette Hinnawi</t>
        </is>
      </c>
      <c r="D354">
        <f>HYPERLINK("https://ota.tournamentsoftware.com/player-profile/1DADE780-E571-45F1-BC6D-21B72637C0B7", "Link")</f>
        <v/>
      </c>
      <c r="E354" s="3" t="n">
        <v>184.213</v>
      </c>
      <c r="F354" s="4" t="n">
        <v>22</v>
      </c>
      <c r="G354" t="inlineStr">
        <is>
          <t>Tennis Québec</t>
        </is>
      </c>
      <c r="H354" t="inlineStr">
        <is>
          <t>Tennis Ile- des- Soeurs</t>
        </is>
      </c>
      <c r="I354" t="inlineStr">
        <is>
          <t>unavailable</t>
        </is>
      </c>
      <c r="J354" s="4" t="n">
        <v>135</v>
      </c>
      <c r="K354" t="inlineStr">
        <is>
          <t>42 / 93</t>
        </is>
      </c>
      <c r="L354" t="inlineStr">
        <is>
          <t>12 / 21</t>
        </is>
      </c>
      <c r="M354" s="5" t="n">
        <v>0.31</v>
      </c>
      <c r="N354" s="5" t="n">
        <v>0.36</v>
      </c>
    </row>
    <row r="355">
      <c r="A355" t="n">
        <v>354</v>
      </c>
      <c r="B355" t="n">
        <v>2013</v>
      </c>
      <c r="C355" t="inlineStr">
        <is>
          <t>Victoria Pellerin</t>
        </is>
      </c>
      <c r="D355">
        <f>HYPERLINK("https://ota.tournamentsoftware.com/player-profile/097573BE-64EA-4951-9B1B-3779B5938722", "Link")</f>
        <v/>
      </c>
      <c r="E355" s="3" t="n">
        <v>181.263</v>
      </c>
      <c r="F355" s="4" t="n">
        <v>15</v>
      </c>
      <c r="G355" t="inlineStr">
        <is>
          <t>Tennis Québec</t>
        </is>
      </c>
      <c r="H355" t="inlineStr">
        <is>
          <t>Centre récréatif de Repentigny / Académie Tennis Momentum</t>
        </is>
      </c>
      <c r="I355" t="n">
        <v>36.6</v>
      </c>
      <c r="J355" s="4" t="n">
        <v>56</v>
      </c>
      <c r="K355" t="inlineStr">
        <is>
          <t>16 / 40</t>
        </is>
      </c>
      <c r="L355" t="inlineStr">
        <is>
          <t>4 / 12</t>
        </is>
      </c>
      <c r="M355" s="5" t="n">
        <v>0.29</v>
      </c>
      <c r="N355" s="5" t="n">
        <v>0.25</v>
      </c>
    </row>
    <row r="356">
      <c r="A356" t="n">
        <v>355</v>
      </c>
      <c r="B356" t="n">
        <v>2013</v>
      </c>
      <c r="C356" t="inlineStr">
        <is>
          <t>Sophie Pothel</t>
        </is>
      </c>
      <c r="D356">
        <f>HYPERLINK("https://ota.tournamentsoftware.com/player-profile/21DD6509-0C4D-4711-BEB0-DC2D198520FD", "Link")</f>
        <v/>
      </c>
      <c r="E356" s="3" t="n">
        <v>179.691</v>
      </c>
      <c r="F356" s="4" t="n">
        <v>15</v>
      </c>
      <c r="G356" t="inlineStr">
        <is>
          <t>Tennis Québec</t>
        </is>
      </c>
      <c r="H356" t="inlineStr">
        <is>
          <t>Tennis Ile- des- Soeurs</t>
        </is>
      </c>
      <c r="I356" t="inlineStr">
        <is>
          <t>unavailable</t>
        </is>
      </c>
      <c r="J356" s="4" t="n">
        <v>57</v>
      </c>
      <c r="K356" t="inlineStr">
        <is>
          <t>9 / 48</t>
        </is>
      </c>
      <c r="L356" t="inlineStr">
        <is>
          <t>4 / 16</t>
        </is>
      </c>
      <c r="M356" s="5" t="n">
        <v>0.16</v>
      </c>
      <c r="N356" s="5" t="n">
        <v>0.2</v>
      </c>
    </row>
    <row r="357">
      <c r="A357" t="n">
        <v>356</v>
      </c>
      <c r="B357" t="n">
        <v>2015</v>
      </c>
      <c r="C357" t="inlineStr">
        <is>
          <t>Jesi Myra Kumaran</t>
        </is>
      </c>
      <c r="D357">
        <f>HYPERLINK("https://ota.tournamentsoftware.com/player-profile/8DE19A2A-095B-4432-92FE-7CA64D28B7F1", "Link")</f>
        <v/>
      </c>
      <c r="E357" s="3" t="n">
        <v>179.454</v>
      </c>
      <c r="F357" s="4" t="n">
        <v>33</v>
      </c>
      <c r="G357" t="inlineStr">
        <is>
          <t>Ontario Tennis Association</t>
        </is>
      </c>
      <c r="H357" t="inlineStr">
        <is>
          <t>Valan Tennis Academy</t>
        </is>
      </c>
      <c r="I357" t="n">
        <v>36.7</v>
      </c>
      <c r="J357" s="4" t="n">
        <v>196</v>
      </c>
      <c r="K357" t="inlineStr">
        <is>
          <t>69 / 127</t>
        </is>
      </c>
      <c r="L357" t="inlineStr">
        <is>
          <t>15 / 30</t>
        </is>
      </c>
      <c r="M357" s="5" t="n">
        <v>0.35</v>
      </c>
      <c r="N357" s="5" t="n">
        <v>0.33</v>
      </c>
    </row>
    <row r="358">
      <c r="A358" t="n">
        <v>357</v>
      </c>
      <c r="B358" t="n">
        <v>2015</v>
      </c>
      <c r="C358" t="inlineStr">
        <is>
          <t>Kynarra Tayt Burthwright</t>
        </is>
      </c>
      <c r="D358">
        <f>HYPERLINK("https://ota.tournamentsoftware.com/player-profile/54340729-CFE8-4AE6-B072-4BD29664CBEC", "Link")</f>
        <v/>
      </c>
      <c r="E358" s="3" t="n">
        <v>179.393</v>
      </c>
      <c r="F358" s="4" t="n">
        <v>24</v>
      </c>
      <c r="G358" t="inlineStr">
        <is>
          <t>Ontario Tennis Association</t>
        </is>
      </c>
      <c r="H358" t="inlineStr">
        <is>
          <t>Newmarket Community Tennis Club</t>
        </is>
      </c>
      <c r="I358" t="n">
        <v>34.7</v>
      </c>
      <c r="J358" s="4" t="n">
        <v>127</v>
      </c>
      <c r="K358" t="inlineStr">
        <is>
          <t>66 / 61</t>
        </is>
      </c>
      <c r="L358" t="inlineStr">
        <is>
          <t>29 / 28</t>
        </is>
      </c>
      <c r="M358" s="5" t="n">
        <v>0.52</v>
      </c>
      <c r="N358" s="5" t="n">
        <v>0.51</v>
      </c>
    </row>
    <row r="359">
      <c r="A359" t="n">
        <v>358</v>
      </c>
      <c r="B359" t="n">
        <v>2015</v>
      </c>
      <c r="C359" t="inlineStr">
        <is>
          <t>Brielle York</t>
        </is>
      </c>
      <c r="D359">
        <f>HYPERLINK("https://ota.tournamentsoftware.com/player-profile/C0B1A514-EDF7-4907-9E4D-D3B8C705EB1D", "Link")</f>
        <v/>
      </c>
      <c r="E359" s="3" t="n">
        <v>177.941</v>
      </c>
      <c r="F359" s="4" t="n">
        <v>16</v>
      </c>
      <c r="G359" t="inlineStr">
        <is>
          <t>Tennis Alberta</t>
        </is>
      </c>
      <c r="H359" t="inlineStr">
        <is>
          <t>Aforza</t>
        </is>
      </c>
      <c r="I359" t="n">
        <v>36.3</v>
      </c>
      <c r="J359" s="4" t="n">
        <v>144</v>
      </c>
      <c r="K359" t="inlineStr">
        <is>
          <t>68 / 76</t>
        </is>
      </c>
      <c r="L359" t="inlineStr">
        <is>
          <t>13 / 21</t>
        </is>
      </c>
      <c r="M359" s="5" t="n">
        <v>0.47</v>
      </c>
      <c r="N359" s="5" t="n">
        <v>0.38</v>
      </c>
    </row>
    <row r="360">
      <c r="A360" t="n">
        <v>359</v>
      </c>
      <c r="B360" t="n">
        <v>2012</v>
      </c>
      <c r="C360" t="inlineStr">
        <is>
          <t>Charlianne Grace Kiss</t>
        </is>
      </c>
      <c r="D360">
        <f>HYPERLINK("https://ota.tournamentsoftware.com/player-profile/09C918D2-187B-42AF-836D-E31A35062CB3", "Link")</f>
        <v/>
      </c>
      <c r="E360" s="3" t="n">
        <v>176.12</v>
      </c>
      <c r="F360" s="4" t="n">
        <v>10</v>
      </c>
      <c r="G360" t="inlineStr">
        <is>
          <t>Tennis Alberta</t>
        </is>
      </c>
      <c r="H360" t="inlineStr">
        <is>
          <t>Saville Community Sports Centre</t>
        </is>
      </c>
      <c r="I360" t="n">
        <v>35.9</v>
      </c>
      <c r="J360" s="4" t="n">
        <v>72</v>
      </c>
      <c r="K360" t="inlineStr">
        <is>
          <t>27 / 45</t>
        </is>
      </c>
      <c r="L360" t="inlineStr">
        <is>
          <t>9 / 15</t>
        </is>
      </c>
      <c r="M360" s="5" t="n">
        <v>0.38</v>
      </c>
      <c r="N360" s="5" t="n">
        <v>0.38</v>
      </c>
    </row>
    <row r="361">
      <c r="A361" t="n">
        <v>360</v>
      </c>
      <c r="B361" t="n">
        <v>2014</v>
      </c>
      <c r="C361" t="inlineStr">
        <is>
          <t>Nadia Stuparyk</t>
        </is>
      </c>
      <c r="D361">
        <f>HYPERLINK("https://ota.tournamentsoftware.com/player-profile/05ABA68F-2EB2-4BFB-B6CA-677BDD1DCDCA", "Link")</f>
        <v/>
      </c>
      <c r="E361" s="3" t="n">
        <v>173.522</v>
      </c>
      <c r="F361" s="4" t="n">
        <v>37</v>
      </c>
      <c r="G361" t="inlineStr">
        <is>
          <t>Ontario Tennis Association</t>
        </is>
      </c>
      <c r="H361" t="inlineStr">
        <is>
          <t>Parkside Tennis Club</t>
        </is>
      </c>
      <c r="I361" t="n">
        <v>33.3</v>
      </c>
      <c r="J361" s="4" t="n">
        <v>186</v>
      </c>
      <c r="K361" t="inlineStr">
        <is>
          <t>89 / 97</t>
        </is>
      </c>
      <c r="L361" t="inlineStr">
        <is>
          <t>24 / 21</t>
        </is>
      </c>
      <c r="M361" s="5" t="n">
        <v>0.48</v>
      </c>
      <c r="N361" s="5" t="n">
        <v>0.53</v>
      </c>
    </row>
    <row r="362">
      <c r="A362" t="n">
        <v>361</v>
      </c>
      <c r="B362" t="n">
        <v>2015</v>
      </c>
      <c r="C362" t="inlineStr">
        <is>
          <t>Isla J Green</t>
        </is>
      </c>
      <c r="D362">
        <f>HYPERLINK("https://ota.tournamentsoftware.com/player-profile/B2E098BE-DB7E-4756-BD31-93298500E09D", "Link")</f>
        <v/>
      </c>
      <c r="E362" s="3" t="n">
        <v>173.154</v>
      </c>
      <c r="F362" s="4" t="n">
        <v>26</v>
      </c>
      <c r="G362" t="inlineStr">
        <is>
          <t>Ontario Tennis Association</t>
        </is>
      </c>
      <c r="H362" t="inlineStr">
        <is>
          <t>Advantage Tennis International at Veneto</t>
        </is>
      </c>
      <c r="I362" t="n">
        <v>32.5</v>
      </c>
      <c r="J362" s="4" t="n">
        <v>245</v>
      </c>
      <c r="K362" t="inlineStr">
        <is>
          <t>164 / 81</t>
        </is>
      </c>
      <c r="L362" t="inlineStr">
        <is>
          <t>37 / 18</t>
        </is>
      </c>
      <c r="M362" s="5" t="n">
        <v>0.67</v>
      </c>
      <c r="N362" s="5" t="n">
        <v>0.67</v>
      </c>
    </row>
    <row r="363">
      <c r="A363" t="n">
        <v>362</v>
      </c>
      <c r="B363" t="n">
        <v>2012</v>
      </c>
      <c r="C363" t="inlineStr">
        <is>
          <t>Riley Lynn Banath</t>
        </is>
      </c>
      <c r="D363">
        <f>HYPERLINK("https://ota.tournamentsoftware.com/player-profile/4B613A1C-293C-4701-B6BA-BEC5F8EBDA29", "Link")</f>
        <v/>
      </c>
      <c r="E363" s="3" t="n">
        <v>173.105</v>
      </c>
      <c r="F363" s="4" t="n">
        <v>13</v>
      </c>
      <c r="G363" t="inlineStr">
        <is>
          <t>British Columbia</t>
        </is>
      </c>
      <c r="H363" t="inlineStr">
        <is>
          <t>Arbutus Club</t>
        </is>
      </c>
      <c r="I363" t="n">
        <v>37.4</v>
      </c>
      <c r="J363" s="4" t="n">
        <v>44</v>
      </c>
      <c r="K363" t="inlineStr">
        <is>
          <t>9 / 35</t>
        </is>
      </c>
      <c r="L363" t="inlineStr">
        <is>
          <t>5 / 20</t>
        </is>
      </c>
      <c r="M363" s="5" t="n">
        <v>0.2</v>
      </c>
      <c r="N363" s="5" t="n">
        <v>0.2</v>
      </c>
    </row>
    <row r="364">
      <c r="A364" t="n">
        <v>363</v>
      </c>
      <c r="B364" t="n">
        <v>2012</v>
      </c>
      <c r="C364" t="inlineStr">
        <is>
          <t>Amelia Jee</t>
        </is>
      </c>
      <c r="D364">
        <f>HYPERLINK("https://ota.tournamentsoftware.com/player-profile/485EA829-3893-4703-AF9A-1CF8D304CE5D", "Link")</f>
        <v/>
      </c>
      <c r="E364" s="3" t="n">
        <v>173.084</v>
      </c>
      <c r="F364" s="4" t="n">
        <v>12</v>
      </c>
      <c r="G364" t="inlineStr">
        <is>
          <t>Ontario Tennis Association</t>
        </is>
      </c>
      <c r="H364" t="inlineStr">
        <is>
          <t>Toronto Cricket Skating &amp; Curling</t>
        </is>
      </c>
      <c r="I364" t="n">
        <v>32.8</v>
      </c>
      <c r="J364" s="4" t="n">
        <v>125</v>
      </c>
      <c r="K364" t="inlineStr">
        <is>
          <t>53 / 72</t>
        </is>
      </c>
      <c r="L364" t="inlineStr">
        <is>
          <t>11 / 13</t>
        </is>
      </c>
      <c r="M364" s="5" t="n">
        <v>0.42</v>
      </c>
      <c r="N364" s="5" t="n">
        <v>0.46</v>
      </c>
    </row>
    <row r="365">
      <c r="A365" t="n">
        <v>364</v>
      </c>
      <c r="B365" t="n">
        <v>2012</v>
      </c>
      <c r="C365" t="inlineStr">
        <is>
          <t>Clémence Martin</t>
        </is>
      </c>
      <c r="D365">
        <f>HYPERLINK("https://ota.tournamentsoftware.com/player-profile/CF2B02DD-EFB8-49FD-8774-B98F78A30C1A", "Link")</f>
        <v/>
      </c>
      <c r="E365" s="3" t="n">
        <v>172.713</v>
      </c>
      <c r="F365" s="4" t="n">
        <v>4</v>
      </c>
      <c r="G365" t="inlineStr">
        <is>
          <t>Tennis Québec</t>
        </is>
      </c>
      <c r="H365" t="inlineStr">
        <is>
          <t>Centre sportif Sport Scène / Élite Tennis Académie</t>
        </is>
      </c>
      <c r="I365" t="n">
        <v>34.6</v>
      </c>
      <c r="J365" s="4" t="n">
        <v>32</v>
      </c>
      <c r="K365" t="inlineStr">
        <is>
          <t>18 / 14</t>
        </is>
      </c>
      <c r="L365" t="inlineStr">
        <is>
          <t>4 / 4</t>
        </is>
      </c>
      <c r="M365" s="5" t="n">
        <v>0.5600000000000001</v>
      </c>
      <c r="N365" s="5" t="n">
        <v>0.5</v>
      </c>
    </row>
    <row r="366">
      <c r="A366" t="n">
        <v>365</v>
      </c>
      <c r="B366" t="n">
        <v>2013</v>
      </c>
      <c r="C366" t="inlineStr">
        <is>
          <t>Alice Laganière</t>
        </is>
      </c>
      <c r="D366">
        <f>HYPERLINK("https://ota.tournamentsoftware.com/player-profile/C9532D29-EE9A-4084-ACB5-2DBCAD4DF862", "Link")</f>
        <v/>
      </c>
      <c r="E366" s="3" t="n">
        <v>171.17</v>
      </c>
      <c r="F366" s="4" t="n">
        <v>10</v>
      </c>
      <c r="G366" t="inlineStr">
        <is>
          <t>Tennis Québec</t>
        </is>
      </c>
      <c r="H366" t="inlineStr">
        <is>
          <t>Club de tennis intérieur Saguenay / École de tennis Delisle-Poirel</t>
        </is>
      </c>
      <c r="I366" t="n">
        <v>35.4</v>
      </c>
      <c r="J366" s="4" t="n">
        <v>39</v>
      </c>
      <c r="K366" t="inlineStr">
        <is>
          <t>13 / 26</t>
        </is>
      </c>
      <c r="L366" t="inlineStr">
        <is>
          <t>1 / 6</t>
        </is>
      </c>
      <c r="M366" s="5" t="n">
        <v>0.33</v>
      </c>
      <c r="N366" s="5" t="n">
        <v>0.14</v>
      </c>
    </row>
    <row r="367">
      <c r="A367" t="n">
        <v>366</v>
      </c>
      <c r="B367" t="n">
        <v>2015</v>
      </c>
      <c r="C367" t="inlineStr">
        <is>
          <t>Ruichu Rachel Piao</t>
        </is>
      </c>
      <c r="D367">
        <f>HYPERLINK("https://ota.tournamentsoftware.com/player-profile/13F65932-C96D-4F89-B571-4AA7315B2EEB", "Link")</f>
        <v/>
      </c>
      <c r="E367" s="3" t="n">
        <v>170.967</v>
      </c>
      <c r="F367" s="4" t="n">
        <v>14</v>
      </c>
      <c r="G367" t="inlineStr">
        <is>
          <t>Tennis Québec</t>
        </is>
      </c>
      <c r="H367" t="inlineStr">
        <is>
          <t>Tennis Ile- des- Soeurs</t>
        </is>
      </c>
      <c r="I367" t="inlineStr">
        <is>
          <t>unavailable</t>
        </is>
      </c>
      <c r="J367" s="4" t="n">
        <v>74</v>
      </c>
      <c r="K367" t="inlineStr">
        <is>
          <t>34 / 40</t>
        </is>
      </c>
      <c r="L367" t="inlineStr">
        <is>
          <t>7 / 12</t>
        </is>
      </c>
      <c r="M367" s="5" t="n">
        <v>0.46</v>
      </c>
      <c r="N367" s="5" t="n">
        <v>0.37</v>
      </c>
    </row>
    <row r="368">
      <c r="A368" t="n">
        <v>367</v>
      </c>
      <c r="B368" t="n">
        <v>2016</v>
      </c>
      <c r="C368" t="inlineStr">
        <is>
          <t>Dorothy Ning</t>
        </is>
      </c>
      <c r="D368">
        <f>HYPERLINK("https://ota.tournamentsoftware.com/player-profile/15BEDAE4-AB73-4AE9-B466-BA81BCA77DB1", "Link")</f>
        <v/>
      </c>
      <c r="E368" s="3" t="n">
        <v>170.72</v>
      </c>
      <c r="F368" s="4" t="n">
        <v>21</v>
      </c>
      <c r="G368" t="inlineStr">
        <is>
          <t>Ontario Tennis Association</t>
        </is>
      </c>
      <c r="H368" t="inlineStr">
        <is>
          <t>Toronto Tennis Academy</t>
        </is>
      </c>
      <c r="I368" t="inlineStr">
        <is>
          <t>unavailable</t>
        </is>
      </c>
      <c r="J368" s="4" t="n">
        <v>149</v>
      </c>
      <c r="K368" t="inlineStr">
        <is>
          <t>80 / 69</t>
        </is>
      </c>
      <c r="L368" t="inlineStr">
        <is>
          <t>21 / 14</t>
        </is>
      </c>
      <c r="M368" s="5" t="n">
        <v>0.54</v>
      </c>
      <c r="N368" s="5" t="n">
        <v>0.6</v>
      </c>
    </row>
    <row r="369">
      <c r="A369" t="n">
        <v>368</v>
      </c>
      <c r="B369" t="n">
        <v>2015</v>
      </c>
      <c r="C369" t="inlineStr">
        <is>
          <t>Adelaide Mossop</t>
        </is>
      </c>
      <c r="D369">
        <f>HYPERLINK("https://ota.tournamentsoftware.com/player-profile/0BA4F4DB-3133-41DE-9EE3-39EB4A609399", "Link")</f>
        <v/>
      </c>
      <c r="E369" s="3" t="n">
        <v>170.614</v>
      </c>
      <c r="F369" s="4" t="n">
        <v>11</v>
      </c>
      <c r="G369" t="inlineStr">
        <is>
          <t>Tennis Nova Scotia</t>
        </is>
      </c>
      <c r="H369" t="inlineStr">
        <is>
          <t>Atlantic Tennis Centre</t>
        </is>
      </c>
      <c r="I369" t="n">
        <v>36.1</v>
      </c>
      <c r="J369" s="4" t="n">
        <v>164</v>
      </c>
      <c r="K369" t="inlineStr">
        <is>
          <t>66 / 98</t>
        </is>
      </c>
      <c r="L369" t="inlineStr">
        <is>
          <t>15 / 25</t>
        </is>
      </c>
      <c r="M369" s="5" t="n">
        <v>0.4</v>
      </c>
      <c r="N369" s="5" t="n">
        <v>0.38</v>
      </c>
    </row>
    <row r="370">
      <c r="A370" t="n">
        <v>369</v>
      </c>
      <c r="B370" t="n">
        <v>2016</v>
      </c>
      <c r="C370" t="inlineStr">
        <is>
          <t>Amaranna Ugwunze</t>
        </is>
      </c>
      <c r="D370">
        <f>HYPERLINK("https://ota.tournamentsoftware.com/player-profile/2C6CBEBE-C5D2-4EC5-B283-CB703335834E", "Link")</f>
        <v/>
      </c>
      <c r="E370" s="3" t="n">
        <v>170.064</v>
      </c>
      <c r="F370" s="4" t="n">
        <v>18</v>
      </c>
      <c r="G370" t="inlineStr">
        <is>
          <t>Ontario Tennis Association</t>
        </is>
      </c>
      <c r="H370" t="inlineStr">
        <is>
          <t>Ontario Racquet Club</t>
        </is>
      </c>
      <c r="I370" t="n">
        <v>33.5</v>
      </c>
      <c r="J370" s="4" t="n">
        <v>92</v>
      </c>
      <c r="K370" t="inlineStr">
        <is>
          <t>49 / 43</t>
        </is>
      </c>
      <c r="L370" t="inlineStr">
        <is>
          <t>25 / 15</t>
        </is>
      </c>
      <c r="M370" s="5" t="n">
        <v>0.53</v>
      </c>
      <c r="N370" s="5" t="n">
        <v>0.62</v>
      </c>
    </row>
    <row r="371">
      <c r="A371" t="n">
        <v>370</v>
      </c>
      <c r="B371" t="n">
        <v>2015</v>
      </c>
      <c r="C371" t="inlineStr">
        <is>
          <t>Allison Penev</t>
        </is>
      </c>
      <c r="D371">
        <f>HYPERLINK("https://ota.tournamentsoftware.com/player-profile/C34C7D86-0233-454A-9C07-62AD41AF32CE", "Link")</f>
        <v/>
      </c>
      <c r="E371" s="3" t="n">
        <v>169.413</v>
      </c>
      <c r="F371" s="4" t="n">
        <v>21</v>
      </c>
      <c r="G371" t="inlineStr">
        <is>
          <t>Tennis Québec</t>
        </is>
      </c>
      <c r="H371" t="inlineStr">
        <is>
          <t>Carrefour Multisports</t>
        </is>
      </c>
      <c r="I371" t="n">
        <v>35.8</v>
      </c>
      <c r="J371" s="4" t="n">
        <v>152</v>
      </c>
      <c r="K371" t="inlineStr">
        <is>
          <t>65 / 87</t>
        </is>
      </c>
      <c r="L371" t="inlineStr">
        <is>
          <t>7 / 17</t>
        </is>
      </c>
      <c r="M371" s="5" t="n">
        <v>0.43</v>
      </c>
      <c r="N371" s="5" t="n">
        <v>0.29</v>
      </c>
    </row>
    <row r="372">
      <c r="A372" t="n">
        <v>371</v>
      </c>
      <c r="B372" t="n">
        <v>2012</v>
      </c>
      <c r="C372" t="inlineStr">
        <is>
          <t>Mavis Li</t>
        </is>
      </c>
      <c r="D372">
        <f>HYPERLINK("https://ota.tournamentsoftware.com/player-profile/FC8D1AE6-D9A0-409A-A095-1B2C12EDB359", "Link")</f>
        <v/>
      </c>
      <c r="E372" s="3" t="n">
        <v>168.577</v>
      </c>
      <c r="F372" s="4" t="n">
        <v>21</v>
      </c>
      <c r="G372" t="inlineStr">
        <is>
          <t>Ontario Tennis Association</t>
        </is>
      </c>
      <c r="H372" t="inlineStr">
        <is>
          <t>Blackmore Tennis Club</t>
        </is>
      </c>
      <c r="I372" t="n">
        <v>36.4</v>
      </c>
      <c r="J372" s="4" t="n">
        <v>64</v>
      </c>
      <c r="K372" t="inlineStr">
        <is>
          <t>22 / 42</t>
        </is>
      </c>
      <c r="L372" t="inlineStr">
        <is>
          <t>7 / 25</t>
        </is>
      </c>
      <c r="M372" s="5" t="n">
        <v>0.34</v>
      </c>
      <c r="N372" s="5" t="n">
        <v>0.22</v>
      </c>
    </row>
    <row r="373">
      <c r="A373" t="n">
        <v>372</v>
      </c>
      <c r="B373" t="n">
        <v>2015</v>
      </c>
      <c r="C373" t="inlineStr">
        <is>
          <t>Nora Firoozi</t>
        </is>
      </c>
      <c r="D373">
        <f>HYPERLINK("https://ota.tournamentsoftware.com/player-profile/328F4CA8-B72D-4F94-9BB6-3F666B5E0706", "Link")</f>
        <v/>
      </c>
      <c r="E373" s="3" t="n">
        <v>167.643</v>
      </c>
      <c r="F373" s="4" t="n">
        <v>18</v>
      </c>
      <c r="G373" t="inlineStr">
        <is>
          <t>British Columbia</t>
        </is>
      </c>
      <c r="H373" t="inlineStr">
        <is>
          <t>North Vancouver Tennis Centre</t>
        </is>
      </c>
      <c r="I373" t="n">
        <v>33.5</v>
      </c>
      <c r="J373" s="4" t="n">
        <v>165</v>
      </c>
      <c r="K373" t="inlineStr">
        <is>
          <t>81 / 84</t>
        </is>
      </c>
      <c r="L373" t="inlineStr">
        <is>
          <t>15 / 18</t>
        </is>
      </c>
      <c r="M373" s="5" t="n">
        <v>0.49</v>
      </c>
      <c r="N373" s="5" t="n">
        <v>0.45</v>
      </c>
    </row>
    <row r="374">
      <c r="A374" t="n">
        <v>373</v>
      </c>
      <c r="B374" t="n">
        <v>2014</v>
      </c>
      <c r="C374" t="inlineStr">
        <is>
          <t>Hunter Anne Wilkinson</t>
        </is>
      </c>
      <c r="D374">
        <f>HYPERLINK("https://ota.tournamentsoftware.com/player-profile/EB893DF0-DCAD-49C8-BAB9-0D044090A656", "Link")</f>
        <v/>
      </c>
      <c r="E374" s="3" t="n">
        <v>167.587</v>
      </c>
      <c r="F374" s="4" t="n">
        <v>20</v>
      </c>
      <c r="G374" t="inlineStr">
        <is>
          <t>Ontario Tennis Association</t>
        </is>
      </c>
      <c r="H374" t="inlineStr">
        <is>
          <t>GSM Tennis Club</t>
        </is>
      </c>
      <c r="I374" t="n">
        <v>33.9</v>
      </c>
      <c r="J374" s="4" t="n">
        <v>186</v>
      </c>
      <c r="K374" t="inlineStr">
        <is>
          <t>89 / 97</t>
        </is>
      </c>
      <c r="L374" t="inlineStr">
        <is>
          <t>12 / 14</t>
        </is>
      </c>
      <c r="M374" s="5" t="n">
        <v>0.48</v>
      </c>
      <c r="N374" s="5" t="n">
        <v>0.46</v>
      </c>
    </row>
    <row r="375">
      <c r="A375" t="n">
        <v>374</v>
      </c>
      <c r="B375" t="n">
        <v>2014</v>
      </c>
      <c r="C375" t="inlineStr">
        <is>
          <t>Sahana Bath</t>
        </is>
      </c>
      <c r="D375">
        <f>HYPERLINK("https://ota.tournamentsoftware.com/player-profile/25E19F82-227F-4B69-8295-16AA8F4F207F", "Link")</f>
        <v/>
      </c>
      <c r="E375" s="3" t="n">
        <v>166.44</v>
      </c>
      <c r="F375" s="4" t="n">
        <v>22</v>
      </c>
      <c r="G375" t="inlineStr">
        <is>
          <t>British Columbia</t>
        </is>
      </c>
      <c r="H375" t="inlineStr">
        <is>
          <t>The Tennis Centre</t>
        </is>
      </c>
      <c r="I375" t="n">
        <v>32.1</v>
      </c>
      <c r="J375" s="4" t="n">
        <v>174</v>
      </c>
      <c r="K375" t="inlineStr">
        <is>
          <t>100 / 74</t>
        </is>
      </c>
      <c r="L375" t="inlineStr">
        <is>
          <t>45 / 21</t>
        </is>
      </c>
      <c r="M375" s="5" t="n">
        <v>0.57</v>
      </c>
      <c r="N375" s="5" t="n">
        <v>0.68</v>
      </c>
    </row>
    <row r="376">
      <c r="A376" t="n">
        <v>375</v>
      </c>
      <c r="B376" t="n">
        <v>2012</v>
      </c>
      <c r="C376" t="inlineStr">
        <is>
          <t>Naomi Lucy McCrank</t>
        </is>
      </c>
      <c r="D376">
        <f>HYPERLINK("https://ota.tournamentsoftware.com/player-profile/68E80EA0-3999-4449-8E0B-83CC30E1EF77", "Link")</f>
        <v/>
      </c>
      <c r="E376" s="3" t="n">
        <v>166.417</v>
      </c>
      <c r="F376" s="4" t="n">
        <v>15</v>
      </c>
      <c r="G376" t="inlineStr">
        <is>
          <t>Tennis Alberta</t>
        </is>
      </c>
      <c r="H376" t="inlineStr">
        <is>
          <t>Aforza</t>
        </is>
      </c>
      <c r="I376" t="n">
        <v>33.5</v>
      </c>
      <c r="J376" s="4" t="n">
        <v>80</v>
      </c>
      <c r="K376" t="inlineStr">
        <is>
          <t>24 / 56</t>
        </is>
      </c>
      <c r="L376" t="inlineStr">
        <is>
          <t>8 / 11</t>
        </is>
      </c>
      <c r="M376" s="5" t="n">
        <v>0.3</v>
      </c>
      <c r="N376" s="5" t="n">
        <v>0.42</v>
      </c>
    </row>
    <row r="377">
      <c r="A377" t="n">
        <v>376</v>
      </c>
      <c r="B377" t="n">
        <v>2014</v>
      </c>
      <c r="C377" t="inlineStr">
        <is>
          <t>Grace Li</t>
        </is>
      </c>
      <c r="D377">
        <f>HYPERLINK("https://ota.tournamentsoftware.com/player-profile/5B95D38D-7E3D-4B41-B418-6B2307ED0863", "Link")</f>
        <v/>
      </c>
      <c r="E377" s="3" t="n">
        <v>166.105</v>
      </c>
      <c r="F377" s="4" t="n">
        <v>18</v>
      </c>
      <c r="G377" t="inlineStr">
        <is>
          <t>Tennis Québec</t>
        </is>
      </c>
      <c r="H377" t="inlineStr">
        <is>
          <t>Tennis 13</t>
        </is>
      </c>
      <c r="I377" t="n">
        <v>35.1</v>
      </c>
      <c r="J377" s="4" t="n">
        <v>165</v>
      </c>
      <c r="K377" t="inlineStr">
        <is>
          <t>71 / 94</t>
        </is>
      </c>
      <c r="L377" t="inlineStr">
        <is>
          <t>7 / 13</t>
        </is>
      </c>
      <c r="M377" s="5" t="n">
        <v>0.43</v>
      </c>
      <c r="N377" s="5" t="n">
        <v>0.35</v>
      </c>
    </row>
    <row r="378">
      <c r="A378" t="n">
        <v>377</v>
      </c>
      <c r="B378" t="n">
        <v>2013</v>
      </c>
      <c r="C378" t="inlineStr">
        <is>
          <t>Adriana Juliana Tambini</t>
        </is>
      </c>
      <c r="D378">
        <f>HYPERLINK("https://ota.tournamentsoftware.com/player-profile/7D7985A7-C189-4AE6-9641-F7EA5AE89364", "Link")</f>
        <v/>
      </c>
      <c r="E378" s="3" t="n">
        <v>165.937</v>
      </c>
      <c r="F378" s="4" t="n">
        <v>7</v>
      </c>
      <c r="G378" t="inlineStr">
        <is>
          <t>Ontario Tennis Association</t>
        </is>
      </c>
      <c r="H378" t="inlineStr">
        <is>
          <t>Headwaters Racquet Club</t>
        </is>
      </c>
      <c r="I378" t="n">
        <v>38.5</v>
      </c>
      <c r="J378" s="4" t="n">
        <v>23</v>
      </c>
      <c r="K378" t="inlineStr">
        <is>
          <t>12 / 11</t>
        </is>
      </c>
      <c r="L378" t="inlineStr">
        <is>
          <t>7 / 10</t>
        </is>
      </c>
      <c r="M378" s="5" t="n">
        <v>0.52</v>
      </c>
      <c r="N378" s="5" t="n">
        <v>0.41</v>
      </c>
    </row>
    <row r="379">
      <c r="A379" t="n">
        <v>378</v>
      </c>
      <c r="B379" t="n">
        <v>2013</v>
      </c>
      <c r="C379" t="inlineStr">
        <is>
          <t>Eva Eile</t>
        </is>
      </c>
      <c r="D379">
        <f>HYPERLINK("https://ota.tournamentsoftware.com/player-profile/EE5E7036-3979-48DF-A095-8C40584653EF", "Link")</f>
        <v/>
      </c>
      <c r="E379" s="3" t="n">
        <v>164.212</v>
      </c>
      <c r="F379" s="4" t="n">
        <v>15</v>
      </c>
      <c r="G379" t="inlineStr">
        <is>
          <t>Tennis Québec</t>
        </is>
      </c>
      <c r="H379" t="inlineStr">
        <is>
          <t>Midtown Le Sporting Club Sanctuaire</t>
        </is>
      </c>
      <c r="I379" t="n">
        <v>39.2</v>
      </c>
      <c r="J379" s="4" t="n">
        <v>24</v>
      </c>
      <c r="K379" t="inlineStr">
        <is>
          <t>3 / 21</t>
        </is>
      </c>
      <c r="L379" t="inlineStr">
        <is>
          <t>0 / 10</t>
        </is>
      </c>
      <c r="M379" s="5" t="n">
        <v>0.12</v>
      </c>
      <c r="N379" s="5" t="n">
        <v>0</v>
      </c>
    </row>
    <row r="380">
      <c r="A380" t="n">
        <v>379</v>
      </c>
      <c r="B380" t="n">
        <v>2013</v>
      </c>
      <c r="C380" t="inlineStr">
        <is>
          <t>Nisa Karim</t>
        </is>
      </c>
      <c r="D380">
        <f>HYPERLINK("https://ota.tournamentsoftware.com/player-profile/11CB5752-5D45-47AB-82AD-AC3D554873E5", "Link")</f>
        <v/>
      </c>
      <c r="E380" s="3" t="n">
        <v>163.167</v>
      </c>
      <c r="F380" s="4" t="n">
        <v>17</v>
      </c>
      <c r="G380" t="inlineStr">
        <is>
          <t>British Columbia</t>
        </is>
      </c>
      <c r="H380" t="inlineStr">
        <is>
          <t>Arbutus Club</t>
        </is>
      </c>
      <c r="I380" t="n">
        <v>34.7</v>
      </c>
      <c r="J380" s="4" t="n">
        <v>97</v>
      </c>
      <c r="K380" t="inlineStr">
        <is>
          <t>51 / 46</t>
        </is>
      </c>
      <c r="L380" t="inlineStr">
        <is>
          <t>17 / 20</t>
        </is>
      </c>
      <c r="M380" s="5" t="n">
        <v>0.53</v>
      </c>
      <c r="N380" s="5" t="n">
        <v>0.46</v>
      </c>
    </row>
    <row r="381">
      <c r="A381" t="n">
        <v>380</v>
      </c>
      <c r="B381" t="n">
        <v>2012</v>
      </c>
      <c r="C381" t="inlineStr">
        <is>
          <t>Sophia Zhang</t>
        </is>
      </c>
      <c r="D381">
        <f>HYPERLINK("https://ota.tournamentsoftware.com/player-profile/2BBD611B-69D1-4A97-AAC3-1D897498B21A", "Link")</f>
        <v/>
      </c>
      <c r="E381" s="3" t="n">
        <v>160.591</v>
      </c>
      <c r="F381" s="4" t="n">
        <v>12</v>
      </c>
      <c r="G381" t="inlineStr">
        <is>
          <t>Ontario Tennis Association</t>
        </is>
      </c>
      <c r="H381" t="inlineStr">
        <is>
          <t>Burlington Tennis Club</t>
        </is>
      </c>
      <c r="I381" t="inlineStr">
        <is>
          <t>unavailable</t>
        </is>
      </c>
      <c r="J381" s="4" t="n">
        <v>40</v>
      </c>
      <c r="K381" t="inlineStr">
        <is>
          <t>18 / 22</t>
        </is>
      </c>
      <c r="L381" t="inlineStr">
        <is>
          <t>12 / 11</t>
        </is>
      </c>
      <c r="M381" s="5" t="n">
        <v>0.45</v>
      </c>
      <c r="N381" s="5" t="n">
        <v>0.52</v>
      </c>
    </row>
    <row r="382">
      <c r="A382" t="n">
        <v>381</v>
      </c>
      <c r="B382" t="n">
        <v>2014</v>
      </c>
      <c r="C382" t="inlineStr">
        <is>
          <t>Eve Martel</t>
        </is>
      </c>
      <c r="D382">
        <f>HYPERLINK("https://ota.tournamentsoftware.com/player-profile/590DE091-4FC9-494D-A8AC-45DB223E71D8", "Link")</f>
        <v/>
      </c>
      <c r="E382" s="3" t="n">
        <v>160.307</v>
      </c>
      <c r="F382" s="4" t="n">
        <v>21</v>
      </c>
      <c r="G382" t="inlineStr">
        <is>
          <t>Tennis Québec</t>
        </is>
      </c>
      <c r="H382" t="inlineStr">
        <is>
          <t>Club Avantage Multi-sports / Académie de tennis Hérisset Bordeleau</t>
        </is>
      </c>
      <c r="I382" t="inlineStr">
        <is>
          <t>unavailable</t>
        </is>
      </c>
      <c r="J382" s="4" t="n">
        <v>130</v>
      </c>
      <c r="K382" t="inlineStr">
        <is>
          <t>41 / 89</t>
        </is>
      </c>
      <c r="L382" t="inlineStr">
        <is>
          <t>12 / 17</t>
        </is>
      </c>
      <c r="M382" s="5" t="n">
        <v>0.32</v>
      </c>
      <c r="N382" s="5" t="n">
        <v>0.41</v>
      </c>
    </row>
    <row r="383">
      <c r="A383" t="n">
        <v>382</v>
      </c>
      <c r="B383" t="n">
        <v>2013</v>
      </c>
      <c r="C383" t="inlineStr">
        <is>
          <t>Renée Jugalbot</t>
        </is>
      </c>
      <c r="D383">
        <f>HYPERLINK("https://ota.tournamentsoftware.com/player-profile/A487A79B-AB42-4314-BD75-6EFD99F64BC7", "Link")</f>
        <v/>
      </c>
      <c r="E383" s="3" t="n">
        <v>159.393</v>
      </c>
      <c r="F383" s="4" t="n">
        <v>26</v>
      </c>
      <c r="G383" t="inlineStr">
        <is>
          <t>Ontario Tennis Association</t>
        </is>
      </c>
      <c r="H383" t="inlineStr">
        <is>
          <t>Rosedale Tennis Club (Hamilton)</t>
        </is>
      </c>
      <c r="I383" t="n">
        <v>36</v>
      </c>
      <c r="J383" s="4" t="n">
        <v>85</v>
      </c>
      <c r="K383" t="inlineStr">
        <is>
          <t>34 / 51</t>
        </is>
      </c>
      <c r="L383" t="inlineStr">
        <is>
          <t>16 / 24</t>
        </is>
      </c>
      <c r="M383" s="5" t="n">
        <v>0.4</v>
      </c>
      <c r="N383" s="5" t="n">
        <v>0.4</v>
      </c>
    </row>
    <row r="384">
      <c r="A384" t="n">
        <v>383</v>
      </c>
      <c r="B384" t="n">
        <v>2013</v>
      </c>
      <c r="C384" t="inlineStr">
        <is>
          <t>Diya Vasudeva</t>
        </is>
      </c>
      <c r="D384">
        <f>HYPERLINK("https://ota.tournamentsoftware.com/player-profile/81C22EEF-F10A-4447-AF45-2B9B6D1A7F5B", "Link")</f>
        <v/>
      </c>
      <c r="E384" s="3" t="n">
        <v>159.16</v>
      </c>
      <c r="F384" s="4" t="n">
        <v>9</v>
      </c>
      <c r="G384" t="inlineStr">
        <is>
          <t>Ontario Tennis Association</t>
        </is>
      </c>
      <c r="H384" t="inlineStr">
        <is>
          <t>ACE Tennis - Burlington</t>
        </is>
      </c>
      <c r="I384" t="n">
        <v>36.4</v>
      </c>
      <c r="J384" s="4" t="n">
        <v>99</v>
      </c>
      <c r="K384" t="inlineStr">
        <is>
          <t>34 / 65</t>
        </is>
      </c>
      <c r="L384" t="inlineStr">
        <is>
          <t>5 / 10</t>
        </is>
      </c>
      <c r="M384" s="5" t="n">
        <v>0.34</v>
      </c>
      <c r="N384" s="5" t="n">
        <v>0.33</v>
      </c>
    </row>
    <row r="385">
      <c r="A385" t="n">
        <v>384</v>
      </c>
      <c r="B385" t="n">
        <v>2017</v>
      </c>
      <c r="C385" t="inlineStr">
        <is>
          <t>Yuetwing, Doris Li</t>
        </is>
      </c>
      <c r="D385">
        <f>HYPERLINK("https://ota.tournamentsoftware.com/player-profile/C901A65F-E3DE-47DE-A4BC-21149FEBA20C", "Link")</f>
        <v/>
      </c>
      <c r="E385" s="3" t="n">
        <v>157.026</v>
      </c>
      <c r="F385" s="4" t="n">
        <v>4</v>
      </c>
      <c r="G385" t="inlineStr">
        <is>
          <t>Ontario Tennis Association</t>
        </is>
      </c>
      <c r="H385" t="inlineStr">
        <is>
          <t>No Club</t>
        </is>
      </c>
      <c r="I385" t="n">
        <v>32.7</v>
      </c>
      <c r="J385" s="4" t="n">
        <v>16</v>
      </c>
      <c r="K385" t="inlineStr">
        <is>
          <t>14 / 2</t>
        </is>
      </c>
      <c r="L385" t="inlineStr">
        <is>
          <t>10 / 2</t>
        </is>
      </c>
      <c r="M385" s="5" t="n">
        <v>0.88</v>
      </c>
      <c r="N385" s="5" t="n">
        <v>0.83</v>
      </c>
    </row>
    <row r="386">
      <c r="A386" t="n">
        <v>385</v>
      </c>
      <c r="B386" t="n">
        <v>2013</v>
      </c>
      <c r="C386" t="inlineStr">
        <is>
          <t>Kate Penalba</t>
        </is>
      </c>
      <c r="D386">
        <f>HYPERLINK("https://ota.tournamentsoftware.com/player-profile/C3F08CFB-765E-4234-8D01-16CB3E717037", "Link")</f>
        <v/>
      </c>
      <c r="E386" s="3" t="n">
        <v>154.591</v>
      </c>
      <c r="F386" s="4" t="n">
        <v>17</v>
      </c>
      <c r="G386" t="inlineStr">
        <is>
          <t>Ontario Tennis Association</t>
        </is>
      </c>
      <c r="H386" t="inlineStr">
        <is>
          <t>Henry Farm Tennis Club</t>
        </is>
      </c>
      <c r="I386" t="n">
        <v>35</v>
      </c>
      <c r="J386" s="4" t="n">
        <v>130</v>
      </c>
      <c r="K386" t="inlineStr">
        <is>
          <t>52 / 78</t>
        </is>
      </c>
      <c r="L386" t="inlineStr">
        <is>
          <t>9 / 16</t>
        </is>
      </c>
      <c r="M386" s="5" t="n">
        <v>0.4</v>
      </c>
      <c r="N386" s="5" t="n">
        <v>0.36</v>
      </c>
    </row>
    <row r="387">
      <c r="A387" t="n">
        <v>386</v>
      </c>
      <c r="B387" t="n">
        <v>2013</v>
      </c>
      <c r="C387" t="inlineStr">
        <is>
          <t>Gabrielle Pompa</t>
        </is>
      </c>
      <c r="D387">
        <f>HYPERLINK("https://ota.tournamentsoftware.com/player-profile/668A29C0-962F-4DAD-B317-933787C09DCF", "Link")</f>
        <v/>
      </c>
      <c r="E387" s="3" t="n">
        <v>153.753</v>
      </c>
      <c r="F387" s="4" t="n">
        <v>7</v>
      </c>
      <c r="G387" t="inlineStr">
        <is>
          <t>Tennis Alberta</t>
        </is>
      </c>
      <c r="H387" t="inlineStr">
        <is>
          <t>Aforza</t>
        </is>
      </c>
      <c r="I387" t="n">
        <v>29.1</v>
      </c>
      <c r="J387" s="4" t="n">
        <v>162</v>
      </c>
      <c r="K387" t="inlineStr">
        <is>
          <t>111 / 51</t>
        </is>
      </c>
      <c r="L387" t="inlineStr">
        <is>
          <t>6 / 4</t>
        </is>
      </c>
      <c r="M387" s="5" t="n">
        <v>0.6899999999999999</v>
      </c>
      <c r="N387" s="5" t="n">
        <v>0.6</v>
      </c>
    </row>
    <row r="388">
      <c r="A388" t="n">
        <v>387</v>
      </c>
      <c r="B388" t="n">
        <v>2017</v>
      </c>
      <c r="C388" t="inlineStr">
        <is>
          <t>Nalayah Smith</t>
        </is>
      </c>
      <c r="D388">
        <f>HYPERLINK("https://ota.tournamentsoftware.com/player-profile/6F913BA8-58BB-4BEE-9CA1-8E064E1332B8", "Link")</f>
        <v/>
      </c>
      <c r="E388" s="3" t="n">
        <v>153.154</v>
      </c>
      <c r="F388" s="4" t="n">
        <v>20</v>
      </c>
      <c r="G388" t="inlineStr">
        <is>
          <t>Ontario Tennis Association</t>
        </is>
      </c>
      <c r="H388" t="inlineStr">
        <is>
          <t>SmartVMC Racquetsports by ACE</t>
        </is>
      </c>
      <c r="I388" t="n">
        <v>33.6</v>
      </c>
      <c r="J388" s="4" t="n">
        <v>133</v>
      </c>
      <c r="K388" t="inlineStr">
        <is>
          <t>85 / 48</t>
        </is>
      </c>
      <c r="L388" t="inlineStr">
        <is>
          <t>30 / 15</t>
        </is>
      </c>
      <c r="M388" s="5" t="n">
        <v>0.64</v>
      </c>
      <c r="N388" s="5" t="n">
        <v>0.67</v>
      </c>
    </row>
    <row r="389">
      <c r="A389" t="n">
        <v>388</v>
      </c>
      <c r="B389" t="n">
        <v>2014</v>
      </c>
      <c r="C389" t="inlineStr">
        <is>
          <t>Andrea Robles Sgambatti</t>
        </is>
      </c>
      <c r="D389">
        <f>HYPERLINK("https://ota.tournamentsoftware.com/player-profile/842B5763-8026-4DFF-BD28-4FA110C3A345", "Link")</f>
        <v/>
      </c>
      <c r="E389" s="3" t="n">
        <v>152.162</v>
      </c>
      <c r="F389" s="4" t="n">
        <v>17</v>
      </c>
      <c r="G389" t="inlineStr">
        <is>
          <t>Tennis Alberta</t>
        </is>
      </c>
      <c r="H389" t="inlineStr">
        <is>
          <t>Osten &amp; Victor Alberta Tennis Centre</t>
        </is>
      </c>
      <c r="I389" t="n">
        <v>34.2</v>
      </c>
      <c r="J389" s="4" t="n">
        <v>150</v>
      </c>
      <c r="K389" t="inlineStr">
        <is>
          <t>62 / 88</t>
        </is>
      </c>
      <c r="L389" t="inlineStr">
        <is>
          <t>13 / 20</t>
        </is>
      </c>
      <c r="M389" s="5" t="n">
        <v>0.41</v>
      </c>
      <c r="N389" s="5" t="n">
        <v>0.39</v>
      </c>
    </row>
    <row r="390">
      <c r="A390" t="n">
        <v>389</v>
      </c>
      <c r="B390" t="n">
        <v>2017</v>
      </c>
      <c r="C390" t="inlineStr">
        <is>
          <t>Ella Nicolaeva</t>
        </is>
      </c>
      <c r="D390">
        <f>HYPERLINK("https://ota.tournamentsoftware.com/player-profile/7A11DAF6-4353-49AB-8591-07AB86D11272", "Link")</f>
        <v/>
      </c>
      <c r="E390" s="3" t="n">
        <v>150.858</v>
      </c>
      <c r="F390" s="4" t="n">
        <v>38</v>
      </c>
      <c r="G390" t="inlineStr">
        <is>
          <t>Ontario Tennis Association</t>
        </is>
      </c>
      <c r="H390" t="inlineStr">
        <is>
          <t>Valan Tennis Academy</t>
        </is>
      </c>
      <c r="I390" t="n">
        <v>34</v>
      </c>
      <c r="J390" s="4" t="n">
        <v>186</v>
      </c>
      <c r="K390" t="inlineStr">
        <is>
          <t>129 / 57</t>
        </is>
      </c>
      <c r="L390" t="inlineStr">
        <is>
          <t>40 / 27</t>
        </is>
      </c>
      <c r="M390" s="5" t="n">
        <v>0.6899999999999999</v>
      </c>
      <c r="N390" s="5" t="n">
        <v>0.6</v>
      </c>
    </row>
    <row r="391">
      <c r="A391" t="n">
        <v>390</v>
      </c>
      <c r="B391" t="n">
        <v>2014</v>
      </c>
      <c r="C391" t="inlineStr">
        <is>
          <t>Rain Yu Chan</t>
        </is>
      </c>
      <c r="D391">
        <f>HYPERLINK("https://ota.tournamentsoftware.com/player-profile/BF26AD2D-BAAC-4E82-A862-14039C1584F2", "Link")</f>
        <v/>
      </c>
      <c r="E391" s="3" t="n">
        <v>150.379</v>
      </c>
      <c r="F391" s="4" t="n">
        <v>33</v>
      </c>
      <c r="G391" t="inlineStr">
        <is>
          <t>British Columbia</t>
        </is>
      </c>
      <c r="H391" t="inlineStr">
        <is>
          <t>Burnaby Tennis Club</t>
        </is>
      </c>
      <c r="I391" t="inlineStr">
        <is>
          <t>unavailable</t>
        </is>
      </c>
      <c r="J391" s="4" t="n">
        <v>203</v>
      </c>
      <c r="K391" t="inlineStr">
        <is>
          <t>95 / 108</t>
        </is>
      </c>
      <c r="L391" t="inlineStr">
        <is>
          <t>29 / 31</t>
        </is>
      </c>
      <c r="M391" s="5" t="n">
        <v>0.47</v>
      </c>
      <c r="N391" s="5" t="n">
        <v>0.48</v>
      </c>
    </row>
    <row r="392">
      <c r="A392" t="n">
        <v>391</v>
      </c>
      <c r="B392" t="n">
        <v>2013</v>
      </c>
      <c r="C392" t="inlineStr">
        <is>
          <t>Jaheema Jajah Joseph</t>
        </is>
      </c>
      <c r="D392">
        <f>HYPERLINK("https://ota.tournamentsoftware.com/player-profile/2C08ABD4-0853-4E02-96D6-4CBDA8251E2A", "Link")</f>
        <v/>
      </c>
      <c r="E392" s="3" t="n">
        <v>149.601</v>
      </c>
      <c r="F392" s="4" t="n">
        <v>17</v>
      </c>
      <c r="G392" t="inlineStr">
        <is>
          <t>Tennis Québec</t>
        </is>
      </c>
      <c r="H392" t="inlineStr">
        <is>
          <t>Tennis Montréal</t>
        </is>
      </c>
      <c r="I392" t="n">
        <v>36.9</v>
      </c>
      <c r="J392" s="4" t="n">
        <v>93</v>
      </c>
      <c r="K392" t="inlineStr">
        <is>
          <t>38 / 55</t>
        </is>
      </c>
      <c r="L392" t="inlineStr">
        <is>
          <t>6 / 15</t>
        </is>
      </c>
      <c r="M392" s="5" t="n">
        <v>0.41</v>
      </c>
      <c r="N392" s="5" t="n">
        <v>0.29</v>
      </c>
    </row>
    <row r="393">
      <c r="A393" t="n">
        <v>392</v>
      </c>
      <c r="B393" t="n">
        <v>2013</v>
      </c>
      <c r="C393" t="inlineStr">
        <is>
          <t>Aarushi Pal</t>
        </is>
      </c>
      <c r="D393">
        <f>HYPERLINK("https://ota.tournamentsoftware.com/player-profile/F5E1E459-0A97-4C1F-8F37-D8CEF64DA1FA", "Link")</f>
        <v/>
      </c>
      <c r="E393" s="3" t="n">
        <v>149.571</v>
      </c>
      <c r="F393" s="4" t="n">
        <v>14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33.8</v>
      </c>
      <c r="J393" s="4" t="n">
        <v>165</v>
      </c>
      <c r="K393" t="inlineStr">
        <is>
          <t>81 / 84</t>
        </is>
      </c>
      <c r="L393" t="inlineStr">
        <is>
          <t>5 / 12</t>
        </is>
      </c>
      <c r="M393" s="5" t="n">
        <v>0.49</v>
      </c>
      <c r="N393" s="5" t="n">
        <v>0.29</v>
      </c>
    </row>
    <row r="394">
      <c r="A394" t="n">
        <v>393</v>
      </c>
      <c r="B394" t="n">
        <v>2015</v>
      </c>
      <c r="C394" t="inlineStr">
        <is>
          <t>Stefaniia Grimailo</t>
        </is>
      </c>
      <c r="D394">
        <f>HYPERLINK("https://ota.tournamentsoftware.com/player-profile/63AAF188-F773-4BFA-B6C2-97B1DFB9AF3A", "Link")</f>
        <v/>
      </c>
      <c r="E394" s="3" t="n">
        <v>147.389</v>
      </c>
      <c r="F394" s="4" t="n">
        <v>9</v>
      </c>
      <c r="G394" t="inlineStr">
        <is>
          <t>Tennis Manitoba</t>
        </is>
      </c>
      <c r="H394" t="inlineStr">
        <is>
          <t>Winnipeg Winter Club</t>
        </is>
      </c>
      <c r="I394" t="n">
        <v>38.6</v>
      </c>
      <c r="J394" s="4" t="n">
        <v>64</v>
      </c>
      <c r="K394" t="inlineStr">
        <is>
          <t>9 / 55</t>
        </is>
      </c>
      <c r="L394" t="inlineStr">
        <is>
          <t>2 / 25</t>
        </is>
      </c>
      <c r="M394" s="5" t="n">
        <v>0.14</v>
      </c>
      <c r="N394" s="5" t="n">
        <v>0.07000000000000001</v>
      </c>
    </row>
    <row r="395">
      <c r="A395" t="n">
        <v>394</v>
      </c>
      <c r="B395" t="n">
        <v>2012</v>
      </c>
      <c r="C395" t="inlineStr">
        <is>
          <t>Gaëlle Jodoin</t>
        </is>
      </c>
      <c r="D395">
        <f>HYPERLINK("https://ota.tournamentsoftware.com/player-profile/A3792AFC-E32E-4258-8FA9-9240021C6401", "Link")</f>
        <v/>
      </c>
      <c r="E395" s="3" t="n">
        <v>147.089</v>
      </c>
      <c r="F395" s="4" t="n">
        <v>5</v>
      </c>
      <c r="G395" t="inlineStr">
        <is>
          <t>Tennis Québec</t>
        </is>
      </c>
      <c r="H395" t="inlineStr">
        <is>
          <t>Tennis 13</t>
        </is>
      </c>
      <c r="I395" t="n">
        <v>38.5</v>
      </c>
      <c r="J395" s="4" t="n">
        <v>87</v>
      </c>
      <c r="K395" t="inlineStr">
        <is>
          <t>14 / 73</t>
        </is>
      </c>
      <c r="L395" t="inlineStr">
        <is>
          <t>0 / 3</t>
        </is>
      </c>
      <c r="M395" s="5" t="n">
        <v>0.16</v>
      </c>
      <c r="N395" s="5" t="n">
        <v>0</v>
      </c>
    </row>
    <row r="396">
      <c r="A396" t="n">
        <v>395</v>
      </c>
      <c r="B396" t="n">
        <v>2012</v>
      </c>
      <c r="C396" t="inlineStr">
        <is>
          <t>Chloe Park</t>
        </is>
      </c>
      <c r="D396">
        <f>HYPERLINK("https://ota.tournamentsoftware.com/player-profile/FD8FB9A4-F5D9-4A90-AA66-D8E6FC3D3BC5", "Link")</f>
        <v/>
      </c>
      <c r="E396" s="3" t="n">
        <v>146.362</v>
      </c>
      <c r="F396" s="4" t="n">
        <v>4</v>
      </c>
      <c r="G396" t="inlineStr">
        <is>
          <t>Tennis Prince Edward Island</t>
        </is>
      </c>
      <c r="H396" t="inlineStr">
        <is>
          <t>No Club</t>
        </is>
      </c>
      <c r="I396" t="n">
        <v>35.8</v>
      </c>
      <c r="J396" s="4" t="n">
        <v>50</v>
      </c>
      <c r="K396" t="inlineStr">
        <is>
          <t>10 / 40</t>
        </is>
      </c>
      <c r="L396" t="inlineStr">
        <is>
          <t>5 / 9</t>
        </is>
      </c>
      <c r="M396" s="5" t="n">
        <v>0.2</v>
      </c>
      <c r="N396" s="5" t="n">
        <v>0.36</v>
      </c>
    </row>
    <row r="397">
      <c r="A397" t="n">
        <v>396</v>
      </c>
      <c r="B397" t="n">
        <v>2015</v>
      </c>
      <c r="C397" t="inlineStr">
        <is>
          <t>Emma Lucenti</t>
        </is>
      </c>
      <c r="D397">
        <f>HYPERLINK("https://ota.tournamentsoftware.com/player-profile/F174A813-5F1A-4B24-BDFF-B6E6160FE2EB", "Link")</f>
        <v/>
      </c>
      <c r="E397" s="3" t="n">
        <v>146.068</v>
      </c>
      <c r="F397" s="4" t="n">
        <v>11</v>
      </c>
      <c r="G397" t="inlineStr">
        <is>
          <t>Ontario Tennis Association</t>
        </is>
      </c>
      <c r="H397" t="inlineStr">
        <is>
          <t>SmartVMC Racquetsports by ACE</t>
        </is>
      </c>
      <c r="I397" t="n">
        <v>35.7</v>
      </c>
      <c r="J397" s="4" t="n">
        <v>82</v>
      </c>
      <c r="K397" t="inlineStr">
        <is>
          <t>28 / 54</t>
        </is>
      </c>
      <c r="L397" t="inlineStr">
        <is>
          <t>7 / 12</t>
        </is>
      </c>
      <c r="M397" s="5" t="n">
        <v>0.34</v>
      </c>
      <c r="N397" s="5" t="n">
        <v>0.37</v>
      </c>
    </row>
    <row r="398">
      <c r="A398" t="n">
        <v>397</v>
      </c>
      <c r="B398" t="n">
        <v>2015</v>
      </c>
      <c r="C398" t="inlineStr">
        <is>
          <t>Elaina York</t>
        </is>
      </c>
      <c r="D398">
        <f>HYPERLINK("https://ota.tournamentsoftware.com/player-profile/7D4D2F10-C754-4560-B490-903FD1C70ADE", "Link")</f>
        <v/>
      </c>
      <c r="E398" s="3" t="n">
        <v>145.952</v>
      </c>
      <c r="F398" s="4" t="n">
        <v>16</v>
      </c>
      <c r="G398" t="inlineStr">
        <is>
          <t>Tennis Alberta</t>
        </is>
      </c>
      <c r="H398" t="inlineStr">
        <is>
          <t>Aforza</t>
        </is>
      </c>
      <c r="I398" t="n">
        <v>34.9</v>
      </c>
      <c r="J398" s="4" t="n">
        <v>149</v>
      </c>
      <c r="K398" t="inlineStr">
        <is>
          <t>61 / 88</t>
        </is>
      </c>
      <c r="L398" t="inlineStr">
        <is>
          <t>15 / 23</t>
        </is>
      </c>
      <c r="M398" s="5" t="n">
        <v>0.41</v>
      </c>
      <c r="N398" s="5" t="n">
        <v>0.39</v>
      </c>
    </row>
    <row r="399">
      <c r="A399" t="n">
        <v>398</v>
      </c>
      <c r="B399" t="n">
        <v>2014</v>
      </c>
      <c r="C399" t="inlineStr">
        <is>
          <t>Sofia Zhuchenko</t>
        </is>
      </c>
      <c r="D399">
        <f>HYPERLINK("https://ota.tournamentsoftware.com/player-profile/F633DD21-A0C3-4CAC-B560-7222D07936B7", "Link")</f>
        <v/>
      </c>
      <c r="E399" s="3" t="n">
        <v>145.261</v>
      </c>
      <c r="F399" s="4" t="n">
        <v>15</v>
      </c>
      <c r="G399" t="inlineStr">
        <is>
          <t>Tennis Alberta</t>
        </is>
      </c>
      <c r="H399" t="inlineStr">
        <is>
          <t>Osten &amp; Victor Alberta Tennis Centre</t>
        </is>
      </c>
      <c r="I399" t="n">
        <v>33.5</v>
      </c>
      <c r="J399" s="4" t="n">
        <v>111</v>
      </c>
      <c r="K399" t="inlineStr">
        <is>
          <t>43 / 68</t>
        </is>
      </c>
      <c r="L399" t="inlineStr">
        <is>
          <t>13 / 18</t>
        </is>
      </c>
      <c r="M399" s="5" t="n">
        <v>0.39</v>
      </c>
      <c r="N399" s="5" t="n">
        <v>0.42</v>
      </c>
    </row>
    <row r="400">
      <c r="A400" t="n">
        <v>399</v>
      </c>
      <c r="B400" t="n">
        <v>2014</v>
      </c>
      <c r="C400" t="inlineStr">
        <is>
          <t>Kira Wong</t>
        </is>
      </c>
      <c r="D400">
        <f>HYPERLINK("https://ota.tournamentsoftware.com/player-profile/E305B648-4548-45A0-B043-623E1473C7E5", "Link")</f>
        <v/>
      </c>
      <c r="E400" s="3" t="n">
        <v>144.621</v>
      </c>
      <c r="F400" s="4" t="n">
        <v>24</v>
      </c>
      <c r="G400" t="inlineStr">
        <is>
          <t>Tennis Alberta</t>
        </is>
      </c>
      <c r="H400" t="inlineStr">
        <is>
          <t>Aforza</t>
        </is>
      </c>
      <c r="I400" t="n">
        <v>35.2</v>
      </c>
      <c r="J400" s="4" t="n">
        <v>130</v>
      </c>
      <c r="K400" t="inlineStr">
        <is>
          <t>48 / 82</t>
        </is>
      </c>
      <c r="L400" t="inlineStr">
        <is>
          <t>24 / 28</t>
        </is>
      </c>
      <c r="M400" s="5" t="n">
        <v>0.37</v>
      </c>
      <c r="N400" s="5" t="n">
        <v>0.46</v>
      </c>
    </row>
    <row r="401">
      <c r="A401" t="n">
        <v>400</v>
      </c>
      <c r="B401" t="n">
        <v>2016</v>
      </c>
      <c r="C401" t="inlineStr">
        <is>
          <t>Milana Piazza</t>
        </is>
      </c>
      <c r="D401">
        <f>HYPERLINK("https://ota.tournamentsoftware.com/player-profile/4CDBB0C3-0D8B-4D7B-873C-3CEC65600FA0", "Link")</f>
        <v/>
      </c>
      <c r="E401" s="3" t="n">
        <v>144.058</v>
      </c>
      <c r="F401" s="4" t="n">
        <v>12</v>
      </c>
      <c r="G401" t="inlineStr">
        <is>
          <t>Tennis Québec</t>
        </is>
      </c>
      <c r="H401" t="inlineStr">
        <is>
          <t>Tennis 13</t>
        </is>
      </c>
      <c r="I401" t="n">
        <v>32.9</v>
      </c>
      <c r="J401" s="4" t="n">
        <v>92</v>
      </c>
      <c r="K401" t="inlineStr">
        <is>
          <t>56 / 36</t>
        </is>
      </c>
      <c r="L401" t="inlineStr">
        <is>
          <t>23 / 8</t>
        </is>
      </c>
      <c r="M401" s="5" t="n">
        <v>0.61</v>
      </c>
      <c r="N401" s="5" t="n">
        <v>0.74</v>
      </c>
    </row>
    <row r="402">
      <c r="A402" t="n">
        <v>401</v>
      </c>
      <c r="B402" t="n">
        <v>2015</v>
      </c>
      <c r="C402" t="inlineStr">
        <is>
          <t>Vera Toptounov</t>
        </is>
      </c>
      <c r="D402">
        <f>HYPERLINK("https://ota.tournamentsoftware.com/player-profile/6AC05446-ED22-406D-9460-F30F3FC8B16B", "Link")</f>
        <v/>
      </c>
      <c r="E402" s="3" t="n">
        <v>144.013</v>
      </c>
      <c r="F402" s="4" t="n">
        <v>20</v>
      </c>
      <c r="G402" t="inlineStr">
        <is>
          <t>Ontario Tennis Association</t>
        </is>
      </c>
      <c r="H402" t="inlineStr">
        <is>
          <t>SmartVMC Racquetsports by ACE</t>
        </is>
      </c>
      <c r="I402" t="n">
        <v>35.5</v>
      </c>
      <c r="J402" s="4" t="n">
        <v>106</v>
      </c>
      <c r="K402" t="inlineStr">
        <is>
          <t>46 / 60</t>
        </is>
      </c>
      <c r="L402" t="inlineStr">
        <is>
          <t>12 / 16</t>
        </is>
      </c>
      <c r="M402" s="5" t="n">
        <v>0.43</v>
      </c>
      <c r="N402" s="5" t="n">
        <v>0.43</v>
      </c>
    </row>
    <row r="403">
      <c r="A403" t="n">
        <v>402</v>
      </c>
      <c r="B403" t="n">
        <v>2014</v>
      </c>
      <c r="C403" t="inlineStr">
        <is>
          <t>Sarah Gottlieb</t>
        </is>
      </c>
      <c r="D403">
        <f>HYPERLINK("https://ota.tournamentsoftware.com/player-profile/BD51254A-E036-424C-B89A-FB47A73C0DC5", "Link")</f>
        <v/>
      </c>
      <c r="E403" s="3" t="n">
        <v>143.604</v>
      </c>
      <c r="F403" s="4" t="n">
        <v>5</v>
      </c>
      <c r="G403" t="inlineStr">
        <is>
          <t>Tennis Québec</t>
        </is>
      </c>
      <c r="H403" t="inlineStr">
        <is>
          <t>Tennis 13</t>
        </is>
      </c>
      <c r="I403" t="n">
        <v>33.5</v>
      </c>
      <c r="J403" s="4" t="n">
        <v>92</v>
      </c>
      <c r="K403" t="inlineStr">
        <is>
          <t>46 / 46</t>
        </is>
      </c>
      <c r="L403" t="inlineStr">
        <is>
          <t>1 / 2</t>
        </is>
      </c>
      <c r="M403" s="5" t="n">
        <v>0.5</v>
      </c>
      <c r="N403" s="5" t="n">
        <v>0.33</v>
      </c>
    </row>
    <row r="404">
      <c r="A404" t="n">
        <v>403</v>
      </c>
      <c r="B404" t="n">
        <v>2015</v>
      </c>
      <c r="C404" t="inlineStr">
        <is>
          <t>Theia Zhang</t>
        </is>
      </c>
      <c r="D404">
        <f>HYPERLINK("https://ota.tournamentsoftware.com/player-profile/8628DB3F-1A24-45E1-A1F1-727AFFD593DD", "Link")</f>
        <v/>
      </c>
      <c r="E404" s="3" t="n">
        <v>142.594</v>
      </c>
      <c r="F404" s="4" t="n">
        <v>11</v>
      </c>
      <c r="G404" t="inlineStr">
        <is>
          <t>Ontario Tennis Association</t>
        </is>
      </c>
      <c r="H404" t="inlineStr">
        <is>
          <t>Premier Racquet Clubs – Mississauga</t>
        </is>
      </c>
      <c r="I404" t="n">
        <v>35.8</v>
      </c>
      <c r="J404" s="4" t="n">
        <v>102</v>
      </c>
      <c r="K404" t="inlineStr">
        <is>
          <t>48 / 54</t>
        </is>
      </c>
      <c r="L404" t="inlineStr">
        <is>
          <t>1 / 6</t>
        </is>
      </c>
      <c r="M404" s="5" t="n">
        <v>0.47</v>
      </c>
      <c r="N404" s="5" t="n">
        <v>0.14</v>
      </c>
    </row>
    <row r="405">
      <c r="A405" t="n">
        <v>404</v>
      </c>
      <c r="B405" t="n">
        <v>2014</v>
      </c>
      <c r="C405" t="inlineStr">
        <is>
          <t>Melissa Yi Nuo Yang</t>
        </is>
      </c>
      <c r="D405">
        <f>HYPERLINK("https://ota.tournamentsoftware.com/player-profile/870FB276-B8EA-4586-B0F5-B2318D4B1CD6", "Link")</f>
        <v/>
      </c>
      <c r="E405" s="3" t="n">
        <v>139.267</v>
      </c>
      <c r="F405" s="4" t="n">
        <v>18</v>
      </c>
      <c r="G405" t="inlineStr">
        <is>
          <t>Tennis Québec</t>
        </is>
      </c>
      <c r="H405" t="inlineStr">
        <is>
          <t>Club Sportif Côte-de-Liesse</t>
        </is>
      </c>
      <c r="I405" t="n">
        <v>32.9</v>
      </c>
      <c r="J405" s="4" t="n">
        <v>86</v>
      </c>
      <c r="K405" t="inlineStr">
        <is>
          <t>44 / 42</t>
        </is>
      </c>
      <c r="L405" t="inlineStr">
        <is>
          <t>24 / 11</t>
        </is>
      </c>
      <c r="M405" s="5" t="n">
        <v>0.51</v>
      </c>
      <c r="N405" s="5" t="n">
        <v>0.6899999999999999</v>
      </c>
    </row>
    <row r="406">
      <c r="A406" t="n">
        <v>405</v>
      </c>
      <c r="B406" t="n">
        <v>2012</v>
      </c>
      <c r="C406" t="inlineStr">
        <is>
          <t>Spencer Xie</t>
        </is>
      </c>
      <c r="D406">
        <f>HYPERLINK("https://ota.tournamentsoftware.com/player-profile/E8C882F3-740E-4E76-A249-7FC036AFD1F8", "Link")</f>
        <v/>
      </c>
      <c r="E406" s="3" t="n">
        <v>138.244</v>
      </c>
      <c r="F406" s="4" t="n">
        <v>12</v>
      </c>
      <c r="G406" t="inlineStr">
        <is>
          <t>Ontario Tennis Association</t>
        </is>
      </c>
      <c r="H406" t="inlineStr">
        <is>
          <t>Granite Club</t>
        </is>
      </c>
      <c r="I406" t="n">
        <v>35.2</v>
      </c>
      <c r="J406" s="4" t="n">
        <v>71</v>
      </c>
      <c r="K406" t="inlineStr">
        <is>
          <t>19 / 52</t>
        </is>
      </c>
      <c r="L406" t="inlineStr">
        <is>
          <t>6 / 13</t>
        </is>
      </c>
      <c r="M406" s="5" t="n">
        <v>0.27</v>
      </c>
      <c r="N406" s="5" t="n">
        <v>0.32</v>
      </c>
    </row>
    <row r="407">
      <c r="A407" t="n">
        <v>406</v>
      </c>
      <c r="B407" t="n">
        <v>2013</v>
      </c>
      <c r="C407" t="inlineStr">
        <is>
          <t>Audrey Ziqi Liu</t>
        </is>
      </c>
      <c r="D407">
        <f>HYPERLINK("https://ota.tournamentsoftware.com/player-profile/C2E6156A-D7ED-45A1-B728-0FA7A8D2D6A1", "Link")</f>
        <v/>
      </c>
      <c r="E407" s="3" t="n">
        <v>138.106</v>
      </c>
      <c r="F407" s="4" t="n">
        <v>11</v>
      </c>
      <c r="G407" t="inlineStr">
        <is>
          <t>British Columbia</t>
        </is>
      </c>
      <c r="H407" t="inlineStr">
        <is>
          <t>UBC Tennis Centre</t>
        </is>
      </c>
      <c r="I407" t="n">
        <v>34.8</v>
      </c>
      <c r="J407" s="4" t="n">
        <v>28</v>
      </c>
      <c r="K407" t="inlineStr">
        <is>
          <t>9 / 19</t>
        </is>
      </c>
      <c r="L407" t="inlineStr">
        <is>
          <t>8 / 17</t>
        </is>
      </c>
      <c r="M407" s="5" t="n">
        <v>0.32</v>
      </c>
      <c r="N407" s="5" t="n">
        <v>0.32</v>
      </c>
    </row>
    <row r="408">
      <c r="A408" t="n">
        <v>407</v>
      </c>
      <c r="B408" t="n">
        <v>2012</v>
      </c>
      <c r="C408" t="inlineStr">
        <is>
          <t>Sophia Hamel</t>
        </is>
      </c>
      <c r="D408">
        <f>HYPERLINK("https://ota.tournamentsoftware.com/player-profile/D6C2A4EC-5F86-459B-A81E-7C31F47AD78D", "Link")</f>
        <v/>
      </c>
      <c r="E408" s="3" t="n">
        <v>135.331</v>
      </c>
      <c r="F408" s="4" t="n">
        <v>9</v>
      </c>
      <c r="G408" t="inlineStr">
        <is>
          <t>Tennis Québec</t>
        </is>
      </c>
      <c r="H408" t="inlineStr">
        <is>
          <t>Rouge et Or - Université Laval</t>
        </is>
      </c>
      <c r="I408" t="n">
        <v>35</v>
      </c>
      <c r="J408" s="4" t="n">
        <v>71</v>
      </c>
      <c r="K408" t="inlineStr">
        <is>
          <t>15 / 56</t>
        </is>
      </c>
      <c r="L408" t="inlineStr">
        <is>
          <t>6 / 11</t>
        </is>
      </c>
      <c r="M408" s="5" t="n">
        <v>0.21</v>
      </c>
      <c r="N408" s="5" t="n">
        <v>0.35</v>
      </c>
    </row>
    <row r="409">
      <c r="A409" t="n">
        <v>408</v>
      </c>
      <c r="B409" t="n">
        <v>2012</v>
      </c>
      <c r="C409" t="inlineStr">
        <is>
          <t>Aila Olivia Brimacombe</t>
        </is>
      </c>
      <c r="D409">
        <f>HYPERLINK("https://ota.tournamentsoftware.com/player-profile/665F5A6C-3B65-4541-A5CF-6A84DC235104", "Link")</f>
        <v/>
      </c>
      <c r="E409" s="3" t="n">
        <v>134.944</v>
      </c>
      <c r="F409" s="4" t="n">
        <v>22</v>
      </c>
      <c r="G409" t="inlineStr">
        <is>
          <t>British Columbia</t>
        </is>
      </c>
      <c r="H409" t="inlineStr">
        <is>
          <t>West Vancouver Tennis Club</t>
        </is>
      </c>
      <c r="I409" t="n">
        <v>35.6</v>
      </c>
      <c r="J409" s="4" t="n">
        <v>115</v>
      </c>
      <c r="K409" t="inlineStr">
        <is>
          <t>19 / 96</t>
        </is>
      </c>
      <c r="L409" t="inlineStr">
        <is>
          <t>9 / 31</t>
        </is>
      </c>
      <c r="M409" s="5" t="n">
        <v>0.17</v>
      </c>
      <c r="N409" s="5" t="n">
        <v>0.23</v>
      </c>
    </row>
    <row r="410">
      <c r="A410" t="n">
        <v>409</v>
      </c>
      <c r="B410" t="n">
        <v>2015</v>
      </c>
      <c r="C410" t="inlineStr">
        <is>
          <t>Anya De Lain</t>
        </is>
      </c>
      <c r="D410">
        <f>HYPERLINK("https://ota.tournamentsoftware.com/player-profile/563B79E2-A8FE-4D68-B224-8FB6861F2D7F", "Link")</f>
        <v/>
      </c>
      <c r="E410" s="3" t="n">
        <v>134.241</v>
      </c>
      <c r="F410" s="4" t="n">
        <v>14</v>
      </c>
      <c r="G410" t="inlineStr">
        <is>
          <t>Tennis Québec</t>
        </is>
      </c>
      <c r="H410" t="inlineStr">
        <is>
          <t>EB Tennis inc.</t>
        </is>
      </c>
      <c r="I410" t="n">
        <v>40</v>
      </c>
      <c r="J410" s="4" t="n">
        <v>90</v>
      </c>
      <c r="K410" t="inlineStr">
        <is>
          <t>16 / 74</t>
        </is>
      </c>
      <c r="L410" t="inlineStr">
        <is>
          <t>2 / 18</t>
        </is>
      </c>
      <c r="M410" s="5" t="n">
        <v>0.18</v>
      </c>
      <c r="N410" s="5" t="n">
        <v>0.1</v>
      </c>
    </row>
    <row r="411">
      <c r="A411" t="n">
        <v>410</v>
      </c>
      <c r="B411" t="n">
        <v>2015</v>
      </c>
      <c r="C411" t="inlineStr">
        <is>
          <t>Blake Badger</t>
        </is>
      </c>
      <c r="D411">
        <f>HYPERLINK("https://ota.tournamentsoftware.com/player-profile/33B72483-1E5D-4043-8C06-81F76F0504E6", "Link")</f>
        <v/>
      </c>
      <c r="E411" s="3" t="n">
        <v>133.817</v>
      </c>
      <c r="F411" s="4" t="n">
        <v>4</v>
      </c>
      <c r="G411" t="inlineStr">
        <is>
          <t>Tennis Saskatchewan</t>
        </is>
      </c>
      <c r="H411" t="inlineStr">
        <is>
          <t>Lakeshore Tennis Club</t>
        </is>
      </c>
      <c r="I411" t="n">
        <v>38.3</v>
      </c>
      <c r="J411" s="4" t="n">
        <v>63</v>
      </c>
      <c r="K411" t="inlineStr">
        <is>
          <t>20 / 43</t>
        </is>
      </c>
      <c r="L411" t="inlineStr">
        <is>
          <t>2 / 7</t>
        </is>
      </c>
      <c r="M411" s="5" t="n">
        <v>0.32</v>
      </c>
      <c r="N411" s="5" t="n">
        <v>0.22</v>
      </c>
    </row>
    <row r="412">
      <c r="A412" t="n">
        <v>411</v>
      </c>
      <c r="B412" t="n">
        <v>2014</v>
      </c>
      <c r="C412" t="inlineStr">
        <is>
          <t>Jaynaëlle Isaac</t>
        </is>
      </c>
      <c r="D412">
        <f>HYPERLINK("https://ota.tournamentsoftware.com/player-profile/6748F07C-41D2-4D26-87D9-8636B60DC389", "Link")</f>
        <v/>
      </c>
      <c r="E412" s="3" t="n">
        <v>132.874</v>
      </c>
      <c r="F412" s="4" t="n">
        <v>11</v>
      </c>
      <c r="G412" t="inlineStr">
        <is>
          <t>Tennis Québec</t>
        </is>
      </c>
      <c r="H412" t="inlineStr">
        <is>
          <t>No Club</t>
        </is>
      </c>
      <c r="I412" t="n">
        <v>32.4</v>
      </c>
      <c r="J412" s="4" t="n">
        <v>124</v>
      </c>
      <c r="K412" t="inlineStr">
        <is>
          <t>49 / 75</t>
        </is>
      </c>
      <c r="L412" t="inlineStr">
        <is>
          <t>9 / 11</t>
        </is>
      </c>
      <c r="M412" s="5" t="n">
        <v>0.4</v>
      </c>
      <c r="N412" s="5" t="n">
        <v>0.45</v>
      </c>
    </row>
    <row r="413">
      <c r="A413" t="n">
        <v>412</v>
      </c>
      <c r="B413" t="n">
        <v>2013</v>
      </c>
      <c r="C413" t="inlineStr">
        <is>
          <t>Olivia Xing</t>
        </is>
      </c>
      <c r="D413">
        <f>HYPERLINK("https://ota.tournamentsoftware.com/player-profile/03475BC0-CC60-490A-8E94-0D82D43C8EDC", "Link")</f>
        <v/>
      </c>
      <c r="E413" s="3" t="n">
        <v>132.497</v>
      </c>
      <c r="F413" s="4" t="n">
        <v>17</v>
      </c>
      <c r="G413" t="inlineStr">
        <is>
          <t>British Columbia</t>
        </is>
      </c>
      <c r="H413" t="inlineStr">
        <is>
          <t>Vancouver Lawn Tennis and Badminton Club</t>
        </is>
      </c>
      <c r="I413" t="inlineStr">
        <is>
          <t>unavailable</t>
        </is>
      </c>
      <c r="J413" s="4" t="n">
        <v>117</v>
      </c>
      <c r="K413" t="inlineStr">
        <is>
          <t>57 / 60</t>
        </is>
      </c>
      <c r="L413" t="inlineStr">
        <is>
          <t>10 / 13</t>
        </is>
      </c>
      <c r="M413" s="5" t="n">
        <v>0.49</v>
      </c>
      <c r="N413" s="5" t="n">
        <v>0.43</v>
      </c>
    </row>
    <row r="414">
      <c r="A414" t="n">
        <v>413</v>
      </c>
      <c r="B414" t="n">
        <v>2013</v>
      </c>
      <c r="C414" t="inlineStr">
        <is>
          <t>Zoé Pilon</t>
        </is>
      </c>
      <c r="D414">
        <f>HYPERLINK("https://ota.tournamentsoftware.com/player-profile/5CF92DF6-CB3B-4E9E-9D03-B9CC6481DEBA", "Link")</f>
        <v/>
      </c>
      <c r="E414" s="3" t="n">
        <v>131.911</v>
      </c>
      <c r="F414" s="4" t="n">
        <v>11</v>
      </c>
      <c r="G414" t="inlineStr">
        <is>
          <t>Tennis Québec</t>
        </is>
      </c>
      <c r="H414" t="inlineStr">
        <is>
          <t>Tennis Interclub Piedmont</t>
        </is>
      </c>
      <c r="I414" t="n">
        <v>37.4</v>
      </c>
      <c r="J414" s="4" t="n">
        <v>21</v>
      </c>
      <c r="K414" t="inlineStr">
        <is>
          <t>7 / 14</t>
        </is>
      </c>
      <c r="L414" t="inlineStr">
        <is>
          <t>3 / 11</t>
        </is>
      </c>
      <c r="M414" s="5" t="n">
        <v>0.33</v>
      </c>
      <c r="N414" s="5" t="n">
        <v>0.21</v>
      </c>
    </row>
    <row r="415">
      <c r="A415" t="n">
        <v>414</v>
      </c>
      <c r="B415" t="n">
        <v>2015</v>
      </c>
      <c r="C415" t="inlineStr">
        <is>
          <t>Athisayah Viji</t>
        </is>
      </c>
      <c r="D415">
        <f>HYPERLINK("https://ota.tournamentsoftware.com/player-profile/C8684F68-4EF9-414D-BDA9-FC73111C2DB8", "Link")</f>
        <v/>
      </c>
      <c r="E415" s="3" t="n">
        <v>131.362</v>
      </c>
      <c r="F415" s="4" t="n">
        <v>18</v>
      </c>
      <c r="G415" t="inlineStr">
        <is>
          <t>British Columbia</t>
        </is>
      </c>
      <c r="H415" t="inlineStr">
        <is>
          <t>The Tennis Centre</t>
        </is>
      </c>
      <c r="I415" t="n">
        <v>31.9</v>
      </c>
      <c r="J415" s="4" t="n">
        <v>122</v>
      </c>
      <c r="K415" t="inlineStr">
        <is>
          <t>72 / 50</t>
        </is>
      </c>
      <c r="L415" t="inlineStr">
        <is>
          <t>32 / 15</t>
        </is>
      </c>
      <c r="M415" s="5" t="n">
        <v>0.59</v>
      </c>
      <c r="N415" s="5" t="n">
        <v>0.68</v>
      </c>
    </row>
    <row r="416">
      <c r="A416" t="n">
        <v>415</v>
      </c>
      <c r="B416" t="n">
        <v>2014</v>
      </c>
      <c r="C416" t="inlineStr">
        <is>
          <t>Olivia Weiwei Kong</t>
        </is>
      </c>
      <c r="D416">
        <f>HYPERLINK("https://ota.tournamentsoftware.com/player-profile/D959AEB1-2F72-4DC3-9FC0-C7595A80CDA0", "Link")</f>
        <v/>
      </c>
      <c r="E416" s="3" t="n">
        <v>130.887</v>
      </c>
      <c r="F416" s="4" t="n">
        <v>6</v>
      </c>
      <c r="G416" t="inlineStr">
        <is>
          <t>Tennis Saskatchewan</t>
        </is>
      </c>
      <c r="H416" t="inlineStr">
        <is>
          <t>Lakeshore Tennis Club</t>
        </is>
      </c>
      <c r="I416" t="n">
        <v>35.8</v>
      </c>
      <c r="J416" s="4" t="n">
        <v>91</v>
      </c>
      <c r="K416" t="inlineStr">
        <is>
          <t>23 / 68</t>
        </is>
      </c>
      <c r="L416" t="inlineStr">
        <is>
          <t>4 / 11</t>
        </is>
      </c>
      <c r="M416" s="5" t="n">
        <v>0.25</v>
      </c>
      <c r="N416" s="5" t="n">
        <v>0.27</v>
      </c>
    </row>
    <row r="417">
      <c r="A417" t="n">
        <v>416</v>
      </c>
      <c r="B417" t="n">
        <v>2012</v>
      </c>
      <c r="C417" t="inlineStr">
        <is>
          <t>Eliana Yiannacouras</t>
        </is>
      </c>
      <c r="D417">
        <f>HYPERLINK("https://ota.tournamentsoftware.com/player-profile/B77AA2DD-5FF4-4B16-8ABD-E6ED22D4B5E1", "Link")</f>
        <v/>
      </c>
      <c r="E417" s="3" t="n">
        <v>130.395</v>
      </c>
      <c r="F417" s="4" t="n">
        <v>13</v>
      </c>
      <c r="G417" t="inlineStr">
        <is>
          <t>Ontario Tennis Association</t>
        </is>
      </c>
      <c r="H417" t="inlineStr">
        <is>
          <t>The Supreme Court Tennis Club</t>
        </is>
      </c>
      <c r="I417" t="n">
        <v>34.6</v>
      </c>
      <c r="J417" s="4" t="n">
        <v>97</v>
      </c>
      <c r="K417" t="inlineStr">
        <is>
          <t>25 / 72</t>
        </is>
      </c>
      <c r="L417" t="inlineStr">
        <is>
          <t>6 / 9</t>
        </is>
      </c>
      <c r="M417" s="5" t="n">
        <v>0.26</v>
      </c>
      <c r="N417" s="5" t="n">
        <v>0.4</v>
      </c>
    </row>
    <row r="418">
      <c r="A418" t="n">
        <v>417</v>
      </c>
      <c r="B418" t="n">
        <v>2016</v>
      </c>
      <c r="C418" t="inlineStr">
        <is>
          <t>Eva Yanakieva</t>
        </is>
      </c>
      <c r="D418">
        <f>HYPERLINK("https://ota.tournamentsoftware.com/player-profile/7FBBEC05-D20C-448B-93F1-1F8C6BA80758", "Link")</f>
        <v/>
      </c>
      <c r="E418" s="3" t="n">
        <v>129.733</v>
      </c>
      <c r="F418" s="4" t="n">
        <v>20</v>
      </c>
      <c r="G418" t="inlineStr">
        <is>
          <t>Tennis Québec</t>
        </is>
      </c>
      <c r="H418" t="inlineStr">
        <is>
          <t>Tennis Montréal Excellence</t>
        </is>
      </c>
      <c r="I418" t="n">
        <v>35.7</v>
      </c>
      <c r="J418" s="4" t="n">
        <v>175</v>
      </c>
      <c r="K418" t="inlineStr">
        <is>
          <t>84 / 91</t>
        </is>
      </c>
      <c r="L418" t="inlineStr">
        <is>
          <t>23 / 23</t>
        </is>
      </c>
      <c r="M418" s="5" t="n">
        <v>0.48</v>
      </c>
      <c r="N418" s="5" t="n">
        <v>0.5</v>
      </c>
    </row>
    <row r="419">
      <c r="A419" t="n">
        <v>418</v>
      </c>
      <c r="B419" t="n">
        <v>2014</v>
      </c>
      <c r="C419" t="inlineStr">
        <is>
          <t>Scarlett Hannah Yip</t>
        </is>
      </c>
      <c r="D419">
        <f>HYPERLINK("https://ota.tournamentsoftware.com/player-profile/D01B38C8-E207-4D1F-B33D-970B1F8BDC78", "Link")</f>
        <v/>
      </c>
      <c r="E419" s="3" t="n">
        <v>128.523</v>
      </c>
      <c r="F419" s="4" t="n">
        <v>12</v>
      </c>
      <c r="G419" t="inlineStr">
        <is>
          <t>Tennis Alberta</t>
        </is>
      </c>
      <c r="H419" t="inlineStr">
        <is>
          <t>Osten &amp; Victor Alberta Tennis Centre</t>
        </is>
      </c>
      <c r="I419" t="n">
        <v>33.7</v>
      </c>
      <c r="J419" s="4" t="n">
        <v>146</v>
      </c>
      <c r="K419" t="inlineStr">
        <is>
          <t>65 / 81</t>
        </is>
      </c>
      <c r="L419" t="inlineStr">
        <is>
          <t>6 / 8</t>
        </is>
      </c>
      <c r="M419" s="5" t="n">
        <v>0.45</v>
      </c>
      <c r="N419" s="5" t="n">
        <v>0.43</v>
      </c>
    </row>
    <row r="420">
      <c r="A420" t="n">
        <v>419</v>
      </c>
      <c r="B420" t="n">
        <v>2014</v>
      </c>
      <c r="C420" t="inlineStr">
        <is>
          <t>Afsoune Wassel</t>
        </is>
      </c>
      <c r="D420">
        <f>HYPERLINK("https://ota.tournamentsoftware.com/player-profile/72D5D7A1-94DE-47DF-B01E-F83205C53092", "Link")</f>
        <v/>
      </c>
      <c r="E420" s="3" t="n">
        <v>128.099</v>
      </c>
      <c r="F420" s="4" t="n">
        <v>22</v>
      </c>
      <c r="G420" t="inlineStr">
        <is>
          <t>Tennis Québec</t>
        </is>
      </c>
      <c r="H420" t="inlineStr">
        <is>
          <t>SANI Sport</t>
        </is>
      </c>
      <c r="I420" t="n">
        <v>34.7</v>
      </c>
      <c r="J420" s="4" t="n">
        <v>118</v>
      </c>
      <c r="K420" t="inlineStr">
        <is>
          <t>59 / 59</t>
        </is>
      </c>
      <c r="L420" t="inlineStr">
        <is>
          <t>7 / 13</t>
        </is>
      </c>
      <c r="M420" s="5" t="n">
        <v>0.5</v>
      </c>
      <c r="N420" s="5" t="n">
        <v>0.35</v>
      </c>
    </row>
    <row r="421">
      <c r="A421" t="n">
        <v>420</v>
      </c>
      <c r="B421" t="n">
        <v>2014</v>
      </c>
      <c r="C421" t="inlineStr">
        <is>
          <t>Grace Wu</t>
        </is>
      </c>
      <c r="D421">
        <f>HYPERLINK("https://ota.tournamentsoftware.com/player-profile/0E55C3D7-7F72-4CDB-9BC3-2D90797931A5", "Link")</f>
        <v/>
      </c>
      <c r="E421" s="3" t="n">
        <v>127.426</v>
      </c>
      <c r="F421" s="4" t="n">
        <v>6</v>
      </c>
      <c r="G421" t="inlineStr">
        <is>
          <t>British Columbia</t>
        </is>
      </c>
      <c r="H421" t="inlineStr">
        <is>
          <t>The Tennis Centre</t>
        </is>
      </c>
      <c r="I421" t="n">
        <v>32.1</v>
      </c>
      <c r="J421" s="4" t="n">
        <v>96</v>
      </c>
      <c r="K421" t="inlineStr">
        <is>
          <t>63 / 33</t>
        </is>
      </c>
      <c r="L421" t="inlineStr">
        <is>
          <t>3 / 4</t>
        </is>
      </c>
      <c r="M421" s="5" t="n">
        <v>0.66</v>
      </c>
      <c r="N421" s="5" t="n">
        <v>0.43</v>
      </c>
    </row>
    <row r="422">
      <c r="A422" t="n">
        <v>421</v>
      </c>
      <c r="B422" t="n">
        <v>2014</v>
      </c>
      <c r="C422" t="inlineStr">
        <is>
          <t>Mikayla Avani Mahanandan</t>
        </is>
      </c>
      <c r="D422">
        <f>HYPERLINK("https://ota.tournamentsoftware.com/player-profile/DAFD5F0F-733D-4242-B572-5905268B6041", "Link")</f>
        <v/>
      </c>
      <c r="E422" s="3" t="n">
        <v>127.05</v>
      </c>
      <c r="F422" s="4" t="n">
        <v>24</v>
      </c>
      <c r="G422" t="inlineStr">
        <is>
          <t>Ontario Tennis Association</t>
        </is>
      </c>
      <c r="H422" t="inlineStr">
        <is>
          <t>Premier Racquet Clubs – Mississauga</t>
        </is>
      </c>
      <c r="I422" t="inlineStr">
        <is>
          <t>unavailable</t>
        </is>
      </c>
      <c r="J422" s="4" t="n">
        <v>110</v>
      </c>
      <c r="K422" t="inlineStr">
        <is>
          <t>38 / 72</t>
        </is>
      </c>
      <c r="L422" t="inlineStr">
        <is>
          <t>14 / 23</t>
        </is>
      </c>
      <c r="M422" s="5" t="n">
        <v>0.35</v>
      </c>
      <c r="N422" s="5" t="n">
        <v>0.38</v>
      </c>
    </row>
    <row r="423">
      <c r="A423" t="n">
        <v>422</v>
      </c>
      <c r="B423" t="n">
        <v>2015</v>
      </c>
      <c r="C423" t="inlineStr">
        <is>
          <t>Isla Suokas</t>
        </is>
      </c>
      <c r="D423">
        <f>HYPERLINK("https://ota.tournamentsoftware.com/player-profile/4CF0CDA6-2600-4F1B-8775-31212B766E74", "Link")</f>
        <v/>
      </c>
      <c r="E423" s="3" t="n">
        <v>126</v>
      </c>
      <c r="F423" s="4" t="n">
        <v>23</v>
      </c>
      <c r="G423" t="inlineStr">
        <is>
          <t>Ontario Tennis Association</t>
        </is>
      </c>
      <c r="H423" t="inlineStr">
        <is>
          <t>Boulevard Club</t>
        </is>
      </c>
      <c r="I423" t="n">
        <v>34.7</v>
      </c>
      <c r="J423" s="4" t="n">
        <v>100</v>
      </c>
      <c r="K423" t="inlineStr">
        <is>
          <t>60 / 40</t>
        </is>
      </c>
      <c r="L423" t="inlineStr">
        <is>
          <t>25 / 17</t>
        </is>
      </c>
      <c r="M423" s="5" t="n">
        <v>0.6</v>
      </c>
      <c r="N423" s="5" t="n">
        <v>0.6</v>
      </c>
    </row>
    <row r="424">
      <c r="A424" t="n">
        <v>423</v>
      </c>
      <c r="B424" t="n">
        <v>2014</v>
      </c>
      <c r="C424" t="inlineStr">
        <is>
          <t>myra Malik</t>
        </is>
      </c>
      <c r="D424">
        <f>HYPERLINK("https://ota.tournamentsoftware.com/player-profile/B5B677E5-44EA-48DD-95B7-05BF38E3758B", "Link")</f>
        <v/>
      </c>
      <c r="E424" s="3" t="n">
        <v>125.896</v>
      </c>
      <c r="F424" s="4" t="n">
        <v>26</v>
      </c>
      <c r="G424" t="inlineStr">
        <is>
          <t>British Columbia</t>
        </is>
      </c>
      <c r="H424" t="inlineStr">
        <is>
          <t>The Tennis Centre</t>
        </is>
      </c>
      <c r="I424" t="n">
        <v>33.2</v>
      </c>
      <c r="J424" s="4" t="n">
        <v>66</v>
      </c>
      <c r="K424" t="inlineStr">
        <is>
          <t>30 / 36</t>
        </is>
      </c>
      <c r="L424" t="inlineStr">
        <is>
          <t>23 / 22</t>
        </is>
      </c>
      <c r="M424" s="5" t="n">
        <v>0.45</v>
      </c>
      <c r="N424" s="5" t="n">
        <v>0.51</v>
      </c>
    </row>
    <row r="425">
      <c r="A425" t="n">
        <v>424</v>
      </c>
      <c r="B425" t="n">
        <v>2015</v>
      </c>
      <c r="C425" t="inlineStr">
        <is>
          <t>Xinyue Grace zhu</t>
        </is>
      </c>
      <c r="D425">
        <f>HYPERLINK("https://ota.tournamentsoftware.com/player-profile/9C1D6B37-A27B-4B15-8F8F-72E6D4418B50", "Link")</f>
        <v/>
      </c>
      <c r="E425" s="3" t="n">
        <v>124.998</v>
      </c>
      <c r="F425" s="4" t="n">
        <v>12</v>
      </c>
      <c r="G425" t="inlineStr">
        <is>
          <t>British Columbia</t>
        </is>
      </c>
      <c r="H425" t="inlineStr">
        <is>
          <t>North Vancouver Tennis Centre</t>
        </is>
      </c>
      <c r="I425" t="inlineStr">
        <is>
          <t>unavailable</t>
        </is>
      </c>
      <c r="J425" s="4" t="n">
        <v>184</v>
      </c>
      <c r="K425" t="inlineStr">
        <is>
          <t>111 / 73</t>
        </is>
      </c>
      <c r="L425" t="inlineStr">
        <is>
          <t>12 / 10</t>
        </is>
      </c>
      <c r="M425" s="5" t="n">
        <v>0.6</v>
      </c>
      <c r="N425" s="5" t="n">
        <v>0.55</v>
      </c>
    </row>
    <row r="426">
      <c r="A426" t="n">
        <v>425</v>
      </c>
      <c r="B426" t="n">
        <v>2014</v>
      </c>
      <c r="C426" t="inlineStr">
        <is>
          <t>Sonia Leung</t>
        </is>
      </c>
      <c r="D426">
        <f>HYPERLINK("https://ota.tournamentsoftware.com/player-profile/CCA302B0-3E0B-42DA-BCF9-B1A9AF0035E5", "Link")</f>
        <v/>
      </c>
      <c r="E426" s="3" t="n">
        <v>124.32</v>
      </c>
      <c r="F426" s="4" t="n">
        <v>18</v>
      </c>
      <c r="G426" t="inlineStr">
        <is>
          <t>Ontario Tennis Association</t>
        </is>
      </c>
      <c r="H426" t="inlineStr">
        <is>
          <t>Toronto Tennis Academy</t>
        </is>
      </c>
      <c r="I426" t="n">
        <v>34.3</v>
      </c>
      <c r="J426" s="4" t="n">
        <v>66</v>
      </c>
      <c r="K426" t="inlineStr">
        <is>
          <t>33 / 33</t>
        </is>
      </c>
      <c r="L426" t="inlineStr">
        <is>
          <t>24 / 13</t>
        </is>
      </c>
      <c r="M426" s="5" t="n">
        <v>0.5</v>
      </c>
      <c r="N426" s="5" t="n">
        <v>0.65</v>
      </c>
    </row>
    <row r="427">
      <c r="A427" t="n">
        <v>426</v>
      </c>
      <c r="B427" t="n">
        <v>2015</v>
      </c>
      <c r="C427" t="inlineStr">
        <is>
          <t>Chloe Zhiyan Bai</t>
        </is>
      </c>
      <c r="D427">
        <f>HYPERLINK("https://ota.tournamentsoftware.com/player-profile/D190414C-9B0E-4001-86BC-CD88F7FCF827", "Link")</f>
        <v/>
      </c>
      <c r="E427" s="3" t="n">
        <v>123.895</v>
      </c>
      <c r="F427" s="4" t="n">
        <v>26</v>
      </c>
      <c r="G427" t="inlineStr">
        <is>
          <t>British Columbia</t>
        </is>
      </c>
      <c r="H427" t="inlineStr">
        <is>
          <t>Tennis BC Hub @ Richmond</t>
        </is>
      </c>
      <c r="I427" t="inlineStr">
        <is>
          <t>unavailable</t>
        </is>
      </c>
      <c r="J427" s="4" t="n">
        <v>172</v>
      </c>
      <c r="K427" t="inlineStr">
        <is>
          <t>79 / 93</t>
        </is>
      </c>
      <c r="L427" t="inlineStr">
        <is>
          <t>26 / 20</t>
        </is>
      </c>
      <c r="M427" s="5" t="n">
        <v>0.46</v>
      </c>
      <c r="N427" s="5" t="n">
        <v>0.57</v>
      </c>
    </row>
    <row r="428">
      <c r="A428" t="n">
        <v>427</v>
      </c>
      <c r="B428" t="n">
        <v>2013</v>
      </c>
      <c r="C428" t="inlineStr">
        <is>
          <t>Alyxandra Grace Bellot Wildeman</t>
        </is>
      </c>
      <c r="D428">
        <f>HYPERLINK("https://ota.tournamentsoftware.com/player-profile/E2171261-67FD-4CFA-B4F2-64D9B979CCE5", "Link")</f>
        <v/>
      </c>
      <c r="E428" s="3" t="n">
        <v>122.607</v>
      </c>
      <c r="F428" s="4" t="n">
        <v>11</v>
      </c>
      <c r="G428" t="inlineStr">
        <is>
          <t>British Columbia</t>
        </is>
      </c>
      <c r="H428" t="inlineStr">
        <is>
          <t>Vanguard Tennis Academy</t>
        </is>
      </c>
      <c r="I428" t="n">
        <v>34.1</v>
      </c>
      <c r="J428" s="4" t="n">
        <v>125</v>
      </c>
      <c r="K428" t="inlineStr">
        <is>
          <t>54 / 71</t>
        </is>
      </c>
      <c r="L428" t="inlineStr">
        <is>
          <t>10 / 13</t>
        </is>
      </c>
      <c r="M428" s="5" t="n">
        <v>0.43</v>
      </c>
      <c r="N428" s="5" t="n">
        <v>0.43</v>
      </c>
    </row>
    <row r="429">
      <c r="A429" t="n">
        <v>428</v>
      </c>
      <c r="B429" t="n">
        <v>2014</v>
      </c>
      <c r="C429" t="inlineStr">
        <is>
          <t>Olivia Lee</t>
        </is>
      </c>
      <c r="D429">
        <f>HYPERLINK("https://ota.tournamentsoftware.com/player-profile/DEF89846-A0EF-4373-B8DC-8305F756E612", "Link")</f>
        <v/>
      </c>
      <c r="E429" s="3" t="n">
        <v>122.446</v>
      </c>
      <c r="F429" s="4" t="n">
        <v>25</v>
      </c>
      <c r="G429" t="inlineStr">
        <is>
          <t>Tennis Québec</t>
        </is>
      </c>
      <c r="H429" t="inlineStr">
        <is>
          <t>SANI Sport</t>
        </is>
      </c>
      <c r="I429" t="n">
        <v>36.4</v>
      </c>
      <c r="J429" s="4" t="n">
        <v>111</v>
      </c>
      <c r="K429" t="inlineStr">
        <is>
          <t>41 / 70</t>
        </is>
      </c>
      <c r="L429" t="inlineStr">
        <is>
          <t>11 / 22</t>
        </is>
      </c>
      <c r="M429" s="5" t="n">
        <v>0.37</v>
      </c>
      <c r="N429" s="5" t="n">
        <v>0.33</v>
      </c>
    </row>
    <row r="430">
      <c r="A430" t="n">
        <v>429</v>
      </c>
      <c r="B430" t="n">
        <v>2014</v>
      </c>
      <c r="C430" t="inlineStr">
        <is>
          <t>Bella Beiqi Zhao</t>
        </is>
      </c>
      <c r="D430">
        <f>HYPERLINK("https://ota.tournamentsoftware.com/player-profile/440C1FD3-B189-4153-99D4-C9B6B43D7D03", "Link")</f>
        <v/>
      </c>
      <c r="E430" s="3" t="n">
        <v>120.871</v>
      </c>
      <c r="F430" s="4" t="n">
        <v>27</v>
      </c>
      <c r="G430" t="inlineStr">
        <is>
          <t>British Columbia</t>
        </is>
      </c>
      <c r="H430" t="inlineStr">
        <is>
          <t>No Club</t>
        </is>
      </c>
      <c r="I430" t="n">
        <v>31.9</v>
      </c>
      <c r="J430" s="4" t="n">
        <v>208</v>
      </c>
      <c r="K430" t="inlineStr">
        <is>
          <t>84 / 124</t>
        </is>
      </c>
      <c r="L430" t="inlineStr">
        <is>
          <t>22 / 24</t>
        </is>
      </c>
      <c r="M430" s="5" t="n">
        <v>0.4</v>
      </c>
      <c r="N430" s="5" t="n">
        <v>0.48</v>
      </c>
    </row>
    <row r="431">
      <c r="A431" t="n">
        <v>430</v>
      </c>
      <c r="B431" t="n">
        <v>2013</v>
      </c>
      <c r="C431" t="inlineStr">
        <is>
          <t>Ellie Patricia Wilson</t>
        </is>
      </c>
      <c r="D431">
        <f>HYPERLINK("https://ota.tournamentsoftware.com/player-profile/CB4D2A63-DEA3-4EB8-9085-4317BC39804E", "Link")</f>
        <v/>
      </c>
      <c r="E431" s="3" t="n">
        <v>119.767</v>
      </c>
      <c r="F431" s="4" t="n">
        <v>9</v>
      </c>
      <c r="G431" t="inlineStr">
        <is>
          <t>Ontario Tennis Association</t>
        </is>
      </c>
      <c r="H431" t="inlineStr">
        <is>
          <t>Milton Tennis Club</t>
        </is>
      </c>
      <c r="I431" t="n">
        <v>34.4</v>
      </c>
      <c r="J431" s="4" t="n">
        <v>64</v>
      </c>
      <c r="K431" t="inlineStr">
        <is>
          <t>23 / 41</t>
        </is>
      </c>
      <c r="L431" t="inlineStr">
        <is>
          <t>2 / 4</t>
        </is>
      </c>
      <c r="M431" s="5" t="n">
        <v>0.36</v>
      </c>
      <c r="N431" s="5" t="n">
        <v>0.33</v>
      </c>
    </row>
    <row r="432">
      <c r="A432" t="n">
        <v>431</v>
      </c>
      <c r="B432" t="n">
        <v>2014</v>
      </c>
      <c r="C432" t="inlineStr">
        <is>
          <t>Ranica Li</t>
        </is>
      </c>
      <c r="D432">
        <f>HYPERLINK("https://ota.tournamentsoftware.com/player-profile/5C189397-D536-4086-AA1D-1AD29C093438", "Link")</f>
        <v/>
      </c>
      <c r="E432" s="3" t="n">
        <v>118.051</v>
      </c>
      <c r="F432" s="4" t="n">
        <v>18</v>
      </c>
      <c r="G432" t="inlineStr">
        <is>
          <t>British Columbia</t>
        </is>
      </c>
      <c r="H432" t="inlineStr">
        <is>
          <t>The Tennis Centre</t>
        </is>
      </c>
      <c r="I432" t="n">
        <v>32</v>
      </c>
      <c r="J432" s="4" t="n">
        <v>88</v>
      </c>
      <c r="K432" t="inlineStr">
        <is>
          <t>51 / 37</t>
        </is>
      </c>
      <c r="L432" t="inlineStr">
        <is>
          <t>27 / 14</t>
        </is>
      </c>
      <c r="M432" s="5" t="n">
        <v>0.58</v>
      </c>
      <c r="N432" s="5" t="n">
        <v>0.66</v>
      </c>
    </row>
    <row r="433">
      <c r="A433" t="n">
        <v>432</v>
      </c>
      <c r="B433" t="n">
        <v>2012</v>
      </c>
      <c r="C433" t="inlineStr">
        <is>
          <t>Myra Chowdhary</t>
        </is>
      </c>
      <c r="D433">
        <f>HYPERLINK("https://ota.tournamentsoftware.com/player-profile/CE7139B1-580D-4EF4-A747-D0E1E897EAFB", "Link")</f>
        <v/>
      </c>
      <c r="E433" s="3" t="n">
        <v>118.026</v>
      </c>
      <c r="F433" s="4" t="n">
        <v>8</v>
      </c>
      <c r="G433" t="inlineStr">
        <is>
          <t>Ontario Tennis Association</t>
        </is>
      </c>
      <c r="H433" t="inlineStr">
        <is>
          <t>Youngs Sportsplex</t>
        </is>
      </c>
      <c r="I433" t="n">
        <v>38.3</v>
      </c>
      <c r="J433" s="4" t="n">
        <v>39</v>
      </c>
      <c r="K433" t="inlineStr">
        <is>
          <t>12 / 27</t>
        </is>
      </c>
      <c r="L433" t="inlineStr">
        <is>
          <t>4 / 11</t>
        </is>
      </c>
      <c r="M433" s="5" t="n">
        <v>0.31</v>
      </c>
      <c r="N433" s="5" t="n">
        <v>0.27</v>
      </c>
    </row>
    <row r="434">
      <c r="A434" t="n">
        <v>433</v>
      </c>
      <c r="B434" t="n">
        <v>2013</v>
      </c>
      <c r="C434" t="inlineStr">
        <is>
          <t>Zaria Antonella Tambini</t>
        </is>
      </c>
      <c r="D434">
        <f>HYPERLINK("https://ota.tournamentsoftware.com/player-profile/92DDE685-2967-4CDD-8CA6-2827E6AC3AEB", "Link")</f>
        <v/>
      </c>
      <c r="E434" s="3" t="n">
        <v>117.899</v>
      </c>
      <c r="F434" s="4" t="n">
        <v>8</v>
      </c>
      <c r="G434" t="inlineStr">
        <is>
          <t>Ontario Tennis Association</t>
        </is>
      </c>
      <c r="H434" t="inlineStr">
        <is>
          <t>Headwaters Racquet Club</t>
        </is>
      </c>
      <c r="I434" t="n">
        <v>38</v>
      </c>
      <c r="J434" s="4" t="n">
        <v>26</v>
      </c>
      <c r="K434" t="inlineStr">
        <is>
          <t>10 / 16</t>
        </is>
      </c>
      <c r="L434" t="inlineStr">
        <is>
          <t>5 / 14</t>
        </is>
      </c>
      <c r="M434" s="5" t="n">
        <v>0.38</v>
      </c>
      <c r="N434" s="5" t="n">
        <v>0.26</v>
      </c>
    </row>
    <row r="435">
      <c r="A435" t="n">
        <v>434</v>
      </c>
      <c r="B435" t="n">
        <v>2015</v>
      </c>
      <c r="C435" t="inlineStr">
        <is>
          <t>Grace Raymond</t>
        </is>
      </c>
      <c r="D435">
        <f>HYPERLINK("https://ota.tournamentsoftware.com/player-profile/879338D5-D59E-4EA6-A8E9-135220F52905", "Link")</f>
        <v/>
      </c>
      <c r="E435" s="3" t="n">
        <v>117.654</v>
      </c>
      <c r="F435" s="4" t="n">
        <v>14</v>
      </c>
      <c r="G435" t="inlineStr">
        <is>
          <t>Tennis Alberta</t>
        </is>
      </c>
      <c r="H435" t="inlineStr">
        <is>
          <t>Osten &amp; Victor Alberta Tennis Centre</t>
        </is>
      </c>
      <c r="I435" t="n">
        <v>35.7</v>
      </c>
      <c r="J435" s="4" t="n">
        <v>69</v>
      </c>
      <c r="K435" t="inlineStr">
        <is>
          <t>30 / 39</t>
        </is>
      </c>
      <c r="L435" t="inlineStr">
        <is>
          <t>5 / 10</t>
        </is>
      </c>
      <c r="M435" s="5" t="n">
        <v>0.43</v>
      </c>
      <c r="N435" s="5" t="n">
        <v>0.33</v>
      </c>
    </row>
    <row r="436">
      <c r="A436" t="n">
        <v>435</v>
      </c>
      <c r="B436" t="n">
        <v>2015</v>
      </c>
      <c r="C436" t="inlineStr">
        <is>
          <t>Emma Plugaru</t>
        </is>
      </c>
      <c r="D436">
        <f>HYPERLINK("https://ota.tournamentsoftware.com/player-profile/A8C9C47A-4B9A-43CD-97A6-5516A6BAA15D", "Link")</f>
        <v/>
      </c>
      <c r="E436" s="3" t="n">
        <v>117.51</v>
      </c>
      <c r="F436" s="4" t="n">
        <v>16</v>
      </c>
      <c r="G436" t="inlineStr">
        <is>
          <t>Tennis Québec</t>
        </is>
      </c>
      <c r="H436" t="inlineStr">
        <is>
          <t>Tennis 13</t>
        </is>
      </c>
      <c r="I436" t="n">
        <v>33.6</v>
      </c>
      <c r="J436" s="4" t="n">
        <v>131</v>
      </c>
      <c r="K436" t="inlineStr">
        <is>
          <t>72 / 59</t>
        </is>
      </c>
      <c r="L436" t="inlineStr">
        <is>
          <t>19 / 10</t>
        </is>
      </c>
      <c r="M436" s="5" t="n">
        <v>0.55</v>
      </c>
      <c r="N436" s="5" t="n">
        <v>0.66</v>
      </c>
    </row>
    <row r="437">
      <c r="A437" t="n">
        <v>436</v>
      </c>
      <c r="B437" t="n">
        <v>2015</v>
      </c>
      <c r="C437" t="inlineStr">
        <is>
          <t>Mia Pan</t>
        </is>
      </c>
      <c r="D437">
        <f>HYPERLINK("https://ota.tournamentsoftware.com/player-profile/AC58096C-5119-4221-95E0-C06E89FC8EFF", "Link")</f>
        <v/>
      </c>
      <c r="E437" s="3" t="n">
        <v>116.37</v>
      </c>
      <c r="F437" s="4" t="n">
        <v>17</v>
      </c>
      <c r="G437" t="inlineStr">
        <is>
          <t>British Columbia</t>
        </is>
      </c>
      <c r="H437" t="inlineStr">
        <is>
          <t>Vanguard Tennis Academy</t>
        </is>
      </c>
      <c r="I437" t="inlineStr">
        <is>
          <t>unavailable</t>
        </is>
      </c>
      <c r="J437" s="4" t="n">
        <v>123</v>
      </c>
      <c r="K437" t="inlineStr">
        <is>
          <t>70 / 53</t>
        </is>
      </c>
      <c r="L437" t="inlineStr">
        <is>
          <t>26 / 19</t>
        </is>
      </c>
      <c r="M437" s="5" t="n">
        <v>0.57</v>
      </c>
      <c r="N437" s="5" t="n">
        <v>0.58</v>
      </c>
    </row>
    <row r="438">
      <c r="A438" t="n">
        <v>437</v>
      </c>
      <c r="B438" t="n">
        <v>2015</v>
      </c>
      <c r="C438" t="inlineStr">
        <is>
          <t>Sofia Bulynko</t>
        </is>
      </c>
      <c r="D438">
        <f>HYPERLINK("https://ota.tournamentsoftware.com/player-profile/88C213E0-0960-44DC-B9B0-66B1ADEE699B", "Link")</f>
        <v/>
      </c>
      <c r="E438" s="3" t="n">
        <v>116.274</v>
      </c>
      <c r="F438" s="4" t="n">
        <v>11</v>
      </c>
      <c r="G438" t="inlineStr">
        <is>
          <t>Ontario Tennis Association</t>
        </is>
      </c>
      <c r="H438" t="inlineStr">
        <is>
          <t>National Tennis School</t>
        </is>
      </c>
      <c r="I438" t="n">
        <v>35.8</v>
      </c>
      <c r="J438" s="4" t="n">
        <v>54</v>
      </c>
      <c r="K438" t="inlineStr">
        <is>
          <t>27 / 27</t>
        </is>
      </c>
      <c r="L438" t="inlineStr">
        <is>
          <t>10 / 10</t>
        </is>
      </c>
      <c r="M438" s="5" t="n">
        <v>0.5</v>
      </c>
      <c r="N438" s="5" t="n">
        <v>0.5</v>
      </c>
    </row>
    <row r="439">
      <c r="A439" t="n">
        <v>438</v>
      </c>
      <c r="B439" t="n">
        <v>2013</v>
      </c>
      <c r="C439" t="inlineStr">
        <is>
          <t>Sofia Anne Brunetto</t>
        </is>
      </c>
      <c r="D439">
        <f>HYPERLINK("https://ota.tournamentsoftware.com/player-profile/C2843F1F-C701-4853-A79C-051450F19D77", "Link")</f>
        <v/>
      </c>
      <c r="E439" s="3" t="n">
        <v>116.084</v>
      </c>
      <c r="F439" s="4" t="n">
        <v>8</v>
      </c>
      <c r="G439" t="inlineStr">
        <is>
          <t>Ontario Tennis Association</t>
        </is>
      </c>
      <c r="H439" t="inlineStr">
        <is>
          <t>Zekelman Tennis Centre</t>
        </is>
      </c>
      <c r="I439" t="n">
        <v>33.8</v>
      </c>
      <c r="J439" s="4" t="n">
        <v>20</v>
      </c>
      <c r="K439" t="inlineStr">
        <is>
          <t>8 / 12</t>
        </is>
      </c>
      <c r="L439" t="inlineStr">
        <is>
          <t>3 / 7</t>
        </is>
      </c>
      <c r="M439" s="5" t="n">
        <v>0.4</v>
      </c>
      <c r="N439" s="5" t="n">
        <v>0.3</v>
      </c>
    </row>
    <row r="440">
      <c r="A440" t="n">
        <v>439</v>
      </c>
      <c r="B440" t="n">
        <v>2013</v>
      </c>
      <c r="C440" t="inlineStr">
        <is>
          <t>LEAH SHOJAIE</t>
        </is>
      </c>
      <c r="D440">
        <f>HYPERLINK("https://ota.tournamentsoftware.com/player-profile/A1DEEE7E-F9FE-4AA1-9DCF-5A3FDD2E189E", "Link")</f>
        <v/>
      </c>
      <c r="E440" s="3" t="n">
        <v>114.984</v>
      </c>
      <c r="F440" s="4" t="n">
        <v>11</v>
      </c>
      <c r="G440" t="inlineStr">
        <is>
          <t>Ontario Tennis Association</t>
        </is>
      </c>
      <c r="H440" t="inlineStr">
        <is>
          <t>Valan Tennis Academy</t>
        </is>
      </c>
      <c r="I440" t="n">
        <v>36.5</v>
      </c>
      <c r="J440" s="4" t="n">
        <v>16</v>
      </c>
      <c r="K440" t="inlineStr">
        <is>
          <t>4 / 12</t>
        </is>
      </c>
      <c r="L440" t="inlineStr">
        <is>
          <t>4 / 12</t>
        </is>
      </c>
      <c r="M440" s="5" t="n">
        <v>0.25</v>
      </c>
      <c r="N440" s="5" t="n">
        <v>0.25</v>
      </c>
    </row>
    <row r="441">
      <c r="A441" t="n">
        <v>440</v>
      </c>
      <c r="B441" t="n">
        <v>2015</v>
      </c>
      <c r="C441" t="inlineStr">
        <is>
          <t>Juliet Lauture</t>
        </is>
      </c>
      <c r="D441">
        <f>HYPERLINK("https://ota.tournamentsoftware.com/player-profile/70FC879C-9BB0-4123-BE70-BCB588C22C80", "Link")</f>
        <v/>
      </c>
      <c r="E441" s="3" t="n">
        <v>114.508</v>
      </c>
      <c r="F441" s="4" t="n">
        <v>24</v>
      </c>
      <c r="G441" t="inlineStr">
        <is>
          <t>Tennis Québec</t>
        </is>
      </c>
      <c r="H441" t="inlineStr">
        <is>
          <t>Club Sportif Côte-de-Liesse</t>
        </is>
      </c>
      <c r="I441" t="n">
        <v>35.5</v>
      </c>
      <c r="J441" s="4" t="n">
        <v>107</v>
      </c>
      <c r="K441" t="inlineStr">
        <is>
          <t>59 / 48</t>
        </is>
      </c>
      <c r="L441" t="inlineStr">
        <is>
          <t>20 / 20</t>
        </is>
      </c>
      <c r="M441" s="5" t="n">
        <v>0.55</v>
      </c>
      <c r="N441" s="5" t="n">
        <v>0.5</v>
      </c>
    </row>
    <row r="442">
      <c r="A442" t="n">
        <v>441</v>
      </c>
      <c r="B442" t="n">
        <v>2012</v>
      </c>
      <c r="C442" t="inlineStr">
        <is>
          <t>Zeyu (Anne) Xu</t>
        </is>
      </c>
      <c r="D442">
        <f>HYPERLINK("https://ota.tournamentsoftware.com/player-profile/7D4E0E2F-DC2C-4911-BF16-A07E84364BB7", "Link")</f>
        <v/>
      </c>
      <c r="E442" s="3" t="n">
        <v>113.598</v>
      </c>
      <c r="F442" s="4" t="n">
        <v>9</v>
      </c>
      <c r="G442" t="inlineStr">
        <is>
          <t>British Columbia</t>
        </is>
      </c>
      <c r="H442" t="inlineStr">
        <is>
          <t>Tennis BC Hub @ Richmond</t>
        </is>
      </c>
      <c r="I442" t="n">
        <v>34.6</v>
      </c>
      <c r="J442" s="4" t="n">
        <v>109</v>
      </c>
      <c r="K442" t="inlineStr">
        <is>
          <t>26 / 83</t>
        </is>
      </c>
      <c r="L442" t="inlineStr">
        <is>
          <t>4 / 13</t>
        </is>
      </c>
      <c r="M442" s="5" t="n">
        <v>0.24</v>
      </c>
      <c r="N442" s="5" t="n">
        <v>0.24</v>
      </c>
    </row>
    <row r="443">
      <c r="A443" t="n">
        <v>442</v>
      </c>
      <c r="B443" t="n">
        <v>2015</v>
      </c>
      <c r="C443" t="inlineStr">
        <is>
          <t>Misia Ania Pietras</t>
        </is>
      </c>
      <c r="D443">
        <f>HYPERLINK("https://ota.tournamentsoftware.com/player-profile/81A2D044-B79D-4C29-B0B3-9E7AF48F2811", "Link")</f>
        <v/>
      </c>
      <c r="E443" s="3" t="n">
        <v>113.264</v>
      </c>
      <c r="F443" s="4" t="n">
        <v>16</v>
      </c>
      <c r="G443" t="inlineStr">
        <is>
          <t>Ontario Tennis Association</t>
        </is>
      </c>
      <c r="H443" t="inlineStr">
        <is>
          <t>The Tennis School</t>
        </is>
      </c>
      <c r="I443" t="n">
        <v>35.4</v>
      </c>
      <c r="J443" s="4" t="n">
        <v>57</v>
      </c>
      <c r="K443" t="inlineStr">
        <is>
          <t>32 / 25</t>
        </is>
      </c>
      <c r="L443" t="inlineStr">
        <is>
          <t>15 / 10</t>
        </is>
      </c>
      <c r="M443" s="5" t="n">
        <v>0.5600000000000001</v>
      </c>
      <c r="N443" s="5" t="n">
        <v>0.6</v>
      </c>
    </row>
    <row r="444">
      <c r="A444" t="n">
        <v>443</v>
      </c>
      <c r="B444" t="n">
        <v>2013</v>
      </c>
      <c r="C444" t="inlineStr">
        <is>
          <t>Stella Marion Thoms</t>
        </is>
      </c>
      <c r="D444">
        <f>HYPERLINK("https://ota.tournamentsoftware.com/player-profile/26731833-04E0-4736-BC60-733715112E5E", "Link")</f>
        <v/>
      </c>
      <c r="E444" s="3" t="n">
        <v>113.237</v>
      </c>
      <c r="F444" s="4" t="n">
        <v>7</v>
      </c>
      <c r="G444" t="inlineStr">
        <is>
          <t>Tennis Newfoundland &amp; Labrador</t>
        </is>
      </c>
      <c r="H444" t="inlineStr">
        <is>
          <t>Riverdale Tennis Club</t>
        </is>
      </c>
      <c r="I444" t="n">
        <v>34.7</v>
      </c>
      <c r="J444" s="4" t="n">
        <v>45</v>
      </c>
      <c r="K444" t="inlineStr">
        <is>
          <t>26 / 19</t>
        </is>
      </c>
      <c r="L444" t="inlineStr">
        <is>
          <t>6 / 7</t>
        </is>
      </c>
      <c r="M444" s="5" t="n">
        <v>0.58</v>
      </c>
      <c r="N444" s="5" t="n">
        <v>0.46</v>
      </c>
    </row>
    <row r="445">
      <c r="A445" t="n">
        <v>444</v>
      </c>
      <c r="B445" t="n">
        <v>2014</v>
      </c>
      <c r="C445" t="inlineStr">
        <is>
          <t>Maxine Andrea Subsuban</t>
        </is>
      </c>
      <c r="D445">
        <f>HYPERLINK("https://ota.tournamentsoftware.com/player-profile/330D8089-39D5-4A22-8596-8BAAF8D4E02E", "Link")</f>
        <v/>
      </c>
      <c r="E445" s="3" t="n">
        <v>112.585</v>
      </c>
      <c r="F445" s="4" t="n">
        <v>10</v>
      </c>
      <c r="G445" t="inlineStr">
        <is>
          <t>Tennis Alberta</t>
        </is>
      </c>
      <c r="H445" t="inlineStr">
        <is>
          <t>Osten &amp; Victor Alberta Tennis Centre</t>
        </is>
      </c>
      <c r="I445" t="inlineStr">
        <is>
          <t>unavailable</t>
        </is>
      </c>
      <c r="J445" s="4" t="n">
        <v>103</v>
      </c>
      <c r="K445" t="inlineStr">
        <is>
          <t>42 / 61</t>
        </is>
      </c>
      <c r="L445" t="inlineStr">
        <is>
          <t>8 / 10</t>
        </is>
      </c>
      <c r="M445" s="5" t="n">
        <v>0.41</v>
      </c>
      <c r="N445" s="5" t="n">
        <v>0.44</v>
      </c>
    </row>
    <row r="446">
      <c r="A446" t="n">
        <v>445</v>
      </c>
      <c r="B446" t="n">
        <v>2015</v>
      </c>
      <c r="C446" t="inlineStr">
        <is>
          <t>Arianna Marquez</t>
        </is>
      </c>
      <c r="D446">
        <f>HYPERLINK("https://ota.tournamentsoftware.com/player-profile/ABB23AE3-6EC2-498B-AA4D-BB89BCBF0088", "Link")</f>
        <v/>
      </c>
      <c r="E446" s="3" t="n">
        <v>112.229</v>
      </c>
      <c r="F446" s="4" t="n">
        <v>16</v>
      </c>
      <c r="G446" t="inlineStr">
        <is>
          <t>Tennis Alberta</t>
        </is>
      </c>
      <c r="H446" t="inlineStr">
        <is>
          <t>Saville Community Sports Centre</t>
        </is>
      </c>
      <c r="I446" t="n">
        <v>33.6</v>
      </c>
      <c r="J446" s="4" t="n">
        <v>141</v>
      </c>
      <c r="K446" t="inlineStr">
        <is>
          <t>90 / 51</t>
        </is>
      </c>
      <c r="L446" t="inlineStr">
        <is>
          <t>14 / 17</t>
        </is>
      </c>
      <c r="M446" s="5" t="n">
        <v>0.64</v>
      </c>
      <c r="N446" s="5" t="n">
        <v>0.45</v>
      </c>
    </row>
    <row r="447">
      <c r="A447" t="n">
        <v>446</v>
      </c>
      <c r="B447" t="n">
        <v>2012</v>
      </c>
      <c r="C447" t="inlineStr">
        <is>
          <t>Isabella Sofia Zrnic</t>
        </is>
      </c>
      <c r="D447">
        <f>HYPERLINK("https://ota.tournamentsoftware.com/player-profile/C8963CF4-1E95-43AF-B92C-08778B2BA616", "Link")</f>
        <v/>
      </c>
      <c r="E447" s="3" t="n">
        <v>112.046</v>
      </c>
      <c r="F447" s="4" t="n">
        <v>13</v>
      </c>
      <c r="G447" t="inlineStr">
        <is>
          <t>Ontario Tennis Association</t>
        </is>
      </c>
      <c r="H447" t="inlineStr">
        <is>
          <t>Lawrence Park Tennis Club</t>
        </is>
      </c>
      <c r="I447" t="n">
        <v>35.4</v>
      </c>
      <c r="J447" s="4" t="n">
        <v>66</v>
      </c>
      <c r="K447" t="inlineStr">
        <is>
          <t>27 / 39</t>
        </is>
      </c>
      <c r="L447" t="inlineStr">
        <is>
          <t>6 / 9</t>
        </is>
      </c>
      <c r="M447" s="5" t="n">
        <v>0.41</v>
      </c>
      <c r="N447" s="5" t="n">
        <v>0.4</v>
      </c>
    </row>
    <row r="448">
      <c r="A448" t="n">
        <v>447</v>
      </c>
      <c r="B448" t="n">
        <v>2013</v>
      </c>
      <c r="C448" t="inlineStr">
        <is>
          <t>Darcia Rabezandriny</t>
        </is>
      </c>
      <c r="D448">
        <f>HYPERLINK("https://ota.tournamentsoftware.com/player-profile/52069260-9644-4FA6-A8E4-10B4E037765E", "Link")</f>
        <v/>
      </c>
      <c r="E448" s="3" t="n">
        <v>110.988</v>
      </c>
      <c r="F448" s="4" t="n">
        <v>9</v>
      </c>
      <c r="G448" t="inlineStr">
        <is>
          <t>Tennis Québec</t>
        </is>
      </c>
      <c r="H448" t="inlineStr">
        <is>
          <t>AA Autre club</t>
        </is>
      </c>
      <c r="I448" t="n">
        <v>34.6</v>
      </c>
      <c r="J448" s="4" t="n">
        <v>157</v>
      </c>
      <c r="K448" t="inlineStr">
        <is>
          <t>82 / 75</t>
        </is>
      </c>
      <c r="L448" t="inlineStr">
        <is>
          <t>7 / 8</t>
        </is>
      </c>
      <c r="M448" s="5" t="n">
        <v>0.52</v>
      </c>
      <c r="N448" s="5" t="n">
        <v>0.47</v>
      </c>
    </row>
    <row r="449">
      <c r="A449" t="n">
        <v>448</v>
      </c>
      <c r="B449" t="n">
        <v>2014</v>
      </c>
      <c r="C449" t="inlineStr">
        <is>
          <t>Audrey JIA</t>
        </is>
      </c>
      <c r="D449">
        <f>HYPERLINK("https://ota.tournamentsoftware.com/player-profile/3F7A519A-489C-490B-9AA2-F4FCBBCA474F", "Link")</f>
        <v/>
      </c>
      <c r="E449" s="3" t="n">
        <v>110.649</v>
      </c>
      <c r="F449" s="4" t="n">
        <v>19</v>
      </c>
      <c r="G449" t="inlineStr">
        <is>
          <t>Ontario Tennis Association</t>
        </is>
      </c>
      <c r="H449" t="inlineStr">
        <is>
          <t>Newmarket Community Tennis Club</t>
        </is>
      </c>
      <c r="I449" t="inlineStr">
        <is>
          <t>unavailable</t>
        </is>
      </c>
      <c r="J449" s="4" t="n">
        <v>92</v>
      </c>
      <c r="K449" t="inlineStr">
        <is>
          <t>50 / 42</t>
        </is>
      </c>
      <c r="L449" t="inlineStr">
        <is>
          <t>33 / 15</t>
        </is>
      </c>
      <c r="M449" s="5" t="n">
        <v>0.54</v>
      </c>
      <c r="N449" s="5" t="n">
        <v>0.6899999999999999</v>
      </c>
    </row>
    <row r="450">
      <c r="A450" t="n">
        <v>449</v>
      </c>
      <c r="B450" t="n">
        <v>2013</v>
      </c>
      <c r="C450" t="inlineStr">
        <is>
          <t>LeeZann Lai</t>
        </is>
      </c>
      <c r="D450">
        <f>HYPERLINK("https://ota.tournamentsoftware.com/player-profile/F653FB3B-D606-4799-98B3-B9B8F7D1D120", "Link")</f>
        <v/>
      </c>
      <c r="E450" s="3" t="n">
        <v>110.16</v>
      </c>
      <c r="F450" s="4" t="n">
        <v>15</v>
      </c>
      <c r="G450" t="inlineStr">
        <is>
          <t>Ontario Tennis Association</t>
        </is>
      </c>
      <c r="H450" t="inlineStr">
        <is>
          <t>Don Mills Tennis Club</t>
        </is>
      </c>
      <c r="I450" t="n">
        <v>34.8</v>
      </c>
      <c r="J450" s="4" t="n">
        <v>54</v>
      </c>
      <c r="K450" t="inlineStr">
        <is>
          <t>22 / 32</t>
        </is>
      </c>
      <c r="L450" t="inlineStr">
        <is>
          <t>6 / 12</t>
        </is>
      </c>
      <c r="M450" s="5" t="n">
        <v>0.41</v>
      </c>
      <c r="N450" s="5" t="n">
        <v>0.33</v>
      </c>
    </row>
    <row r="451">
      <c r="A451" t="n">
        <v>450</v>
      </c>
      <c r="B451" t="n">
        <v>2015</v>
      </c>
      <c r="C451" t="inlineStr">
        <is>
          <t>Mila Venturelli</t>
        </is>
      </c>
      <c r="D451">
        <f>HYPERLINK("https://ota.tournamentsoftware.com/player-profile/BCA3B83C-81C0-4469-B3DA-4E3234E6CA0A", "Link")</f>
        <v/>
      </c>
      <c r="E451" s="3" t="n">
        <v>109.646</v>
      </c>
      <c r="F451" s="4" t="n">
        <v>21</v>
      </c>
      <c r="G451" t="inlineStr">
        <is>
          <t>Tennis Québec</t>
        </is>
      </c>
      <c r="H451" t="inlineStr">
        <is>
          <t>Tennis 13</t>
        </is>
      </c>
      <c r="I451" t="n">
        <v>36.8</v>
      </c>
      <c r="J451" s="4" t="n">
        <v>89</v>
      </c>
      <c r="K451" t="inlineStr">
        <is>
          <t>36 / 53</t>
        </is>
      </c>
      <c r="L451" t="inlineStr">
        <is>
          <t>8 / 16</t>
        </is>
      </c>
      <c r="M451" s="5" t="n">
        <v>0.4</v>
      </c>
      <c r="N451" s="5" t="n">
        <v>0.33</v>
      </c>
    </row>
    <row r="452">
      <c r="A452" t="n">
        <v>451</v>
      </c>
      <c r="B452" t="n">
        <v>2015</v>
      </c>
      <c r="C452" t="inlineStr">
        <is>
          <t>Namasya Nakul</t>
        </is>
      </c>
      <c r="D452">
        <f>HYPERLINK("https://ota.tournamentsoftware.com/player-profile/30AB6566-4805-4DA5-90A9-E6D59F3D0D64", "Link")</f>
        <v/>
      </c>
      <c r="E452" s="3" t="n">
        <v>109.619</v>
      </c>
      <c r="F452" s="4" t="n">
        <v>18</v>
      </c>
      <c r="G452" t="inlineStr">
        <is>
          <t>British Columbia</t>
        </is>
      </c>
      <c r="H452" t="inlineStr">
        <is>
          <t>Richmond Country Club</t>
        </is>
      </c>
      <c r="I452" t="n">
        <v>33.4</v>
      </c>
      <c r="J452" s="4" t="n">
        <v>117</v>
      </c>
      <c r="K452" t="inlineStr">
        <is>
          <t>63 / 54</t>
        </is>
      </c>
      <c r="L452" t="inlineStr">
        <is>
          <t>23 / 18</t>
        </is>
      </c>
      <c r="M452" s="5" t="n">
        <v>0.54</v>
      </c>
      <c r="N452" s="5" t="n">
        <v>0.5600000000000001</v>
      </c>
    </row>
    <row r="453">
      <c r="A453" t="n">
        <v>452</v>
      </c>
      <c r="B453" t="n">
        <v>2012</v>
      </c>
      <c r="C453" t="inlineStr">
        <is>
          <t>Rachael Qing Xu</t>
        </is>
      </c>
      <c r="D453">
        <f>HYPERLINK("https://ota.tournamentsoftware.com/player-profile/EF0FB6C4-F27A-45FB-BD75-3C3F4D9EF188", "Link")</f>
        <v/>
      </c>
      <c r="E453" s="3" t="n">
        <v>108.876</v>
      </c>
      <c r="F453" s="4" t="n">
        <v>2</v>
      </c>
      <c r="G453" t="inlineStr">
        <is>
          <t>Ontario Tennis Association</t>
        </is>
      </c>
      <c r="H453" t="inlineStr">
        <is>
          <t>Rosedale Tennis Club (Hamilton)</t>
        </is>
      </c>
      <c r="I453" t="n">
        <v>37.2</v>
      </c>
      <c r="J453" s="4" t="n">
        <v>55</v>
      </c>
      <c r="K453" t="inlineStr">
        <is>
          <t>20 / 35</t>
        </is>
      </c>
      <c r="L453" t="inlineStr">
        <is>
          <t>0 / 0</t>
        </is>
      </c>
      <c r="M453" s="5" t="n">
        <v>0.36</v>
      </c>
      <c r="N453" s="5" t="n">
        <v>0</v>
      </c>
    </row>
    <row r="454">
      <c r="A454" t="n">
        <v>453</v>
      </c>
      <c r="B454" t="n">
        <v>2014</v>
      </c>
      <c r="C454" t="inlineStr">
        <is>
          <t>SHANAYA CHAUDHARY</t>
        </is>
      </c>
      <c r="D454">
        <f>HYPERLINK("https://ota.tournamentsoftware.com/player-profile/72814258-2663-4B9E-9EB1-0A804D79578E", "Link")</f>
        <v/>
      </c>
      <c r="E454" s="3" t="n">
        <v>107.581</v>
      </c>
      <c r="F454" s="4" t="n">
        <v>11</v>
      </c>
      <c r="G454" t="inlineStr">
        <is>
          <t>Ontario Tennis Association</t>
        </is>
      </c>
      <c r="H454" t="inlineStr">
        <is>
          <t>Waterloo Tennis Club</t>
        </is>
      </c>
      <c r="I454" t="inlineStr">
        <is>
          <t>unavailable</t>
        </is>
      </c>
      <c r="J454" s="4" t="n">
        <v>26</v>
      </c>
      <c r="K454" t="inlineStr">
        <is>
          <t>16 / 10</t>
        </is>
      </c>
      <c r="L454" t="inlineStr">
        <is>
          <t>12 / 7</t>
        </is>
      </c>
      <c r="M454" s="5" t="n">
        <v>0.62</v>
      </c>
      <c r="N454" s="5" t="n">
        <v>0.63</v>
      </c>
    </row>
    <row r="455">
      <c r="A455" t="n">
        <v>454</v>
      </c>
      <c r="B455" t="n">
        <v>2013</v>
      </c>
      <c r="C455" t="inlineStr">
        <is>
          <t>Murphy Mofei Gao</t>
        </is>
      </c>
      <c r="D455">
        <f>HYPERLINK("https://ota.tournamentsoftware.com/player-profile/64A4B4DB-7753-451A-A411-16FC49084860", "Link")</f>
        <v/>
      </c>
      <c r="E455" s="3" t="n">
        <v>107.489</v>
      </c>
      <c r="F455" s="4" t="n">
        <v>17</v>
      </c>
      <c r="G455" t="inlineStr">
        <is>
          <t>British Columbia</t>
        </is>
      </c>
      <c r="H455" t="inlineStr">
        <is>
          <t>No Club</t>
        </is>
      </c>
      <c r="I455" t="n">
        <v>37.3</v>
      </c>
      <c r="J455" s="4" t="n">
        <v>141</v>
      </c>
      <c r="K455" t="inlineStr">
        <is>
          <t>19 / 122</t>
        </is>
      </c>
      <c r="L455" t="inlineStr">
        <is>
          <t>4 / 26</t>
        </is>
      </c>
      <c r="M455" s="5" t="n">
        <v>0.13</v>
      </c>
      <c r="N455" s="5" t="n">
        <v>0.13</v>
      </c>
    </row>
    <row r="456">
      <c r="A456" t="n">
        <v>455</v>
      </c>
      <c r="B456" t="n">
        <v>2014</v>
      </c>
      <c r="C456" t="inlineStr">
        <is>
          <t>Emily Ke</t>
        </is>
      </c>
      <c r="D456">
        <f>HYPERLINK("https://ota.tournamentsoftware.com/player-profile/D0843107-5FBA-4EB4-8781-B60B5E7E1319", "Link")</f>
        <v/>
      </c>
      <c r="E456" s="3" t="n">
        <v>107.414</v>
      </c>
      <c r="F456" s="4" t="n">
        <v>16</v>
      </c>
      <c r="G456" t="inlineStr">
        <is>
          <t>Ontario Tennis Association</t>
        </is>
      </c>
      <c r="H456" t="inlineStr">
        <is>
          <t>Mayfair East Racquet Club</t>
        </is>
      </c>
      <c r="I456" t="n">
        <v>35.1</v>
      </c>
      <c r="J456" s="4" t="n">
        <v>109</v>
      </c>
      <c r="K456" t="inlineStr">
        <is>
          <t>38 / 71</t>
        </is>
      </c>
      <c r="L456" t="inlineStr">
        <is>
          <t>4 / 7</t>
        </is>
      </c>
      <c r="M456" s="5" t="n">
        <v>0.35</v>
      </c>
      <c r="N456" s="5" t="n">
        <v>0.36</v>
      </c>
    </row>
    <row r="457">
      <c r="A457" t="n">
        <v>456</v>
      </c>
      <c r="B457" t="n">
        <v>2015</v>
      </c>
      <c r="C457" t="inlineStr">
        <is>
          <t>Maranata Okubazgi</t>
        </is>
      </c>
      <c r="D457">
        <f>HYPERLINK("https://ota.tournamentsoftware.com/player-profile/D41680BB-0D07-401E-A1E3-7ECB40E4830A", "Link")</f>
        <v/>
      </c>
      <c r="E457" s="3" t="n">
        <v>106.824</v>
      </c>
      <c r="F457" s="4" t="n">
        <v>16</v>
      </c>
      <c r="G457" t="inlineStr">
        <is>
          <t>Ontario Tennis Association</t>
        </is>
      </c>
      <c r="H457" t="inlineStr">
        <is>
          <t>Premier Racquet Clubs – Mississauga</t>
        </is>
      </c>
      <c r="I457" t="n">
        <v>34.8</v>
      </c>
      <c r="J457" s="4" t="n">
        <v>96</v>
      </c>
      <c r="K457" t="inlineStr">
        <is>
          <t>55 / 41</t>
        </is>
      </c>
      <c r="L457" t="inlineStr">
        <is>
          <t>16 / 13</t>
        </is>
      </c>
      <c r="M457" s="5" t="n">
        <v>0.57</v>
      </c>
      <c r="N457" s="5" t="n">
        <v>0.55</v>
      </c>
    </row>
    <row r="458">
      <c r="A458" t="n">
        <v>457</v>
      </c>
      <c r="B458" t="n">
        <v>2013</v>
      </c>
      <c r="C458" t="inlineStr">
        <is>
          <t>Khaliya Karim</t>
        </is>
      </c>
      <c r="D458">
        <f>HYPERLINK("https://ota.tournamentsoftware.com/player-profile/3982667F-BB84-4AC0-B470-E67D90581DB9", "Link")</f>
        <v/>
      </c>
      <c r="E458" s="3" t="n">
        <v>106.257</v>
      </c>
      <c r="F458" s="4" t="n">
        <v>19</v>
      </c>
      <c r="G458" t="inlineStr">
        <is>
          <t>British Columbia</t>
        </is>
      </c>
      <c r="H458" t="inlineStr">
        <is>
          <t>Arbutus Club</t>
        </is>
      </c>
      <c r="I458" t="inlineStr">
        <is>
          <t>unavailable</t>
        </is>
      </c>
      <c r="J458" s="4" t="inlineStr"/>
      <c r="K458" t="inlineStr">
        <is>
          <t>unavailable</t>
        </is>
      </c>
      <c r="L458" t="inlineStr">
        <is>
          <t>unavailable</t>
        </is>
      </c>
      <c r="M458" s="5" t="inlineStr"/>
      <c r="N458" s="5" t="inlineStr"/>
    </row>
    <row r="459">
      <c r="A459" t="n">
        <v>458</v>
      </c>
      <c r="B459" t="n">
        <v>2014</v>
      </c>
      <c r="C459" t="inlineStr">
        <is>
          <t>Abigail Curilscaia</t>
        </is>
      </c>
      <c r="D459">
        <f>HYPERLINK("https://ota.tournamentsoftware.com/player-profile/275CB740-D9DB-4B51-8864-93A2F0D91A3B", "Link")</f>
        <v/>
      </c>
      <c r="E459" s="3" t="n">
        <v>105.422</v>
      </c>
      <c r="F459" s="4" t="n">
        <v>13</v>
      </c>
      <c r="G459" t="inlineStr">
        <is>
          <t>Tennis Alberta</t>
        </is>
      </c>
      <c r="H459" t="inlineStr">
        <is>
          <t>Aforza</t>
        </is>
      </c>
      <c r="I459" t="n">
        <v>32</v>
      </c>
      <c r="J459" s="4" t="n">
        <v>91</v>
      </c>
      <c r="K459" t="inlineStr">
        <is>
          <t>40 / 51</t>
        </is>
      </c>
      <c r="L459" t="inlineStr">
        <is>
          <t>17 / 10</t>
        </is>
      </c>
      <c r="M459" s="5" t="n">
        <v>0.44</v>
      </c>
      <c r="N459" s="5" t="n">
        <v>0.63</v>
      </c>
    </row>
    <row r="460">
      <c r="A460" t="n">
        <v>459</v>
      </c>
      <c r="B460" t="n">
        <v>2016</v>
      </c>
      <c r="C460" t="inlineStr">
        <is>
          <t>Paulina Mangal</t>
        </is>
      </c>
      <c r="D460">
        <f>HYPERLINK("https://ota.tournamentsoftware.com/player-profile/ADDD5986-263D-4338-B6C0-6F72A2AC55F7", "Link")</f>
        <v/>
      </c>
      <c r="E460" s="3" t="n">
        <v>103.751</v>
      </c>
      <c r="F460" s="4" t="n">
        <v>23</v>
      </c>
      <c r="G460" t="inlineStr">
        <is>
          <t>Ontario Tennis Association</t>
        </is>
      </c>
      <c r="H460" t="inlineStr">
        <is>
          <t>Premier Racquet Clubs – Mississauga</t>
        </is>
      </c>
      <c r="I460" t="n">
        <v>36.5</v>
      </c>
      <c r="J460" s="4" t="n">
        <v>179</v>
      </c>
      <c r="K460" t="inlineStr">
        <is>
          <t>75 / 104</t>
        </is>
      </c>
      <c r="L460" t="inlineStr">
        <is>
          <t>16 / 19</t>
        </is>
      </c>
      <c r="M460" s="5" t="n">
        <v>0.42</v>
      </c>
      <c r="N460" s="5" t="n">
        <v>0.46</v>
      </c>
    </row>
    <row r="461">
      <c r="A461" t="n">
        <v>460</v>
      </c>
      <c r="B461" t="n">
        <v>2015</v>
      </c>
      <c r="C461" t="inlineStr">
        <is>
          <t>Anna Guzina-McLeod</t>
        </is>
      </c>
      <c r="D461">
        <f>HYPERLINK("https://ota.tournamentsoftware.com/player-profile/55F5BC4F-092C-4C72-BFDC-3F60E618D778", "Link")</f>
        <v/>
      </c>
      <c r="E461" s="3" t="n">
        <v>103.216</v>
      </c>
      <c r="F461" s="4" t="n">
        <v>17</v>
      </c>
      <c r="G461" t="inlineStr">
        <is>
          <t>Ontario Tennis Association</t>
        </is>
      </c>
      <c r="H461" t="inlineStr">
        <is>
          <t>Rideau Sports Centre</t>
        </is>
      </c>
      <c r="I461" t="inlineStr">
        <is>
          <t>unavailable</t>
        </is>
      </c>
      <c r="J461" s="4" t="n">
        <v>114</v>
      </c>
      <c r="K461" t="inlineStr">
        <is>
          <t>66 / 48</t>
        </is>
      </c>
      <c r="L461" t="inlineStr">
        <is>
          <t>10 / 15</t>
        </is>
      </c>
      <c r="M461" s="5" t="n">
        <v>0.58</v>
      </c>
      <c r="N461" s="5" t="n">
        <v>0.4</v>
      </c>
    </row>
    <row r="462">
      <c r="A462" t="n">
        <v>461</v>
      </c>
      <c r="B462" t="n">
        <v>2015</v>
      </c>
      <c r="C462" t="inlineStr">
        <is>
          <t>Sofia Nasrallah</t>
        </is>
      </c>
      <c r="D462">
        <f>HYPERLINK("https://ota.tournamentsoftware.com/player-profile/FAA88C80-170D-40C3-8A88-6B81077D1F02", "Link")</f>
        <v/>
      </c>
      <c r="E462" s="3" t="n">
        <v>102.9</v>
      </c>
      <c r="F462" s="4" t="n">
        <v>24</v>
      </c>
      <c r="G462" t="inlineStr">
        <is>
          <t>Tennis Québec</t>
        </is>
      </c>
      <c r="H462" t="inlineStr">
        <is>
          <t>Carrefour Multisports</t>
        </is>
      </c>
      <c r="I462" t="n">
        <v>36.9</v>
      </c>
      <c r="J462" s="4" t="n">
        <v>155</v>
      </c>
      <c r="K462" t="inlineStr">
        <is>
          <t>52 / 103</t>
        </is>
      </c>
      <c r="L462" t="inlineStr">
        <is>
          <t>9 / 20</t>
        </is>
      </c>
      <c r="M462" s="5" t="n">
        <v>0.34</v>
      </c>
      <c r="N462" s="5" t="n">
        <v>0.31</v>
      </c>
    </row>
    <row r="463">
      <c r="A463" t="n">
        <v>462</v>
      </c>
      <c r="B463" t="n">
        <v>2014</v>
      </c>
      <c r="C463" t="inlineStr">
        <is>
          <t>Ananya Rao</t>
        </is>
      </c>
      <c r="D463">
        <f>HYPERLINK("https://ota.tournamentsoftware.com/player-profile/D12578BD-BDAF-471D-B53C-09B281C916CB", "Link")</f>
        <v/>
      </c>
      <c r="E463" s="3" t="n">
        <v>102.512</v>
      </c>
      <c r="F463" s="4" t="n">
        <v>16</v>
      </c>
      <c r="G463" t="inlineStr">
        <is>
          <t>Ontario Tennis Association</t>
        </is>
      </c>
      <c r="H463" t="inlineStr">
        <is>
          <t>Carleton Tennis Centre</t>
        </is>
      </c>
      <c r="I463" t="n">
        <v>36.8</v>
      </c>
      <c r="J463" s="4" t="n">
        <v>93</v>
      </c>
      <c r="K463" t="inlineStr">
        <is>
          <t>29 / 64</t>
        </is>
      </c>
      <c r="L463" t="inlineStr">
        <is>
          <t>6 / 9</t>
        </is>
      </c>
      <c r="M463" s="5" t="n">
        <v>0.31</v>
      </c>
      <c r="N463" s="5" t="n">
        <v>0.4</v>
      </c>
    </row>
    <row r="464">
      <c r="A464" t="n">
        <v>463</v>
      </c>
      <c r="B464" t="n">
        <v>2013</v>
      </c>
      <c r="C464" t="inlineStr">
        <is>
          <t>Isabelle Duvinage</t>
        </is>
      </c>
      <c r="D464">
        <f>HYPERLINK("https://ota.tournamentsoftware.com/player-profile/7B9DB032-AD8C-41C5-A138-CF844016B7C1", "Link")</f>
        <v/>
      </c>
      <c r="E464" s="3" t="n">
        <v>102.511</v>
      </c>
      <c r="F464" s="4" t="n">
        <v>6</v>
      </c>
      <c r="G464" t="inlineStr">
        <is>
          <t>Ontario Tennis Association</t>
        </is>
      </c>
      <c r="H464" t="inlineStr">
        <is>
          <t>Kew Gardens Tennis Club</t>
        </is>
      </c>
      <c r="I464" t="n">
        <v>38</v>
      </c>
      <c r="J464" s="4" t="n">
        <v>39</v>
      </c>
      <c r="K464" t="inlineStr">
        <is>
          <t>12 / 27</t>
        </is>
      </c>
      <c r="L464" t="inlineStr">
        <is>
          <t>1 / 7</t>
        </is>
      </c>
      <c r="M464" s="5" t="n">
        <v>0.31</v>
      </c>
      <c r="N464" s="5" t="n">
        <v>0.12</v>
      </c>
    </row>
    <row r="465">
      <c r="A465" t="n">
        <v>464</v>
      </c>
      <c r="B465" t="n">
        <v>2014</v>
      </c>
      <c r="C465" t="inlineStr">
        <is>
          <t>Scarlett Habeebkutty</t>
        </is>
      </c>
      <c r="D465">
        <f>HYPERLINK("https://ota.tournamentsoftware.com/player-profile/B3E7011D-10BF-4CEB-9D49-F24BAE1BE1A2", "Link")</f>
        <v/>
      </c>
      <c r="E465" s="3" t="n">
        <v>102.277</v>
      </c>
      <c r="F465" s="4" t="n">
        <v>5</v>
      </c>
      <c r="G465" t="inlineStr">
        <is>
          <t>Tennis Saskatchewan</t>
        </is>
      </c>
      <c r="H465" t="inlineStr">
        <is>
          <t>Lakeshore Tennis Club</t>
        </is>
      </c>
      <c r="I465" t="n">
        <v>40</v>
      </c>
      <c r="J465" s="4" t="n">
        <v>14</v>
      </c>
      <c r="K465" t="inlineStr">
        <is>
          <t>0 / 14</t>
        </is>
      </c>
      <c r="L465" t="inlineStr">
        <is>
          <t>0 / 14</t>
        </is>
      </c>
      <c r="M465" s="5" t="n">
        <v>0</v>
      </c>
      <c r="N465" s="5" t="n">
        <v>0</v>
      </c>
    </row>
    <row r="466">
      <c r="A466" t="n">
        <v>465</v>
      </c>
      <c r="B466" t="n">
        <v>2012</v>
      </c>
      <c r="C466" t="inlineStr">
        <is>
          <t>aashka vishal devaiya</t>
        </is>
      </c>
      <c r="D466">
        <f>HYPERLINK("https://ota.tournamentsoftware.com/player-profile/99C1CB63-E70E-4FB5-A115-3A252251FA67", "Link")</f>
        <v/>
      </c>
      <c r="E466" s="3" t="n">
        <v>100.829</v>
      </c>
      <c r="F466" s="4" t="n">
        <v>1</v>
      </c>
      <c r="G466" t="inlineStr">
        <is>
          <t>British Columbia</t>
        </is>
      </c>
      <c r="H466" t="inlineStr">
        <is>
          <t>No Club</t>
        </is>
      </c>
      <c r="I466" t="inlineStr">
        <is>
          <t>unavailable</t>
        </is>
      </c>
      <c r="J466" s="4" t="n">
        <v>3</v>
      </c>
      <c r="K466" t="inlineStr">
        <is>
          <t>2 / 1</t>
        </is>
      </c>
      <c r="L466" t="inlineStr">
        <is>
          <t>2 / 1</t>
        </is>
      </c>
      <c r="M466" s="5" t="n">
        <v>0.67</v>
      </c>
      <c r="N466" s="5" t="n">
        <v>0.67</v>
      </c>
    </row>
    <row r="467">
      <c r="A467" t="n">
        <v>466</v>
      </c>
      <c r="B467" t="n">
        <v>2016</v>
      </c>
      <c r="C467" t="inlineStr">
        <is>
          <t>Kassidy, Chin Yau Lau</t>
        </is>
      </c>
      <c r="D467">
        <f>HYPERLINK("https://ota.tournamentsoftware.com/player-profile/725BC980-EB67-418A-9A78-144DF7D7CE7E", "Link")</f>
        <v/>
      </c>
      <c r="E467" s="3" t="n">
        <v>100.632</v>
      </c>
      <c r="F467" s="4" t="n">
        <v>21</v>
      </c>
      <c r="G467" t="inlineStr">
        <is>
          <t>Ontario Tennis Association</t>
        </is>
      </c>
      <c r="H467" t="inlineStr">
        <is>
          <t>No Club</t>
        </is>
      </c>
      <c r="I467" t="n">
        <v>34.5</v>
      </c>
      <c r="J467" s="4" t="n">
        <v>54</v>
      </c>
      <c r="K467" t="inlineStr">
        <is>
          <t>32 / 22</t>
        </is>
      </c>
      <c r="L467" t="inlineStr">
        <is>
          <t>32 / 22</t>
        </is>
      </c>
      <c r="M467" s="5" t="n">
        <v>0.59</v>
      </c>
      <c r="N467" s="5" t="n">
        <v>0.59</v>
      </c>
    </row>
    <row r="468">
      <c r="A468" t="n">
        <v>467</v>
      </c>
      <c r="B468" t="n">
        <v>2012</v>
      </c>
      <c r="C468" t="inlineStr">
        <is>
          <t>Selena Wazelle</t>
        </is>
      </c>
      <c r="D468">
        <f>HYPERLINK("https://ota.tournamentsoftware.com/player-profile/B596341F-BD27-43AF-8888-AAD072F39AFB", "Link")</f>
        <v/>
      </c>
      <c r="E468" s="3" t="n">
        <v>100.44</v>
      </c>
      <c r="F468" s="4" t="n">
        <v>2</v>
      </c>
      <c r="G468" t="inlineStr">
        <is>
          <t>British Columbia</t>
        </is>
      </c>
      <c r="H468" t="inlineStr">
        <is>
          <t>No Club</t>
        </is>
      </c>
      <c r="I468" t="n">
        <v>30.1</v>
      </c>
      <c r="J468" s="4" t="n">
        <v>159</v>
      </c>
      <c r="K468" t="inlineStr">
        <is>
          <t>89 / 70</t>
        </is>
      </c>
      <c r="L468" t="inlineStr">
        <is>
          <t>0 / 0</t>
        </is>
      </c>
      <c r="M468" s="5" t="n">
        <v>0.5600000000000001</v>
      </c>
      <c r="N468" s="5" t="n">
        <v>0</v>
      </c>
    </row>
    <row r="469">
      <c r="A469" t="n">
        <v>468</v>
      </c>
      <c r="B469" t="n">
        <v>2012</v>
      </c>
      <c r="C469" t="inlineStr">
        <is>
          <t>Daniella Maria SAUCEDO</t>
        </is>
      </c>
      <c r="D469">
        <f>HYPERLINK("https://ota.tournamentsoftware.com/player-profile/45A852A0-99BB-4449-9FC4-8CAEBA4B404C", "Link")</f>
        <v/>
      </c>
      <c r="E469" s="3" t="n">
        <v>100.008</v>
      </c>
      <c r="F469" s="4" t="n">
        <v>5</v>
      </c>
      <c r="G469" t="inlineStr">
        <is>
          <t>Ontario Tennis Association</t>
        </is>
      </c>
      <c r="H469" t="inlineStr">
        <is>
          <t>City of Oakville</t>
        </is>
      </c>
      <c r="I469" t="inlineStr">
        <is>
          <t>unavailable</t>
        </is>
      </c>
      <c r="J469" s="4" t="n">
        <v>137</v>
      </c>
      <c r="K469" t="inlineStr">
        <is>
          <t>72 / 65</t>
        </is>
      </c>
      <c r="L469" t="inlineStr">
        <is>
          <t>0 / 0</t>
        </is>
      </c>
      <c r="M469" s="5" t="n">
        <v>0.53</v>
      </c>
      <c r="N469" s="5" t="n">
        <v>0</v>
      </c>
    </row>
    <row r="470">
      <c r="A470" t="n">
        <v>469</v>
      </c>
      <c r="B470" t="n">
        <v>2013</v>
      </c>
      <c r="C470" t="inlineStr">
        <is>
          <t>Noa Margaux Dery</t>
        </is>
      </c>
      <c r="D470">
        <f>HYPERLINK("https://ota.tournamentsoftware.com/player-profile/2BE09915-8A78-4187-839F-E3A10E233213", "Link")</f>
        <v/>
      </c>
      <c r="E470" s="3" t="n">
        <v>99.898</v>
      </c>
      <c r="F470" s="4" t="n">
        <v>8</v>
      </c>
      <c r="G470" t="inlineStr">
        <is>
          <t>Tennis Québec</t>
        </is>
      </c>
      <c r="H470" t="inlineStr">
        <is>
          <t>Club Sportif Côte-de-Liesse</t>
        </is>
      </c>
      <c r="I470" t="n">
        <v>35.6</v>
      </c>
      <c r="J470" s="4" t="n">
        <v>38</v>
      </c>
      <c r="K470" t="inlineStr">
        <is>
          <t>14 / 24</t>
        </is>
      </c>
      <c r="L470" t="inlineStr">
        <is>
          <t>7 / 5</t>
        </is>
      </c>
      <c r="M470" s="5" t="n">
        <v>0.37</v>
      </c>
      <c r="N470" s="5" t="n">
        <v>0.58</v>
      </c>
    </row>
    <row r="471">
      <c r="A471" t="n">
        <v>470</v>
      </c>
      <c r="B471" t="n">
        <v>2012</v>
      </c>
      <c r="C471" t="inlineStr">
        <is>
          <t>ONYEKACHUKWU MAGDALENE OGBATUE</t>
        </is>
      </c>
      <c r="D471">
        <f>HYPERLINK("https://ota.tournamentsoftware.com/player-profile/34FAC6AA-945B-40B3-BDE9-3F8B4198659B", "Link")</f>
        <v/>
      </c>
      <c r="E471" s="3" t="n">
        <v>99.878</v>
      </c>
      <c r="F471" s="4" t="n">
        <v>6</v>
      </c>
      <c r="G471" t="inlineStr">
        <is>
          <t>Ontario Tennis Association</t>
        </is>
      </c>
      <c r="H471" t="inlineStr">
        <is>
          <t>Matchpoint Tennis</t>
        </is>
      </c>
      <c r="I471" t="n">
        <v>35.5</v>
      </c>
      <c r="J471" s="4" t="n">
        <v>18</v>
      </c>
      <c r="K471" t="inlineStr">
        <is>
          <t>11 / 7</t>
        </is>
      </c>
      <c r="L471" t="inlineStr">
        <is>
          <t>11 / 7</t>
        </is>
      </c>
      <c r="M471" s="5" t="n">
        <v>0.61</v>
      </c>
      <c r="N471" s="5" t="n">
        <v>0.61</v>
      </c>
    </row>
    <row r="472">
      <c r="A472" t="n">
        <v>471</v>
      </c>
      <c r="B472" t="n">
        <v>2012</v>
      </c>
      <c r="C472" t="inlineStr">
        <is>
          <t>Emma Fedeyko</t>
        </is>
      </c>
      <c r="D472">
        <f>HYPERLINK("https://ota.tournamentsoftware.com/player-profile/62E06657-0480-40D7-B491-B99DA20E11DF", "Link")</f>
        <v/>
      </c>
      <c r="E472" s="3" t="n">
        <v>99.619</v>
      </c>
      <c r="F472" s="4" t="n">
        <v>8</v>
      </c>
      <c r="G472" t="inlineStr">
        <is>
          <t>Ontario Tennis Association</t>
        </is>
      </c>
      <c r="H472" t="inlineStr">
        <is>
          <t>Ontario Racquet Club</t>
        </is>
      </c>
      <c r="I472" t="n">
        <v>35.5</v>
      </c>
      <c r="J472" s="4" t="n">
        <v>52</v>
      </c>
      <c r="K472" t="inlineStr">
        <is>
          <t>19 / 33</t>
        </is>
      </c>
      <c r="L472" t="inlineStr">
        <is>
          <t>3 / 5</t>
        </is>
      </c>
      <c r="M472" s="5" t="n">
        <v>0.37</v>
      </c>
      <c r="N472" s="5" t="n">
        <v>0.38</v>
      </c>
    </row>
    <row r="473">
      <c r="A473" t="n">
        <v>472</v>
      </c>
      <c r="B473" t="n">
        <v>2014</v>
      </c>
      <c r="C473" t="inlineStr">
        <is>
          <t>Chloe Esther Yeung</t>
        </is>
      </c>
      <c r="D473">
        <f>HYPERLINK("https://ota.tournamentsoftware.com/player-profile/A0100B59-21FE-4244-87C6-16B2DE0DBB96", "Link")</f>
        <v/>
      </c>
      <c r="E473" s="3" t="n">
        <v>99.27800000000001</v>
      </c>
      <c r="F473" s="4" t="n">
        <v>12</v>
      </c>
      <c r="G473" t="inlineStr">
        <is>
          <t>Ontario Tennis Association</t>
        </is>
      </c>
      <c r="H473" t="inlineStr">
        <is>
          <t>Mayfair East Racquet Club</t>
        </is>
      </c>
      <c r="I473" t="n">
        <v>36.6</v>
      </c>
      <c r="J473" s="4" t="n">
        <v>106</v>
      </c>
      <c r="K473" t="inlineStr">
        <is>
          <t>45 / 61</t>
        </is>
      </c>
      <c r="L473" t="inlineStr">
        <is>
          <t>3 / 9</t>
        </is>
      </c>
      <c r="M473" s="5" t="n">
        <v>0.42</v>
      </c>
      <c r="N473" s="5" t="n">
        <v>0.25</v>
      </c>
    </row>
    <row r="474">
      <c r="A474" t="n">
        <v>473</v>
      </c>
      <c r="B474" t="n">
        <v>2013</v>
      </c>
      <c r="C474" t="inlineStr">
        <is>
          <t>Kaylie Kam</t>
        </is>
      </c>
      <c r="D474">
        <f>HYPERLINK("https://ota.tournamentsoftware.com/player-profile/29B7928E-12B2-4691-8B4A-1DE557B4F068", "Link")</f>
        <v/>
      </c>
      <c r="E474" s="3" t="n">
        <v>98.657</v>
      </c>
      <c r="F474" s="4" t="n">
        <v>14</v>
      </c>
      <c r="G474" t="inlineStr">
        <is>
          <t>Ontario Tennis Association</t>
        </is>
      </c>
      <c r="H474" t="inlineStr">
        <is>
          <t>Blackmore Tennis Club</t>
        </is>
      </c>
      <c r="I474" t="n">
        <v>34.1</v>
      </c>
      <c r="J474" s="4" t="n">
        <v>56</v>
      </c>
      <c r="K474" t="inlineStr">
        <is>
          <t>37 / 19</t>
        </is>
      </c>
      <c r="L474" t="inlineStr">
        <is>
          <t>11 / 11</t>
        </is>
      </c>
      <c r="M474" s="5" t="n">
        <v>0.66</v>
      </c>
      <c r="N474" s="5" t="n">
        <v>0.5</v>
      </c>
    </row>
    <row r="475">
      <c r="A475" t="n">
        <v>474</v>
      </c>
      <c r="B475" t="n">
        <v>2012</v>
      </c>
      <c r="C475" t="inlineStr">
        <is>
          <t>Emily Lyn</t>
        </is>
      </c>
      <c r="D475">
        <f>HYPERLINK("https://ota.tournamentsoftware.com/player-profile/952E408B-05E4-4A69-8AAE-E4D164512A9E", "Link")</f>
        <v/>
      </c>
      <c r="E475" s="3" t="n">
        <v>98.52</v>
      </c>
      <c r="F475" s="4" t="n">
        <v>9</v>
      </c>
      <c r="G475" t="inlineStr">
        <is>
          <t>Ontario Tennis Association</t>
        </is>
      </c>
      <c r="H475" t="inlineStr">
        <is>
          <t>Markham Tennis Club</t>
        </is>
      </c>
      <c r="I475" t="n">
        <v>36</v>
      </c>
      <c r="J475" s="4" t="n">
        <v>103</v>
      </c>
      <c r="K475" t="inlineStr">
        <is>
          <t>61 / 42</t>
        </is>
      </c>
      <c r="L475" t="inlineStr">
        <is>
          <t>5 / 6</t>
        </is>
      </c>
      <c r="M475" s="5" t="n">
        <v>0.59</v>
      </c>
      <c r="N475" s="5" t="n">
        <v>0.45</v>
      </c>
    </row>
    <row r="476">
      <c r="A476" t="n">
        <v>475</v>
      </c>
      <c r="B476" t="n">
        <v>2014</v>
      </c>
      <c r="C476" t="inlineStr">
        <is>
          <t>Avril Kymber Lin</t>
        </is>
      </c>
      <c r="D476">
        <f>HYPERLINK("https://ota.tournamentsoftware.com/player-profile/6CFCC91C-A66C-46B5-8430-D2D78CE3EE4B", "Link")</f>
        <v/>
      </c>
      <c r="E476" s="3" t="n">
        <v>98.492</v>
      </c>
      <c r="F476" s="4" t="n">
        <v>13</v>
      </c>
      <c r="G476" t="inlineStr">
        <is>
          <t>Tennis Alberta</t>
        </is>
      </c>
      <c r="H476" t="inlineStr">
        <is>
          <t>Brookside Court &amp; Wellness</t>
        </is>
      </c>
      <c r="I476" t="inlineStr">
        <is>
          <t>unavailable</t>
        </is>
      </c>
      <c r="J476" s="4" t="n">
        <v>101</v>
      </c>
      <c r="K476" t="inlineStr">
        <is>
          <t>40 / 61</t>
        </is>
      </c>
      <c r="L476" t="inlineStr">
        <is>
          <t>10 / 16</t>
        </is>
      </c>
      <c r="M476" s="5" t="n">
        <v>0.4</v>
      </c>
      <c r="N476" s="5" t="n">
        <v>0.38</v>
      </c>
    </row>
    <row r="477">
      <c r="A477" t="n">
        <v>476</v>
      </c>
      <c r="B477" t="n">
        <v>2012</v>
      </c>
      <c r="C477" t="inlineStr">
        <is>
          <t>Alice Le</t>
        </is>
      </c>
      <c r="D477">
        <f>HYPERLINK("https://ota.tournamentsoftware.com/player-profile/762C717D-CB5B-4A61-877E-C235D5E4911F", "Link")</f>
        <v/>
      </c>
      <c r="E477" s="3" t="n">
        <v>98.04000000000001</v>
      </c>
      <c r="F477" s="4" t="n">
        <v>4</v>
      </c>
      <c r="G477" t="inlineStr">
        <is>
          <t>British Columbia</t>
        </is>
      </c>
      <c r="H477" t="inlineStr">
        <is>
          <t>City of Vancouver</t>
        </is>
      </c>
      <c r="I477" t="inlineStr">
        <is>
          <t>unavailable</t>
        </is>
      </c>
      <c r="J477" s="4" t="n">
        <v>10</v>
      </c>
      <c r="K477" t="inlineStr">
        <is>
          <t>7 / 3</t>
        </is>
      </c>
      <c r="L477" t="inlineStr">
        <is>
          <t>1 / 1</t>
        </is>
      </c>
      <c r="M477" s="5" t="n">
        <v>0.7</v>
      </c>
      <c r="N477" s="5" t="n">
        <v>0.5</v>
      </c>
    </row>
    <row r="478">
      <c r="A478" t="n">
        <v>477</v>
      </c>
      <c r="B478" t="n">
        <v>2015</v>
      </c>
      <c r="C478" t="inlineStr">
        <is>
          <t>Violet Ton-That</t>
        </is>
      </c>
      <c r="D478">
        <f>HYPERLINK("https://ota.tournamentsoftware.com/player-profile/2832D590-1D78-4B7F-B573-E2D932040ADB", "Link")</f>
        <v/>
      </c>
      <c r="E478" s="3" t="n">
        <v>96.917</v>
      </c>
      <c r="F478" s="4" t="n">
        <v>12</v>
      </c>
      <c r="G478" t="inlineStr">
        <is>
          <t>Tennis Québec</t>
        </is>
      </c>
      <c r="H478" t="inlineStr">
        <is>
          <t>Tennis Montréal Excellence</t>
        </is>
      </c>
      <c r="I478" t="n">
        <v>35.7</v>
      </c>
      <c r="J478" s="4" t="n">
        <v>63</v>
      </c>
      <c r="K478" t="inlineStr">
        <is>
          <t>29 / 34</t>
        </is>
      </c>
      <c r="L478" t="inlineStr">
        <is>
          <t>8 / 10</t>
        </is>
      </c>
      <c r="M478" s="5" t="n">
        <v>0.46</v>
      </c>
      <c r="N478" s="5" t="n">
        <v>0.44</v>
      </c>
    </row>
    <row r="479">
      <c r="A479" t="n">
        <v>478</v>
      </c>
      <c r="B479" t="n">
        <v>2012</v>
      </c>
      <c r="C479" t="inlineStr">
        <is>
          <t>Emily Zhang</t>
        </is>
      </c>
      <c r="D479">
        <f>HYPERLINK("https://ota.tournamentsoftware.com/player-profile/927E8E34-8FE2-4B37-81C7-621F5326585C", "Link")</f>
        <v/>
      </c>
      <c r="E479" s="3" t="n">
        <v>96.367</v>
      </c>
      <c r="F479" s="4" t="n">
        <v>7</v>
      </c>
      <c r="G479" t="inlineStr">
        <is>
          <t>Ontario Tennis Association</t>
        </is>
      </c>
      <c r="H479" t="inlineStr">
        <is>
          <t>Blackmore Tennis Club</t>
        </is>
      </c>
      <c r="I479" t="inlineStr">
        <is>
          <t>unavailable</t>
        </is>
      </c>
      <c r="J479" s="4" t="n">
        <v>48</v>
      </c>
      <c r="K479" t="inlineStr">
        <is>
          <t>10 / 38</t>
        </is>
      </c>
      <c r="L479" t="inlineStr">
        <is>
          <t>1 / 3</t>
        </is>
      </c>
      <c r="M479" s="5" t="n">
        <v>0.21</v>
      </c>
      <c r="N479" s="5" t="n">
        <v>0.25</v>
      </c>
    </row>
    <row r="480">
      <c r="A480" t="n">
        <v>479</v>
      </c>
      <c r="B480" t="n">
        <v>2017</v>
      </c>
      <c r="C480" t="inlineStr">
        <is>
          <t>Amelia Alhakim</t>
        </is>
      </c>
      <c r="D480">
        <f>HYPERLINK("https://ota.tournamentsoftware.com/player-profile/0B954ECB-D503-4C36-BD94-6D389AF0D202", "Link")</f>
        <v/>
      </c>
      <c r="E480" s="3" t="n">
        <v>96.36</v>
      </c>
      <c r="F480" s="4" t="n">
        <v>13</v>
      </c>
      <c r="G480" t="inlineStr">
        <is>
          <t>Ontario Tennis Association</t>
        </is>
      </c>
      <c r="H480" t="inlineStr">
        <is>
          <t>Zekelman Tennis Centre</t>
        </is>
      </c>
      <c r="I480" t="n">
        <v>34.4</v>
      </c>
      <c r="J480" s="4" t="n">
        <v>40</v>
      </c>
      <c r="K480" t="inlineStr">
        <is>
          <t>23 / 17</t>
        </is>
      </c>
      <c r="L480" t="inlineStr">
        <is>
          <t>19 / 12</t>
        </is>
      </c>
      <c r="M480" s="5" t="n">
        <v>0.57</v>
      </c>
      <c r="N480" s="5" t="n">
        <v>0.61</v>
      </c>
    </row>
    <row r="481">
      <c r="A481" t="n">
        <v>480</v>
      </c>
      <c r="B481" t="n">
        <v>2014</v>
      </c>
      <c r="C481" t="inlineStr">
        <is>
          <t>Zoey Folashakin</t>
        </is>
      </c>
      <c r="D481">
        <f>HYPERLINK("https://ota.tournamentsoftware.com/player-profile/3301B942-3C8E-4FE4-9470-6F68EC47669D", "Link")</f>
        <v/>
      </c>
      <c r="E481" s="3" t="n">
        <v>95.544</v>
      </c>
      <c r="F481" s="4" t="n">
        <v>22</v>
      </c>
      <c r="G481" t="inlineStr">
        <is>
          <t>Ontario Tennis Association</t>
        </is>
      </c>
      <c r="H481" t="inlineStr">
        <is>
          <t>Joshua Creek Golf &amp; Tennis</t>
        </is>
      </c>
      <c r="I481" t="n">
        <v>36.6</v>
      </c>
      <c r="J481" s="4" t="n">
        <v>68</v>
      </c>
      <c r="K481" t="inlineStr">
        <is>
          <t>15 / 53</t>
        </is>
      </c>
      <c r="L481" t="inlineStr">
        <is>
          <t>11 / 14</t>
        </is>
      </c>
      <c r="M481" s="5" t="n">
        <v>0.22</v>
      </c>
      <c r="N481" s="5" t="n">
        <v>0.44</v>
      </c>
    </row>
    <row r="482">
      <c r="A482" t="n">
        <v>481</v>
      </c>
      <c r="B482" t="n">
        <v>2013</v>
      </c>
      <c r="C482" t="inlineStr">
        <is>
          <t>Chelsea Yuxin Lan</t>
        </is>
      </c>
      <c r="D482">
        <f>HYPERLINK("https://ota.tournamentsoftware.com/player-profile/D861FE8B-CCB2-4222-BA9C-EBD5C1FECE32", "Link")</f>
        <v/>
      </c>
      <c r="E482" s="3" t="n">
        <v>95.095</v>
      </c>
      <c r="F482" s="4" t="n">
        <v>16</v>
      </c>
      <c r="G482" t="inlineStr">
        <is>
          <t>British Columbia</t>
        </is>
      </c>
      <c r="H482" t="inlineStr">
        <is>
          <t>Hollyburn Country Club</t>
        </is>
      </c>
      <c r="I482" t="inlineStr">
        <is>
          <t>unavailable</t>
        </is>
      </c>
      <c r="J482" s="4" t="n">
        <v>117</v>
      </c>
      <c r="K482" t="inlineStr">
        <is>
          <t>34 / 83</t>
        </is>
      </c>
      <c r="L482" t="inlineStr">
        <is>
          <t>2 / 20</t>
        </is>
      </c>
      <c r="M482" s="5" t="n">
        <v>0.29</v>
      </c>
      <c r="N482" s="5" t="n">
        <v>0.09</v>
      </c>
    </row>
    <row r="483">
      <c r="A483" t="n">
        <v>482</v>
      </c>
      <c r="B483" t="n">
        <v>2015</v>
      </c>
      <c r="C483" t="inlineStr">
        <is>
          <t>Kaliya Summer Miserre-Garrecht</t>
        </is>
      </c>
      <c r="D483">
        <f>HYPERLINK("https://ota.tournamentsoftware.com/player-profile/C178309B-9B10-4C79-99B5-DD8E37FCC1EF", "Link")</f>
        <v/>
      </c>
      <c r="E483" s="3" t="n">
        <v>94.80200000000001</v>
      </c>
      <c r="F483" s="4" t="n">
        <v>23</v>
      </c>
      <c r="G483" t="inlineStr">
        <is>
          <t>British Columbia</t>
        </is>
      </c>
      <c r="H483" t="inlineStr">
        <is>
          <t>Vanguard Tennis Academy</t>
        </is>
      </c>
      <c r="I483" t="n">
        <v>36.4</v>
      </c>
      <c r="J483" s="4" t="n">
        <v>138</v>
      </c>
      <c r="K483" t="inlineStr">
        <is>
          <t>60 / 78</t>
        </is>
      </c>
      <c r="L483" t="inlineStr">
        <is>
          <t>15 / 25</t>
        </is>
      </c>
      <c r="M483" s="5" t="n">
        <v>0.43</v>
      </c>
      <c r="N483" s="5" t="n">
        <v>0.38</v>
      </c>
    </row>
    <row r="484">
      <c r="A484" t="n">
        <v>483</v>
      </c>
      <c r="B484" t="n">
        <v>2012</v>
      </c>
      <c r="C484" t="inlineStr">
        <is>
          <t>Karolina Klepinin</t>
        </is>
      </c>
      <c r="D484">
        <f>HYPERLINK("https://ota.tournamentsoftware.com/player-profile/A0474BDB-A63B-423A-90FB-FAAA726E2052", "Link")</f>
        <v/>
      </c>
      <c r="E484" s="3" t="n">
        <v>94.729</v>
      </c>
      <c r="F484" s="4" t="n">
        <v>6</v>
      </c>
      <c r="G484" t="inlineStr">
        <is>
          <t>Ontario Tennis Association</t>
        </is>
      </c>
      <c r="H484" t="inlineStr">
        <is>
          <t>ON North Central No Club</t>
        </is>
      </c>
      <c r="I484" t="n">
        <v>36.4</v>
      </c>
      <c r="J484" s="4" t="n">
        <v>52</v>
      </c>
      <c r="K484" t="inlineStr">
        <is>
          <t>14 / 38</t>
        </is>
      </c>
      <c r="L484" t="inlineStr">
        <is>
          <t>3 / 7</t>
        </is>
      </c>
      <c r="M484" s="5" t="n">
        <v>0.27</v>
      </c>
      <c r="N484" s="5" t="n">
        <v>0.3</v>
      </c>
    </row>
    <row r="485">
      <c r="A485" t="n">
        <v>484</v>
      </c>
      <c r="B485" t="n">
        <v>2012</v>
      </c>
      <c r="C485" t="inlineStr">
        <is>
          <t>Alyssa Grace Clouden</t>
        </is>
      </c>
      <c r="D485">
        <f>HYPERLINK("https://ota.tournamentsoftware.com/player-profile/85FC5E76-6ACD-4520-94D0-C05BABDC2184", "Link")</f>
        <v/>
      </c>
      <c r="E485" s="3" t="n">
        <v>94.176</v>
      </c>
      <c r="F485" s="4" t="n">
        <v>12</v>
      </c>
      <c r="G485" t="inlineStr">
        <is>
          <t>Ontario Tennis Association</t>
        </is>
      </c>
      <c r="H485" t="inlineStr">
        <is>
          <t>Headwaters Racquet Club</t>
        </is>
      </c>
      <c r="I485" t="n">
        <v>36.7</v>
      </c>
      <c r="J485" s="4" t="n">
        <v>49</v>
      </c>
      <c r="K485" t="inlineStr">
        <is>
          <t>21 / 28</t>
        </is>
      </c>
      <c r="L485" t="inlineStr">
        <is>
          <t>6 / 12</t>
        </is>
      </c>
      <c r="M485" s="5" t="n">
        <v>0.43</v>
      </c>
      <c r="N485" s="5" t="n">
        <v>0.33</v>
      </c>
    </row>
    <row r="486">
      <c r="A486" t="n">
        <v>485</v>
      </c>
      <c r="B486" t="n">
        <v>2012</v>
      </c>
      <c r="C486" t="inlineStr">
        <is>
          <t>Tiana Amede-Bramwell</t>
        </is>
      </c>
      <c r="D486">
        <f>HYPERLINK("https://ota.tournamentsoftware.com/player-profile/BC31A25D-C48C-47FD-A0A3-D600EA315675", "Link")</f>
        <v/>
      </c>
      <c r="E486" s="3" t="n">
        <v>94.053</v>
      </c>
      <c r="F486" s="4" t="n">
        <v>11</v>
      </c>
      <c r="G486" t="inlineStr">
        <is>
          <t>Ontario Tennis Association</t>
        </is>
      </c>
      <c r="H486" t="inlineStr">
        <is>
          <t>Credit Valley Tennis Club</t>
        </is>
      </c>
      <c r="I486" t="n">
        <v>39.5</v>
      </c>
      <c r="J486" s="4" t="n">
        <v>40</v>
      </c>
      <c r="K486" t="inlineStr">
        <is>
          <t>8 / 32</t>
        </is>
      </c>
      <c r="L486" t="inlineStr">
        <is>
          <t>8 / 29</t>
        </is>
      </c>
      <c r="M486" s="5" t="n">
        <v>0.2</v>
      </c>
      <c r="N486" s="5" t="n">
        <v>0.22</v>
      </c>
    </row>
    <row r="487">
      <c r="A487" t="n">
        <v>486</v>
      </c>
      <c r="B487" t="n">
        <v>2014</v>
      </c>
      <c r="C487" t="inlineStr">
        <is>
          <t>Gabriella Geronimo</t>
        </is>
      </c>
      <c r="D487">
        <f>HYPERLINK("https://ota.tournamentsoftware.com/player-profile/E075895A-C22F-4FDB-9A95-CCD353169906", "Link")</f>
        <v/>
      </c>
      <c r="E487" s="3" t="n">
        <v>93.63200000000001</v>
      </c>
      <c r="F487" s="4" t="n">
        <v>7</v>
      </c>
      <c r="G487" t="inlineStr">
        <is>
          <t>Ontario Tennis Association</t>
        </is>
      </c>
      <c r="H487" t="inlineStr">
        <is>
          <t>Albion Gardens Tennis Club</t>
        </is>
      </c>
      <c r="I487" t="n">
        <v>33.9</v>
      </c>
      <c r="J487" s="4" t="n">
        <v>200</v>
      </c>
      <c r="K487" t="inlineStr">
        <is>
          <t>113 / 87</t>
        </is>
      </c>
      <c r="L487" t="inlineStr">
        <is>
          <t>5 / 1</t>
        </is>
      </c>
      <c r="M487" s="5" t="n">
        <v>0.5600000000000001</v>
      </c>
      <c r="N487" s="5" t="n">
        <v>0.83</v>
      </c>
    </row>
    <row r="488">
      <c r="A488" t="n">
        <v>487</v>
      </c>
      <c r="B488" t="n">
        <v>2016</v>
      </c>
      <c r="C488" t="inlineStr">
        <is>
          <t>Chenlin Wang</t>
        </is>
      </c>
      <c r="D488">
        <f>HYPERLINK("https://ota.tournamentsoftware.com/player-profile/9F8A5A74-B5B7-41F1-A513-DA87D68CAFFE", "Link")</f>
        <v/>
      </c>
      <c r="E488" s="3" t="n">
        <v>93.203</v>
      </c>
      <c r="F488" s="4" t="n">
        <v>30</v>
      </c>
      <c r="G488" t="inlineStr">
        <is>
          <t>British Columbia</t>
        </is>
      </c>
      <c r="H488" t="inlineStr">
        <is>
          <t>Aura Tennis Academy</t>
        </is>
      </c>
      <c r="I488" t="inlineStr">
        <is>
          <t>unavailable</t>
        </is>
      </c>
      <c r="J488" s="4" t="n">
        <v>159</v>
      </c>
      <c r="K488" t="inlineStr">
        <is>
          <t>87 / 72</t>
        </is>
      </c>
      <c r="L488" t="inlineStr">
        <is>
          <t>35 / 23</t>
        </is>
      </c>
      <c r="M488" s="5" t="n">
        <v>0.55</v>
      </c>
      <c r="N488" s="5" t="n">
        <v>0.6</v>
      </c>
    </row>
    <row r="489">
      <c r="A489" t="n">
        <v>488</v>
      </c>
      <c r="B489" t="n">
        <v>2015</v>
      </c>
      <c r="C489" t="inlineStr">
        <is>
          <t>Joey Wu</t>
        </is>
      </c>
      <c r="D489">
        <f>HYPERLINK("https://ota.tournamentsoftware.com/player-profile/5271198B-7814-4938-9A9E-61E10CC7CCA6", "Link")</f>
        <v/>
      </c>
      <c r="E489" s="3" t="n">
        <v>92.84</v>
      </c>
      <c r="F489" s="4" t="n">
        <v>26</v>
      </c>
      <c r="G489" t="inlineStr">
        <is>
          <t>British Columbia</t>
        </is>
      </c>
      <c r="H489" t="inlineStr">
        <is>
          <t>City of Richmond</t>
        </is>
      </c>
      <c r="I489" t="inlineStr">
        <is>
          <t>unavailable</t>
        </is>
      </c>
      <c r="J489" s="4" t="n">
        <v>123</v>
      </c>
      <c r="K489" t="inlineStr">
        <is>
          <t>73 / 50</t>
        </is>
      </c>
      <c r="L489" t="inlineStr">
        <is>
          <t>18 / 26</t>
        </is>
      </c>
      <c r="M489" s="5" t="n">
        <v>0.59</v>
      </c>
      <c r="N489" s="5" t="n">
        <v>0.41</v>
      </c>
    </row>
    <row r="490">
      <c r="A490" t="n">
        <v>489</v>
      </c>
      <c r="B490" t="n">
        <v>2014</v>
      </c>
      <c r="C490" t="inlineStr">
        <is>
          <t>cataleya florina zadarojnea</t>
        </is>
      </c>
      <c r="D490">
        <f>HYPERLINK("https://ota.tournamentsoftware.com/player-profile/EAEB7B00-5E1C-47F6-8FF3-1537E07A8B59", "Link")</f>
        <v/>
      </c>
      <c r="E490" s="3" t="n">
        <v>92.57599999999999</v>
      </c>
      <c r="F490" s="4" t="n">
        <v>25</v>
      </c>
      <c r="G490" t="inlineStr">
        <is>
          <t>Ontario Tennis Association</t>
        </is>
      </c>
      <c r="H490" t="inlineStr">
        <is>
          <t>Premier Racquet Clubs – Mississauga</t>
        </is>
      </c>
      <c r="I490" t="n">
        <v>37.2</v>
      </c>
      <c r="J490" s="4" t="n">
        <v>37</v>
      </c>
      <c r="K490" t="inlineStr">
        <is>
          <t>12 / 25</t>
        </is>
      </c>
      <c r="L490" t="inlineStr">
        <is>
          <t>8 / 18</t>
        </is>
      </c>
      <c r="M490" s="5" t="n">
        <v>0.32</v>
      </c>
      <c r="N490" s="5" t="n">
        <v>0.31</v>
      </c>
    </row>
    <row r="491">
      <c r="A491" t="n">
        <v>490</v>
      </c>
      <c r="B491" t="n">
        <v>2015</v>
      </c>
      <c r="C491" t="inlineStr">
        <is>
          <t>Serena Wepadam CHONGATERA</t>
        </is>
      </c>
      <c r="D491">
        <f>HYPERLINK("https://ota.tournamentsoftware.com/player-profile/32A446CD-0BF6-43CA-BCC5-9AE4AEDFD5BE", "Link")</f>
        <v/>
      </c>
      <c r="E491" s="3" t="n">
        <v>91.819</v>
      </c>
      <c r="F491" s="4" t="n">
        <v>4</v>
      </c>
      <c r="G491" t="inlineStr">
        <is>
          <t>Tennis Nova Scotia</t>
        </is>
      </c>
      <c r="H491" t="inlineStr">
        <is>
          <t>HEADSTART</t>
        </is>
      </c>
      <c r="I491" t="n">
        <v>37.6</v>
      </c>
      <c r="J491" s="4" t="n">
        <v>22</v>
      </c>
      <c r="K491" t="inlineStr">
        <is>
          <t>8 / 14</t>
        </is>
      </c>
      <c r="L491" t="inlineStr">
        <is>
          <t>3 / 10</t>
        </is>
      </c>
      <c r="M491" s="5" t="n">
        <v>0.36</v>
      </c>
      <c r="N491" s="5" t="n">
        <v>0.23</v>
      </c>
    </row>
    <row r="492">
      <c r="A492" t="n">
        <v>491</v>
      </c>
      <c r="B492" t="n">
        <v>2016</v>
      </c>
      <c r="C492" t="inlineStr">
        <is>
          <t>Lydia Yinuo Xu</t>
        </is>
      </c>
      <c r="D492">
        <f>HYPERLINK("https://ota.tournamentsoftware.com/player-profile/515F94D6-B979-4BBE-98E6-48CFEF4CE395", "Link")</f>
        <v/>
      </c>
      <c r="E492" s="3" t="n">
        <v>91.8</v>
      </c>
      <c r="F492" s="4" t="n">
        <v>11</v>
      </c>
      <c r="G492" t="inlineStr">
        <is>
          <t>Ontario Tennis Association</t>
        </is>
      </c>
      <c r="H492" t="inlineStr">
        <is>
          <t>Joshua Creek Golf &amp; Tennis</t>
        </is>
      </c>
      <c r="I492" t="n">
        <v>35</v>
      </c>
      <c r="J492" s="4" t="n">
        <v>154</v>
      </c>
      <c r="K492" t="inlineStr">
        <is>
          <t>72 / 82</t>
        </is>
      </c>
      <c r="L492" t="inlineStr">
        <is>
          <t>26 / 12</t>
        </is>
      </c>
      <c r="M492" s="5" t="n">
        <v>0.47</v>
      </c>
      <c r="N492" s="5" t="n">
        <v>0.68</v>
      </c>
    </row>
    <row r="493">
      <c r="A493" t="n">
        <v>492</v>
      </c>
      <c r="B493" t="n">
        <v>2015</v>
      </c>
      <c r="C493" t="inlineStr">
        <is>
          <t>zhiyi li</t>
        </is>
      </c>
      <c r="D493">
        <f>HYPERLINK("https://ota.tournamentsoftware.com/player-profile/262E56E9-3220-45C2-961D-ACE763C5C345", "Link")</f>
        <v/>
      </c>
      <c r="E493" s="3" t="n">
        <v>91.584</v>
      </c>
      <c r="F493" s="4" t="n">
        <v>11</v>
      </c>
      <c r="G493" t="inlineStr">
        <is>
          <t>Ontario Tennis Association</t>
        </is>
      </c>
      <c r="H493" t="inlineStr">
        <is>
          <t>Rideau Sports Centre</t>
        </is>
      </c>
      <c r="I493" t="n">
        <v>35</v>
      </c>
      <c r="J493" s="4" t="n">
        <v>85</v>
      </c>
      <c r="K493" t="inlineStr">
        <is>
          <t>45 / 40</t>
        </is>
      </c>
      <c r="L493" t="inlineStr">
        <is>
          <t>9 / 10</t>
        </is>
      </c>
      <c r="M493" s="5" t="n">
        <v>0.53</v>
      </c>
      <c r="N493" s="5" t="n">
        <v>0.47</v>
      </c>
    </row>
    <row r="494">
      <c r="A494" t="n">
        <v>493</v>
      </c>
      <c r="B494" t="n">
        <v>2013</v>
      </c>
      <c r="C494" t="inlineStr">
        <is>
          <t>Aditi Varma</t>
        </is>
      </c>
      <c r="D494">
        <f>HYPERLINK("https://ota.tournamentsoftware.com/player-profile/EE1E4950-6BCE-4CAA-921A-C5201D737DFF", "Link")</f>
        <v/>
      </c>
      <c r="E494" s="3" t="n">
        <v>91.402</v>
      </c>
      <c r="F494" s="4" t="n">
        <v>8</v>
      </c>
      <c r="G494" t="inlineStr">
        <is>
          <t>Ontario Tennis Association</t>
        </is>
      </c>
      <c r="H494" t="inlineStr">
        <is>
          <t>Ontario Racquet Club</t>
        </is>
      </c>
      <c r="I494" t="n">
        <v>34.9</v>
      </c>
      <c r="J494" s="4" t="n">
        <v>87</v>
      </c>
      <c r="K494" t="inlineStr">
        <is>
          <t>26 / 61</t>
        </is>
      </c>
      <c r="L494" t="inlineStr">
        <is>
          <t>2 / 5</t>
        </is>
      </c>
      <c r="M494" s="5" t="n">
        <v>0.3</v>
      </c>
      <c r="N494" s="5" t="n">
        <v>0.29</v>
      </c>
    </row>
    <row r="495">
      <c r="A495" t="n">
        <v>494</v>
      </c>
      <c r="B495" t="n">
        <v>2014</v>
      </c>
      <c r="C495" t="inlineStr">
        <is>
          <t>Olivia Hesse</t>
        </is>
      </c>
      <c r="D495">
        <f>HYPERLINK("https://ota.tournamentsoftware.com/player-profile/18AF6D11-FB26-470D-81A9-00DC98F16884", "Link")</f>
        <v/>
      </c>
      <c r="E495" s="3" t="n">
        <v>91.059</v>
      </c>
      <c r="F495" s="4" t="n">
        <v>12</v>
      </c>
      <c r="G495" t="inlineStr">
        <is>
          <t>Ontario Tennis Association</t>
        </is>
      </c>
      <c r="H495" t="inlineStr">
        <is>
          <t>Boulevard Club</t>
        </is>
      </c>
      <c r="I495" t="n">
        <v>36.3</v>
      </c>
      <c r="J495" s="4" t="n">
        <v>66</v>
      </c>
      <c r="K495" t="inlineStr">
        <is>
          <t>26 / 40</t>
        </is>
      </c>
      <c r="L495" t="inlineStr">
        <is>
          <t>8 / 11</t>
        </is>
      </c>
      <c r="M495" s="5" t="n">
        <v>0.39</v>
      </c>
      <c r="N495" s="5" t="n">
        <v>0.42</v>
      </c>
    </row>
    <row r="496">
      <c r="A496" t="n">
        <v>495</v>
      </c>
      <c r="B496" t="n">
        <v>2014</v>
      </c>
      <c r="C496" t="inlineStr">
        <is>
          <t>Maylis Ilmane</t>
        </is>
      </c>
      <c r="D496">
        <f>HYPERLINK("https://ota.tournamentsoftware.com/player-profile/8AD3E1E2-82F0-490F-B772-6E9AA24959CC", "Link")</f>
        <v/>
      </c>
      <c r="E496" s="3" t="n">
        <v>90.08799999999999</v>
      </c>
      <c r="F496" s="4" t="n">
        <v>10</v>
      </c>
      <c r="G496" t="inlineStr">
        <is>
          <t>Tennis Québec</t>
        </is>
      </c>
      <c r="H496" t="inlineStr">
        <is>
          <t>Centre récréatif de Repentigny / Académie Tennis Momentum</t>
        </is>
      </c>
      <c r="I496" t="n">
        <v>35.4</v>
      </c>
      <c r="J496" s="4" t="n">
        <v>60</v>
      </c>
      <c r="K496" t="inlineStr">
        <is>
          <t>25 / 35</t>
        </is>
      </c>
      <c r="L496" t="inlineStr">
        <is>
          <t>7 / 6</t>
        </is>
      </c>
      <c r="M496" s="5" t="n">
        <v>0.42</v>
      </c>
      <c r="N496" s="5" t="n">
        <v>0.54</v>
      </c>
    </row>
    <row r="497">
      <c r="A497" t="n">
        <v>496</v>
      </c>
      <c r="B497" t="n">
        <v>2015</v>
      </c>
      <c r="C497" t="inlineStr">
        <is>
          <t>Larissa Bulynko</t>
        </is>
      </c>
      <c r="D497">
        <f>HYPERLINK("https://ota.tournamentsoftware.com/player-profile/387B3C19-006B-446B-A1CE-226F349C0C24", "Link")</f>
        <v/>
      </c>
      <c r="E497" s="3" t="n">
        <v>89.874</v>
      </c>
      <c r="F497" s="4" t="n">
        <v>12</v>
      </c>
      <c r="G497" t="inlineStr">
        <is>
          <t>Ontario Tennis Association</t>
        </is>
      </c>
      <c r="H497" t="inlineStr">
        <is>
          <t>National Tennis School</t>
        </is>
      </c>
      <c r="I497" t="n">
        <v>37.3</v>
      </c>
      <c r="J497" s="4" t="n">
        <v>55</v>
      </c>
      <c r="K497" t="inlineStr">
        <is>
          <t>21 / 34</t>
        </is>
      </c>
      <c r="L497" t="inlineStr">
        <is>
          <t>6 / 11</t>
        </is>
      </c>
      <c r="M497" s="5" t="n">
        <v>0.38</v>
      </c>
      <c r="N497" s="5" t="n">
        <v>0.35</v>
      </c>
    </row>
    <row r="498">
      <c r="A498" t="n">
        <v>497</v>
      </c>
      <c r="B498" t="n">
        <v>2012</v>
      </c>
      <c r="C498" t="inlineStr">
        <is>
          <t>Aaisha Rathod</t>
        </is>
      </c>
      <c r="D498">
        <f>HYPERLINK("https://ota.tournamentsoftware.com/player-profile/3CFF2AC0-C5A1-461F-91D3-0CD8EAFC5609", "Link")</f>
        <v/>
      </c>
      <c r="E498" s="3" t="n">
        <v>88.89700000000001</v>
      </c>
      <c r="F498" s="4" t="n">
        <v>12</v>
      </c>
      <c r="G498" t="inlineStr">
        <is>
          <t>Ontario Tennis Association</t>
        </is>
      </c>
      <c r="H498" t="inlineStr">
        <is>
          <t>Premier Racquet Clubs – Mississauga</t>
        </is>
      </c>
      <c r="I498" t="n">
        <v>38.6</v>
      </c>
      <c r="J498" s="4" t="n">
        <v>76</v>
      </c>
      <c r="K498" t="inlineStr">
        <is>
          <t>4 / 72</t>
        </is>
      </c>
      <c r="L498" t="inlineStr">
        <is>
          <t>2 / 9</t>
        </is>
      </c>
      <c r="M498" s="5" t="n">
        <v>0.05</v>
      </c>
      <c r="N498" s="5" t="n">
        <v>0.18</v>
      </c>
    </row>
    <row r="499">
      <c r="A499" t="n">
        <v>498</v>
      </c>
      <c r="B499" t="n">
        <v>2013</v>
      </c>
      <c r="C499" t="inlineStr">
        <is>
          <t>Hengxi Celine Du</t>
        </is>
      </c>
      <c r="D499">
        <f>HYPERLINK("https://ota.tournamentsoftware.com/player-profile/7011B5E4-06D4-4830-95A3-18CF46BE4ED0", "Link")</f>
        <v/>
      </c>
      <c r="E499" s="3" t="n">
        <v>88.03</v>
      </c>
      <c r="F499" s="4" t="n">
        <v>3</v>
      </c>
      <c r="G499" t="inlineStr">
        <is>
          <t>Ontario Tennis Association</t>
        </is>
      </c>
      <c r="H499" t="inlineStr">
        <is>
          <t>Premier Racquet Clubs – Mississauga</t>
        </is>
      </c>
      <c r="I499" t="inlineStr">
        <is>
          <t>unavailable</t>
        </is>
      </c>
      <c r="J499" s="4" t="n">
        <v>23</v>
      </c>
      <c r="K499" t="inlineStr">
        <is>
          <t>8 / 15</t>
        </is>
      </c>
      <c r="L499" t="inlineStr">
        <is>
          <t>7 / 8</t>
        </is>
      </c>
      <c r="M499" s="5" t="n">
        <v>0.35</v>
      </c>
      <c r="N499" s="5" t="n">
        <v>0.47</v>
      </c>
    </row>
    <row r="500">
      <c r="A500" t="n">
        <v>499</v>
      </c>
      <c r="B500" t="n">
        <v>2015</v>
      </c>
      <c r="C500" t="inlineStr">
        <is>
          <t>Olivia An Yi Ta</t>
        </is>
      </c>
      <c r="D500">
        <f>HYPERLINK("https://ota.tournamentsoftware.com/player-profile/F718058C-465B-4AEB-BACA-80FE5B3917B6", "Link")</f>
        <v/>
      </c>
      <c r="E500" s="3" t="n">
        <v>85.59099999999999</v>
      </c>
      <c r="F500" s="4" t="n">
        <v>14</v>
      </c>
      <c r="G500" t="inlineStr">
        <is>
          <t>Ontario Tennis Association</t>
        </is>
      </c>
      <c r="H500" t="inlineStr">
        <is>
          <t>Lambton Golf &amp; Country Club</t>
        </is>
      </c>
      <c r="I500" t="inlineStr">
        <is>
          <t>unavailable</t>
        </is>
      </c>
      <c r="J500" s="4" t="n">
        <v>63</v>
      </c>
      <c r="K500" t="inlineStr">
        <is>
          <t>15 / 48</t>
        </is>
      </c>
      <c r="L500" t="inlineStr">
        <is>
          <t>6 / 10</t>
        </is>
      </c>
      <c r="M500" s="5" t="n">
        <v>0.24</v>
      </c>
      <c r="N500" s="5" t="n">
        <v>0.38</v>
      </c>
    </row>
    <row r="501">
      <c r="A501" t="n">
        <v>500</v>
      </c>
      <c r="B501" t="n">
        <v>2013</v>
      </c>
      <c r="C501" t="inlineStr">
        <is>
          <t>Quinn Pfaff</t>
        </is>
      </c>
      <c r="D501">
        <f>HYPERLINK("https://ota.tournamentsoftware.com/player-profile/4EE4E18D-7D9C-41F4-B172-783EBB13EF00", "Link")</f>
        <v/>
      </c>
      <c r="E501" s="3" t="n">
        <v>83.955</v>
      </c>
      <c r="F501" s="4" t="n">
        <v>4</v>
      </c>
      <c r="G501" t="inlineStr">
        <is>
          <t>Ontario Tennis Association</t>
        </is>
      </c>
      <c r="H501" t="inlineStr">
        <is>
          <t>Maitland Country Club</t>
        </is>
      </c>
      <c r="I501" t="n">
        <v>38</v>
      </c>
      <c r="J501" s="4" t="n">
        <v>4</v>
      </c>
      <c r="K501" t="inlineStr">
        <is>
          <t>0 / 4</t>
        </is>
      </c>
      <c r="L501" t="inlineStr">
        <is>
          <t>0 / 3</t>
        </is>
      </c>
      <c r="M501" s="5" t="n">
        <v>0</v>
      </c>
      <c r="N501" s="5" t="n">
        <v>0</v>
      </c>
    </row>
    <row r="502">
      <c r="A502" t="n">
        <v>501</v>
      </c>
      <c r="B502" t="n">
        <v>2016</v>
      </c>
      <c r="C502" t="inlineStr">
        <is>
          <t>Evelyn May</t>
        </is>
      </c>
      <c r="D502">
        <f>HYPERLINK("https://ota.tournamentsoftware.com/player-profile/ABFB9C06-ABE9-4B21-BF57-67179CC1CD5D", "Link")</f>
        <v/>
      </c>
      <c r="E502" s="3" t="n">
        <v>83.914</v>
      </c>
      <c r="F502" s="4" t="n">
        <v>14</v>
      </c>
      <c r="G502" t="inlineStr">
        <is>
          <t>Tennis Québec</t>
        </is>
      </c>
      <c r="H502" t="inlineStr">
        <is>
          <t>Tennis 13 / Académie Ménard et associé</t>
        </is>
      </c>
      <c r="I502" t="n">
        <v>33.6</v>
      </c>
      <c r="J502" s="4" t="n">
        <v>181</v>
      </c>
      <c r="K502" t="inlineStr">
        <is>
          <t>112 / 69</t>
        </is>
      </c>
      <c r="L502" t="inlineStr">
        <is>
          <t>15 / 13</t>
        </is>
      </c>
      <c r="M502" s="5" t="n">
        <v>0.62</v>
      </c>
      <c r="N502" s="5" t="n">
        <v>0.54</v>
      </c>
    </row>
    <row r="503">
      <c r="A503" t="n">
        <v>502</v>
      </c>
      <c r="B503" t="n">
        <v>2013</v>
      </c>
      <c r="C503" t="inlineStr">
        <is>
          <t>Avonlyn Long</t>
        </is>
      </c>
      <c r="D503">
        <f>HYPERLINK("https://ota.tournamentsoftware.com/player-profile/750061EB-6049-44F3-9B6E-4DE9428D7158", "Link")</f>
        <v/>
      </c>
      <c r="E503" s="3" t="n">
        <v>83.592</v>
      </c>
      <c r="F503" s="4" t="n">
        <v>3</v>
      </c>
      <c r="G503" t="inlineStr">
        <is>
          <t>Ontario Tennis Association</t>
        </is>
      </c>
      <c r="H503" t="inlineStr">
        <is>
          <t>Carleton Tennis Centre</t>
        </is>
      </c>
      <c r="I503" t="n">
        <v>39</v>
      </c>
      <c r="J503" s="4" t="n">
        <v>12</v>
      </c>
      <c r="K503" t="inlineStr">
        <is>
          <t>1 / 11</t>
        </is>
      </c>
      <c r="L503" t="inlineStr">
        <is>
          <t>1 / 3</t>
        </is>
      </c>
      <c r="M503" s="5" t="n">
        <v>0.08</v>
      </c>
      <c r="N503" s="5" t="n">
        <v>0.25</v>
      </c>
    </row>
    <row r="504">
      <c r="A504" t="n">
        <v>503</v>
      </c>
      <c r="B504" t="n">
        <v>2013</v>
      </c>
      <c r="C504" t="inlineStr">
        <is>
          <t>Helena Nastic</t>
        </is>
      </c>
      <c r="D504">
        <f>HYPERLINK("https://ota.tournamentsoftware.com/player-profile/384CD39C-50E9-4DF1-B1AD-85571147C1F9", "Link")</f>
        <v/>
      </c>
      <c r="E504" s="3" t="n">
        <v>83.06399999999999</v>
      </c>
      <c r="F504" s="4" t="n">
        <v>8</v>
      </c>
      <c r="G504" t="inlineStr">
        <is>
          <t>Ontario Tennis Association</t>
        </is>
      </c>
      <c r="H504" t="inlineStr">
        <is>
          <t>Royal City Tennis Club</t>
        </is>
      </c>
      <c r="I504" t="inlineStr">
        <is>
          <t>unavailable</t>
        </is>
      </c>
      <c r="J504" s="4" t="n">
        <v>38</v>
      </c>
      <c r="K504" t="inlineStr">
        <is>
          <t>19 / 19</t>
        </is>
      </c>
      <c r="L504" t="inlineStr">
        <is>
          <t>0 / 5</t>
        </is>
      </c>
      <c r="M504" s="5" t="n">
        <v>0.5</v>
      </c>
      <c r="N504" s="5" t="n">
        <v>0</v>
      </c>
    </row>
    <row r="505">
      <c r="A505" t="n">
        <v>504</v>
      </c>
      <c r="B505" t="n">
        <v>2013</v>
      </c>
      <c r="C505" t="inlineStr">
        <is>
          <t>Mathilda Adaline Manning</t>
        </is>
      </c>
      <c r="D505">
        <f>HYPERLINK("https://ota.tournamentsoftware.com/player-profile/68249616-27A6-4807-9978-802C0CDC784E", "Link")</f>
        <v/>
      </c>
      <c r="E505" s="3" t="n">
        <v>82</v>
      </c>
      <c r="F505" s="4" t="n">
        <v>5</v>
      </c>
      <c r="G505" t="inlineStr">
        <is>
          <t>Ontario Tennis Association</t>
        </is>
      </c>
      <c r="H505" t="inlineStr">
        <is>
          <t>Niagara Academy of Tennis</t>
        </is>
      </c>
      <c r="I505" t="n">
        <v>29.1</v>
      </c>
      <c r="J505" s="4" t="n">
        <v>12</v>
      </c>
      <c r="K505" t="inlineStr">
        <is>
          <t>8 / 4</t>
        </is>
      </c>
      <c r="L505" t="inlineStr">
        <is>
          <t>0 / 0</t>
        </is>
      </c>
      <c r="M505" s="5" t="n">
        <v>0.67</v>
      </c>
      <c r="N505" s="5" t="n">
        <v>0</v>
      </c>
    </row>
    <row r="506">
      <c r="A506" t="n">
        <v>505</v>
      </c>
      <c r="B506" t="n">
        <v>2013</v>
      </c>
      <c r="C506" t="inlineStr">
        <is>
          <t>Emilia Sofia Urkedal</t>
        </is>
      </c>
      <c r="D506">
        <f>HYPERLINK("https://ota.tournamentsoftware.com/player-profile/381713CB-202F-43FD-B96F-4B364BE2EE52", "Link")</f>
        <v/>
      </c>
      <c r="E506" s="3" t="n">
        <v>81.57299999999999</v>
      </c>
      <c r="F506" s="4" t="n">
        <v>7</v>
      </c>
      <c r="G506" t="inlineStr">
        <is>
          <t>Ontario Tennis Association</t>
        </is>
      </c>
      <c r="H506" t="inlineStr">
        <is>
          <t>Greenhills Golf Club</t>
        </is>
      </c>
      <c r="I506" t="n">
        <v>37</v>
      </c>
      <c r="J506" s="4" t="n">
        <v>69</v>
      </c>
      <c r="K506" t="inlineStr">
        <is>
          <t>17 / 52</t>
        </is>
      </c>
      <c r="L506" t="inlineStr">
        <is>
          <t>4 / 7</t>
        </is>
      </c>
      <c r="M506" s="5" t="n">
        <v>0.25</v>
      </c>
      <c r="N506" s="5" t="n">
        <v>0.36</v>
      </c>
    </row>
    <row r="507">
      <c r="A507" t="n">
        <v>506</v>
      </c>
      <c r="B507" t="n">
        <v>2013</v>
      </c>
      <c r="C507" t="inlineStr">
        <is>
          <t>Avery Hao</t>
        </is>
      </c>
      <c r="D507">
        <f>HYPERLINK("https://ota.tournamentsoftware.com/player-profile/4D297E0A-97AD-4487-A64F-403E8B3ACA30", "Link")</f>
        <v/>
      </c>
      <c r="E507" s="3" t="n">
        <v>81.264</v>
      </c>
      <c r="F507" s="4" t="n">
        <v>4</v>
      </c>
      <c r="G507" t="inlineStr">
        <is>
          <t>Ontario Tennis Association</t>
        </is>
      </c>
      <c r="H507" t="inlineStr">
        <is>
          <t>Elmridge Tennis Club</t>
        </is>
      </c>
      <c r="I507" t="n">
        <v>39.2</v>
      </c>
      <c r="J507" s="4" t="n">
        <v>15</v>
      </c>
      <c r="K507" t="inlineStr">
        <is>
          <t>4 / 11</t>
        </is>
      </c>
      <c r="L507" t="inlineStr">
        <is>
          <t>0 / 5</t>
        </is>
      </c>
      <c r="M507" s="5" t="n">
        <v>0.27</v>
      </c>
      <c r="N507" s="5" t="n">
        <v>0</v>
      </c>
    </row>
    <row r="508">
      <c r="A508" t="n">
        <v>507</v>
      </c>
      <c r="B508" t="n">
        <v>2015</v>
      </c>
      <c r="C508" t="inlineStr">
        <is>
          <t>Ellieann Jean Baker</t>
        </is>
      </c>
      <c r="D508">
        <f>HYPERLINK("https://ota.tournamentsoftware.com/player-profile/059CF7FD-B4FA-4522-AF55-9B2138153D9C", "Link")</f>
        <v/>
      </c>
      <c r="E508" s="3" t="n">
        <v>81.10299999999999</v>
      </c>
      <c r="F508" s="4" t="n">
        <v>9</v>
      </c>
      <c r="G508" t="inlineStr">
        <is>
          <t>Tennis Alberta</t>
        </is>
      </c>
      <c r="H508" t="inlineStr">
        <is>
          <t>Aforza</t>
        </is>
      </c>
      <c r="I508" t="n">
        <v>36.8</v>
      </c>
      <c r="J508" s="4" t="n">
        <v>109</v>
      </c>
      <c r="K508" t="inlineStr">
        <is>
          <t>45 / 64</t>
        </is>
      </c>
      <c r="L508" t="inlineStr">
        <is>
          <t>4 / 11</t>
        </is>
      </c>
      <c r="M508" s="5" t="n">
        <v>0.41</v>
      </c>
      <c r="N508" s="5" t="n">
        <v>0.27</v>
      </c>
    </row>
    <row r="509">
      <c r="A509" t="n">
        <v>508</v>
      </c>
      <c r="B509" t="n">
        <v>2013</v>
      </c>
      <c r="C509" t="inlineStr">
        <is>
          <t>Victoria maya Carinci</t>
        </is>
      </c>
      <c r="D509">
        <f>HYPERLINK("https://ota.tournamentsoftware.com/player-profile/767AAF86-8D36-4699-8113-86AA6DA60CE4", "Link")</f>
        <v/>
      </c>
      <c r="E509" s="3" t="n">
        <v>80.878</v>
      </c>
      <c r="F509" s="4" t="n">
        <v>11</v>
      </c>
      <c r="G509" t="inlineStr">
        <is>
          <t>Ontario Tennis Association</t>
        </is>
      </c>
      <c r="H509" t="inlineStr">
        <is>
          <t>Concord Tennis Academy</t>
        </is>
      </c>
      <c r="I509" t="n">
        <v>39.5</v>
      </c>
      <c r="J509" s="4" t="n">
        <v>38</v>
      </c>
      <c r="K509" t="inlineStr">
        <is>
          <t>8 / 30</t>
        </is>
      </c>
      <c r="L509" t="inlineStr">
        <is>
          <t>0 / 9</t>
        </is>
      </c>
      <c r="M509" s="5" t="n">
        <v>0.21</v>
      </c>
      <c r="N509" s="5" t="n">
        <v>0</v>
      </c>
    </row>
    <row r="510">
      <c r="A510" t="n">
        <v>509</v>
      </c>
      <c r="B510" t="n">
        <v>2016</v>
      </c>
      <c r="C510" t="inlineStr">
        <is>
          <t>LUXI YANG</t>
        </is>
      </c>
      <c r="D510">
        <f>HYPERLINK("https://ota.tournamentsoftware.com/player-profile/00CB777C-F17D-4A37-8393-1F4E5A4F3C39", "Link")</f>
        <v/>
      </c>
      <c r="E510" s="3" t="n">
        <v>80.59999999999999</v>
      </c>
      <c r="F510" s="4" t="n">
        <v>9</v>
      </c>
      <c r="G510" t="inlineStr">
        <is>
          <t>British Columbia</t>
        </is>
      </c>
      <c r="H510" t="inlineStr">
        <is>
          <t>The Tennis Centre</t>
        </is>
      </c>
      <c r="I510" t="n">
        <v>32.5</v>
      </c>
      <c r="J510" s="4" t="n">
        <v>78</v>
      </c>
      <c r="K510" t="inlineStr">
        <is>
          <t>62 / 16</t>
        </is>
      </c>
      <c r="L510" t="inlineStr">
        <is>
          <t>25 / 6</t>
        </is>
      </c>
      <c r="M510" s="5" t="n">
        <v>0.79</v>
      </c>
      <c r="N510" s="5" t="n">
        <v>0.8100000000000001</v>
      </c>
    </row>
    <row r="511">
      <c r="A511" t="n">
        <v>510</v>
      </c>
      <c r="B511" t="n">
        <v>2015</v>
      </c>
      <c r="C511" t="inlineStr">
        <is>
          <t>Doreen Bowen Mao</t>
        </is>
      </c>
      <c r="D511">
        <f>HYPERLINK("https://ota.tournamentsoftware.com/player-profile/24478EB2-203F-4DE3-92C9-B16D9A60F77F", "Link")</f>
        <v/>
      </c>
      <c r="E511" s="3" t="n">
        <v>80.43600000000001</v>
      </c>
      <c r="F511" s="4" t="n">
        <v>16</v>
      </c>
      <c r="G511" t="inlineStr">
        <is>
          <t>Ontario Tennis Association</t>
        </is>
      </c>
      <c r="H511" t="inlineStr">
        <is>
          <t>Joshua Creek Golf &amp; Tennis</t>
        </is>
      </c>
      <c r="I511" t="n">
        <v>37.3</v>
      </c>
      <c r="J511" s="4" t="n">
        <v>80</v>
      </c>
      <c r="K511" t="inlineStr">
        <is>
          <t>33 / 47</t>
        </is>
      </c>
      <c r="L511" t="inlineStr">
        <is>
          <t>18 / 22</t>
        </is>
      </c>
      <c r="M511" s="5" t="n">
        <v>0.41</v>
      </c>
      <c r="N511" s="5" t="n">
        <v>0.45</v>
      </c>
    </row>
    <row r="512">
      <c r="A512" t="n">
        <v>511</v>
      </c>
      <c r="B512" t="n">
        <v>2015</v>
      </c>
      <c r="C512" t="inlineStr">
        <is>
          <t>Savannah Billings</t>
        </is>
      </c>
      <c r="D512">
        <f>HYPERLINK("https://ota.tournamentsoftware.com/player-profile/3C86C2A1-7881-4E07-A889-C842F4C67652", "Link")</f>
        <v/>
      </c>
      <c r="E512" s="3" t="n">
        <v>79.464</v>
      </c>
      <c r="F512" s="4" t="n">
        <v>5</v>
      </c>
      <c r="G512" t="inlineStr">
        <is>
          <t>Tennis Québec</t>
        </is>
      </c>
      <c r="H512" t="inlineStr">
        <is>
          <t>Club Avantage Multi-sports / Académie de tennis Hérisset Bordeleau</t>
        </is>
      </c>
      <c r="I512" t="n">
        <v>30.4</v>
      </c>
      <c r="J512" s="4" t="n">
        <v>13</v>
      </c>
      <c r="K512" t="inlineStr">
        <is>
          <t>8 / 5</t>
        </is>
      </c>
      <c r="L512" t="inlineStr">
        <is>
          <t>8 / 3</t>
        </is>
      </c>
      <c r="M512" s="5" t="n">
        <v>0.62</v>
      </c>
      <c r="N512" s="5" t="n">
        <v>0.73</v>
      </c>
    </row>
    <row r="513">
      <c r="A513" t="n">
        <v>512</v>
      </c>
      <c r="B513" t="n">
        <v>2015</v>
      </c>
      <c r="C513" t="inlineStr">
        <is>
          <t>Mia Gidaro</t>
        </is>
      </c>
      <c r="D513">
        <f>HYPERLINK("https://ota.tournamentsoftware.com/player-profile/17357D82-FEBE-483D-8054-F1F6B85AD8A5", "Link")</f>
        <v/>
      </c>
      <c r="E513" s="3" t="n">
        <v>79.46299999999999</v>
      </c>
      <c r="F513" s="4" t="n">
        <v>12</v>
      </c>
      <c r="G513" t="inlineStr">
        <is>
          <t>Ontario Tennis Association</t>
        </is>
      </c>
      <c r="H513" t="inlineStr">
        <is>
          <t>Baby Point Tennis Club</t>
        </is>
      </c>
      <c r="I513" t="n">
        <v>37.1</v>
      </c>
      <c r="J513" s="4" t="n">
        <v>61</v>
      </c>
      <c r="K513" t="inlineStr">
        <is>
          <t>24 / 37</t>
        </is>
      </c>
      <c r="L513" t="inlineStr">
        <is>
          <t>3 / 7</t>
        </is>
      </c>
      <c r="M513" s="5" t="n">
        <v>0.39</v>
      </c>
      <c r="N513" s="5" t="n">
        <v>0.3</v>
      </c>
    </row>
    <row r="514">
      <c r="A514" t="n">
        <v>513</v>
      </c>
      <c r="B514" t="n">
        <v>2014</v>
      </c>
      <c r="C514" t="inlineStr">
        <is>
          <t>Clarice de Azevedo Guedes</t>
        </is>
      </c>
      <c r="D514">
        <f>HYPERLINK("https://ota.tournamentsoftware.com/player-profile/027DF0F1-69E8-4220-8263-B26C4D1AFC70", "Link")</f>
        <v/>
      </c>
      <c r="E514" s="3" t="n">
        <v>79.407</v>
      </c>
      <c r="F514" s="4" t="n">
        <v>14</v>
      </c>
      <c r="G514" t="inlineStr">
        <is>
          <t>Tennis Québec</t>
        </is>
      </c>
      <c r="H514" t="inlineStr">
        <is>
          <t>Tennis 13</t>
        </is>
      </c>
      <c r="I514" t="inlineStr">
        <is>
          <t>unavailable</t>
        </is>
      </c>
      <c r="J514" s="4" t="n">
        <v>64</v>
      </c>
      <c r="K514" t="inlineStr">
        <is>
          <t>26 / 38</t>
        </is>
      </c>
      <c r="L514" t="inlineStr">
        <is>
          <t>12 / 12</t>
        </is>
      </c>
      <c r="M514" s="5" t="n">
        <v>0.41</v>
      </c>
      <c r="N514" s="5" t="n">
        <v>0.5</v>
      </c>
    </row>
    <row r="515">
      <c r="A515" t="n">
        <v>514</v>
      </c>
      <c r="B515" t="n">
        <v>2015</v>
      </c>
      <c r="C515" t="inlineStr">
        <is>
          <t>Abigail Csima</t>
        </is>
      </c>
      <c r="D515">
        <f>HYPERLINK("https://ota.tournamentsoftware.com/player-profile/6F3C1A53-8070-482F-B046-BE875C66F4B8", "Link")</f>
        <v/>
      </c>
      <c r="E515" s="3" t="n">
        <v>79.28700000000001</v>
      </c>
      <c r="F515" s="4" t="n">
        <v>15</v>
      </c>
      <c r="G515" t="inlineStr">
        <is>
          <t>Ontario Tennis Association</t>
        </is>
      </c>
      <c r="H515" t="inlineStr">
        <is>
          <t>Waterloo Tennis Club</t>
        </is>
      </c>
      <c r="I515" t="n">
        <v>38.5</v>
      </c>
      <c r="J515" s="4" t="n">
        <v>60</v>
      </c>
      <c r="K515" t="inlineStr">
        <is>
          <t>12 / 48</t>
        </is>
      </c>
      <c r="L515" t="inlineStr">
        <is>
          <t>3 / 14</t>
        </is>
      </c>
      <c r="M515" s="5" t="n">
        <v>0.2</v>
      </c>
      <c r="N515" s="5" t="n">
        <v>0.18</v>
      </c>
    </row>
    <row r="516">
      <c r="A516" t="n">
        <v>515</v>
      </c>
      <c r="B516" t="n">
        <v>2014</v>
      </c>
      <c r="C516" t="inlineStr">
        <is>
          <t>Aditri Mundhra</t>
        </is>
      </c>
      <c r="D516">
        <f>HYPERLINK("https://ota.tournamentsoftware.com/player-profile/C7A9A9F1-2DF6-42CD-AA71-F15C9BFFA6EB", "Link")</f>
        <v/>
      </c>
      <c r="E516" s="3" t="n">
        <v>78.45099999999999</v>
      </c>
      <c r="F516" s="4" t="n">
        <v>16</v>
      </c>
      <c r="G516" t="inlineStr">
        <is>
          <t>British Columbia</t>
        </is>
      </c>
      <c r="H516" t="inlineStr">
        <is>
          <t>The Tennis Centre</t>
        </is>
      </c>
      <c r="I516" t="n">
        <v>34.9</v>
      </c>
      <c r="J516" s="4" t="n">
        <v>47</v>
      </c>
      <c r="K516" t="inlineStr">
        <is>
          <t>18 / 29</t>
        </is>
      </c>
      <c r="L516" t="inlineStr">
        <is>
          <t>14 / 16</t>
        </is>
      </c>
      <c r="M516" s="5" t="n">
        <v>0.38</v>
      </c>
      <c r="N516" s="5" t="n">
        <v>0.47</v>
      </c>
    </row>
    <row r="517">
      <c r="A517" t="n">
        <v>516</v>
      </c>
      <c r="B517" t="n">
        <v>2014</v>
      </c>
      <c r="C517" t="inlineStr">
        <is>
          <t>Sarah Huang</t>
        </is>
      </c>
      <c r="D517">
        <f>HYPERLINK("https://ota.tournamentsoftware.com/player-profile/535A9ABE-481C-45C4-9357-B8FD9305232E", "Link")</f>
        <v/>
      </c>
      <c r="E517" s="3" t="n">
        <v>77.562</v>
      </c>
      <c r="F517" s="4" t="n">
        <v>15</v>
      </c>
      <c r="G517" t="inlineStr">
        <is>
          <t>Ontario Tennis Association</t>
        </is>
      </c>
      <c r="H517" t="inlineStr">
        <is>
          <t>Premier Racquet Club</t>
        </is>
      </c>
      <c r="I517" t="n">
        <v>36.5</v>
      </c>
      <c r="J517" s="4" t="n">
        <v>111</v>
      </c>
      <c r="K517" t="inlineStr">
        <is>
          <t>37 / 74</t>
        </is>
      </c>
      <c r="L517" t="inlineStr">
        <is>
          <t>3 / 7</t>
        </is>
      </c>
      <c r="M517" s="5" t="n">
        <v>0.33</v>
      </c>
      <c r="N517" s="5" t="n">
        <v>0.3</v>
      </c>
    </row>
    <row r="518">
      <c r="A518" t="n">
        <v>517</v>
      </c>
      <c r="B518" t="n">
        <v>2013</v>
      </c>
      <c r="C518" t="inlineStr">
        <is>
          <t>Julia Anne Kennedy</t>
        </is>
      </c>
      <c r="D518">
        <f>HYPERLINK("https://ota.tournamentsoftware.com/player-profile/82DF6D3D-A382-4764-B57C-0EA44A762022", "Link")</f>
        <v/>
      </c>
      <c r="E518" s="3" t="n">
        <v>77</v>
      </c>
      <c r="F518" s="4" t="n">
        <v>3</v>
      </c>
      <c r="G518" t="inlineStr">
        <is>
          <t>Ontario Tennis Association</t>
        </is>
      </c>
      <c r="H518" t="inlineStr">
        <is>
          <t>SmartVMC Racquetsports by ACE</t>
        </is>
      </c>
      <c r="I518" t="n">
        <v>31.6</v>
      </c>
      <c r="J518" s="4" t="n">
        <v>145</v>
      </c>
      <c r="K518" t="inlineStr">
        <is>
          <t>70 / 75</t>
        </is>
      </c>
      <c r="L518" t="inlineStr">
        <is>
          <t>4 / 0</t>
        </is>
      </c>
      <c r="M518" s="5" t="n">
        <v>0.48</v>
      </c>
      <c r="N518" s="5" t="n">
        <v>1</v>
      </c>
    </row>
    <row r="519">
      <c r="A519" t="n">
        <v>518</v>
      </c>
      <c r="B519" t="n">
        <v>2014</v>
      </c>
      <c r="C519" t="inlineStr">
        <is>
          <t>Yue Zhang</t>
        </is>
      </c>
      <c r="D519">
        <f>HYPERLINK("https://ota.tournamentsoftware.com/player-profile/85239D79-7080-4052-A527-EE7F087184E4", "Link")</f>
        <v/>
      </c>
      <c r="E519" s="3" t="n">
        <v>76.623</v>
      </c>
      <c r="F519" s="4" t="n">
        <v>6</v>
      </c>
      <c r="G519" t="inlineStr">
        <is>
          <t>Tennis Nova Scotia</t>
        </is>
      </c>
      <c r="H519" t="inlineStr">
        <is>
          <t>Atlantic Tennis Centre</t>
        </is>
      </c>
      <c r="I519" t="n">
        <v>37.8</v>
      </c>
      <c r="J519" s="4" t="n">
        <v>38</v>
      </c>
      <c r="K519" t="inlineStr">
        <is>
          <t>15 / 23</t>
        </is>
      </c>
      <c r="L519" t="inlineStr">
        <is>
          <t>6 / 12</t>
        </is>
      </c>
      <c r="M519" s="5" t="n">
        <v>0.39</v>
      </c>
      <c r="N519" s="5" t="n">
        <v>0.33</v>
      </c>
    </row>
    <row r="520">
      <c r="A520" t="n">
        <v>519</v>
      </c>
      <c r="B520" t="n">
        <v>2014</v>
      </c>
      <c r="C520" t="inlineStr">
        <is>
          <t>Ava Amiripour</t>
        </is>
      </c>
      <c r="D520">
        <f>HYPERLINK("https://ota.tournamentsoftware.com/player-profile/C08AB363-A302-4023-8D6D-B732D837DADF", "Link")</f>
        <v/>
      </c>
      <c r="E520" s="3" t="n">
        <v>74.288</v>
      </c>
      <c r="F520" s="4" t="n">
        <v>4</v>
      </c>
      <c r="G520" t="inlineStr">
        <is>
          <t>Ontario Tennis Association</t>
        </is>
      </c>
      <c r="H520" t="inlineStr">
        <is>
          <t>No Club</t>
        </is>
      </c>
      <c r="I520" t="n">
        <v>37.7</v>
      </c>
      <c r="J520" s="4" t="n">
        <v>7</v>
      </c>
      <c r="K520" t="inlineStr">
        <is>
          <t>1 / 6</t>
        </is>
      </c>
      <c r="L520" t="inlineStr">
        <is>
          <t>1 / 5</t>
        </is>
      </c>
      <c r="M520" s="5" t="n">
        <v>0.14</v>
      </c>
      <c r="N520" s="5" t="n">
        <v>0.17</v>
      </c>
    </row>
    <row r="521">
      <c r="A521" t="n">
        <v>520</v>
      </c>
      <c r="B521" t="n">
        <v>2013</v>
      </c>
      <c r="C521" t="inlineStr">
        <is>
          <t>Emma Victoria Chan</t>
        </is>
      </c>
      <c r="D521">
        <f>HYPERLINK("https://ota.tournamentsoftware.com/player-profile/29822B25-6004-4E31-822F-CF8FF1CD9AB7", "Link")</f>
        <v/>
      </c>
      <c r="E521" s="3" t="n">
        <v>74.184</v>
      </c>
      <c r="F521" s="4" t="n">
        <v>8</v>
      </c>
      <c r="G521" t="inlineStr">
        <is>
          <t>Ontario Tennis Association</t>
        </is>
      </c>
      <c r="H521" t="inlineStr">
        <is>
          <t>Joshua Creek Golf &amp; Tennis</t>
        </is>
      </c>
      <c r="I521" t="n">
        <v>36.4</v>
      </c>
      <c r="J521" s="4" t="n">
        <v>64</v>
      </c>
      <c r="K521" t="inlineStr">
        <is>
          <t>40 / 24</t>
        </is>
      </c>
      <c r="L521" t="inlineStr">
        <is>
          <t>12 / 4</t>
        </is>
      </c>
      <c r="M521" s="5" t="n">
        <v>0.62</v>
      </c>
      <c r="N521" s="5" t="n">
        <v>0.75</v>
      </c>
    </row>
    <row r="522">
      <c r="A522" t="n">
        <v>521</v>
      </c>
      <c r="B522" t="n">
        <v>2015</v>
      </c>
      <c r="C522" t="inlineStr">
        <is>
          <t>Cara Tereza Nyakahuma</t>
        </is>
      </c>
      <c r="D522">
        <f>HYPERLINK("https://ota.tournamentsoftware.com/player-profile/AFC2100D-E6CB-4B13-AD01-0EBC56083397", "Link")</f>
        <v/>
      </c>
      <c r="E522" s="3" t="n">
        <v>74.08</v>
      </c>
      <c r="F522" s="4" t="n">
        <v>8</v>
      </c>
      <c r="G522" t="inlineStr">
        <is>
          <t>Ontario Tennis Association</t>
        </is>
      </c>
      <c r="H522" t="inlineStr">
        <is>
          <t>Intercounty Tennis Association</t>
        </is>
      </c>
      <c r="I522" t="inlineStr">
        <is>
          <t>unavailable</t>
        </is>
      </c>
      <c r="J522" s="4" t="n">
        <v>143</v>
      </c>
      <c r="K522" t="inlineStr">
        <is>
          <t>90 / 53</t>
        </is>
      </c>
      <c r="L522" t="inlineStr">
        <is>
          <t>7 / 4</t>
        </is>
      </c>
      <c r="M522" s="5" t="n">
        <v>0.63</v>
      </c>
      <c r="N522" s="5" t="n">
        <v>0.64</v>
      </c>
    </row>
    <row r="523">
      <c r="A523" t="n">
        <v>522</v>
      </c>
      <c r="B523" t="n">
        <v>2017</v>
      </c>
      <c r="C523" t="inlineStr">
        <is>
          <t>Chen Xi Zhou Kong</t>
        </is>
      </c>
      <c r="D523">
        <f>HYPERLINK("https://ota.tournamentsoftware.com/player-profile/E5CD94C9-63F9-419B-A6E9-CCB6DEF8B502", "Link")</f>
        <v/>
      </c>
      <c r="E523" s="3" t="n">
        <v>73.2</v>
      </c>
      <c r="F523" s="4" t="n">
        <v>22</v>
      </c>
      <c r="G523" t="inlineStr">
        <is>
          <t>Tennis Québec</t>
        </is>
      </c>
      <c r="H523" t="inlineStr">
        <is>
          <t>Centre récréatif de Repentigny / Académie Tennis Momentum</t>
        </is>
      </c>
      <c r="I523" t="inlineStr">
        <is>
          <t>unavailable</t>
        </is>
      </c>
      <c r="J523" s="4" t="n">
        <v>120</v>
      </c>
      <c r="K523" t="inlineStr">
        <is>
          <t>57 / 63</t>
        </is>
      </c>
      <c r="L523" t="inlineStr">
        <is>
          <t>40 / 36</t>
        </is>
      </c>
      <c r="M523" s="5" t="n">
        <v>0.47</v>
      </c>
      <c r="N523" s="5" t="n">
        <v>0.53</v>
      </c>
    </row>
    <row r="524">
      <c r="A524" t="n">
        <v>523</v>
      </c>
      <c r="B524" t="n">
        <v>2013</v>
      </c>
      <c r="C524" t="inlineStr">
        <is>
          <t>Lolia Abdrabou</t>
        </is>
      </c>
      <c r="D524">
        <f>HYPERLINK("https://ota.tournamentsoftware.com/player-profile/02101E1E-CCDA-437A-A3E7-8CBDBA76F674", "Link")</f>
        <v/>
      </c>
      <c r="E524" s="3" t="n">
        <v>72.959</v>
      </c>
      <c r="F524" s="4" t="n">
        <v>4</v>
      </c>
      <c r="G524" t="inlineStr">
        <is>
          <t>Tennis Nova Scotia</t>
        </is>
      </c>
      <c r="H524" t="inlineStr">
        <is>
          <t>HEADSTART</t>
        </is>
      </c>
      <c r="I524" t="n">
        <v>35.6</v>
      </c>
      <c r="J524" s="4" t="n">
        <v>22</v>
      </c>
      <c r="K524" t="inlineStr">
        <is>
          <t>13 / 9</t>
        </is>
      </c>
      <c r="L524" t="inlineStr">
        <is>
          <t>2 / 4</t>
        </is>
      </c>
      <c r="M524" s="5" t="n">
        <v>0.59</v>
      </c>
      <c r="N524" s="5" t="n">
        <v>0.33</v>
      </c>
    </row>
    <row r="525">
      <c r="A525" t="n">
        <v>524</v>
      </c>
      <c r="B525" t="n">
        <v>2016</v>
      </c>
      <c r="C525" t="inlineStr">
        <is>
          <t>Grace SHI</t>
        </is>
      </c>
      <c r="D525">
        <f>HYPERLINK("https://ota.tournamentsoftware.com/player-profile/71A1D6E1-33D1-46A0-AF21-F397AE1BA314", "Link")</f>
        <v/>
      </c>
      <c r="E525" s="3" t="n">
        <v>70.416</v>
      </c>
      <c r="F525" s="4" t="n">
        <v>10</v>
      </c>
      <c r="G525" t="inlineStr">
        <is>
          <t>British Columbia</t>
        </is>
      </c>
      <c r="H525" t="inlineStr">
        <is>
          <t>No Club</t>
        </is>
      </c>
      <c r="I525" t="n">
        <v>38.4</v>
      </c>
      <c r="J525" s="4" t="n">
        <v>48</v>
      </c>
      <c r="K525" t="inlineStr">
        <is>
          <t>16 / 32</t>
        </is>
      </c>
      <c r="L525" t="inlineStr">
        <is>
          <t>9 / 13</t>
        </is>
      </c>
      <c r="M525" s="5" t="n">
        <v>0.33</v>
      </c>
      <c r="N525" s="5" t="n">
        <v>0.41</v>
      </c>
    </row>
    <row r="526">
      <c r="A526" t="n">
        <v>525</v>
      </c>
      <c r="B526" t="n">
        <v>2015</v>
      </c>
      <c r="C526" t="inlineStr">
        <is>
          <t>Myra Shukla</t>
        </is>
      </c>
      <c r="D526">
        <f>HYPERLINK("https://ota.tournamentsoftware.com/player-profile/2F4B1A1D-35AC-45A0-9F5D-6D5533376D9A", "Link")</f>
        <v/>
      </c>
      <c r="E526" s="3" t="n">
        <v>70.126</v>
      </c>
      <c r="F526" s="4" t="n">
        <v>8</v>
      </c>
      <c r="G526" t="inlineStr">
        <is>
          <t>Ontario Tennis Association</t>
        </is>
      </c>
      <c r="H526" t="inlineStr">
        <is>
          <t>Veneto Tennis Club</t>
        </is>
      </c>
      <c r="I526" t="n">
        <v>38</v>
      </c>
      <c r="J526" s="4" t="n">
        <v>83</v>
      </c>
      <c r="K526" t="inlineStr">
        <is>
          <t>34 / 49</t>
        </is>
      </c>
      <c r="L526" t="inlineStr">
        <is>
          <t>1 / 6</t>
        </is>
      </c>
      <c r="M526" s="5" t="n">
        <v>0.41</v>
      </c>
      <c r="N526" s="5" t="n">
        <v>0.14</v>
      </c>
    </row>
    <row r="527">
      <c r="A527" t="n">
        <v>526</v>
      </c>
      <c r="B527" t="n">
        <v>2013</v>
      </c>
      <c r="C527" t="inlineStr">
        <is>
          <t>Zean Whyte Omayan Gerongco</t>
        </is>
      </c>
      <c r="D527">
        <f>HYPERLINK("https://ota.tournamentsoftware.com/player-profile/95E8FC8D-AC41-4C9F-8192-23788254309B", "Link")</f>
        <v/>
      </c>
      <c r="E527" s="3" t="n">
        <v>70.09099999999999</v>
      </c>
      <c r="F527" s="4" t="n">
        <v>4</v>
      </c>
      <c r="G527" t="inlineStr">
        <is>
          <t>Ontario Tennis Association</t>
        </is>
      </c>
      <c r="H527" t="inlineStr">
        <is>
          <t>Fountainhead Tennis Club</t>
        </is>
      </c>
      <c r="I527" t="n">
        <v>32.8</v>
      </c>
      <c r="J527" s="4" t="n">
        <v>167</v>
      </c>
      <c r="K527" t="inlineStr">
        <is>
          <t>95 / 72</t>
        </is>
      </c>
      <c r="L527" t="inlineStr">
        <is>
          <t>0 / 0</t>
        </is>
      </c>
      <c r="M527" s="5" t="n">
        <v>0.57</v>
      </c>
      <c r="N527" s="5" t="n">
        <v>0</v>
      </c>
    </row>
    <row r="528">
      <c r="A528" t="n">
        <v>527</v>
      </c>
      <c r="B528" t="n">
        <v>2013</v>
      </c>
      <c r="C528" t="inlineStr">
        <is>
          <t>Lydia Squires-Sturge</t>
        </is>
      </c>
      <c r="D528">
        <f>HYPERLINK("https://ota.tournamentsoftware.com/player-profile/AD6D5BEF-6293-4DE8-BF13-52E1A33EF28B", "Link")</f>
        <v/>
      </c>
      <c r="E528" s="3" t="n">
        <v>69.855</v>
      </c>
      <c r="F528" s="4" t="n">
        <v>5</v>
      </c>
      <c r="G528" t="inlineStr">
        <is>
          <t>Tennis Newfoundland &amp; Labrador</t>
        </is>
      </c>
      <c r="H528" t="inlineStr">
        <is>
          <t>Mount Pearl Tennis Club</t>
        </is>
      </c>
      <c r="I528" t="inlineStr">
        <is>
          <t>unavailable</t>
        </is>
      </c>
      <c r="J528" s="4" t="n">
        <v>23</v>
      </c>
      <c r="K528" t="inlineStr">
        <is>
          <t>7 / 16</t>
        </is>
      </c>
      <c r="L528" t="inlineStr">
        <is>
          <t>0 / 4</t>
        </is>
      </c>
      <c r="M528" s="5" t="n">
        <v>0.3</v>
      </c>
      <c r="N528" s="5" t="n">
        <v>0</v>
      </c>
    </row>
    <row r="529">
      <c r="A529" t="n">
        <v>528</v>
      </c>
      <c r="B529" t="n">
        <v>2013</v>
      </c>
      <c r="C529" t="inlineStr">
        <is>
          <t>Lilya Youssef</t>
        </is>
      </c>
      <c r="D529">
        <f>HYPERLINK("https://ota.tournamentsoftware.com/player-profile/E4A52F0A-7400-4236-ACEF-6680D7FB1262", "Link")</f>
        <v/>
      </c>
      <c r="E529" s="3" t="n">
        <v>69.61</v>
      </c>
      <c r="F529" s="4" t="n">
        <v>3</v>
      </c>
      <c r="G529" t="inlineStr">
        <is>
          <t>Tennis Québec</t>
        </is>
      </c>
      <c r="H529" t="inlineStr">
        <is>
          <t>Tennis 13</t>
        </is>
      </c>
      <c r="I529" t="inlineStr">
        <is>
          <t>unavailable</t>
        </is>
      </c>
      <c r="J529" s="4" t="n">
        <v>10</v>
      </c>
      <c r="K529" t="inlineStr">
        <is>
          <t>5 / 5</t>
        </is>
      </c>
      <c r="L529" t="inlineStr">
        <is>
          <t>5 / 5</t>
        </is>
      </c>
      <c r="M529" s="5" t="n">
        <v>0.5</v>
      </c>
      <c r="N529" s="5" t="n">
        <v>0.5</v>
      </c>
    </row>
    <row r="530">
      <c r="A530" t="n">
        <v>529</v>
      </c>
      <c r="B530" t="n">
        <v>2012</v>
      </c>
      <c r="C530" t="inlineStr">
        <is>
          <t>Stefaniia Petrova</t>
        </is>
      </c>
      <c r="D530">
        <f>HYPERLINK("https://ota.tournamentsoftware.com/player-profile/23727B96-731B-4DBB-9789-81399E2B9950", "Link")</f>
        <v/>
      </c>
      <c r="E530" s="3" t="n">
        <v>69.48</v>
      </c>
      <c r="F530" s="4" t="n">
        <v>2</v>
      </c>
      <c r="G530" t="inlineStr">
        <is>
          <t>Ontario Tennis Association</t>
        </is>
      </c>
      <c r="H530" t="inlineStr">
        <is>
          <t>No Club</t>
        </is>
      </c>
      <c r="I530" t="n">
        <v>29</v>
      </c>
      <c r="J530" s="4" t="n">
        <v>301</v>
      </c>
      <c r="K530" t="inlineStr">
        <is>
          <t>177 / 124</t>
        </is>
      </c>
      <c r="L530" t="inlineStr">
        <is>
          <t>0 / 0</t>
        </is>
      </c>
      <c r="M530" s="5" t="n">
        <v>0.59</v>
      </c>
      <c r="N530" s="5" t="n">
        <v>0</v>
      </c>
    </row>
    <row r="531">
      <c r="A531" t="n">
        <v>530</v>
      </c>
      <c r="B531" t="n">
        <v>2015</v>
      </c>
      <c r="C531" t="inlineStr">
        <is>
          <t>Mataya Victoria Jan</t>
        </is>
      </c>
      <c r="D531">
        <f>HYPERLINK("https://ota.tournamentsoftware.com/player-profile/52A288CA-2524-4398-A498-9546CE531A78", "Link")</f>
        <v/>
      </c>
      <c r="E531" s="3" t="n">
        <v>69.43600000000001</v>
      </c>
      <c r="F531" s="4" t="n">
        <v>8</v>
      </c>
      <c r="G531" t="inlineStr">
        <is>
          <t>Ontario Tennis Association</t>
        </is>
      </c>
      <c r="H531" t="inlineStr">
        <is>
          <t>Tennis Centre West Ottawa</t>
        </is>
      </c>
      <c r="I531" t="n">
        <v>39.8</v>
      </c>
      <c r="J531" s="4" t="n">
        <v>13</v>
      </c>
      <c r="K531" t="inlineStr">
        <is>
          <t>0 / 13</t>
        </is>
      </c>
      <c r="L531" t="inlineStr">
        <is>
          <t>0 / 8</t>
        </is>
      </c>
      <c r="M531" s="5" t="n">
        <v>0</v>
      </c>
      <c r="N531" s="5" t="n">
        <v>0</v>
      </c>
    </row>
    <row r="532">
      <c r="A532" t="n">
        <v>531</v>
      </c>
      <c r="B532" t="n">
        <v>2015</v>
      </c>
      <c r="C532" t="inlineStr">
        <is>
          <t>Emilia Ho</t>
        </is>
      </c>
      <c r="D532">
        <f>HYPERLINK("https://ota.tournamentsoftware.com/player-profile/91D4EC27-5C11-4119-B45C-F3809BFF1CF1", "Link")</f>
        <v/>
      </c>
      <c r="E532" s="3" t="n">
        <v>69.21299999999999</v>
      </c>
      <c r="F532" s="4" t="n">
        <v>17</v>
      </c>
      <c r="G532" t="inlineStr">
        <is>
          <t>Tennis Alberta</t>
        </is>
      </c>
      <c r="H532" t="inlineStr">
        <is>
          <t>Osten &amp; Victor Alberta Tennis Centre</t>
        </is>
      </c>
      <c r="I532" t="n">
        <v>34.6</v>
      </c>
      <c r="J532" s="4" t="n">
        <v>135</v>
      </c>
      <c r="K532" t="inlineStr">
        <is>
          <t>70 / 65</t>
        </is>
      </c>
      <c r="L532" t="inlineStr">
        <is>
          <t>16 / 17</t>
        </is>
      </c>
      <c r="M532" s="5" t="n">
        <v>0.52</v>
      </c>
      <c r="N532" s="5" t="n">
        <v>0.48</v>
      </c>
    </row>
    <row r="533">
      <c r="A533" t="n">
        <v>532</v>
      </c>
      <c r="B533" t="n">
        <v>2014</v>
      </c>
      <c r="C533" t="inlineStr">
        <is>
          <t>Alexis Sokol</t>
        </is>
      </c>
      <c r="D533">
        <f>HYPERLINK("https://ota.tournamentsoftware.com/player-profile/8337D953-FBB9-45F2-B72A-FF18B572FA6A", "Link")</f>
        <v/>
      </c>
      <c r="E533" s="3" t="n">
        <v>68.806</v>
      </c>
      <c r="F533" s="4" t="n">
        <v>9</v>
      </c>
      <c r="G533" t="inlineStr">
        <is>
          <t>Tennis Alberta</t>
        </is>
      </c>
      <c r="H533" t="inlineStr">
        <is>
          <t>Saville Community Sports Centre</t>
        </is>
      </c>
      <c r="I533" t="n">
        <v>36.5</v>
      </c>
      <c r="J533" s="4" t="n">
        <v>21</v>
      </c>
      <c r="K533" t="inlineStr">
        <is>
          <t>8 / 13</t>
        </is>
      </c>
      <c r="L533" t="inlineStr">
        <is>
          <t>6 / 9</t>
        </is>
      </c>
      <c r="M533" s="5" t="n">
        <v>0.38</v>
      </c>
      <c r="N533" s="5" t="n">
        <v>0.4</v>
      </c>
    </row>
    <row r="534">
      <c r="A534" t="n">
        <v>533</v>
      </c>
      <c r="B534" t="n">
        <v>2014</v>
      </c>
      <c r="C534" t="inlineStr">
        <is>
          <t>Kaitlynn Xie</t>
        </is>
      </c>
      <c r="D534">
        <f>HYPERLINK("https://ota.tournamentsoftware.com/player-profile/25655CF4-99DC-4E1E-BE40-C11FF6785117", "Link")</f>
        <v/>
      </c>
      <c r="E534" s="3" t="n">
        <v>68.715</v>
      </c>
      <c r="F534" s="4" t="n">
        <v>8</v>
      </c>
      <c r="G534" t="inlineStr">
        <is>
          <t>Tennis Alberta</t>
        </is>
      </c>
      <c r="H534" t="inlineStr">
        <is>
          <t>Saville Community Sports Centre</t>
        </is>
      </c>
      <c r="I534" t="n">
        <v>34.2</v>
      </c>
      <c r="J534" s="4" t="n">
        <v>57</v>
      </c>
      <c r="K534" t="inlineStr">
        <is>
          <t>19 / 38</t>
        </is>
      </c>
      <c r="L534" t="inlineStr">
        <is>
          <t>7 / 12</t>
        </is>
      </c>
      <c r="M534" s="5" t="n">
        <v>0.33</v>
      </c>
      <c r="N534" s="5" t="n">
        <v>0.37</v>
      </c>
    </row>
    <row r="535">
      <c r="A535" t="n">
        <v>534</v>
      </c>
      <c r="B535" t="n">
        <v>2014</v>
      </c>
      <c r="C535" t="inlineStr">
        <is>
          <t>Hui-Xin Chen</t>
        </is>
      </c>
      <c r="D535">
        <f>HYPERLINK("https://ota.tournamentsoftware.com/player-profile/755E1358-E624-498A-A129-DA058D259A1E", "Link")</f>
        <v/>
      </c>
      <c r="E535" s="3" t="n">
        <v>67.884</v>
      </c>
      <c r="F535" s="4" t="n">
        <v>12</v>
      </c>
      <c r="G535" t="inlineStr">
        <is>
          <t>British Columbia</t>
        </is>
      </c>
      <c r="H535" t="inlineStr">
        <is>
          <t>No Club</t>
        </is>
      </c>
      <c r="I535" t="inlineStr">
        <is>
          <t>unavailable</t>
        </is>
      </c>
      <c r="J535" s="4" t="n">
        <v>108</v>
      </c>
      <c r="K535" t="inlineStr">
        <is>
          <t>37 / 71</t>
        </is>
      </c>
      <c r="L535" t="inlineStr">
        <is>
          <t>14 / 14</t>
        </is>
      </c>
      <c r="M535" s="5" t="n">
        <v>0.34</v>
      </c>
      <c r="N535" s="5" t="n">
        <v>0.5</v>
      </c>
    </row>
    <row r="536">
      <c r="A536" t="n">
        <v>535</v>
      </c>
      <c r="B536" t="n">
        <v>2015</v>
      </c>
      <c r="C536" t="inlineStr">
        <is>
          <t>Ella Bloom Chulak</t>
        </is>
      </c>
      <c r="D536">
        <f>HYPERLINK("https://ota.tournamentsoftware.com/player-profile/3DBBE08D-DBAA-43E3-BCD3-2820667C7A24", "Link")</f>
        <v/>
      </c>
      <c r="E536" s="3" t="n">
        <v>67.48</v>
      </c>
      <c r="F536" s="4" t="n">
        <v>11</v>
      </c>
      <c r="G536" t="inlineStr">
        <is>
          <t>Ontario Tennis Association</t>
        </is>
      </c>
      <c r="H536" t="inlineStr">
        <is>
          <t>Richmondhill Golf &amp; Country Club</t>
        </is>
      </c>
      <c r="I536" t="n">
        <v>35.8</v>
      </c>
      <c r="J536" s="4" t="n">
        <v>85</v>
      </c>
      <c r="K536" t="inlineStr">
        <is>
          <t>35 / 50</t>
        </is>
      </c>
      <c r="L536" t="inlineStr">
        <is>
          <t>11 / 8</t>
        </is>
      </c>
      <c r="M536" s="5" t="n">
        <v>0.41</v>
      </c>
      <c r="N536" s="5" t="n">
        <v>0.58</v>
      </c>
    </row>
    <row r="537">
      <c r="A537" t="n">
        <v>536</v>
      </c>
      <c r="B537" t="n">
        <v>2014</v>
      </c>
      <c r="C537" t="inlineStr">
        <is>
          <t>Mioara Oulima Bouyela</t>
        </is>
      </c>
      <c r="D537">
        <f>HYPERLINK("https://ota.tournamentsoftware.com/player-profile/44DDF62F-2675-4E36-B215-8515347ABD9E", "Link")</f>
        <v/>
      </c>
      <c r="E537" s="3" t="n">
        <v>67.357</v>
      </c>
      <c r="F537" s="4" t="n">
        <v>13</v>
      </c>
      <c r="G537" t="inlineStr">
        <is>
          <t>Tennis Québec</t>
        </is>
      </c>
      <c r="H537" t="inlineStr">
        <is>
          <t>Tennis 13</t>
        </is>
      </c>
      <c r="I537" t="n">
        <v>38</v>
      </c>
      <c r="J537" s="4" t="n">
        <v>81</v>
      </c>
      <c r="K537" t="inlineStr">
        <is>
          <t>33 / 48</t>
        </is>
      </c>
      <c r="L537" t="inlineStr">
        <is>
          <t>9 / 12</t>
        </is>
      </c>
      <c r="M537" s="5" t="n">
        <v>0.41</v>
      </c>
      <c r="N537" s="5" t="n">
        <v>0.43</v>
      </c>
    </row>
    <row r="538">
      <c r="A538" t="n">
        <v>537</v>
      </c>
      <c r="B538" t="n">
        <v>2014</v>
      </c>
      <c r="C538" t="inlineStr">
        <is>
          <t>Melissa Elena Rusu</t>
        </is>
      </c>
      <c r="D538">
        <f>HYPERLINK("https://ota.tournamentsoftware.com/player-profile/9F55033D-1DF5-465D-A3A2-401E58DF9FEB", "Link")</f>
        <v/>
      </c>
      <c r="E538" s="3" t="n">
        <v>67.018</v>
      </c>
      <c r="F538" s="4" t="n">
        <v>16</v>
      </c>
      <c r="G538" t="inlineStr">
        <is>
          <t>Tennis Québec</t>
        </is>
      </c>
      <c r="H538" t="inlineStr">
        <is>
          <t>Carrefour Multisports - Haute Performance</t>
        </is>
      </c>
      <c r="I538" t="n">
        <v>37.4</v>
      </c>
      <c r="J538" s="4" t="n">
        <v>57</v>
      </c>
      <c r="K538" t="inlineStr">
        <is>
          <t>19 / 38</t>
        </is>
      </c>
      <c r="L538" t="inlineStr">
        <is>
          <t>4 / 15</t>
        </is>
      </c>
      <c r="M538" s="5" t="n">
        <v>0.33</v>
      </c>
      <c r="N538" s="5" t="n">
        <v>0.21</v>
      </c>
    </row>
    <row r="539">
      <c r="A539" t="n">
        <v>538</v>
      </c>
      <c r="B539" t="n">
        <v>2017</v>
      </c>
      <c r="C539" t="inlineStr">
        <is>
          <t>Siena Yang-frome</t>
        </is>
      </c>
      <c r="D539">
        <f>HYPERLINK("https://ota.tournamentsoftware.com/player-profile/07E78FFD-E9BB-462A-8A5B-4456E8FEB96D", "Link")</f>
        <v/>
      </c>
      <c r="E539" s="3" t="n">
        <v>66.974</v>
      </c>
      <c r="F539" s="4" t="n">
        <v>11</v>
      </c>
      <c r="G539" t="inlineStr">
        <is>
          <t>Ontario Tennis Association</t>
        </is>
      </c>
      <c r="H539" t="inlineStr">
        <is>
          <t>ACE Tennis - Burlington</t>
        </is>
      </c>
      <c r="I539" t="n">
        <v>36.1</v>
      </c>
      <c r="J539" s="4" t="n">
        <v>83</v>
      </c>
      <c r="K539" t="inlineStr">
        <is>
          <t>48 / 35</t>
        </is>
      </c>
      <c r="L539" t="inlineStr">
        <is>
          <t>10 / 12</t>
        </is>
      </c>
      <c r="M539" s="5" t="n">
        <v>0.58</v>
      </c>
      <c r="N539" s="5" t="n">
        <v>0.45</v>
      </c>
    </row>
    <row r="540">
      <c r="A540" t="n">
        <v>539</v>
      </c>
      <c r="B540" t="n">
        <v>2012</v>
      </c>
      <c r="C540" t="inlineStr">
        <is>
          <t>Daisy Brown</t>
        </is>
      </c>
      <c r="D540">
        <f>HYPERLINK("https://ota.tournamentsoftware.com/player-profile/9CF1A8A4-6BA5-46C8-92F4-3E802A738811", "Link")</f>
        <v/>
      </c>
      <c r="E540" s="3" t="n">
        <v>66.79900000000001</v>
      </c>
      <c r="F540" s="4" t="n">
        <v>6</v>
      </c>
      <c r="G540" t="inlineStr">
        <is>
          <t>British Columbia</t>
        </is>
      </c>
      <c r="H540" t="inlineStr">
        <is>
          <t>Oak Bay Recreation Centre</t>
        </is>
      </c>
      <c r="I540" t="n">
        <v>35.7</v>
      </c>
      <c r="J540" s="4" t="n">
        <v>62</v>
      </c>
      <c r="K540" t="inlineStr">
        <is>
          <t>34 / 28</t>
        </is>
      </c>
      <c r="L540" t="inlineStr">
        <is>
          <t>4 / 6</t>
        </is>
      </c>
      <c r="M540" s="5" t="n">
        <v>0.55</v>
      </c>
      <c r="N540" s="5" t="n">
        <v>0.4</v>
      </c>
    </row>
    <row r="541">
      <c r="A541" t="n">
        <v>540</v>
      </c>
      <c r="B541" t="n">
        <v>2016</v>
      </c>
      <c r="C541" t="inlineStr">
        <is>
          <t>Lily Chen</t>
        </is>
      </c>
      <c r="D541">
        <f>HYPERLINK("https://ota.tournamentsoftware.com/player-profile/A6A0EB19-7DDD-4B25-B81C-FCA911081AB5", "Link")</f>
        <v/>
      </c>
      <c r="E541" s="3" t="n">
        <v>66.55200000000001</v>
      </c>
      <c r="F541" s="4" t="n">
        <v>16</v>
      </c>
      <c r="G541" t="inlineStr">
        <is>
          <t>British Columbia</t>
        </is>
      </c>
      <c r="H541" t="inlineStr">
        <is>
          <t>No Club</t>
        </is>
      </c>
      <c r="I541" t="n">
        <v>35.3</v>
      </c>
      <c r="J541" s="4" t="n">
        <v>103</v>
      </c>
      <c r="K541" t="inlineStr">
        <is>
          <t>41 / 62</t>
        </is>
      </c>
      <c r="L541" t="inlineStr">
        <is>
          <t>14 / 19</t>
        </is>
      </c>
      <c r="M541" s="5" t="n">
        <v>0.4</v>
      </c>
      <c r="N541" s="5" t="n">
        <v>0.42</v>
      </c>
    </row>
    <row r="542">
      <c r="A542" t="n">
        <v>541</v>
      </c>
      <c r="B542" t="n">
        <v>2015</v>
      </c>
      <c r="C542" t="inlineStr">
        <is>
          <t>Brielle Ramirez Balos</t>
        </is>
      </c>
      <c r="D542">
        <f>HYPERLINK("https://ota.tournamentsoftware.com/player-profile/2F36BC35-A108-44F9-B705-6F2246749033", "Link")</f>
        <v/>
      </c>
      <c r="E542" s="3" t="n">
        <v>66.29000000000001</v>
      </c>
      <c r="F542" s="4" t="n">
        <v>9</v>
      </c>
      <c r="G542" t="inlineStr">
        <is>
          <t>Tennis Alberta</t>
        </is>
      </c>
      <c r="H542" t="inlineStr">
        <is>
          <t>Saville Community Sports Centre</t>
        </is>
      </c>
      <c r="I542" t="inlineStr">
        <is>
          <t>unavailable</t>
        </is>
      </c>
      <c r="J542" s="4" t="n">
        <v>65</v>
      </c>
      <c r="K542" t="inlineStr">
        <is>
          <t>37 / 28</t>
        </is>
      </c>
      <c r="L542" t="inlineStr">
        <is>
          <t>15 / 9</t>
        </is>
      </c>
      <c r="M542" s="5" t="n">
        <v>0.57</v>
      </c>
      <c r="N542" s="5" t="n">
        <v>0.62</v>
      </c>
    </row>
    <row r="543">
      <c r="A543" t="n">
        <v>542</v>
      </c>
      <c r="B543" t="n">
        <v>2014</v>
      </c>
      <c r="C543" t="inlineStr">
        <is>
          <t>Sareen Kaur Hehar</t>
        </is>
      </c>
      <c r="D543">
        <f>HYPERLINK("https://ota.tournamentsoftware.com/player-profile/07D185FB-AE5B-444B-BAE8-058B536108E2", "Link")</f>
        <v/>
      </c>
      <c r="E543" s="3" t="n">
        <v>66.22499999999999</v>
      </c>
      <c r="F543" s="4" t="n">
        <v>12</v>
      </c>
      <c r="G543" t="inlineStr">
        <is>
          <t>British Columbia</t>
        </is>
      </c>
      <c r="H543" t="inlineStr">
        <is>
          <t>No Club</t>
        </is>
      </c>
      <c r="I543" t="n">
        <v>35.7</v>
      </c>
      <c r="J543" s="4" t="n">
        <v>197</v>
      </c>
      <c r="K543" t="inlineStr">
        <is>
          <t>75 / 122</t>
        </is>
      </c>
      <c r="L543" t="inlineStr">
        <is>
          <t>5 / 10</t>
        </is>
      </c>
      <c r="M543" s="5" t="n">
        <v>0.38</v>
      </c>
      <c r="N543" s="5" t="n">
        <v>0.33</v>
      </c>
    </row>
    <row r="544">
      <c r="A544" t="n">
        <v>543</v>
      </c>
      <c r="B544" t="n">
        <v>2013</v>
      </c>
      <c r="C544" t="inlineStr">
        <is>
          <t>Daniella Adekoya</t>
        </is>
      </c>
      <c r="D544">
        <f>HYPERLINK("https://ota.tournamentsoftware.com/player-profile/1AE7E627-3ED1-4E93-9C7E-52183DBA7410", "Link")</f>
        <v/>
      </c>
      <c r="E544" s="3" t="n">
        <v>65.88</v>
      </c>
      <c r="F544" s="4" t="n">
        <v>3</v>
      </c>
      <c r="G544" t="inlineStr">
        <is>
          <t>Ontario Tennis Association</t>
        </is>
      </c>
      <c r="H544" t="inlineStr">
        <is>
          <t>Rideau Sports Centre</t>
        </is>
      </c>
      <c r="I544" t="n">
        <v>35.5</v>
      </c>
      <c r="J544" s="4" t="n">
        <v>27</v>
      </c>
      <c r="K544" t="inlineStr">
        <is>
          <t>8 / 19</t>
        </is>
      </c>
      <c r="L544" t="inlineStr">
        <is>
          <t>1 / 2</t>
        </is>
      </c>
      <c r="M544" s="5" t="n">
        <v>0.3</v>
      </c>
      <c r="N544" s="5" t="n">
        <v>0.33</v>
      </c>
    </row>
    <row r="545">
      <c r="A545" t="n">
        <v>544</v>
      </c>
      <c r="B545" t="n">
        <v>2012</v>
      </c>
      <c r="C545" t="inlineStr">
        <is>
          <t>Diya Anand</t>
        </is>
      </c>
      <c r="D545">
        <f>HYPERLINK("https://ota.tournamentsoftware.com/player-profile/3939C1EF-E95B-4DD4-9208-81F6E4D5387F", "Link")</f>
        <v/>
      </c>
      <c r="E545" s="3" t="n">
        <v>65.70999999999999</v>
      </c>
      <c r="F545" s="4" t="n">
        <v>5</v>
      </c>
      <c r="G545" t="inlineStr">
        <is>
          <t>Ontario Tennis Association</t>
        </is>
      </c>
      <c r="H545" t="inlineStr">
        <is>
          <t>Rosedale Tennis Club (Hamilton)</t>
        </is>
      </c>
      <c r="I545" t="inlineStr">
        <is>
          <t>unavailable</t>
        </is>
      </c>
      <c r="J545" s="4" t="n">
        <v>20</v>
      </c>
      <c r="K545" t="inlineStr">
        <is>
          <t>4 / 16</t>
        </is>
      </c>
      <c r="L545" t="inlineStr">
        <is>
          <t>1 / 6</t>
        </is>
      </c>
      <c r="M545" s="5" t="n">
        <v>0.2</v>
      </c>
      <c r="N545" s="5" t="n">
        <v>0.14</v>
      </c>
    </row>
    <row r="546">
      <c r="A546" t="n">
        <v>545</v>
      </c>
      <c r="B546" t="n">
        <v>2014</v>
      </c>
      <c r="C546" t="inlineStr">
        <is>
          <t>Victoria Guiral</t>
        </is>
      </c>
      <c r="D546">
        <f>HYPERLINK("https://ota.tournamentsoftware.com/player-profile/1DC3BD6C-A3EA-46CB-A6B3-CB5D3D2F1E7D", "Link")</f>
        <v/>
      </c>
      <c r="E546" s="3" t="n">
        <v>65.601</v>
      </c>
      <c r="F546" s="4" t="n">
        <v>5</v>
      </c>
      <c r="G546" t="inlineStr">
        <is>
          <t>Tennis Québec</t>
        </is>
      </c>
      <c r="H546" t="inlineStr">
        <is>
          <t>Tennis Interclub Piedmont</t>
        </is>
      </c>
      <c r="I546" t="n">
        <v>38.8</v>
      </c>
      <c r="J546" s="4" t="n">
        <v>21</v>
      </c>
      <c r="K546" t="inlineStr">
        <is>
          <t>6 / 15</t>
        </is>
      </c>
      <c r="L546" t="inlineStr">
        <is>
          <t>1 / 8</t>
        </is>
      </c>
      <c r="M546" s="5" t="n">
        <v>0.29</v>
      </c>
      <c r="N546" s="5" t="n">
        <v>0.11</v>
      </c>
    </row>
    <row r="547">
      <c r="A547" t="n">
        <v>546</v>
      </c>
      <c r="B547" t="n">
        <v>2013</v>
      </c>
      <c r="C547" t="inlineStr">
        <is>
          <t>Robyn Abigail Allen</t>
        </is>
      </c>
      <c r="D547">
        <f>HYPERLINK("https://ota.tournamentsoftware.com/player-profile/248A3F67-26CE-43CB-A1BB-A426F8AC9211", "Link")</f>
        <v/>
      </c>
      <c r="E547" s="3" t="n">
        <v>65.42700000000001</v>
      </c>
      <c r="F547" s="4" t="n">
        <v>4</v>
      </c>
      <c r="G547" t="inlineStr">
        <is>
          <t>Ontario Tennis Association</t>
        </is>
      </c>
      <c r="H547" t="inlineStr">
        <is>
          <t>Waterloo Tennis Club</t>
        </is>
      </c>
      <c r="I547" t="inlineStr">
        <is>
          <t>unavailable</t>
        </is>
      </c>
      <c r="J547" s="4" t="n">
        <v>24</v>
      </c>
      <c r="K547" t="inlineStr">
        <is>
          <t>5 / 19</t>
        </is>
      </c>
      <c r="L547" t="inlineStr">
        <is>
          <t>2 / 12</t>
        </is>
      </c>
      <c r="M547" s="5" t="n">
        <v>0.21</v>
      </c>
      <c r="N547" s="5" t="n">
        <v>0.14</v>
      </c>
    </row>
    <row r="548">
      <c r="A548" t="n">
        <v>547</v>
      </c>
      <c r="B548" t="n">
        <v>2015</v>
      </c>
      <c r="C548" t="inlineStr">
        <is>
          <t>Alexandria Gianvito</t>
        </is>
      </c>
      <c r="D548">
        <f>HYPERLINK("https://ota.tournamentsoftware.com/player-profile/4A4D327B-3019-4349-8F36-0769D584A4FA", "Link")</f>
        <v/>
      </c>
      <c r="E548" s="3" t="n">
        <v>64.84999999999999</v>
      </c>
      <c r="F548" s="4" t="n">
        <v>6</v>
      </c>
      <c r="G548" t="inlineStr">
        <is>
          <t>Tennis Québec</t>
        </is>
      </c>
      <c r="H548" t="inlineStr">
        <is>
          <t>No Club</t>
        </is>
      </c>
      <c r="I548" t="inlineStr">
        <is>
          <t>unavailable</t>
        </is>
      </c>
      <c r="J548" s="4" t="n">
        <v>50</v>
      </c>
      <c r="K548" t="inlineStr">
        <is>
          <t>13 / 37</t>
        </is>
      </c>
      <c r="L548" t="inlineStr">
        <is>
          <t>1 / 5</t>
        </is>
      </c>
      <c r="M548" s="5" t="n">
        <v>0.26</v>
      </c>
      <c r="N548" s="5" t="n">
        <v>0.17</v>
      </c>
    </row>
    <row r="549">
      <c r="A549" t="n">
        <v>548</v>
      </c>
      <c r="B549" t="n">
        <v>2012</v>
      </c>
      <c r="C549" t="inlineStr">
        <is>
          <t>Jemima Edwards</t>
        </is>
      </c>
      <c r="D549">
        <f>HYPERLINK("https://ota.tournamentsoftware.com/player-profile/89C8AA4C-1698-4049-8B88-9B77FC5C4B9B", "Link")</f>
        <v/>
      </c>
      <c r="E549" s="3" t="n">
        <v>64</v>
      </c>
      <c r="F549" s="4" t="n">
        <v>2</v>
      </c>
      <c r="G549" t="inlineStr">
        <is>
          <t>Ontario Tennis Association</t>
        </is>
      </c>
      <c r="H549" t="inlineStr">
        <is>
          <t>Rideau Sports Centre</t>
        </is>
      </c>
      <c r="I549" t="n">
        <v>32.5</v>
      </c>
      <c r="J549" s="4" t="n">
        <v>77</v>
      </c>
      <c r="K549" t="inlineStr">
        <is>
          <t>39 / 38</t>
        </is>
      </c>
      <c r="L549" t="inlineStr">
        <is>
          <t>3 / 1</t>
        </is>
      </c>
      <c r="M549" s="5" t="n">
        <v>0.51</v>
      </c>
      <c r="N549" s="5" t="n">
        <v>0.75</v>
      </c>
    </row>
    <row r="550">
      <c r="A550" t="n">
        <v>549</v>
      </c>
      <c r="B550" t="n">
        <v>2013</v>
      </c>
      <c r="C550" t="inlineStr">
        <is>
          <t>Audrey Humeniuk</t>
        </is>
      </c>
      <c r="D550">
        <f>HYPERLINK("https://ota.tournamentsoftware.com/player-profile/468D56FB-0ABD-4840-82FB-F2B1EB075075", "Link")</f>
        <v/>
      </c>
      <c r="E550" s="3" t="n">
        <v>63.86</v>
      </c>
      <c r="F550" s="4" t="n">
        <v>4</v>
      </c>
      <c r="G550" t="inlineStr">
        <is>
          <t>Ontario Tennis Association</t>
        </is>
      </c>
      <c r="H550" t="inlineStr">
        <is>
          <t>Tennis Centre West Ottawa</t>
        </is>
      </c>
      <c r="I550" t="n">
        <v>39.9</v>
      </c>
      <c r="J550" s="4" t="n">
        <v>8</v>
      </c>
      <c r="K550" t="inlineStr">
        <is>
          <t>1 / 7</t>
        </is>
      </c>
      <c r="L550" t="inlineStr">
        <is>
          <t>0 / 3</t>
        </is>
      </c>
      <c r="M550" s="5" t="n">
        <v>0.12</v>
      </c>
      <c r="N550" s="5" t="n">
        <v>0</v>
      </c>
    </row>
    <row r="551">
      <c r="A551" t="n">
        <v>550</v>
      </c>
      <c r="B551" t="n">
        <v>2013</v>
      </c>
      <c r="C551" t="inlineStr">
        <is>
          <t>Camélia Duong</t>
        </is>
      </c>
      <c r="D551">
        <f>HYPERLINK("https://ota.tournamentsoftware.com/player-profile/86B52BC3-1BF6-4334-8E35-8F6D2AF1C95B", "Link")</f>
        <v/>
      </c>
      <c r="E551" s="3" t="n">
        <v>63.787</v>
      </c>
      <c r="F551" s="4" t="n">
        <v>10</v>
      </c>
      <c r="G551" t="inlineStr">
        <is>
          <t>Tennis Québec</t>
        </is>
      </c>
      <c r="H551" t="inlineStr">
        <is>
          <t>Tennis Ile- des- Soeurs</t>
        </is>
      </c>
      <c r="I551" t="n">
        <v>38.3</v>
      </c>
      <c r="J551" s="4" t="n">
        <v>58</v>
      </c>
      <c r="K551" t="inlineStr">
        <is>
          <t>9 / 49</t>
        </is>
      </c>
      <c r="L551" t="inlineStr">
        <is>
          <t>1 / 6</t>
        </is>
      </c>
      <c r="M551" s="5" t="n">
        <v>0.16</v>
      </c>
      <c r="N551" s="5" t="n">
        <v>0.14</v>
      </c>
    </row>
    <row r="552">
      <c r="A552" t="n">
        <v>551</v>
      </c>
      <c r="B552" t="n">
        <v>2013</v>
      </c>
      <c r="C552" t="inlineStr">
        <is>
          <t>Deborah Zhao</t>
        </is>
      </c>
      <c r="D552">
        <f>HYPERLINK("https://ota.tournamentsoftware.com/player-profile/F6904719-B024-412B-8805-0CEB145651FD", "Link")</f>
        <v/>
      </c>
      <c r="E552" s="3" t="n">
        <v>63.288</v>
      </c>
      <c r="F552" s="4" t="n">
        <v>3</v>
      </c>
      <c r="G552" t="inlineStr">
        <is>
          <t>Tennis Prince Edward Island</t>
        </is>
      </c>
      <c r="H552" t="inlineStr">
        <is>
          <t>Charlottetown Recreation Tennis Group</t>
        </is>
      </c>
      <c r="I552" t="n">
        <v>36.6</v>
      </c>
      <c r="J552" s="4" t="n">
        <v>136</v>
      </c>
      <c r="K552" t="inlineStr">
        <is>
          <t>65 / 71</t>
        </is>
      </c>
      <c r="L552" t="inlineStr">
        <is>
          <t>3 / 7</t>
        </is>
      </c>
      <c r="M552" s="5" t="n">
        <v>0.48</v>
      </c>
      <c r="N552" s="5" t="n">
        <v>0.3</v>
      </c>
    </row>
    <row r="553">
      <c r="A553" t="n">
        <v>552</v>
      </c>
      <c r="B553" t="n">
        <v>2015</v>
      </c>
      <c r="C553" t="inlineStr">
        <is>
          <t>Aayushi Gautam</t>
        </is>
      </c>
      <c r="D553">
        <f>HYPERLINK("https://ota.tournamentsoftware.com/player-profile/A24CEE26-7629-46B9-89B0-12B054D2DFB9", "Link")</f>
        <v/>
      </c>
      <c r="E553" s="3" t="n">
        <v>63.275</v>
      </c>
      <c r="F553" s="4" t="n">
        <v>13</v>
      </c>
      <c r="G553" t="inlineStr">
        <is>
          <t>Tennis Alberta</t>
        </is>
      </c>
      <c r="H553" t="inlineStr">
        <is>
          <t>Saville Community Sports Centre</t>
        </is>
      </c>
      <c r="I553" t="n">
        <v>33.6</v>
      </c>
      <c r="J553" s="4" t="n">
        <v>152</v>
      </c>
      <c r="K553" t="inlineStr">
        <is>
          <t>90 / 62</t>
        </is>
      </c>
      <c r="L553" t="inlineStr">
        <is>
          <t>16 / 8</t>
        </is>
      </c>
      <c r="M553" s="5" t="n">
        <v>0.59</v>
      </c>
      <c r="N553" s="5" t="n">
        <v>0.67</v>
      </c>
    </row>
    <row r="554">
      <c r="A554" t="n">
        <v>553</v>
      </c>
      <c r="B554" t="n">
        <v>2012</v>
      </c>
      <c r="C554" t="inlineStr">
        <is>
          <t>kate zixi ye</t>
        </is>
      </c>
      <c r="D554">
        <f>HYPERLINK("https://ota.tournamentsoftware.com/player-profile/0A8F7797-88F4-49C6-8F3D-6079B8242406", "Link")</f>
        <v/>
      </c>
      <c r="E554" s="3" t="n">
        <v>62.909</v>
      </c>
      <c r="F554" s="4" t="n">
        <v>5</v>
      </c>
      <c r="G554" t="inlineStr">
        <is>
          <t>Ontario Tennis Association</t>
        </is>
      </c>
      <c r="H554" t="inlineStr">
        <is>
          <t>No Club</t>
        </is>
      </c>
      <c r="I554" t="n">
        <v>37.9</v>
      </c>
      <c r="J554" s="4" t="n">
        <v>11</v>
      </c>
      <c r="K554" t="inlineStr">
        <is>
          <t>2 / 9</t>
        </is>
      </c>
      <c r="L554" t="inlineStr">
        <is>
          <t>1 / 4</t>
        </is>
      </c>
      <c r="M554" s="5" t="n">
        <v>0.18</v>
      </c>
      <c r="N554" s="5" t="n">
        <v>0.2</v>
      </c>
    </row>
    <row r="555">
      <c r="A555" t="n">
        <v>554</v>
      </c>
      <c r="B555" t="n">
        <v>2013</v>
      </c>
      <c r="C555" t="inlineStr">
        <is>
          <t>Vina BLANCHARD</t>
        </is>
      </c>
      <c r="D555">
        <f>HYPERLINK("https://ota.tournamentsoftware.com/player-profile/B5AD0E2A-4843-4177-AD96-5A3203B5C718", "Link")</f>
        <v/>
      </c>
      <c r="E555" s="3" t="n">
        <v>62.695</v>
      </c>
      <c r="F555" s="4" t="n">
        <v>6</v>
      </c>
      <c r="G555" t="inlineStr">
        <is>
          <t>Ontario Tennis Association</t>
        </is>
      </c>
      <c r="H555" t="inlineStr">
        <is>
          <t>Ontario Racquet Club</t>
        </is>
      </c>
      <c r="I555" t="inlineStr">
        <is>
          <t>unavailable</t>
        </is>
      </c>
      <c r="J555" s="4" t="n">
        <v>25</v>
      </c>
      <c r="K555" t="inlineStr">
        <is>
          <t>11 / 14</t>
        </is>
      </c>
      <c r="L555" t="inlineStr">
        <is>
          <t>2 / 8</t>
        </is>
      </c>
      <c r="M555" s="5" t="n">
        <v>0.44</v>
      </c>
      <c r="N555" s="5" t="n">
        <v>0.2</v>
      </c>
    </row>
    <row r="556">
      <c r="A556" t="n">
        <v>555</v>
      </c>
      <c r="B556" t="n">
        <v>2012</v>
      </c>
      <c r="C556" t="inlineStr">
        <is>
          <t>Hannah Ines Fischer-Kandelas</t>
        </is>
      </c>
      <c r="D556">
        <f>HYPERLINK("https://ota.tournamentsoftware.com/player-profile/672C977E-EE19-4DD0-AE73-F6FCDD2EE1E1", "Link")</f>
        <v/>
      </c>
      <c r="E556" s="3" t="n">
        <v>62.453</v>
      </c>
      <c r="F556" s="4" t="n">
        <v>4</v>
      </c>
      <c r="G556" t="inlineStr">
        <is>
          <t>Ontario Tennis Association</t>
        </is>
      </c>
      <c r="H556" t="inlineStr">
        <is>
          <t>Wychwood Tennis Club</t>
        </is>
      </c>
      <c r="I556" t="n">
        <v>39.1</v>
      </c>
      <c r="J556" s="4" t="n">
        <v>22</v>
      </c>
      <c r="K556" t="inlineStr">
        <is>
          <t>9 / 13</t>
        </is>
      </c>
      <c r="L556" t="inlineStr">
        <is>
          <t>2 / 7</t>
        </is>
      </c>
      <c r="M556" s="5" t="n">
        <v>0.41</v>
      </c>
      <c r="N556" s="5" t="n">
        <v>0.22</v>
      </c>
    </row>
    <row r="557">
      <c r="A557" t="n">
        <v>556</v>
      </c>
      <c r="B557" t="n">
        <v>2016</v>
      </c>
      <c r="C557" t="inlineStr">
        <is>
          <t>Hayley Bryce</t>
        </is>
      </c>
      <c r="D557">
        <f>HYPERLINK("https://ota.tournamentsoftware.com/player-profile/B433F420-A779-4270-B32A-8DE5FF43BD05", "Link")</f>
        <v/>
      </c>
      <c r="E557" s="3" t="n">
        <v>62.412</v>
      </c>
      <c r="F557" s="4" t="n">
        <v>12</v>
      </c>
      <c r="G557" t="inlineStr">
        <is>
          <t>Ontario Tennis Association</t>
        </is>
      </c>
      <c r="H557" t="inlineStr">
        <is>
          <t>SmartVMC Racquetsports by ACE</t>
        </is>
      </c>
      <c r="I557" t="inlineStr">
        <is>
          <t>unavailable</t>
        </is>
      </c>
      <c r="J557" s="4" t="n">
        <v>76</v>
      </c>
      <c r="K557" t="inlineStr">
        <is>
          <t>34 / 42</t>
        </is>
      </c>
      <c r="L557" t="inlineStr">
        <is>
          <t>17 / 20</t>
        </is>
      </c>
      <c r="M557" s="5" t="n">
        <v>0.45</v>
      </c>
      <c r="N557" s="5" t="n">
        <v>0.46</v>
      </c>
    </row>
    <row r="558">
      <c r="A558" t="n">
        <v>557</v>
      </c>
      <c r="B558" t="n">
        <v>2014</v>
      </c>
      <c r="C558" t="inlineStr">
        <is>
          <t>Chloe Huang</t>
        </is>
      </c>
      <c r="D558">
        <f>HYPERLINK("https://ota.tournamentsoftware.com/player-profile/F00195EB-06BF-48AD-9E24-7FA037871F13", "Link")</f>
        <v/>
      </c>
      <c r="E558" s="3" t="n">
        <v>62.111</v>
      </c>
      <c r="F558" s="4" t="n">
        <v>3</v>
      </c>
      <c r="G558" t="inlineStr">
        <is>
          <t>Ontario Tennis Association</t>
        </is>
      </c>
      <c r="H558" t="inlineStr">
        <is>
          <t>Richmond Hill Country Club</t>
        </is>
      </c>
      <c r="I558" t="n">
        <v>38.8</v>
      </c>
      <c r="J558" s="4" t="n">
        <v>54</v>
      </c>
      <c r="K558" t="inlineStr">
        <is>
          <t>20 / 34</t>
        </is>
      </c>
      <c r="L558" t="inlineStr">
        <is>
          <t>0 / 3</t>
        </is>
      </c>
      <c r="M558" s="5" t="n">
        <v>0.37</v>
      </c>
      <c r="N558" s="5" t="n">
        <v>0</v>
      </c>
    </row>
    <row r="559">
      <c r="A559" t="n">
        <v>558</v>
      </c>
      <c r="B559" t="n">
        <v>2012</v>
      </c>
      <c r="C559" t="inlineStr">
        <is>
          <t>Alice Zhang</t>
        </is>
      </c>
      <c r="D559">
        <f>HYPERLINK("https://ota.tournamentsoftware.com/player-profile/D65C72B6-843B-48BF-A073-AE5080F1EA2D", "Link")</f>
        <v/>
      </c>
      <c r="E559" s="3" t="n">
        <v>61.807</v>
      </c>
      <c r="F559" s="4" t="n">
        <v>4</v>
      </c>
      <c r="G559" t="inlineStr">
        <is>
          <t>Ontario Tennis Association</t>
        </is>
      </c>
      <c r="H559" t="inlineStr">
        <is>
          <t>ACE Tennis - Burlington</t>
        </is>
      </c>
      <c r="I559" t="n">
        <v>37.2</v>
      </c>
      <c r="J559" s="4" t="n">
        <v>10</v>
      </c>
      <c r="K559" t="inlineStr">
        <is>
          <t>2 / 8</t>
        </is>
      </c>
      <c r="L559" t="inlineStr">
        <is>
          <t>2 / 6</t>
        </is>
      </c>
      <c r="M559" s="5" t="n">
        <v>0.2</v>
      </c>
      <c r="N559" s="5" t="n">
        <v>0.25</v>
      </c>
    </row>
    <row r="560">
      <c r="A560" t="n">
        <v>559</v>
      </c>
      <c r="B560" t="n">
        <v>2015</v>
      </c>
      <c r="C560" t="inlineStr">
        <is>
          <t>Clara Surprenant</t>
        </is>
      </c>
      <c r="D560">
        <f>HYPERLINK("https://ota.tournamentsoftware.com/player-profile/82684D26-C7AE-41C6-893D-5E94585A41D7", "Link")</f>
        <v/>
      </c>
      <c r="E560" s="3" t="n">
        <v>60.705</v>
      </c>
      <c r="F560" s="4" t="n">
        <v>6</v>
      </c>
      <c r="G560" t="inlineStr">
        <is>
          <t>Tennis Québec</t>
        </is>
      </c>
      <c r="H560" t="inlineStr">
        <is>
          <t>SANI Sport</t>
        </is>
      </c>
      <c r="I560" t="n">
        <v>36.6</v>
      </c>
      <c r="J560" s="4" t="n">
        <v>85</v>
      </c>
      <c r="K560" t="inlineStr">
        <is>
          <t>40 / 45</t>
        </is>
      </c>
      <c r="L560" t="inlineStr">
        <is>
          <t>2 / 4</t>
        </is>
      </c>
      <c r="M560" s="5" t="n">
        <v>0.47</v>
      </c>
      <c r="N560" s="5" t="n">
        <v>0.33</v>
      </c>
    </row>
    <row r="561">
      <c r="A561" t="n">
        <v>560</v>
      </c>
      <c r="B561" t="n">
        <v>2014</v>
      </c>
      <c r="C561" t="inlineStr">
        <is>
          <t>Minnie Jinwen Xu</t>
        </is>
      </c>
      <c r="D561">
        <f>HYPERLINK("https://ota.tournamentsoftware.com/player-profile/617AABE9-B600-4656-9194-77743DDDC351", "Link")</f>
        <v/>
      </c>
      <c r="E561" s="3" t="n">
        <v>60.695</v>
      </c>
      <c r="F561" s="4" t="n">
        <v>12</v>
      </c>
      <c r="G561" t="inlineStr">
        <is>
          <t>British Columbia</t>
        </is>
      </c>
      <c r="H561" t="inlineStr">
        <is>
          <t>The Tennis Centre</t>
        </is>
      </c>
      <c r="I561" t="n">
        <v>35.4</v>
      </c>
      <c r="J561" s="4" t="n">
        <v>128</v>
      </c>
      <c r="K561" t="inlineStr">
        <is>
          <t>67 / 61</t>
        </is>
      </c>
      <c r="L561" t="inlineStr">
        <is>
          <t>13 / 12</t>
        </is>
      </c>
      <c r="M561" s="5" t="n">
        <v>0.52</v>
      </c>
      <c r="N561" s="5" t="n">
        <v>0.52</v>
      </c>
    </row>
    <row r="562">
      <c r="A562" t="n">
        <v>561</v>
      </c>
      <c r="B562" t="n">
        <v>2016</v>
      </c>
      <c r="C562" t="inlineStr">
        <is>
          <t>Anne Cherednychenko</t>
        </is>
      </c>
      <c r="D562">
        <f>HYPERLINK("https://ota.tournamentsoftware.com/player-profile/8FB2FF81-D0FE-4491-B99E-18BAAFE1E3CD", "Link")</f>
        <v/>
      </c>
      <c r="E562" s="3" t="n">
        <v>60.335</v>
      </c>
      <c r="F562" s="4" t="n">
        <v>9</v>
      </c>
      <c r="G562" t="inlineStr">
        <is>
          <t>Tennis Québec</t>
        </is>
      </c>
      <c r="H562" t="inlineStr">
        <is>
          <t>No Club</t>
        </is>
      </c>
      <c r="I562" t="n">
        <v>35.1</v>
      </c>
      <c r="J562" s="4" t="n">
        <v>64</v>
      </c>
      <c r="K562" t="inlineStr">
        <is>
          <t>39 / 25</t>
        </is>
      </c>
      <c r="L562" t="inlineStr">
        <is>
          <t>15 / 11</t>
        </is>
      </c>
      <c r="M562" s="5" t="n">
        <v>0.61</v>
      </c>
      <c r="N562" s="5" t="n">
        <v>0.58</v>
      </c>
    </row>
    <row r="563">
      <c r="A563" t="n">
        <v>562</v>
      </c>
      <c r="B563" t="n">
        <v>2016</v>
      </c>
      <c r="C563" t="inlineStr">
        <is>
          <t>Abigail Jianing Zhou</t>
        </is>
      </c>
      <c r="D563">
        <f>HYPERLINK("https://ota.tournamentsoftware.com/player-profile/E53B2389-2E47-459E-9543-5DBB506C324A", "Link")</f>
        <v/>
      </c>
      <c r="E563" s="3" t="n">
        <v>60.24</v>
      </c>
      <c r="F563" s="4" t="n">
        <v>15</v>
      </c>
      <c r="G563" t="inlineStr">
        <is>
          <t>Ontario Tennis Association</t>
        </is>
      </c>
      <c r="H563" t="inlineStr">
        <is>
          <t>Joshua Creek Golf &amp; Tennis</t>
        </is>
      </c>
      <c r="I563" t="n">
        <v>36.9</v>
      </c>
      <c r="J563" s="4" t="n">
        <v>152</v>
      </c>
      <c r="K563" t="inlineStr">
        <is>
          <t>63 / 89</t>
        </is>
      </c>
      <c r="L563" t="inlineStr">
        <is>
          <t>25 / 24</t>
        </is>
      </c>
      <c r="M563" s="5" t="n">
        <v>0.41</v>
      </c>
      <c r="N563" s="5" t="n">
        <v>0.51</v>
      </c>
    </row>
    <row r="564">
      <c r="A564" t="n">
        <v>563</v>
      </c>
      <c r="B564" t="n">
        <v>2016</v>
      </c>
      <c r="C564" t="inlineStr">
        <is>
          <t>Vianna Mostashari</t>
        </is>
      </c>
      <c r="D564">
        <f>HYPERLINK("https://ota.tournamentsoftware.com/player-profile/670B74EC-3F81-45DD-8F9B-AEE768B61639", "Link")</f>
        <v/>
      </c>
      <c r="E564" s="3" t="n">
        <v>60.235</v>
      </c>
      <c r="F564" s="4" t="n">
        <v>11</v>
      </c>
      <c r="G564" t="inlineStr">
        <is>
          <t>British Columbia</t>
        </is>
      </c>
      <c r="H564" t="inlineStr">
        <is>
          <t>North Vancouver Tennis Centre</t>
        </is>
      </c>
      <c r="I564" t="n">
        <v>35.9</v>
      </c>
      <c r="J564" s="4" t="n">
        <v>157</v>
      </c>
      <c r="K564" t="inlineStr">
        <is>
          <t>88 / 69</t>
        </is>
      </c>
      <c r="L564" t="inlineStr">
        <is>
          <t>8 / 16</t>
        </is>
      </c>
      <c r="M564" s="5" t="n">
        <v>0.5600000000000001</v>
      </c>
      <c r="N564" s="5" t="n">
        <v>0.33</v>
      </c>
    </row>
    <row r="565">
      <c r="A565" t="n">
        <v>564</v>
      </c>
      <c r="B565" t="n">
        <v>2015</v>
      </c>
      <c r="C565" t="inlineStr">
        <is>
          <t>Karina Lee Griffin</t>
        </is>
      </c>
      <c r="D565">
        <f>HYPERLINK("https://ota.tournamentsoftware.com/player-profile/51794C7A-992F-4A4D-9983-0483174644A1", "Link")</f>
        <v/>
      </c>
      <c r="E565" s="3" t="n">
        <v>59.63</v>
      </c>
      <c r="F565" s="4" t="n">
        <v>18</v>
      </c>
      <c r="G565" t="inlineStr">
        <is>
          <t>British Columbia</t>
        </is>
      </c>
      <c r="H565" t="inlineStr">
        <is>
          <t>North Vancouver Tennis Centre</t>
        </is>
      </c>
      <c r="I565" t="n">
        <v>34.8</v>
      </c>
      <c r="J565" s="4" t="n">
        <v>153</v>
      </c>
      <c r="K565" t="inlineStr">
        <is>
          <t>73 / 80</t>
        </is>
      </c>
      <c r="L565" t="inlineStr">
        <is>
          <t>12 / 18</t>
        </is>
      </c>
      <c r="M565" s="5" t="n">
        <v>0.48</v>
      </c>
      <c r="N565" s="5" t="n">
        <v>0.4</v>
      </c>
    </row>
    <row r="566">
      <c r="A566" t="n">
        <v>565</v>
      </c>
      <c r="B566" t="n">
        <v>2014</v>
      </c>
      <c r="C566" t="inlineStr">
        <is>
          <t>Bo Brisson</t>
        </is>
      </c>
      <c r="D566">
        <f>HYPERLINK("https://ota.tournamentsoftware.com/player-profile/836F9923-C4A5-42E1-8BF0-0788DAB02146", "Link")</f>
        <v/>
      </c>
      <c r="E566" s="3" t="n">
        <v>59.608</v>
      </c>
      <c r="F566" s="4" t="n">
        <v>6</v>
      </c>
      <c r="G566" t="inlineStr">
        <is>
          <t>Ontario Tennis Association</t>
        </is>
      </c>
      <c r="H566" t="inlineStr">
        <is>
          <t>GSM Tennis Club</t>
        </is>
      </c>
      <c r="I566" t="inlineStr">
        <is>
          <t>unavailable</t>
        </is>
      </c>
      <c r="J566" s="4" t="n">
        <v>117</v>
      </c>
      <c r="K566" t="inlineStr">
        <is>
          <t>38 / 79</t>
        </is>
      </c>
      <c r="L566" t="inlineStr">
        <is>
          <t>4 / 3</t>
        </is>
      </c>
      <c r="M566" s="5" t="n">
        <v>0.32</v>
      </c>
      <c r="N566" s="5" t="n">
        <v>0.57</v>
      </c>
    </row>
    <row r="567">
      <c r="A567" t="n">
        <v>566</v>
      </c>
      <c r="B567" t="n">
        <v>2014</v>
      </c>
      <c r="C567" t="inlineStr">
        <is>
          <t>Tara Nastic</t>
        </is>
      </c>
      <c r="D567">
        <f>HYPERLINK("https://ota.tournamentsoftware.com/player-profile/43FF8AFD-A54E-4011-88C7-132B60B568E8", "Link")</f>
        <v/>
      </c>
      <c r="E567" s="3" t="n">
        <v>59.373</v>
      </c>
      <c r="F567" s="4" t="n">
        <v>5</v>
      </c>
      <c r="G567" t="inlineStr">
        <is>
          <t>Ontario Tennis Association</t>
        </is>
      </c>
      <c r="H567" t="inlineStr">
        <is>
          <t>Royal City Tennis Club</t>
        </is>
      </c>
      <c r="I567" t="inlineStr">
        <is>
          <t>unavailable</t>
        </is>
      </c>
      <c r="J567" s="4" t="n">
        <v>19</v>
      </c>
      <c r="K567" t="inlineStr">
        <is>
          <t>4 / 15</t>
        </is>
      </c>
      <c r="L567" t="inlineStr">
        <is>
          <t>1 / 3</t>
        </is>
      </c>
      <c r="M567" s="5" t="n">
        <v>0.21</v>
      </c>
      <c r="N567" s="5" t="n">
        <v>0.25</v>
      </c>
    </row>
    <row r="568">
      <c r="A568" t="n">
        <v>567</v>
      </c>
      <c r="B568" t="n">
        <v>2015</v>
      </c>
      <c r="C568" t="inlineStr">
        <is>
          <t>Ava Gracia Hurley</t>
        </is>
      </c>
      <c r="D568">
        <f>HYPERLINK("https://ota.tournamentsoftware.com/player-profile/DC3D1043-9FBA-467F-8103-AE9D0DEEF066", "Link")</f>
        <v/>
      </c>
      <c r="E568" s="3" t="n">
        <v>58.941</v>
      </c>
      <c r="F568" s="4" t="n">
        <v>11</v>
      </c>
      <c r="G568" t="inlineStr">
        <is>
          <t>Ontario Tennis Association</t>
        </is>
      </c>
      <c r="H568" t="inlineStr">
        <is>
          <t>Manotick Tennis Club</t>
        </is>
      </c>
      <c r="I568" t="inlineStr">
        <is>
          <t>unavailable</t>
        </is>
      </c>
      <c r="J568" s="4" t="n">
        <v>33</v>
      </c>
      <c r="K568" t="inlineStr">
        <is>
          <t>13 / 20</t>
        </is>
      </c>
      <c r="L568" t="inlineStr">
        <is>
          <t>5 / 9</t>
        </is>
      </c>
      <c r="M568" s="5" t="n">
        <v>0.39</v>
      </c>
      <c r="N568" s="5" t="n">
        <v>0.36</v>
      </c>
    </row>
    <row r="569">
      <c r="A569" t="n">
        <v>568</v>
      </c>
      <c r="B569" t="n">
        <v>2013</v>
      </c>
      <c r="C569" t="inlineStr">
        <is>
          <t>Presley Pellegrino</t>
        </is>
      </c>
      <c r="D569">
        <f>HYPERLINK("https://ota.tournamentsoftware.com/player-profile/A7978533-179E-4FC4-8D48-C160FA6FF2E3", "Link")</f>
        <v/>
      </c>
      <c r="E569" s="3" t="n">
        <v>58.878</v>
      </c>
      <c r="F569" s="4" t="n">
        <v>3</v>
      </c>
      <c r="G569" t="inlineStr">
        <is>
          <t>Ontario Tennis Association</t>
        </is>
      </c>
      <c r="H569" t="inlineStr">
        <is>
          <t>No Club</t>
        </is>
      </c>
      <c r="I569" t="n">
        <v>35.1</v>
      </c>
      <c r="J569" s="4" t="n">
        <v>97</v>
      </c>
      <c r="K569" t="inlineStr">
        <is>
          <t>40 / 57</t>
        </is>
      </c>
      <c r="L569" t="inlineStr">
        <is>
          <t>2 / 2</t>
        </is>
      </c>
      <c r="M569" s="5" t="n">
        <v>0.41</v>
      </c>
      <c r="N569" s="5" t="n">
        <v>0.5</v>
      </c>
    </row>
    <row r="570">
      <c r="A570" t="n">
        <v>569</v>
      </c>
      <c r="B570" t="n">
        <v>2015</v>
      </c>
      <c r="C570" t="inlineStr">
        <is>
          <t>Aria MARTIN</t>
        </is>
      </c>
      <c r="D570">
        <f>HYPERLINK("https://ota.tournamentsoftware.com/player-profile/220708AF-B049-4C3B-83FA-C1AAC60269C5", "Link")</f>
        <v/>
      </c>
      <c r="E570" s="3" t="n">
        <v>58.434</v>
      </c>
      <c r="F570" s="4" t="n">
        <v>16</v>
      </c>
      <c r="G570" t="inlineStr">
        <is>
          <t>British Columbia</t>
        </is>
      </c>
      <c r="H570" t="inlineStr">
        <is>
          <t>Vancouver Lawn Tennis and Badminton Club</t>
        </is>
      </c>
      <c r="I570" t="n">
        <v>35.1</v>
      </c>
      <c r="J570" s="4" t="n">
        <v>133</v>
      </c>
      <c r="K570" t="inlineStr">
        <is>
          <t>53 / 80</t>
        </is>
      </c>
      <c r="L570" t="inlineStr">
        <is>
          <t>24 / 17</t>
        </is>
      </c>
      <c r="M570" s="5" t="n">
        <v>0.4</v>
      </c>
      <c r="N570" s="5" t="n">
        <v>0.59</v>
      </c>
    </row>
    <row r="571">
      <c r="A571" t="n">
        <v>570</v>
      </c>
      <c r="B571" t="n">
        <v>2015</v>
      </c>
      <c r="C571" t="inlineStr">
        <is>
          <t>Maeva Kaur Dhillon</t>
        </is>
      </c>
      <c r="D571">
        <f>HYPERLINK("https://ota.tournamentsoftware.com/player-profile/1E3A662C-1993-423F-99BB-0CD2F93CC62A", "Link")</f>
        <v/>
      </c>
      <c r="E571" s="3" t="n">
        <v>58.125</v>
      </c>
      <c r="F571" s="4" t="n">
        <v>11</v>
      </c>
      <c r="G571" t="inlineStr">
        <is>
          <t>Tennis Alberta</t>
        </is>
      </c>
      <c r="H571" t="inlineStr">
        <is>
          <t>Saville Community Sports Centre</t>
        </is>
      </c>
      <c r="I571" t="n">
        <v>37.4</v>
      </c>
      <c r="J571" s="4" t="n">
        <v>74</v>
      </c>
      <c r="K571" t="inlineStr">
        <is>
          <t>22 / 52</t>
        </is>
      </c>
      <c r="L571" t="inlineStr">
        <is>
          <t>5 / 9</t>
        </is>
      </c>
      <c r="M571" s="5" t="n">
        <v>0.3</v>
      </c>
      <c r="N571" s="5" t="n">
        <v>0.36</v>
      </c>
    </row>
    <row r="572">
      <c r="A572" t="n">
        <v>571</v>
      </c>
      <c r="B572" t="n">
        <v>2012</v>
      </c>
      <c r="C572" t="inlineStr">
        <is>
          <t>Chloe Teng</t>
        </is>
      </c>
      <c r="D572">
        <f>HYPERLINK("https://ota.tournamentsoftware.com/player-profile/F5AC5875-4E89-4D3E-BF17-24986F702240", "Link")</f>
        <v/>
      </c>
      <c r="E572" s="3" t="n">
        <v>57.902</v>
      </c>
      <c r="F572" s="4" t="n">
        <v>11</v>
      </c>
      <c r="G572" t="inlineStr">
        <is>
          <t>Ontario Tennis Association</t>
        </is>
      </c>
      <c r="H572" t="inlineStr">
        <is>
          <t>Tennis Clubs of Canada</t>
        </is>
      </c>
      <c r="I572" t="n">
        <v>38.2</v>
      </c>
      <c r="J572" s="4" t="n">
        <v>43</v>
      </c>
      <c r="K572" t="inlineStr">
        <is>
          <t>11 / 32</t>
        </is>
      </c>
      <c r="L572" t="inlineStr">
        <is>
          <t>8 / 21</t>
        </is>
      </c>
      <c r="M572" s="5" t="n">
        <v>0.26</v>
      </c>
      <c r="N572" s="5" t="n">
        <v>0.28</v>
      </c>
    </row>
    <row r="573">
      <c r="A573" t="n">
        <v>572</v>
      </c>
      <c r="B573" t="n">
        <v>2013</v>
      </c>
      <c r="C573" t="inlineStr">
        <is>
          <t>Gabrielle Galgay</t>
        </is>
      </c>
      <c r="D573">
        <f>HYPERLINK("https://ota.tournamentsoftware.com/player-profile/1A26365B-FAA0-4130-8F92-B67D497E82D9", "Link")</f>
        <v/>
      </c>
      <c r="E573" s="3" t="n">
        <v>57.069</v>
      </c>
      <c r="F573" s="4" t="n">
        <v>4</v>
      </c>
      <c r="G573" t="inlineStr">
        <is>
          <t>Ontario Tennis Association</t>
        </is>
      </c>
      <c r="H573" t="inlineStr">
        <is>
          <t>No Club</t>
        </is>
      </c>
      <c r="I573" t="n">
        <v>34.3</v>
      </c>
      <c r="J573" s="4" t="n">
        <v>10</v>
      </c>
      <c r="K573" t="inlineStr">
        <is>
          <t>4 / 6</t>
        </is>
      </c>
      <c r="L573" t="inlineStr">
        <is>
          <t>1 / 3</t>
        </is>
      </c>
      <c r="M573" s="5" t="n">
        <v>0.4</v>
      </c>
      <c r="N573" s="5" t="n">
        <v>0.25</v>
      </c>
    </row>
    <row r="574">
      <c r="A574" t="n">
        <v>573</v>
      </c>
      <c r="B574" t="n">
        <v>2013</v>
      </c>
      <c r="C574" t="inlineStr">
        <is>
          <t>Noa Anne Broere</t>
        </is>
      </c>
      <c r="D574">
        <f>HYPERLINK("https://ota.tournamentsoftware.com/player-profile/A5724AD9-99FF-4D46-A565-ED1BBCAE83F4", "Link")</f>
        <v/>
      </c>
      <c r="E574" s="3" t="n">
        <v>57.045</v>
      </c>
      <c r="F574" s="4" t="n">
        <v>16</v>
      </c>
      <c r="G574" t="inlineStr">
        <is>
          <t>British Columbia</t>
        </is>
      </c>
      <c r="H574" t="inlineStr">
        <is>
          <t>Vancouver Lawn Tennis and Badminton Club</t>
        </is>
      </c>
      <c r="I574" t="n">
        <v>35</v>
      </c>
      <c r="J574" s="4" t="n">
        <v>75</v>
      </c>
      <c r="K574" t="inlineStr">
        <is>
          <t>30 / 45</t>
        </is>
      </c>
      <c r="L574" t="inlineStr">
        <is>
          <t>9 / 14</t>
        </is>
      </c>
      <c r="M574" s="5" t="n">
        <v>0.4</v>
      </c>
      <c r="N574" s="5" t="n">
        <v>0.39</v>
      </c>
    </row>
    <row r="575">
      <c r="A575" t="n">
        <v>574</v>
      </c>
      <c r="B575" t="n">
        <v>2013</v>
      </c>
      <c r="C575" t="inlineStr">
        <is>
          <t>Grace Christina Lawrence</t>
        </is>
      </c>
      <c r="D575">
        <f>HYPERLINK("https://ota.tournamentsoftware.com/player-profile/9FEF2F9B-F202-41CF-8B36-42B1520055E0", "Link")</f>
        <v/>
      </c>
      <c r="E575" s="3" t="n">
        <v>57.027</v>
      </c>
      <c r="F575" s="4" t="n">
        <v>9</v>
      </c>
      <c r="G575" t="inlineStr">
        <is>
          <t>Ontario Tennis Association</t>
        </is>
      </c>
      <c r="H575" t="inlineStr">
        <is>
          <t>Toronto Lawn Tennis Club</t>
        </is>
      </c>
      <c r="I575" t="n">
        <v>35.9</v>
      </c>
      <c r="J575" s="4" t="n">
        <v>107</v>
      </c>
      <c r="K575" t="inlineStr">
        <is>
          <t>48 / 59</t>
        </is>
      </c>
      <c r="L575" t="inlineStr">
        <is>
          <t>4 / 4</t>
        </is>
      </c>
      <c r="M575" s="5" t="n">
        <v>0.45</v>
      </c>
      <c r="N575" s="5" t="n">
        <v>0.5</v>
      </c>
    </row>
    <row r="576">
      <c r="A576" t="n">
        <v>575</v>
      </c>
      <c r="B576" t="n">
        <v>2015</v>
      </c>
      <c r="C576" t="inlineStr">
        <is>
          <t>Madeleine Penelope Haun</t>
        </is>
      </c>
      <c r="D576">
        <f>HYPERLINK("https://ota.tournamentsoftware.com/player-profile/6F8A0525-0D8F-4263-8F76-0B8CF4B34D42", "Link")</f>
        <v/>
      </c>
      <c r="E576" s="3" t="n">
        <v>55.31</v>
      </c>
      <c r="F576" s="4" t="n">
        <v>10</v>
      </c>
      <c r="G576" t="inlineStr">
        <is>
          <t>Tennis Alberta</t>
        </is>
      </c>
      <c r="H576" t="inlineStr">
        <is>
          <t>Osten &amp; Victor Alberta Tennis Centre</t>
        </is>
      </c>
      <c r="I576" t="n">
        <v>37.3</v>
      </c>
      <c r="J576" s="4" t="n">
        <v>152</v>
      </c>
      <c r="K576" t="inlineStr">
        <is>
          <t>82 / 70</t>
        </is>
      </c>
      <c r="L576" t="inlineStr">
        <is>
          <t>5 / 8</t>
        </is>
      </c>
      <c r="M576" s="5" t="n">
        <v>0.54</v>
      </c>
      <c r="N576" s="5" t="n">
        <v>0.38</v>
      </c>
    </row>
    <row r="577">
      <c r="A577" t="n">
        <v>576</v>
      </c>
      <c r="B577" t="n">
        <v>2012</v>
      </c>
      <c r="C577" t="inlineStr">
        <is>
          <t>Karmi Singh</t>
        </is>
      </c>
      <c r="D577">
        <f>HYPERLINK("https://ota.tournamentsoftware.com/player-profile/B68DC1C1-BC37-443E-AB03-601E1E7E72A2", "Link")</f>
        <v/>
      </c>
      <c r="E577" s="3" t="n">
        <v>54.499</v>
      </c>
      <c r="F577" s="4" t="n">
        <v>4</v>
      </c>
      <c r="G577" t="inlineStr">
        <is>
          <t>Ontario Tennis Association</t>
        </is>
      </c>
      <c r="H577" t="inlineStr">
        <is>
          <t>Ontario Racquet Club</t>
        </is>
      </c>
      <c r="I577" t="inlineStr">
        <is>
          <t>unavailable</t>
        </is>
      </c>
      <c r="J577" s="4" t="n">
        <v>59</v>
      </c>
      <c r="K577" t="inlineStr">
        <is>
          <t>26 / 33</t>
        </is>
      </c>
      <c r="L577" t="inlineStr">
        <is>
          <t>1 / 5</t>
        </is>
      </c>
      <c r="M577" s="5" t="n">
        <v>0.44</v>
      </c>
      <c r="N577" s="5" t="n">
        <v>0.17</v>
      </c>
    </row>
    <row r="578">
      <c r="A578" t="n">
        <v>577</v>
      </c>
      <c r="B578" t="n">
        <v>2016</v>
      </c>
      <c r="C578" t="inlineStr">
        <is>
          <t>Xirui Ding</t>
        </is>
      </c>
      <c r="D578">
        <f>HYPERLINK("https://ota.tournamentsoftware.com/player-profile/6DC46DF7-2964-4ED2-9C01-D39C773C942F", "Link")</f>
        <v/>
      </c>
      <c r="E578" s="3" t="n">
        <v>54.085</v>
      </c>
      <c r="F578" s="4" t="n">
        <v>7</v>
      </c>
      <c r="G578" t="inlineStr">
        <is>
          <t>Ontario Tennis Association</t>
        </is>
      </c>
      <c r="H578" t="inlineStr">
        <is>
          <t>Valan Tennis Academy</t>
        </is>
      </c>
      <c r="I578" t="n">
        <v>37.5</v>
      </c>
      <c r="J578" s="4" t="n">
        <v>102</v>
      </c>
      <c r="K578" t="inlineStr">
        <is>
          <t>63 / 39</t>
        </is>
      </c>
      <c r="L578" t="inlineStr">
        <is>
          <t>58 / 30</t>
        </is>
      </c>
      <c r="M578" s="5" t="n">
        <v>0.62</v>
      </c>
      <c r="N578" s="5" t="n">
        <v>0.66</v>
      </c>
    </row>
    <row r="579">
      <c r="A579" t="n">
        <v>578</v>
      </c>
      <c r="B579" t="n">
        <v>2015</v>
      </c>
      <c r="C579" t="inlineStr">
        <is>
          <t>Miadel Flores</t>
        </is>
      </c>
      <c r="D579">
        <f>HYPERLINK("https://ota.tournamentsoftware.com/player-profile/19F5DCB9-D4C1-477E-9443-DA276E9A30BC", "Link")</f>
        <v/>
      </c>
      <c r="E579" s="3" t="n">
        <v>53.935</v>
      </c>
      <c r="F579" s="4" t="n">
        <v>5</v>
      </c>
      <c r="G579" t="inlineStr">
        <is>
          <t>Tennis Québec</t>
        </is>
      </c>
      <c r="H579" t="inlineStr">
        <is>
          <t>No Club</t>
        </is>
      </c>
      <c r="I579" t="n">
        <v>40</v>
      </c>
      <c r="J579" s="4" t="n">
        <v>8</v>
      </c>
      <c r="K579" t="inlineStr">
        <is>
          <t>1 / 7</t>
        </is>
      </c>
      <c r="L579" t="inlineStr">
        <is>
          <t>1 / 7</t>
        </is>
      </c>
      <c r="M579" s="5" t="n">
        <v>0.12</v>
      </c>
      <c r="N579" s="5" t="n">
        <v>0.12</v>
      </c>
    </row>
    <row r="580">
      <c r="A580" t="n">
        <v>579</v>
      </c>
      <c r="B580" t="n">
        <v>2016</v>
      </c>
      <c r="C580" t="inlineStr">
        <is>
          <t>Saanvi Sharma</t>
        </is>
      </c>
      <c r="D580">
        <f>HYPERLINK("https://ota.tournamentsoftware.com/player-profile/CE1D7CD8-1C3C-4F68-B568-48AC24E75437", "Link")</f>
        <v/>
      </c>
      <c r="E580" s="3" t="n">
        <v>53.28</v>
      </c>
      <c r="F580" s="4" t="n">
        <v>4</v>
      </c>
      <c r="G580" t="inlineStr">
        <is>
          <t>Tennis Québec</t>
        </is>
      </c>
      <c r="H580" t="inlineStr">
        <is>
          <t>Tennis Ile- des- Soeurs</t>
        </is>
      </c>
      <c r="I580" t="n">
        <v>37</v>
      </c>
      <c r="J580" s="4" t="n">
        <v>88</v>
      </c>
      <c r="K580" t="inlineStr">
        <is>
          <t>43 / 45</t>
        </is>
      </c>
      <c r="L580" t="inlineStr">
        <is>
          <t>12 / 8</t>
        </is>
      </c>
      <c r="M580" s="5" t="n">
        <v>0.49</v>
      </c>
      <c r="N580" s="5" t="n">
        <v>0.6</v>
      </c>
    </row>
    <row r="581">
      <c r="A581" t="n">
        <v>580</v>
      </c>
      <c r="B581" t="n">
        <v>2013</v>
      </c>
      <c r="C581" t="inlineStr">
        <is>
          <t>Julia Soldatov</t>
        </is>
      </c>
      <c r="D581">
        <f>HYPERLINK("https://ota.tournamentsoftware.com/player-profile/9CDD8F0E-2B06-4818-8B32-A0ED95A9E6DF", "Link")</f>
        <v/>
      </c>
      <c r="E581" s="3" t="n">
        <v>53.274</v>
      </c>
      <c r="F581" s="4" t="n">
        <v>5</v>
      </c>
      <c r="G581" t="inlineStr">
        <is>
          <t>Ontario Tennis Association</t>
        </is>
      </c>
      <c r="H581" t="inlineStr">
        <is>
          <t>Newmarket Community Tennis Club</t>
        </is>
      </c>
      <c r="I581" t="n">
        <v>38.7</v>
      </c>
      <c r="J581" s="4" t="n">
        <v>19</v>
      </c>
      <c r="K581" t="inlineStr">
        <is>
          <t>6 / 13</t>
        </is>
      </c>
      <c r="L581" t="inlineStr">
        <is>
          <t>6 / 13</t>
        </is>
      </c>
      <c r="M581" s="5" t="n">
        <v>0.32</v>
      </c>
      <c r="N581" s="5" t="n">
        <v>0.32</v>
      </c>
    </row>
    <row r="582">
      <c r="A582" t="n">
        <v>581</v>
      </c>
      <c r="B582" t="n">
        <v>2015</v>
      </c>
      <c r="C582" t="inlineStr">
        <is>
          <t>Dania Ahmed</t>
        </is>
      </c>
      <c r="D582">
        <f>HYPERLINK("https://ota.tournamentsoftware.com/player-profile/3A4EF5D7-2C40-4E2A-A979-D3231C03A93C", "Link")</f>
        <v/>
      </c>
      <c r="E582" s="3" t="n">
        <v>53.149</v>
      </c>
      <c r="F582" s="4" t="n">
        <v>12</v>
      </c>
      <c r="G582" t="inlineStr">
        <is>
          <t>Ontario Tennis Association</t>
        </is>
      </c>
      <c r="H582" t="inlineStr">
        <is>
          <t>Waterloo Tennis Club</t>
        </is>
      </c>
      <c r="I582" t="n">
        <v>37.1</v>
      </c>
      <c r="J582" s="4" t="n">
        <v>84</v>
      </c>
      <c r="K582" t="inlineStr">
        <is>
          <t>50 / 34</t>
        </is>
      </c>
      <c r="L582" t="inlineStr">
        <is>
          <t>3 / 9</t>
        </is>
      </c>
      <c r="M582" s="5" t="n">
        <v>0.6</v>
      </c>
      <c r="N582" s="5" t="n">
        <v>0.25</v>
      </c>
    </row>
    <row r="583">
      <c r="A583" t="n">
        <v>582</v>
      </c>
      <c r="B583" t="n">
        <v>2014</v>
      </c>
      <c r="C583" t="inlineStr">
        <is>
          <t>Julia Jzmati</t>
        </is>
      </c>
      <c r="D583">
        <f>HYPERLINK("https://ota.tournamentsoftware.com/player-profile/2AADF196-C892-43B1-9128-5338F8D87E95", "Link")</f>
        <v/>
      </c>
      <c r="E583" s="3" t="n">
        <v>52.454</v>
      </c>
      <c r="F583" s="4" t="n">
        <v>11</v>
      </c>
      <c r="G583" t="inlineStr">
        <is>
          <t>Ontario Tennis Association</t>
        </is>
      </c>
      <c r="H583" t="inlineStr">
        <is>
          <t>Rideau Sports Centre</t>
        </is>
      </c>
      <c r="I583" t="n">
        <v>39.5</v>
      </c>
      <c r="J583" s="4" t="n">
        <v>29</v>
      </c>
      <c r="K583" t="inlineStr">
        <is>
          <t>5 / 24</t>
        </is>
      </c>
      <c r="L583" t="inlineStr">
        <is>
          <t>1 / 9</t>
        </is>
      </c>
      <c r="M583" s="5" t="n">
        <v>0.17</v>
      </c>
      <c r="N583" s="5" t="n">
        <v>0.1</v>
      </c>
    </row>
    <row r="584">
      <c r="A584" t="n">
        <v>583</v>
      </c>
      <c r="B584" t="n">
        <v>2014</v>
      </c>
      <c r="C584" t="inlineStr">
        <is>
          <t>Shaghun Dhillon</t>
        </is>
      </c>
      <c r="D584">
        <f>HYPERLINK("https://ota.tournamentsoftware.com/player-profile/97B5DEDE-AA93-468B-902A-462AB9B42432", "Link")</f>
        <v/>
      </c>
      <c r="E584" s="3" t="n">
        <v>52.409</v>
      </c>
      <c r="F584" s="4" t="n">
        <v>11</v>
      </c>
      <c r="G584" t="inlineStr">
        <is>
          <t>Ontario Tennis Association</t>
        </is>
      </c>
      <c r="H584" t="inlineStr">
        <is>
          <t>Premier Racquet Club</t>
        </is>
      </c>
      <c r="I584" t="n">
        <v>37.2</v>
      </c>
      <c r="J584" s="4" t="n">
        <v>54</v>
      </c>
      <c r="K584" t="inlineStr">
        <is>
          <t>30 / 24</t>
        </is>
      </c>
      <c r="L584" t="inlineStr">
        <is>
          <t>24 / 18</t>
        </is>
      </c>
      <c r="M584" s="5" t="n">
        <v>0.5600000000000001</v>
      </c>
      <c r="N584" s="5" t="n">
        <v>0.57</v>
      </c>
    </row>
    <row r="585">
      <c r="A585" t="n">
        <v>584</v>
      </c>
      <c r="B585" t="n">
        <v>2014</v>
      </c>
      <c r="C585" t="inlineStr">
        <is>
          <t>Ann Ha</t>
        </is>
      </c>
      <c r="D585">
        <f>HYPERLINK("https://ota.tournamentsoftware.com/player-profile/139E73DD-882F-4509-9B0C-BB790DA8399D", "Link")</f>
        <v/>
      </c>
      <c r="E585" s="3" t="n">
        <v>50.846</v>
      </c>
      <c r="F585" s="4" t="n">
        <v>3</v>
      </c>
      <c r="G585" t="inlineStr">
        <is>
          <t>Tennis Saskatchewan</t>
        </is>
      </c>
      <c r="H585" t="inlineStr">
        <is>
          <t>Lakewood Indoor Tennis Centre</t>
        </is>
      </c>
      <c r="I585" t="inlineStr">
        <is>
          <t>unavailable</t>
        </is>
      </c>
      <c r="J585" s="4" t="n">
        <v>9</v>
      </c>
      <c r="K585" t="inlineStr">
        <is>
          <t>1 / 8</t>
        </is>
      </c>
      <c r="L585" t="inlineStr">
        <is>
          <t>1 / 8</t>
        </is>
      </c>
      <c r="M585" s="5" t="n">
        <v>0.11</v>
      </c>
      <c r="N585" s="5" t="n">
        <v>0.11</v>
      </c>
    </row>
    <row r="586">
      <c r="A586" t="n">
        <v>585</v>
      </c>
      <c r="B586" t="n">
        <v>2012</v>
      </c>
      <c r="C586" t="inlineStr">
        <is>
          <t>Elise Chan</t>
        </is>
      </c>
      <c r="D586">
        <f>HYPERLINK("https://ota.tournamentsoftware.com/player-profile/74C14A51-A560-4368-85E6-96F13264726F", "Link")</f>
        <v/>
      </c>
      <c r="E586" s="3" t="n">
        <v>50.266</v>
      </c>
      <c r="F586" s="4" t="n">
        <v>4</v>
      </c>
      <c r="G586" t="inlineStr">
        <is>
          <t>Ontario Tennis Association</t>
        </is>
      </c>
      <c r="H586" t="inlineStr">
        <is>
          <t>Rideau Sports Centre</t>
        </is>
      </c>
      <c r="I586" t="n">
        <v>38.4</v>
      </c>
      <c r="J586" s="4" t="n">
        <v>3</v>
      </c>
      <c r="K586" t="inlineStr">
        <is>
          <t>0 / 3</t>
        </is>
      </c>
      <c r="L586" t="inlineStr">
        <is>
          <t>0 / 3</t>
        </is>
      </c>
      <c r="M586" s="5" t="n">
        <v>0</v>
      </c>
      <c r="N586" s="5" t="n">
        <v>0</v>
      </c>
    </row>
    <row r="587">
      <c r="A587" t="n">
        <v>586</v>
      </c>
      <c r="B587" t="n">
        <v>2014</v>
      </c>
      <c r="C587" t="inlineStr">
        <is>
          <t>Sofia Morisette</t>
        </is>
      </c>
      <c r="D587">
        <f>HYPERLINK("https://ota.tournamentsoftware.com/player-profile/F99611AC-3485-4574-897D-68151916B40D", "Link")</f>
        <v/>
      </c>
      <c r="E587" s="3" t="n">
        <v>50.011</v>
      </c>
      <c r="F587" s="4" t="n">
        <v>4</v>
      </c>
      <c r="G587" t="inlineStr">
        <is>
          <t>British Columbia</t>
        </is>
      </c>
      <c r="H587" t="inlineStr">
        <is>
          <t>Tennis BC Hub @ Richmond</t>
        </is>
      </c>
      <c r="I587" t="n">
        <v>35.8</v>
      </c>
      <c r="J587" s="4" t="n">
        <v>128</v>
      </c>
      <c r="K587" t="inlineStr">
        <is>
          <t>51 / 77</t>
        </is>
      </c>
      <c r="L587" t="inlineStr">
        <is>
          <t>2 / 6</t>
        </is>
      </c>
      <c r="M587" s="5" t="n">
        <v>0.4</v>
      </c>
      <c r="N587" s="5" t="n">
        <v>0.25</v>
      </c>
    </row>
    <row r="588">
      <c r="A588" t="n">
        <v>587</v>
      </c>
      <c r="B588" t="n">
        <v>2014</v>
      </c>
      <c r="C588" t="inlineStr">
        <is>
          <t>Emma Ghantous</t>
        </is>
      </c>
      <c r="D588">
        <f>HYPERLINK("https://ota.tournamentsoftware.com/player-profile/0EA6BF71-F3BF-4EA7-95F6-B80CD551F4FB", "Link")</f>
        <v/>
      </c>
      <c r="E588" s="3" t="n">
        <v>49.68</v>
      </c>
      <c r="F588" s="4" t="n">
        <v>2</v>
      </c>
      <c r="G588" t="inlineStr">
        <is>
          <t>Tennis Québec</t>
        </is>
      </c>
      <c r="H588" t="inlineStr">
        <is>
          <t>Tennis 13</t>
        </is>
      </c>
      <c r="I588" t="n">
        <v>33.4</v>
      </c>
      <c r="J588" s="4" t="n">
        <v>126</v>
      </c>
      <c r="K588" t="inlineStr">
        <is>
          <t>77 / 49</t>
        </is>
      </c>
      <c r="L588" t="inlineStr">
        <is>
          <t>0 / 0</t>
        </is>
      </c>
      <c r="M588" s="5" t="n">
        <v>0.61</v>
      </c>
      <c r="N588" s="5" t="n">
        <v>0</v>
      </c>
    </row>
    <row r="589">
      <c r="A589" t="n">
        <v>588</v>
      </c>
      <c r="B589" t="n">
        <v>2015</v>
      </c>
      <c r="C589" t="inlineStr">
        <is>
          <t>Ziba Forooghian</t>
        </is>
      </c>
      <c r="D589">
        <f>HYPERLINK("https://ota.tournamentsoftware.com/player-profile/F7878057-CB20-46E1-B220-553040C8AC48", "Link")</f>
        <v/>
      </c>
      <c r="E589" s="3" t="n">
        <v>49.606</v>
      </c>
      <c r="F589" s="4" t="n">
        <v>18</v>
      </c>
      <c r="G589" t="inlineStr">
        <is>
          <t>British Columbia</t>
        </is>
      </c>
      <c r="H589" t="inlineStr">
        <is>
          <t>Arbutus Club</t>
        </is>
      </c>
      <c r="I589" t="n">
        <v>37.1</v>
      </c>
      <c r="J589" s="4" t="n">
        <v>79</v>
      </c>
      <c r="K589" t="inlineStr">
        <is>
          <t>26 / 53</t>
        </is>
      </c>
      <c r="L589" t="inlineStr">
        <is>
          <t>13 / 30</t>
        </is>
      </c>
      <c r="M589" s="5" t="n">
        <v>0.33</v>
      </c>
      <c r="N589" s="5" t="n">
        <v>0.3</v>
      </c>
    </row>
    <row r="590">
      <c r="A590" t="n">
        <v>589</v>
      </c>
      <c r="B590" t="n">
        <v>2015</v>
      </c>
      <c r="C590" t="inlineStr">
        <is>
          <t>Sofia Kiselenko</t>
        </is>
      </c>
      <c r="D590">
        <f>HYPERLINK("https://ota.tournamentsoftware.com/player-profile/8164E8EB-17A8-4270-A12B-31EFF18C9343", "Link")</f>
        <v/>
      </c>
      <c r="E590" s="3" t="n">
        <v>49.342</v>
      </c>
      <c r="F590" s="4" t="n">
        <v>16</v>
      </c>
      <c r="G590" t="inlineStr">
        <is>
          <t>Tennis Alberta</t>
        </is>
      </c>
      <c r="H590" t="inlineStr">
        <is>
          <t>Osten &amp; Victor Alberta Tennis Centre</t>
        </is>
      </c>
      <c r="I590" t="n">
        <v>37</v>
      </c>
      <c r="J590" s="4" t="n">
        <v>133</v>
      </c>
      <c r="K590" t="inlineStr">
        <is>
          <t>44 / 89</t>
        </is>
      </c>
      <c r="L590" t="inlineStr">
        <is>
          <t>12 / 15</t>
        </is>
      </c>
      <c r="M590" s="5" t="n">
        <v>0.33</v>
      </c>
      <c r="N590" s="5" t="n">
        <v>0.44</v>
      </c>
    </row>
    <row r="591">
      <c r="A591" t="n">
        <v>590</v>
      </c>
      <c r="B591" t="n">
        <v>2016</v>
      </c>
      <c r="C591" t="inlineStr">
        <is>
          <t>Olivia Yueer Hao</t>
        </is>
      </c>
      <c r="D591">
        <f>HYPERLINK("https://ota.tournamentsoftware.com/player-profile/61C0E090-4E32-499F-86FE-FFD674DD6128", "Link")</f>
        <v/>
      </c>
      <c r="E591" s="3" t="n">
        <v>49.177</v>
      </c>
      <c r="F591" s="4" t="n">
        <v>8</v>
      </c>
      <c r="G591" t="inlineStr">
        <is>
          <t>Ontario Tennis Association</t>
        </is>
      </c>
      <c r="H591" t="inlineStr">
        <is>
          <t>Valan Tennis Academy</t>
        </is>
      </c>
      <c r="I591" t="n">
        <v>37.5</v>
      </c>
      <c r="J591" s="4" t="n">
        <v>71</v>
      </c>
      <c r="K591" t="inlineStr">
        <is>
          <t>33 / 38</t>
        </is>
      </c>
      <c r="L591" t="inlineStr">
        <is>
          <t>29 / 23</t>
        </is>
      </c>
      <c r="M591" s="5" t="n">
        <v>0.46</v>
      </c>
      <c r="N591" s="5" t="n">
        <v>0.5600000000000001</v>
      </c>
    </row>
    <row r="592">
      <c r="A592" t="n">
        <v>591</v>
      </c>
      <c r="B592" t="n">
        <v>2017</v>
      </c>
      <c r="C592" t="inlineStr">
        <is>
          <t>Vivian Spurrell</t>
        </is>
      </c>
      <c r="D592">
        <f>HYPERLINK("https://ota.tournamentsoftware.com/player-profile/9CFE670B-9D8C-4BC2-8DDB-1C78F17AE1FF", "Link")</f>
        <v/>
      </c>
      <c r="E592" s="3" t="n">
        <v>49.126</v>
      </c>
      <c r="F592" s="4" t="n">
        <v>3</v>
      </c>
      <c r="G592" t="inlineStr">
        <is>
          <t>Tennis Newfoundland &amp; Labrador</t>
        </is>
      </c>
      <c r="H592" t="inlineStr">
        <is>
          <t>Greenbelt Tennis Club</t>
        </is>
      </c>
      <c r="I592" t="inlineStr">
        <is>
          <t>unavailable</t>
        </is>
      </c>
      <c r="J592" s="4" t="n">
        <v>20</v>
      </c>
      <c r="K592" t="inlineStr">
        <is>
          <t>15 / 5</t>
        </is>
      </c>
      <c r="L592" t="inlineStr">
        <is>
          <t>11 / 3</t>
        </is>
      </c>
      <c r="M592" s="5" t="n">
        <v>0.75</v>
      </c>
      <c r="N592" s="5" t="n">
        <v>0.79</v>
      </c>
    </row>
    <row r="593">
      <c r="A593" t="n">
        <v>592</v>
      </c>
      <c r="B593" t="n">
        <v>2016</v>
      </c>
      <c r="C593" t="inlineStr">
        <is>
          <t>Ziqi Yu</t>
        </is>
      </c>
      <c r="D593">
        <f>HYPERLINK("https://ota.tournamentsoftware.com/player-profile/89FEB2A7-669B-4D40-A67D-54016F42DA82", "Link")</f>
        <v/>
      </c>
      <c r="E593" s="3" t="n">
        <v>48.859</v>
      </c>
      <c r="F593" s="4" t="n">
        <v>16</v>
      </c>
      <c r="G593" t="inlineStr">
        <is>
          <t>Ontario Tennis Association</t>
        </is>
      </c>
      <c r="H593" t="inlineStr">
        <is>
          <t>Blackmore Tennis Club</t>
        </is>
      </c>
      <c r="I593" t="n">
        <v>34.5</v>
      </c>
      <c r="J593" s="4" t="n">
        <v>95</v>
      </c>
      <c r="K593" t="inlineStr">
        <is>
          <t>60 / 35</t>
        </is>
      </c>
      <c r="L593" t="inlineStr">
        <is>
          <t>24 / 16</t>
        </is>
      </c>
      <c r="M593" s="5" t="n">
        <v>0.63</v>
      </c>
      <c r="N593" s="5" t="n">
        <v>0.6</v>
      </c>
    </row>
    <row r="594">
      <c r="A594" t="n">
        <v>593</v>
      </c>
      <c r="B594" t="n">
        <v>2014</v>
      </c>
      <c r="C594" t="inlineStr">
        <is>
          <t>Mathilde Langis</t>
        </is>
      </c>
      <c r="D594">
        <f>HYPERLINK("https://ota.tournamentsoftware.com/player-profile/39929D79-FF7E-4461-9561-38C5D88AE666", "Link")</f>
        <v/>
      </c>
      <c r="E594" s="3" t="n">
        <v>48.716</v>
      </c>
      <c r="F594" s="4" t="n">
        <v>5</v>
      </c>
      <c r="G594" t="inlineStr">
        <is>
          <t>Tennis Québec</t>
        </is>
      </c>
      <c r="H594" t="inlineStr">
        <is>
          <t>Académie de tennis UNI(T)</t>
        </is>
      </c>
      <c r="I594" t="n">
        <v>36.2</v>
      </c>
      <c r="J594" s="4" t="n">
        <v>72</v>
      </c>
      <c r="K594" t="inlineStr">
        <is>
          <t>31 / 41</t>
        </is>
      </c>
      <c r="L594" t="inlineStr">
        <is>
          <t>1 / 2</t>
        </is>
      </c>
      <c r="M594" s="5" t="n">
        <v>0.43</v>
      </c>
      <c r="N594" s="5" t="n">
        <v>0.33</v>
      </c>
    </row>
    <row r="595">
      <c r="A595" t="n">
        <v>594</v>
      </c>
      <c r="B595" t="n">
        <v>2015</v>
      </c>
      <c r="C595" t="inlineStr">
        <is>
          <t>Scarlett Chan</t>
        </is>
      </c>
      <c r="D595">
        <f>HYPERLINK("https://ota.tournamentsoftware.com/player-profile/FC173056-E1A0-4194-9722-D15B8524262F", "Link")</f>
        <v/>
      </c>
      <c r="E595" s="3" t="n">
        <v>48.556</v>
      </c>
      <c r="F595" s="4" t="n">
        <v>6</v>
      </c>
      <c r="G595" t="inlineStr">
        <is>
          <t>Ontario Tennis Association</t>
        </is>
      </c>
      <c r="H595" t="inlineStr">
        <is>
          <t>Mayfair East Racquet Club</t>
        </is>
      </c>
      <c r="I595" t="n">
        <v>36.7</v>
      </c>
      <c r="J595" s="4" t="n">
        <v>81</v>
      </c>
      <c r="K595" t="inlineStr">
        <is>
          <t>48 / 33</t>
        </is>
      </c>
      <c r="L595" t="inlineStr">
        <is>
          <t>4 / 7</t>
        </is>
      </c>
      <c r="M595" s="5" t="n">
        <v>0.59</v>
      </c>
      <c r="N595" s="5" t="n">
        <v>0.36</v>
      </c>
    </row>
    <row r="596">
      <c r="A596" t="n">
        <v>595</v>
      </c>
      <c r="B596" t="n">
        <v>2015</v>
      </c>
      <c r="C596" t="inlineStr">
        <is>
          <t>Aubrey Baldinelli</t>
        </is>
      </c>
      <c r="D596">
        <f>HYPERLINK("https://ota.tournamentsoftware.com/player-profile/4C52D449-95CA-49A9-B524-B01117EAD86C", "Link")</f>
        <v/>
      </c>
      <c r="E596" s="3" t="n">
        <v>48.55</v>
      </c>
      <c r="F596" s="4" t="n">
        <v>10</v>
      </c>
      <c r="G596" t="inlineStr">
        <is>
          <t>Ontario Tennis Association</t>
        </is>
      </c>
      <c r="H596" t="inlineStr">
        <is>
          <t>Youngs Sportsplex</t>
        </is>
      </c>
      <c r="I596" t="n">
        <v>37.3</v>
      </c>
      <c r="J596" s="4" t="n">
        <v>43</v>
      </c>
      <c r="K596" t="inlineStr">
        <is>
          <t>22 / 21</t>
        </is>
      </c>
      <c r="L596" t="inlineStr">
        <is>
          <t>5 / 13</t>
        </is>
      </c>
      <c r="M596" s="5" t="n">
        <v>0.51</v>
      </c>
      <c r="N596" s="5" t="n">
        <v>0.28</v>
      </c>
    </row>
    <row r="597">
      <c r="A597" t="n">
        <v>596</v>
      </c>
      <c r="B597" t="n">
        <v>2014</v>
      </c>
      <c r="C597" t="inlineStr">
        <is>
          <t>Tess Marie Trenholm</t>
        </is>
      </c>
      <c r="D597">
        <f>HYPERLINK("https://ota.tournamentsoftware.com/player-profile/37DD9223-BE00-45F7-9DE9-3EA92F74CD7B", "Link")</f>
        <v/>
      </c>
      <c r="E597" s="3" t="n">
        <v>48.421</v>
      </c>
      <c r="F597" s="4" t="n">
        <v>15</v>
      </c>
      <c r="G597" t="inlineStr">
        <is>
          <t>Ontario Tennis Association</t>
        </is>
      </c>
      <c r="H597" t="inlineStr">
        <is>
          <t>Ontario Racquet Club</t>
        </is>
      </c>
      <c r="I597" t="n">
        <v>38.7</v>
      </c>
      <c r="J597" s="4" t="n">
        <v>92</v>
      </c>
      <c r="K597" t="inlineStr">
        <is>
          <t>25 / 67</t>
        </is>
      </c>
      <c r="L597" t="inlineStr">
        <is>
          <t>6 / 12</t>
        </is>
      </c>
      <c r="M597" s="5" t="n">
        <v>0.27</v>
      </c>
      <c r="N597" s="5" t="n">
        <v>0.33</v>
      </c>
    </row>
    <row r="598">
      <c r="A598" t="n">
        <v>597</v>
      </c>
      <c r="B598" t="n">
        <v>2013</v>
      </c>
      <c r="C598" t="inlineStr">
        <is>
          <t>Gloria Yang</t>
        </is>
      </c>
      <c r="D598">
        <f>HYPERLINK("https://ota.tournamentsoftware.com/player-profile/93D03535-4A4B-4898-A531-8F0DB9BA8BD8", "Link")</f>
        <v/>
      </c>
      <c r="E598" s="3" t="n">
        <v>48.153</v>
      </c>
      <c r="F598" s="4" t="n">
        <v>2</v>
      </c>
      <c r="G598" t="inlineStr">
        <is>
          <t>Tennis Prince Edward Island</t>
        </is>
      </c>
      <c r="H598" t="inlineStr">
        <is>
          <t>Royalty Racquet Centre</t>
        </is>
      </c>
      <c r="I598" t="inlineStr">
        <is>
          <t>unavailable</t>
        </is>
      </c>
      <c r="J598" s="4" t="n">
        <v>21</v>
      </c>
      <c r="K598" t="inlineStr">
        <is>
          <t>9 / 12</t>
        </is>
      </c>
      <c r="L598" t="inlineStr">
        <is>
          <t>5 / 8</t>
        </is>
      </c>
      <c r="M598" s="5" t="n">
        <v>0.43</v>
      </c>
      <c r="N598" s="5" t="n">
        <v>0.38</v>
      </c>
    </row>
    <row r="599">
      <c r="A599" t="n">
        <v>598</v>
      </c>
      <c r="B599" t="n">
        <v>2012</v>
      </c>
      <c r="C599" t="inlineStr">
        <is>
          <t>Nora Skogen</t>
        </is>
      </c>
      <c r="D599">
        <f>HYPERLINK("https://ota.tournamentsoftware.com/player-profile/84E488EE-ABCE-4936-AC77-DCF33DA7BE52", "Link")</f>
        <v/>
      </c>
      <c r="E599" s="3" t="n">
        <v>47.579</v>
      </c>
      <c r="F599" s="4" t="n">
        <v>2</v>
      </c>
      <c r="G599" t="inlineStr">
        <is>
          <t>British Columbia</t>
        </is>
      </c>
      <c r="H599" t="inlineStr">
        <is>
          <t>Hollyburn Country Club</t>
        </is>
      </c>
      <c r="I599" t="n">
        <v>32.3</v>
      </c>
      <c r="J599" s="4" t="n">
        <v>164</v>
      </c>
      <c r="K599" t="inlineStr">
        <is>
          <t>79 / 85</t>
        </is>
      </c>
      <c r="L599" t="inlineStr">
        <is>
          <t>1 / 1</t>
        </is>
      </c>
      <c r="M599" s="5" t="n">
        <v>0.48</v>
      </c>
      <c r="N599" s="5" t="n">
        <v>0.5</v>
      </c>
    </row>
    <row r="600">
      <c r="A600" t="n">
        <v>599</v>
      </c>
      <c r="B600" t="n">
        <v>2016</v>
      </c>
      <c r="C600" t="inlineStr">
        <is>
          <t>Chloe Garikimukkula</t>
        </is>
      </c>
      <c r="D600">
        <f>HYPERLINK("https://ota.tournamentsoftware.com/player-profile/8B630DA5-F61E-4159-9316-7EA463790908", "Link")</f>
        <v/>
      </c>
      <c r="E600" s="3" t="n">
        <v>47.448</v>
      </c>
      <c r="F600" s="4" t="n">
        <v>10</v>
      </c>
      <c r="G600" t="inlineStr">
        <is>
          <t>Ontario Tennis Association</t>
        </is>
      </c>
      <c r="H600" t="inlineStr">
        <is>
          <t>Burlington Tennis Club</t>
        </is>
      </c>
      <c r="I600" t="n">
        <v>35.9</v>
      </c>
      <c r="J600" s="4" t="n">
        <v>99</v>
      </c>
      <c r="K600" t="inlineStr">
        <is>
          <t>58 / 41</t>
        </is>
      </c>
      <c r="L600" t="inlineStr">
        <is>
          <t>39 / 26</t>
        </is>
      </c>
      <c r="M600" s="5" t="n">
        <v>0.59</v>
      </c>
      <c r="N600" s="5" t="n">
        <v>0.6</v>
      </c>
    </row>
    <row r="601">
      <c r="A601" t="n">
        <v>600</v>
      </c>
      <c r="B601" t="n">
        <v>2013</v>
      </c>
      <c r="C601" t="inlineStr">
        <is>
          <t>Naia Luke</t>
        </is>
      </c>
      <c r="D601">
        <f>HYPERLINK("https://ota.tournamentsoftware.com/player-profile/E8620DEC-5B72-4D85-9171-1F914B105E62", "Link")</f>
        <v/>
      </c>
      <c r="E601" s="3" t="n">
        <v>47.109</v>
      </c>
      <c r="F601" s="4" t="n">
        <v>5</v>
      </c>
      <c r="G601" t="inlineStr">
        <is>
          <t>British Columbia</t>
        </is>
      </c>
      <c r="H601" t="inlineStr">
        <is>
          <t>Jericho Tennis Club</t>
        </is>
      </c>
      <c r="I601" t="n">
        <v>39.7</v>
      </c>
      <c r="J601" s="4" t="n">
        <v>43</v>
      </c>
      <c r="K601" t="inlineStr">
        <is>
          <t>9 / 34</t>
        </is>
      </c>
      <c r="L601" t="inlineStr">
        <is>
          <t>0 / 9</t>
        </is>
      </c>
      <c r="M601" s="5" t="n">
        <v>0.21</v>
      </c>
      <c r="N601" s="5" t="n">
        <v>0</v>
      </c>
    </row>
    <row r="602">
      <c r="A602" t="n">
        <v>601</v>
      </c>
      <c r="B602" t="n">
        <v>2013</v>
      </c>
      <c r="C602" t="inlineStr">
        <is>
          <t>Mengge(Maya) Xu</t>
        </is>
      </c>
      <c r="D602">
        <f>HYPERLINK("https://ota.tournamentsoftware.com/player-profile/9CD6D408-1A72-4E0B-A9C9-DD675B785873", "Link")</f>
        <v/>
      </c>
      <c r="E602" s="3" t="n">
        <v>46.678</v>
      </c>
      <c r="F602" s="4" t="n">
        <v>7</v>
      </c>
      <c r="G602" t="inlineStr">
        <is>
          <t>Ontario Tennis Association</t>
        </is>
      </c>
      <c r="H602" t="inlineStr">
        <is>
          <t>Markham Tennis Club</t>
        </is>
      </c>
      <c r="I602" t="n">
        <v>39.2</v>
      </c>
      <c r="J602" s="4" t="n">
        <v>29</v>
      </c>
      <c r="K602" t="inlineStr">
        <is>
          <t>10 / 19</t>
        </is>
      </c>
      <c r="L602" t="inlineStr">
        <is>
          <t>5 / 7</t>
        </is>
      </c>
      <c r="M602" s="5" t="n">
        <v>0.34</v>
      </c>
      <c r="N602" s="5" t="n">
        <v>0.42</v>
      </c>
    </row>
    <row r="603">
      <c r="A603" t="n">
        <v>602</v>
      </c>
      <c r="B603" t="n">
        <v>2014</v>
      </c>
      <c r="C603" t="inlineStr">
        <is>
          <t>Charlotte Adeline Ratchford</t>
        </is>
      </c>
      <c r="D603">
        <f>HYPERLINK("https://ota.tournamentsoftware.com/player-profile/552DF1FC-65F6-48FE-8B31-884C1DC273DB", "Link")</f>
        <v/>
      </c>
      <c r="E603" s="3" t="n">
        <v>45.516</v>
      </c>
      <c r="F603" s="4" t="n">
        <v>16</v>
      </c>
      <c r="G603" t="inlineStr">
        <is>
          <t>British Columbia</t>
        </is>
      </c>
      <c r="H603" t="inlineStr">
        <is>
          <t>Jericho Tennis Club</t>
        </is>
      </c>
      <c r="I603" t="n">
        <v>37.1</v>
      </c>
      <c r="J603" s="4" t="n">
        <v>43</v>
      </c>
      <c r="K603" t="inlineStr">
        <is>
          <t>14 / 29</t>
        </is>
      </c>
      <c r="L603" t="inlineStr">
        <is>
          <t>12 / 24</t>
        </is>
      </c>
      <c r="M603" s="5" t="n">
        <v>0.33</v>
      </c>
      <c r="N603" s="5" t="n">
        <v>0.33</v>
      </c>
    </row>
    <row r="604">
      <c r="A604" t="n">
        <v>603</v>
      </c>
      <c r="B604" t="n">
        <v>2017</v>
      </c>
      <c r="C604" t="inlineStr">
        <is>
          <t>Arianna Fernanda Chacon</t>
        </is>
      </c>
      <c r="D604">
        <f>HYPERLINK("https://ota.tournamentsoftware.com/player-profile/3B36D99D-C9E7-48A2-BC06-6AD3725AC12E", "Link")</f>
        <v/>
      </c>
      <c r="E604" s="3" t="n">
        <v>45.016</v>
      </c>
      <c r="F604" s="4" t="n">
        <v>15</v>
      </c>
      <c r="G604" t="inlineStr">
        <is>
          <t>Tennis Alberta</t>
        </is>
      </c>
      <c r="H604" t="inlineStr">
        <is>
          <t>Aforza</t>
        </is>
      </c>
      <c r="I604" t="n">
        <v>34.8</v>
      </c>
      <c r="J604" s="4" t="n">
        <v>201</v>
      </c>
      <c r="K604" t="inlineStr">
        <is>
          <t>106 / 95</t>
        </is>
      </c>
      <c r="L604" t="inlineStr">
        <is>
          <t>33 / 19</t>
        </is>
      </c>
      <c r="M604" s="5" t="n">
        <v>0.53</v>
      </c>
      <c r="N604" s="5" t="n">
        <v>0.63</v>
      </c>
    </row>
    <row r="605">
      <c r="A605" t="n">
        <v>604</v>
      </c>
      <c r="B605" t="n">
        <v>2015</v>
      </c>
      <c r="C605" t="inlineStr">
        <is>
          <t>Kinsley Jade Lin</t>
        </is>
      </c>
      <c r="D605">
        <f>HYPERLINK("https://ota.tournamentsoftware.com/player-profile/1FF4FA2D-412B-4E4A-AE72-948C7BC68D73", "Link")</f>
        <v/>
      </c>
      <c r="E605" s="3" t="n">
        <v>44.956</v>
      </c>
      <c r="F605" s="4" t="n">
        <v>11</v>
      </c>
      <c r="G605" t="inlineStr">
        <is>
          <t>Ontario Tennis Association</t>
        </is>
      </c>
      <c r="H605" t="inlineStr">
        <is>
          <t>The Tennis School</t>
        </is>
      </c>
      <c r="I605" t="n">
        <v>37.5</v>
      </c>
      <c r="J605" s="4" t="n">
        <v>94</v>
      </c>
      <c r="K605" t="inlineStr">
        <is>
          <t>40 / 54</t>
        </is>
      </c>
      <c r="L605" t="inlineStr">
        <is>
          <t>5 / 11</t>
        </is>
      </c>
      <c r="M605" s="5" t="n">
        <v>0.43</v>
      </c>
      <c r="N605" s="5" t="n">
        <v>0.31</v>
      </c>
    </row>
    <row r="606">
      <c r="A606" t="n">
        <v>605</v>
      </c>
      <c r="B606" t="n">
        <v>2015</v>
      </c>
      <c r="C606" t="inlineStr">
        <is>
          <t>LILLIAN LI</t>
        </is>
      </c>
      <c r="D606">
        <f>HYPERLINK("https://ota.tournamentsoftware.com/player-profile/6381808D-332A-4694-9A60-DD4214A2A2F0", "Link")</f>
        <v/>
      </c>
      <c r="E606" s="3" t="n">
        <v>44.713</v>
      </c>
      <c r="F606" s="4" t="n">
        <v>8</v>
      </c>
      <c r="G606" t="inlineStr">
        <is>
          <t>Ontario Tennis Association</t>
        </is>
      </c>
      <c r="H606" t="inlineStr">
        <is>
          <t>Rideau Sports Centre</t>
        </is>
      </c>
      <c r="I606" t="n">
        <v>39.7</v>
      </c>
      <c r="J606" s="4" t="n">
        <v>19</v>
      </c>
      <c r="K606" t="inlineStr">
        <is>
          <t>4 / 15</t>
        </is>
      </c>
      <c r="L606" t="inlineStr">
        <is>
          <t>0 / 8</t>
        </is>
      </c>
      <c r="M606" s="5" t="n">
        <v>0.21</v>
      </c>
      <c r="N606" s="5" t="n">
        <v>0</v>
      </c>
    </row>
    <row r="607">
      <c r="A607" t="n">
        <v>606</v>
      </c>
      <c r="B607" t="n">
        <v>2015</v>
      </c>
      <c r="C607" t="inlineStr">
        <is>
          <t>Alexia Lionis</t>
        </is>
      </c>
      <c r="D607">
        <f>HYPERLINK("https://ota.tournamentsoftware.com/player-profile/C2079715-4A8A-4F16-A5F2-10633FCB08AA", "Link")</f>
        <v/>
      </c>
      <c r="E607" s="3" t="n">
        <v>44.665</v>
      </c>
      <c r="F607" s="4" t="n">
        <v>5</v>
      </c>
      <c r="G607" t="inlineStr">
        <is>
          <t>Ontario Tennis Association</t>
        </is>
      </c>
      <c r="H607" t="inlineStr">
        <is>
          <t>Ontario Racquet Club</t>
        </is>
      </c>
      <c r="I607" t="inlineStr">
        <is>
          <t>unavailable</t>
        </is>
      </c>
      <c r="J607" s="4" t="n">
        <v>76</v>
      </c>
      <c r="K607" t="inlineStr">
        <is>
          <t>34 / 42</t>
        </is>
      </c>
      <c r="L607" t="inlineStr">
        <is>
          <t>5 / 8</t>
        </is>
      </c>
      <c r="M607" s="5" t="n">
        <v>0.45</v>
      </c>
      <c r="N607" s="5" t="n">
        <v>0.38</v>
      </c>
    </row>
    <row r="608">
      <c r="A608" t="n">
        <v>607</v>
      </c>
      <c r="B608" t="n">
        <v>2015</v>
      </c>
      <c r="C608" t="inlineStr">
        <is>
          <t>Anna Bella Grozdanovski</t>
        </is>
      </c>
      <c r="D608">
        <f>HYPERLINK("https://ota.tournamentsoftware.com/player-profile/C1BD78E7-5BB0-4BD0-9D53-DA02A232F8A0", "Link")</f>
        <v/>
      </c>
      <c r="E608" s="3" t="n">
        <v>44.028</v>
      </c>
      <c r="F608" s="4" t="n">
        <v>5</v>
      </c>
      <c r="G608" t="inlineStr">
        <is>
          <t>Ontario Tennis Association</t>
        </is>
      </c>
      <c r="H608" t="inlineStr">
        <is>
          <t>No Club</t>
        </is>
      </c>
      <c r="I608" t="n">
        <v>36.9</v>
      </c>
      <c r="J608" s="4" t="n">
        <v>38</v>
      </c>
      <c r="K608" t="inlineStr">
        <is>
          <t>18 / 20</t>
        </is>
      </c>
      <c r="L608" t="inlineStr">
        <is>
          <t>9 / 5</t>
        </is>
      </c>
      <c r="M608" s="5" t="n">
        <v>0.47</v>
      </c>
      <c r="N608" s="5" t="n">
        <v>0.64</v>
      </c>
    </row>
    <row r="609">
      <c r="A609" t="n">
        <v>608</v>
      </c>
      <c r="B609" t="n">
        <v>2014</v>
      </c>
      <c r="C609" t="inlineStr">
        <is>
          <t>Victoria Kycia Block</t>
        </is>
      </c>
      <c r="D609">
        <f>HYPERLINK("https://ota.tournamentsoftware.com/player-profile/1F978CA6-97AC-4A84-BBEB-B431DDD9A28B", "Link")</f>
        <v/>
      </c>
      <c r="E609" s="3" t="n">
        <v>43.73</v>
      </c>
      <c r="F609" s="4" t="n">
        <v>11</v>
      </c>
      <c r="G609" t="inlineStr">
        <is>
          <t>Tennis Alberta</t>
        </is>
      </c>
      <c r="H609" t="inlineStr">
        <is>
          <t>Saville Community Sports Centre</t>
        </is>
      </c>
      <c r="I609" t="n">
        <v>35.3</v>
      </c>
      <c r="J609" s="4" t="n">
        <v>45</v>
      </c>
      <c r="K609" t="inlineStr">
        <is>
          <t>13 / 32</t>
        </is>
      </c>
      <c r="L609" t="inlineStr">
        <is>
          <t>6 / 9</t>
        </is>
      </c>
      <c r="M609" s="5" t="n">
        <v>0.29</v>
      </c>
      <c r="N609" s="5" t="n">
        <v>0.4</v>
      </c>
    </row>
    <row r="610">
      <c r="A610" t="n">
        <v>609</v>
      </c>
      <c r="B610" t="n">
        <v>2014</v>
      </c>
      <c r="C610" t="inlineStr">
        <is>
          <t>Sophie Vivienne Ma</t>
        </is>
      </c>
      <c r="D610">
        <f>HYPERLINK("https://ota.tournamentsoftware.com/player-profile/5BFCC3E7-799D-4957-B35C-26164F771CAB", "Link")</f>
        <v/>
      </c>
      <c r="E610" s="3" t="n">
        <v>43.381</v>
      </c>
      <c r="F610" s="4" t="n">
        <v>8</v>
      </c>
      <c r="G610" t="inlineStr">
        <is>
          <t>Ontario Tennis Association</t>
        </is>
      </c>
      <c r="H610" t="inlineStr">
        <is>
          <t>NYTA Winter Tennis Club</t>
        </is>
      </c>
      <c r="I610" t="n">
        <v>37.5</v>
      </c>
      <c r="J610" s="4" t="n">
        <v>58</v>
      </c>
      <c r="K610" t="inlineStr">
        <is>
          <t>20 / 38</t>
        </is>
      </c>
      <c r="L610" t="inlineStr">
        <is>
          <t>5 / 11</t>
        </is>
      </c>
      <c r="M610" s="5" t="n">
        <v>0.34</v>
      </c>
      <c r="N610" s="5" t="n">
        <v>0.31</v>
      </c>
    </row>
    <row r="611">
      <c r="A611" t="n">
        <v>610</v>
      </c>
      <c r="B611" t="n">
        <v>2013</v>
      </c>
      <c r="C611" t="inlineStr">
        <is>
          <t>Emma Isabella Lamacchia</t>
        </is>
      </c>
      <c r="D611">
        <f>HYPERLINK("https://ota.tournamentsoftware.com/player-profile/13408327-82EC-4D4E-B3D1-9FA084C53782", "Link")</f>
        <v/>
      </c>
      <c r="E611" s="3" t="n">
        <v>43.33</v>
      </c>
      <c r="F611" s="4" t="n">
        <v>3</v>
      </c>
      <c r="G611" t="inlineStr">
        <is>
          <t>Ontario Tennis Association</t>
        </is>
      </c>
      <c r="H611" t="inlineStr">
        <is>
          <t>Advantage Tennis International at Veneto</t>
        </is>
      </c>
      <c r="I611" t="n">
        <v>39.9</v>
      </c>
      <c r="J611" s="4" t="n">
        <v>19</v>
      </c>
      <c r="K611" t="inlineStr">
        <is>
          <t>2 / 17</t>
        </is>
      </c>
      <c r="L611" t="inlineStr">
        <is>
          <t>2 / 17</t>
        </is>
      </c>
      <c r="M611" s="5" t="n">
        <v>0.11</v>
      </c>
      <c r="N611" s="5" t="n">
        <v>0.11</v>
      </c>
    </row>
    <row r="612">
      <c r="A612" t="n">
        <v>611</v>
      </c>
      <c r="B612" t="n">
        <v>2012</v>
      </c>
      <c r="C612" t="inlineStr">
        <is>
          <t>Valeria Taborda - Valverde</t>
        </is>
      </c>
      <c r="D612">
        <f>HYPERLINK("https://ota.tournamentsoftware.com/player-profile/E0201B38-AEE1-4BAC-B0FB-FA389A1FFEA8", "Link")</f>
        <v/>
      </c>
      <c r="E612" s="3" t="n">
        <v>43.272</v>
      </c>
      <c r="F612" s="4" t="n">
        <v>2</v>
      </c>
      <c r="G612" t="inlineStr">
        <is>
          <t>Ontario Tennis Association</t>
        </is>
      </c>
      <c r="H612" t="inlineStr">
        <is>
          <t>Port Hope Racquet Club</t>
        </is>
      </c>
      <c r="I612" t="inlineStr">
        <is>
          <t>unavailable</t>
        </is>
      </c>
      <c r="J612" s="4" t="n">
        <v>35</v>
      </c>
      <c r="K612" t="inlineStr">
        <is>
          <t>13 / 22</t>
        </is>
      </c>
      <c r="L612" t="inlineStr">
        <is>
          <t>1 / 1</t>
        </is>
      </c>
      <c r="M612" s="5" t="n">
        <v>0.37</v>
      </c>
      <c r="N612" s="5" t="n">
        <v>0.5</v>
      </c>
    </row>
    <row r="613">
      <c r="A613" t="n">
        <v>612</v>
      </c>
      <c r="B613" t="n">
        <v>2012</v>
      </c>
      <c r="C613" t="inlineStr">
        <is>
          <t>Aurélie Houde</t>
        </is>
      </c>
      <c r="D613">
        <f>HYPERLINK("https://ota.tournamentsoftware.com/player-profile/F697AB49-11E9-42EF-B0E6-5DF0E77AF99C", "Link")</f>
        <v/>
      </c>
      <c r="E613" s="3" t="n">
        <v>43.226</v>
      </c>
      <c r="F613" s="4" t="n">
        <v>5</v>
      </c>
      <c r="G613" t="inlineStr">
        <is>
          <t>Tennis Québec</t>
        </is>
      </c>
      <c r="H613" t="inlineStr">
        <is>
          <t>Association de tennis de Drummondville</t>
        </is>
      </c>
      <c r="I613" t="n">
        <v>39.7</v>
      </c>
      <c r="J613" s="4" t="n">
        <v>22</v>
      </c>
      <c r="K613" t="inlineStr">
        <is>
          <t>1 / 21</t>
        </is>
      </c>
      <c r="L613" t="inlineStr">
        <is>
          <t>0 / 3</t>
        </is>
      </c>
      <c r="M613" s="5" t="n">
        <v>0.05</v>
      </c>
      <c r="N613" s="5" t="n">
        <v>0</v>
      </c>
    </row>
    <row r="614">
      <c r="A614" t="n">
        <v>613</v>
      </c>
      <c r="B614" t="n">
        <v>2013</v>
      </c>
      <c r="C614" t="inlineStr">
        <is>
          <t>Anika Surtani</t>
        </is>
      </c>
      <c r="D614">
        <f>HYPERLINK("https://ota.tournamentsoftware.com/player-profile/8434E356-BD3E-4FDA-9513-46F335FD471C", "Link")</f>
        <v/>
      </c>
      <c r="E614" s="3" t="n">
        <v>42.618</v>
      </c>
      <c r="F614" s="4" t="n">
        <v>6</v>
      </c>
      <c r="G614" t="inlineStr">
        <is>
          <t>Ontario Tennis Association</t>
        </is>
      </c>
      <c r="H614" t="inlineStr">
        <is>
          <t>Boulevard Club</t>
        </is>
      </c>
      <c r="I614" t="inlineStr">
        <is>
          <t>unavailable</t>
        </is>
      </c>
      <c r="J614" s="4" t="n">
        <v>18</v>
      </c>
      <c r="K614" t="inlineStr">
        <is>
          <t>4 / 14</t>
        </is>
      </c>
      <c r="L614" t="inlineStr">
        <is>
          <t>2 / 6</t>
        </is>
      </c>
      <c r="M614" s="5" t="n">
        <v>0.22</v>
      </c>
      <c r="N614" s="5" t="n">
        <v>0.25</v>
      </c>
    </row>
    <row r="615">
      <c r="A615" t="n">
        <v>614</v>
      </c>
      <c r="B615" t="n">
        <v>2014</v>
      </c>
      <c r="C615" t="inlineStr">
        <is>
          <t>Ann-Mayelle Veillard</t>
        </is>
      </c>
      <c r="D615">
        <f>HYPERLINK("https://ota.tournamentsoftware.com/player-profile/C734CB2A-2E7E-46C5-B1F0-69D754EF8527", "Link")</f>
        <v/>
      </c>
      <c r="E615" s="3" t="n">
        <v>42.328</v>
      </c>
      <c r="F615" s="4" t="n">
        <v>11</v>
      </c>
      <c r="G615" t="inlineStr">
        <is>
          <t>Tennis Québec</t>
        </is>
      </c>
      <c r="H615" t="inlineStr">
        <is>
          <t>No Club</t>
        </is>
      </c>
      <c r="I615" t="inlineStr">
        <is>
          <t>unavailable</t>
        </is>
      </c>
      <c r="J615" s="4" t="n">
        <v>22</v>
      </c>
      <c r="K615" t="inlineStr">
        <is>
          <t>10 / 12</t>
        </is>
      </c>
      <c r="L615" t="inlineStr">
        <is>
          <t>10 / 12</t>
        </is>
      </c>
      <c r="M615" s="5" t="n">
        <v>0.45</v>
      </c>
      <c r="N615" s="5" t="n">
        <v>0.45</v>
      </c>
    </row>
    <row r="616">
      <c r="A616" t="n">
        <v>615</v>
      </c>
      <c r="B616" t="n">
        <v>2012</v>
      </c>
      <c r="C616" t="inlineStr">
        <is>
          <t>Mackenzie Quek</t>
        </is>
      </c>
      <c r="D616">
        <f>HYPERLINK("https://ota.tournamentsoftware.com/player-profile/51407A91-7051-4BC3-B583-F0DC1E06E113", "Link")</f>
        <v/>
      </c>
      <c r="E616" s="3" t="n">
        <v>42.274</v>
      </c>
      <c r="F616" s="4" t="n">
        <v>4</v>
      </c>
      <c r="G616" t="inlineStr">
        <is>
          <t>Ontario Tennis Association</t>
        </is>
      </c>
      <c r="H616" t="inlineStr">
        <is>
          <t>Concord Tennis Academy</t>
        </is>
      </c>
      <c r="I616" t="inlineStr">
        <is>
          <t>unavailable</t>
        </is>
      </c>
      <c r="J616" s="4" t="n">
        <v>13</v>
      </c>
      <c r="K616" t="inlineStr">
        <is>
          <t>3 / 10</t>
        </is>
      </c>
      <c r="L616" t="inlineStr">
        <is>
          <t>3 / 10</t>
        </is>
      </c>
      <c r="M616" s="5" t="n">
        <v>0.23</v>
      </c>
      <c r="N616" s="5" t="n">
        <v>0.23</v>
      </c>
    </row>
    <row r="617">
      <c r="A617" t="n">
        <v>616</v>
      </c>
      <c r="B617" t="n">
        <v>2015</v>
      </c>
      <c r="C617" t="inlineStr">
        <is>
          <t>Mia Kojic</t>
        </is>
      </c>
      <c r="D617">
        <f>HYPERLINK("https://ota.tournamentsoftware.com/player-profile/1573DFB3-8189-4CE9-AAAC-9ADF1738AD9C", "Link")</f>
        <v/>
      </c>
      <c r="E617" s="3" t="n">
        <v>41.917</v>
      </c>
      <c r="F617" s="4" t="n">
        <v>8</v>
      </c>
      <c r="G617" t="inlineStr">
        <is>
          <t>Ontario Tennis Association</t>
        </is>
      </c>
      <c r="H617" t="inlineStr">
        <is>
          <t>Ontario Racquet Club</t>
        </is>
      </c>
      <c r="I617" t="n">
        <v>36.7</v>
      </c>
      <c r="J617" s="4" t="n">
        <v>95</v>
      </c>
      <c r="K617" t="inlineStr">
        <is>
          <t>41 / 54</t>
        </is>
      </c>
      <c r="L617" t="inlineStr">
        <is>
          <t>5 / 9</t>
        </is>
      </c>
      <c r="M617" s="5" t="n">
        <v>0.43</v>
      </c>
      <c r="N617" s="5" t="n">
        <v>0.36</v>
      </c>
    </row>
    <row r="618">
      <c r="A618" t="n">
        <v>617</v>
      </c>
      <c r="B618" t="n">
        <v>2014</v>
      </c>
      <c r="C618" t="inlineStr">
        <is>
          <t>Chloe Leblond</t>
        </is>
      </c>
      <c r="D618">
        <f>HYPERLINK("https://ota.tournamentsoftware.com/player-profile/B25C8E1B-DD5B-45CB-A94E-27B9E436CCF5", "Link")</f>
        <v/>
      </c>
      <c r="E618" s="3" t="n">
        <v>41.903</v>
      </c>
      <c r="F618" s="4" t="n">
        <v>5</v>
      </c>
      <c r="G618" t="inlineStr">
        <is>
          <t>Ontario Tennis Association</t>
        </is>
      </c>
      <c r="H618" t="inlineStr">
        <is>
          <t>Tam Heather Tennis Club</t>
        </is>
      </c>
      <c r="I618" t="inlineStr">
        <is>
          <t>unavailable</t>
        </is>
      </c>
      <c r="J618" s="4" t="n">
        <v>59</v>
      </c>
      <c r="K618" t="inlineStr">
        <is>
          <t>31 / 28</t>
        </is>
      </c>
      <c r="L618" t="inlineStr">
        <is>
          <t>6 / 4</t>
        </is>
      </c>
      <c r="M618" s="5" t="n">
        <v>0.53</v>
      </c>
      <c r="N618" s="5" t="n">
        <v>0.6</v>
      </c>
    </row>
    <row r="619">
      <c r="A619" t="n">
        <v>618</v>
      </c>
      <c r="B619" t="n">
        <v>2014</v>
      </c>
      <c r="C619" t="inlineStr">
        <is>
          <t>Melina Ioannidis</t>
        </is>
      </c>
      <c r="D619">
        <f>HYPERLINK("https://ota.tournamentsoftware.com/player-profile/7105A5E6-611D-4531-9016-F7FBEE3F6368", "Link")</f>
        <v/>
      </c>
      <c r="E619" s="3" t="n">
        <v>41.56</v>
      </c>
      <c r="F619" s="4" t="n">
        <v>6</v>
      </c>
      <c r="G619" t="inlineStr">
        <is>
          <t>Ontario Tennis Association</t>
        </is>
      </c>
      <c r="H619" t="inlineStr">
        <is>
          <t>Aurora Community Tennis Club</t>
        </is>
      </c>
      <c r="I619" t="n">
        <v>37</v>
      </c>
      <c r="J619" s="4" t="n">
        <v>61</v>
      </c>
      <c r="K619" t="inlineStr">
        <is>
          <t>34 / 27</t>
        </is>
      </c>
      <c r="L619" t="inlineStr">
        <is>
          <t>4 / 5</t>
        </is>
      </c>
      <c r="M619" s="5" t="n">
        <v>0.5600000000000001</v>
      </c>
      <c r="N619" s="5" t="n">
        <v>0.44</v>
      </c>
    </row>
    <row r="620">
      <c r="A620" t="n">
        <v>619</v>
      </c>
      <c r="B620" t="n">
        <v>2017</v>
      </c>
      <c r="C620" t="inlineStr">
        <is>
          <t>Aria Bloom</t>
        </is>
      </c>
      <c r="D620">
        <f>HYPERLINK("https://ota.tournamentsoftware.com/player-profile/7C30BE00-7F15-42B9-BA96-B3B2895898A0", "Link")</f>
        <v/>
      </c>
      <c r="E620" s="3" t="n">
        <v>41.346</v>
      </c>
      <c r="F620" s="4" t="n">
        <v>8</v>
      </c>
      <c r="G620" t="inlineStr">
        <is>
          <t>Tennis Alberta</t>
        </is>
      </c>
      <c r="H620" t="inlineStr">
        <is>
          <t>Osten &amp; Victor Alberta Tennis Centre</t>
        </is>
      </c>
      <c r="I620" t="n">
        <v>33.5</v>
      </c>
      <c r="J620" s="4" t="n">
        <v>123</v>
      </c>
      <c r="K620" t="inlineStr">
        <is>
          <t>94 / 29</t>
        </is>
      </c>
      <c r="L620" t="inlineStr">
        <is>
          <t>40 / 6</t>
        </is>
      </c>
      <c r="M620" s="5" t="n">
        <v>0.76</v>
      </c>
      <c r="N620" s="5" t="n">
        <v>0.87</v>
      </c>
    </row>
    <row r="621">
      <c r="A621" t="n">
        <v>620</v>
      </c>
      <c r="B621" t="n">
        <v>2015</v>
      </c>
      <c r="C621" t="inlineStr">
        <is>
          <t>Juliette Tremblay</t>
        </is>
      </c>
      <c r="D621">
        <f>HYPERLINK("https://ota.tournamentsoftware.com/player-profile/94E82DA2-01EF-471F-BB0F-8CEAA1C42076", "Link")</f>
        <v/>
      </c>
      <c r="E621" s="3" t="n">
        <v>41.328</v>
      </c>
      <c r="F621" s="4" t="n">
        <v>9</v>
      </c>
      <c r="G621" t="inlineStr">
        <is>
          <t>Tennis Québec</t>
        </is>
      </c>
      <c r="H621" t="inlineStr">
        <is>
          <t>Tennis Outaouais Performance (TOP)</t>
        </is>
      </c>
      <c r="I621" t="n">
        <v>37.6</v>
      </c>
      <c r="J621" s="4" t="n">
        <v>52</v>
      </c>
      <c r="K621" t="inlineStr">
        <is>
          <t>16 / 36</t>
        </is>
      </c>
      <c r="L621" t="inlineStr">
        <is>
          <t>5 / 11</t>
        </is>
      </c>
      <c r="M621" s="5" t="n">
        <v>0.31</v>
      </c>
      <c r="N621" s="5" t="n">
        <v>0.31</v>
      </c>
    </row>
    <row r="622">
      <c r="A622" t="n">
        <v>621</v>
      </c>
      <c r="B622" t="n">
        <v>2014</v>
      </c>
      <c r="C622" t="inlineStr">
        <is>
          <t>Alena Sui</t>
        </is>
      </c>
      <c r="D622">
        <f>HYPERLINK("https://ota.tournamentsoftware.com/player-profile/92B690E9-D6C6-410C-A457-5AC3927E933A", "Link")</f>
        <v/>
      </c>
      <c r="E622" s="3" t="n">
        <v>41.268</v>
      </c>
      <c r="F622" s="4" t="n">
        <v>11</v>
      </c>
      <c r="G622" t="inlineStr">
        <is>
          <t>British Columbia</t>
        </is>
      </c>
      <c r="H622" t="inlineStr">
        <is>
          <t>No Club</t>
        </is>
      </c>
      <c r="I622" t="n">
        <v>38.4</v>
      </c>
      <c r="J622" s="4" t="n">
        <v>77</v>
      </c>
      <c r="K622" t="inlineStr">
        <is>
          <t>35 / 42</t>
        </is>
      </c>
      <c r="L622" t="inlineStr">
        <is>
          <t>15 / 20</t>
        </is>
      </c>
      <c r="M622" s="5" t="n">
        <v>0.45</v>
      </c>
      <c r="N622" s="5" t="n">
        <v>0.43</v>
      </c>
    </row>
    <row r="623">
      <c r="A623" t="n">
        <v>622</v>
      </c>
      <c r="B623" t="n">
        <v>2016</v>
      </c>
      <c r="C623" t="inlineStr">
        <is>
          <t>Kiara Krishnan</t>
        </is>
      </c>
      <c r="D623">
        <f>HYPERLINK("https://ota.tournamentsoftware.com/player-profile/50D3305E-63D5-4EFB-B53F-B64E463DE26E", "Link")</f>
        <v/>
      </c>
      <c r="E623" s="3" t="n">
        <v>41.04</v>
      </c>
      <c r="F623" s="4" t="n">
        <v>28</v>
      </c>
      <c r="G623" t="inlineStr">
        <is>
          <t>Ontario Tennis Association</t>
        </is>
      </c>
      <c r="H623" t="inlineStr">
        <is>
          <t>Toronto Tennis Academy</t>
        </is>
      </c>
      <c r="I623" t="n">
        <v>37.8</v>
      </c>
      <c r="J623" s="4" t="n">
        <v>247</v>
      </c>
      <c r="K623" t="inlineStr">
        <is>
          <t>98 / 149</t>
        </is>
      </c>
      <c r="L623" t="inlineStr">
        <is>
          <t>11 / 32</t>
        </is>
      </c>
      <c r="M623" s="5" t="n">
        <v>0.4</v>
      </c>
      <c r="N623" s="5" t="n">
        <v>0.26</v>
      </c>
    </row>
    <row r="624">
      <c r="A624" t="n">
        <v>622</v>
      </c>
      <c r="B624" t="n">
        <v>2015</v>
      </c>
      <c r="C624" t="inlineStr">
        <is>
          <t>Lillian Tooryani</t>
        </is>
      </c>
      <c r="D624">
        <f>HYPERLINK("https://ota.tournamentsoftware.com/player-profile/B149ED5D-E26B-4577-8AAB-620DB4A7A85F", "Link")</f>
        <v/>
      </c>
      <c r="E624" s="3" t="n">
        <v>41.04</v>
      </c>
      <c r="F624" s="4" t="n">
        <v>12</v>
      </c>
      <c r="G624" t="inlineStr">
        <is>
          <t>Ontario Tennis Association</t>
        </is>
      </c>
      <c r="H624" t="inlineStr">
        <is>
          <t>Mayfair West Fitness &amp; Racquet Club</t>
        </is>
      </c>
      <c r="I624" t="n">
        <v>37.8</v>
      </c>
      <c r="J624" s="4" t="n">
        <v>42</v>
      </c>
      <c r="K624" t="inlineStr">
        <is>
          <t>16 / 26</t>
        </is>
      </c>
      <c r="L624" t="inlineStr">
        <is>
          <t>13 / 13</t>
        </is>
      </c>
      <c r="M624" s="5" t="n">
        <v>0.38</v>
      </c>
      <c r="N624" s="5" t="n">
        <v>0.5</v>
      </c>
    </row>
    <row r="625">
      <c r="A625" t="n">
        <v>624</v>
      </c>
      <c r="B625" t="n">
        <v>2016</v>
      </c>
      <c r="C625" t="inlineStr">
        <is>
          <t>Melinna Yu Nuo Yang</t>
        </is>
      </c>
      <c r="D625">
        <f>HYPERLINK("https://ota.tournamentsoftware.com/player-profile/6BCCA5B4-7059-414C-A06D-D2936B6A3CC2", "Link")</f>
        <v/>
      </c>
      <c r="E625" s="3" t="n">
        <v>40.8</v>
      </c>
      <c r="F625" s="4" t="n">
        <v>5</v>
      </c>
      <c r="G625" t="inlineStr">
        <is>
          <t>Tennis Québec</t>
        </is>
      </c>
      <c r="H625" t="inlineStr">
        <is>
          <t>Club Sportif Côte-de-Liesse</t>
        </is>
      </c>
      <c r="I625" t="inlineStr">
        <is>
          <t>unavailable</t>
        </is>
      </c>
      <c r="J625" s="4" t="n">
        <v>90</v>
      </c>
      <c r="K625" t="inlineStr">
        <is>
          <t>36 / 54</t>
        </is>
      </c>
      <c r="L625" t="inlineStr">
        <is>
          <t>15 / 12</t>
        </is>
      </c>
      <c r="M625" s="5" t="n">
        <v>0.4</v>
      </c>
      <c r="N625" s="5" t="n">
        <v>0.5600000000000001</v>
      </c>
    </row>
    <row r="626">
      <c r="A626" t="n">
        <v>625</v>
      </c>
      <c r="B626" t="n">
        <v>2015</v>
      </c>
      <c r="C626" t="inlineStr">
        <is>
          <t>ALICE Wan yee Wong</t>
        </is>
      </c>
      <c r="D626">
        <f>HYPERLINK("https://ota.tournamentsoftware.com/player-profile/1B8AB01B-692B-4E5E-B513-A24155329374", "Link")</f>
        <v/>
      </c>
      <c r="E626" s="3" t="n">
        <v>40.564</v>
      </c>
      <c r="F626" s="4" t="n">
        <v>12</v>
      </c>
      <c r="G626" t="inlineStr">
        <is>
          <t>British Columbia</t>
        </is>
      </c>
      <c r="H626" t="inlineStr">
        <is>
          <t>The Tennis Centre</t>
        </is>
      </c>
      <c r="I626" t="n">
        <v>35</v>
      </c>
      <c r="J626" s="4" t="n">
        <v>118</v>
      </c>
      <c r="K626" t="inlineStr">
        <is>
          <t>56 / 62</t>
        </is>
      </c>
      <c r="L626" t="inlineStr">
        <is>
          <t>16 / 13</t>
        </is>
      </c>
      <c r="M626" s="5" t="n">
        <v>0.47</v>
      </c>
      <c r="N626" s="5" t="n">
        <v>0.55</v>
      </c>
    </row>
    <row r="627">
      <c r="A627" t="n">
        <v>626</v>
      </c>
      <c r="B627" t="n">
        <v>2015</v>
      </c>
      <c r="C627" t="inlineStr">
        <is>
          <t>Mila Anglade</t>
        </is>
      </c>
      <c r="D627">
        <f>HYPERLINK("https://ota.tournamentsoftware.com/player-profile/05635752-0D80-4827-BA70-1CECB2BE0528", "Link")</f>
        <v/>
      </c>
      <c r="E627" s="3" t="n">
        <v>40.12</v>
      </c>
      <c r="F627" s="4" t="n">
        <v>5</v>
      </c>
      <c r="G627" t="inlineStr">
        <is>
          <t>Tennis Québec</t>
        </is>
      </c>
      <c r="H627" t="inlineStr">
        <is>
          <t>Carrefour Multisports</t>
        </is>
      </c>
      <c r="I627" t="inlineStr">
        <is>
          <t>unavailable</t>
        </is>
      </c>
      <c r="J627" s="4" t="n">
        <v>64</v>
      </c>
      <c r="K627" t="inlineStr">
        <is>
          <t>39 / 25</t>
        </is>
      </c>
      <c r="L627" t="inlineStr">
        <is>
          <t>8 / 2</t>
        </is>
      </c>
      <c r="M627" s="5" t="n">
        <v>0.61</v>
      </c>
      <c r="N627" s="5" t="n">
        <v>0.8</v>
      </c>
    </row>
    <row r="628">
      <c r="A628" t="n">
        <v>627</v>
      </c>
      <c r="B628" t="n">
        <v>2014</v>
      </c>
      <c r="C628" t="inlineStr">
        <is>
          <t>Laura Gyori</t>
        </is>
      </c>
      <c r="D628">
        <f>HYPERLINK("https://ota.tournamentsoftware.com/player-profile/5A55107A-8C3C-4255-8453-79017D4120E3", "Link")</f>
        <v/>
      </c>
      <c r="E628" s="3" t="n">
        <v>39.952</v>
      </c>
      <c r="F628" s="4" t="n">
        <v>4</v>
      </c>
      <c r="G628" t="inlineStr">
        <is>
          <t>Ontario Tennis Association</t>
        </is>
      </c>
      <c r="H628" t="inlineStr">
        <is>
          <t>Rideau Sports Centre</t>
        </is>
      </c>
      <c r="I628" t="inlineStr">
        <is>
          <t>unavailable</t>
        </is>
      </c>
      <c r="J628" s="4" t="n">
        <v>16</v>
      </c>
      <c r="K628" t="inlineStr">
        <is>
          <t>5 / 11</t>
        </is>
      </c>
      <c r="L628" t="inlineStr">
        <is>
          <t>2 / 4</t>
        </is>
      </c>
      <c r="M628" s="5" t="n">
        <v>0.31</v>
      </c>
      <c r="N628" s="5" t="n">
        <v>0.33</v>
      </c>
    </row>
    <row r="629">
      <c r="A629" t="n">
        <v>628</v>
      </c>
      <c r="B629" t="n">
        <v>2013</v>
      </c>
      <c r="C629" t="inlineStr">
        <is>
          <t>Kate Lalli</t>
        </is>
      </c>
      <c r="D629">
        <f>HYPERLINK("https://ota.tournamentsoftware.com/player-profile/37A0CF8B-C4DF-49F1-946F-E349A3E42015", "Link")</f>
        <v/>
      </c>
      <c r="E629" s="3" t="n">
        <v>38.609</v>
      </c>
      <c r="F629" s="4" t="n">
        <v>4</v>
      </c>
      <c r="G629" t="inlineStr">
        <is>
          <t>Tennis Québec</t>
        </is>
      </c>
      <c r="H629" t="inlineStr">
        <is>
          <t>No Club</t>
        </is>
      </c>
      <c r="I629" t="n">
        <v>37.6</v>
      </c>
      <c r="J629" s="4" t="n">
        <v>15</v>
      </c>
      <c r="K629" t="inlineStr">
        <is>
          <t>4 / 11</t>
        </is>
      </c>
      <c r="L629" t="inlineStr">
        <is>
          <t>1 / 6</t>
        </is>
      </c>
      <c r="M629" s="5" t="n">
        <v>0.27</v>
      </c>
      <c r="N629" s="5" t="n">
        <v>0.14</v>
      </c>
    </row>
    <row r="630">
      <c r="A630" t="n">
        <v>629</v>
      </c>
      <c r="B630" t="n">
        <v>2013</v>
      </c>
      <c r="C630" t="inlineStr">
        <is>
          <t>Yu Nohara</t>
        </is>
      </c>
      <c r="D630">
        <f>HYPERLINK("https://ota.tournamentsoftware.com/player-profile/4AB57DE3-C832-4B9F-8F8F-AECBF5EE5A81", "Link")</f>
        <v/>
      </c>
      <c r="E630" s="3" t="n">
        <v>38.216</v>
      </c>
      <c r="F630" s="4" t="n">
        <v>4</v>
      </c>
      <c r="G630" t="inlineStr">
        <is>
          <t>British Columbia</t>
        </is>
      </c>
      <c r="H630" t="inlineStr">
        <is>
          <t>Tennis for Life</t>
        </is>
      </c>
      <c r="I630" t="n">
        <v>37.6</v>
      </c>
      <c r="J630" s="4" t="n">
        <v>20</v>
      </c>
      <c r="K630" t="inlineStr">
        <is>
          <t>9 / 11</t>
        </is>
      </c>
      <c r="L630" t="inlineStr">
        <is>
          <t>1 / 3</t>
        </is>
      </c>
      <c r="M630" s="5" t="n">
        <v>0.45</v>
      </c>
      <c r="N630" s="5" t="n">
        <v>0.25</v>
      </c>
    </row>
    <row r="631">
      <c r="A631" t="n">
        <v>630</v>
      </c>
      <c r="B631" t="n">
        <v>2013</v>
      </c>
      <c r="C631" t="inlineStr">
        <is>
          <t>Alexa Ardeleanu</t>
        </is>
      </c>
      <c r="D631">
        <f>HYPERLINK("https://ota.tournamentsoftware.com/player-profile/109D0444-3430-4CBD-A2CA-522592228926", "Link")</f>
        <v/>
      </c>
      <c r="E631" s="3" t="n">
        <v>37.397</v>
      </c>
      <c r="F631" s="4" t="n">
        <v>3</v>
      </c>
      <c r="G631" t="inlineStr">
        <is>
          <t>Ontario Tennis Association</t>
        </is>
      </c>
      <c r="H631" t="inlineStr">
        <is>
          <t>No Club</t>
        </is>
      </c>
      <c r="I631" t="n">
        <v>37.8</v>
      </c>
      <c r="J631" s="4" t="n">
        <v>5</v>
      </c>
      <c r="K631" t="inlineStr">
        <is>
          <t>1 / 4</t>
        </is>
      </c>
      <c r="L631" t="inlineStr">
        <is>
          <t>1 / 4</t>
        </is>
      </c>
      <c r="M631" s="5" t="n">
        <v>0.2</v>
      </c>
      <c r="N631" s="5" t="n">
        <v>0.2</v>
      </c>
    </row>
    <row r="632">
      <c r="A632" t="n">
        <v>631</v>
      </c>
      <c r="B632" t="n">
        <v>2015</v>
      </c>
      <c r="C632" t="inlineStr">
        <is>
          <t>Sloane Burdick</t>
        </is>
      </c>
      <c r="D632">
        <f>HYPERLINK("https://ota.tournamentsoftware.com/player-profile/B4ED1890-6E53-4FCC-9711-828BDD90CD1F", "Link")</f>
        <v/>
      </c>
      <c r="E632" s="3" t="n">
        <v>36.168</v>
      </c>
      <c r="F632" s="4" t="n">
        <v>8</v>
      </c>
      <c r="G632" t="inlineStr">
        <is>
          <t>British Columbia</t>
        </is>
      </c>
      <c r="H632" t="inlineStr">
        <is>
          <t>Vanguard Tennis Academy</t>
        </is>
      </c>
      <c r="I632" t="n">
        <v>36.8</v>
      </c>
      <c r="J632" s="4" t="n">
        <v>71</v>
      </c>
      <c r="K632" t="inlineStr">
        <is>
          <t>35 / 36</t>
        </is>
      </c>
      <c r="L632" t="inlineStr">
        <is>
          <t>8 / 9</t>
        </is>
      </c>
      <c r="M632" s="5" t="n">
        <v>0.49</v>
      </c>
      <c r="N632" s="5" t="n">
        <v>0.47</v>
      </c>
    </row>
    <row r="633">
      <c r="A633" t="n">
        <v>632</v>
      </c>
      <c r="B633" t="n">
        <v>2014</v>
      </c>
      <c r="C633" t="inlineStr">
        <is>
          <t>Mila Phoebe Madrid</t>
        </is>
      </c>
      <c r="D633">
        <f>HYPERLINK("https://ota.tournamentsoftware.com/player-profile/3994748B-2ED2-4F57-8907-B1AE9B874F9B", "Link")</f>
        <v/>
      </c>
      <c r="E633" s="3" t="n">
        <v>35.857</v>
      </c>
      <c r="F633" s="4" t="n">
        <v>4</v>
      </c>
      <c r="G633" t="inlineStr">
        <is>
          <t>Ontario Tennis Association</t>
        </is>
      </c>
      <c r="H633" t="inlineStr">
        <is>
          <t>Newmarket Winter Tennis Club</t>
        </is>
      </c>
      <c r="I633" t="n">
        <v>37.4</v>
      </c>
      <c r="J633" s="4" t="n">
        <v>49</v>
      </c>
      <c r="K633" t="inlineStr">
        <is>
          <t>18 / 31</t>
        </is>
      </c>
      <c r="L633" t="inlineStr">
        <is>
          <t>11 / 5</t>
        </is>
      </c>
      <c r="M633" s="5" t="n">
        <v>0.37</v>
      </c>
      <c r="N633" s="5" t="n">
        <v>0.6899999999999999</v>
      </c>
    </row>
    <row r="634">
      <c r="A634" t="n">
        <v>633</v>
      </c>
      <c r="B634" t="n">
        <v>2013</v>
      </c>
      <c r="C634" t="inlineStr">
        <is>
          <t>Mariya Fedchyshyna</t>
        </is>
      </c>
      <c r="D634">
        <f>HYPERLINK("https://ota.tournamentsoftware.com/player-profile/5A64317A-A412-4DEB-A68D-94CE45EAE2DD", "Link")</f>
        <v/>
      </c>
      <c r="E634" s="3" t="n">
        <v>35.767</v>
      </c>
      <c r="F634" s="4" t="n">
        <v>3</v>
      </c>
      <c r="G634" t="inlineStr">
        <is>
          <t>British Columbia</t>
        </is>
      </c>
      <c r="H634" t="inlineStr">
        <is>
          <t>Oak Bay Recreation Centre</t>
        </is>
      </c>
      <c r="I634" t="inlineStr">
        <is>
          <t>unavailable</t>
        </is>
      </c>
      <c r="J634" s="4" t="inlineStr"/>
      <c r="K634" t="inlineStr">
        <is>
          <t>unavailable</t>
        </is>
      </c>
      <c r="L634" t="inlineStr">
        <is>
          <t>unavailable</t>
        </is>
      </c>
      <c r="M634" s="5" t="inlineStr"/>
      <c r="N634" s="5" t="inlineStr"/>
    </row>
    <row r="635">
      <c r="A635" t="n">
        <v>634</v>
      </c>
      <c r="B635" t="n">
        <v>2015</v>
      </c>
      <c r="C635" t="inlineStr">
        <is>
          <t>Allegra Gill</t>
        </is>
      </c>
      <c r="D635">
        <f>HYPERLINK("https://ota.tournamentsoftware.com/player-profile/74E5B02E-036C-4D6F-B122-5C8FEF79A927", "Link")</f>
        <v/>
      </c>
      <c r="E635" s="3" t="n">
        <v>35.726</v>
      </c>
      <c r="F635" s="4" t="n">
        <v>5</v>
      </c>
      <c r="G635" t="inlineStr">
        <is>
          <t>Ontario Tennis Association</t>
        </is>
      </c>
      <c r="H635" t="inlineStr">
        <is>
          <t>Zekelman Tennis Centre</t>
        </is>
      </c>
      <c r="I635" t="n">
        <v>39.9</v>
      </c>
      <c r="J635" s="4" t="n">
        <v>95</v>
      </c>
      <c r="K635" t="inlineStr">
        <is>
          <t>15 / 80</t>
        </is>
      </c>
      <c r="L635" t="inlineStr">
        <is>
          <t>8 / 18</t>
        </is>
      </c>
      <c r="M635" s="5" t="n">
        <v>0.16</v>
      </c>
      <c r="N635" s="5" t="n">
        <v>0.31</v>
      </c>
    </row>
    <row r="636">
      <c r="A636" t="n">
        <v>635</v>
      </c>
      <c r="B636" t="n">
        <v>2015</v>
      </c>
      <c r="C636" t="inlineStr">
        <is>
          <t>Victoria Guo</t>
        </is>
      </c>
      <c r="D636">
        <f>HYPERLINK("https://ota.tournamentsoftware.com/player-profile/54FA7561-0327-4A42-A5FE-A5519116069C", "Link")</f>
        <v/>
      </c>
      <c r="E636" s="3" t="n">
        <v>35.632</v>
      </c>
      <c r="F636" s="4" t="n">
        <v>4</v>
      </c>
      <c r="G636" t="inlineStr">
        <is>
          <t>Ontario Tennis Association</t>
        </is>
      </c>
      <c r="H636" t="inlineStr">
        <is>
          <t>Craig Henry</t>
        </is>
      </c>
      <c r="I636" t="n">
        <v>39.3</v>
      </c>
      <c r="J636" s="4" t="n">
        <v>27</v>
      </c>
      <c r="K636" t="inlineStr">
        <is>
          <t>10 / 17</t>
        </is>
      </c>
      <c r="L636" t="inlineStr">
        <is>
          <t>1 / 4</t>
        </is>
      </c>
      <c r="M636" s="5" t="n">
        <v>0.37</v>
      </c>
      <c r="N636" s="5" t="n">
        <v>0.2</v>
      </c>
    </row>
    <row r="637">
      <c r="A637" t="n">
        <v>636</v>
      </c>
      <c r="B637" t="n">
        <v>2013</v>
      </c>
      <c r="C637" t="inlineStr">
        <is>
          <t>Mehak Garg</t>
        </is>
      </c>
      <c r="D637">
        <f>HYPERLINK("https://ota.tournamentsoftware.com/player-profile/2FA47597-FC2B-4F26-80C4-912C2FC70064", "Link")</f>
        <v/>
      </c>
      <c r="E637" s="3" t="n">
        <v>35.51</v>
      </c>
      <c r="F637" s="4" t="n">
        <v>1</v>
      </c>
      <c r="G637" t="inlineStr">
        <is>
          <t>Tennis Saskatchewan</t>
        </is>
      </c>
      <c r="H637" t="inlineStr">
        <is>
          <t>Lakewood Indoor Tennis Centre</t>
        </is>
      </c>
      <c r="I637" t="n">
        <v>36.7</v>
      </c>
      <c r="J637" s="4" t="n">
        <v>10</v>
      </c>
      <c r="K637" t="inlineStr">
        <is>
          <t>3 / 7</t>
        </is>
      </c>
      <c r="L637" t="inlineStr">
        <is>
          <t>3 / 7</t>
        </is>
      </c>
      <c r="M637" s="5" t="n">
        <v>0.3</v>
      </c>
      <c r="N637" s="5" t="n">
        <v>0.3</v>
      </c>
    </row>
    <row r="638">
      <c r="A638" t="n">
        <v>637</v>
      </c>
      <c r="B638" t="n">
        <v>2014</v>
      </c>
      <c r="C638" t="inlineStr">
        <is>
          <t>Violette Hébert</t>
        </is>
      </c>
      <c r="D638">
        <f>HYPERLINK("https://ota.tournamentsoftware.com/player-profile/53615BF8-C3DB-4C99-8745-F5A7E4DC7C2E", "Link")</f>
        <v/>
      </c>
      <c r="E638" s="3" t="n">
        <v>35.466</v>
      </c>
      <c r="F638" s="4" t="n">
        <v>10</v>
      </c>
      <c r="G638" t="inlineStr">
        <is>
          <t>Tennis Québec</t>
        </is>
      </c>
      <c r="H638" t="inlineStr">
        <is>
          <t>EB Tennis inc.</t>
        </is>
      </c>
      <c r="I638" t="n">
        <v>39.2</v>
      </c>
      <c r="J638" s="4" t="n">
        <v>49</v>
      </c>
      <c r="K638" t="inlineStr">
        <is>
          <t>14 / 35</t>
        </is>
      </c>
      <c r="L638" t="inlineStr">
        <is>
          <t>4 / 13</t>
        </is>
      </c>
      <c r="M638" s="5" t="n">
        <v>0.29</v>
      </c>
      <c r="N638" s="5" t="n">
        <v>0.24</v>
      </c>
    </row>
    <row r="639">
      <c r="A639" t="n">
        <v>638</v>
      </c>
      <c r="B639" t="n">
        <v>2016</v>
      </c>
      <c r="C639" t="inlineStr">
        <is>
          <t>Stella Somerville</t>
        </is>
      </c>
      <c r="D639">
        <f>HYPERLINK("https://ota.tournamentsoftware.com/player-profile/87C92774-21A4-4A46-97F9-D656FA91A212", "Link")</f>
        <v/>
      </c>
      <c r="E639" s="3" t="n">
        <v>35.28</v>
      </c>
      <c r="F639" s="4" t="n">
        <v>6</v>
      </c>
      <c r="G639" t="inlineStr">
        <is>
          <t>Ontario Tennis Association</t>
        </is>
      </c>
      <c r="H639" t="inlineStr">
        <is>
          <t>Advantage Tennis International at Veneto</t>
        </is>
      </c>
      <c r="I639" t="n">
        <v>37</v>
      </c>
      <c r="J639" s="4" t="n">
        <v>87</v>
      </c>
      <c r="K639" t="inlineStr">
        <is>
          <t>40 / 47</t>
        </is>
      </c>
      <c r="L639" t="inlineStr">
        <is>
          <t>9 / 9</t>
        </is>
      </c>
      <c r="M639" s="5" t="n">
        <v>0.46</v>
      </c>
      <c r="N639" s="5" t="n">
        <v>0.5</v>
      </c>
    </row>
    <row r="640">
      <c r="A640" t="n">
        <v>639</v>
      </c>
      <c r="B640" t="n">
        <v>2015</v>
      </c>
      <c r="C640" t="inlineStr">
        <is>
          <t>Nya BLANCHARD</t>
        </is>
      </c>
      <c r="D640">
        <f>HYPERLINK("https://ota.tournamentsoftware.com/player-profile/E8E00722-2274-4657-BCF4-B20EEBB0EB21", "Link")</f>
        <v/>
      </c>
      <c r="E640" s="3" t="n">
        <v>34.903</v>
      </c>
      <c r="F640" s="4" t="n">
        <v>6</v>
      </c>
      <c r="G640" t="inlineStr">
        <is>
          <t>Ontario Tennis Association</t>
        </is>
      </c>
      <c r="H640" t="inlineStr">
        <is>
          <t>Ontario Racquet Club</t>
        </is>
      </c>
      <c r="I640" t="n">
        <v>35.7</v>
      </c>
      <c r="J640" s="4" t="n">
        <v>41</v>
      </c>
      <c r="K640" t="inlineStr">
        <is>
          <t>23 / 18</t>
        </is>
      </c>
      <c r="L640" t="inlineStr">
        <is>
          <t>8 / 7</t>
        </is>
      </c>
      <c r="M640" s="5" t="n">
        <v>0.5600000000000001</v>
      </c>
      <c r="N640" s="5" t="n">
        <v>0.53</v>
      </c>
    </row>
    <row r="641">
      <c r="A641" t="n">
        <v>640</v>
      </c>
      <c r="B641" t="n">
        <v>2012</v>
      </c>
      <c r="C641" t="inlineStr">
        <is>
          <t>Capri Metelitsa</t>
        </is>
      </c>
      <c r="D641">
        <f>HYPERLINK("https://ota.tournamentsoftware.com/player-profile/AD54A68E-D415-4925-B832-8287172FB727", "Link")</f>
        <v/>
      </c>
      <c r="E641" s="3" t="n">
        <v>34.735</v>
      </c>
      <c r="F641" s="4" t="n">
        <v>10</v>
      </c>
      <c r="G641" t="inlineStr">
        <is>
          <t>Tennis Alberta</t>
        </is>
      </c>
      <c r="H641" t="inlineStr">
        <is>
          <t>Aforza</t>
        </is>
      </c>
      <c r="I641" t="n">
        <v>36.4</v>
      </c>
      <c r="J641" s="4" t="n">
        <v>50</v>
      </c>
      <c r="K641" t="inlineStr">
        <is>
          <t>23 / 27</t>
        </is>
      </c>
      <c r="L641" t="inlineStr">
        <is>
          <t>2 / 8</t>
        </is>
      </c>
      <c r="M641" s="5" t="n">
        <v>0.46</v>
      </c>
      <c r="N641" s="5" t="n">
        <v>0.2</v>
      </c>
    </row>
    <row r="642">
      <c r="A642" t="n">
        <v>641</v>
      </c>
      <c r="B642" t="n">
        <v>2016</v>
      </c>
      <c r="C642" t="inlineStr">
        <is>
          <t>Eliana Gamboa Puentevella</t>
        </is>
      </c>
      <c r="D642">
        <f>HYPERLINK("https://ota.tournamentsoftware.com/player-profile/F092EBD2-5997-4E03-AED5-C7E2E614192B", "Link")</f>
        <v/>
      </c>
      <c r="E642" s="3" t="n">
        <v>34.342</v>
      </c>
      <c r="F642" s="4" t="n">
        <v>11</v>
      </c>
      <c r="G642" t="inlineStr">
        <is>
          <t>British Columbia</t>
        </is>
      </c>
      <c r="H642" t="inlineStr">
        <is>
          <t>Suncoast Racquet Club</t>
        </is>
      </c>
      <c r="I642" t="n">
        <v>36.6</v>
      </c>
      <c r="J642" s="4" t="n">
        <v>125</v>
      </c>
      <c r="K642" t="inlineStr">
        <is>
          <t>60 / 65</t>
        </is>
      </c>
      <c r="L642" t="inlineStr">
        <is>
          <t>30 / 21</t>
        </is>
      </c>
      <c r="M642" s="5" t="n">
        <v>0.48</v>
      </c>
      <c r="N642" s="5" t="n">
        <v>0.59</v>
      </c>
    </row>
    <row r="643">
      <c r="A643" t="n">
        <v>642</v>
      </c>
      <c r="B643" t="n">
        <v>2013</v>
      </c>
      <c r="C643" t="inlineStr">
        <is>
          <t>Caroline Chuyi Wang</t>
        </is>
      </c>
      <c r="D643">
        <f>HYPERLINK("https://ota.tournamentsoftware.com/player-profile/3F052198-DCE4-4852-8FA0-B0793E67B6FC", "Link")</f>
        <v/>
      </c>
      <c r="E643" s="3" t="n">
        <v>34.166</v>
      </c>
      <c r="F643" s="4" t="n">
        <v>4</v>
      </c>
      <c r="G643" t="inlineStr">
        <is>
          <t>British Columbia</t>
        </is>
      </c>
      <c r="H643" t="inlineStr">
        <is>
          <t>Richmond Country Club</t>
        </is>
      </c>
      <c r="I643" t="n">
        <v>37.9</v>
      </c>
      <c r="J643" s="4" t="n">
        <v>26</v>
      </c>
      <c r="K643" t="inlineStr">
        <is>
          <t>11 / 15</t>
        </is>
      </c>
      <c r="L643" t="inlineStr">
        <is>
          <t>11 / 15</t>
        </is>
      </c>
      <c r="M643" s="5" t="n">
        <v>0.42</v>
      </c>
      <c r="N643" s="5" t="n">
        <v>0.42</v>
      </c>
    </row>
    <row r="644">
      <c r="A644" t="n">
        <v>643</v>
      </c>
      <c r="B644" t="n">
        <v>2015</v>
      </c>
      <c r="C644" t="inlineStr">
        <is>
          <t>Olivia Mary Hipwell</t>
        </is>
      </c>
      <c r="D644">
        <f>HYPERLINK("https://ota.tournamentsoftware.com/player-profile/1595D3E6-D4CF-4ADE-B136-FD5AC473C7F7", "Link")</f>
        <v/>
      </c>
      <c r="E644" s="3" t="n">
        <v>33.917</v>
      </c>
      <c r="F644" s="4" t="n">
        <v>7</v>
      </c>
      <c r="G644" t="inlineStr">
        <is>
          <t>Ontario Tennis Association</t>
        </is>
      </c>
      <c r="H644" t="inlineStr">
        <is>
          <t>Ontario Racquet Club</t>
        </is>
      </c>
      <c r="I644" t="inlineStr">
        <is>
          <t>unavailable</t>
        </is>
      </c>
      <c r="J644" s="4" t="n">
        <v>79</v>
      </c>
      <c r="K644" t="inlineStr">
        <is>
          <t>28 / 51</t>
        </is>
      </c>
      <c r="L644" t="inlineStr">
        <is>
          <t>4 / 9</t>
        </is>
      </c>
      <c r="M644" s="5" t="n">
        <v>0.35</v>
      </c>
      <c r="N644" s="5" t="n">
        <v>0.31</v>
      </c>
    </row>
    <row r="645">
      <c r="A645" t="n">
        <v>644</v>
      </c>
      <c r="B645" t="n">
        <v>2014</v>
      </c>
      <c r="C645" t="inlineStr">
        <is>
          <t>Georgena Banquicio</t>
        </is>
      </c>
      <c r="D645">
        <f>HYPERLINK("https://ota.tournamentsoftware.com/player-profile/AB3893CF-B68D-4258-893E-E7C3FB601465", "Link")</f>
        <v/>
      </c>
      <c r="E645" s="3" t="n">
        <v>33.663</v>
      </c>
      <c r="F645" s="4" t="n">
        <v>5</v>
      </c>
      <c r="G645" t="inlineStr">
        <is>
          <t>Tennis New Brunswick</t>
        </is>
      </c>
      <c r="H645" t="inlineStr">
        <is>
          <t>Abony Family Tennis Center</t>
        </is>
      </c>
      <c r="I645" t="n">
        <v>37.4</v>
      </c>
      <c r="J645" s="4" t="n">
        <v>72</v>
      </c>
      <c r="K645" t="inlineStr">
        <is>
          <t>34 / 38</t>
        </is>
      </c>
      <c r="L645" t="inlineStr">
        <is>
          <t>2 / 6</t>
        </is>
      </c>
      <c r="M645" s="5" t="n">
        <v>0.47</v>
      </c>
      <c r="N645" s="5" t="n">
        <v>0.25</v>
      </c>
    </row>
    <row r="646">
      <c r="A646" t="n">
        <v>645</v>
      </c>
      <c r="B646" t="n">
        <v>2013</v>
      </c>
      <c r="C646" t="inlineStr">
        <is>
          <t>SOPHIA MARIA TRULESCU</t>
        </is>
      </c>
      <c r="D646">
        <f>HYPERLINK("https://ota.tournamentsoftware.com/player-profile/A41CCD9F-8BEB-4085-842F-8E5A7DA612FF", "Link")</f>
        <v/>
      </c>
      <c r="E646" s="3" t="n">
        <v>33.35</v>
      </c>
      <c r="F646" s="4" t="n">
        <v>2</v>
      </c>
      <c r="G646" t="inlineStr">
        <is>
          <t>Ontario Tennis Association</t>
        </is>
      </c>
      <c r="H646" t="inlineStr">
        <is>
          <t>Rosedale Tennis Club (Hamilton)</t>
        </is>
      </c>
      <c r="I646" t="n">
        <v>34.4</v>
      </c>
      <c r="J646" s="4" t="n">
        <v>55</v>
      </c>
      <c r="K646" t="inlineStr">
        <is>
          <t>41 / 14</t>
        </is>
      </c>
      <c r="L646" t="inlineStr">
        <is>
          <t>4 / 2</t>
        </is>
      </c>
      <c r="M646" s="5" t="n">
        <v>0.75</v>
      </c>
      <c r="N646" s="5" t="n">
        <v>0.67</v>
      </c>
    </row>
    <row r="647">
      <c r="A647" t="n">
        <v>646</v>
      </c>
      <c r="B647" t="n">
        <v>2014</v>
      </c>
      <c r="C647" t="inlineStr">
        <is>
          <t>Victoria Dorvius</t>
        </is>
      </c>
      <c r="D647">
        <f>HYPERLINK("https://ota.tournamentsoftware.com/player-profile/0742AD15-E29E-4761-9ABC-EF929E7499C5", "Link")</f>
        <v/>
      </c>
      <c r="E647" s="3" t="n">
        <v>33.305</v>
      </c>
      <c r="F647" s="4" t="n">
        <v>3</v>
      </c>
      <c r="G647" t="inlineStr">
        <is>
          <t>Tennis Québec</t>
        </is>
      </c>
      <c r="H647" t="inlineStr">
        <is>
          <t>No Club</t>
        </is>
      </c>
      <c r="I647" t="n">
        <v>40</v>
      </c>
      <c r="J647" s="4" t="n">
        <v>8</v>
      </c>
      <c r="K647" t="inlineStr">
        <is>
          <t>0 / 8</t>
        </is>
      </c>
      <c r="L647" t="inlineStr">
        <is>
          <t>0 / 3</t>
        </is>
      </c>
      <c r="M647" s="5" t="n">
        <v>0</v>
      </c>
      <c r="N647" s="5" t="n">
        <v>0</v>
      </c>
    </row>
    <row r="648">
      <c r="A648" t="n">
        <v>647</v>
      </c>
      <c r="B648" t="n">
        <v>2012</v>
      </c>
      <c r="C648" t="inlineStr">
        <is>
          <t>Elise Weaser</t>
        </is>
      </c>
      <c r="D648">
        <f>HYPERLINK("https://ota.tournamentsoftware.com/player-profile/DA22DB71-D6D8-4605-B329-E9AEA5B14695", "Link")</f>
        <v/>
      </c>
      <c r="E648" s="3" t="n">
        <v>33.264</v>
      </c>
      <c r="F648" s="4" t="n">
        <v>2</v>
      </c>
      <c r="G648" t="inlineStr">
        <is>
          <t>Ontario Tennis Association</t>
        </is>
      </c>
      <c r="H648" t="inlineStr">
        <is>
          <t>Ontario Racquet Club</t>
        </is>
      </c>
      <c r="I648" t="n">
        <v>37.5</v>
      </c>
      <c r="J648" s="4" t="n">
        <v>30</v>
      </c>
      <c r="K648" t="inlineStr">
        <is>
          <t>7 / 23</t>
        </is>
      </c>
      <c r="L648" t="inlineStr">
        <is>
          <t>2 / 2</t>
        </is>
      </c>
      <c r="M648" s="5" t="n">
        <v>0.23</v>
      </c>
      <c r="N648" s="5" t="n">
        <v>0.5</v>
      </c>
    </row>
    <row r="649">
      <c r="A649" t="n">
        <v>648</v>
      </c>
      <c r="B649" t="n">
        <v>2015</v>
      </c>
      <c r="C649" t="inlineStr">
        <is>
          <t>Enlin Fan</t>
        </is>
      </c>
      <c r="D649">
        <f>HYPERLINK("https://ota.tournamentsoftware.com/player-profile/0F38D490-CA76-4A12-BE87-0BAC308EDC74", "Link")</f>
        <v/>
      </c>
      <c r="E649" s="3" t="n">
        <v>32.538</v>
      </c>
      <c r="F649" s="4" t="n">
        <v>6</v>
      </c>
      <c r="G649" t="inlineStr">
        <is>
          <t>British Columbia</t>
        </is>
      </c>
      <c r="H649" t="inlineStr">
        <is>
          <t>The Tennis Centre</t>
        </is>
      </c>
      <c r="I649" t="inlineStr">
        <is>
          <t>unavailable</t>
        </is>
      </c>
      <c r="J649" s="4" t="n">
        <v>93</v>
      </c>
      <c r="K649" t="inlineStr">
        <is>
          <t>42 / 51</t>
        </is>
      </c>
      <c r="L649" t="inlineStr">
        <is>
          <t>7 / 6</t>
        </is>
      </c>
      <c r="M649" s="5" t="n">
        <v>0.45</v>
      </c>
      <c r="N649" s="5" t="n">
        <v>0.54</v>
      </c>
    </row>
    <row r="650">
      <c r="A650" t="n">
        <v>649</v>
      </c>
      <c r="B650" t="n">
        <v>2015</v>
      </c>
      <c r="C650" t="inlineStr">
        <is>
          <t>GAURI BHARDWAJ</t>
        </is>
      </c>
      <c r="D650">
        <f>HYPERLINK("https://ota.tournamentsoftware.com/player-profile/7D0915D9-E26B-4DD0-AA8A-90DD2833C0F8", "Link")</f>
        <v/>
      </c>
      <c r="E650" s="3" t="n">
        <v>32.49</v>
      </c>
      <c r="F650" s="4" t="n">
        <v>6</v>
      </c>
      <c r="G650" t="inlineStr">
        <is>
          <t>Ontario Tennis Association</t>
        </is>
      </c>
      <c r="H650" t="inlineStr">
        <is>
          <t>Premier Racquet Clubs – Mississauga</t>
        </is>
      </c>
      <c r="I650" t="n">
        <v>37.6</v>
      </c>
      <c r="J650" s="4" t="n">
        <v>105</v>
      </c>
      <c r="K650" t="inlineStr">
        <is>
          <t>38 / 67</t>
        </is>
      </c>
      <c r="L650" t="inlineStr">
        <is>
          <t>3 / 3</t>
        </is>
      </c>
      <c r="M650" s="5" t="n">
        <v>0.36</v>
      </c>
      <c r="N650" s="5" t="n">
        <v>0.5</v>
      </c>
    </row>
    <row r="651">
      <c r="A651" t="n">
        <v>650</v>
      </c>
      <c r="B651" t="n">
        <v>2015</v>
      </c>
      <c r="C651" t="inlineStr">
        <is>
          <t>Piper Harrison</t>
        </is>
      </c>
      <c r="D651">
        <f>HYPERLINK("https://ota.tournamentsoftware.com/player-profile/8FD01254-4DB3-4BFF-A784-65DB87717C42", "Link")</f>
        <v/>
      </c>
      <c r="E651" s="3" t="n">
        <v>31.992</v>
      </c>
      <c r="F651" s="4" t="n">
        <v>7</v>
      </c>
      <c r="G651" t="inlineStr">
        <is>
          <t>Ontario Tennis Association</t>
        </is>
      </c>
      <c r="H651" t="inlineStr">
        <is>
          <t>Boulevard Club</t>
        </is>
      </c>
      <c r="I651" t="n">
        <v>38.6</v>
      </c>
      <c r="J651" s="4" t="n">
        <v>56</v>
      </c>
      <c r="K651" t="inlineStr">
        <is>
          <t>18 / 38</t>
        </is>
      </c>
      <c r="L651" t="inlineStr">
        <is>
          <t>6 / 10</t>
        </is>
      </c>
      <c r="M651" s="5" t="n">
        <v>0.32</v>
      </c>
      <c r="N651" s="5" t="n">
        <v>0.38</v>
      </c>
    </row>
    <row r="652">
      <c r="A652" t="n">
        <v>651</v>
      </c>
      <c r="B652" t="n">
        <v>2012</v>
      </c>
      <c r="C652" t="inlineStr">
        <is>
          <t>Rosalie Lanthier</t>
        </is>
      </c>
      <c r="D652">
        <f>HYPERLINK("https://ota.tournamentsoftware.com/player-profile/7853B67E-AF4D-4FFF-9839-6455ACC0C941", "Link")</f>
        <v/>
      </c>
      <c r="E652" s="3" t="n">
        <v>31.759</v>
      </c>
      <c r="F652" s="4" t="n">
        <v>5</v>
      </c>
      <c r="G652" t="inlineStr">
        <is>
          <t>Tennis Québec</t>
        </is>
      </c>
      <c r="H652" t="inlineStr">
        <is>
          <t>EB Tennis inc.</t>
        </is>
      </c>
      <c r="I652" t="n">
        <v>40</v>
      </c>
      <c r="J652" s="4" t="n">
        <v>15</v>
      </c>
      <c r="K652" t="inlineStr">
        <is>
          <t>1 / 14</t>
        </is>
      </c>
      <c r="L652" t="inlineStr">
        <is>
          <t>0 / 4</t>
        </is>
      </c>
      <c r="M652" s="5" t="n">
        <v>0.07000000000000001</v>
      </c>
      <c r="N652" s="5" t="n">
        <v>0</v>
      </c>
    </row>
    <row r="653">
      <c r="A653" t="n">
        <v>652</v>
      </c>
      <c r="B653" t="n">
        <v>2012</v>
      </c>
      <c r="C653" t="inlineStr">
        <is>
          <t>Belen Aldana</t>
        </is>
      </c>
      <c r="D653">
        <f>HYPERLINK("https://ota.tournamentsoftware.com/player-profile/403664F3-E594-4FFF-BEC0-1AF63F2F73E4", "Link")</f>
        <v/>
      </c>
      <c r="E653" s="3" t="n">
        <v>31.724</v>
      </c>
      <c r="F653" s="4" t="n">
        <v>6</v>
      </c>
      <c r="G653" t="inlineStr">
        <is>
          <t>Tennis Québec</t>
        </is>
      </c>
      <c r="H653" t="inlineStr">
        <is>
          <t>SANI Sport</t>
        </is>
      </c>
      <c r="I653" t="n">
        <v>37.9</v>
      </c>
      <c r="J653" s="4" t="n">
        <v>11</v>
      </c>
      <c r="K653" t="inlineStr">
        <is>
          <t>1 / 10</t>
        </is>
      </c>
      <c r="L653" t="inlineStr">
        <is>
          <t>1 / 10</t>
        </is>
      </c>
      <c r="M653" s="5" t="n">
        <v>0.09</v>
      </c>
      <c r="N653" s="5" t="n">
        <v>0.09</v>
      </c>
    </row>
    <row r="654">
      <c r="A654" t="n">
        <v>653</v>
      </c>
      <c r="B654" t="n">
        <v>2016</v>
      </c>
      <c r="C654" t="inlineStr">
        <is>
          <t>Talia Petrovski</t>
        </is>
      </c>
      <c r="D654">
        <f>HYPERLINK("https://ota.tournamentsoftware.com/player-profile/85787F1F-708B-4576-AEFA-F82C6105B16E", "Link")</f>
        <v/>
      </c>
      <c r="E654" s="3" t="n">
        <v>31.234</v>
      </c>
      <c r="F654" s="4" t="n">
        <v>18</v>
      </c>
      <c r="G654" t="inlineStr">
        <is>
          <t>British Columbia</t>
        </is>
      </c>
      <c r="H654" t="inlineStr">
        <is>
          <t>Tennis for Life</t>
        </is>
      </c>
      <c r="I654" t="n">
        <v>35.5</v>
      </c>
      <c r="J654" s="4" t="n">
        <v>143</v>
      </c>
      <c r="K654" t="inlineStr">
        <is>
          <t>81 / 62</t>
        </is>
      </c>
      <c r="L654" t="inlineStr">
        <is>
          <t>51 / 24</t>
        </is>
      </c>
      <c r="M654" s="5" t="n">
        <v>0.57</v>
      </c>
      <c r="N654" s="5" t="n">
        <v>0.68</v>
      </c>
    </row>
    <row r="655">
      <c r="A655" t="n">
        <v>654</v>
      </c>
      <c r="B655" t="n">
        <v>2014</v>
      </c>
      <c r="C655" t="inlineStr">
        <is>
          <t>Ignatia Walsh</t>
        </is>
      </c>
      <c r="D655">
        <f>HYPERLINK("https://ota.tournamentsoftware.com/player-profile/AEC8F080-693E-4608-867A-22E590A9E567", "Link")</f>
        <v/>
      </c>
      <c r="E655" s="3" t="n">
        <v>30.526</v>
      </c>
      <c r="F655" s="4" t="n">
        <v>14</v>
      </c>
      <c r="G655" t="inlineStr">
        <is>
          <t>Ontario Tennis Association</t>
        </is>
      </c>
      <c r="H655" t="inlineStr">
        <is>
          <t>Premier Racquet Clubs – Mississauga</t>
        </is>
      </c>
      <c r="I655" t="inlineStr">
        <is>
          <t>unavailable</t>
        </is>
      </c>
      <c r="J655" s="4" t="n">
        <v>53</v>
      </c>
      <c r="K655" t="inlineStr">
        <is>
          <t>13 / 40</t>
        </is>
      </c>
      <c r="L655" t="inlineStr">
        <is>
          <t>6 / 16</t>
        </is>
      </c>
      <c r="M655" s="5" t="n">
        <v>0.25</v>
      </c>
      <c r="N655" s="5" t="n">
        <v>0.27</v>
      </c>
    </row>
    <row r="656">
      <c r="A656" t="n">
        <v>655</v>
      </c>
      <c r="B656" t="n">
        <v>2012</v>
      </c>
      <c r="C656" t="inlineStr">
        <is>
          <t>Remy Quinn Durocher</t>
        </is>
      </c>
      <c r="D656">
        <f>HYPERLINK("https://ota.tournamentsoftware.com/player-profile/64BF8C80-3EDB-464A-896D-5D47CC387451", "Link")</f>
        <v/>
      </c>
      <c r="E656" s="3" t="n">
        <v>29.376</v>
      </c>
      <c r="F656" s="4" t="n">
        <v>1</v>
      </c>
      <c r="G656" t="inlineStr">
        <is>
          <t>Tennis Prince Edward Island</t>
        </is>
      </c>
      <c r="H656" t="inlineStr">
        <is>
          <t>Stratford Tennis Club</t>
        </is>
      </c>
      <c r="I656" t="n">
        <v>40</v>
      </c>
      <c r="J656" s="4" t="n">
        <v>8</v>
      </c>
      <c r="K656" t="inlineStr">
        <is>
          <t>1 / 7</t>
        </is>
      </c>
      <c r="L656" t="inlineStr">
        <is>
          <t>0 / 2</t>
        </is>
      </c>
      <c r="M656" s="5" t="n">
        <v>0.12</v>
      </c>
      <c r="N656" s="5" t="n">
        <v>0</v>
      </c>
    </row>
    <row r="657">
      <c r="A657" t="n">
        <v>656</v>
      </c>
      <c r="B657" t="n">
        <v>2014</v>
      </c>
      <c r="C657" t="inlineStr">
        <is>
          <t>Mila Levac</t>
        </is>
      </c>
      <c r="D657">
        <f>HYPERLINK("https://ota.tournamentsoftware.com/player-profile/7F793D8E-41D7-4B70-87B7-9D30B32ED35F", "Link")</f>
        <v/>
      </c>
      <c r="E657" s="3" t="n">
        <v>29.368</v>
      </c>
      <c r="F657" s="4" t="n">
        <v>4</v>
      </c>
      <c r="G657" t="inlineStr">
        <is>
          <t>Ontario Tennis Association</t>
        </is>
      </c>
      <c r="H657" t="inlineStr">
        <is>
          <t>Rideau Sports Centre</t>
        </is>
      </c>
      <c r="I657" t="n">
        <v>39.6</v>
      </c>
      <c r="J657" s="4" t="n">
        <v>76</v>
      </c>
      <c r="K657" t="inlineStr">
        <is>
          <t>13 / 63</t>
        </is>
      </c>
      <c r="L657" t="inlineStr">
        <is>
          <t>0 / 4</t>
        </is>
      </c>
      <c r="M657" s="5" t="n">
        <v>0.17</v>
      </c>
      <c r="N657" s="5" t="n">
        <v>0</v>
      </c>
    </row>
    <row r="658">
      <c r="A658" t="n">
        <v>657</v>
      </c>
      <c r="B658" t="n">
        <v>2013</v>
      </c>
      <c r="C658" t="inlineStr">
        <is>
          <t>Brooklyn Desjardins</t>
        </is>
      </c>
      <c r="D658">
        <f>HYPERLINK("https://ota.tournamentsoftware.com/player-profile/EDCAF363-81B5-4378-83DC-E36CD3ACC539", "Link")</f>
        <v/>
      </c>
      <c r="E658" s="3" t="n">
        <v>29.163</v>
      </c>
      <c r="F658" s="4" t="n">
        <v>4</v>
      </c>
      <c r="G658" t="inlineStr">
        <is>
          <t>Tennis Québec</t>
        </is>
      </c>
      <c r="H658" t="inlineStr">
        <is>
          <t>Club Sportif Côte-de-Liesse</t>
        </is>
      </c>
      <c r="I658" t="n">
        <v>37.7</v>
      </c>
      <c r="J658" s="4" t="n">
        <v>49</v>
      </c>
      <c r="K658" t="inlineStr">
        <is>
          <t>19 / 30</t>
        </is>
      </c>
      <c r="L658" t="inlineStr">
        <is>
          <t>0 / 0</t>
        </is>
      </c>
      <c r="M658" s="5" t="n">
        <v>0.39</v>
      </c>
      <c r="N658" s="5" t="n">
        <v>0</v>
      </c>
    </row>
    <row r="659">
      <c r="A659" t="n">
        <v>658</v>
      </c>
      <c r="B659" t="n">
        <v>2016</v>
      </c>
      <c r="C659" t="inlineStr">
        <is>
          <t>Madison Dionne</t>
        </is>
      </c>
      <c r="D659">
        <f>HYPERLINK("https://ota.tournamentsoftware.com/player-profile/E7A43ABD-96E4-46C3-84A5-BAF14D846E4C", "Link")</f>
        <v/>
      </c>
      <c r="E659" s="3" t="n">
        <v>29.157</v>
      </c>
      <c r="F659" s="4" t="n">
        <v>8</v>
      </c>
      <c r="G659" t="inlineStr">
        <is>
          <t>Ontario Tennis Association</t>
        </is>
      </c>
      <c r="H659" t="inlineStr">
        <is>
          <t>Ontario Racquet Club</t>
        </is>
      </c>
      <c r="I659" t="n">
        <v>37.3</v>
      </c>
      <c r="J659" s="4" t="n">
        <v>98</v>
      </c>
      <c r="K659" t="inlineStr">
        <is>
          <t>31 / 67</t>
        </is>
      </c>
      <c r="L659" t="inlineStr">
        <is>
          <t>15 / 13</t>
        </is>
      </c>
      <c r="M659" s="5" t="n">
        <v>0.32</v>
      </c>
      <c r="N659" s="5" t="n">
        <v>0.54</v>
      </c>
    </row>
    <row r="660">
      <c r="A660" t="n">
        <v>659</v>
      </c>
      <c r="B660" t="n">
        <v>2015</v>
      </c>
      <c r="C660" t="inlineStr">
        <is>
          <t>Iris RuiYing Cen</t>
        </is>
      </c>
      <c r="D660">
        <f>HYPERLINK("https://ota.tournamentsoftware.com/player-profile/D53FD847-C5AE-41A6-BFB8-EE8B251EDFBF", "Link")</f>
        <v/>
      </c>
      <c r="E660" s="3" t="n">
        <v>29.111</v>
      </c>
      <c r="F660" s="4" t="n">
        <v>7</v>
      </c>
      <c r="G660" t="inlineStr">
        <is>
          <t>Ontario Tennis Association</t>
        </is>
      </c>
      <c r="H660" t="inlineStr">
        <is>
          <t>Meadowvale West Tennis Club</t>
        </is>
      </c>
      <c r="I660" t="n">
        <v>38.1</v>
      </c>
      <c r="J660" s="4" t="n">
        <v>77</v>
      </c>
      <c r="K660" t="inlineStr">
        <is>
          <t>20 / 57</t>
        </is>
      </c>
      <c r="L660" t="inlineStr">
        <is>
          <t>2 / 4</t>
        </is>
      </c>
      <c r="M660" s="5" t="n">
        <v>0.26</v>
      </c>
      <c r="N660" s="5" t="n">
        <v>0.33</v>
      </c>
    </row>
    <row r="661">
      <c r="A661" t="n">
        <v>660</v>
      </c>
      <c r="B661" t="n">
        <v>2014</v>
      </c>
      <c r="C661" t="inlineStr">
        <is>
          <t>Mila Khayretdinova</t>
        </is>
      </c>
      <c r="D661">
        <f>HYPERLINK("https://ota.tournamentsoftware.com/player-profile/04DE0A72-CDB6-4637-88E8-378348327654", "Link")</f>
        <v/>
      </c>
      <c r="E661" s="3" t="n">
        <v>28.855</v>
      </c>
      <c r="F661" s="4" t="n">
        <v>7</v>
      </c>
      <c r="G661" t="inlineStr">
        <is>
          <t>Tennis Québec</t>
        </is>
      </c>
      <c r="H661" t="inlineStr">
        <is>
          <t>No Club</t>
        </is>
      </c>
      <c r="I661" t="n">
        <v>39.1</v>
      </c>
      <c r="J661" s="4" t="n">
        <v>41</v>
      </c>
      <c r="K661" t="inlineStr">
        <is>
          <t>3 / 38</t>
        </is>
      </c>
      <c r="L661" t="inlineStr">
        <is>
          <t>3 / 6</t>
        </is>
      </c>
      <c r="M661" s="5" t="n">
        <v>0.07000000000000001</v>
      </c>
      <c r="N661" s="5" t="n">
        <v>0.33</v>
      </c>
    </row>
    <row r="662">
      <c r="A662" t="n">
        <v>661</v>
      </c>
      <c r="B662" t="n">
        <v>2015</v>
      </c>
      <c r="C662" t="inlineStr">
        <is>
          <t>Asena Kiamil</t>
        </is>
      </c>
      <c r="D662">
        <f>HYPERLINK("https://ota.tournamentsoftware.com/player-profile/E9A72281-6B76-4B36-9040-E802436447FA", "Link")</f>
        <v/>
      </c>
      <c r="E662" s="3" t="n">
        <v>28.824</v>
      </c>
      <c r="F662" s="4" t="n">
        <v>6</v>
      </c>
      <c r="G662" t="inlineStr">
        <is>
          <t>Ontario Tennis Association</t>
        </is>
      </c>
      <c r="H662" t="inlineStr">
        <is>
          <t>Royal City Tennis Club</t>
        </is>
      </c>
      <c r="I662" t="n">
        <v>37.8</v>
      </c>
      <c r="J662" s="4" t="n">
        <v>86</v>
      </c>
      <c r="K662" t="inlineStr">
        <is>
          <t>46 / 40</t>
        </is>
      </c>
      <c r="L662" t="inlineStr">
        <is>
          <t>4 / 6</t>
        </is>
      </c>
      <c r="M662" s="5" t="n">
        <v>0.53</v>
      </c>
      <c r="N662" s="5" t="n">
        <v>0.4</v>
      </c>
    </row>
    <row r="663">
      <c r="A663" t="n">
        <v>662</v>
      </c>
      <c r="B663" t="n">
        <v>2013</v>
      </c>
      <c r="C663" t="inlineStr">
        <is>
          <t>TIFFANY ZHENG</t>
        </is>
      </c>
      <c r="D663">
        <f>HYPERLINK("https://ota.tournamentsoftware.com/player-profile/59B34621-D499-450A-BDB3-B38C363BEAD1", "Link")</f>
        <v/>
      </c>
      <c r="E663" s="3" t="n">
        <v>28.481</v>
      </c>
      <c r="F663" s="4" t="n">
        <v>1</v>
      </c>
      <c r="G663" t="inlineStr">
        <is>
          <t>Ontario Tennis Association</t>
        </is>
      </c>
      <c r="H663" t="inlineStr">
        <is>
          <t>Carleton Tennis Centre</t>
        </is>
      </c>
      <c r="I663" t="n">
        <v>34</v>
      </c>
      <c r="J663" s="4" t="n">
        <v>1</v>
      </c>
      <c r="K663" t="inlineStr">
        <is>
          <t>1 / 0</t>
        </is>
      </c>
      <c r="L663" t="inlineStr">
        <is>
          <t>1 / 0</t>
        </is>
      </c>
      <c r="M663" s="5" t="n">
        <v>1</v>
      </c>
      <c r="N663" s="5" t="n">
        <v>1</v>
      </c>
    </row>
    <row r="664">
      <c r="A664" t="n">
        <v>663</v>
      </c>
      <c r="B664" t="n">
        <v>2013</v>
      </c>
      <c r="C664" t="inlineStr">
        <is>
          <t>Meryem Besri Besri</t>
        </is>
      </c>
      <c r="D664">
        <f>HYPERLINK("https://ota.tournamentsoftware.com/player-profile/24E638E5-93ED-46F3-95E6-F944EA4EAAE7", "Link")</f>
        <v/>
      </c>
      <c r="E664" s="3" t="n">
        <v>28.425</v>
      </c>
      <c r="F664" s="4" t="n">
        <v>3</v>
      </c>
      <c r="G664" t="inlineStr">
        <is>
          <t>Tennis Alberta</t>
        </is>
      </c>
      <c r="H664" t="inlineStr">
        <is>
          <t>Calgary - Public</t>
        </is>
      </c>
      <c r="I664" t="n">
        <v>31.9</v>
      </c>
      <c r="J664" s="4" t="n">
        <v>6</v>
      </c>
      <c r="K664" t="inlineStr">
        <is>
          <t>3 / 3</t>
        </is>
      </c>
      <c r="L664" t="inlineStr">
        <is>
          <t>3 / 3</t>
        </is>
      </c>
      <c r="M664" s="5" t="n">
        <v>0.5</v>
      </c>
      <c r="N664" s="5" t="n">
        <v>0.5</v>
      </c>
    </row>
    <row r="665">
      <c r="A665" t="n">
        <v>664</v>
      </c>
      <c r="B665" t="n">
        <v>2016</v>
      </c>
      <c r="C665" t="inlineStr">
        <is>
          <t>Flora Ziyue Wang</t>
        </is>
      </c>
      <c r="D665">
        <f>HYPERLINK("https://ota.tournamentsoftware.com/player-profile/65435931-BBD0-46BD-839E-4188787640BE", "Link")</f>
        <v/>
      </c>
      <c r="E665" s="3" t="n">
        <v>28.368</v>
      </c>
      <c r="F665" s="4" t="n">
        <v>6</v>
      </c>
      <c r="G665" t="inlineStr">
        <is>
          <t>Ontario Tennis Association</t>
        </is>
      </c>
      <c r="H665" t="inlineStr">
        <is>
          <t>Unionville Tennis Club</t>
        </is>
      </c>
      <c r="I665" t="n">
        <v>35.1</v>
      </c>
      <c r="J665" s="4" t="n">
        <v>81</v>
      </c>
      <c r="K665" t="inlineStr">
        <is>
          <t>42 / 39</t>
        </is>
      </c>
      <c r="L665" t="inlineStr">
        <is>
          <t>15 / 8</t>
        </is>
      </c>
      <c r="M665" s="5" t="n">
        <v>0.52</v>
      </c>
      <c r="N665" s="5" t="n">
        <v>0.65</v>
      </c>
    </row>
    <row r="666">
      <c r="A666" t="n">
        <v>665</v>
      </c>
      <c r="B666" t="n">
        <v>2013</v>
      </c>
      <c r="C666" t="inlineStr">
        <is>
          <t>Lingxi Sun</t>
        </is>
      </c>
      <c r="D666">
        <f>HYPERLINK("https://ota.tournamentsoftware.com/player-profile/09E8E557-02B1-46EF-87E8-A28C42A56E9D", "Link")</f>
        <v/>
      </c>
      <c r="E666" s="3" t="n">
        <v>28.298</v>
      </c>
      <c r="F666" s="4" t="n">
        <v>3</v>
      </c>
      <c r="G666" t="inlineStr">
        <is>
          <t>British Columbia</t>
        </is>
      </c>
      <c r="H666" t="inlineStr">
        <is>
          <t>UBC Tennis Centre</t>
        </is>
      </c>
      <c r="I666" t="n">
        <v>32.4</v>
      </c>
      <c r="J666" s="4" t="n">
        <v>39</v>
      </c>
      <c r="K666" t="inlineStr">
        <is>
          <t>23 / 16</t>
        </is>
      </c>
      <c r="L666" t="inlineStr">
        <is>
          <t>0 / 0</t>
        </is>
      </c>
      <c r="M666" s="5" t="n">
        <v>0.59</v>
      </c>
      <c r="N666" s="5" t="n">
        <v>0</v>
      </c>
    </row>
    <row r="667">
      <c r="A667" t="n">
        <v>666</v>
      </c>
      <c r="B667" t="n">
        <v>2016</v>
      </c>
      <c r="C667" t="inlineStr">
        <is>
          <t>Ama Marie Elvira Kouadio</t>
        </is>
      </c>
      <c r="D667">
        <f>HYPERLINK("https://ota.tournamentsoftware.com/player-profile/25362040-6649-44FF-A97B-DDFA8FFF0B73", "Link")</f>
        <v/>
      </c>
      <c r="E667" s="3" t="n">
        <v>27.991</v>
      </c>
      <c r="F667" s="4" t="n">
        <v>3</v>
      </c>
      <c r="G667" t="inlineStr">
        <is>
          <t>Tennis Québec</t>
        </is>
      </c>
      <c r="H667" t="inlineStr">
        <is>
          <t>Carrefour Multisports</t>
        </is>
      </c>
      <c r="I667" t="n">
        <v>34.4</v>
      </c>
      <c r="J667" s="4" t="n">
        <v>65</v>
      </c>
      <c r="K667" t="inlineStr">
        <is>
          <t>41 / 24</t>
        </is>
      </c>
      <c r="L667" t="inlineStr">
        <is>
          <t>5 / 4</t>
        </is>
      </c>
      <c r="M667" s="5" t="n">
        <v>0.63</v>
      </c>
      <c r="N667" s="5" t="n">
        <v>0.5600000000000001</v>
      </c>
    </row>
    <row r="668">
      <c r="A668" t="n">
        <v>667</v>
      </c>
      <c r="B668" t="n">
        <v>2013</v>
      </c>
      <c r="C668" t="inlineStr">
        <is>
          <t>Phoebe Xu</t>
        </is>
      </c>
      <c r="D668">
        <f>HYPERLINK("https://ota.tournamentsoftware.com/player-profile/278C7B40-F6F9-4402-A8BF-F8069FAF9612", "Link")</f>
        <v/>
      </c>
      <c r="E668" s="3" t="n">
        <v>27.864</v>
      </c>
      <c r="F668" s="4" t="n">
        <v>2</v>
      </c>
      <c r="G668" t="inlineStr">
        <is>
          <t>Ontario Tennis Association</t>
        </is>
      </c>
      <c r="H668" t="inlineStr">
        <is>
          <t>Sandy Beach Tennis Club</t>
        </is>
      </c>
      <c r="I668" t="n">
        <v>32</v>
      </c>
      <c r="J668" s="4" t="n">
        <v>89</v>
      </c>
      <c r="K668" t="inlineStr">
        <is>
          <t>50 / 39</t>
        </is>
      </c>
      <c r="L668" t="inlineStr">
        <is>
          <t>1 / 1</t>
        </is>
      </c>
      <c r="M668" s="5" t="n">
        <v>0.5600000000000001</v>
      </c>
      <c r="N668" s="5" t="n">
        <v>0.5</v>
      </c>
    </row>
    <row r="669">
      <c r="A669" t="n">
        <v>668</v>
      </c>
      <c r="B669" t="n">
        <v>2015</v>
      </c>
      <c r="C669" t="inlineStr">
        <is>
          <t>Parine Jani</t>
        </is>
      </c>
      <c r="D669">
        <f>HYPERLINK("https://ota.tournamentsoftware.com/player-profile/DEF6C92A-14C0-4DEB-A4E3-22B40C75E14A", "Link")</f>
        <v/>
      </c>
      <c r="E669" s="3" t="n">
        <v>27.46</v>
      </c>
      <c r="F669" s="4" t="n">
        <v>4</v>
      </c>
      <c r="G669" t="inlineStr">
        <is>
          <t>Ontario Tennis Association</t>
        </is>
      </c>
      <c r="H669" t="inlineStr">
        <is>
          <t>Premier Racquet Club</t>
        </is>
      </c>
      <c r="I669" t="n">
        <v>40</v>
      </c>
      <c r="J669" s="4" t="n">
        <v>42</v>
      </c>
      <c r="K669" t="inlineStr">
        <is>
          <t>7 / 35</t>
        </is>
      </c>
      <c r="L669" t="inlineStr">
        <is>
          <t>1 / 10</t>
        </is>
      </c>
      <c r="M669" s="5" t="n">
        <v>0.17</v>
      </c>
      <c r="N669" s="5" t="n">
        <v>0.09</v>
      </c>
    </row>
    <row r="670">
      <c r="A670" t="n">
        <v>669</v>
      </c>
      <c r="B670" t="n">
        <v>2012</v>
      </c>
      <c r="C670" t="inlineStr">
        <is>
          <t>Emma Gao</t>
        </is>
      </c>
      <c r="D670">
        <f>HYPERLINK("https://ota.tournamentsoftware.com/player-profile/C88BC343-3DFB-493C-85F2-14F8A90F6D68", "Link")</f>
        <v/>
      </c>
      <c r="E670" s="3" t="n">
        <v>27.439</v>
      </c>
      <c r="F670" s="4" t="n">
        <v>3</v>
      </c>
      <c r="G670" t="inlineStr">
        <is>
          <t>British Columbia</t>
        </is>
      </c>
      <c r="H670" t="inlineStr">
        <is>
          <t>Tennis for Life</t>
        </is>
      </c>
      <c r="I670" t="inlineStr">
        <is>
          <t>unavailable</t>
        </is>
      </c>
      <c r="J670" s="4" t="n">
        <v>33</v>
      </c>
      <c r="K670" t="inlineStr">
        <is>
          <t>9 / 24</t>
        </is>
      </c>
      <c r="L670" t="inlineStr">
        <is>
          <t>0 / 5</t>
        </is>
      </c>
      <c r="M670" s="5" t="n">
        <v>0.27</v>
      </c>
      <c r="N670" s="5" t="n">
        <v>0</v>
      </c>
    </row>
    <row r="671">
      <c r="A671" t="n">
        <v>670</v>
      </c>
      <c r="B671" t="n">
        <v>2012</v>
      </c>
      <c r="C671" t="inlineStr">
        <is>
          <t>Adelaide Morgan</t>
        </is>
      </c>
      <c r="D671">
        <f>HYPERLINK("https://ota.tournamentsoftware.com/player-profile/349677AB-87B2-407B-BDFF-04EE8550EE87", "Link")</f>
        <v/>
      </c>
      <c r="E671" s="3" t="n">
        <v>27.259</v>
      </c>
      <c r="F671" s="4" t="n">
        <v>2</v>
      </c>
      <c r="G671" t="inlineStr">
        <is>
          <t>Ontario Tennis Association</t>
        </is>
      </c>
      <c r="H671" t="inlineStr">
        <is>
          <t>Eglinton Flats Winter Tennis Club</t>
        </is>
      </c>
      <c r="I671" t="inlineStr">
        <is>
          <t>unavailable</t>
        </is>
      </c>
      <c r="J671" s="4" t="n">
        <v>15</v>
      </c>
      <c r="K671" t="inlineStr">
        <is>
          <t>5 / 10</t>
        </is>
      </c>
      <c r="L671" t="inlineStr">
        <is>
          <t>0 / 4</t>
        </is>
      </c>
      <c r="M671" s="5" t="n">
        <v>0.33</v>
      </c>
      <c r="N671" s="5" t="n">
        <v>0</v>
      </c>
    </row>
    <row r="672">
      <c r="A672" t="n">
        <v>671</v>
      </c>
      <c r="B672" t="n">
        <v>2012</v>
      </c>
      <c r="C672" t="inlineStr">
        <is>
          <t>Tallulah Oakes</t>
        </is>
      </c>
      <c r="D672">
        <f>HYPERLINK("https://ota.tournamentsoftware.com/player-profile/B5372F0A-C15A-4DDD-A97C-9E3BACE4A05E", "Link")</f>
        <v/>
      </c>
      <c r="E672" s="3" t="n">
        <v>26.613</v>
      </c>
      <c r="F672" s="4" t="n">
        <v>2</v>
      </c>
      <c r="G672" t="inlineStr">
        <is>
          <t>British Columbia</t>
        </is>
      </c>
      <c r="H672" t="inlineStr">
        <is>
          <t>Hollyburn Country Club</t>
        </is>
      </c>
      <c r="I672" t="n">
        <v>35.3</v>
      </c>
      <c r="J672" s="4" t="n">
        <v>72</v>
      </c>
      <c r="K672" t="inlineStr">
        <is>
          <t>27 / 45</t>
        </is>
      </c>
      <c r="L672" t="inlineStr">
        <is>
          <t>1 / 2</t>
        </is>
      </c>
      <c r="M672" s="5" t="n">
        <v>0.38</v>
      </c>
      <c r="N672" s="5" t="n">
        <v>0.33</v>
      </c>
    </row>
    <row r="673">
      <c r="A673" t="n">
        <v>672</v>
      </c>
      <c r="B673" t="n">
        <v>2012</v>
      </c>
      <c r="C673" t="inlineStr">
        <is>
          <t>Kira Karstoff</t>
        </is>
      </c>
      <c r="D673">
        <f>HYPERLINK("https://ota.tournamentsoftware.com/player-profile/1755679B-A50B-4F8F-B603-0578043F7638", "Link")</f>
        <v/>
      </c>
      <c r="E673" s="3" t="n">
        <v>26.611</v>
      </c>
      <c r="F673" s="4" t="n">
        <v>2</v>
      </c>
      <c r="G673" t="inlineStr">
        <is>
          <t>Ontario Tennis Association</t>
        </is>
      </c>
      <c r="H673" t="inlineStr">
        <is>
          <t>Toronto Cricket Skating &amp; Curling</t>
        </is>
      </c>
      <c r="I673" t="inlineStr">
        <is>
          <t>unavailable</t>
        </is>
      </c>
      <c r="J673" s="4" t="n">
        <v>48</v>
      </c>
      <c r="K673" t="inlineStr">
        <is>
          <t>21 / 27</t>
        </is>
      </c>
      <c r="L673" t="inlineStr">
        <is>
          <t>2 / 4</t>
        </is>
      </c>
      <c r="M673" s="5" t="n">
        <v>0.44</v>
      </c>
      <c r="N673" s="5" t="n">
        <v>0.33</v>
      </c>
    </row>
    <row r="674">
      <c r="A674" t="n">
        <v>673</v>
      </c>
      <c r="B674" t="n">
        <v>2013</v>
      </c>
      <c r="C674" t="inlineStr">
        <is>
          <t>Mayssa Maddouri</t>
        </is>
      </c>
      <c r="D674">
        <f>HYPERLINK("https://ota.tournamentsoftware.com/player-profile/911D4DB6-C985-4A43-8264-359A0386F2C5", "Link")</f>
        <v/>
      </c>
      <c r="E674" s="3" t="n">
        <v>26.568</v>
      </c>
      <c r="F674" s="4" t="n">
        <v>2</v>
      </c>
      <c r="G674" t="inlineStr">
        <is>
          <t>Tennis Québec</t>
        </is>
      </c>
      <c r="H674" t="inlineStr">
        <is>
          <t>EB Tennis inc.</t>
        </is>
      </c>
      <c r="I674" t="inlineStr">
        <is>
          <t>unavailable</t>
        </is>
      </c>
      <c r="J674" s="4" t="n">
        <v>3</v>
      </c>
      <c r="K674" t="inlineStr">
        <is>
          <t>0 / 3</t>
        </is>
      </c>
      <c r="L674" t="inlineStr">
        <is>
          <t>0 / 3</t>
        </is>
      </c>
      <c r="M674" s="5" t="n">
        <v>0</v>
      </c>
      <c r="N674" s="5" t="n">
        <v>0</v>
      </c>
    </row>
    <row r="675">
      <c r="A675" t="n">
        <v>674</v>
      </c>
      <c r="B675" t="n">
        <v>2012</v>
      </c>
      <c r="C675" t="inlineStr">
        <is>
          <t>Juanita Valeria Ruiz</t>
        </is>
      </c>
      <c r="D675">
        <f>HYPERLINK("https://ota.tournamentsoftware.com/player-profile/60CB93B1-F620-4737-8F49-B06F794F4103", "Link")</f>
        <v/>
      </c>
      <c r="E675" s="3" t="n">
        <v>26.426</v>
      </c>
      <c r="F675" s="4" t="n">
        <v>2</v>
      </c>
      <c r="G675" t="inlineStr">
        <is>
          <t>Ontario Tennis Association</t>
        </is>
      </c>
      <c r="H675" t="inlineStr">
        <is>
          <t>No Club</t>
        </is>
      </c>
      <c r="I675" t="inlineStr">
        <is>
          <t>unavailable</t>
        </is>
      </c>
      <c r="J675" s="4" t="n">
        <v>69</v>
      </c>
      <c r="K675" t="inlineStr">
        <is>
          <t>26 / 43</t>
        </is>
      </c>
      <c r="L675" t="inlineStr">
        <is>
          <t>0 / 0</t>
        </is>
      </c>
      <c r="M675" s="5" t="n">
        <v>0.38</v>
      </c>
      <c r="N675" s="5" t="n">
        <v>0</v>
      </c>
    </row>
    <row r="676">
      <c r="A676" t="n">
        <v>675</v>
      </c>
      <c r="B676" t="n">
        <v>2012</v>
      </c>
      <c r="C676" t="inlineStr">
        <is>
          <t>Erica Amy Els</t>
        </is>
      </c>
      <c r="D676">
        <f>HYPERLINK("https://ota.tournamentsoftware.com/player-profile/2D6CC49A-BAE5-4768-9244-8FB4F1D2CABC", "Link")</f>
        <v/>
      </c>
      <c r="E676" s="3" t="n">
        <v>26.417</v>
      </c>
      <c r="F676" s="4" t="n">
        <v>5</v>
      </c>
      <c r="G676" t="inlineStr">
        <is>
          <t>Tennis Alberta</t>
        </is>
      </c>
      <c r="H676" t="inlineStr">
        <is>
          <t>No Club</t>
        </is>
      </c>
      <c r="I676" t="n">
        <v>39.2</v>
      </c>
      <c r="J676" s="4" t="n">
        <v>9</v>
      </c>
      <c r="K676" t="inlineStr">
        <is>
          <t>1 / 8</t>
        </is>
      </c>
      <c r="L676" t="inlineStr">
        <is>
          <t>1 / 8</t>
        </is>
      </c>
      <c r="M676" s="5" t="n">
        <v>0.11</v>
      </c>
      <c r="N676" s="5" t="n">
        <v>0.11</v>
      </c>
    </row>
    <row r="677">
      <c r="A677" t="n">
        <v>676</v>
      </c>
      <c r="B677" t="n">
        <v>2014</v>
      </c>
      <c r="C677" t="inlineStr">
        <is>
          <t>Audrey Lu</t>
        </is>
      </c>
      <c r="D677">
        <f>HYPERLINK("https://ota.tournamentsoftware.com/player-profile/01588371-7322-467B-AA75-DDD8230D1899", "Link")</f>
        <v/>
      </c>
      <c r="E677" s="3" t="n">
        <v>26.154</v>
      </c>
      <c r="F677" s="4" t="n">
        <v>6</v>
      </c>
      <c r="G677" t="inlineStr">
        <is>
          <t>Ontario Tennis Association</t>
        </is>
      </c>
      <c r="H677" t="inlineStr">
        <is>
          <t>Toronto Cricket Skating &amp; Curling</t>
        </is>
      </c>
      <c r="I677" t="inlineStr">
        <is>
          <t>unavailable</t>
        </is>
      </c>
      <c r="J677" s="4" t="n">
        <v>24</v>
      </c>
      <c r="K677" t="inlineStr">
        <is>
          <t>10 / 14</t>
        </is>
      </c>
      <c r="L677" t="inlineStr">
        <is>
          <t>10 / 11</t>
        </is>
      </c>
      <c r="M677" s="5" t="n">
        <v>0.42</v>
      </c>
      <c r="N677" s="5" t="n">
        <v>0.48</v>
      </c>
    </row>
    <row r="678">
      <c r="A678" t="n">
        <v>677</v>
      </c>
      <c r="B678" t="n">
        <v>2017</v>
      </c>
      <c r="C678" t="inlineStr">
        <is>
          <t>Anastasia Savtchenko</t>
        </is>
      </c>
      <c r="D678">
        <f>HYPERLINK("https://ota.tournamentsoftware.com/player-profile/FF881545-63C4-4D7F-B9E4-0A8D65FB9607", "Link")</f>
        <v/>
      </c>
      <c r="E678" s="3" t="n">
        <v>25.92</v>
      </c>
      <c r="F678" s="4" t="n">
        <v>5</v>
      </c>
      <c r="G678" t="inlineStr">
        <is>
          <t>Ontario Tennis Association</t>
        </is>
      </c>
      <c r="H678" t="inlineStr">
        <is>
          <t>Valan Tennis Academy</t>
        </is>
      </c>
      <c r="I678" t="inlineStr">
        <is>
          <t>unavailable</t>
        </is>
      </c>
      <c r="J678" s="4" t="n">
        <v>91</v>
      </c>
      <c r="K678" t="inlineStr">
        <is>
          <t>51 / 40</t>
        </is>
      </c>
      <c r="L678" t="inlineStr">
        <is>
          <t>15 / 11</t>
        </is>
      </c>
      <c r="M678" s="5" t="n">
        <v>0.5600000000000001</v>
      </c>
      <c r="N678" s="5" t="n">
        <v>0.58</v>
      </c>
    </row>
    <row r="679">
      <c r="A679" t="n">
        <v>678</v>
      </c>
      <c r="B679" t="n">
        <v>2015</v>
      </c>
      <c r="C679" t="inlineStr">
        <is>
          <t>Charlotte Harvey</t>
        </is>
      </c>
      <c r="D679">
        <f>HYPERLINK("https://ota.tournamentsoftware.com/player-profile/222A5F1C-DAD0-4E2A-B035-6A15561C1E0A", "Link")</f>
        <v/>
      </c>
      <c r="E679" s="3" t="n">
        <v>25.848</v>
      </c>
      <c r="F679" s="4" t="n">
        <v>3</v>
      </c>
      <c r="G679" t="inlineStr">
        <is>
          <t>Tennis Québec</t>
        </is>
      </c>
      <c r="H679" t="inlineStr">
        <is>
          <t>Les Tennis de Rimouski (intérieur)</t>
        </is>
      </c>
      <c r="I679" t="n">
        <v>36.5</v>
      </c>
      <c r="J679" s="4" t="n">
        <v>11</v>
      </c>
      <c r="K679" t="inlineStr">
        <is>
          <t>6 / 5</t>
        </is>
      </c>
      <c r="L679" t="inlineStr">
        <is>
          <t>4 / 4</t>
        </is>
      </c>
      <c r="M679" s="5" t="n">
        <v>0.55</v>
      </c>
      <c r="N679" s="5" t="n">
        <v>0.5</v>
      </c>
    </row>
    <row r="680">
      <c r="A680" t="n">
        <v>679</v>
      </c>
      <c r="B680" t="n">
        <v>2015</v>
      </c>
      <c r="C680" t="inlineStr">
        <is>
          <t>Isadora Xu</t>
        </is>
      </c>
      <c r="D680">
        <f>HYPERLINK("https://ota.tournamentsoftware.com/player-profile/78173253-32AB-4E0D-8618-AEF874C973EC", "Link")</f>
        <v/>
      </c>
      <c r="E680" s="3" t="n">
        <v>25.746</v>
      </c>
      <c r="F680" s="4" t="n">
        <v>11</v>
      </c>
      <c r="G680" t="inlineStr">
        <is>
          <t>British Columbia</t>
        </is>
      </c>
      <c r="H680" t="inlineStr">
        <is>
          <t>Arbutus Club</t>
        </is>
      </c>
      <c r="I680" t="n">
        <v>39.3</v>
      </c>
      <c r="J680" s="4" t="n">
        <v>46</v>
      </c>
      <c r="K680" t="inlineStr">
        <is>
          <t>19 / 27</t>
        </is>
      </c>
      <c r="L680" t="inlineStr">
        <is>
          <t>15 / 21</t>
        </is>
      </c>
      <c r="M680" s="5" t="n">
        <v>0.41</v>
      </c>
      <c r="N680" s="5" t="n">
        <v>0.42</v>
      </c>
    </row>
    <row r="681">
      <c r="A681" t="n">
        <v>680</v>
      </c>
      <c r="B681" t="n">
        <v>2012</v>
      </c>
      <c r="C681" t="inlineStr">
        <is>
          <t>Harper Van Beveren</t>
        </is>
      </c>
      <c r="D681">
        <f>HYPERLINK("https://ota.tournamentsoftware.com/player-profile/5981FBA6-1FF9-4CF8-8DE2-DDB8BFEA4094", "Link")</f>
        <v/>
      </c>
      <c r="E681" s="3" t="n">
        <v>25.531</v>
      </c>
      <c r="F681" s="4" t="n">
        <v>2</v>
      </c>
      <c r="G681" t="inlineStr">
        <is>
          <t>Ontario Tennis Association</t>
        </is>
      </c>
      <c r="H681" t="inlineStr">
        <is>
          <t>Rosedale Tennis Club (Hamilton)</t>
        </is>
      </c>
      <c r="I681" t="inlineStr">
        <is>
          <t>unavailable</t>
        </is>
      </c>
      <c r="J681" s="4" t="n">
        <v>16</v>
      </c>
      <c r="K681" t="inlineStr">
        <is>
          <t>5 / 11</t>
        </is>
      </c>
      <c r="L681" t="inlineStr">
        <is>
          <t>1 / 1</t>
        </is>
      </c>
      <c r="M681" s="5" t="n">
        <v>0.31</v>
      </c>
      <c r="N681" s="5" t="n">
        <v>0.5</v>
      </c>
    </row>
    <row r="682">
      <c r="A682" t="n">
        <v>681</v>
      </c>
      <c r="B682" t="n">
        <v>2014</v>
      </c>
      <c r="C682" t="inlineStr">
        <is>
          <t>kunyou Guan</t>
        </is>
      </c>
      <c r="D682">
        <f>HYPERLINK("https://ota.tournamentsoftware.com/player-profile/1F3E9C6C-8AD9-4B0B-B88C-410B372DBAF5", "Link")</f>
        <v/>
      </c>
      <c r="E682" s="3" t="n">
        <v>25.267</v>
      </c>
      <c r="F682" s="4" t="n">
        <v>6</v>
      </c>
      <c r="G682" t="inlineStr">
        <is>
          <t>Ontario Tennis Association</t>
        </is>
      </c>
      <c r="H682" t="inlineStr">
        <is>
          <t>Mayfair West Fitness &amp; Racquet Club</t>
        </is>
      </c>
      <c r="I682" t="n">
        <v>37.6</v>
      </c>
      <c r="J682" s="4" t="n">
        <v>36</v>
      </c>
      <c r="K682" t="inlineStr">
        <is>
          <t>18 / 18</t>
        </is>
      </c>
      <c r="L682" t="inlineStr">
        <is>
          <t>5 / 7</t>
        </is>
      </c>
      <c r="M682" s="5" t="n">
        <v>0.5</v>
      </c>
      <c r="N682" s="5" t="n">
        <v>0.42</v>
      </c>
    </row>
    <row r="683">
      <c r="A683" t="n">
        <v>682</v>
      </c>
      <c r="B683" t="n">
        <v>2014</v>
      </c>
      <c r="C683" t="inlineStr">
        <is>
          <t>Mia Krusarovski</t>
        </is>
      </c>
      <c r="D683">
        <f>HYPERLINK("https://ota.tournamentsoftware.com/player-profile/BE8F67EB-3C85-4EE8-8915-58C34DCD86C7", "Link")</f>
        <v/>
      </c>
      <c r="E683" s="3" t="n">
        <v>25.17</v>
      </c>
      <c r="F683" s="4" t="n">
        <v>3</v>
      </c>
      <c r="G683" t="inlineStr">
        <is>
          <t>Ontario Tennis Association</t>
        </is>
      </c>
      <c r="H683" t="inlineStr">
        <is>
          <t>Zekelman Tennis Centre</t>
        </is>
      </c>
      <c r="I683" t="n">
        <v>34.8</v>
      </c>
      <c r="J683" s="4" t="n">
        <v>16</v>
      </c>
      <c r="K683" t="inlineStr">
        <is>
          <t>5 / 11</t>
        </is>
      </c>
      <c r="L683" t="inlineStr">
        <is>
          <t>4 / 2</t>
        </is>
      </c>
      <c r="M683" s="5" t="n">
        <v>0.31</v>
      </c>
      <c r="N683" s="5" t="n">
        <v>0.67</v>
      </c>
    </row>
    <row r="684">
      <c r="A684" t="n">
        <v>683</v>
      </c>
      <c r="B684" t="n">
        <v>2014</v>
      </c>
      <c r="C684" t="inlineStr">
        <is>
          <t>Adrianna Rajchel</t>
        </is>
      </c>
      <c r="D684">
        <f>HYPERLINK("https://ota.tournamentsoftware.com/player-profile/CF345FA9-9F2F-4BDB-8B66-131A15D8B231", "Link")</f>
        <v/>
      </c>
      <c r="E684" s="3" t="n">
        <v>24.832</v>
      </c>
      <c r="F684" s="4" t="n">
        <v>3</v>
      </c>
      <c r="G684" t="inlineStr">
        <is>
          <t>Ontario Tennis Association</t>
        </is>
      </c>
      <c r="H684" t="inlineStr">
        <is>
          <t>Carleton Tennis Centre</t>
        </is>
      </c>
      <c r="I684" t="n">
        <v>38.5</v>
      </c>
      <c r="J684" s="4" t="n">
        <v>15</v>
      </c>
      <c r="K684" t="inlineStr">
        <is>
          <t>4 / 11</t>
        </is>
      </c>
      <c r="L684" t="inlineStr">
        <is>
          <t>1 / 3</t>
        </is>
      </c>
      <c r="M684" s="5" t="n">
        <v>0.27</v>
      </c>
      <c r="N684" s="5" t="n">
        <v>0.25</v>
      </c>
    </row>
    <row r="685">
      <c r="A685" t="n">
        <v>684</v>
      </c>
      <c r="B685" t="n">
        <v>2016</v>
      </c>
      <c r="C685" t="inlineStr">
        <is>
          <t>Jessie DONG</t>
        </is>
      </c>
      <c r="D685">
        <f>HYPERLINK("https://ota.tournamentsoftware.com/player-profile/DD46DDC2-A0FA-4A57-9C2B-207D02D3DFB6", "Link")</f>
        <v/>
      </c>
      <c r="E685" s="3" t="n">
        <v>24.6</v>
      </c>
      <c r="F685" s="4" t="n">
        <v>6</v>
      </c>
      <c r="G685" t="inlineStr">
        <is>
          <t>Ontario Tennis Association</t>
        </is>
      </c>
      <c r="H685" t="inlineStr">
        <is>
          <t>Premier Racquet Clubs – Mississauga</t>
        </is>
      </c>
      <c r="I685" t="n">
        <v>39</v>
      </c>
      <c r="J685" s="4" t="n">
        <v>55</v>
      </c>
      <c r="K685" t="inlineStr">
        <is>
          <t>22 / 33</t>
        </is>
      </c>
      <c r="L685" t="inlineStr">
        <is>
          <t>22 / 33</t>
        </is>
      </c>
      <c r="M685" s="5" t="n">
        <v>0.4</v>
      </c>
      <c r="N685" s="5" t="n">
        <v>0.4</v>
      </c>
    </row>
    <row r="686">
      <c r="A686" t="n">
        <v>685</v>
      </c>
      <c r="B686" t="n">
        <v>2013</v>
      </c>
      <c r="C686" t="inlineStr">
        <is>
          <t>Seher Sharma</t>
        </is>
      </c>
      <c r="D686">
        <f>HYPERLINK("https://ota.tournamentsoftware.com/player-profile/383B0843-9E5F-4A01-8304-C01EA147B7A2", "Link")</f>
        <v/>
      </c>
      <c r="E686" s="3" t="n">
        <v>24.524</v>
      </c>
      <c r="F686" s="4" t="n">
        <v>2</v>
      </c>
      <c r="G686" t="inlineStr">
        <is>
          <t>Ontario Tennis Association</t>
        </is>
      </c>
      <c r="H686" t="inlineStr">
        <is>
          <t>Glendale Tennis Club</t>
        </is>
      </c>
      <c r="I686" t="inlineStr">
        <is>
          <t>unavailable</t>
        </is>
      </c>
      <c r="J686" s="4" t="n">
        <v>17</v>
      </c>
      <c r="K686" t="inlineStr">
        <is>
          <t>4 / 13</t>
        </is>
      </c>
      <c r="L686" t="inlineStr">
        <is>
          <t>0 / 4</t>
        </is>
      </c>
      <c r="M686" s="5" t="n">
        <v>0.24</v>
      </c>
      <c r="N686" s="5" t="n">
        <v>0</v>
      </c>
    </row>
    <row r="687">
      <c r="A687" t="n">
        <v>686</v>
      </c>
      <c r="B687" t="n">
        <v>2015</v>
      </c>
      <c r="C687" t="inlineStr">
        <is>
          <t>Milana Maor</t>
        </is>
      </c>
      <c r="D687">
        <f>HYPERLINK("https://ota.tournamentsoftware.com/player-profile/EFC2E194-22E1-4017-A2E8-0B41E7DB9101", "Link")</f>
        <v/>
      </c>
      <c r="E687" s="3" t="n">
        <v>24.284</v>
      </c>
      <c r="F687" s="4" t="n">
        <v>6</v>
      </c>
      <c r="G687" t="inlineStr">
        <is>
          <t>Ontario Tennis Association</t>
        </is>
      </c>
      <c r="H687" t="inlineStr">
        <is>
          <t>No Club</t>
        </is>
      </c>
      <c r="I687" t="n">
        <v>37.3</v>
      </c>
      <c r="J687" s="4" t="n">
        <v>52</v>
      </c>
      <c r="K687" t="inlineStr">
        <is>
          <t>21 / 31</t>
        </is>
      </c>
      <c r="L687" t="inlineStr">
        <is>
          <t>4 / 12</t>
        </is>
      </c>
      <c r="M687" s="5" t="n">
        <v>0.4</v>
      </c>
      <c r="N687" s="5" t="n">
        <v>0.25</v>
      </c>
    </row>
    <row r="688">
      <c r="A688" t="n">
        <v>687</v>
      </c>
      <c r="B688" t="n">
        <v>2012</v>
      </c>
      <c r="C688" t="inlineStr">
        <is>
          <t>Naomi Lau</t>
        </is>
      </c>
      <c r="D688">
        <f>HYPERLINK("https://ota.tournamentsoftware.com/player-profile/0A97F4BF-4260-46FD-AB50-BFA06A31A239", "Link")</f>
        <v/>
      </c>
      <c r="E688" s="3" t="n">
        <v>24.089</v>
      </c>
      <c r="F688" s="4" t="n">
        <v>2</v>
      </c>
      <c r="G688" t="inlineStr">
        <is>
          <t>Ontario Tennis Association</t>
        </is>
      </c>
      <c r="H688" t="inlineStr">
        <is>
          <t>Central Tennis Club</t>
        </is>
      </c>
      <c r="I688" t="n">
        <v>37.2</v>
      </c>
      <c r="J688" s="4" t="n">
        <v>32</v>
      </c>
      <c r="K688" t="inlineStr">
        <is>
          <t>12 / 20</t>
        </is>
      </c>
      <c r="L688" t="inlineStr">
        <is>
          <t>6 / 6</t>
        </is>
      </c>
      <c r="M688" s="5" t="n">
        <v>0.38</v>
      </c>
      <c r="N688" s="5" t="n">
        <v>0.5</v>
      </c>
    </row>
    <row r="689">
      <c r="A689" t="n">
        <v>688</v>
      </c>
      <c r="B689" t="n">
        <v>2015</v>
      </c>
      <c r="C689" t="inlineStr">
        <is>
          <t>Diana Troitska</t>
        </is>
      </c>
      <c r="D689">
        <f>HYPERLINK("https://ota.tournamentsoftware.com/player-profile/6F22C01B-A1B6-4624-8606-C4D0FEB24026", "Link")</f>
        <v/>
      </c>
      <c r="E689" s="3" t="n">
        <v>23.546</v>
      </c>
      <c r="F689" s="4" t="n">
        <v>2</v>
      </c>
      <c r="G689" t="inlineStr">
        <is>
          <t>Tennis Québec</t>
        </is>
      </c>
      <c r="H689" t="inlineStr">
        <is>
          <t>No Club</t>
        </is>
      </c>
      <c r="I689" t="inlineStr">
        <is>
          <t>unavailable</t>
        </is>
      </c>
      <c r="J689" s="4" t="n">
        <v>13</v>
      </c>
      <c r="K689" t="inlineStr">
        <is>
          <t>2 / 11</t>
        </is>
      </c>
      <c r="L689" t="inlineStr">
        <is>
          <t>0 / 1</t>
        </is>
      </c>
      <c r="M689" s="5" t="n">
        <v>0.15</v>
      </c>
      <c r="N689" s="5" t="n">
        <v>0</v>
      </c>
    </row>
    <row r="690">
      <c r="A690" t="n">
        <v>689</v>
      </c>
      <c r="B690" t="n">
        <v>2012</v>
      </c>
      <c r="C690" t="inlineStr">
        <is>
          <t>Nika Yaghoubi</t>
        </is>
      </c>
      <c r="D690">
        <f>HYPERLINK("https://ota.tournamentsoftware.com/player-profile/D6970753-702D-4123-8798-708EAC6B7E32", "Link")</f>
        <v/>
      </c>
      <c r="E690" s="3" t="n">
        <v>23.448</v>
      </c>
      <c r="F690" s="4" t="n">
        <v>2</v>
      </c>
      <c r="G690" t="inlineStr">
        <is>
          <t>Tennis Alberta</t>
        </is>
      </c>
      <c r="H690" t="inlineStr">
        <is>
          <t>Saville Community Sports Centre</t>
        </is>
      </c>
      <c r="I690" t="n">
        <v>35.1</v>
      </c>
      <c r="J690" s="4" t="n">
        <v>12</v>
      </c>
      <c r="K690" t="inlineStr">
        <is>
          <t>6 / 6</t>
        </is>
      </c>
      <c r="L690" t="inlineStr">
        <is>
          <t>6 / 6</t>
        </is>
      </c>
      <c r="M690" s="5" t="n">
        <v>0.5</v>
      </c>
      <c r="N690" s="5" t="n">
        <v>0.5</v>
      </c>
    </row>
    <row r="691">
      <c r="A691" t="n">
        <v>690</v>
      </c>
      <c r="B691" t="n">
        <v>2015</v>
      </c>
      <c r="C691" t="inlineStr">
        <is>
          <t>Cassia Contreras</t>
        </is>
      </c>
      <c r="D691">
        <f>HYPERLINK("https://ota.tournamentsoftware.com/player-profile/84692E6B-274F-4FC9-9179-D4BC6F34FCEE", "Link")</f>
        <v/>
      </c>
      <c r="E691" s="3" t="n">
        <v>23.208</v>
      </c>
      <c r="F691" s="4" t="n">
        <v>4</v>
      </c>
      <c r="G691" t="inlineStr">
        <is>
          <t>Ontario Tennis Association</t>
        </is>
      </c>
      <c r="H691" t="inlineStr">
        <is>
          <t>Toronto Tennis Academy</t>
        </is>
      </c>
      <c r="I691" t="inlineStr">
        <is>
          <t>unavailable</t>
        </is>
      </c>
      <c r="J691" s="4" t="n">
        <v>50</v>
      </c>
      <c r="K691" t="inlineStr">
        <is>
          <t>18 / 32</t>
        </is>
      </c>
      <c r="L691" t="inlineStr">
        <is>
          <t>5 / 7</t>
        </is>
      </c>
      <c r="M691" s="5" t="n">
        <v>0.36</v>
      </c>
      <c r="N691" s="5" t="n">
        <v>0.42</v>
      </c>
    </row>
    <row r="692">
      <c r="A692" t="n">
        <v>691</v>
      </c>
      <c r="B692" t="n">
        <v>2015</v>
      </c>
      <c r="C692" t="inlineStr">
        <is>
          <t>Margot Couture</t>
        </is>
      </c>
      <c r="D692">
        <f>HYPERLINK("https://ota.tournamentsoftware.com/player-profile/7DE265DB-E3E6-4C4E-90BD-199DB99DCAEB", "Link")</f>
        <v/>
      </c>
      <c r="E692" s="3" t="n">
        <v>23.186</v>
      </c>
      <c r="F692" s="4" t="n">
        <v>5</v>
      </c>
      <c r="G692" t="inlineStr">
        <is>
          <t>Tennis Québec</t>
        </is>
      </c>
      <c r="H692" t="inlineStr">
        <is>
          <t>SANI Sport</t>
        </is>
      </c>
      <c r="I692" t="n">
        <v>38.1</v>
      </c>
      <c r="J692" s="4" t="n">
        <v>27</v>
      </c>
      <c r="K692" t="inlineStr">
        <is>
          <t>7 / 20</t>
        </is>
      </c>
      <c r="L692" t="inlineStr">
        <is>
          <t>2 / 5</t>
        </is>
      </c>
      <c r="M692" s="5" t="n">
        <v>0.26</v>
      </c>
      <c r="N692" s="5" t="n">
        <v>0.29</v>
      </c>
    </row>
    <row r="693">
      <c r="A693" t="n">
        <v>692</v>
      </c>
      <c r="B693" t="n">
        <v>2015</v>
      </c>
      <c r="C693" t="inlineStr">
        <is>
          <t>Eliana Green</t>
        </is>
      </c>
      <c r="D693">
        <f>HYPERLINK("https://ota.tournamentsoftware.com/player-profile/6AF8FC12-BD58-4E7C-B446-1CAAB9ADE85D", "Link")</f>
        <v/>
      </c>
      <c r="E693" s="3" t="n">
        <v>23.112</v>
      </c>
      <c r="F693" s="4" t="n">
        <v>1</v>
      </c>
      <c r="G693" t="inlineStr">
        <is>
          <t>Tennis Saskatchewan</t>
        </is>
      </c>
      <c r="H693" t="inlineStr">
        <is>
          <t>Lakeshore Tennis Club</t>
        </is>
      </c>
      <c r="I693" t="n">
        <v>38.1</v>
      </c>
      <c r="J693" s="4" t="n">
        <v>32</v>
      </c>
      <c r="K693" t="inlineStr">
        <is>
          <t>5 / 27</t>
        </is>
      </c>
      <c r="L693" t="inlineStr">
        <is>
          <t>2 / 4</t>
        </is>
      </c>
      <c r="M693" s="5" t="n">
        <v>0.16</v>
      </c>
      <c r="N693" s="5" t="n">
        <v>0.33</v>
      </c>
    </row>
    <row r="694">
      <c r="A694" t="n">
        <v>693</v>
      </c>
      <c r="B694" t="n">
        <v>2014</v>
      </c>
      <c r="C694" t="inlineStr">
        <is>
          <t>Dina Chakri</t>
        </is>
      </c>
      <c r="D694">
        <f>HYPERLINK("https://ota.tournamentsoftware.com/player-profile/8824FD85-93E3-4F7D-8968-FC836D77769D", "Link")</f>
        <v/>
      </c>
      <c r="E694" s="3" t="n">
        <v>22.953</v>
      </c>
      <c r="F694" s="4" t="n">
        <v>7</v>
      </c>
      <c r="G694" t="inlineStr">
        <is>
          <t>Tennis Québec</t>
        </is>
      </c>
      <c r="H694" t="inlineStr">
        <is>
          <t>Tennis 13</t>
        </is>
      </c>
      <c r="I694" t="n">
        <v>38.9</v>
      </c>
      <c r="J694" s="4" t="n">
        <v>10</v>
      </c>
      <c r="K694" t="inlineStr">
        <is>
          <t>2 / 8</t>
        </is>
      </c>
      <c r="L694" t="inlineStr">
        <is>
          <t>2 / 8</t>
        </is>
      </c>
      <c r="M694" s="5" t="n">
        <v>0.2</v>
      </c>
      <c r="N694" s="5" t="n">
        <v>0.2</v>
      </c>
    </row>
    <row r="695">
      <c r="A695" t="n">
        <v>694</v>
      </c>
      <c r="B695" t="n">
        <v>2014</v>
      </c>
      <c r="C695" t="inlineStr">
        <is>
          <t>Jasmine El Ouadi</t>
        </is>
      </c>
      <c r="D695">
        <f>HYPERLINK("https://ota.tournamentsoftware.com/player-profile/FBECFAB6-3ABF-4F1B-AD1C-230CB79A1119", "Link")</f>
        <v/>
      </c>
      <c r="E695" s="3" t="n">
        <v>22.903</v>
      </c>
      <c r="F695" s="4" t="n">
        <v>6</v>
      </c>
      <c r="G695" t="inlineStr">
        <is>
          <t>Tennis Alberta</t>
        </is>
      </c>
      <c r="H695" t="inlineStr">
        <is>
          <t>Calgary - Public</t>
        </is>
      </c>
      <c r="I695" t="n">
        <v>40</v>
      </c>
      <c r="J695" s="4" t="n">
        <v>11</v>
      </c>
      <c r="K695" t="inlineStr">
        <is>
          <t>0 / 11</t>
        </is>
      </c>
      <c r="L695" t="inlineStr">
        <is>
          <t>0 / 3</t>
        </is>
      </c>
      <c r="M695" s="5" t="n">
        <v>0</v>
      </c>
      <c r="N695" s="5" t="n">
        <v>0</v>
      </c>
    </row>
    <row r="696">
      <c r="A696" t="n">
        <v>695</v>
      </c>
      <c r="B696" t="n">
        <v>2016</v>
      </c>
      <c r="C696" t="inlineStr">
        <is>
          <t>Emma Yu</t>
        </is>
      </c>
      <c r="D696">
        <f>HYPERLINK("https://ota.tournamentsoftware.com/player-profile/08E91FF6-D5E8-42FC-9B0D-2002B0263706", "Link")</f>
        <v/>
      </c>
      <c r="E696" s="3" t="n">
        <v>22.896</v>
      </c>
      <c r="F696" s="4" t="n">
        <v>4</v>
      </c>
      <c r="G696" t="inlineStr">
        <is>
          <t>Tennis Nova Scotia</t>
        </is>
      </c>
      <c r="H696" t="inlineStr">
        <is>
          <t>Atlantic Tennis Centre</t>
        </is>
      </c>
      <c r="I696" t="n">
        <v>36</v>
      </c>
      <c r="J696" s="4" t="n">
        <v>41</v>
      </c>
      <c r="K696" t="inlineStr">
        <is>
          <t>24 / 17</t>
        </is>
      </c>
      <c r="L696" t="inlineStr">
        <is>
          <t>16 / 6</t>
        </is>
      </c>
      <c r="M696" s="5" t="n">
        <v>0.59</v>
      </c>
      <c r="N696" s="5" t="n">
        <v>0.73</v>
      </c>
    </row>
    <row r="697">
      <c r="A697" t="n">
        <v>696</v>
      </c>
      <c r="B697" t="n">
        <v>2015</v>
      </c>
      <c r="C697" t="inlineStr">
        <is>
          <t>Laila Hilmi</t>
        </is>
      </c>
      <c r="D697">
        <f>HYPERLINK("https://ota.tournamentsoftware.com/player-profile/73A707F1-78B1-45FE-A608-D2E6AA82EA8F", "Link")</f>
        <v/>
      </c>
      <c r="E697" s="3" t="n">
        <v>22.595</v>
      </c>
      <c r="F697" s="4" t="n">
        <v>3</v>
      </c>
      <c r="G697" t="inlineStr">
        <is>
          <t>Tennis Québec</t>
        </is>
      </c>
      <c r="H697" t="inlineStr">
        <is>
          <t>Tennis Montréal Excellence</t>
        </is>
      </c>
      <c r="I697" t="inlineStr">
        <is>
          <t>unavailable</t>
        </is>
      </c>
      <c r="J697" s="4" t="n">
        <v>46</v>
      </c>
      <c r="K697" t="inlineStr">
        <is>
          <t>13 / 33</t>
        </is>
      </c>
      <c r="L697" t="inlineStr">
        <is>
          <t>4 / 3</t>
        </is>
      </c>
      <c r="M697" s="5" t="n">
        <v>0.28</v>
      </c>
      <c r="N697" s="5" t="n">
        <v>0.57</v>
      </c>
    </row>
    <row r="698">
      <c r="A698" t="n">
        <v>697</v>
      </c>
      <c r="B698" t="n">
        <v>2012</v>
      </c>
      <c r="C698" t="inlineStr">
        <is>
          <t>Ruike Ni</t>
        </is>
      </c>
      <c r="D698">
        <f>HYPERLINK("https://ota.tournamentsoftware.com/player-profile/862000EB-CE8E-4CA2-BA1E-5441407CA2E5", "Link")</f>
        <v/>
      </c>
      <c r="E698" s="3" t="n">
        <v>22.464</v>
      </c>
      <c r="F698" s="4" t="n">
        <v>2</v>
      </c>
      <c r="G698" t="inlineStr">
        <is>
          <t>British Columbia</t>
        </is>
      </c>
      <c r="H698" t="inlineStr">
        <is>
          <t>Tennis for Life</t>
        </is>
      </c>
      <c r="I698" t="n">
        <v>38.5</v>
      </c>
      <c r="J698" s="4" t="n">
        <v>7</v>
      </c>
      <c r="K698" t="inlineStr">
        <is>
          <t>2 / 5</t>
        </is>
      </c>
      <c r="L698" t="inlineStr">
        <is>
          <t>0 / 2</t>
        </is>
      </c>
      <c r="M698" s="5" t="n">
        <v>0.29</v>
      </c>
      <c r="N698" s="5" t="n">
        <v>0</v>
      </c>
    </row>
    <row r="699">
      <c r="A699" t="n">
        <v>698</v>
      </c>
      <c r="B699" t="n">
        <v>2014</v>
      </c>
      <c r="C699" t="inlineStr">
        <is>
          <t>Ariella Naomi Shegelman</t>
        </is>
      </c>
      <c r="D699">
        <f>HYPERLINK("https://ota.tournamentsoftware.com/player-profile/F4A076BF-B4C6-4301-B22A-3E13FD483AD5", "Link")</f>
        <v/>
      </c>
      <c r="E699" s="3" t="n">
        <v>22.405</v>
      </c>
      <c r="F699" s="4" t="n">
        <v>3</v>
      </c>
      <c r="G699" t="inlineStr">
        <is>
          <t>Ontario Tennis Association</t>
        </is>
      </c>
      <c r="H699" t="inlineStr">
        <is>
          <t>Concord Tennis Academy</t>
        </is>
      </c>
      <c r="I699" t="n">
        <v>35.9</v>
      </c>
      <c r="J699" s="4" t="n">
        <v>28</v>
      </c>
      <c r="K699" t="inlineStr">
        <is>
          <t>14 / 14</t>
        </is>
      </c>
      <c r="L699" t="inlineStr">
        <is>
          <t>4 / 4</t>
        </is>
      </c>
      <c r="M699" s="5" t="n">
        <v>0.5</v>
      </c>
      <c r="N699" s="5" t="n">
        <v>0.5</v>
      </c>
    </row>
    <row r="700">
      <c r="A700" t="n">
        <v>699</v>
      </c>
      <c r="B700" t="n">
        <v>2012</v>
      </c>
      <c r="C700" t="inlineStr">
        <is>
          <t>LUCY HA</t>
        </is>
      </c>
      <c r="D700">
        <f>HYPERLINK("https://ota.tournamentsoftware.com/player-profile/5289FB1D-8B94-446A-83C5-187068CE2F5D", "Link")</f>
        <v/>
      </c>
      <c r="E700" s="3" t="n">
        <v>22.167</v>
      </c>
      <c r="F700" s="4" t="n">
        <v>3</v>
      </c>
      <c r="G700" t="inlineStr">
        <is>
          <t>British Columbia</t>
        </is>
      </c>
      <c r="H700" t="inlineStr">
        <is>
          <t>Tennis BC Hub @ Richmond</t>
        </is>
      </c>
      <c r="I700" t="n">
        <v>37.7</v>
      </c>
      <c r="J700" s="4" t="n">
        <v>28</v>
      </c>
      <c r="K700" t="inlineStr">
        <is>
          <t>4 / 24</t>
        </is>
      </c>
      <c r="L700" t="inlineStr">
        <is>
          <t>0 / 2</t>
        </is>
      </c>
      <c r="M700" s="5" t="n">
        <v>0.14</v>
      </c>
      <c r="N700" s="5" t="n">
        <v>0</v>
      </c>
    </row>
    <row r="701">
      <c r="A701" t="n">
        <v>700</v>
      </c>
      <c r="B701" t="n">
        <v>2015</v>
      </c>
      <c r="C701" t="inlineStr">
        <is>
          <t>Nalla Isabella Lteif</t>
        </is>
      </c>
      <c r="D701">
        <f>HYPERLINK("https://ota.tournamentsoftware.com/player-profile/B0DC1A2D-B87B-4E66-A5EE-9C9F6EC668D4", "Link")</f>
        <v/>
      </c>
      <c r="E701" s="3" t="n">
        <v>21.849</v>
      </c>
      <c r="F701" s="4" t="n">
        <v>4</v>
      </c>
      <c r="G701" t="inlineStr">
        <is>
          <t>Tennis Québec</t>
        </is>
      </c>
      <c r="H701" t="inlineStr">
        <is>
          <t>Carrefour Multisports</t>
        </is>
      </c>
      <c r="I701" t="n">
        <v>39</v>
      </c>
      <c r="J701" s="4" t="n">
        <v>12</v>
      </c>
      <c r="K701" t="inlineStr">
        <is>
          <t>5 / 7</t>
        </is>
      </c>
      <c r="L701" t="inlineStr">
        <is>
          <t>3 / 4</t>
        </is>
      </c>
      <c r="M701" s="5" t="n">
        <v>0.42</v>
      </c>
      <c r="N701" s="5" t="n">
        <v>0.43</v>
      </c>
    </row>
    <row r="702">
      <c r="A702" t="n">
        <v>701</v>
      </c>
      <c r="B702" t="n">
        <v>2015</v>
      </c>
      <c r="C702" t="inlineStr">
        <is>
          <t>Hannah Lewis</t>
        </is>
      </c>
      <c r="D702">
        <f>HYPERLINK("https://ota.tournamentsoftware.com/player-profile/B25290C5-DB82-4ED0-843D-33516AFF301F", "Link")</f>
        <v/>
      </c>
      <c r="E702" s="3" t="n">
        <v>21.645</v>
      </c>
      <c r="F702" s="4" t="n">
        <v>4</v>
      </c>
      <c r="G702" t="inlineStr">
        <is>
          <t>Ontario Tennis Association</t>
        </is>
      </c>
      <c r="H702" t="inlineStr">
        <is>
          <t>Tam Heather Tennis Club</t>
        </is>
      </c>
      <c r="I702" t="n">
        <v>38.3</v>
      </c>
      <c r="J702" s="4" t="n">
        <v>40</v>
      </c>
      <c r="K702" t="inlineStr">
        <is>
          <t>11 / 29</t>
        </is>
      </c>
      <c r="L702" t="inlineStr">
        <is>
          <t>10 / 12</t>
        </is>
      </c>
      <c r="M702" s="5" t="n">
        <v>0.28</v>
      </c>
      <c r="N702" s="5" t="n">
        <v>0.45</v>
      </c>
    </row>
    <row r="703">
      <c r="A703" t="n">
        <v>702</v>
      </c>
      <c r="B703" t="n">
        <v>2014</v>
      </c>
      <c r="C703" t="inlineStr">
        <is>
          <t>Camila Danielle Arias</t>
        </is>
      </c>
      <c r="D703">
        <f>HYPERLINK("https://ota.tournamentsoftware.com/player-profile/7E2B5B8F-95C7-4374-8F7F-D60E81CAB657", "Link")</f>
        <v/>
      </c>
      <c r="E703" s="3" t="n">
        <v>21.537</v>
      </c>
      <c r="F703" s="4" t="n">
        <v>6</v>
      </c>
      <c r="G703" t="inlineStr">
        <is>
          <t>Tennis Québec</t>
        </is>
      </c>
      <c r="H703" t="inlineStr">
        <is>
          <t>SANI Sport</t>
        </is>
      </c>
      <c r="I703" t="inlineStr">
        <is>
          <t>unavailable</t>
        </is>
      </c>
      <c r="J703" s="4" t="n">
        <v>40</v>
      </c>
      <c r="K703" t="inlineStr">
        <is>
          <t>13 / 27</t>
        </is>
      </c>
      <c r="L703" t="inlineStr">
        <is>
          <t>4 / 4</t>
        </is>
      </c>
      <c r="M703" s="5" t="n">
        <v>0.33</v>
      </c>
      <c r="N703" s="5" t="n">
        <v>0.5</v>
      </c>
    </row>
    <row r="704">
      <c r="A704" t="n">
        <v>703</v>
      </c>
      <c r="B704" t="n">
        <v>2016</v>
      </c>
      <c r="C704" t="inlineStr">
        <is>
          <t>Brielle Han</t>
        </is>
      </c>
      <c r="D704">
        <f>HYPERLINK("https://ota.tournamentsoftware.com/player-profile/76F58D78-6F14-462B-9C79-943F718FD16A", "Link")</f>
        <v/>
      </c>
      <c r="E704" s="3" t="n">
        <v>21.501</v>
      </c>
      <c r="F704" s="4" t="n">
        <v>9</v>
      </c>
      <c r="G704" t="inlineStr">
        <is>
          <t>British Columbia</t>
        </is>
      </c>
      <c r="H704" t="inlineStr">
        <is>
          <t>North Vancouver Tennis Centre</t>
        </is>
      </c>
      <c r="I704" t="inlineStr">
        <is>
          <t>unavailable</t>
        </is>
      </c>
      <c r="J704" s="4" t="n">
        <v>200</v>
      </c>
      <c r="K704" t="inlineStr">
        <is>
          <t>69 / 131</t>
        </is>
      </c>
      <c r="L704" t="inlineStr">
        <is>
          <t>21 / 19</t>
        </is>
      </c>
      <c r="M704" s="5" t="n">
        <v>0.34</v>
      </c>
      <c r="N704" s="5" t="n">
        <v>0.53</v>
      </c>
    </row>
    <row r="705">
      <c r="A705" t="n">
        <v>704</v>
      </c>
      <c r="B705" t="n">
        <v>2015</v>
      </c>
      <c r="C705" t="inlineStr">
        <is>
          <t>Élisa Deschatelets</t>
        </is>
      </c>
      <c r="D705">
        <f>HYPERLINK("https://ota.tournamentsoftware.com/player-profile/C5ECD0AF-5510-44E4-897A-6A3A4D73CDEF", "Link")</f>
        <v/>
      </c>
      <c r="E705" s="3" t="n">
        <v>21.501</v>
      </c>
      <c r="F705" s="4" t="n">
        <v>4</v>
      </c>
      <c r="G705" t="inlineStr">
        <is>
          <t>Tennis Québec</t>
        </is>
      </c>
      <c r="H705" t="inlineStr">
        <is>
          <t>Centre Récréatif Rock Forest / École Tennestrie</t>
        </is>
      </c>
      <c r="I705" t="n">
        <v>40</v>
      </c>
      <c r="J705" s="4" t="n">
        <v>25</v>
      </c>
      <c r="K705" t="inlineStr">
        <is>
          <t>4 / 21</t>
        </is>
      </c>
      <c r="L705" t="inlineStr">
        <is>
          <t>0 / 7</t>
        </is>
      </c>
      <c r="M705" s="5" t="n">
        <v>0.16</v>
      </c>
      <c r="N705" s="5" t="n">
        <v>0</v>
      </c>
    </row>
    <row r="706">
      <c r="A706" t="n">
        <v>705</v>
      </c>
      <c r="B706" t="n">
        <v>2015</v>
      </c>
      <c r="C706" t="inlineStr">
        <is>
          <t>Tara Sepahsalari</t>
        </is>
      </c>
      <c r="D706">
        <f>HYPERLINK("https://ota.tournamentsoftware.com/player-profile/EB26731B-07C8-4C3E-8214-7DD265D4A843", "Link")</f>
        <v/>
      </c>
      <c r="E706" s="3" t="n">
        <v>21.226</v>
      </c>
      <c r="F706" s="4" t="n">
        <v>5</v>
      </c>
      <c r="G706" t="inlineStr">
        <is>
          <t>Tennis Québec</t>
        </is>
      </c>
      <c r="H706" t="inlineStr">
        <is>
          <t>EB Tennis inc.</t>
        </is>
      </c>
      <c r="I706" t="n">
        <v>40</v>
      </c>
      <c r="J706" s="4" t="n">
        <v>33</v>
      </c>
      <c r="K706" t="inlineStr">
        <is>
          <t>5 / 28</t>
        </is>
      </c>
      <c r="L706" t="inlineStr">
        <is>
          <t>1 / 8</t>
        </is>
      </c>
      <c r="M706" s="5" t="n">
        <v>0.15</v>
      </c>
      <c r="N706" s="5" t="n">
        <v>0.11</v>
      </c>
    </row>
    <row r="707">
      <c r="A707" t="n">
        <v>706</v>
      </c>
      <c r="B707" t="n">
        <v>2012</v>
      </c>
      <c r="C707" t="inlineStr">
        <is>
          <t>Elise Landry</t>
        </is>
      </c>
      <c r="D707">
        <f>HYPERLINK("https://ota.tournamentsoftware.com/player-profile/E61A7837-F4EB-4DDA-B26F-2D7CE7910B80", "Link")</f>
        <v/>
      </c>
      <c r="E707" s="3" t="n">
        <v>20.99</v>
      </c>
      <c r="F707" s="4" t="n">
        <v>2</v>
      </c>
      <c r="G707" t="inlineStr">
        <is>
          <t>Ontario Tennis Association</t>
        </is>
      </c>
      <c r="H707" t="inlineStr">
        <is>
          <t>Toronto Tennis City</t>
        </is>
      </c>
      <c r="I707" t="inlineStr">
        <is>
          <t>unavailable</t>
        </is>
      </c>
      <c r="J707" s="4" t="n">
        <v>7</v>
      </c>
      <c r="K707" t="inlineStr">
        <is>
          <t>5 / 2</t>
        </is>
      </c>
      <c r="L707" t="inlineStr">
        <is>
          <t>5 / 2</t>
        </is>
      </c>
      <c r="M707" s="5" t="n">
        <v>0.71</v>
      </c>
      <c r="N707" s="5" t="n">
        <v>0.71</v>
      </c>
    </row>
    <row r="708">
      <c r="A708" t="n">
        <v>707</v>
      </c>
      <c r="B708" t="n">
        <v>2013</v>
      </c>
      <c r="C708" t="inlineStr">
        <is>
          <t>Robin Lee</t>
        </is>
      </c>
      <c r="D708">
        <f>HYPERLINK("https://ota.tournamentsoftware.com/player-profile/0DB12770-F2FF-469C-87ED-5B5A242C6A08", "Link")</f>
        <v/>
      </c>
      <c r="E708" s="3" t="n">
        <v>20.946</v>
      </c>
      <c r="F708" s="4" t="n">
        <v>4</v>
      </c>
      <c r="G708" t="inlineStr">
        <is>
          <t>Ontario Tennis Association</t>
        </is>
      </c>
      <c r="H708" t="inlineStr">
        <is>
          <t>No Club</t>
        </is>
      </c>
      <c r="I708" t="n">
        <v>39.2</v>
      </c>
      <c r="J708" s="4" t="n">
        <v>58</v>
      </c>
      <c r="K708" t="inlineStr">
        <is>
          <t>11 / 47</t>
        </is>
      </c>
      <c r="L708" t="inlineStr">
        <is>
          <t>0 / 0</t>
        </is>
      </c>
      <c r="M708" s="5" t="n">
        <v>0.19</v>
      </c>
      <c r="N708" s="5" t="n">
        <v>0</v>
      </c>
    </row>
    <row r="709">
      <c r="A709" t="n">
        <v>708</v>
      </c>
      <c r="B709" t="n">
        <v>2016</v>
      </c>
      <c r="C709" t="inlineStr">
        <is>
          <t>Yuetian Caroline Guo</t>
        </is>
      </c>
      <c r="D709">
        <f>HYPERLINK("https://ota.tournamentsoftware.com/player-profile/D9EEB088-31A0-4FD1-A91B-A82319998935", "Link")</f>
        <v/>
      </c>
      <c r="E709" s="3" t="n">
        <v>20.89</v>
      </c>
      <c r="F709" s="4" t="n">
        <v>10</v>
      </c>
      <c r="G709" t="inlineStr">
        <is>
          <t>British Columbia</t>
        </is>
      </c>
      <c r="H709" t="inlineStr">
        <is>
          <t>The Tennis Centre</t>
        </is>
      </c>
      <c r="I709" t="n">
        <v>37.1</v>
      </c>
      <c r="J709" s="4" t="n">
        <v>102</v>
      </c>
      <c r="K709" t="inlineStr">
        <is>
          <t>58 / 44</t>
        </is>
      </c>
      <c r="L709" t="inlineStr">
        <is>
          <t>28 / 18</t>
        </is>
      </c>
      <c r="M709" s="5" t="n">
        <v>0.57</v>
      </c>
      <c r="N709" s="5" t="n">
        <v>0.61</v>
      </c>
    </row>
    <row r="710">
      <c r="A710" t="n">
        <v>709</v>
      </c>
      <c r="B710" t="n">
        <v>2013</v>
      </c>
      <c r="C710" t="inlineStr">
        <is>
          <t>Vedika P Sant</t>
        </is>
      </c>
      <c r="D710">
        <f>HYPERLINK("https://ota.tournamentsoftware.com/player-profile/37441797-5F95-4518-997F-3F1602AC6E85", "Link")</f>
        <v/>
      </c>
      <c r="E710" s="3" t="n">
        <v>20.667</v>
      </c>
      <c r="F710" s="4" t="n">
        <v>1</v>
      </c>
      <c r="G710" t="inlineStr">
        <is>
          <t>Ontario Tennis Association</t>
        </is>
      </c>
      <c r="H710" t="inlineStr">
        <is>
          <t>Martingrove Tennis Club</t>
        </is>
      </c>
      <c r="I710" t="inlineStr">
        <is>
          <t>unavailable</t>
        </is>
      </c>
      <c r="J710" s="4" t="n">
        <v>8</v>
      </c>
      <c r="K710" t="inlineStr">
        <is>
          <t>2 / 6</t>
        </is>
      </c>
      <c r="L710" t="inlineStr">
        <is>
          <t>0 / 1</t>
        </is>
      </c>
      <c r="M710" s="5" t="n">
        <v>0.25</v>
      </c>
      <c r="N710" s="5" t="n">
        <v>0</v>
      </c>
    </row>
    <row r="711">
      <c r="A711" t="n">
        <v>710</v>
      </c>
      <c r="B711" t="n">
        <v>2016</v>
      </c>
      <c r="C711" t="inlineStr">
        <is>
          <t>Hazel Geng</t>
        </is>
      </c>
      <c r="D711">
        <f>HYPERLINK("https://ota.tournamentsoftware.com/player-profile/00BB4A74-B4FB-4FAC-B874-79D9E778FAAE", "Link")</f>
        <v/>
      </c>
      <c r="E711" s="3" t="n">
        <v>20.417</v>
      </c>
      <c r="F711" s="4" t="n">
        <v>4</v>
      </c>
      <c r="G711" t="inlineStr">
        <is>
          <t>British Columbia</t>
        </is>
      </c>
      <c r="H711" t="inlineStr">
        <is>
          <t>Vancouver Lawn Tennis and Badminton Club</t>
        </is>
      </c>
      <c r="I711" t="n">
        <v>36.1</v>
      </c>
      <c r="J711" s="4" t="n">
        <v>48</v>
      </c>
      <c r="K711" t="inlineStr">
        <is>
          <t>15 / 33</t>
        </is>
      </c>
      <c r="L711" t="inlineStr">
        <is>
          <t>8 / 5</t>
        </is>
      </c>
      <c r="M711" s="5" t="n">
        <v>0.31</v>
      </c>
      <c r="N711" s="5" t="n">
        <v>0.62</v>
      </c>
    </row>
    <row r="712">
      <c r="A712" t="n">
        <v>711</v>
      </c>
      <c r="B712" t="n">
        <v>2013</v>
      </c>
      <c r="C712" t="inlineStr">
        <is>
          <t>Rebecca Maria Marcu</t>
        </is>
      </c>
      <c r="D712">
        <f>HYPERLINK("https://ota.tournamentsoftware.com/player-profile/1A9DB997-6193-4975-8534-F68D4F83BF32", "Link")</f>
        <v/>
      </c>
      <c r="E712" s="3" t="n">
        <v>20.131</v>
      </c>
      <c r="F712" s="4" t="n">
        <v>2</v>
      </c>
      <c r="G712" t="inlineStr">
        <is>
          <t>Ontario Tennis Association</t>
        </is>
      </c>
      <c r="H712" t="inlineStr">
        <is>
          <t>National Capital Tennis Association</t>
        </is>
      </c>
      <c r="I712" t="inlineStr">
        <is>
          <t>unavailable</t>
        </is>
      </c>
      <c r="J712" s="4" t="n">
        <v>4</v>
      </c>
      <c r="K712" t="inlineStr">
        <is>
          <t>1 / 3</t>
        </is>
      </c>
      <c r="L712" t="inlineStr">
        <is>
          <t>0 / 2</t>
        </is>
      </c>
      <c r="M712" s="5" t="n">
        <v>0.25</v>
      </c>
      <c r="N712" s="5" t="n">
        <v>0</v>
      </c>
    </row>
    <row r="713">
      <c r="A713" t="n">
        <v>712</v>
      </c>
      <c r="B713" t="n">
        <v>2014</v>
      </c>
      <c r="C713" t="inlineStr">
        <is>
          <t>Cheryl Elizabeth Ong</t>
        </is>
      </c>
      <c r="D713">
        <f>HYPERLINK("https://ota.tournamentsoftware.com/player-profile/11AC4E6A-0B03-4BB4-ACB7-333E7FD9064F", "Link")</f>
        <v/>
      </c>
      <c r="E713" s="3" t="n">
        <v>20.052</v>
      </c>
      <c r="F713" s="4" t="n">
        <v>9</v>
      </c>
      <c r="G713" t="inlineStr">
        <is>
          <t>British Columbia</t>
        </is>
      </c>
      <c r="H713" t="inlineStr">
        <is>
          <t>Tennis for Life</t>
        </is>
      </c>
      <c r="I713" t="inlineStr">
        <is>
          <t>unavailable</t>
        </is>
      </c>
      <c r="J713" s="4" t="n">
        <v>38</v>
      </c>
      <c r="K713" t="inlineStr">
        <is>
          <t>11 / 27</t>
        </is>
      </c>
      <c r="L713" t="inlineStr">
        <is>
          <t>7 / 11</t>
        </is>
      </c>
      <c r="M713" s="5" t="n">
        <v>0.29</v>
      </c>
      <c r="N713" s="5" t="n">
        <v>0.39</v>
      </c>
    </row>
    <row r="714">
      <c r="A714" t="n">
        <v>713</v>
      </c>
      <c r="B714" t="n">
        <v>2012</v>
      </c>
      <c r="C714" t="inlineStr">
        <is>
          <t>Emily Chai</t>
        </is>
      </c>
      <c r="D714">
        <f>HYPERLINK("https://ota.tournamentsoftware.com/player-profile/0DE38792-F237-4087-A5C1-369B6A3E0088", "Link")</f>
        <v/>
      </c>
      <c r="E714" s="3" t="n">
        <v>19.958</v>
      </c>
      <c r="F714" s="4" t="n">
        <v>2</v>
      </c>
      <c r="G714" t="inlineStr">
        <is>
          <t>Ontario Tennis Association</t>
        </is>
      </c>
      <c r="H714" t="inlineStr">
        <is>
          <t>ON Tennis Toronto No Club</t>
        </is>
      </c>
      <c r="I714" t="n">
        <v>38.4</v>
      </c>
      <c r="J714" s="4" t="n">
        <v>7</v>
      </c>
      <c r="K714" t="inlineStr">
        <is>
          <t>1 / 6</t>
        </is>
      </c>
      <c r="L714" t="inlineStr">
        <is>
          <t>1 / 6</t>
        </is>
      </c>
      <c r="M714" s="5" t="n">
        <v>0.14</v>
      </c>
      <c r="N714" s="5" t="n">
        <v>0.14</v>
      </c>
    </row>
    <row r="715">
      <c r="A715" t="n">
        <v>714</v>
      </c>
      <c r="B715" t="n">
        <v>2012</v>
      </c>
      <c r="C715" t="inlineStr">
        <is>
          <t>Yulli Anne Tsang</t>
        </is>
      </c>
      <c r="D715">
        <f>HYPERLINK("https://ota.tournamentsoftware.com/player-profile/E8CCFA74-9017-45A2-B403-724A9977CD1E", "Link")</f>
        <v/>
      </c>
      <c r="E715" s="3" t="n">
        <v>19.768</v>
      </c>
      <c r="F715" s="4" t="n">
        <v>5</v>
      </c>
      <c r="G715" t="inlineStr">
        <is>
          <t>Tennis Alberta</t>
        </is>
      </c>
      <c r="H715" t="inlineStr">
        <is>
          <t>Derrick Golf &amp; Winter Club</t>
        </is>
      </c>
      <c r="I715" t="n">
        <v>35.9</v>
      </c>
      <c r="J715" s="4" t="n">
        <v>28</v>
      </c>
      <c r="K715" t="inlineStr">
        <is>
          <t>9 / 19</t>
        </is>
      </c>
      <c r="L715" t="inlineStr">
        <is>
          <t>4 / 8</t>
        </is>
      </c>
      <c r="M715" s="5" t="n">
        <v>0.32</v>
      </c>
      <c r="N715" s="5" t="n">
        <v>0.33</v>
      </c>
    </row>
    <row r="716">
      <c r="A716" t="n">
        <v>715</v>
      </c>
      <c r="B716" t="n">
        <v>2016</v>
      </c>
      <c r="C716" t="inlineStr">
        <is>
          <t>Heidi Liu</t>
        </is>
      </c>
      <c r="D716">
        <f>HYPERLINK("https://ota.tournamentsoftware.com/player-profile/E3F0466B-50E4-4105-A35A-1BB6B1C1C09C", "Link")</f>
        <v/>
      </c>
      <c r="E716" s="3" t="n">
        <v>19.65</v>
      </c>
      <c r="F716" s="4" t="n">
        <v>7</v>
      </c>
      <c r="G716" t="inlineStr">
        <is>
          <t>British Columbia</t>
        </is>
      </c>
      <c r="H716" t="inlineStr">
        <is>
          <t>UBC Tennis Centre</t>
        </is>
      </c>
      <c r="I716" t="n">
        <v>38</v>
      </c>
      <c r="J716" s="4" t="n">
        <v>79</v>
      </c>
      <c r="K716" t="inlineStr">
        <is>
          <t>45 / 34</t>
        </is>
      </c>
      <c r="L716" t="inlineStr">
        <is>
          <t>22 / 21</t>
        </is>
      </c>
      <c r="M716" s="5" t="n">
        <v>0.57</v>
      </c>
      <c r="N716" s="5" t="n">
        <v>0.51</v>
      </c>
    </row>
    <row r="717">
      <c r="A717" t="n">
        <v>716</v>
      </c>
      <c r="B717" t="n">
        <v>2015</v>
      </c>
      <c r="C717" t="inlineStr">
        <is>
          <t>Isla Cowper</t>
        </is>
      </c>
      <c r="D717">
        <f>HYPERLINK("https://ota.tournamentsoftware.com/player-profile/B4F82BC2-5552-446F-89FC-C5F7C7A674B7", "Link")</f>
        <v/>
      </c>
      <c r="E717" s="3" t="n">
        <v>19.629</v>
      </c>
      <c r="F717" s="4" t="n">
        <v>6</v>
      </c>
      <c r="G717" t="inlineStr">
        <is>
          <t>Ontario Tennis Association</t>
        </is>
      </c>
      <c r="H717" t="inlineStr">
        <is>
          <t>Tam Heather Tennis Club</t>
        </is>
      </c>
      <c r="I717" t="n">
        <v>39.4</v>
      </c>
      <c r="J717" s="4" t="n">
        <v>68</v>
      </c>
      <c r="K717" t="inlineStr">
        <is>
          <t>28 / 40</t>
        </is>
      </c>
      <c r="L717" t="inlineStr">
        <is>
          <t>8 / 16</t>
        </is>
      </c>
      <c r="M717" s="5" t="n">
        <v>0.41</v>
      </c>
      <c r="N717" s="5" t="n">
        <v>0.33</v>
      </c>
    </row>
    <row r="718">
      <c r="A718" t="n">
        <v>717</v>
      </c>
      <c r="B718" t="n">
        <v>2014</v>
      </c>
      <c r="C718" t="inlineStr">
        <is>
          <t>Mia Mengchen Sun</t>
        </is>
      </c>
      <c r="D718">
        <f>HYPERLINK("https://ota.tournamentsoftware.com/player-profile/BFD3D157-D2B6-45BF-BE92-CACB69CCC59C", "Link")</f>
        <v/>
      </c>
      <c r="E718" s="3" t="n">
        <v>19.626</v>
      </c>
      <c r="F718" s="4" t="n">
        <v>5</v>
      </c>
      <c r="G718" t="inlineStr">
        <is>
          <t>Ontario Tennis Association</t>
        </is>
      </c>
      <c r="H718" t="inlineStr">
        <is>
          <t>Markham Tennis Club</t>
        </is>
      </c>
      <c r="I718" t="n">
        <v>37.9</v>
      </c>
      <c r="J718" s="4" t="n">
        <v>51</v>
      </c>
      <c r="K718" t="inlineStr">
        <is>
          <t>32 / 19</t>
        </is>
      </c>
      <c r="L718" t="inlineStr">
        <is>
          <t>0 / 0</t>
        </is>
      </c>
      <c r="M718" s="5" t="n">
        <v>0.63</v>
      </c>
      <c r="N718" s="5" t="n">
        <v>0</v>
      </c>
    </row>
    <row r="719">
      <c r="A719" t="n">
        <v>718</v>
      </c>
      <c r="B719" t="n">
        <v>2014</v>
      </c>
      <c r="C719" t="inlineStr">
        <is>
          <t>Mia Baker</t>
        </is>
      </c>
      <c r="D719">
        <f>HYPERLINK("https://ota.tournamentsoftware.com/player-profile/ABFF2DBE-5CD7-451A-B77E-526F2DB67DA2", "Link")</f>
        <v/>
      </c>
      <c r="E719" s="3" t="n">
        <v>19.588</v>
      </c>
      <c r="F719" s="4" t="n">
        <v>9</v>
      </c>
      <c r="G719" t="inlineStr">
        <is>
          <t>Tennis Québec</t>
        </is>
      </c>
      <c r="H719" t="inlineStr">
        <is>
          <t>SANI Sport</t>
        </is>
      </c>
      <c r="I719" t="n">
        <v>40</v>
      </c>
      <c r="J719" s="4" t="n">
        <v>59</v>
      </c>
      <c r="K719" t="inlineStr">
        <is>
          <t>2 / 57</t>
        </is>
      </c>
      <c r="L719" t="inlineStr">
        <is>
          <t>0 / 12</t>
        </is>
      </c>
      <c r="M719" s="5" t="n">
        <v>0.03</v>
      </c>
      <c r="N719" s="5" t="n">
        <v>0</v>
      </c>
    </row>
    <row r="720">
      <c r="A720" t="n">
        <v>719</v>
      </c>
      <c r="B720" t="n">
        <v>2017</v>
      </c>
      <c r="C720" t="inlineStr">
        <is>
          <t>Mackenzie Alexandra Greer</t>
        </is>
      </c>
      <c r="D720">
        <f>HYPERLINK("https://ota.tournamentsoftware.com/player-profile/E975EEBE-CD33-46CE-BFFF-1BB5A6FB8672", "Link")</f>
        <v/>
      </c>
      <c r="E720" s="3" t="n">
        <v>19.44</v>
      </c>
      <c r="F720" s="4" t="n">
        <v>3</v>
      </c>
      <c r="G720" t="inlineStr">
        <is>
          <t>Ontario Tennis Association</t>
        </is>
      </c>
      <c r="H720" t="inlineStr">
        <is>
          <t>Stefanovic Tennis Academy</t>
        </is>
      </c>
      <c r="I720" t="n">
        <v>37.2</v>
      </c>
      <c r="J720" s="4" t="n">
        <v>149</v>
      </c>
      <c r="K720" t="inlineStr">
        <is>
          <t>119 / 30</t>
        </is>
      </c>
      <c r="L720" t="inlineStr">
        <is>
          <t>75 / 12</t>
        </is>
      </c>
      <c r="M720" s="5" t="n">
        <v>0.8</v>
      </c>
      <c r="N720" s="5" t="n">
        <v>0.86</v>
      </c>
    </row>
    <row r="721">
      <c r="A721" t="n">
        <v>720</v>
      </c>
      <c r="B721" t="n">
        <v>2012</v>
      </c>
      <c r="C721" t="inlineStr">
        <is>
          <t>Leah Lalonde</t>
        </is>
      </c>
      <c r="D721">
        <f>HYPERLINK("https://ota.tournamentsoftware.com/player-profile/00453502-5F0D-45E9-960B-731844BB2EE7", "Link")</f>
        <v/>
      </c>
      <c r="E721" s="3" t="n">
        <v>19.385</v>
      </c>
      <c r="F721" s="4" t="n">
        <v>1</v>
      </c>
      <c r="G721" t="inlineStr">
        <is>
          <t>Ontario Tennis Association</t>
        </is>
      </c>
      <c r="H721" t="inlineStr">
        <is>
          <t>North Bay Tennis Club</t>
        </is>
      </c>
      <c r="I721" t="inlineStr">
        <is>
          <t>unavailable</t>
        </is>
      </c>
      <c r="J721" s="4" t="n">
        <v>79</v>
      </c>
      <c r="K721" t="inlineStr">
        <is>
          <t>47 / 32</t>
        </is>
      </c>
      <c r="L721" t="inlineStr">
        <is>
          <t>0 / 0</t>
        </is>
      </c>
      <c r="M721" s="5" t="n">
        <v>0.59</v>
      </c>
      <c r="N721" s="5" t="n">
        <v>0</v>
      </c>
    </row>
    <row r="722">
      <c r="A722" t="n">
        <v>721</v>
      </c>
      <c r="B722" t="n">
        <v>2014</v>
      </c>
      <c r="C722" t="inlineStr">
        <is>
          <t>Adele Cui</t>
        </is>
      </c>
      <c r="D722">
        <f>HYPERLINK("https://ota.tournamentsoftware.com/player-profile/E096F094-0386-4439-807E-E147F97C754F", "Link")</f>
        <v/>
      </c>
      <c r="E722" s="3" t="n">
        <v>19.024</v>
      </c>
      <c r="F722" s="4" t="n">
        <v>5</v>
      </c>
      <c r="G722" t="inlineStr">
        <is>
          <t>British Columbia</t>
        </is>
      </c>
      <c r="H722" t="inlineStr">
        <is>
          <t>UBC Tennis Centre</t>
        </is>
      </c>
      <c r="I722" t="n">
        <v>35.8</v>
      </c>
      <c r="J722" s="4" t="n">
        <v>80</v>
      </c>
      <c r="K722" t="inlineStr">
        <is>
          <t>46 / 34</t>
        </is>
      </c>
      <c r="L722" t="inlineStr">
        <is>
          <t>1 / 4</t>
        </is>
      </c>
      <c r="M722" s="5" t="n">
        <v>0.57</v>
      </c>
      <c r="N722" s="5" t="n">
        <v>0.2</v>
      </c>
    </row>
    <row r="723">
      <c r="A723" t="n">
        <v>722</v>
      </c>
      <c r="B723" t="n">
        <v>2014</v>
      </c>
      <c r="C723" t="inlineStr">
        <is>
          <t>Camilia Aroub</t>
        </is>
      </c>
      <c r="D723">
        <f>HYPERLINK("https://ota.tournamentsoftware.com/player-profile/7CE0472D-53F2-438D-B060-8BB037C14F01", "Link")</f>
        <v/>
      </c>
      <c r="E723" s="3" t="n">
        <v>18.866</v>
      </c>
      <c r="F723" s="4" t="n">
        <v>8</v>
      </c>
      <c r="G723" t="inlineStr">
        <is>
          <t>Tennis Québec</t>
        </is>
      </c>
      <c r="H723" t="inlineStr">
        <is>
          <t>Club Sportif Côte-de-Liesse</t>
        </is>
      </c>
      <c r="I723" t="n">
        <v>40</v>
      </c>
      <c r="J723" s="4" t="n">
        <v>16</v>
      </c>
      <c r="K723" t="inlineStr">
        <is>
          <t>2 / 14</t>
        </is>
      </c>
      <c r="L723" t="inlineStr">
        <is>
          <t>2 / 11</t>
        </is>
      </c>
      <c r="M723" s="5" t="n">
        <v>0.12</v>
      </c>
      <c r="N723" s="5" t="n">
        <v>0.15</v>
      </c>
    </row>
    <row r="724">
      <c r="A724" t="n">
        <v>723</v>
      </c>
      <c r="B724" t="n">
        <v>2014</v>
      </c>
      <c r="C724" t="inlineStr">
        <is>
          <t>Olivia V. Jin</t>
        </is>
      </c>
      <c r="D724">
        <f>HYPERLINK("https://ota.tournamentsoftware.com/player-profile/88713252-C9AF-4DC4-B40D-11479A26EE47", "Link")</f>
        <v/>
      </c>
      <c r="E724" s="3" t="n">
        <v>18.821</v>
      </c>
      <c r="F724" s="4" t="n">
        <v>8</v>
      </c>
      <c r="G724" t="inlineStr">
        <is>
          <t>British Columbia</t>
        </is>
      </c>
      <c r="H724" t="inlineStr">
        <is>
          <t>Hollyburn Country Club</t>
        </is>
      </c>
      <c r="I724" t="n">
        <v>35.6</v>
      </c>
      <c r="J724" s="4" t="n">
        <v>85</v>
      </c>
      <c r="K724" t="inlineStr">
        <is>
          <t>26 / 59</t>
        </is>
      </c>
      <c r="L724" t="inlineStr">
        <is>
          <t>6 / 2</t>
        </is>
      </c>
      <c r="M724" s="5" t="n">
        <v>0.31</v>
      </c>
      <c r="N724" s="5" t="n">
        <v>0.75</v>
      </c>
    </row>
    <row r="725">
      <c r="A725" t="n">
        <v>724</v>
      </c>
      <c r="B725" t="n">
        <v>2012</v>
      </c>
      <c r="C725" t="inlineStr">
        <is>
          <t>Maddy Frances Hughes</t>
        </is>
      </c>
      <c r="D725">
        <f>HYPERLINK("https://ota.tournamentsoftware.com/player-profile/78566C46-653E-4667-ADCE-638FA56C318F", "Link")</f>
        <v/>
      </c>
      <c r="E725" s="3" t="n">
        <v>18.771</v>
      </c>
      <c r="F725" s="4" t="n">
        <v>2</v>
      </c>
      <c r="G725" t="inlineStr">
        <is>
          <t>Ontario Tennis Association</t>
        </is>
      </c>
      <c r="H725" t="inlineStr">
        <is>
          <t>Boulevard Club</t>
        </is>
      </c>
      <c r="I725" t="n">
        <v>37.7</v>
      </c>
      <c r="J725" s="4" t="n">
        <v>41</v>
      </c>
      <c r="K725" t="inlineStr">
        <is>
          <t>16 / 25</t>
        </is>
      </c>
      <c r="L725" t="inlineStr">
        <is>
          <t>4 / 7</t>
        </is>
      </c>
      <c r="M725" s="5" t="n">
        <v>0.39</v>
      </c>
      <c r="N725" s="5" t="n">
        <v>0.36</v>
      </c>
    </row>
    <row r="726">
      <c r="A726" t="n">
        <v>725</v>
      </c>
      <c r="B726" t="n">
        <v>2012</v>
      </c>
      <c r="C726" t="inlineStr">
        <is>
          <t>Diya Parkash</t>
        </is>
      </c>
      <c r="D726">
        <f>HYPERLINK("https://ota.tournamentsoftware.com/player-profile/73A3C93B-23D0-4FC2-9B92-CA5DFE4335FD", "Link")</f>
        <v/>
      </c>
      <c r="E726" s="3" t="n">
        <v>18.484</v>
      </c>
      <c r="F726" s="4" t="n">
        <v>1</v>
      </c>
      <c r="G726" t="inlineStr">
        <is>
          <t>Tennis Nova Scotia</t>
        </is>
      </c>
      <c r="H726" t="inlineStr">
        <is>
          <t>HEADSTART</t>
        </is>
      </c>
      <c r="I726" t="n">
        <v>36.8</v>
      </c>
      <c r="J726" s="4" t="n">
        <v>6</v>
      </c>
      <c r="K726" t="inlineStr">
        <is>
          <t>3 / 3</t>
        </is>
      </c>
      <c r="L726" t="inlineStr">
        <is>
          <t>3 / 3</t>
        </is>
      </c>
      <c r="M726" s="5" t="n">
        <v>0.5</v>
      </c>
      <c r="N726" s="5" t="n">
        <v>0.5</v>
      </c>
    </row>
    <row r="727">
      <c r="A727" t="n">
        <v>726</v>
      </c>
      <c r="B727" t="n">
        <v>2013</v>
      </c>
      <c r="C727" t="inlineStr">
        <is>
          <t>Eve Fuemana</t>
        </is>
      </c>
      <c r="D727">
        <f>HYPERLINK("https://ota.tournamentsoftware.com/player-profile/C6B89948-0347-4A82-9588-926B794A08CE", "Link")</f>
        <v/>
      </c>
      <c r="E727" s="3" t="n">
        <v>18.447</v>
      </c>
      <c r="F727" s="4" t="n">
        <v>1</v>
      </c>
      <c r="G727" t="inlineStr">
        <is>
          <t>Ontario Tennis Association</t>
        </is>
      </c>
      <c r="H727" t="inlineStr">
        <is>
          <t>Toronto Tennis City</t>
        </is>
      </c>
      <c r="I727" t="n">
        <v>27.7</v>
      </c>
      <c r="J727" s="4" t="n">
        <v>3</v>
      </c>
      <c r="K727" t="inlineStr">
        <is>
          <t>0 / 3</t>
        </is>
      </c>
      <c r="L727" t="inlineStr">
        <is>
          <t>0 / 1</t>
        </is>
      </c>
      <c r="M727" s="5" t="n">
        <v>0</v>
      </c>
      <c r="N727" s="5" t="n">
        <v>0</v>
      </c>
    </row>
    <row r="728">
      <c r="A728" t="n">
        <v>727</v>
      </c>
      <c r="B728" t="n">
        <v>2014</v>
      </c>
      <c r="C728" t="inlineStr">
        <is>
          <t>Éloïse Renaud</t>
        </is>
      </c>
      <c r="D728">
        <f>HYPERLINK("https://ota.tournamentsoftware.com/player-profile/B18DE2B4-0E8A-4263-8136-FCC7F7A61D01", "Link")</f>
        <v/>
      </c>
      <c r="E728" s="3" t="n">
        <v>18.36</v>
      </c>
      <c r="F728" s="4" t="n">
        <v>4</v>
      </c>
      <c r="G728" t="inlineStr">
        <is>
          <t>Tennis Québec</t>
        </is>
      </c>
      <c r="H728" t="inlineStr">
        <is>
          <t>Tennis 13</t>
        </is>
      </c>
      <c r="I728" t="inlineStr">
        <is>
          <t>unavailable</t>
        </is>
      </c>
      <c r="J728" s="4" t="n">
        <v>8</v>
      </c>
      <c r="K728" t="inlineStr">
        <is>
          <t>4 / 4</t>
        </is>
      </c>
      <c r="L728" t="inlineStr">
        <is>
          <t>1 / 2</t>
        </is>
      </c>
      <c r="M728" s="5" t="n">
        <v>0.5</v>
      </c>
      <c r="N728" s="5" t="n">
        <v>0.33</v>
      </c>
    </row>
    <row r="729">
      <c r="A729" t="n">
        <v>728</v>
      </c>
      <c r="B729" t="n">
        <v>2015</v>
      </c>
      <c r="C729" t="inlineStr">
        <is>
          <t>Simone Tremblay-Roy</t>
        </is>
      </c>
      <c r="D729">
        <f>HYPERLINK("https://ota.tournamentsoftware.com/player-profile/E7E1A20D-ED12-47F1-913D-3022C4BE6070", "Link")</f>
        <v/>
      </c>
      <c r="E729" s="3" t="n">
        <v>18.332</v>
      </c>
      <c r="F729" s="4" t="n">
        <v>2</v>
      </c>
      <c r="G729" t="inlineStr">
        <is>
          <t>Tennis Québec</t>
        </is>
      </c>
      <c r="H729" t="inlineStr">
        <is>
          <t>Club de tennis intérieur Saguenay</t>
        </is>
      </c>
      <c r="I729" t="n">
        <v>37.4</v>
      </c>
      <c r="J729" s="4" t="n">
        <v>7</v>
      </c>
      <c r="K729" t="inlineStr">
        <is>
          <t>4 / 3</t>
        </is>
      </c>
      <c r="L729" t="inlineStr">
        <is>
          <t>1 / 3</t>
        </is>
      </c>
      <c r="M729" s="5" t="n">
        <v>0.57</v>
      </c>
      <c r="N729" s="5" t="n">
        <v>0.25</v>
      </c>
    </row>
    <row r="730">
      <c r="A730" t="n">
        <v>729</v>
      </c>
      <c r="B730" t="n">
        <v>2013</v>
      </c>
      <c r="C730" t="inlineStr">
        <is>
          <t>Blake Beck Sadler</t>
        </is>
      </c>
      <c r="D730">
        <f>HYPERLINK("https://ota.tournamentsoftware.com/player-profile/B44D5381-342B-4AF0-8200-EA0CEE1E54B7", "Link")</f>
        <v/>
      </c>
      <c r="E730" s="3" t="n">
        <v>17.916</v>
      </c>
      <c r="F730" s="4" t="n">
        <v>2</v>
      </c>
      <c r="G730" t="inlineStr">
        <is>
          <t>Ontario Tennis Association</t>
        </is>
      </c>
      <c r="H730" t="inlineStr">
        <is>
          <t>Ontario Racquet Club</t>
        </is>
      </c>
      <c r="I730" t="n">
        <v>35.9</v>
      </c>
      <c r="J730" s="4" t="n">
        <v>22</v>
      </c>
      <c r="K730" t="inlineStr">
        <is>
          <t>12 / 10</t>
        </is>
      </c>
      <c r="L730" t="inlineStr">
        <is>
          <t>1 / 1</t>
        </is>
      </c>
      <c r="M730" s="5" t="n">
        <v>0.55</v>
      </c>
      <c r="N730" s="5" t="n">
        <v>0.5</v>
      </c>
    </row>
    <row r="731">
      <c r="A731" t="n">
        <v>730</v>
      </c>
      <c r="B731" t="n">
        <v>2014</v>
      </c>
      <c r="C731" t="inlineStr">
        <is>
          <t>Sophia Marietta Dee</t>
        </is>
      </c>
      <c r="D731">
        <f>HYPERLINK("https://ota.tournamentsoftware.com/player-profile/C69F5ADB-3749-4D97-A809-250A73BB30C1", "Link")</f>
        <v/>
      </c>
      <c r="E731" s="3" t="n">
        <v>17.903</v>
      </c>
      <c r="F731" s="4" t="n">
        <v>6</v>
      </c>
      <c r="G731" t="inlineStr">
        <is>
          <t>British Columbia</t>
        </is>
      </c>
      <c r="H731" t="inlineStr">
        <is>
          <t>Arbutus Club</t>
        </is>
      </c>
      <c r="I731" t="n">
        <v>36.8</v>
      </c>
      <c r="J731" s="4" t="n">
        <v>40</v>
      </c>
      <c r="K731" t="inlineStr">
        <is>
          <t>14 / 26</t>
        </is>
      </c>
      <c r="L731" t="inlineStr">
        <is>
          <t>5 / 7</t>
        </is>
      </c>
      <c r="M731" s="5" t="n">
        <v>0.35</v>
      </c>
      <c r="N731" s="5" t="n">
        <v>0.42</v>
      </c>
    </row>
    <row r="732">
      <c r="A732" t="n">
        <v>731</v>
      </c>
      <c r="B732" t="n">
        <v>2017</v>
      </c>
      <c r="C732" t="inlineStr">
        <is>
          <t>Safiatou Ntentie Nchange</t>
        </is>
      </c>
      <c r="D732">
        <f>HYPERLINK("https://ota.tournamentsoftware.com/player-profile/5B1E15AE-3503-449A-B482-B98077F40A43", "Link")</f>
        <v/>
      </c>
      <c r="E732" s="3" t="n">
        <v>17.41</v>
      </c>
      <c r="F732" s="4" t="n">
        <v>7</v>
      </c>
      <c r="G732" t="inlineStr">
        <is>
          <t>Tennis Alberta</t>
        </is>
      </c>
      <c r="H732" t="inlineStr">
        <is>
          <t>No Club</t>
        </is>
      </c>
      <c r="I732" t="n">
        <v>35.8</v>
      </c>
      <c r="J732" s="4" t="n">
        <v>39</v>
      </c>
      <c r="K732" t="inlineStr">
        <is>
          <t>27 / 12</t>
        </is>
      </c>
      <c r="L732" t="inlineStr">
        <is>
          <t>23 / 11</t>
        </is>
      </c>
      <c r="M732" s="5" t="n">
        <v>0.6899999999999999</v>
      </c>
      <c r="N732" s="5" t="n">
        <v>0.68</v>
      </c>
    </row>
    <row r="733">
      <c r="A733" t="n">
        <v>732</v>
      </c>
      <c r="B733" t="n">
        <v>2014</v>
      </c>
      <c r="C733" t="inlineStr">
        <is>
          <t>Emma Jingya Xi</t>
        </is>
      </c>
      <c r="D733">
        <f>HYPERLINK("https://ota.tournamentsoftware.com/player-profile/540C86FB-2BC4-4357-8C94-AA0A3EEBDC22", "Link")</f>
        <v/>
      </c>
      <c r="E733" s="3" t="n">
        <v>17.4</v>
      </c>
      <c r="F733" s="4" t="n">
        <v>2</v>
      </c>
      <c r="G733" t="inlineStr">
        <is>
          <t>Ontario Tennis Association</t>
        </is>
      </c>
      <c r="H733" t="inlineStr">
        <is>
          <t>ACE Tennis - Burlington</t>
        </is>
      </c>
      <c r="I733" t="inlineStr">
        <is>
          <t>unavailable</t>
        </is>
      </c>
      <c r="J733" s="4" t="n">
        <v>40</v>
      </c>
      <c r="K733" t="inlineStr">
        <is>
          <t>14 / 26</t>
        </is>
      </c>
      <c r="L733" t="inlineStr">
        <is>
          <t>1 / 4</t>
        </is>
      </c>
      <c r="M733" s="5" t="n">
        <v>0.35</v>
      </c>
      <c r="N733" s="5" t="n">
        <v>0.2</v>
      </c>
    </row>
    <row r="734">
      <c r="A734" t="n">
        <v>733</v>
      </c>
      <c r="B734" t="n">
        <v>2013</v>
      </c>
      <c r="C734" t="inlineStr">
        <is>
          <t>Lily Pilipowicz</t>
        </is>
      </c>
      <c r="D734">
        <f>HYPERLINK("https://ota.tournamentsoftware.com/player-profile/B42CFB1E-4A07-4108-A904-8512C36C48D8", "Link")</f>
        <v/>
      </c>
      <c r="E734" s="3" t="n">
        <v>17.313</v>
      </c>
      <c r="F734" s="4" t="n">
        <v>4</v>
      </c>
      <c r="G734" t="inlineStr">
        <is>
          <t>Tennis Alberta</t>
        </is>
      </c>
      <c r="H734" t="inlineStr">
        <is>
          <t>Aforza</t>
        </is>
      </c>
      <c r="I734" t="n">
        <v>33.9</v>
      </c>
      <c r="J734" s="4" t="n">
        <v>40</v>
      </c>
      <c r="K734" t="inlineStr">
        <is>
          <t>19 / 21</t>
        </is>
      </c>
      <c r="L734" t="inlineStr">
        <is>
          <t>0 / 1</t>
        </is>
      </c>
      <c r="M734" s="5" t="n">
        <v>0.47</v>
      </c>
      <c r="N734" s="5" t="n">
        <v>0</v>
      </c>
    </row>
    <row r="735">
      <c r="A735" t="n">
        <v>734</v>
      </c>
      <c r="B735" t="n">
        <v>2014</v>
      </c>
      <c r="C735" t="inlineStr">
        <is>
          <t>Rehmat Kaur Sandhar</t>
        </is>
      </c>
      <c r="D735">
        <f>HYPERLINK("https://ota.tournamentsoftware.com/player-profile/F8357E3D-210F-40E0-BA8A-8FFDBD0DC17E", "Link")</f>
        <v/>
      </c>
      <c r="E735" s="3" t="n">
        <v>17.28</v>
      </c>
      <c r="F735" s="4" t="n">
        <v>2</v>
      </c>
      <c r="G735" t="inlineStr">
        <is>
          <t>Ontario Tennis Association</t>
        </is>
      </c>
      <c r="H735" t="inlineStr">
        <is>
          <t>ON Tennis Toronto No Club</t>
        </is>
      </c>
      <c r="I735" t="n">
        <v>36.7</v>
      </c>
      <c r="J735" s="4" t="n">
        <v>32</v>
      </c>
      <c r="K735" t="inlineStr">
        <is>
          <t>15 / 17</t>
        </is>
      </c>
      <c r="L735" t="inlineStr">
        <is>
          <t>15 / 14</t>
        </is>
      </c>
      <c r="M735" s="5" t="n">
        <v>0.47</v>
      </c>
      <c r="N735" s="5" t="n">
        <v>0.52</v>
      </c>
    </row>
    <row r="736">
      <c r="A736" t="n">
        <v>734</v>
      </c>
      <c r="B736" t="n">
        <v>2016</v>
      </c>
      <c r="C736" t="inlineStr">
        <is>
          <t>Nourine Chebitou</t>
        </is>
      </c>
      <c r="D736">
        <f>HYPERLINK("https://ota.tournamentsoftware.com/player-profile/7B847012-F77E-40EE-A816-39ABE1031DA9", "Link")</f>
        <v/>
      </c>
      <c r="E736" s="3" t="n">
        <v>17.28</v>
      </c>
      <c r="F736" s="4" t="n">
        <v>1</v>
      </c>
      <c r="G736" t="inlineStr">
        <is>
          <t>Tennis Québec</t>
        </is>
      </c>
      <c r="H736" t="inlineStr">
        <is>
          <t>SANI Sport</t>
        </is>
      </c>
      <c r="I736" t="n">
        <v>37.3</v>
      </c>
      <c r="J736" s="4" t="n">
        <v>5</v>
      </c>
      <c r="K736" t="inlineStr">
        <is>
          <t>1 / 4</t>
        </is>
      </c>
      <c r="L736" t="inlineStr">
        <is>
          <t>1 / 1</t>
        </is>
      </c>
      <c r="M736" s="5" t="n">
        <v>0.2</v>
      </c>
      <c r="N736" s="5" t="n">
        <v>0.5</v>
      </c>
    </row>
    <row r="737">
      <c r="A737" t="n">
        <v>736</v>
      </c>
      <c r="B737" t="n">
        <v>2012</v>
      </c>
      <c r="C737" t="inlineStr">
        <is>
          <t>Emily Solc</t>
        </is>
      </c>
      <c r="D737">
        <f>HYPERLINK("https://ota.tournamentsoftware.com/player-profile/0117F9E7-8DFA-459F-859A-F7CFC440388D", "Link")</f>
        <v/>
      </c>
      <c r="E737" s="3" t="n">
        <v>17.16</v>
      </c>
      <c r="F737" s="4" t="n">
        <v>1</v>
      </c>
      <c r="G737" t="inlineStr">
        <is>
          <t>Ontario Tennis Association</t>
        </is>
      </c>
      <c r="H737" t="inlineStr">
        <is>
          <t>Ajax Tennis Club</t>
        </is>
      </c>
      <c r="I737" t="n">
        <v>35.7</v>
      </c>
      <c r="J737" s="4" t="n">
        <v>15</v>
      </c>
      <c r="K737" t="inlineStr">
        <is>
          <t>6 / 9</t>
        </is>
      </c>
      <c r="L737" t="inlineStr">
        <is>
          <t>0 / 0</t>
        </is>
      </c>
      <c r="M737" s="5" t="n">
        <v>0.4</v>
      </c>
      <c r="N737" s="5" t="n">
        <v>0</v>
      </c>
    </row>
    <row r="738">
      <c r="A738" t="n">
        <v>737</v>
      </c>
      <c r="B738" t="n">
        <v>2015</v>
      </c>
      <c r="C738" t="inlineStr">
        <is>
          <t>Maggie Yang</t>
        </is>
      </c>
      <c r="D738">
        <f>HYPERLINK("https://ota.tournamentsoftware.com/player-profile/1188855E-2EBD-473C-B3CD-74B3CDDF9042", "Link")</f>
        <v/>
      </c>
      <c r="E738" s="3" t="n">
        <v>17.037</v>
      </c>
      <c r="F738" s="4" t="n">
        <v>3</v>
      </c>
      <c r="G738" t="inlineStr">
        <is>
          <t>Ontario Tennis Association</t>
        </is>
      </c>
      <c r="H738" t="inlineStr">
        <is>
          <t>Royal City Tennis Club</t>
        </is>
      </c>
      <c r="I738" t="n">
        <v>35.7</v>
      </c>
      <c r="J738" s="4" t="n">
        <v>29</v>
      </c>
      <c r="K738" t="inlineStr">
        <is>
          <t>11 / 18</t>
        </is>
      </c>
      <c r="L738" t="inlineStr">
        <is>
          <t>2 / 3</t>
        </is>
      </c>
      <c r="M738" s="5" t="n">
        <v>0.38</v>
      </c>
      <c r="N738" s="5" t="n">
        <v>0.4</v>
      </c>
    </row>
    <row r="739">
      <c r="A739" t="n">
        <v>738</v>
      </c>
      <c r="B739" t="n">
        <v>2016</v>
      </c>
      <c r="C739" t="inlineStr">
        <is>
          <t>Madison Prsa</t>
        </is>
      </c>
      <c r="D739">
        <f>HYPERLINK("https://ota.tournamentsoftware.com/player-profile/E90BB9E9-F58B-415B-8202-1B024EFB9E36", "Link")</f>
        <v/>
      </c>
      <c r="E739" s="3" t="n">
        <v>16.848</v>
      </c>
      <c r="F739" s="4" t="n">
        <v>5</v>
      </c>
      <c r="G739" t="inlineStr">
        <is>
          <t>Ontario Tennis Association</t>
        </is>
      </c>
      <c r="H739" t="inlineStr">
        <is>
          <t>Advantage Tennis International at Veneto</t>
        </is>
      </c>
      <c r="I739" t="n">
        <v>37.3</v>
      </c>
      <c r="J739" s="4" t="n">
        <v>142</v>
      </c>
      <c r="K739" t="inlineStr">
        <is>
          <t>54 / 88</t>
        </is>
      </c>
      <c r="L739" t="inlineStr">
        <is>
          <t>13 / 20</t>
        </is>
      </c>
      <c r="M739" s="5" t="n">
        <v>0.38</v>
      </c>
      <c r="N739" s="5" t="n">
        <v>0.39</v>
      </c>
    </row>
    <row r="740">
      <c r="A740" t="n">
        <v>739</v>
      </c>
      <c r="B740" t="n">
        <v>2013</v>
      </c>
      <c r="C740" t="inlineStr">
        <is>
          <t>Vasta Keshavarz</t>
        </is>
      </c>
      <c r="D740">
        <f>HYPERLINK("https://ota.tournamentsoftware.com/player-profile/601A80FC-EABC-4AF6-9B13-BEBCF22814BA", "Link")</f>
        <v/>
      </c>
      <c r="E740" s="3" t="n">
        <v>16.603</v>
      </c>
      <c r="F740" s="4" t="n">
        <v>4</v>
      </c>
      <c r="G740" t="inlineStr">
        <is>
          <t>British Columbia</t>
        </is>
      </c>
      <c r="H740" t="inlineStr">
        <is>
          <t>North Vancouver Tennis Centre</t>
        </is>
      </c>
      <c r="I740" t="inlineStr">
        <is>
          <t>unavailable</t>
        </is>
      </c>
      <c r="J740" s="4" t="n">
        <v>37</v>
      </c>
      <c r="K740" t="inlineStr">
        <is>
          <t>12 / 25</t>
        </is>
      </c>
      <c r="L740" t="inlineStr">
        <is>
          <t>4 / 18</t>
        </is>
      </c>
      <c r="M740" s="5" t="n">
        <v>0.32</v>
      </c>
      <c r="N740" s="5" t="n">
        <v>0.18</v>
      </c>
    </row>
    <row r="741">
      <c r="A741" t="n">
        <v>740</v>
      </c>
      <c r="B741" t="n">
        <v>2015</v>
      </c>
      <c r="C741" t="inlineStr">
        <is>
          <t>Léa Anténor</t>
        </is>
      </c>
      <c r="D741">
        <f>HYPERLINK("https://ota.tournamentsoftware.com/player-profile/C5888674-E1AF-487D-88CD-4864B4B9365E", "Link")</f>
        <v/>
      </c>
      <c r="E741" s="3" t="n">
        <v>16.489</v>
      </c>
      <c r="F741" s="4" t="n">
        <v>3</v>
      </c>
      <c r="G741" t="inlineStr">
        <is>
          <t>Tennis Québec</t>
        </is>
      </c>
      <c r="H741" t="inlineStr">
        <is>
          <t>No Club</t>
        </is>
      </c>
      <c r="I741" t="inlineStr">
        <is>
          <t>unavailable</t>
        </is>
      </c>
      <c r="J741" s="4" t="n">
        <v>2</v>
      </c>
      <c r="K741" t="inlineStr">
        <is>
          <t>0 / 2</t>
        </is>
      </c>
      <c r="L741" t="inlineStr">
        <is>
          <t>0 / 2</t>
        </is>
      </c>
      <c r="M741" s="5" t="n">
        <v>0</v>
      </c>
      <c r="N741" s="5" t="n">
        <v>0</v>
      </c>
    </row>
    <row r="742">
      <c r="A742" t="n">
        <v>741</v>
      </c>
      <c r="B742" t="n">
        <v>2014</v>
      </c>
      <c r="C742" t="inlineStr">
        <is>
          <t>Livia Hu</t>
        </is>
      </c>
      <c r="D742">
        <f>HYPERLINK("https://ota.tournamentsoftware.com/player-profile/F0626954-59DE-45D2-AE30-FCA903A00699", "Link")</f>
        <v/>
      </c>
      <c r="E742" s="3" t="n">
        <v>16.459</v>
      </c>
      <c r="F742" s="4" t="n">
        <v>2</v>
      </c>
      <c r="G742" t="inlineStr">
        <is>
          <t>Tennis Saskatchewan</t>
        </is>
      </c>
      <c r="H742" t="inlineStr">
        <is>
          <t>No Club</t>
        </is>
      </c>
      <c r="I742" t="n">
        <v>30.1</v>
      </c>
      <c r="J742" s="4" t="n">
        <v>38</v>
      </c>
      <c r="K742" t="inlineStr">
        <is>
          <t>23 / 15</t>
        </is>
      </c>
      <c r="L742" t="inlineStr">
        <is>
          <t>5 / 3</t>
        </is>
      </c>
      <c r="M742" s="5" t="n">
        <v>0.61</v>
      </c>
      <c r="N742" s="5" t="n">
        <v>0.62</v>
      </c>
    </row>
    <row r="743">
      <c r="A743" t="n">
        <v>742</v>
      </c>
      <c r="B743" t="n">
        <v>2015</v>
      </c>
      <c r="C743" t="inlineStr">
        <is>
          <t>Margaux Eile</t>
        </is>
      </c>
      <c r="D743">
        <f>HYPERLINK("https://ota.tournamentsoftware.com/player-profile/9023DCCB-FDAB-4759-A4C9-E99C2FD3C6AD", "Link")</f>
        <v/>
      </c>
      <c r="E743" s="3" t="n">
        <v>16.313</v>
      </c>
      <c r="F743" s="4" t="n">
        <v>6</v>
      </c>
      <c r="G743" t="inlineStr">
        <is>
          <t>Tennis Québec</t>
        </is>
      </c>
      <c r="H743" t="inlineStr">
        <is>
          <t>Midtown Le Sporting Club Sanctuaire</t>
        </is>
      </c>
      <c r="I743" t="inlineStr">
        <is>
          <t>unavailable</t>
        </is>
      </c>
      <c r="J743" s="4" t="n">
        <v>25</v>
      </c>
      <c r="K743" t="inlineStr">
        <is>
          <t>2 / 23</t>
        </is>
      </c>
      <c r="L743" t="inlineStr">
        <is>
          <t>0 / 6</t>
        </is>
      </c>
      <c r="M743" s="5" t="n">
        <v>0.08</v>
      </c>
      <c r="N743" s="5" t="n">
        <v>0</v>
      </c>
    </row>
    <row r="744">
      <c r="A744" t="n">
        <v>743</v>
      </c>
      <c r="B744" t="n">
        <v>2012</v>
      </c>
      <c r="C744" t="inlineStr">
        <is>
          <t>Allison Wu</t>
        </is>
      </c>
      <c r="D744">
        <f>HYPERLINK("https://ota.tournamentsoftware.com/player-profile/5B6A5CCB-4E85-427C-99E0-E2078ED2493C", "Link")</f>
        <v/>
      </c>
      <c r="E744" s="3" t="n">
        <v>15.968</v>
      </c>
      <c r="F744" s="4" t="n">
        <v>3</v>
      </c>
      <c r="G744" t="inlineStr">
        <is>
          <t>British Columbia</t>
        </is>
      </c>
      <c r="H744" t="inlineStr">
        <is>
          <t>Coquitlam Tennis Club</t>
        </is>
      </c>
      <c r="I744" t="n">
        <v>39.4</v>
      </c>
      <c r="J744" s="4" t="n">
        <v>54</v>
      </c>
      <c r="K744" t="inlineStr">
        <is>
          <t>9 / 45</t>
        </is>
      </c>
      <c r="L744" t="inlineStr">
        <is>
          <t>0 / 4</t>
        </is>
      </c>
      <c r="M744" s="5" t="n">
        <v>0.17</v>
      </c>
      <c r="N744" s="5" t="n">
        <v>0</v>
      </c>
    </row>
    <row r="745">
      <c r="A745" t="n">
        <v>744</v>
      </c>
      <c r="B745" t="n">
        <v>2014</v>
      </c>
      <c r="C745" t="inlineStr">
        <is>
          <t>Saisha Sharma</t>
        </is>
      </c>
      <c r="D745">
        <f>HYPERLINK("https://ota.tournamentsoftware.com/player-profile/4141EEE9-8372-4477-B6C4-DE0E9616249B", "Link")</f>
        <v/>
      </c>
      <c r="E745" s="3" t="n">
        <v>15.817</v>
      </c>
      <c r="F745" s="4" t="n">
        <v>3</v>
      </c>
      <c r="G745" t="inlineStr">
        <is>
          <t>Ontario Tennis Association</t>
        </is>
      </c>
      <c r="H745" t="inlineStr">
        <is>
          <t>Premier Racquet Clubs – Brampton</t>
        </is>
      </c>
      <c r="I745" t="n">
        <v>38.8</v>
      </c>
      <c r="J745" s="4" t="n">
        <v>18</v>
      </c>
      <c r="K745" t="inlineStr">
        <is>
          <t>11 / 7</t>
        </is>
      </c>
      <c r="L745" t="inlineStr">
        <is>
          <t>11 / 7</t>
        </is>
      </c>
      <c r="M745" s="5" t="n">
        <v>0.61</v>
      </c>
      <c r="N745" s="5" t="n">
        <v>0.61</v>
      </c>
    </row>
    <row r="746">
      <c r="A746" t="n">
        <v>745</v>
      </c>
      <c r="B746" t="n">
        <v>2014</v>
      </c>
      <c r="C746" t="inlineStr">
        <is>
          <t>Precious J. Mutiku</t>
        </is>
      </c>
      <c r="D746">
        <f>HYPERLINK("https://ota.tournamentsoftware.com/player-profile/60A61325-C72A-4622-B3AF-5291E7A5657A", "Link")</f>
        <v/>
      </c>
      <c r="E746" s="3" t="n">
        <v>15.059</v>
      </c>
      <c r="F746" s="4" t="n">
        <v>1</v>
      </c>
      <c r="G746" t="inlineStr">
        <is>
          <t>Tennis Manitoba</t>
        </is>
      </c>
      <c r="H746" t="inlineStr">
        <is>
          <t>Taylor Tennis</t>
        </is>
      </c>
      <c r="I746" t="n">
        <v>37</v>
      </c>
      <c r="J746" s="4" t="n">
        <v>3</v>
      </c>
      <c r="K746" t="inlineStr">
        <is>
          <t>1 / 2</t>
        </is>
      </c>
      <c r="L746" t="inlineStr">
        <is>
          <t>0 / 1</t>
        </is>
      </c>
      <c r="M746" s="5" t="n">
        <v>0.33</v>
      </c>
      <c r="N746" s="5" t="n">
        <v>0</v>
      </c>
    </row>
    <row r="747">
      <c r="A747" t="n">
        <v>746</v>
      </c>
      <c r="B747" t="n">
        <v>2013</v>
      </c>
      <c r="C747" t="inlineStr">
        <is>
          <t>Kensington Gavin</t>
        </is>
      </c>
      <c r="D747">
        <f>HYPERLINK("https://ota.tournamentsoftware.com/player-profile/A4C08F5F-BDB2-4714-9F20-18E924F0B20C", "Link")</f>
        <v/>
      </c>
      <c r="E747" s="3" t="n">
        <v>15</v>
      </c>
      <c r="F747" s="4" t="n">
        <v>1</v>
      </c>
      <c r="G747" t="inlineStr">
        <is>
          <t>British Columbia</t>
        </is>
      </c>
      <c r="H747" t="inlineStr">
        <is>
          <t>No Club</t>
        </is>
      </c>
      <c r="I747" t="n">
        <v>33.1</v>
      </c>
      <c r="J747" s="4" t="n">
        <v>121</v>
      </c>
      <c r="K747" t="inlineStr">
        <is>
          <t>70 / 51</t>
        </is>
      </c>
      <c r="L747" t="inlineStr">
        <is>
          <t>0 / 0</t>
        </is>
      </c>
      <c r="M747" s="5" t="n">
        <v>0.58</v>
      </c>
      <c r="N747" s="5" t="n">
        <v>0</v>
      </c>
    </row>
    <row r="748">
      <c r="A748" t="n">
        <v>747</v>
      </c>
      <c r="B748" t="n">
        <v>2012</v>
      </c>
      <c r="C748" t="inlineStr">
        <is>
          <t>Navia Kaylynn Barlow</t>
        </is>
      </c>
      <c r="D748">
        <f>HYPERLINK("https://ota.tournamentsoftware.com/player-profile/44A25362-E73B-4E09-954B-7A375954482B", "Link")</f>
        <v/>
      </c>
      <c r="E748" s="3" t="n">
        <v>14.647</v>
      </c>
      <c r="F748" s="4" t="n">
        <v>3</v>
      </c>
      <c r="G748" t="inlineStr">
        <is>
          <t>Tennis Alberta</t>
        </is>
      </c>
      <c r="H748" t="inlineStr">
        <is>
          <t>Derrick Golf &amp; Winter Club</t>
        </is>
      </c>
      <c r="I748" t="inlineStr">
        <is>
          <t>unavailable</t>
        </is>
      </c>
      <c r="J748" s="4" t="n">
        <v>6</v>
      </c>
      <c r="K748" t="inlineStr">
        <is>
          <t>2 / 4</t>
        </is>
      </c>
      <c r="L748" t="inlineStr">
        <is>
          <t>2 / 4</t>
        </is>
      </c>
      <c r="M748" s="5" t="n">
        <v>0.33</v>
      </c>
      <c r="N748" s="5" t="n">
        <v>0.33</v>
      </c>
    </row>
    <row r="749">
      <c r="A749" t="n">
        <v>748</v>
      </c>
      <c r="B749" t="n">
        <v>2015</v>
      </c>
      <c r="C749" t="inlineStr">
        <is>
          <t>Mira Akhoundova</t>
        </is>
      </c>
      <c r="D749">
        <f>HYPERLINK("https://ota.tournamentsoftware.com/player-profile/DFAA2C12-ED04-42F9-9711-F91A6745B43A", "Link")</f>
        <v/>
      </c>
      <c r="E749" s="3" t="n">
        <v>14.585</v>
      </c>
      <c r="F749" s="4" t="n">
        <v>3</v>
      </c>
      <c r="G749" t="inlineStr">
        <is>
          <t>Ontario Tennis Association</t>
        </is>
      </c>
      <c r="H749" t="inlineStr">
        <is>
          <t>Marilyn Redvers Tennis Club</t>
        </is>
      </c>
      <c r="I749" t="n">
        <v>40</v>
      </c>
      <c r="J749" s="4" t="n">
        <v>28</v>
      </c>
      <c r="K749" t="inlineStr">
        <is>
          <t>14 / 14</t>
        </is>
      </c>
      <c r="L749" t="inlineStr">
        <is>
          <t>5 / 9</t>
        </is>
      </c>
      <c r="M749" s="5" t="n">
        <v>0.5</v>
      </c>
      <c r="N749" s="5" t="n">
        <v>0.36</v>
      </c>
    </row>
    <row r="750">
      <c r="A750" t="n">
        <v>749</v>
      </c>
      <c r="B750" t="n">
        <v>2017</v>
      </c>
      <c r="C750" t="inlineStr">
        <is>
          <t>Erika ko</t>
        </is>
      </c>
      <c r="D750">
        <f>HYPERLINK("https://ota.tournamentsoftware.com/player-profile/63E3DB95-CFC7-47F5-8461-E32C50FD6342", "Link")</f>
        <v/>
      </c>
      <c r="E750" s="3" t="n">
        <v>14.4</v>
      </c>
      <c r="F750" s="4" t="n">
        <v>6</v>
      </c>
      <c r="G750" t="inlineStr">
        <is>
          <t>British Columbia</t>
        </is>
      </c>
      <c r="H750" t="inlineStr">
        <is>
          <t>Richmond Country Club</t>
        </is>
      </c>
      <c r="I750" t="n">
        <v>37.9</v>
      </c>
      <c r="J750" s="4" t="n">
        <v>135</v>
      </c>
      <c r="K750" t="inlineStr">
        <is>
          <t>61 / 74</t>
        </is>
      </c>
      <c r="L750" t="inlineStr">
        <is>
          <t>4 / 8</t>
        </is>
      </c>
      <c r="M750" s="5" t="n">
        <v>0.45</v>
      </c>
      <c r="N750" s="5" t="n">
        <v>0.33</v>
      </c>
    </row>
    <row r="751">
      <c r="A751" t="n">
        <v>750</v>
      </c>
      <c r="B751" t="n">
        <v>2015</v>
      </c>
      <c r="C751" t="inlineStr">
        <is>
          <t>Nadia Mnyusiwalla</t>
        </is>
      </c>
      <c r="D751">
        <f>HYPERLINK("https://ota.tournamentsoftware.com/player-profile/0DB52458-FB00-472A-BE89-03A77FEBF08E", "Link")</f>
        <v/>
      </c>
      <c r="E751" s="3" t="n">
        <v>14.381</v>
      </c>
      <c r="F751" s="4" t="n">
        <v>3</v>
      </c>
      <c r="G751" t="inlineStr">
        <is>
          <t>Ontario Tennis Association</t>
        </is>
      </c>
      <c r="H751" t="inlineStr">
        <is>
          <t>Waterloo Tennis Club</t>
        </is>
      </c>
      <c r="I751" t="inlineStr">
        <is>
          <t>unavailable</t>
        </is>
      </c>
      <c r="J751" s="4" t="n">
        <v>54</v>
      </c>
      <c r="K751" t="inlineStr">
        <is>
          <t>15 / 39</t>
        </is>
      </c>
      <c r="L751" t="inlineStr">
        <is>
          <t>2 / 14</t>
        </is>
      </c>
      <c r="M751" s="5" t="n">
        <v>0.28</v>
      </c>
      <c r="N751" s="5" t="n">
        <v>0.12</v>
      </c>
    </row>
    <row r="752">
      <c r="A752" t="n">
        <v>751</v>
      </c>
      <c r="B752" t="n">
        <v>2014</v>
      </c>
      <c r="C752" t="inlineStr">
        <is>
          <t>Yuxin Bella Cao</t>
        </is>
      </c>
      <c r="D752">
        <f>HYPERLINK("https://ota.tournamentsoftware.com/player-profile/ECABBEB5-67C3-48F1-8CC6-A7628D8721E8", "Link")</f>
        <v/>
      </c>
      <c r="E752" s="3" t="n">
        <v>14.292</v>
      </c>
      <c r="F752" s="4" t="n">
        <v>3</v>
      </c>
      <c r="G752" t="inlineStr">
        <is>
          <t>Ontario Tennis Association</t>
        </is>
      </c>
      <c r="H752" t="inlineStr">
        <is>
          <t>ACE Tennis - Burlington</t>
        </is>
      </c>
      <c r="I752" t="n">
        <v>38.9</v>
      </c>
      <c r="J752" s="4" t="n">
        <v>38</v>
      </c>
      <c r="K752" t="inlineStr">
        <is>
          <t>11 / 27</t>
        </is>
      </c>
      <c r="L752" t="inlineStr">
        <is>
          <t>1 / 1</t>
        </is>
      </c>
      <c r="M752" s="5" t="n">
        <v>0.29</v>
      </c>
      <c r="N752" s="5" t="n">
        <v>0.5</v>
      </c>
    </row>
    <row r="753">
      <c r="A753" t="n">
        <v>752</v>
      </c>
      <c r="B753" t="n">
        <v>2014</v>
      </c>
      <c r="C753" t="inlineStr">
        <is>
          <t>Elise Hiu-Wing Lin</t>
        </is>
      </c>
      <c r="D753">
        <f>HYPERLINK("https://ota.tournamentsoftware.com/player-profile/6079C290-F004-492F-BD70-120B06A08264", "Link")</f>
        <v/>
      </c>
      <c r="E753" s="3" t="n">
        <v>14.283</v>
      </c>
      <c r="F753" s="4" t="n">
        <v>4</v>
      </c>
      <c r="G753" t="inlineStr">
        <is>
          <t>British Columbia</t>
        </is>
      </c>
      <c r="H753" t="inlineStr">
        <is>
          <t>No Club</t>
        </is>
      </c>
      <c r="I753" t="n">
        <v>36.3</v>
      </c>
      <c r="J753" s="4" t="n">
        <v>47</v>
      </c>
      <c r="K753" t="inlineStr">
        <is>
          <t>17 / 30</t>
        </is>
      </c>
      <c r="L753" t="inlineStr">
        <is>
          <t>4 / 5</t>
        </is>
      </c>
      <c r="M753" s="5" t="n">
        <v>0.36</v>
      </c>
      <c r="N753" s="5" t="n">
        <v>0.44</v>
      </c>
    </row>
    <row r="754">
      <c r="A754" t="n">
        <v>753</v>
      </c>
      <c r="B754" t="n">
        <v>2013</v>
      </c>
      <c r="C754" t="inlineStr">
        <is>
          <t>Aylin Iskenderova</t>
        </is>
      </c>
      <c r="D754">
        <f>HYPERLINK("https://ota.tournamentsoftware.com/player-profile/07B240E6-A596-4F2A-90A6-63993B9F2568", "Link")</f>
        <v/>
      </c>
      <c r="E754" s="3" t="n">
        <v>14.11</v>
      </c>
      <c r="F754" s="4" t="n">
        <v>1</v>
      </c>
      <c r="G754" t="inlineStr">
        <is>
          <t>Ontario Tennis Association</t>
        </is>
      </c>
      <c r="H754" t="inlineStr">
        <is>
          <t>Concord Tennis Academy</t>
        </is>
      </c>
      <c r="I754" t="n">
        <v>39.8</v>
      </c>
      <c r="J754" s="4" t="n">
        <v>14</v>
      </c>
      <c r="K754" t="inlineStr">
        <is>
          <t>6 / 8</t>
        </is>
      </c>
      <c r="L754" t="inlineStr">
        <is>
          <t>0 / 2</t>
        </is>
      </c>
      <c r="M754" s="5" t="n">
        <v>0.43</v>
      </c>
      <c r="N754" s="5" t="n">
        <v>0</v>
      </c>
    </row>
    <row r="755">
      <c r="A755" t="n">
        <v>753</v>
      </c>
      <c r="B755" t="n">
        <v>2012</v>
      </c>
      <c r="C755" t="inlineStr">
        <is>
          <t>Renee Burton</t>
        </is>
      </c>
      <c r="D755">
        <f>HYPERLINK("https://ota.tournamentsoftware.com/player-profile/88D51E75-4EAF-4390-8A85-9E01D5A7B97C", "Link")</f>
        <v/>
      </c>
      <c r="E755" s="3" t="n">
        <v>14.11</v>
      </c>
      <c r="F755" s="4" t="n">
        <v>1</v>
      </c>
      <c r="G755" t="inlineStr">
        <is>
          <t>Ontario Tennis Association</t>
        </is>
      </c>
      <c r="H755" t="inlineStr">
        <is>
          <t>ACE Tennis - Burlington</t>
        </is>
      </c>
      <c r="I755" t="n">
        <v>35.9</v>
      </c>
      <c r="J755" s="4" t="n">
        <v>13</v>
      </c>
      <c r="K755" t="inlineStr">
        <is>
          <t>9 / 4</t>
        </is>
      </c>
      <c r="L755" t="inlineStr">
        <is>
          <t>9 / 4</t>
        </is>
      </c>
      <c r="M755" s="5" t="n">
        <v>0.6899999999999999</v>
      </c>
      <c r="N755" s="5" t="n">
        <v>0.6899999999999999</v>
      </c>
    </row>
    <row r="756">
      <c r="A756" t="n">
        <v>755</v>
      </c>
      <c r="B756" t="n">
        <v>2012</v>
      </c>
      <c r="C756" t="inlineStr">
        <is>
          <t>Julia Michelle Cipriano</t>
        </is>
      </c>
      <c r="D756">
        <f>HYPERLINK("https://ota.tournamentsoftware.com/player-profile/EC29FADF-ECEA-4CC3-AE9B-2987D1E47266", "Link")</f>
        <v/>
      </c>
      <c r="E756" s="3" t="n">
        <v>13.725</v>
      </c>
      <c r="F756" s="4" t="n">
        <v>2</v>
      </c>
      <c r="G756" t="inlineStr">
        <is>
          <t>British Columbia</t>
        </is>
      </c>
      <c r="H756" t="inlineStr">
        <is>
          <t>West Vancouver Tennis Club</t>
        </is>
      </c>
      <c r="I756" t="n">
        <v>37</v>
      </c>
      <c r="J756" s="4" t="n">
        <v>18</v>
      </c>
      <c r="K756" t="inlineStr">
        <is>
          <t>8 / 10</t>
        </is>
      </c>
      <c r="L756" t="inlineStr">
        <is>
          <t>6 / 6</t>
        </is>
      </c>
      <c r="M756" s="5" t="n">
        <v>0.44</v>
      </c>
      <c r="N756" s="5" t="n">
        <v>0.5</v>
      </c>
    </row>
    <row r="757">
      <c r="A757" t="n">
        <v>756</v>
      </c>
      <c r="B757" t="n">
        <v>2016</v>
      </c>
      <c r="C757" t="inlineStr">
        <is>
          <t>Joud Marmash</t>
        </is>
      </c>
      <c r="D757">
        <f>HYPERLINK("https://ota.tournamentsoftware.com/player-profile/7F8FB01C-3EB1-48B9-B051-119BB01F4118", "Link")</f>
        <v/>
      </c>
      <c r="E757" s="3" t="n">
        <v>13.68</v>
      </c>
      <c r="F757" s="4" t="n">
        <v>6</v>
      </c>
      <c r="G757" t="inlineStr">
        <is>
          <t>Ontario Tennis Association</t>
        </is>
      </c>
      <c r="H757" t="inlineStr">
        <is>
          <t>Zekelman Tennis Centre</t>
        </is>
      </c>
      <c r="I757" t="n">
        <v>38</v>
      </c>
      <c r="J757" s="4" t="n">
        <v>18</v>
      </c>
      <c r="K757" t="inlineStr">
        <is>
          <t>5 / 13</t>
        </is>
      </c>
      <c r="L757" t="inlineStr">
        <is>
          <t>5 / 13</t>
        </is>
      </c>
      <c r="M757" s="5" t="n">
        <v>0.28</v>
      </c>
      <c r="N757" s="5" t="n">
        <v>0.28</v>
      </c>
    </row>
    <row r="758">
      <c r="A758" t="n">
        <v>757</v>
      </c>
      <c r="B758" t="n">
        <v>2013</v>
      </c>
      <c r="C758" t="inlineStr">
        <is>
          <t>Nitya Myneni</t>
        </is>
      </c>
      <c r="D758">
        <f>HYPERLINK("https://ota.tournamentsoftware.com/player-profile/482EDD14-11AD-4221-B031-4CDB8348AC62", "Link")</f>
        <v/>
      </c>
      <c r="E758" s="3" t="n">
        <v>13.478</v>
      </c>
      <c r="F758" s="4" t="n">
        <v>2</v>
      </c>
      <c r="G758" t="inlineStr">
        <is>
          <t>British Columbia</t>
        </is>
      </c>
      <c r="H758" t="inlineStr">
        <is>
          <t>The Tennis Centre</t>
        </is>
      </c>
      <c r="I758" t="n">
        <v>40</v>
      </c>
      <c r="J758" s="4" t="n">
        <v>26</v>
      </c>
      <c r="K758" t="inlineStr">
        <is>
          <t>8 / 18</t>
        </is>
      </c>
      <c r="L758" t="inlineStr">
        <is>
          <t>0 / 4</t>
        </is>
      </c>
      <c r="M758" s="5" t="n">
        <v>0.31</v>
      </c>
      <c r="N758" s="5" t="n">
        <v>0</v>
      </c>
    </row>
    <row r="759">
      <c r="A759" t="n">
        <v>758</v>
      </c>
      <c r="B759" t="n">
        <v>2013</v>
      </c>
      <c r="C759" t="inlineStr">
        <is>
          <t>Hailey Johnson</t>
        </is>
      </c>
      <c r="D759">
        <f>HYPERLINK("https://ota.tournamentsoftware.com/player-profile/D4247C6C-DBD8-41D1-867E-D35290341BA8", "Link")</f>
        <v/>
      </c>
      <c r="E759" s="3" t="n">
        <v>13.23</v>
      </c>
      <c r="F759" s="4" t="n">
        <v>2</v>
      </c>
      <c r="G759" t="inlineStr">
        <is>
          <t>British Columbia</t>
        </is>
      </c>
      <c r="H759" t="inlineStr">
        <is>
          <t>Tennis for Life</t>
        </is>
      </c>
      <c r="I759" t="inlineStr">
        <is>
          <t>unavailable</t>
        </is>
      </c>
      <c r="J759" s="4" t="n">
        <v>49</v>
      </c>
      <c r="K759" t="inlineStr">
        <is>
          <t>28 / 21</t>
        </is>
      </c>
      <c r="L759" t="inlineStr">
        <is>
          <t>1 / 1</t>
        </is>
      </c>
      <c r="M759" s="5" t="n">
        <v>0.57</v>
      </c>
      <c r="N759" s="5" t="n">
        <v>0.5</v>
      </c>
    </row>
    <row r="760">
      <c r="A760" t="n">
        <v>759</v>
      </c>
      <c r="B760" t="n">
        <v>2014</v>
      </c>
      <c r="C760" t="inlineStr">
        <is>
          <t>Olivia Duthoit</t>
        </is>
      </c>
      <c r="D760">
        <f>HYPERLINK("https://ota.tournamentsoftware.com/player-profile/7ADA0A6D-C257-4896-AEB0-8E053AAA4B48", "Link")</f>
        <v/>
      </c>
      <c r="E760" s="3" t="n">
        <v>13.092</v>
      </c>
      <c r="F760" s="4" t="n">
        <v>2</v>
      </c>
      <c r="G760" t="inlineStr">
        <is>
          <t>Tennis Québec</t>
        </is>
      </c>
      <c r="H760" t="inlineStr">
        <is>
          <t>Club Avantage Multi-sports / Académie de tennis Hérisset Bordeleau</t>
        </is>
      </c>
      <c r="I760" t="n">
        <v>36.6</v>
      </c>
      <c r="J760" s="4" t="n">
        <v>18</v>
      </c>
      <c r="K760" t="inlineStr">
        <is>
          <t>3 / 15</t>
        </is>
      </c>
      <c r="L760" t="inlineStr">
        <is>
          <t>2 / 3</t>
        </is>
      </c>
      <c r="M760" s="5" t="n">
        <v>0.17</v>
      </c>
      <c r="N760" s="5" t="n">
        <v>0.4</v>
      </c>
    </row>
    <row r="761">
      <c r="A761" t="n">
        <v>760</v>
      </c>
      <c r="B761" t="n">
        <v>2013</v>
      </c>
      <c r="C761" t="inlineStr">
        <is>
          <t>caitlin wong</t>
        </is>
      </c>
      <c r="D761">
        <f>HYPERLINK("https://ota.tournamentsoftware.com/player-profile/A6697051-116D-4981-AA23-11E1BF963FD3", "Link")</f>
        <v/>
      </c>
      <c r="E761" s="3" t="n">
        <v>13</v>
      </c>
      <c r="F761" s="4" t="n">
        <v>1</v>
      </c>
      <c r="G761" t="inlineStr">
        <is>
          <t>Ontario Tennis Association</t>
        </is>
      </c>
      <c r="H761" t="inlineStr">
        <is>
          <t>Blackmore Tennis Club</t>
        </is>
      </c>
      <c r="I761" t="n">
        <v>37.2</v>
      </c>
      <c r="J761" s="4" t="n">
        <v>56</v>
      </c>
      <c r="K761" t="inlineStr">
        <is>
          <t>29 / 27</t>
        </is>
      </c>
      <c r="L761" t="inlineStr">
        <is>
          <t>0 / 0</t>
        </is>
      </c>
      <c r="M761" s="5" t="n">
        <v>0.52</v>
      </c>
      <c r="N761" s="5" t="n">
        <v>0</v>
      </c>
    </row>
    <row r="762">
      <c r="A762" t="n">
        <v>761</v>
      </c>
      <c r="B762" t="n">
        <v>2012</v>
      </c>
      <c r="C762" t="inlineStr">
        <is>
          <t>Ai-Ni Amelia Cheng</t>
        </is>
      </c>
      <c r="D762">
        <f>HYPERLINK("https://ota.tournamentsoftware.com/player-profile/040F8D36-CAF3-4E90-85FB-8F17F2F92E8F", "Link")</f>
        <v/>
      </c>
      <c r="E762" s="3" t="n">
        <v>12.906</v>
      </c>
      <c r="F762" s="4" t="n">
        <v>1</v>
      </c>
      <c r="G762" t="inlineStr">
        <is>
          <t>Ontario Tennis Association</t>
        </is>
      </c>
      <c r="H762" t="inlineStr">
        <is>
          <t>ON West Central No Club</t>
        </is>
      </c>
      <c r="I762" t="n">
        <v>38.5</v>
      </c>
      <c r="J762" s="4" t="n">
        <v>7</v>
      </c>
      <c r="K762" t="inlineStr">
        <is>
          <t>4 / 3</t>
        </is>
      </c>
      <c r="L762" t="inlineStr">
        <is>
          <t>0 / 2</t>
        </is>
      </c>
      <c r="M762" s="5" t="n">
        <v>0.57</v>
      </c>
      <c r="N762" s="5" t="n">
        <v>0</v>
      </c>
    </row>
    <row r="763">
      <c r="A763" t="n">
        <v>762</v>
      </c>
      <c r="B763" t="n">
        <v>2016</v>
      </c>
      <c r="C763" t="inlineStr">
        <is>
          <t>Delia Stoian</t>
        </is>
      </c>
      <c r="D763">
        <f>HYPERLINK("https://ota.tournamentsoftware.com/player-profile/97BF71BC-EF3B-40A8-B2A8-4211E6570024", "Link")</f>
        <v/>
      </c>
      <c r="E763" s="3" t="n">
        <v>12.871</v>
      </c>
      <c r="F763" s="4" t="n">
        <v>2</v>
      </c>
      <c r="G763" t="inlineStr">
        <is>
          <t>Tennis Québec</t>
        </is>
      </c>
      <c r="H763" t="inlineStr">
        <is>
          <t>SANI Sport</t>
        </is>
      </c>
      <c r="I763" t="n">
        <v>37.1</v>
      </c>
      <c r="J763" s="4" t="n">
        <v>84</v>
      </c>
      <c r="K763" t="inlineStr">
        <is>
          <t>48 / 36</t>
        </is>
      </c>
      <c r="L763" t="inlineStr">
        <is>
          <t>20 / 15</t>
        </is>
      </c>
      <c r="M763" s="5" t="n">
        <v>0.57</v>
      </c>
      <c r="N763" s="5" t="n">
        <v>0.57</v>
      </c>
    </row>
    <row r="764">
      <c r="A764" t="n">
        <v>763</v>
      </c>
      <c r="B764" t="n">
        <v>2015</v>
      </c>
      <c r="C764" t="inlineStr">
        <is>
          <t>Juliette Merino</t>
        </is>
      </c>
      <c r="D764">
        <f>HYPERLINK("https://ota.tournamentsoftware.com/player-profile/E3FBD49F-6297-464B-AD97-8C82D2E93FB7", "Link")</f>
        <v/>
      </c>
      <c r="E764" s="3" t="n">
        <v>12.817</v>
      </c>
      <c r="F764" s="4" t="n">
        <v>2</v>
      </c>
      <c r="G764" t="inlineStr">
        <is>
          <t>Ontario Tennis Association</t>
        </is>
      </c>
      <c r="H764" t="inlineStr">
        <is>
          <t>Ontario Racquet Club</t>
        </is>
      </c>
      <c r="I764" t="inlineStr">
        <is>
          <t>unavailable</t>
        </is>
      </c>
      <c r="J764" s="4" t="n">
        <v>33</v>
      </c>
      <c r="K764" t="inlineStr">
        <is>
          <t>12 / 21</t>
        </is>
      </c>
      <c r="L764" t="inlineStr">
        <is>
          <t>3 / 7</t>
        </is>
      </c>
      <c r="M764" s="5" t="n">
        <v>0.36</v>
      </c>
      <c r="N764" s="5" t="n">
        <v>0.3</v>
      </c>
    </row>
    <row r="765">
      <c r="A765" t="n">
        <v>764</v>
      </c>
      <c r="B765" t="n">
        <v>2013</v>
      </c>
      <c r="C765" t="inlineStr">
        <is>
          <t>Addison Gilbertson</t>
        </is>
      </c>
      <c r="D765">
        <f>HYPERLINK("https://ota.tournamentsoftware.com/player-profile/C50AF072-EF16-4516-9D5D-42DF1D345F44", "Link")</f>
        <v/>
      </c>
      <c r="E765" s="3" t="n">
        <v>12.687</v>
      </c>
      <c r="F765" s="4" t="n">
        <v>5</v>
      </c>
      <c r="G765" t="inlineStr">
        <is>
          <t>Tennis Alberta</t>
        </is>
      </c>
      <c r="H765" t="inlineStr">
        <is>
          <t>Royal Glenora Club</t>
        </is>
      </c>
      <c r="I765" t="n">
        <v>38.1</v>
      </c>
      <c r="J765" s="4" t="n">
        <v>48</v>
      </c>
      <c r="K765" t="inlineStr">
        <is>
          <t>18 / 30</t>
        </is>
      </c>
      <c r="L765" t="inlineStr">
        <is>
          <t>1 / 4</t>
        </is>
      </c>
      <c r="M765" s="5" t="n">
        <v>0.38</v>
      </c>
      <c r="N765" s="5" t="n">
        <v>0.2</v>
      </c>
    </row>
    <row r="766">
      <c r="A766" t="n">
        <v>765</v>
      </c>
      <c r="B766" t="n">
        <v>2015</v>
      </c>
      <c r="C766" t="inlineStr">
        <is>
          <t>Mirra Tverskaia</t>
        </is>
      </c>
      <c r="D766">
        <f>HYPERLINK("https://ota.tournamentsoftware.com/player-profile/A09D283B-5C23-4F54-A304-0C0125F7637B", "Link")</f>
        <v/>
      </c>
      <c r="E766" s="3" t="n">
        <v>12.632</v>
      </c>
      <c r="F766" s="4" t="n">
        <v>3</v>
      </c>
      <c r="G766" t="inlineStr">
        <is>
          <t>Tennis Prince Edward Island</t>
        </is>
      </c>
      <c r="H766" t="inlineStr">
        <is>
          <t>Royalty Racquet Centre</t>
        </is>
      </c>
      <c r="I766" t="inlineStr">
        <is>
          <t>unavailable</t>
        </is>
      </c>
      <c r="J766" s="4" t="n">
        <v>39</v>
      </c>
      <c r="K766" t="inlineStr">
        <is>
          <t>14 / 25</t>
        </is>
      </c>
      <c r="L766" t="inlineStr">
        <is>
          <t>0 / 1</t>
        </is>
      </c>
      <c r="M766" s="5" t="n">
        <v>0.36</v>
      </c>
      <c r="N766" s="5" t="n">
        <v>0</v>
      </c>
    </row>
    <row r="767">
      <c r="A767" t="n">
        <v>766</v>
      </c>
      <c r="B767" t="n">
        <v>2015</v>
      </c>
      <c r="C767" t="inlineStr">
        <is>
          <t>Amelia Alexei</t>
        </is>
      </c>
      <c r="D767">
        <f>HYPERLINK("https://ota.tournamentsoftware.com/player-profile/7C4A6760-7216-46E2-B5F7-A7F51935EA6B", "Link")</f>
        <v/>
      </c>
      <c r="E767" s="3" t="n">
        <v>12.6</v>
      </c>
      <c r="F767" s="4" t="n">
        <v>1</v>
      </c>
      <c r="G767" t="inlineStr">
        <is>
          <t>Ontario Tennis Association</t>
        </is>
      </c>
      <c r="H767" t="inlineStr">
        <is>
          <t>Toronto Tennis Academy</t>
        </is>
      </c>
      <c r="I767" t="n">
        <v>37.3</v>
      </c>
      <c r="J767" s="4" t="n">
        <v>95</v>
      </c>
      <c r="K767" t="inlineStr">
        <is>
          <t>63 / 32</t>
        </is>
      </c>
      <c r="L767" t="inlineStr">
        <is>
          <t>0 / 0</t>
        </is>
      </c>
      <c r="M767" s="5" t="n">
        <v>0.66</v>
      </c>
      <c r="N767" s="5" t="n">
        <v>0</v>
      </c>
    </row>
    <row r="768">
      <c r="A768" t="n">
        <v>767</v>
      </c>
      <c r="B768" t="n">
        <v>2015</v>
      </c>
      <c r="C768" t="inlineStr">
        <is>
          <t>Charlotte Huiyan Li</t>
        </is>
      </c>
      <c r="D768">
        <f>HYPERLINK("https://ota.tournamentsoftware.com/player-profile/150EC5E4-980E-4649-9619-E10B11D9BA5E", "Link")</f>
        <v/>
      </c>
      <c r="E768" s="3" t="n">
        <v>12.528</v>
      </c>
      <c r="F768" s="4" t="n">
        <v>3</v>
      </c>
      <c r="G768" t="inlineStr">
        <is>
          <t>British Columbia</t>
        </is>
      </c>
      <c r="H768" t="inlineStr">
        <is>
          <t>Tennis for Life</t>
        </is>
      </c>
      <c r="I768" t="n">
        <v>36.2</v>
      </c>
      <c r="J768" s="4" t="n">
        <v>39</v>
      </c>
      <c r="K768" t="inlineStr">
        <is>
          <t>15 / 24</t>
        </is>
      </c>
      <c r="L768" t="inlineStr">
        <is>
          <t>2 / 2</t>
        </is>
      </c>
      <c r="M768" s="5" t="n">
        <v>0.38</v>
      </c>
      <c r="N768" s="5" t="n">
        <v>0.5</v>
      </c>
    </row>
    <row r="769">
      <c r="A769" t="n">
        <v>768</v>
      </c>
      <c r="B769" t="n">
        <v>2013</v>
      </c>
      <c r="C769" t="inlineStr">
        <is>
          <t>Kashvi Chaudhary</t>
        </is>
      </c>
      <c r="D769">
        <f>HYPERLINK("https://ota.tournamentsoftware.com/player-profile/0597AAB7-43E9-42CF-B00B-4928F8A2A1CD", "Link")</f>
        <v/>
      </c>
      <c r="E769" s="3" t="n">
        <v>12.479</v>
      </c>
      <c r="F769" s="4" t="n">
        <v>3</v>
      </c>
      <c r="G769" t="inlineStr">
        <is>
          <t>Ontario Tennis Association</t>
        </is>
      </c>
      <c r="H769" t="inlineStr">
        <is>
          <t>Brampton Tennis Club</t>
        </is>
      </c>
      <c r="I769" t="n">
        <v>39.9</v>
      </c>
      <c r="J769" s="4" t="n">
        <v>14</v>
      </c>
      <c r="K769" t="inlineStr">
        <is>
          <t>2 / 12</t>
        </is>
      </c>
      <c r="L769" t="inlineStr">
        <is>
          <t>0 / 0</t>
        </is>
      </c>
      <c r="M769" s="5" t="n">
        <v>0.14</v>
      </c>
      <c r="N769" s="5" t="n">
        <v>0</v>
      </c>
    </row>
    <row r="770">
      <c r="A770" t="n">
        <v>769</v>
      </c>
      <c r="B770" t="n">
        <v>2013</v>
      </c>
      <c r="C770" t="inlineStr">
        <is>
          <t>Felicia Mingfei Li</t>
        </is>
      </c>
      <c r="D770">
        <f>HYPERLINK("https://ota.tournamentsoftware.com/player-profile/32F60D7D-3E57-4800-9C5C-282147021863", "Link")</f>
        <v/>
      </c>
      <c r="E770" s="3" t="n">
        <v>12.378</v>
      </c>
      <c r="F770" s="4" t="n">
        <v>2</v>
      </c>
      <c r="G770" t="inlineStr">
        <is>
          <t>Ontario Tennis Association</t>
        </is>
      </c>
      <c r="H770" t="inlineStr">
        <is>
          <t>Marilyn Redvers Tennis Club</t>
        </is>
      </c>
      <c r="I770" t="n">
        <v>39.7</v>
      </c>
      <c r="J770" s="4" t="n">
        <v>31</v>
      </c>
      <c r="K770" t="inlineStr">
        <is>
          <t>9 / 22</t>
        </is>
      </c>
      <c r="L770" t="inlineStr">
        <is>
          <t>0 / 2</t>
        </is>
      </c>
      <c r="M770" s="5" t="n">
        <v>0.29</v>
      </c>
      <c r="N770" s="5" t="n">
        <v>0</v>
      </c>
    </row>
    <row r="771">
      <c r="A771" t="n">
        <v>770</v>
      </c>
      <c r="B771" t="n">
        <v>2012</v>
      </c>
      <c r="C771" t="inlineStr">
        <is>
          <t>Anzhuo Yi</t>
        </is>
      </c>
      <c r="D771">
        <f>HYPERLINK("https://ota.tournamentsoftware.com/player-profile/60444867-D5FF-4226-8841-4058D520099B", "Link")</f>
        <v/>
      </c>
      <c r="E771" s="3" t="n">
        <v>12.336</v>
      </c>
      <c r="F771" s="4" t="n">
        <v>1</v>
      </c>
      <c r="G771" t="inlineStr">
        <is>
          <t>Ontario Tennis Association</t>
        </is>
      </c>
      <c r="H771" t="inlineStr">
        <is>
          <t>Premier Racquet Clubs – Mississauga</t>
        </is>
      </c>
      <c r="I771" t="n">
        <v>37.7</v>
      </c>
      <c r="J771" s="4" t="n">
        <v>8</v>
      </c>
      <c r="K771" t="inlineStr">
        <is>
          <t>2 / 6</t>
        </is>
      </c>
      <c r="L771" t="inlineStr">
        <is>
          <t>2 / 6</t>
        </is>
      </c>
      <c r="M771" s="5" t="n">
        <v>0.25</v>
      </c>
      <c r="N771" s="5" t="n">
        <v>0.25</v>
      </c>
    </row>
    <row r="772">
      <c r="A772" t="n">
        <v>771</v>
      </c>
      <c r="B772" t="n">
        <v>2013</v>
      </c>
      <c r="C772" t="inlineStr">
        <is>
          <t>Aura Hayer</t>
        </is>
      </c>
      <c r="D772">
        <f>HYPERLINK("https://ota.tournamentsoftware.com/player-profile/969F22DA-6980-4E13-BAE2-6BD2D0C08F88", "Link")</f>
        <v/>
      </c>
      <c r="E772" s="3" t="n">
        <v>12.138</v>
      </c>
      <c r="F772" s="4" t="n">
        <v>2</v>
      </c>
      <c r="G772" t="inlineStr">
        <is>
          <t>British Columbia</t>
        </is>
      </c>
      <c r="H772" t="inlineStr">
        <is>
          <t>Sunshine Hills Tennis Club</t>
        </is>
      </c>
      <c r="I772" t="n">
        <v>38.5</v>
      </c>
      <c r="J772" s="4" t="n">
        <v>103</v>
      </c>
      <c r="K772" t="inlineStr">
        <is>
          <t>32 / 71</t>
        </is>
      </c>
      <c r="L772" t="inlineStr">
        <is>
          <t>2 / 5</t>
        </is>
      </c>
      <c r="M772" s="5" t="n">
        <v>0.31</v>
      </c>
      <c r="N772" s="5" t="n">
        <v>0.29</v>
      </c>
    </row>
    <row r="773">
      <c r="A773" t="n">
        <v>772</v>
      </c>
      <c r="B773" t="n">
        <v>2016</v>
      </c>
      <c r="C773" t="inlineStr">
        <is>
          <t>Eiman Javaid Khan</t>
        </is>
      </c>
      <c r="D773">
        <f>HYPERLINK("https://ota.tournamentsoftware.com/player-profile/417EBA88-24AB-42AB-9421-1764C4FCA777", "Link")</f>
        <v/>
      </c>
      <c r="E773" s="3" t="n">
        <v>12</v>
      </c>
      <c r="F773" s="4" t="n">
        <v>2</v>
      </c>
      <c r="G773" t="inlineStr">
        <is>
          <t>Tennis Newfoundland &amp; Labrador</t>
        </is>
      </c>
      <c r="H773" t="inlineStr">
        <is>
          <t>Greenbelt Tennis Club</t>
        </is>
      </c>
      <c r="I773" t="inlineStr">
        <is>
          <t>unavailable</t>
        </is>
      </c>
      <c r="J773" s="4" t="n">
        <v>14</v>
      </c>
      <c r="K773" t="inlineStr">
        <is>
          <t>4 / 10</t>
        </is>
      </c>
      <c r="L773" t="inlineStr">
        <is>
          <t>3 / 6</t>
        </is>
      </c>
      <c r="M773" s="5" t="n">
        <v>0.29</v>
      </c>
      <c r="N773" s="5" t="n">
        <v>0.33</v>
      </c>
    </row>
    <row r="774">
      <c r="A774" t="n">
        <v>773</v>
      </c>
      <c r="B774" t="n">
        <v>2014</v>
      </c>
      <c r="C774" t="inlineStr">
        <is>
          <t>Kayla Caden</t>
        </is>
      </c>
      <c r="D774">
        <f>HYPERLINK("https://ota.tournamentsoftware.com/player-profile/EB31E71A-90E6-4B10-9538-33BC7B66EA6E", "Link")</f>
        <v/>
      </c>
      <c r="E774" s="3" t="n">
        <v>11.809</v>
      </c>
      <c r="F774" s="4" t="n">
        <v>3</v>
      </c>
      <c r="G774" t="inlineStr">
        <is>
          <t>Tennis Québec</t>
        </is>
      </c>
      <c r="H774" t="inlineStr">
        <is>
          <t>Club de tennis St-Lambert</t>
        </is>
      </c>
      <c r="I774" t="n">
        <v>38.1</v>
      </c>
      <c r="J774" s="4" t="n">
        <v>11</v>
      </c>
      <c r="K774" t="inlineStr">
        <is>
          <t>4 / 7</t>
        </is>
      </c>
      <c r="L774" t="inlineStr">
        <is>
          <t>2 / 3</t>
        </is>
      </c>
      <c r="M774" s="5" t="n">
        <v>0.36</v>
      </c>
      <c r="N774" s="5" t="n">
        <v>0.4</v>
      </c>
    </row>
    <row r="775">
      <c r="A775" t="n">
        <v>774</v>
      </c>
      <c r="B775" t="n">
        <v>2012</v>
      </c>
      <c r="C775" t="inlineStr">
        <is>
          <t>Angel Wen</t>
        </is>
      </c>
      <c r="D775">
        <f>HYPERLINK("https://ota.tournamentsoftware.com/player-profile/2BF37F0F-B2BA-4533-859D-5AFB82154AAC", "Link")</f>
        <v/>
      </c>
      <c r="E775" s="3" t="n">
        <v>11.664</v>
      </c>
      <c r="F775" s="4" t="n">
        <v>1</v>
      </c>
      <c r="G775" t="inlineStr">
        <is>
          <t>Tennis Nova Scotia</t>
        </is>
      </c>
      <c r="H775" t="inlineStr">
        <is>
          <t>Atlantic Tennis Centre</t>
        </is>
      </c>
      <c r="I775" t="n">
        <v>36.8</v>
      </c>
      <c r="J775" s="4" t="n">
        <v>2</v>
      </c>
      <c r="K775" t="inlineStr">
        <is>
          <t>0 / 2</t>
        </is>
      </c>
      <c r="L775" t="inlineStr">
        <is>
          <t>0 / 0</t>
        </is>
      </c>
      <c r="M775" s="5" t="n">
        <v>0</v>
      </c>
      <c r="N775" s="5" t="n">
        <v>0</v>
      </c>
    </row>
    <row r="776">
      <c r="A776" t="n">
        <v>775</v>
      </c>
      <c r="B776" t="n">
        <v>2013</v>
      </c>
      <c r="C776" t="inlineStr">
        <is>
          <t>Giselle Christine Lambert</t>
        </is>
      </c>
      <c r="D776">
        <f>HYPERLINK("https://ota.tournamentsoftware.com/player-profile/2E2CA1C3-86CC-418F-BF1B-9B9E4D99F292", "Link")</f>
        <v/>
      </c>
      <c r="E776" s="3" t="n">
        <v>11.48</v>
      </c>
      <c r="F776" s="4" t="n">
        <v>2</v>
      </c>
      <c r="G776" t="inlineStr">
        <is>
          <t>British Columbia</t>
        </is>
      </c>
      <c r="H776" t="inlineStr">
        <is>
          <t>Hollyburn Country Club</t>
        </is>
      </c>
      <c r="I776" t="n">
        <v>36.9</v>
      </c>
      <c r="J776" s="4" t="n">
        <v>44</v>
      </c>
      <c r="K776" t="inlineStr">
        <is>
          <t>10 / 34</t>
        </is>
      </c>
      <c r="L776" t="inlineStr">
        <is>
          <t>0 / 0</t>
        </is>
      </c>
      <c r="M776" s="5" t="n">
        <v>0.23</v>
      </c>
      <c r="N776" s="5" t="n">
        <v>0</v>
      </c>
    </row>
    <row r="777">
      <c r="A777" t="n">
        <v>776</v>
      </c>
      <c r="B777" t="n">
        <v>2016</v>
      </c>
      <c r="C777" t="inlineStr">
        <is>
          <t>Harper Whitehead</t>
        </is>
      </c>
      <c r="D777">
        <f>HYPERLINK("https://ota.tournamentsoftware.com/player-profile/11F4D113-D7D4-48BC-9EC5-3040B116C96D", "Link")</f>
        <v/>
      </c>
      <c r="E777" s="3" t="n">
        <v>11.448</v>
      </c>
      <c r="F777" s="4" t="n">
        <v>8</v>
      </c>
      <c r="G777" t="inlineStr">
        <is>
          <t>Tennis Nova Scotia</t>
        </is>
      </c>
      <c r="H777" t="inlineStr">
        <is>
          <t>Atlantic Tennis Centre</t>
        </is>
      </c>
      <c r="I777" t="n">
        <v>38.2</v>
      </c>
      <c r="J777" s="4" t="n">
        <v>80</v>
      </c>
      <c r="K777" t="inlineStr">
        <is>
          <t>35 / 45</t>
        </is>
      </c>
      <c r="L777" t="inlineStr">
        <is>
          <t>10 / 15</t>
        </is>
      </c>
      <c r="M777" s="5" t="n">
        <v>0.44</v>
      </c>
      <c r="N777" s="5" t="n">
        <v>0.4</v>
      </c>
    </row>
    <row r="778">
      <c r="A778" t="n">
        <v>776</v>
      </c>
      <c r="B778" t="n">
        <v>2015</v>
      </c>
      <c r="C778" t="inlineStr">
        <is>
          <t>Daisy Dai</t>
        </is>
      </c>
      <c r="D778">
        <f>HYPERLINK("https://ota.tournamentsoftware.com/player-profile/C64DEFB9-4BBC-4AA1-8CC8-9020440935AB", "Link")</f>
        <v/>
      </c>
      <c r="E778" s="3" t="n">
        <v>11.448</v>
      </c>
      <c r="F778" s="4" t="n">
        <v>1</v>
      </c>
      <c r="G778" t="inlineStr">
        <is>
          <t>Tennis Nova Scotia</t>
        </is>
      </c>
      <c r="H778" t="inlineStr">
        <is>
          <t>Atlantic Tennis Centre</t>
        </is>
      </c>
      <c r="I778" t="n">
        <v>33.2</v>
      </c>
      <c r="J778" s="4" t="n">
        <v>23</v>
      </c>
      <c r="K778" t="inlineStr">
        <is>
          <t>16 / 7</t>
        </is>
      </c>
      <c r="L778" t="inlineStr">
        <is>
          <t>4 / 2</t>
        </is>
      </c>
      <c r="M778" s="5" t="n">
        <v>0.7</v>
      </c>
      <c r="N778" s="5" t="n">
        <v>0.67</v>
      </c>
    </row>
    <row r="779">
      <c r="A779" t="n">
        <v>778</v>
      </c>
      <c r="B779" t="n">
        <v>2015</v>
      </c>
      <c r="C779" t="inlineStr">
        <is>
          <t>Cléony Le</t>
        </is>
      </c>
      <c r="D779">
        <f>HYPERLINK("https://ota.tournamentsoftware.com/player-profile/D1C4971B-CB54-436E-9303-C69424DC84AC", "Link")</f>
        <v/>
      </c>
      <c r="E779" s="3" t="n">
        <v>11.429</v>
      </c>
      <c r="F779" s="4" t="n">
        <v>1</v>
      </c>
      <c r="G779" t="inlineStr">
        <is>
          <t>Tennis Québec</t>
        </is>
      </c>
      <c r="H779" t="inlineStr">
        <is>
          <t>Centre récréatif de Repentigny / Académie Tennis Momentum</t>
        </is>
      </c>
      <c r="I779" t="n">
        <v>37</v>
      </c>
      <c r="J779" s="4" t="n">
        <v>32</v>
      </c>
      <c r="K779" t="inlineStr">
        <is>
          <t>15 / 17</t>
        </is>
      </c>
      <c r="L779" t="inlineStr">
        <is>
          <t>0 / 1</t>
        </is>
      </c>
      <c r="M779" s="5" t="n">
        <v>0.47</v>
      </c>
      <c r="N779" s="5" t="n">
        <v>0</v>
      </c>
    </row>
    <row r="780">
      <c r="A780" t="n">
        <v>779</v>
      </c>
      <c r="B780" t="n">
        <v>2012</v>
      </c>
      <c r="C780" t="inlineStr">
        <is>
          <t>Charley Burgess</t>
        </is>
      </c>
      <c r="D780">
        <f>HYPERLINK("https://ota.tournamentsoftware.com/player-profile/F7818ED5-A370-4D5D-9CAE-03309F03D5FD", "Link")</f>
        <v/>
      </c>
      <c r="E780" s="3" t="n">
        <v>11.301</v>
      </c>
      <c r="F780" s="4" t="n">
        <v>3</v>
      </c>
      <c r="G780" t="inlineStr">
        <is>
          <t>Tennis Alberta</t>
        </is>
      </c>
      <c r="H780" t="inlineStr">
        <is>
          <t>The Glencoe Club</t>
        </is>
      </c>
      <c r="I780" t="inlineStr">
        <is>
          <t>unavailable</t>
        </is>
      </c>
      <c r="J780" s="4" t="n">
        <v>52</v>
      </c>
      <c r="K780" t="inlineStr">
        <is>
          <t>23 / 29</t>
        </is>
      </c>
      <c r="L780" t="inlineStr">
        <is>
          <t>0 / 0</t>
        </is>
      </c>
      <c r="M780" s="5" t="n">
        <v>0.44</v>
      </c>
      <c r="N780" s="5" t="n">
        <v>0</v>
      </c>
    </row>
    <row r="781">
      <c r="A781" t="n">
        <v>780</v>
      </c>
      <c r="B781" t="n">
        <v>2014</v>
      </c>
      <c r="C781" t="inlineStr">
        <is>
          <t>Neiva George</t>
        </is>
      </c>
      <c r="D781">
        <f>HYPERLINK("https://ota.tournamentsoftware.com/player-profile/1A9BA311-0F1E-40A7-9341-ECED97AEEBBD", "Link")</f>
        <v/>
      </c>
      <c r="E781" s="3" t="n">
        <v>11.286</v>
      </c>
      <c r="F781" s="4" t="n">
        <v>2</v>
      </c>
      <c r="G781" t="inlineStr">
        <is>
          <t>Ontario Tennis Association</t>
        </is>
      </c>
      <c r="H781" t="inlineStr">
        <is>
          <t>Headwaters Racquet Club</t>
        </is>
      </c>
      <c r="I781" t="n">
        <v>36.8</v>
      </c>
      <c r="J781" s="4" t="n">
        <v>45</v>
      </c>
      <c r="K781" t="inlineStr">
        <is>
          <t>23 / 22</t>
        </is>
      </c>
      <c r="L781" t="inlineStr">
        <is>
          <t>7 / 4</t>
        </is>
      </c>
      <c r="M781" s="5" t="n">
        <v>0.51</v>
      </c>
      <c r="N781" s="5" t="n">
        <v>0.64</v>
      </c>
    </row>
    <row r="782">
      <c r="A782" t="n">
        <v>781</v>
      </c>
      <c r="B782" t="n">
        <v>2016</v>
      </c>
      <c r="C782" t="inlineStr">
        <is>
          <t>Emma Hao</t>
        </is>
      </c>
      <c r="D782">
        <f>HYPERLINK("https://ota.tournamentsoftware.com/player-profile/144D222A-CD06-4355-817D-B27D5DB62B85", "Link")</f>
        <v/>
      </c>
      <c r="E782" s="3" t="n">
        <v>11.141</v>
      </c>
      <c r="F782" s="4" t="n">
        <v>3</v>
      </c>
      <c r="G782" t="inlineStr">
        <is>
          <t>Ontario Tennis Association</t>
        </is>
      </c>
      <c r="H782" t="inlineStr">
        <is>
          <t>Toronto Tennis City</t>
        </is>
      </c>
      <c r="I782" t="n">
        <v>37.6</v>
      </c>
      <c r="J782" s="4" t="n">
        <v>67</v>
      </c>
      <c r="K782" t="inlineStr">
        <is>
          <t>36 / 31</t>
        </is>
      </c>
      <c r="L782" t="inlineStr">
        <is>
          <t>16 / 7</t>
        </is>
      </c>
      <c r="M782" s="5" t="n">
        <v>0.54</v>
      </c>
      <c r="N782" s="5" t="n">
        <v>0.7</v>
      </c>
    </row>
    <row r="783">
      <c r="A783" t="n">
        <v>782</v>
      </c>
      <c r="B783" t="n">
        <v>2015</v>
      </c>
      <c r="C783" t="inlineStr">
        <is>
          <t>Marissa Grisedale</t>
        </is>
      </c>
      <c r="D783">
        <f>HYPERLINK("https://ota.tournamentsoftware.com/player-profile/FACB5C24-4DB7-463B-A373-69C70E1AC8E4", "Link")</f>
        <v/>
      </c>
      <c r="E783" s="3" t="n">
        <v>11.043</v>
      </c>
      <c r="F783" s="4" t="n">
        <v>3</v>
      </c>
      <c r="G783" t="inlineStr">
        <is>
          <t>British Columbia</t>
        </is>
      </c>
      <c r="H783" t="inlineStr">
        <is>
          <t>Commons Racquet Club at Predator Ridge</t>
        </is>
      </c>
      <c r="I783" t="n">
        <v>37.2</v>
      </c>
      <c r="J783" s="4" t="n">
        <v>40</v>
      </c>
      <c r="K783" t="inlineStr">
        <is>
          <t>20 / 20</t>
        </is>
      </c>
      <c r="L783" t="inlineStr">
        <is>
          <t>3 / 5</t>
        </is>
      </c>
      <c r="M783" s="5" t="n">
        <v>0.5</v>
      </c>
      <c r="N783" s="5" t="n">
        <v>0.38</v>
      </c>
    </row>
    <row r="784">
      <c r="A784" t="n">
        <v>783</v>
      </c>
      <c r="B784" t="n">
        <v>2012</v>
      </c>
      <c r="C784" t="inlineStr">
        <is>
          <t>Maya Chow</t>
        </is>
      </c>
      <c r="D784">
        <f>HYPERLINK("https://ota.tournamentsoftware.com/player-profile/FE33DD51-BEAF-4E17-BDBB-2558B4A2AFE6", "Link")</f>
        <v/>
      </c>
      <c r="E784" s="3" t="n">
        <v>11.011</v>
      </c>
      <c r="F784" s="4" t="n">
        <v>1</v>
      </c>
      <c r="G784" t="inlineStr">
        <is>
          <t>Ontario Tennis Association</t>
        </is>
      </c>
      <c r="H784" t="inlineStr">
        <is>
          <t>ACE Tennis - Toronto Tennis City</t>
        </is>
      </c>
      <c r="I784" t="n">
        <v>34.6</v>
      </c>
      <c r="J784" s="4" t="n">
        <v>16</v>
      </c>
      <c r="K784" t="inlineStr">
        <is>
          <t>10 / 6</t>
        </is>
      </c>
      <c r="L784" t="inlineStr">
        <is>
          <t>10 / 6</t>
        </is>
      </c>
      <c r="M784" s="5" t="n">
        <v>0.62</v>
      </c>
      <c r="N784" s="5" t="n">
        <v>0.62</v>
      </c>
    </row>
    <row r="785">
      <c r="A785" t="n">
        <v>784</v>
      </c>
      <c r="B785" t="n">
        <v>2015</v>
      </c>
      <c r="C785" t="inlineStr">
        <is>
          <t>Fabiola Antonella Sanchez Ferreyra</t>
        </is>
      </c>
      <c r="D785">
        <f>HYPERLINK("https://ota.tournamentsoftware.com/player-profile/B37A6388-D965-4303-A37E-1111875A98DF", "Link")</f>
        <v/>
      </c>
      <c r="E785" s="3" t="n">
        <v>10.873</v>
      </c>
      <c r="F785" s="4" t="n">
        <v>1</v>
      </c>
      <c r="G785" t="inlineStr">
        <is>
          <t>Tennis Québec</t>
        </is>
      </c>
      <c r="H785" t="inlineStr">
        <is>
          <t>SANI Sport</t>
        </is>
      </c>
      <c r="I785" t="n">
        <v>39.4</v>
      </c>
      <c r="J785" s="4" t="n">
        <v>12</v>
      </c>
      <c r="K785" t="inlineStr">
        <is>
          <t>7 / 5</t>
        </is>
      </c>
      <c r="L785" t="inlineStr">
        <is>
          <t>0 / 1</t>
        </is>
      </c>
      <c r="M785" s="5" t="n">
        <v>0.58</v>
      </c>
      <c r="N785" s="5" t="n">
        <v>0</v>
      </c>
    </row>
    <row r="786">
      <c r="A786" t="n">
        <v>785</v>
      </c>
      <c r="B786" t="n">
        <v>2016</v>
      </c>
      <c r="C786" t="inlineStr">
        <is>
          <t>Yanya Zhao</t>
        </is>
      </c>
      <c r="D786">
        <f>HYPERLINK("https://ota.tournamentsoftware.com/player-profile/60E4C9B4-B466-467C-B9D3-335A318BE74C", "Link")</f>
        <v/>
      </c>
      <c r="E786" s="3" t="n">
        <v>10.8</v>
      </c>
      <c r="F786" s="4" t="n">
        <v>2</v>
      </c>
      <c r="G786" t="inlineStr">
        <is>
          <t>Ontario Tennis Association</t>
        </is>
      </c>
      <c r="H786" t="inlineStr">
        <is>
          <t>Valan Tennis Academy</t>
        </is>
      </c>
      <c r="I786" t="n">
        <v>37</v>
      </c>
      <c r="J786" s="4" t="n">
        <v>83</v>
      </c>
      <c r="K786" t="inlineStr">
        <is>
          <t>52 / 31</t>
        </is>
      </c>
      <c r="L786" t="inlineStr">
        <is>
          <t>52 / 31</t>
        </is>
      </c>
      <c r="M786" s="5" t="n">
        <v>0.63</v>
      </c>
      <c r="N786" s="5" t="n">
        <v>0.63</v>
      </c>
    </row>
    <row r="787">
      <c r="A787" t="n">
        <v>785</v>
      </c>
      <c r="B787" t="n">
        <v>2015</v>
      </c>
      <c r="C787" t="inlineStr">
        <is>
          <t>Meera Ramanathan</t>
        </is>
      </c>
      <c r="D787">
        <f>HYPERLINK("https://ota.tournamentsoftware.com/player-profile/4BFD1C94-F572-47D9-8892-3117B37D58A1", "Link")</f>
        <v/>
      </c>
      <c r="E787" s="3" t="n">
        <v>10.8</v>
      </c>
      <c r="F787" s="4" t="n">
        <v>1</v>
      </c>
      <c r="G787" t="inlineStr">
        <is>
          <t>Ontario Tennis Association</t>
        </is>
      </c>
      <c r="H787" t="inlineStr">
        <is>
          <t>Rideau Sports Centre</t>
        </is>
      </c>
      <c r="I787" t="n">
        <v>38.1</v>
      </c>
      <c r="J787" s="4" t="n">
        <v>2</v>
      </c>
      <c r="K787" t="inlineStr">
        <is>
          <t>1 / 1</t>
        </is>
      </c>
      <c r="L787" t="inlineStr">
        <is>
          <t>1 / 1</t>
        </is>
      </c>
      <c r="M787" s="5" t="n">
        <v>0.5</v>
      </c>
      <c r="N787" s="5" t="n">
        <v>0.5</v>
      </c>
    </row>
    <row r="788">
      <c r="A788" t="n">
        <v>785</v>
      </c>
      <c r="B788" t="n">
        <v>2016</v>
      </c>
      <c r="C788" t="inlineStr">
        <is>
          <t>Archini Bera</t>
        </is>
      </c>
      <c r="D788">
        <f>HYPERLINK("https://ota.tournamentsoftware.com/player-profile/6FA68B83-6E0E-4A78-81A0-6004576A8E6E", "Link")</f>
        <v/>
      </c>
      <c r="E788" s="3" t="n">
        <v>10.8</v>
      </c>
      <c r="F788" s="4" t="n">
        <v>3</v>
      </c>
      <c r="G788" t="inlineStr">
        <is>
          <t>Ontario Tennis Association</t>
        </is>
      </c>
      <c r="H788" t="inlineStr">
        <is>
          <t>Rideau Sports Centre</t>
        </is>
      </c>
      <c r="I788" t="inlineStr">
        <is>
          <t>unavailable</t>
        </is>
      </c>
      <c r="J788" s="4" t="n">
        <v>50</v>
      </c>
      <c r="K788" t="inlineStr">
        <is>
          <t>30 / 20</t>
        </is>
      </c>
      <c r="L788" t="inlineStr">
        <is>
          <t>27 / 11</t>
        </is>
      </c>
      <c r="M788" s="5" t="n">
        <v>0.6</v>
      </c>
      <c r="N788" s="5" t="n">
        <v>0.71</v>
      </c>
    </row>
    <row r="789">
      <c r="A789" t="n">
        <v>785</v>
      </c>
      <c r="B789" t="n">
        <v>2015</v>
      </c>
      <c r="C789" t="inlineStr">
        <is>
          <t>Tamara Amad</t>
        </is>
      </c>
      <c r="D789">
        <f>HYPERLINK("https://ota.tournamentsoftware.com/player-profile/4DB13A7D-F9F2-45DD-AAD4-FA9987D24AC9", "Link")</f>
        <v/>
      </c>
      <c r="E789" s="3" t="n">
        <v>10.8</v>
      </c>
      <c r="F789" s="4" t="n">
        <v>1</v>
      </c>
      <c r="G789" t="inlineStr">
        <is>
          <t>Ontario Tennis Association</t>
        </is>
      </c>
      <c r="H789" t="inlineStr">
        <is>
          <t>Ontario Racquet Club</t>
        </is>
      </c>
      <c r="I789" t="inlineStr">
        <is>
          <t>unavailable</t>
        </is>
      </c>
      <c r="J789" s="4" t="n">
        <v>20</v>
      </c>
      <c r="K789" t="inlineStr">
        <is>
          <t>12 / 8</t>
        </is>
      </c>
      <c r="L789" t="inlineStr">
        <is>
          <t>3 / 3</t>
        </is>
      </c>
      <c r="M789" s="5" t="n">
        <v>0.6</v>
      </c>
      <c r="N789" s="5" t="n">
        <v>0.5</v>
      </c>
    </row>
    <row r="790">
      <c r="A790" t="n">
        <v>785</v>
      </c>
      <c r="B790" t="n">
        <v>2012</v>
      </c>
      <c r="C790" t="inlineStr">
        <is>
          <t>Jiayi Emma Wang</t>
        </is>
      </c>
      <c r="D790">
        <f>HYPERLINK("https://ota.tournamentsoftware.com/player-profile/C6ED9D5C-83AD-4AC9-9DCE-1D21A2304573", "Link")</f>
        <v/>
      </c>
      <c r="E790" s="3" t="n">
        <v>10.8</v>
      </c>
      <c r="F790" s="4" t="n">
        <v>1</v>
      </c>
      <c r="G790" t="inlineStr">
        <is>
          <t>British Columbia</t>
        </is>
      </c>
      <c r="H790" t="inlineStr">
        <is>
          <t>No Club</t>
        </is>
      </c>
      <c r="I790" t="inlineStr">
        <is>
          <t>unavailable</t>
        </is>
      </c>
      <c r="J790" s="4" t="n">
        <v>12</v>
      </c>
      <c r="K790" t="inlineStr">
        <is>
          <t>2 / 10</t>
        </is>
      </c>
      <c r="L790" t="inlineStr">
        <is>
          <t>1 / 1</t>
        </is>
      </c>
      <c r="M790" s="5" t="n">
        <v>0.17</v>
      </c>
      <c r="N790" s="5" t="n">
        <v>0.5</v>
      </c>
    </row>
    <row r="791">
      <c r="A791" t="n">
        <v>785</v>
      </c>
      <c r="B791" t="n">
        <v>2016</v>
      </c>
      <c r="C791" t="inlineStr">
        <is>
          <t>Christina Chen</t>
        </is>
      </c>
      <c r="D791">
        <f>HYPERLINK("https://ota.tournamentsoftware.com/player-profile/77F19A45-EF05-4CCE-896B-44A6BEF594C7", "Link")</f>
        <v/>
      </c>
      <c r="E791" s="3" t="n">
        <v>10.8</v>
      </c>
      <c r="F791" s="4" t="n">
        <v>2</v>
      </c>
      <c r="G791" t="inlineStr">
        <is>
          <t>Ontario Tennis Association</t>
        </is>
      </c>
      <c r="H791" t="inlineStr">
        <is>
          <t>No Club</t>
        </is>
      </c>
      <c r="I791" t="n">
        <v>39.6</v>
      </c>
      <c r="J791" s="4" t="n">
        <v>73</v>
      </c>
      <c r="K791" t="inlineStr">
        <is>
          <t>7 / 66</t>
        </is>
      </c>
      <c r="L791" t="inlineStr">
        <is>
          <t>3 / 13</t>
        </is>
      </c>
      <c r="M791" s="5" t="n">
        <v>0.1</v>
      </c>
      <c r="N791" s="5" t="n">
        <v>0.19</v>
      </c>
    </row>
    <row r="792">
      <c r="A792" t="n">
        <v>791</v>
      </c>
      <c r="B792" t="n">
        <v>2012</v>
      </c>
      <c r="C792" t="inlineStr">
        <is>
          <t>Sofia Kalchenko</t>
        </is>
      </c>
      <c r="D792">
        <f>HYPERLINK("https://ota.tournamentsoftware.com/player-profile/95371403-EC89-475C-B20A-60F935026FFA", "Link")</f>
        <v/>
      </c>
      <c r="E792" s="3" t="n">
        <v>10.627</v>
      </c>
      <c r="F792" s="4" t="n">
        <v>4</v>
      </c>
      <c r="G792" t="inlineStr">
        <is>
          <t>Tennis Alberta</t>
        </is>
      </c>
      <c r="H792" t="inlineStr">
        <is>
          <t>Aforza</t>
        </is>
      </c>
      <c r="I792" t="inlineStr">
        <is>
          <t>unavailable</t>
        </is>
      </c>
      <c r="J792" s="4" t="n">
        <v>41</v>
      </c>
      <c r="K792" t="inlineStr">
        <is>
          <t>20 / 21</t>
        </is>
      </c>
      <c r="L792" t="inlineStr">
        <is>
          <t>3 / 1</t>
        </is>
      </c>
      <c r="M792" s="5" t="n">
        <v>0.49</v>
      </c>
      <c r="N792" s="5" t="n">
        <v>0.75</v>
      </c>
    </row>
    <row r="793">
      <c r="A793" t="n">
        <v>792</v>
      </c>
      <c r="B793" t="n">
        <v>2014</v>
      </c>
      <c r="C793" t="inlineStr">
        <is>
          <t>Madelyn Palsat</t>
        </is>
      </c>
      <c r="D793">
        <f>HYPERLINK("https://ota.tournamentsoftware.com/player-profile/B7A28D92-CC5D-460E-A752-75C63DAB2E9F", "Link")</f>
        <v/>
      </c>
      <c r="E793" s="3" t="n">
        <v>10.44</v>
      </c>
      <c r="F793" s="4" t="n">
        <v>7</v>
      </c>
      <c r="G793" t="inlineStr">
        <is>
          <t>Tennis Alberta</t>
        </is>
      </c>
      <c r="H793" t="inlineStr">
        <is>
          <t>Royal Glenora Club</t>
        </is>
      </c>
      <c r="I793" t="n">
        <v>37.1</v>
      </c>
      <c r="J793" s="4" t="n">
        <v>19</v>
      </c>
      <c r="K793" t="inlineStr">
        <is>
          <t>9 / 10</t>
        </is>
      </c>
      <c r="L793" t="inlineStr">
        <is>
          <t>9 / 10</t>
        </is>
      </c>
      <c r="M793" s="5" t="n">
        <v>0.47</v>
      </c>
      <c r="N793" s="5" t="n">
        <v>0.47</v>
      </c>
    </row>
    <row r="794">
      <c r="A794" t="n">
        <v>793</v>
      </c>
      <c r="B794" t="n">
        <v>2016</v>
      </c>
      <c r="C794" t="inlineStr">
        <is>
          <t>Alice Trépanier</t>
        </is>
      </c>
      <c r="D794">
        <f>HYPERLINK("https://ota.tournamentsoftware.com/player-profile/005FD3B5-057F-4BFE-B6D1-1D3CC87FBA27", "Link")</f>
        <v/>
      </c>
      <c r="E794" s="3" t="n">
        <v>10.368</v>
      </c>
      <c r="F794" s="4" t="n">
        <v>1</v>
      </c>
      <c r="G794" t="inlineStr">
        <is>
          <t>Tennis Québec</t>
        </is>
      </c>
      <c r="H794" t="inlineStr">
        <is>
          <t>Centre Récréatif Rock Forest</t>
        </is>
      </c>
      <c r="I794" t="inlineStr">
        <is>
          <t>unavailable</t>
        </is>
      </c>
      <c r="J794" s="4" t="n">
        <v>31</v>
      </c>
      <c r="K794" t="inlineStr">
        <is>
          <t>14 / 17</t>
        </is>
      </c>
      <c r="L794" t="inlineStr">
        <is>
          <t>10 / 9</t>
        </is>
      </c>
      <c r="M794" s="5" t="n">
        <v>0.45</v>
      </c>
      <c r="N794" s="5" t="n">
        <v>0.53</v>
      </c>
    </row>
    <row r="795">
      <c r="A795" t="n">
        <v>793</v>
      </c>
      <c r="B795" t="n">
        <v>2015</v>
      </c>
      <c r="C795" t="inlineStr">
        <is>
          <t>ALYSSA MA</t>
        </is>
      </c>
      <c r="D795">
        <f>HYPERLINK("https://ota.tournamentsoftware.com/player-profile/7C80CDC4-31A2-4667-A2A3-AE7AD2699300", "Link")</f>
        <v/>
      </c>
      <c r="E795" s="3" t="n">
        <v>10.368</v>
      </c>
      <c r="F795" s="4" t="n">
        <v>2</v>
      </c>
      <c r="G795" t="inlineStr">
        <is>
          <t>Ontario Tennis Association</t>
        </is>
      </c>
      <c r="H795" t="inlineStr">
        <is>
          <t>Blackmore Tennis Club</t>
        </is>
      </c>
      <c r="I795" t="n">
        <v>36.4</v>
      </c>
      <c r="J795" s="4" t="n">
        <v>13</v>
      </c>
      <c r="K795" t="inlineStr">
        <is>
          <t>7 / 6</t>
        </is>
      </c>
      <c r="L795" t="inlineStr">
        <is>
          <t>1 / 3</t>
        </is>
      </c>
      <c r="M795" s="5" t="n">
        <v>0.54</v>
      </c>
      <c r="N795" s="5" t="n">
        <v>0.25</v>
      </c>
    </row>
    <row r="796">
      <c r="A796" t="n">
        <v>793</v>
      </c>
      <c r="B796" t="n">
        <v>2015</v>
      </c>
      <c r="C796" t="inlineStr">
        <is>
          <t>Emmanuelle Farah Kwin Onana</t>
        </is>
      </c>
      <c r="D796">
        <f>HYPERLINK("https://ota.tournamentsoftware.com/player-profile/7931DDBA-D7CA-40E8-97CF-DF1CA8113B24", "Link")</f>
        <v/>
      </c>
      <c r="E796" s="3" t="n">
        <v>10.368</v>
      </c>
      <c r="F796" s="4" t="n">
        <v>1</v>
      </c>
      <c r="G796" t="inlineStr">
        <is>
          <t>Tennis Québec</t>
        </is>
      </c>
      <c r="H796" t="inlineStr">
        <is>
          <t>Club de tennis de Gatineau</t>
        </is>
      </c>
      <c r="I796" t="inlineStr">
        <is>
          <t>unavailable</t>
        </is>
      </c>
      <c r="J796" s="4" t="n">
        <v>13</v>
      </c>
      <c r="K796" t="inlineStr">
        <is>
          <t>6 / 7</t>
        </is>
      </c>
      <c r="L796" t="inlineStr">
        <is>
          <t>0 / 1</t>
        </is>
      </c>
      <c r="M796" s="5" t="n">
        <v>0.46</v>
      </c>
      <c r="N796" s="5" t="n">
        <v>0</v>
      </c>
    </row>
    <row r="797">
      <c r="A797" t="n">
        <v>796</v>
      </c>
      <c r="B797" t="n">
        <v>2014</v>
      </c>
      <c r="C797" t="inlineStr">
        <is>
          <t>Flore Laferrière</t>
        </is>
      </c>
      <c r="D797">
        <f>HYPERLINK("https://ota.tournamentsoftware.com/player-profile/14AB607F-E600-4113-85A8-3FA78DC9A248", "Link")</f>
        <v/>
      </c>
      <c r="E797" s="3" t="n">
        <v>10.149</v>
      </c>
      <c r="F797" s="4" t="n">
        <v>3</v>
      </c>
      <c r="G797" t="inlineStr">
        <is>
          <t>Tennis Québec</t>
        </is>
      </c>
      <c r="H797" t="inlineStr">
        <is>
          <t>Tennis 3R- l’Academie l’échange</t>
        </is>
      </c>
      <c r="I797" t="n">
        <v>39.6</v>
      </c>
      <c r="J797" s="4" t="n">
        <v>8</v>
      </c>
      <c r="K797" t="inlineStr">
        <is>
          <t>1 / 7</t>
        </is>
      </c>
      <c r="L797" t="inlineStr">
        <is>
          <t>0 / 3</t>
        </is>
      </c>
      <c r="M797" s="5" t="n">
        <v>0.12</v>
      </c>
      <c r="N797" s="5" t="n">
        <v>0</v>
      </c>
    </row>
    <row r="798">
      <c r="A798" t="n">
        <v>797</v>
      </c>
      <c r="B798" t="n">
        <v>2015</v>
      </c>
      <c r="C798" t="inlineStr">
        <is>
          <t>Autumn VandeCoevering</t>
        </is>
      </c>
      <c r="D798">
        <f>HYPERLINK("https://ota.tournamentsoftware.com/player-profile/1CD9DDAD-A036-4365-A97E-F88D56D4B94B", "Link")</f>
        <v/>
      </c>
      <c r="E798" s="3" t="n">
        <v>10.146</v>
      </c>
      <c r="F798" s="4" t="n">
        <v>2</v>
      </c>
      <c r="G798" t="inlineStr">
        <is>
          <t>Ontario Tennis Association</t>
        </is>
      </c>
      <c r="H798" t="inlineStr">
        <is>
          <t>Greenhills Golf Club</t>
        </is>
      </c>
      <c r="I798" t="inlineStr">
        <is>
          <t>unavailable</t>
        </is>
      </c>
      <c r="J798" s="4" t="n">
        <v>6</v>
      </c>
      <c r="K798" t="inlineStr">
        <is>
          <t>2 / 4</t>
        </is>
      </c>
      <c r="L798" t="inlineStr">
        <is>
          <t>2 / 4</t>
        </is>
      </c>
      <c r="M798" s="5" t="n">
        <v>0.33</v>
      </c>
      <c r="N798" s="5" t="n">
        <v>0.33</v>
      </c>
    </row>
    <row r="799">
      <c r="A799" t="n">
        <v>798</v>
      </c>
      <c r="B799" t="n">
        <v>2015</v>
      </c>
      <c r="C799" t="inlineStr">
        <is>
          <t>Jaelynn Lumandas</t>
        </is>
      </c>
      <c r="D799">
        <f>HYPERLINK("https://ota.tournamentsoftware.com/player-profile/586CE1E5-E974-4A42-B919-DE1FC94F6144", "Link")</f>
        <v/>
      </c>
      <c r="E799" s="3" t="n">
        <v>10.137</v>
      </c>
      <c r="F799" s="4" t="n">
        <v>3</v>
      </c>
      <c r="G799" t="inlineStr">
        <is>
          <t>Tennis Alberta</t>
        </is>
      </c>
      <c r="H799" t="inlineStr">
        <is>
          <t>Saville Community Sports Centre</t>
        </is>
      </c>
      <c r="I799" t="n">
        <v>40</v>
      </c>
      <c r="J799" s="4" t="n">
        <v>25</v>
      </c>
      <c r="K799" t="inlineStr">
        <is>
          <t>1 / 24</t>
        </is>
      </c>
      <c r="L799" t="inlineStr">
        <is>
          <t>0 / 4</t>
        </is>
      </c>
      <c r="M799" s="5" t="n">
        <v>0.04</v>
      </c>
      <c r="N799" s="5" t="n">
        <v>0</v>
      </c>
    </row>
    <row r="800">
      <c r="A800" t="n">
        <v>799</v>
      </c>
      <c r="B800" t="n">
        <v>2013</v>
      </c>
      <c r="C800" t="inlineStr">
        <is>
          <t>Kate Sumner</t>
        </is>
      </c>
      <c r="D800">
        <f>HYPERLINK("https://ota.tournamentsoftware.com/player-profile/42BF9410-8926-4C81-9B50-F1262CEF0360", "Link")</f>
        <v/>
      </c>
      <c r="E800" s="3" t="n">
        <v>9.978999999999999</v>
      </c>
      <c r="F800" s="4" t="n">
        <v>2</v>
      </c>
      <c r="G800" t="inlineStr">
        <is>
          <t>Ontario Tennis Association</t>
        </is>
      </c>
      <c r="H800" t="inlineStr">
        <is>
          <t>Toronto Cricket Skating &amp; Curling</t>
        </is>
      </c>
      <c r="I800" t="inlineStr">
        <is>
          <t>unavailable</t>
        </is>
      </c>
      <c r="J800" s="4" t="n">
        <v>33</v>
      </c>
      <c r="K800" t="inlineStr">
        <is>
          <t>11 / 22</t>
        </is>
      </c>
      <c r="L800" t="inlineStr">
        <is>
          <t>1 / 1</t>
        </is>
      </c>
      <c r="M800" s="5" t="n">
        <v>0.33</v>
      </c>
      <c r="N800" s="5" t="n">
        <v>0.5</v>
      </c>
    </row>
    <row r="801">
      <c r="A801" t="n">
        <v>800</v>
      </c>
      <c r="B801" t="n">
        <v>2012</v>
      </c>
      <c r="C801" t="inlineStr">
        <is>
          <t>Xiaoyue (Vivian) Zhang</t>
        </is>
      </c>
      <c r="D801">
        <f>HYPERLINK("https://ota.tournamentsoftware.com/player-profile/78AF63B4-51BB-4826-AFEB-269DB17B18ED", "Link")</f>
        <v/>
      </c>
      <c r="E801" s="3" t="n">
        <v>9.720000000000001</v>
      </c>
      <c r="F801" s="4" t="n">
        <v>1</v>
      </c>
      <c r="G801" t="inlineStr">
        <is>
          <t>British Columbia</t>
        </is>
      </c>
      <c r="H801" t="inlineStr">
        <is>
          <t>Coquitlam Tennis Club</t>
        </is>
      </c>
      <c r="I801" t="n">
        <v>37.6</v>
      </c>
      <c r="J801" s="4" t="n">
        <v>4</v>
      </c>
      <c r="K801" t="inlineStr">
        <is>
          <t>1 / 3</t>
        </is>
      </c>
      <c r="L801" t="inlineStr">
        <is>
          <t>0 / 0</t>
        </is>
      </c>
      <c r="M801" s="5" t="n">
        <v>0.25</v>
      </c>
      <c r="N801" s="5" t="n">
        <v>0</v>
      </c>
    </row>
    <row r="802">
      <c r="A802" t="n">
        <v>801</v>
      </c>
      <c r="B802" t="n">
        <v>2013</v>
      </c>
      <c r="C802" t="inlineStr">
        <is>
          <t>Anastasia Gorceac</t>
        </is>
      </c>
      <c r="D802">
        <f>HYPERLINK("https://ota.tournamentsoftware.com/player-profile/34DB6E68-DC2D-46A3-9FCF-82A58A1EDBE3", "Link")</f>
        <v/>
      </c>
      <c r="E802" s="3" t="n">
        <v>9.612</v>
      </c>
      <c r="F802" s="4" t="n">
        <v>2</v>
      </c>
      <c r="G802" t="inlineStr">
        <is>
          <t>Tennis Québec</t>
        </is>
      </c>
      <c r="H802" t="inlineStr">
        <is>
          <t>No Club</t>
        </is>
      </c>
      <c r="I802" t="n">
        <v>37.9</v>
      </c>
      <c r="J802" s="4" t="n">
        <v>8</v>
      </c>
      <c r="K802" t="inlineStr">
        <is>
          <t>4 / 4</t>
        </is>
      </c>
      <c r="L802" t="inlineStr">
        <is>
          <t>0 / 0</t>
        </is>
      </c>
      <c r="M802" s="5" t="n">
        <v>0.5</v>
      </c>
      <c r="N802" s="5" t="n">
        <v>0</v>
      </c>
    </row>
    <row r="803">
      <c r="A803" t="n">
        <v>802</v>
      </c>
      <c r="B803" t="n">
        <v>2015</v>
      </c>
      <c r="C803" t="inlineStr">
        <is>
          <t>Violet Rose Divell</t>
        </is>
      </c>
      <c r="D803">
        <f>HYPERLINK("https://ota.tournamentsoftware.com/player-profile/264EFCE5-2D5B-4014-A1E4-CF0F958237B9", "Link")</f>
        <v/>
      </c>
      <c r="E803" s="3" t="n">
        <v>9.598000000000001</v>
      </c>
      <c r="F803" s="4" t="n">
        <v>3</v>
      </c>
      <c r="G803" t="inlineStr">
        <is>
          <t>Tennis Québec</t>
        </is>
      </c>
      <c r="H803" t="inlineStr">
        <is>
          <t>Académie de tennis UNI(T)</t>
        </is>
      </c>
      <c r="I803" t="n">
        <v>39.4</v>
      </c>
      <c r="J803" s="4" t="n">
        <v>6</v>
      </c>
      <c r="K803" t="inlineStr">
        <is>
          <t>1 / 5</t>
        </is>
      </c>
      <c r="L803" t="inlineStr">
        <is>
          <t>1 / 5</t>
        </is>
      </c>
      <c r="M803" s="5" t="n">
        <v>0.17</v>
      </c>
      <c r="N803" s="5" t="n">
        <v>0.17</v>
      </c>
    </row>
    <row r="804">
      <c r="A804" t="n">
        <v>803</v>
      </c>
      <c r="B804" t="n">
        <v>2013</v>
      </c>
      <c r="C804" t="inlineStr">
        <is>
          <t>Yujin Cao</t>
        </is>
      </c>
      <c r="D804">
        <f>HYPERLINK("https://ota.tournamentsoftware.com/player-profile/8260D181-2742-4015-AD52-73D66B6FD70A", "Link")</f>
        <v/>
      </c>
      <c r="E804" s="3" t="n">
        <v>9.59</v>
      </c>
      <c r="F804" s="4" t="n">
        <v>2</v>
      </c>
      <c r="G804" t="inlineStr">
        <is>
          <t>Tennis Québec</t>
        </is>
      </c>
      <c r="H804" t="inlineStr">
        <is>
          <t>Tennis 13</t>
        </is>
      </c>
      <c r="I804" t="inlineStr">
        <is>
          <t>unavailable</t>
        </is>
      </c>
      <c r="J804" s="4" t="n">
        <v>5</v>
      </c>
      <c r="K804" t="inlineStr">
        <is>
          <t>2 / 3</t>
        </is>
      </c>
      <c r="L804" t="inlineStr">
        <is>
          <t>0 / 1</t>
        </is>
      </c>
      <c r="M804" s="5" t="n">
        <v>0.4</v>
      </c>
      <c r="N804" s="5" t="n">
        <v>0</v>
      </c>
    </row>
    <row r="805">
      <c r="A805" t="n">
        <v>804</v>
      </c>
      <c r="B805" t="n">
        <v>2014</v>
      </c>
      <c r="C805" t="inlineStr">
        <is>
          <t>Juliette Viel</t>
        </is>
      </c>
      <c r="D805">
        <f>HYPERLINK("https://ota.tournamentsoftware.com/player-profile/3C42B108-2BA4-41D7-8AE2-19A52170601F", "Link")</f>
        <v/>
      </c>
      <c r="E805" s="3" t="n">
        <v>9.555</v>
      </c>
      <c r="F805" s="4" t="n">
        <v>2</v>
      </c>
      <c r="G805" t="inlineStr">
        <is>
          <t>Tennis Québec</t>
        </is>
      </c>
      <c r="H805" t="inlineStr">
        <is>
          <t>Club de tennis de Rivière-du-Loup</t>
        </is>
      </c>
      <c r="I805" t="n">
        <v>35.4</v>
      </c>
      <c r="J805" s="4" t="n">
        <v>20</v>
      </c>
      <c r="K805" t="inlineStr">
        <is>
          <t>8 / 12</t>
        </is>
      </c>
      <c r="L805" t="inlineStr">
        <is>
          <t>1 / 2</t>
        </is>
      </c>
      <c r="M805" s="5" t="n">
        <v>0.4</v>
      </c>
      <c r="N805" s="5" t="n">
        <v>0.33</v>
      </c>
    </row>
    <row r="806">
      <c r="A806" t="n">
        <v>805</v>
      </c>
      <c r="B806" t="n">
        <v>2012</v>
      </c>
      <c r="C806" t="inlineStr">
        <is>
          <t>Eya Louati</t>
        </is>
      </c>
      <c r="D806">
        <f>HYPERLINK("https://ota.tournamentsoftware.com/player-profile/679317D4-2CCC-4345-A8E0-4E4AB637C148", "Link")</f>
        <v/>
      </c>
      <c r="E806" s="3" t="n">
        <v>9.504</v>
      </c>
      <c r="F806" s="4" t="n">
        <v>1</v>
      </c>
      <c r="G806" t="inlineStr">
        <is>
          <t>Tennis Québec</t>
        </is>
      </c>
      <c r="H806" t="inlineStr">
        <is>
          <t>SANI Sport</t>
        </is>
      </c>
      <c r="I806" t="inlineStr">
        <is>
          <t>unavailable</t>
        </is>
      </c>
      <c r="J806" s="4" t="n">
        <v>90</v>
      </c>
      <c r="K806" t="inlineStr">
        <is>
          <t>28 / 62</t>
        </is>
      </c>
      <c r="L806" t="inlineStr">
        <is>
          <t>1 / 2</t>
        </is>
      </c>
      <c r="M806" s="5" t="n">
        <v>0.31</v>
      </c>
      <c r="N806" s="5" t="n">
        <v>0.33</v>
      </c>
    </row>
    <row r="807">
      <c r="A807" t="n">
        <v>806</v>
      </c>
      <c r="B807" t="n">
        <v>2014</v>
      </c>
      <c r="C807" t="inlineStr">
        <is>
          <t>Yingshan Zoey Chen</t>
        </is>
      </c>
      <c r="D807">
        <f>HYPERLINK("https://ota.tournamentsoftware.com/player-profile/A4F9AF2C-7FB4-474F-BA3A-0E1AB32672E3", "Link")</f>
        <v/>
      </c>
      <c r="E807" s="3" t="n">
        <v>9.414999999999999</v>
      </c>
      <c r="F807" s="4" t="n">
        <v>3</v>
      </c>
      <c r="G807" t="inlineStr">
        <is>
          <t>Ontario Tennis Association</t>
        </is>
      </c>
      <c r="H807" t="inlineStr">
        <is>
          <t>Thornhill Country Club</t>
        </is>
      </c>
      <c r="I807" t="n">
        <v>38.5</v>
      </c>
      <c r="J807" s="4" t="n">
        <v>24</v>
      </c>
      <c r="K807" t="inlineStr">
        <is>
          <t>5 / 19</t>
        </is>
      </c>
      <c r="L807" t="inlineStr">
        <is>
          <t>2 / 4</t>
        </is>
      </c>
      <c r="M807" s="5" t="n">
        <v>0.21</v>
      </c>
      <c r="N807" s="5" t="n">
        <v>0.33</v>
      </c>
    </row>
    <row r="808">
      <c r="A808" t="n">
        <v>807</v>
      </c>
      <c r="B808" t="n">
        <v>2013</v>
      </c>
      <c r="C808" t="inlineStr">
        <is>
          <t>Harper Thompson</t>
        </is>
      </c>
      <c r="D808">
        <f>HYPERLINK("https://ota.tournamentsoftware.com/player-profile/D930EA05-6917-4BB8-9AD8-DE7F29C99324", "Link")</f>
        <v/>
      </c>
      <c r="E808" s="3" t="n">
        <v>8.938000000000001</v>
      </c>
      <c r="F808" s="4" t="n">
        <v>3</v>
      </c>
      <c r="G808" t="inlineStr">
        <is>
          <t>Tennis Alberta</t>
        </is>
      </c>
      <c r="H808" t="inlineStr">
        <is>
          <t>The Glencoe Club</t>
        </is>
      </c>
      <c r="I808" t="inlineStr">
        <is>
          <t>unavailable</t>
        </is>
      </c>
      <c r="J808" s="4" t="n">
        <v>44</v>
      </c>
      <c r="K808" t="inlineStr">
        <is>
          <t>2 / 42</t>
        </is>
      </c>
      <c r="L808" t="inlineStr">
        <is>
          <t>0 / 2</t>
        </is>
      </c>
      <c r="M808" s="5" t="n">
        <v>0.05</v>
      </c>
      <c r="N808" s="5" t="n">
        <v>0</v>
      </c>
    </row>
    <row r="809">
      <c r="A809" t="n">
        <v>808</v>
      </c>
      <c r="B809" t="n">
        <v>2014</v>
      </c>
      <c r="C809" t="inlineStr">
        <is>
          <t>Avery Rose Kon</t>
        </is>
      </c>
      <c r="D809">
        <f>HYPERLINK("https://ota.tournamentsoftware.com/player-profile/3F621439-578C-4BDD-A8A2-880ECC795615", "Link")</f>
        <v/>
      </c>
      <c r="E809" s="3" t="n">
        <v>8.888</v>
      </c>
      <c r="F809" s="4" t="n">
        <v>2</v>
      </c>
      <c r="G809" t="inlineStr">
        <is>
          <t>Ontario Tennis Association</t>
        </is>
      </c>
      <c r="H809" t="inlineStr">
        <is>
          <t>Toronto Lawn Tennis Club</t>
        </is>
      </c>
      <c r="I809" t="n">
        <v>36.6</v>
      </c>
      <c r="J809" s="4" t="n">
        <v>8</v>
      </c>
      <c r="K809" t="inlineStr">
        <is>
          <t>1 / 7</t>
        </is>
      </c>
      <c r="L809" t="inlineStr">
        <is>
          <t>0 / 2</t>
        </is>
      </c>
      <c r="M809" s="5" t="n">
        <v>0.12</v>
      </c>
      <c r="N809" s="5" t="n">
        <v>0</v>
      </c>
    </row>
    <row r="810">
      <c r="A810" t="n">
        <v>809</v>
      </c>
      <c r="B810" t="n">
        <v>2014</v>
      </c>
      <c r="C810" t="inlineStr">
        <is>
          <t>Annabelle Zhao</t>
        </is>
      </c>
      <c r="D810">
        <f>HYPERLINK("https://ota.tournamentsoftware.com/player-profile/F9367D16-E3B7-41BB-810F-85E4C6371542", "Link")</f>
        <v/>
      </c>
      <c r="E810" s="3" t="n">
        <v>8.882999999999999</v>
      </c>
      <c r="F810" s="4" t="n">
        <v>3</v>
      </c>
      <c r="G810" t="inlineStr">
        <is>
          <t>British Columbia</t>
        </is>
      </c>
      <c r="H810" t="inlineStr">
        <is>
          <t>The Tennis Centre</t>
        </is>
      </c>
      <c r="I810" t="n">
        <v>39</v>
      </c>
      <c r="J810" s="4" t="n">
        <v>61</v>
      </c>
      <c r="K810" t="inlineStr">
        <is>
          <t>30 / 31</t>
        </is>
      </c>
      <c r="L810" t="inlineStr">
        <is>
          <t>10 / 8</t>
        </is>
      </c>
      <c r="M810" s="5" t="n">
        <v>0.49</v>
      </c>
      <c r="N810" s="5" t="n">
        <v>0.5600000000000001</v>
      </c>
    </row>
    <row r="811">
      <c r="A811" t="n">
        <v>810</v>
      </c>
      <c r="B811" t="n">
        <v>2014</v>
      </c>
      <c r="C811" t="inlineStr">
        <is>
          <t>Jylian May II Mauricio Luces</t>
        </is>
      </c>
      <c r="D811">
        <f>HYPERLINK("https://ota.tournamentsoftware.com/player-profile/EE4C1547-2DEF-4E96-BA65-F8069863F09D", "Link")</f>
        <v/>
      </c>
      <c r="E811" s="3" t="n">
        <v>8.861000000000001</v>
      </c>
      <c r="F811" s="4" t="n">
        <v>7</v>
      </c>
      <c r="G811" t="inlineStr">
        <is>
          <t>Tennis Alberta</t>
        </is>
      </c>
      <c r="H811" t="inlineStr">
        <is>
          <t>Osten &amp; Victor Alberta Tennis Centre</t>
        </is>
      </c>
      <c r="I811" t="inlineStr">
        <is>
          <t>unavailable</t>
        </is>
      </c>
      <c r="J811" s="4" t="n">
        <v>33</v>
      </c>
      <c r="K811" t="inlineStr">
        <is>
          <t>6 / 27</t>
        </is>
      </c>
      <c r="L811" t="inlineStr">
        <is>
          <t>2 / 8</t>
        </is>
      </c>
      <c r="M811" s="5" t="n">
        <v>0.18</v>
      </c>
      <c r="N811" s="5" t="n">
        <v>0.2</v>
      </c>
    </row>
    <row r="812">
      <c r="A812" t="n">
        <v>811</v>
      </c>
      <c r="B812" t="n">
        <v>2013</v>
      </c>
      <c r="C812" t="inlineStr">
        <is>
          <t>Juliana Pena</t>
        </is>
      </c>
      <c r="D812">
        <f>HYPERLINK("https://ota.tournamentsoftware.com/player-profile/8F1CA811-953C-4FAC-980B-55D7FE7A6E50", "Link")</f>
        <v/>
      </c>
      <c r="E812" s="3" t="n">
        <v>8.813000000000001</v>
      </c>
      <c r="F812" s="4" t="n">
        <v>2</v>
      </c>
      <c r="G812" t="inlineStr">
        <is>
          <t>Tennis Québec</t>
        </is>
      </c>
      <c r="H812" t="inlineStr">
        <is>
          <t>Tennis Québec (région Montréal Ouest)</t>
        </is>
      </c>
      <c r="I812" t="inlineStr">
        <is>
          <t>unavailable</t>
        </is>
      </c>
      <c r="J812" s="4" t="n">
        <v>10</v>
      </c>
      <c r="K812" t="inlineStr">
        <is>
          <t>3 / 7</t>
        </is>
      </c>
      <c r="L812" t="inlineStr">
        <is>
          <t>0 / 0</t>
        </is>
      </c>
      <c r="M812" s="5" t="n">
        <v>0.3</v>
      </c>
      <c r="N812" s="5" t="n">
        <v>0</v>
      </c>
    </row>
    <row r="813">
      <c r="A813" t="n">
        <v>812</v>
      </c>
      <c r="B813" t="n">
        <v>2015</v>
      </c>
      <c r="C813" t="inlineStr">
        <is>
          <t>Olive Allen</t>
        </is>
      </c>
      <c r="D813">
        <f>HYPERLINK("https://ota.tournamentsoftware.com/player-profile/B0709DF4-F657-4BE5-870B-1467DB919D18", "Link")</f>
        <v/>
      </c>
      <c r="E813" s="3" t="n">
        <v>8.744999999999999</v>
      </c>
      <c r="F813" s="4" t="n">
        <v>3</v>
      </c>
      <c r="G813" t="inlineStr">
        <is>
          <t>British Columbia</t>
        </is>
      </c>
      <c r="H813" t="inlineStr">
        <is>
          <t>Hollyburn Country Club</t>
        </is>
      </c>
      <c r="I813" t="n">
        <v>40</v>
      </c>
      <c r="J813" s="4" t="n">
        <v>38</v>
      </c>
      <c r="K813" t="inlineStr">
        <is>
          <t>13 / 25</t>
        </is>
      </c>
      <c r="L813" t="inlineStr">
        <is>
          <t>4 / 9</t>
        </is>
      </c>
      <c r="M813" s="5" t="n">
        <v>0.34</v>
      </c>
      <c r="N813" s="5" t="n">
        <v>0.31</v>
      </c>
    </row>
    <row r="814">
      <c r="A814" t="n">
        <v>813</v>
      </c>
      <c r="B814" t="n">
        <v>2015</v>
      </c>
      <c r="C814" t="inlineStr">
        <is>
          <t>Isabella Maria Galati</t>
        </is>
      </c>
      <c r="D814">
        <f>HYPERLINK("https://ota.tournamentsoftware.com/player-profile/401ED85D-9EDD-4DED-B064-33902C7F4DF4", "Link")</f>
        <v/>
      </c>
      <c r="E814" s="3" t="n">
        <v>8.694000000000001</v>
      </c>
      <c r="F814" s="4" t="n">
        <v>2</v>
      </c>
      <c r="G814" t="inlineStr">
        <is>
          <t>Ontario Tennis Association</t>
        </is>
      </c>
      <c r="H814" t="inlineStr">
        <is>
          <t>Pickering Tennis Academy</t>
        </is>
      </c>
      <c r="I814" t="n">
        <v>37.7</v>
      </c>
      <c r="J814" s="4" t="n">
        <v>24</v>
      </c>
      <c r="K814" t="inlineStr">
        <is>
          <t>11 / 13</t>
        </is>
      </c>
      <c r="L814" t="inlineStr">
        <is>
          <t>5 / 2</t>
        </is>
      </c>
      <c r="M814" s="5" t="n">
        <v>0.46</v>
      </c>
      <c r="N814" s="5" t="n">
        <v>0.71</v>
      </c>
    </row>
    <row r="815">
      <c r="A815" t="n">
        <v>814</v>
      </c>
      <c r="B815" t="n">
        <v>2015</v>
      </c>
      <c r="C815" t="inlineStr">
        <is>
          <t>Chloe Brown</t>
        </is>
      </c>
      <c r="D815">
        <f>HYPERLINK("https://ota.tournamentsoftware.com/player-profile/E3B2C995-F41E-4C95-81DE-7B219EF03CBD", "Link")</f>
        <v/>
      </c>
      <c r="E815" s="3" t="n">
        <v>8.640000000000001</v>
      </c>
      <c r="F815" s="4" t="n">
        <v>4</v>
      </c>
      <c r="G815" t="inlineStr">
        <is>
          <t>British Columbia</t>
        </is>
      </c>
      <c r="H815" t="inlineStr">
        <is>
          <t>Commons Racquet Club at Predator Ridge</t>
        </is>
      </c>
      <c r="I815" t="n">
        <v>38.5</v>
      </c>
      <c r="J815" s="4" t="n">
        <v>25</v>
      </c>
      <c r="K815" t="inlineStr">
        <is>
          <t>10 / 15</t>
        </is>
      </c>
      <c r="L815" t="inlineStr">
        <is>
          <t>7 / 5</t>
        </is>
      </c>
      <c r="M815" s="5" t="n">
        <v>0.4</v>
      </c>
      <c r="N815" s="5" t="n">
        <v>0.58</v>
      </c>
    </row>
    <row r="816">
      <c r="A816" t="n">
        <v>814</v>
      </c>
      <c r="B816" t="n">
        <v>2014</v>
      </c>
      <c r="C816" t="inlineStr">
        <is>
          <t>Candice Cui</t>
        </is>
      </c>
      <c r="D816">
        <f>HYPERLINK("https://ota.tournamentsoftware.com/player-profile/389A79F0-4AEE-4BAD-A33E-98A21CD35738", "Link")</f>
        <v/>
      </c>
      <c r="E816" s="3" t="n">
        <v>8.640000000000001</v>
      </c>
      <c r="F816" s="4" t="n">
        <v>2</v>
      </c>
      <c r="G816" t="inlineStr">
        <is>
          <t>British Columbia</t>
        </is>
      </c>
      <c r="H816" t="inlineStr">
        <is>
          <t>Okanagan Mission Tennis Club Kelowna</t>
        </is>
      </c>
      <c r="I816" t="inlineStr">
        <is>
          <t>unavailable</t>
        </is>
      </c>
      <c r="J816" s="4" t="n">
        <v>30</v>
      </c>
      <c r="K816" t="inlineStr">
        <is>
          <t>11 / 19</t>
        </is>
      </c>
      <c r="L816" t="inlineStr">
        <is>
          <t>2 / 2</t>
        </is>
      </c>
      <c r="M816" s="5" t="n">
        <v>0.37</v>
      </c>
      <c r="N816" s="5" t="n">
        <v>0.5</v>
      </c>
    </row>
    <row r="817">
      <c r="A817" t="n">
        <v>816</v>
      </c>
      <c r="B817" t="n">
        <v>2013</v>
      </c>
      <c r="C817" t="inlineStr">
        <is>
          <t>Nya Robinson</t>
        </is>
      </c>
      <c r="D817">
        <f>HYPERLINK("https://ota.tournamentsoftware.com/player-profile/FCE45E04-6DF1-4A68-89D1-ACB65286BF31", "Link")</f>
        <v/>
      </c>
      <c r="E817" s="3" t="n">
        <v>8.449999999999999</v>
      </c>
      <c r="F817" s="4" t="n">
        <v>5</v>
      </c>
      <c r="G817" t="inlineStr">
        <is>
          <t>Tennis Alberta</t>
        </is>
      </c>
      <c r="H817" t="inlineStr">
        <is>
          <t>Osten &amp; Victor Alberta Tennis Centre</t>
        </is>
      </c>
      <c r="I817" t="n">
        <v>38.1</v>
      </c>
      <c r="J817" s="4" t="n">
        <v>17</v>
      </c>
      <c r="K817" t="inlineStr">
        <is>
          <t>7 / 10</t>
        </is>
      </c>
      <c r="L817" t="inlineStr">
        <is>
          <t>2 / 1</t>
        </is>
      </c>
      <c r="M817" s="5" t="n">
        <v>0.41</v>
      </c>
      <c r="N817" s="5" t="n">
        <v>0.67</v>
      </c>
    </row>
    <row r="818">
      <c r="A818" t="n">
        <v>817</v>
      </c>
      <c r="B818" t="n">
        <v>2013</v>
      </c>
      <c r="C818" t="inlineStr">
        <is>
          <t>KIanna Jia Christianson</t>
        </is>
      </c>
      <c r="D818">
        <f>HYPERLINK("https://ota.tournamentsoftware.com/player-profile/A76E75A0-5CAF-4017-8B3C-2D69366CF0FB", "Link")</f>
        <v/>
      </c>
      <c r="E818" s="3" t="n">
        <v>8.423999999999999</v>
      </c>
      <c r="F818" s="4" t="n">
        <v>1</v>
      </c>
      <c r="G818" t="inlineStr">
        <is>
          <t>British Columbia</t>
        </is>
      </c>
      <c r="H818" t="inlineStr">
        <is>
          <t>City of Burnaby</t>
        </is>
      </c>
      <c r="I818" t="n">
        <v>40</v>
      </c>
      <c r="J818" s="4" t="n">
        <v>10</v>
      </c>
      <c r="K818" t="inlineStr">
        <is>
          <t>5 / 5</t>
        </is>
      </c>
      <c r="L818" t="inlineStr">
        <is>
          <t>2 / 3</t>
        </is>
      </c>
      <c r="M818" s="5" t="n">
        <v>0.5</v>
      </c>
      <c r="N818" s="5" t="n">
        <v>0.4</v>
      </c>
    </row>
    <row r="819">
      <c r="A819" t="n">
        <v>817</v>
      </c>
      <c r="B819" t="n">
        <v>2012</v>
      </c>
      <c r="C819" t="inlineStr">
        <is>
          <t>Elisha Lee</t>
        </is>
      </c>
      <c r="D819">
        <f>HYPERLINK("https://ota.tournamentsoftware.com/player-profile/0D8F1552-F5AE-4BBB-B462-7DFD495EA5D1", "Link")</f>
        <v/>
      </c>
      <c r="E819" s="3" t="n">
        <v>8.423999999999999</v>
      </c>
      <c r="F819" s="4" t="n">
        <v>1</v>
      </c>
      <c r="G819" t="inlineStr">
        <is>
          <t>British Columbia</t>
        </is>
      </c>
      <c r="H819" t="inlineStr">
        <is>
          <t>Great West Fitness and Racquets Club</t>
        </is>
      </c>
      <c r="I819" t="n">
        <v>37.8</v>
      </c>
      <c r="J819" s="4" t="n">
        <v>49</v>
      </c>
      <c r="K819" t="inlineStr">
        <is>
          <t>20 / 29</t>
        </is>
      </c>
      <c r="L819" t="inlineStr">
        <is>
          <t>10 / 12</t>
        </is>
      </c>
      <c r="M819" s="5" t="n">
        <v>0.41</v>
      </c>
      <c r="N819" s="5" t="n">
        <v>0.45</v>
      </c>
    </row>
    <row r="820">
      <c r="A820" t="n">
        <v>819</v>
      </c>
      <c r="B820" t="n">
        <v>2016</v>
      </c>
      <c r="C820" t="inlineStr">
        <is>
          <t>Samantha Bronwyn Daniell</t>
        </is>
      </c>
      <c r="D820">
        <f>HYPERLINK("https://ota.tournamentsoftware.com/player-profile/7D796AB4-F8DD-43AD-8451-41C0A3E3949A", "Link")</f>
        <v/>
      </c>
      <c r="E820" s="3" t="n">
        <v>8.371</v>
      </c>
      <c r="F820" s="4" t="n">
        <v>8</v>
      </c>
      <c r="G820" t="inlineStr">
        <is>
          <t>British Columbia</t>
        </is>
      </c>
      <c r="H820" t="inlineStr">
        <is>
          <t>The Tennis Centre</t>
        </is>
      </c>
      <c r="I820" t="n">
        <v>37.7</v>
      </c>
      <c r="J820" s="4" t="n">
        <v>124</v>
      </c>
      <c r="K820" t="inlineStr">
        <is>
          <t>62 / 62</t>
        </is>
      </c>
      <c r="L820" t="inlineStr">
        <is>
          <t>30 / 24</t>
        </is>
      </c>
      <c r="M820" s="5" t="n">
        <v>0.5</v>
      </c>
      <c r="N820" s="5" t="n">
        <v>0.5600000000000001</v>
      </c>
    </row>
    <row r="821">
      <c r="A821" t="n">
        <v>820</v>
      </c>
      <c r="B821" t="n">
        <v>2015</v>
      </c>
      <c r="C821" t="inlineStr">
        <is>
          <t>Mila Sofia Galvez Bourgeois-Charbonneau</t>
        </is>
      </c>
      <c r="D821">
        <f>HYPERLINK("https://ota.tournamentsoftware.com/player-profile/4F9CCD8C-A7BD-4FA0-B17A-3689BD230A0C", "Link")</f>
        <v/>
      </c>
      <c r="E821" s="3" t="n">
        <v>8.298</v>
      </c>
      <c r="F821" s="4" t="n">
        <v>2</v>
      </c>
      <c r="G821" t="inlineStr">
        <is>
          <t>Tennis Québec</t>
        </is>
      </c>
      <c r="H821" t="inlineStr">
        <is>
          <t>AA Autre club</t>
        </is>
      </c>
      <c r="I821" t="n">
        <v>37.3</v>
      </c>
      <c r="J821" s="4" t="n">
        <v>10</v>
      </c>
      <c r="K821" t="inlineStr">
        <is>
          <t>5 / 5</t>
        </is>
      </c>
      <c r="L821" t="inlineStr">
        <is>
          <t>5 / 2</t>
        </is>
      </c>
      <c r="M821" s="5" t="n">
        <v>0.5</v>
      </c>
      <c r="N821" s="5" t="n">
        <v>0.71</v>
      </c>
    </row>
    <row r="822">
      <c r="A822" t="n">
        <v>821</v>
      </c>
      <c r="B822" t="n">
        <v>2016</v>
      </c>
      <c r="C822" t="inlineStr">
        <is>
          <t>Scarlett Prsa</t>
        </is>
      </c>
      <c r="D822">
        <f>HYPERLINK("https://ota.tournamentsoftware.com/player-profile/CDBDFDF5-0DDE-4F1C-B33B-F163CF134B52", "Link")</f>
        <v/>
      </c>
      <c r="E822" s="3" t="n">
        <v>8.105</v>
      </c>
      <c r="F822" s="4" t="n">
        <v>5</v>
      </c>
      <c r="G822" t="inlineStr">
        <is>
          <t>Ontario Tennis Association</t>
        </is>
      </c>
      <c r="H822" t="inlineStr">
        <is>
          <t>Advantage Tennis International at Veneto</t>
        </is>
      </c>
      <c r="I822" t="n">
        <v>38.5</v>
      </c>
      <c r="J822" s="4" t="n">
        <v>137</v>
      </c>
      <c r="K822" t="inlineStr">
        <is>
          <t>52 / 85</t>
        </is>
      </c>
      <c r="L822" t="inlineStr">
        <is>
          <t>16 / 19</t>
        </is>
      </c>
      <c r="M822" s="5" t="n">
        <v>0.38</v>
      </c>
      <c r="N822" s="5" t="n">
        <v>0.46</v>
      </c>
    </row>
    <row r="823">
      <c r="A823" t="n">
        <v>822</v>
      </c>
      <c r="B823" t="n">
        <v>2015</v>
      </c>
      <c r="C823" t="inlineStr">
        <is>
          <t>Sofia Belyavskaya</t>
        </is>
      </c>
      <c r="D823">
        <f>HYPERLINK("https://ota.tournamentsoftware.com/player-profile/103C1284-54D3-4E14-8B3B-D860AD353A8C", "Link")</f>
        <v/>
      </c>
      <c r="E823" s="3" t="n">
        <v>8.045999999999999</v>
      </c>
      <c r="F823" s="4" t="n">
        <v>3</v>
      </c>
      <c r="G823" t="inlineStr">
        <is>
          <t>British Columbia</t>
        </is>
      </c>
      <c r="H823" t="inlineStr">
        <is>
          <t>The Tennis Centre</t>
        </is>
      </c>
      <c r="I823" t="n">
        <v>37.2</v>
      </c>
      <c r="J823" s="4" t="n">
        <v>88</v>
      </c>
      <c r="K823" t="inlineStr">
        <is>
          <t>35 / 53</t>
        </is>
      </c>
      <c r="L823" t="inlineStr">
        <is>
          <t>2 / 5</t>
        </is>
      </c>
      <c r="M823" s="5" t="n">
        <v>0.4</v>
      </c>
      <c r="N823" s="5" t="n">
        <v>0.29</v>
      </c>
    </row>
    <row r="824">
      <c r="A824" t="n">
        <v>823</v>
      </c>
      <c r="B824" t="n">
        <v>2014</v>
      </c>
      <c r="C824" t="inlineStr">
        <is>
          <t>Marie Renaud</t>
        </is>
      </c>
      <c r="D824">
        <f>HYPERLINK("https://ota.tournamentsoftware.com/player-profile/9538BC58-3E12-400B-B7A6-AA4E495D60F5", "Link")</f>
        <v/>
      </c>
      <c r="E824" s="3" t="n">
        <v>8.01</v>
      </c>
      <c r="F824" s="4" t="n">
        <v>1</v>
      </c>
      <c r="G824" t="inlineStr">
        <is>
          <t>Tennis Québec</t>
        </is>
      </c>
      <c r="H824" t="inlineStr">
        <is>
          <t>Les Tennis de Rimouski (intérieur)</t>
        </is>
      </c>
      <c r="I824" t="inlineStr">
        <is>
          <t>unavailable</t>
        </is>
      </c>
      <c r="J824" s="4" t="n">
        <v>3</v>
      </c>
      <c r="K824" t="inlineStr">
        <is>
          <t>1 / 2</t>
        </is>
      </c>
      <c r="L824" t="inlineStr">
        <is>
          <t>1 / 2</t>
        </is>
      </c>
      <c r="M824" s="5" t="n">
        <v>0.33</v>
      </c>
      <c r="N824" s="5" t="n">
        <v>0.33</v>
      </c>
    </row>
    <row r="825">
      <c r="A825" t="n">
        <v>823</v>
      </c>
      <c r="B825" t="n">
        <v>2013</v>
      </c>
      <c r="C825" t="inlineStr">
        <is>
          <t>Anaya Mohammed Shurrab</t>
        </is>
      </c>
      <c r="D825">
        <f>HYPERLINK("https://ota.tournamentsoftware.com/player-profile/A4BA7F79-3B20-4355-B83D-7B81774D6C97", "Link")</f>
        <v/>
      </c>
      <c r="E825" s="3" t="n">
        <v>8.01</v>
      </c>
      <c r="F825" s="4" t="n">
        <v>1</v>
      </c>
      <c r="G825" t="inlineStr">
        <is>
          <t>Ontario Tennis Association</t>
        </is>
      </c>
      <c r="H825" t="inlineStr">
        <is>
          <t>Sudbury Indoor Tennis Centre</t>
        </is>
      </c>
      <c r="I825" t="n">
        <v>38.8</v>
      </c>
      <c r="J825" s="4" t="n">
        <v>2</v>
      </c>
      <c r="K825" t="inlineStr">
        <is>
          <t>0 / 2</t>
        </is>
      </c>
      <c r="L825" t="inlineStr">
        <is>
          <t>0 / 0</t>
        </is>
      </c>
      <c r="M825" s="5" t="n">
        <v>0</v>
      </c>
      <c r="N825" s="5" t="n">
        <v>0</v>
      </c>
    </row>
    <row r="826">
      <c r="A826" t="n">
        <v>825</v>
      </c>
      <c r="B826" t="n">
        <v>2015</v>
      </c>
      <c r="C826" t="inlineStr">
        <is>
          <t>Lyskha Ann Louis</t>
        </is>
      </c>
      <c r="D826">
        <f>HYPERLINK("https://ota.tournamentsoftware.com/player-profile/E63460EF-56D0-4F3C-845C-D047E7B9C366", "Link")</f>
        <v/>
      </c>
      <c r="E826" s="3" t="n">
        <v>7.906</v>
      </c>
      <c r="F826" s="4" t="n">
        <v>2</v>
      </c>
      <c r="G826" t="inlineStr">
        <is>
          <t>Tennis Québec</t>
        </is>
      </c>
      <c r="H826" t="inlineStr">
        <is>
          <t>Tennis 13</t>
        </is>
      </c>
      <c r="I826" t="n">
        <v>36.4</v>
      </c>
      <c r="J826" s="4" t="n">
        <v>9</v>
      </c>
      <c r="K826" t="inlineStr">
        <is>
          <t>4 / 5</t>
        </is>
      </c>
      <c r="L826" t="inlineStr">
        <is>
          <t>4 / 2</t>
        </is>
      </c>
      <c r="M826" s="5" t="n">
        <v>0.44</v>
      </c>
      <c r="N826" s="5" t="n">
        <v>0.67</v>
      </c>
    </row>
    <row r="827">
      <c r="A827" t="n">
        <v>826</v>
      </c>
      <c r="B827" t="n">
        <v>2014</v>
      </c>
      <c r="C827" t="inlineStr">
        <is>
          <t>Gloriana Shiqi Zhang</t>
        </is>
      </c>
      <c r="D827">
        <f>HYPERLINK("https://ota.tournamentsoftware.com/player-profile/2717E828-0882-43B7-ADDB-D078FFA580CF", "Link")</f>
        <v/>
      </c>
      <c r="E827" s="3" t="n">
        <v>7.776</v>
      </c>
      <c r="F827" s="4" t="n">
        <v>2</v>
      </c>
      <c r="G827" t="inlineStr">
        <is>
          <t>British Columbia</t>
        </is>
      </c>
      <c r="H827" t="inlineStr">
        <is>
          <t>Hollyburn Country Club</t>
        </is>
      </c>
      <c r="I827" t="inlineStr">
        <is>
          <t>unavailable</t>
        </is>
      </c>
      <c r="J827" s="4" t="n">
        <v>32</v>
      </c>
      <c r="K827" t="inlineStr">
        <is>
          <t>5 / 27</t>
        </is>
      </c>
      <c r="L827" t="inlineStr">
        <is>
          <t>0 / 0</t>
        </is>
      </c>
      <c r="M827" s="5" t="n">
        <v>0.16</v>
      </c>
      <c r="N827" s="5" t="n">
        <v>0</v>
      </c>
    </row>
    <row r="828">
      <c r="A828" t="n">
        <v>827</v>
      </c>
      <c r="B828" t="n">
        <v>2015</v>
      </c>
      <c r="C828" t="inlineStr">
        <is>
          <t>Dani Banquicio</t>
        </is>
      </c>
      <c r="D828">
        <f>HYPERLINK("https://ota.tournamentsoftware.com/player-profile/46430071-90F3-4471-A44B-9BE4F31E2D72", "Link")</f>
        <v/>
      </c>
      <c r="E828" s="3" t="n">
        <v>7.652</v>
      </c>
      <c r="F828" s="4" t="n">
        <v>2</v>
      </c>
      <c r="G828" t="inlineStr">
        <is>
          <t>Tennis New Brunswick</t>
        </is>
      </c>
      <c r="H828" t="inlineStr">
        <is>
          <t>Abony Family Tennis Center</t>
        </is>
      </c>
      <c r="I828" t="n">
        <v>40</v>
      </c>
      <c r="J828" s="4" t="n">
        <v>54</v>
      </c>
      <c r="K828" t="inlineStr">
        <is>
          <t>17 / 37</t>
        </is>
      </c>
      <c r="L828" t="inlineStr">
        <is>
          <t>3 / 7</t>
        </is>
      </c>
      <c r="M828" s="5" t="n">
        <v>0.31</v>
      </c>
      <c r="N828" s="5" t="n">
        <v>0.3</v>
      </c>
    </row>
    <row r="829">
      <c r="A829" t="n">
        <v>828</v>
      </c>
      <c r="B829" t="n">
        <v>2014</v>
      </c>
      <c r="C829" t="inlineStr">
        <is>
          <t>Audrey Dionne-Chen</t>
        </is>
      </c>
      <c r="D829">
        <f>HYPERLINK("https://ota.tournamentsoftware.com/player-profile/7AE565BD-506E-4133-AA69-F89B361E38C0", "Link")</f>
        <v/>
      </c>
      <c r="E829" s="3" t="n">
        <v>7.552</v>
      </c>
      <c r="F829" s="4" t="n">
        <v>1</v>
      </c>
      <c r="G829" t="inlineStr">
        <is>
          <t>Ontario Tennis Association</t>
        </is>
      </c>
      <c r="H829" t="inlineStr">
        <is>
          <t>Rideau Sports Centre</t>
        </is>
      </c>
      <c r="I829" t="n">
        <v>39.4</v>
      </c>
      <c r="J829" s="4" t="n">
        <v>14</v>
      </c>
      <c r="K829" t="inlineStr">
        <is>
          <t>4 / 10</t>
        </is>
      </c>
      <c r="L829" t="inlineStr">
        <is>
          <t>0 / 1</t>
        </is>
      </c>
      <c r="M829" s="5" t="n">
        <v>0.29</v>
      </c>
      <c r="N829" s="5" t="n">
        <v>0</v>
      </c>
    </row>
    <row r="830">
      <c r="A830" t="n">
        <v>829</v>
      </c>
      <c r="B830" t="n">
        <v>2015</v>
      </c>
      <c r="C830" t="inlineStr">
        <is>
          <t>Ivana Novatus Nguma</t>
        </is>
      </c>
      <c r="D830">
        <f>HYPERLINK("https://ota.tournamentsoftware.com/player-profile/152EACD1-B447-4FFD-B45D-419526079F6E", "Link")</f>
        <v/>
      </c>
      <c r="E830" s="3" t="n">
        <v>7.507</v>
      </c>
      <c r="F830" s="4" t="n">
        <v>2</v>
      </c>
      <c r="G830" t="inlineStr">
        <is>
          <t>Tennis Alberta</t>
        </is>
      </c>
      <c r="H830" t="inlineStr">
        <is>
          <t>Calgary Tennis Society</t>
        </is>
      </c>
      <c r="I830" t="n">
        <v>37.7</v>
      </c>
      <c r="J830" s="4" t="n">
        <v>24</v>
      </c>
      <c r="K830" t="inlineStr">
        <is>
          <t>12 / 12</t>
        </is>
      </c>
      <c r="L830" t="inlineStr">
        <is>
          <t>8 / 4</t>
        </is>
      </c>
      <c r="M830" s="5" t="n">
        <v>0.5</v>
      </c>
      <c r="N830" s="5" t="n">
        <v>0.67</v>
      </c>
    </row>
    <row r="831">
      <c r="A831" t="n">
        <v>830</v>
      </c>
      <c r="B831" t="n">
        <v>2014</v>
      </c>
      <c r="C831" t="inlineStr">
        <is>
          <t>Abigale Julia Dioszeghy Beatty</t>
        </is>
      </c>
      <c r="D831">
        <f>HYPERLINK("https://ota.tournamentsoftware.com/player-profile/3376BA08-B4B7-40B5-A81E-8F995772526B", "Link")</f>
        <v/>
      </c>
      <c r="E831" s="3" t="n">
        <v>7.222</v>
      </c>
      <c r="F831" s="4" t="n">
        <v>6</v>
      </c>
      <c r="G831" t="inlineStr">
        <is>
          <t>Tennis Alberta</t>
        </is>
      </c>
      <c r="H831" t="inlineStr">
        <is>
          <t>Royal Glenora Club</t>
        </is>
      </c>
      <c r="I831" t="n">
        <v>37.3</v>
      </c>
      <c r="J831" s="4" t="n">
        <v>16</v>
      </c>
      <c r="K831" t="inlineStr">
        <is>
          <t>8 / 8</t>
        </is>
      </c>
      <c r="L831" t="inlineStr">
        <is>
          <t>8 / 8</t>
        </is>
      </c>
      <c r="M831" s="5" t="n">
        <v>0.5</v>
      </c>
      <c r="N831" s="5" t="n">
        <v>0.5</v>
      </c>
    </row>
    <row r="832">
      <c r="A832" t="n">
        <v>831</v>
      </c>
      <c r="B832" t="n">
        <v>2013</v>
      </c>
      <c r="C832" t="inlineStr">
        <is>
          <t>rafaela pena</t>
        </is>
      </c>
      <c r="D832">
        <f>HYPERLINK("https://ota.tournamentsoftware.com/player-profile/A4EAF82E-5402-4B2B-B03B-0E790D9A9F99", "Link")</f>
        <v/>
      </c>
      <c r="E832" s="3" t="n">
        <v>7.174</v>
      </c>
      <c r="F832" s="4" t="n">
        <v>2</v>
      </c>
      <c r="G832" t="inlineStr">
        <is>
          <t>Tennis Québec</t>
        </is>
      </c>
      <c r="H832" t="inlineStr">
        <is>
          <t>Tennis Québec (région Montréal Ouest)</t>
        </is>
      </c>
      <c r="I832" t="inlineStr">
        <is>
          <t>unavailable</t>
        </is>
      </c>
      <c r="J832" s="4" t="n">
        <v>10</v>
      </c>
      <c r="K832" t="inlineStr">
        <is>
          <t>4 / 6</t>
        </is>
      </c>
      <c r="L832" t="inlineStr">
        <is>
          <t>0 / 0</t>
        </is>
      </c>
      <c r="M832" s="5" t="n">
        <v>0.4</v>
      </c>
      <c r="N832" s="5" t="n">
        <v>0</v>
      </c>
    </row>
    <row r="833">
      <c r="A833" t="n">
        <v>832</v>
      </c>
      <c r="B833" t="n">
        <v>2017</v>
      </c>
      <c r="C833" t="inlineStr">
        <is>
          <t>Kaja Gacanin</t>
        </is>
      </c>
      <c r="D833">
        <f>HYPERLINK("https://ota.tournamentsoftware.com/player-profile/51158AF8-F463-4974-AE1F-B1924D114B2F", "Link")</f>
        <v/>
      </c>
      <c r="E833" s="3" t="n">
        <v>6.84</v>
      </c>
      <c r="F833" s="4" t="n">
        <v>2</v>
      </c>
      <c r="G833" t="inlineStr">
        <is>
          <t>Ontario Tennis Association</t>
        </is>
      </c>
      <c r="H833" t="inlineStr">
        <is>
          <t>Zekelman Tennis Centre</t>
        </is>
      </c>
      <c r="I833" t="n">
        <v>38.6</v>
      </c>
      <c r="J833" s="4" t="n">
        <v>7</v>
      </c>
      <c r="K833" t="inlineStr">
        <is>
          <t>2 / 5</t>
        </is>
      </c>
      <c r="L833" t="inlineStr">
        <is>
          <t>2 / 5</t>
        </is>
      </c>
      <c r="M833" s="5" t="n">
        <v>0.29</v>
      </c>
      <c r="N833" s="5" t="n">
        <v>0.29</v>
      </c>
    </row>
    <row r="834">
      <c r="A834" t="n">
        <v>833</v>
      </c>
      <c r="B834" t="n">
        <v>2012</v>
      </c>
      <c r="C834" t="inlineStr">
        <is>
          <t>Saaya Isabella Thompson</t>
        </is>
      </c>
      <c r="D834">
        <f>HYPERLINK("https://ota.tournamentsoftware.com/player-profile/E9B78A0F-EA3C-42B6-B795-AA591E989391", "Link")</f>
        <v/>
      </c>
      <c r="E834" s="3" t="n">
        <v>6.675</v>
      </c>
      <c r="F834" s="4" t="n">
        <v>1</v>
      </c>
      <c r="G834" t="inlineStr">
        <is>
          <t>British Columbia</t>
        </is>
      </c>
      <c r="H834" t="inlineStr">
        <is>
          <t>UBC Tennis Centre</t>
        </is>
      </c>
      <c r="I834" t="n">
        <v>37.1</v>
      </c>
      <c r="J834" s="4" t="n">
        <v>6</v>
      </c>
      <c r="K834" t="inlineStr">
        <is>
          <t>1 / 5</t>
        </is>
      </c>
      <c r="L834" t="inlineStr">
        <is>
          <t>0 / 2</t>
        </is>
      </c>
      <c r="M834" s="5" t="n">
        <v>0.17</v>
      </c>
      <c r="N834" s="5" t="n">
        <v>0</v>
      </c>
    </row>
    <row r="835">
      <c r="A835" t="n">
        <v>834</v>
      </c>
      <c r="B835" t="n">
        <v>2014</v>
      </c>
      <c r="C835" t="inlineStr">
        <is>
          <t>Mantian Ellie Ni</t>
        </is>
      </c>
      <c r="D835">
        <f>HYPERLINK("https://ota.tournamentsoftware.com/player-profile/7FD8D72E-3679-4613-A482-A282508BEA32", "Link")</f>
        <v/>
      </c>
      <c r="E835" s="3" t="n">
        <v>6.607</v>
      </c>
      <c r="F835" s="4" t="n">
        <v>2</v>
      </c>
      <c r="G835" t="inlineStr">
        <is>
          <t>Ontario Tennis Association</t>
        </is>
      </c>
      <c r="H835" t="inlineStr">
        <is>
          <t>Premier Racquet Club</t>
        </is>
      </c>
      <c r="I835" t="n">
        <v>39.5</v>
      </c>
      <c r="J835" s="4" t="n">
        <v>23</v>
      </c>
      <c r="K835" t="inlineStr">
        <is>
          <t>7 / 16</t>
        </is>
      </c>
      <c r="L835" t="inlineStr">
        <is>
          <t>3 / 4</t>
        </is>
      </c>
      <c r="M835" s="5" t="n">
        <v>0.3</v>
      </c>
      <c r="N835" s="5" t="n">
        <v>0.43</v>
      </c>
    </row>
    <row r="836">
      <c r="A836" t="n">
        <v>834</v>
      </c>
      <c r="B836" t="n">
        <v>2015</v>
      </c>
      <c r="C836" t="inlineStr">
        <is>
          <t>Ruby Mika Szakacs</t>
        </is>
      </c>
      <c r="D836">
        <f>HYPERLINK("https://ota.tournamentsoftware.com/player-profile/200B8C95-20A4-4F60-90C6-7E30A84EAEA7", "Link")</f>
        <v/>
      </c>
      <c r="E836" s="3" t="n">
        <v>6.607</v>
      </c>
      <c r="F836" s="4" t="n">
        <v>2</v>
      </c>
      <c r="G836" t="inlineStr">
        <is>
          <t>Ontario Tennis Association</t>
        </is>
      </c>
      <c r="H836" t="inlineStr">
        <is>
          <t>No Club</t>
        </is>
      </c>
      <c r="I836" t="n">
        <v>39.4</v>
      </c>
      <c r="J836" s="4" t="n">
        <v>55</v>
      </c>
      <c r="K836" t="inlineStr">
        <is>
          <t>28 / 27</t>
        </is>
      </c>
      <c r="L836" t="inlineStr">
        <is>
          <t>0 / 4</t>
        </is>
      </c>
      <c r="M836" s="5" t="n">
        <v>0.51</v>
      </c>
      <c r="N836" s="5" t="n">
        <v>0</v>
      </c>
    </row>
    <row r="837">
      <c r="A837" t="n">
        <v>836</v>
      </c>
      <c r="B837" t="n">
        <v>2014</v>
      </c>
      <c r="C837" t="inlineStr">
        <is>
          <t>Mila Isaeva</t>
        </is>
      </c>
      <c r="D837">
        <f>HYPERLINK("https://ota.tournamentsoftware.com/player-profile/318B72C3-8E32-46E5-B532-524E3B59755C", "Link")</f>
        <v/>
      </c>
      <c r="E837" s="3" t="n">
        <v>6.48</v>
      </c>
      <c r="F837" s="4" t="n">
        <v>1</v>
      </c>
      <c r="G837" t="inlineStr">
        <is>
          <t>Ontario Tennis Association</t>
        </is>
      </c>
      <c r="H837" t="inlineStr">
        <is>
          <t>Tam Heather Tennis Club</t>
        </is>
      </c>
      <c r="I837" t="n">
        <v>38.3</v>
      </c>
      <c r="J837" s="4" t="n">
        <v>18</v>
      </c>
      <c r="K837" t="inlineStr">
        <is>
          <t>10 / 8</t>
        </is>
      </c>
      <c r="L837" t="inlineStr">
        <is>
          <t>8 / 5</t>
        </is>
      </c>
      <c r="M837" s="5" t="n">
        <v>0.5600000000000001</v>
      </c>
      <c r="N837" s="5" t="n">
        <v>0.62</v>
      </c>
    </row>
    <row r="838">
      <c r="A838" t="n">
        <v>836</v>
      </c>
      <c r="B838" t="n">
        <v>2014</v>
      </c>
      <c r="C838" t="inlineStr">
        <is>
          <t>Elina Chai</t>
        </is>
      </c>
      <c r="D838">
        <f>HYPERLINK("https://ota.tournamentsoftware.com/player-profile/93EB3F3A-118C-460C-AB18-42D8F042E5A9", "Link")</f>
        <v/>
      </c>
      <c r="E838" s="3" t="n">
        <v>6.48</v>
      </c>
      <c r="F838" s="4" t="n">
        <v>1</v>
      </c>
      <c r="G838" t="inlineStr">
        <is>
          <t>Ontario Tennis Association</t>
        </is>
      </c>
      <c r="H838" t="inlineStr">
        <is>
          <t>ACE Tennis - Toronto Tennis City</t>
        </is>
      </c>
      <c r="I838" t="n">
        <v>38.5</v>
      </c>
      <c r="J838" s="4" t="n">
        <v>6</v>
      </c>
      <c r="K838" t="inlineStr">
        <is>
          <t>4 / 2</t>
        </is>
      </c>
      <c r="L838" t="inlineStr">
        <is>
          <t>4 / 2</t>
        </is>
      </c>
      <c r="M838" s="5" t="n">
        <v>0.67</v>
      </c>
      <c r="N838" s="5" t="n">
        <v>0.67</v>
      </c>
    </row>
    <row r="839">
      <c r="A839" t="n">
        <v>836</v>
      </c>
      <c r="B839" t="n">
        <v>2017</v>
      </c>
      <c r="C839" t="inlineStr">
        <is>
          <t>Riley Yang</t>
        </is>
      </c>
      <c r="D839">
        <f>HYPERLINK("https://ota.tournamentsoftware.com/player-profile/26AD4F6A-B4DE-4D98-85C5-1F82427AD36B", "Link")</f>
        <v/>
      </c>
      <c r="E839" s="3" t="n">
        <v>6.48</v>
      </c>
      <c r="F839" s="4" t="n">
        <v>1</v>
      </c>
      <c r="G839" t="inlineStr">
        <is>
          <t>Ontario Tennis Association</t>
        </is>
      </c>
      <c r="H839" t="inlineStr">
        <is>
          <t>Mayfair West Fitness &amp; Racquet Club</t>
        </is>
      </c>
      <c r="I839" t="inlineStr">
        <is>
          <t>unavailable</t>
        </is>
      </c>
      <c r="J839" s="4" t="n">
        <v>171</v>
      </c>
      <c r="K839" t="inlineStr">
        <is>
          <t>90 / 81</t>
        </is>
      </c>
      <c r="L839" t="inlineStr">
        <is>
          <t>54 / 37</t>
        </is>
      </c>
      <c r="M839" s="5" t="n">
        <v>0.53</v>
      </c>
      <c r="N839" s="5" t="n">
        <v>0.59</v>
      </c>
    </row>
    <row r="840">
      <c r="A840" t="n">
        <v>836</v>
      </c>
      <c r="B840" t="n">
        <v>2016</v>
      </c>
      <c r="C840" t="inlineStr">
        <is>
          <t>Charlotte Gordovin</t>
        </is>
      </c>
      <c r="D840">
        <f>HYPERLINK("https://ota.tournamentsoftware.com/player-profile/961D5F8B-09E8-477B-A5D4-F4815570D913", "Link")</f>
        <v/>
      </c>
      <c r="E840" s="3" t="n">
        <v>6.48</v>
      </c>
      <c r="F840" s="4" t="n">
        <v>3</v>
      </c>
      <c r="G840" t="inlineStr">
        <is>
          <t>Ontario Tennis Association</t>
        </is>
      </c>
      <c r="H840" t="inlineStr">
        <is>
          <t>ON Tennis Toronto No Club</t>
        </is>
      </c>
      <c r="I840" t="inlineStr">
        <is>
          <t>unavailable</t>
        </is>
      </c>
      <c r="J840" s="4" t="n">
        <v>84</v>
      </c>
      <c r="K840" t="inlineStr">
        <is>
          <t>41 / 43</t>
        </is>
      </c>
      <c r="L840" t="inlineStr">
        <is>
          <t>14 / 16</t>
        </is>
      </c>
      <c r="M840" s="5" t="n">
        <v>0.49</v>
      </c>
      <c r="N840" s="5" t="n">
        <v>0.47</v>
      </c>
    </row>
    <row r="841">
      <c r="A841" t="n">
        <v>836</v>
      </c>
      <c r="B841" t="n">
        <v>2015</v>
      </c>
      <c r="C841" t="inlineStr">
        <is>
          <t>Catherine Qu</t>
        </is>
      </c>
      <c r="D841">
        <f>HYPERLINK("https://ota.tournamentsoftware.com/player-profile/6BFBAA24-1779-441C-B7FC-7EF81219D270", "Link")</f>
        <v/>
      </c>
      <c r="E841" s="3" t="n">
        <v>6.48</v>
      </c>
      <c r="F841" s="4" t="n">
        <v>1</v>
      </c>
      <c r="G841" t="inlineStr">
        <is>
          <t>Ontario Tennis Association</t>
        </is>
      </c>
      <c r="H841" t="inlineStr">
        <is>
          <t>Royal City Tennis Club</t>
        </is>
      </c>
      <c r="I841" t="n">
        <v>36.4</v>
      </c>
      <c r="J841" s="4" t="n">
        <v>19</v>
      </c>
      <c r="K841" t="inlineStr">
        <is>
          <t>3 / 16</t>
        </is>
      </c>
      <c r="L841" t="inlineStr">
        <is>
          <t>1 / 1</t>
        </is>
      </c>
      <c r="M841" s="5" t="n">
        <v>0.16</v>
      </c>
      <c r="N841" s="5" t="n">
        <v>0.5</v>
      </c>
    </row>
    <row r="842">
      <c r="A842" t="n">
        <v>836</v>
      </c>
      <c r="B842" t="n">
        <v>2014</v>
      </c>
      <c r="C842" t="inlineStr">
        <is>
          <t>Vira Beskupska</t>
        </is>
      </c>
      <c r="D842">
        <f>HYPERLINK("https://ota.tournamentsoftware.com/player-profile/116FA89C-68A6-4FE9-ADC6-34260809351C", "Link")</f>
        <v/>
      </c>
      <c r="E842" s="3" t="n">
        <v>6.48</v>
      </c>
      <c r="F842" s="4" t="n">
        <v>1</v>
      </c>
      <c r="G842" t="inlineStr">
        <is>
          <t>Ontario Tennis Association</t>
        </is>
      </c>
      <c r="H842" t="inlineStr">
        <is>
          <t>Tennis Centre West Ottawa</t>
        </is>
      </c>
      <c r="I842" t="inlineStr">
        <is>
          <t>unavailable</t>
        </is>
      </c>
      <c r="J842" s="4" t="n">
        <v>1</v>
      </c>
      <c r="K842" t="inlineStr">
        <is>
          <t>0 / 1</t>
        </is>
      </c>
      <c r="L842" t="inlineStr">
        <is>
          <t>0 / 1</t>
        </is>
      </c>
      <c r="M842" s="5" t="n">
        <v>0</v>
      </c>
      <c r="N842" s="5" t="n">
        <v>0</v>
      </c>
    </row>
    <row r="843">
      <c r="A843" t="n">
        <v>842</v>
      </c>
      <c r="B843" t="n">
        <v>2015</v>
      </c>
      <c r="C843" t="inlineStr">
        <is>
          <t>Rowan Ferris</t>
        </is>
      </c>
      <c r="D843">
        <f>HYPERLINK("https://ota.tournamentsoftware.com/player-profile/48292DD6-1A8C-41C7-997E-9A5C5BD68EFF", "Link")</f>
        <v/>
      </c>
      <c r="E843" s="3" t="n">
        <v>6.478</v>
      </c>
      <c r="F843" s="4" t="n">
        <v>2</v>
      </c>
      <c r="G843" t="inlineStr">
        <is>
          <t>Tennis Alberta</t>
        </is>
      </c>
      <c r="H843" t="inlineStr">
        <is>
          <t>Medicine Hat Tennis Club</t>
        </is>
      </c>
      <c r="I843" t="n">
        <v>39.3</v>
      </c>
      <c r="J843" s="4" t="n">
        <v>10</v>
      </c>
      <c r="K843" t="inlineStr">
        <is>
          <t>3 / 7</t>
        </is>
      </c>
      <c r="L843" t="inlineStr">
        <is>
          <t>1 / 3</t>
        </is>
      </c>
      <c r="M843" s="5" t="n">
        <v>0.3</v>
      </c>
      <c r="N843" s="5" t="n">
        <v>0.25</v>
      </c>
    </row>
    <row r="844">
      <c r="A844" t="n">
        <v>843</v>
      </c>
      <c r="B844" t="n">
        <v>2015</v>
      </c>
      <c r="C844" t="inlineStr">
        <is>
          <t>Niveah Watt-Shelton</t>
        </is>
      </c>
      <c r="D844">
        <f>HYPERLINK("https://ota.tournamentsoftware.com/player-profile/2142B288-43FF-46B4-8037-BD18E957E823", "Link")</f>
        <v/>
      </c>
      <c r="E844" s="3" t="n">
        <v>6.33</v>
      </c>
      <c r="F844" s="4" t="n">
        <v>2</v>
      </c>
      <c r="G844" t="inlineStr">
        <is>
          <t>British Columbia</t>
        </is>
      </c>
      <c r="H844" t="inlineStr">
        <is>
          <t>UBC Tennis Centre</t>
        </is>
      </c>
      <c r="I844" t="inlineStr">
        <is>
          <t>unavailable</t>
        </is>
      </c>
      <c r="J844" s="4" t="n">
        <v>58</v>
      </c>
      <c r="K844" t="inlineStr">
        <is>
          <t>28 / 30</t>
        </is>
      </c>
      <c r="L844" t="inlineStr">
        <is>
          <t>8 / 8</t>
        </is>
      </c>
      <c r="M844" s="5" t="n">
        <v>0.48</v>
      </c>
      <c r="N844" s="5" t="n">
        <v>0.5</v>
      </c>
    </row>
    <row r="845">
      <c r="A845" t="n">
        <v>844</v>
      </c>
      <c r="B845" t="n">
        <v>2012</v>
      </c>
      <c r="C845" t="inlineStr">
        <is>
          <t>Feiran Zhang</t>
        </is>
      </c>
      <c r="D845">
        <f>HYPERLINK("https://ota.tournamentsoftware.com/player-profile/8FFC114F-FEF3-40BF-AF97-E338D1EA4209", "Link")</f>
        <v/>
      </c>
      <c r="E845" s="3" t="n">
        <v>6.248</v>
      </c>
      <c r="F845" s="4" t="n">
        <v>1</v>
      </c>
      <c r="G845" t="inlineStr">
        <is>
          <t>British Columbia</t>
        </is>
      </c>
      <c r="H845" t="inlineStr">
        <is>
          <t>No Club</t>
        </is>
      </c>
      <c r="I845" t="n">
        <v>38.1</v>
      </c>
      <c r="J845" s="4" t="n">
        <v>14</v>
      </c>
      <c r="K845" t="inlineStr">
        <is>
          <t>5 / 9</t>
        </is>
      </c>
      <c r="L845" t="inlineStr">
        <is>
          <t>2 / 3</t>
        </is>
      </c>
      <c r="M845" s="5" t="n">
        <v>0.36</v>
      </c>
      <c r="N845" s="5" t="n">
        <v>0.4</v>
      </c>
    </row>
    <row r="846">
      <c r="A846" t="n">
        <v>844</v>
      </c>
      <c r="B846" t="n">
        <v>2012</v>
      </c>
      <c r="C846" t="inlineStr">
        <is>
          <t>Huiran Zhang</t>
        </is>
      </c>
      <c r="D846">
        <f>HYPERLINK("https://ota.tournamentsoftware.com/player-profile/1E917C5C-2B33-48E2-908B-A812DD532CD4", "Link")</f>
        <v/>
      </c>
      <c r="E846" s="3" t="n">
        <v>6.248</v>
      </c>
      <c r="F846" s="4" t="n">
        <v>1</v>
      </c>
      <c r="G846" t="inlineStr">
        <is>
          <t>British Columbia</t>
        </is>
      </c>
      <c r="H846" t="inlineStr">
        <is>
          <t>No Club</t>
        </is>
      </c>
      <c r="I846" t="n">
        <v>37.6</v>
      </c>
      <c r="J846" s="4" t="n">
        <v>13</v>
      </c>
      <c r="K846" t="inlineStr">
        <is>
          <t>2 / 11</t>
        </is>
      </c>
      <c r="L846" t="inlineStr">
        <is>
          <t>1 / 4</t>
        </is>
      </c>
      <c r="M846" s="5" t="n">
        <v>0.15</v>
      </c>
      <c r="N846" s="5" t="n">
        <v>0.2</v>
      </c>
    </row>
    <row r="847">
      <c r="A847" t="n">
        <v>846</v>
      </c>
      <c r="B847" t="n">
        <v>2015</v>
      </c>
      <c r="C847" t="inlineStr">
        <is>
          <t>Lydia Hilborn</t>
        </is>
      </c>
      <c r="D847">
        <f>HYPERLINK("https://ota.tournamentsoftware.com/player-profile/30626EFD-AB33-4307-B2FA-1CF205F3C271", "Link")</f>
        <v/>
      </c>
      <c r="E847" s="3" t="n">
        <v>6.23</v>
      </c>
      <c r="F847" s="4" t="n">
        <v>1</v>
      </c>
      <c r="G847" t="inlineStr">
        <is>
          <t>Ontario Tennis Association</t>
        </is>
      </c>
      <c r="H847" t="inlineStr">
        <is>
          <t>Cutten Fields</t>
        </is>
      </c>
      <c r="I847" t="n">
        <v>37.5</v>
      </c>
      <c r="J847" s="4" t="n">
        <v>50</v>
      </c>
      <c r="K847" t="inlineStr">
        <is>
          <t>23 / 27</t>
        </is>
      </c>
      <c r="L847" t="inlineStr">
        <is>
          <t>0 / 0</t>
        </is>
      </c>
      <c r="M847" s="5" t="n">
        <v>0.46</v>
      </c>
      <c r="N847" s="5" t="n">
        <v>0</v>
      </c>
    </row>
    <row r="848">
      <c r="A848" t="n">
        <v>847</v>
      </c>
      <c r="B848" t="n">
        <v>2014</v>
      </c>
      <c r="C848" t="inlineStr">
        <is>
          <t>Dina Karahotzitis</t>
        </is>
      </c>
      <c r="D848">
        <f>HYPERLINK("https://ota.tournamentsoftware.com/player-profile/741C9055-B842-4064-A339-E591B8FD72C4", "Link")</f>
        <v/>
      </c>
      <c r="E848" s="3" t="n">
        <v>6</v>
      </c>
      <c r="F848" s="4" t="n">
        <v>1</v>
      </c>
      <c r="G848" t="inlineStr">
        <is>
          <t>Ontario Tennis Association</t>
        </is>
      </c>
      <c r="H848" t="inlineStr">
        <is>
          <t>Mayfair West Fitness &amp; Racquet Club</t>
        </is>
      </c>
      <c r="I848" t="n">
        <v>34.9</v>
      </c>
      <c r="J848" s="4" t="n">
        <v>19</v>
      </c>
      <c r="K848" t="inlineStr">
        <is>
          <t>0 / 19</t>
        </is>
      </c>
      <c r="L848" t="inlineStr">
        <is>
          <t>0 / 0</t>
        </is>
      </c>
      <c r="M848" s="5" t="n">
        <v>0</v>
      </c>
      <c r="N848" s="5" t="n">
        <v>0</v>
      </c>
    </row>
    <row r="849">
      <c r="A849" t="n">
        <v>847</v>
      </c>
      <c r="B849" t="n">
        <v>2015</v>
      </c>
      <c r="C849" t="inlineStr">
        <is>
          <t>Allison Zhang</t>
        </is>
      </c>
      <c r="D849">
        <f>HYPERLINK("https://ota.tournamentsoftware.com/player-profile/7EED065B-4139-4D18-B6C0-4800BB20D171", "Link")</f>
        <v/>
      </c>
      <c r="E849" s="3" t="n">
        <v>6</v>
      </c>
      <c r="F849" s="4" t="n">
        <v>1</v>
      </c>
      <c r="G849" t="inlineStr">
        <is>
          <t>Ontario Tennis Association</t>
        </is>
      </c>
      <c r="H849" t="inlineStr">
        <is>
          <t>No Club</t>
        </is>
      </c>
      <c r="I849" t="inlineStr">
        <is>
          <t>unavailable</t>
        </is>
      </c>
      <c r="J849" s="4" t="n">
        <v>23</v>
      </c>
      <c r="K849" t="inlineStr">
        <is>
          <t>4 / 19</t>
        </is>
      </c>
      <c r="L849" t="inlineStr">
        <is>
          <t>0 / 0</t>
        </is>
      </c>
      <c r="M849" s="5" t="n">
        <v>0.17</v>
      </c>
      <c r="N849" s="5" t="n">
        <v>0</v>
      </c>
    </row>
    <row r="850">
      <c r="A850" t="n">
        <v>849</v>
      </c>
      <c r="B850" t="n">
        <v>2015</v>
      </c>
      <c r="C850" t="inlineStr">
        <is>
          <t>Vera Nino</t>
        </is>
      </c>
      <c r="D850">
        <f>HYPERLINK("https://ota.tournamentsoftware.com/player-profile/081EF9A9-B991-431D-B2FC-AC8426BD2711", "Link")</f>
        <v/>
      </c>
      <c r="E850" s="3" t="n">
        <v>5.803</v>
      </c>
      <c r="F850" s="4" t="n">
        <v>1</v>
      </c>
      <c r="G850" t="inlineStr">
        <is>
          <t>Ontario Tennis Association</t>
        </is>
      </c>
      <c r="H850" t="inlineStr">
        <is>
          <t>Zekelman Tennis Centre</t>
        </is>
      </c>
      <c r="I850" t="inlineStr">
        <is>
          <t>unavailable</t>
        </is>
      </c>
      <c r="J850" s="4" t="n">
        <v>6</v>
      </c>
      <c r="K850" t="inlineStr">
        <is>
          <t>0 / 6</t>
        </is>
      </c>
      <c r="L850" t="inlineStr">
        <is>
          <t>0 / 6</t>
        </is>
      </c>
      <c r="M850" s="5" t="n">
        <v>0</v>
      </c>
      <c r="N850" s="5" t="n">
        <v>0</v>
      </c>
    </row>
    <row r="851">
      <c r="A851" t="n">
        <v>850</v>
      </c>
      <c r="B851" t="n">
        <v>2014</v>
      </c>
      <c r="C851" t="inlineStr">
        <is>
          <t>Anabelle Duchesne</t>
        </is>
      </c>
      <c r="D851">
        <f>HYPERLINK("https://ota.tournamentsoftware.com/player-profile/3D9B7A28-72A0-4133-925D-142C95DC7FA9", "Link")</f>
        <v/>
      </c>
      <c r="E851" s="3" t="n">
        <v>5.497</v>
      </c>
      <c r="F851" s="4" t="n">
        <v>1</v>
      </c>
      <c r="G851" t="inlineStr">
        <is>
          <t>Tennis Québec</t>
        </is>
      </c>
      <c r="H851" t="inlineStr">
        <is>
          <t>Les Tennis de Rimouski (intérieur)</t>
        </is>
      </c>
      <c r="I851" t="n">
        <v>39.8</v>
      </c>
      <c r="J851" s="4" t="n">
        <v>3</v>
      </c>
      <c r="K851" t="inlineStr">
        <is>
          <t>0 / 3</t>
        </is>
      </c>
      <c r="L851" t="inlineStr">
        <is>
          <t>0 / 3</t>
        </is>
      </c>
      <c r="M851" s="5" t="n">
        <v>0</v>
      </c>
      <c r="N851" s="5" t="n">
        <v>0</v>
      </c>
    </row>
    <row r="852">
      <c r="A852" t="n">
        <v>851</v>
      </c>
      <c r="B852" t="n">
        <v>2013</v>
      </c>
      <c r="C852" t="inlineStr">
        <is>
          <t>Eve Bussière</t>
        </is>
      </c>
      <c r="D852">
        <f>HYPERLINK("https://ota.tournamentsoftware.com/player-profile/01D291A9-D1EC-4A34-907D-E221D9B25023", "Link")</f>
        <v/>
      </c>
      <c r="E852" s="3" t="n">
        <v>5.408</v>
      </c>
      <c r="F852" s="4" t="n">
        <v>2</v>
      </c>
      <c r="G852" t="inlineStr">
        <is>
          <t>Tennis Québec</t>
        </is>
      </c>
      <c r="H852" t="inlineStr">
        <is>
          <t>No Club</t>
        </is>
      </c>
      <c r="I852" t="inlineStr">
        <is>
          <t>unavailable</t>
        </is>
      </c>
      <c r="J852" s="4" t="n">
        <v>10</v>
      </c>
      <c r="K852" t="inlineStr">
        <is>
          <t>2 / 8</t>
        </is>
      </c>
      <c r="L852" t="inlineStr">
        <is>
          <t>0 / 0</t>
        </is>
      </c>
      <c r="M852" s="5" t="n">
        <v>0.2</v>
      </c>
      <c r="N852" s="5" t="n">
        <v>0</v>
      </c>
    </row>
    <row r="853">
      <c r="A853" t="n">
        <v>852</v>
      </c>
      <c r="B853" t="n">
        <v>2012</v>
      </c>
      <c r="C853" t="inlineStr">
        <is>
          <t>Emma Thomson</t>
        </is>
      </c>
      <c r="D853">
        <f>HYPERLINK("https://ota.tournamentsoftware.com/player-profile/EE28DE8E-EE8A-4FBB-885B-733BCB8A08C4", "Link")</f>
        <v/>
      </c>
      <c r="E853" s="3" t="n">
        <v>5.404</v>
      </c>
      <c r="F853" s="4" t="n">
        <v>3</v>
      </c>
      <c r="G853" t="inlineStr">
        <is>
          <t>Tennis Alberta</t>
        </is>
      </c>
      <c r="H853" t="inlineStr">
        <is>
          <t>Osten &amp; Victor Alberta Tennis Centre</t>
        </is>
      </c>
      <c r="I853" t="inlineStr">
        <is>
          <t>unavailable</t>
        </is>
      </c>
      <c r="J853" s="4" t="n">
        <v>6</v>
      </c>
      <c r="K853" t="inlineStr">
        <is>
          <t>1 / 5</t>
        </is>
      </c>
      <c r="L853" t="inlineStr">
        <is>
          <t>1 / 1</t>
        </is>
      </c>
      <c r="M853" s="5" t="n">
        <v>0.17</v>
      </c>
      <c r="N853" s="5" t="n">
        <v>0.5</v>
      </c>
    </row>
    <row r="854">
      <c r="A854" t="n">
        <v>853</v>
      </c>
      <c r="B854" t="n">
        <v>2016</v>
      </c>
      <c r="C854" t="inlineStr">
        <is>
          <t>Marusya Bakaeva</t>
        </is>
      </c>
      <c r="D854">
        <f>HYPERLINK("https://ota.tournamentsoftware.com/player-profile/B7C51186-F387-4E99-B849-E8275BB7C0E9", "Link")</f>
        <v/>
      </c>
      <c r="E854" s="3" t="n">
        <v>5.125</v>
      </c>
      <c r="F854" s="4" t="n">
        <v>1</v>
      </c>
      <c r="G854" t="inlineStr">
        <is>
          <t>Ontario Tennis Association</t>
        </is>
      </c>
      <c r="H854" t="inlineStr">
        <is>
          <t>Toronto Tennis City</t>
        </is>
      </c>
      <c r="I854" t="n">
        <v>35.9</v>
      </c>
      <c r="J854" s="4" t="n">
        <v>14</v>
      </c>
      <c r="K854" t="inlineStr">
        <is>
          <t>6 / 8</t>
        </is>
      </c>
      <c r="L854" t="inlineStr">
        <is>
          <t>3 / 4</t>
        </is>
      </c>
      <c r="M854" s="5" t="n">
        <v>0.43</v>
      </c>
      <c r="N854" s="5" t="n">
        <v>0.43</v>
      </c>
    </row>
    <row r="855">
      <c r="A855" t="n">
        <v>853</v>
      </c>
      <c r="B855" t="n">
        <v>2014</v>
      </c>
      <c r="C855" t="inlineStr">
        <is>
          <t>Alexandra Ciacoi-Pop</t>
        </is>
      </c>
      <c r="D855">
        <f>HYPERLINK("https://ota.tournamentsoftware.com/player-profile/4F87B1A1-F52A-4C8C-8C6B-776A59CC6D03", "Link")</f>
        <v/>
      </c>
      <c r="E855" s="3" t="n">
        <v>5.125</v>
      </c>
      <c r="F855" s="4" t="n">
        <v>1</v>
      </c>
      <c r="G855" t="inlineStr">
        <is>
          <t>Ontario Tennis Association</t>
        </is>
      </c>
      <c r="H855" t="inlineStr">
        <is>
          <t>Parkway Valley Tennis Club</t>
        </is>
      </c>
      <c r="I855" t="n">
        <v>38.8</v>
      </c>
      <c r="J855" s="4" t="n">
        <v>28</v>
      </c>
      <c r="K855" t="inlineStr">
        <is>
          <t>11 / 17</t>
        </is>
      </c>
      <c r="L855" t="inlineStr">
        <is>
          <t>7 / 12</t>
        </is>
      </c>
      <c r="M855" s="5" t="n">
        <v>0.39</v>
      </c>
      <c r="N855" s="5" t="n">
        <v>0.37</v>
      </c>
    </row>
    <row r="856">
      <c r="A856" t="n">
        <v>855</v>
      </c>
      <c r="B856" t="n">
        <v>2012</v>
      </c>
      <c r="C856" t="inlineStr">
        <is>
          <t>Frankie Hunsberger</t>
        </is>
      </c>
      <c r="D856">
        <f>HYPERLINK("https://ota.tournamentsoftware.com/player-profile/288F03A3-20CB-46BE-B35D-7428B5B7FA35", "Link")</f>
        <v/>
      </c>
      <c r="E856" s="3" t="n">
        <v>5.054</v>
      </c>
      <c r="F856" s="4" t="n">
        <v>2</v>
      </c>
      <c r="G856" t="inlineStr">
        <is>
          <t>British Columbia</t>
        </is>
      </c>
      <c r="H856" t="inlineStr">
        <is>
          <t>North Shore Winter Club</t>
        </is>
      </c>
      <c r="I856" t="n">
        <v>38.6</v>
      </c>
      <c r="J856" s="4" t="n">
        <v>18</v>
      </c>
      <c r="K856" t="inlineStr">
        <is>
          <t>10 / 8</t>
        </is>
      </c>
      <c r="L856" t="inlineStr">
        <is>
          <t>3 / 2</t>
        </is>
      </c>
      <c r="M856" s="5" t="n">
        <v>0.5600000000000001</v>
      </c>
      <c r="N856" s="5" t="n">
        <v>0.6</v>
      </c>
    </row>
    <row r="857">
      <c r="A857" t="n">
        <v>856</v>
      </c>
      <c r="B857" t="n">
        <v>2014</v>
      </c>
      <c r="C857" t="inlineStr">
        <is>
          <t>Freya Run Rutledge</t>
        </is>
      </c>
      <c r="D857">
        <f>HYPERLINK("https://ota.tournamentsoftware.com/player-profile/76B60137-7272-4F42-A455-109E20840062", "Link")</f>
        <v/>
      </c>
      <c r="E857" s="3" t="n">
        <v>5</v>
      </c>
      <c r="F857" s="4" t="n">
        <v>1</v>
      </c>
      <c r="G857" t="inlineStr">
        <is>
          <t>Ontario Tennis Association</t>
        </is>
      </c>
      <c r="H857" t="inlineStr">
        <is>
          <t>Boulevard Club</t>
        </is>
      </c>
      <c r="I857" t="n">
        <v>34.9</v>
      </c>
      <c r="J857" s="4" t="n">
        <v>14</v>
      </c>
      <c r="K857" t="inlineStr">
        <is>
          <t>0 / 14</t>
        </is>
      </c>
      <c r="L857" t="inlineStr">
        <is>
          <t>0 / 1</t>
        </is>
      </c>
      <c r="M857" s="5" t="n">
        <v>0</v>
      </c>
      <c r="N857" s="5" t="n">
        <v>0</v>
      </c>
    </row>
    <row r="858">
      <c r="A858" t="n">
        <v>856</v>
      </c>
      <c r="B858" t="n">
        <v>2013</v>
      </c>
      <c r="C858" t="inlineStr">
        <is>
          <t>Barbara Li</t>
        </is>
      </c>
      <c r="D858">
        <f>HYPERLINK("https://ota.tournamentsoftware.com/player-profile/FFEAFA99-A203-4A57-A5C8-1E0592A53A81", "Link")</f>
        <v/>
      </c>
      <c r="E858" s="3" t="n">
        <v>5</v>
      </c>
      <c r="F858" s="4" t="n">
        <v>1</v>
      </c>
      <c r="G858" t="inlineStr">
        <is>
          <t>British Columbia</t>
        </is>
      </c>
      <c r="H858" t="inlineStr">
        <is>
          <t>Hollyburn Country Club</t>
        </is>
      </c>
      <c r="I858" t="n">
        <v>39.7</v>
      </c>
      <c r="J858" s="4" t="n">
        <v>13</v>
      </c>
      <c r="K858" t="inlineStr">
        <is>
          <t>3 / 10</t>
        </is>
      </c>
      <c r="L858" t="inlineStr">
        <is>
          <t>0 / 0</t>
        </is>
      </c>
      <c r="M858" s="5" t="n">
        <v>0.23</v>
      </c>
      <c r="N858" s="5" t="n">
        <v>0</v>
      </c>
    </row>
    <row r="859">
      <c r="A859" t="n">
        <v>856</v>
      </c>
      <c r="B859" t="n">
        <v>2014</v>
      </c>
      <c r="C859" t="inlineStr">
        <is>
          <t>Mackenzie Lee</t>
        </is>
      </c>
      <c r="D859">
        <f>HYPERLINK("https://ota.tournamentsoftware.com/player-profile/7734E749-B5B7-4067-9AE1-B5CB58EFDC1A", "Link")</f>
        <v/>
      </c>
      <c r="E859" s="3" t="n">
        <v>5</v>
      </c>
      <c r="F859" s="4" t="n">
        <v>1</v>
      </c>
      <c r="G859" t="inlineStr">
        <is>
          <t>Ontario Tennis Association</t>
        </is>
      </c>
      <c r="H859" t="inlineStr">
        <is>
          <t>Toronto Lawn Tennis Club</t>
        </is>
      </c>
      <c r="I859" t="inlineStr">
        <is>
          <t>unavailable</t>
        </is>
      </c>
      <c r="J859" s="4" t="n">
        <v>13</v>
      </c>
      <c r="K859" t="inlineStr">
        <is>
          <t>5 / 8</t>
        </is>
      </c>
      <c r="L859" t="inlineStr">
        <is>
          <t>4 / 3</t>
        </is>
      </c>
      <c r="M859" s="5" t="n">
        <v>0.38</v>
      </c>
      <c r="N859" s="5" t="n">
        <v>0.57</v>
      </c>
    </row>
    <row r="860">
      <c r="A860" t="n">
        <v>856</v>
      </c>
      <c r="B860" t="n">
        <v>2015</v>
      </c>
      <c r="C860" t="inlineStr">
        <is>
          <t>Cynthia Wang</t>
        </is>
      </c>
      <c r="D860">
        <f>HYPERLINK("https://ota.tournamentsoftware.com/player-profile/C8736B80-1071-4F4F-86B0-CA7FB630F618", "Link")</f>
        <v/>
      </c>
      <c r="E860" s="3" t="n">
        <v>5</v>
      </c>
      <c r="F860" s="4" t="n">
        <v>1</v>
      </c>
      <c r="G860" t="inlineStr">
        <is>
          <t>Ontario Tennis Association</t>
        </is>
      </c>
      <c r="H860" t="inlineStr">
        <is>
          <t>SmartVMC Racquetsports by ACE</t>
        </is>
      </c>
      <c r="I860" t="n">
        <v>37.3</v>
      </c>
      <c r="J860" s="4" t="n">
        <v>3</v>
      </c>
      <c r="K860" t="inlineStr">
        <is>
          <t>0 / 3</t>
        </is>
      </c>
      <c r="L860" t="inlineStr">
        <is>
          <t>0 / 0</t>
        </is>
      </c>
      <c r="M860" s="5" t="n">
        <v>0</v>
      </c>
      <c r="N860" s="5" t="n">
        <v>0</v>
      </c>
    </row>
    <row r="861">
      <c r="A861" t="n">
        <v>860</v>
      </c>
      <c r="B861" t="n">
        <v>2014</v>
      </c>
      <c r="C861" t="inlineStr">
        <is>
          <t>Alicia Januario</t>
        </is>
      </c>
      <c r="D861">
        <f>HYPERLINK("https://ota.tournamentsoftware.com/player-profile/C042725A-21A9-463F-848F-04CEA3B56FE5", "Link")</f>
        <v/>
      </c>
      <c r="E861" s="3" t="n">
        <v>4.927</v>
      </c>
      <c r="F861" s="4" t="n">
        <v>2</v>
      </c>
      <c r="G861" t="inlineStr">
        <is>
          <t>Tennis Québec</t>
        </is>
      </c>
      <c r="H861" t="inlineStr">
        <is>
          <t>No Club</t>
        </is>
      </c>
      <c r="I861" t="n">
        <v>37.7</v>
      </c>
      <c r="J861" s="4" t="n">
        <v>6</v>
      </c>
      <c r="K861" t="inlineStr">
        <is>
          <t>1 / 5</t>
        </is>
      </c>
      <c r="L861" t="inlineStr">
        <is>
          <t>1 / 5</t>
        </is>
      </c>
      <c r="M861" s="5" t="n">
        <v>0.17</v>
      </c>
      <c r="N861" s="5" t="n">
        <v>0.17</v>
      </c>
    </row>
    <row r="862">
      <c r="A862" t="n">
        <v>861</v>
      </c>
      <c r="B862" t="n">
        <v>2013</v>
      </c>
      <c r="C862" t="inlineStr">
        <is>
          <t>Grâce-David Adzo TRAORÉ</t>
        </is>
      </c>
      <c r="D862">
        <f>HYPERLINK("https://ota.tournamentsoftware.com/player-profile/2A96F5BB-709B-450E-A0CA-0442985A8D03", "Link")</f>
        <v/>
      </c>
      <c r="E862" s="3" t="n">
        <v>4.806</v>
      </c>
      <c r="F862" s="4" t="n">
        <v>1</v>
      </c>
      <c r="G862" t="inlineStr">
        <is>
          <t>Tennis Québec</t>
        </is>
      </c>
      <c r="H862" t="inlineStr">
        <is>
          <t>QC AutreClub</t>
        </is>
      </c>
      <c r="I862" t="inlineStr">
        <is>
          <t>unavailable</t>
        </is>
      </c>
      <c r="J862" s="4" t="n">
        <v>1</v>
      </c>
      <c r="K862" t="inlineStr">
        <is>
          <t>0 / 1</t>
        </is>
      </c>
      <c r="L862" t="inlineStr">
        <is>
          <t>0 / 0</t>
        </is>
      </c>
      <c r="M862" s="5" t="n">
        <v>0</v>
      </c>
      <c r="N862" s="5" t="n">
        <v>0</v>
      </c>
    </row>
    <row r="863">
      <c r="A863" t="n">
        <v>861</v>
      </c>
      <c r="B863" t="n">
        <v>2014</v>
      </c>
      <c r="C863" t="inlineStr">
        <is>
          <t>Emma Sun</t>
        </is>
      </c>
      <c r="D863">
        <f>HYPERLINK("https://ota.tournamentsoftware.com/player-profile/872E410F-742F-4F80-9387-6C15C73FE92E", "Link")</f>
        <v/>
      </c>
      <c r="E863" s="3" t="n">
        <v>4.806</v>
      </c>
      <c r="F863" s="4" t="n">
        <v>1</v>
      </c>
      <c r="G863" t="inlineStr">
        <is>
          <t>Ontario Tennis Association</t>
        </is>
      </c>
      <c r="H863" t="inlineStr">
        <is>
          <t>Valan Tennis Academy</t>
        </is>
      </c>
      <c r="I863" t="n">
        <v>38.5</v>
      </c>
      <c r="J863" s="4" t="n">
        <v>18</v>
      </c>
      <c r="K863" t="inlineStr">
        <is>
          <t>10 / 8</t>
        </is>
      </c>
      <c r="L863" t="inlineStr">
        <is>
          <t>1 / 1</t>
        </is>
      </c>
      <c r="M863" s="5" t="n">
        <v>0.5600000000000001</v>
      </c>
      <c r="N863" s="5" t="n">
        <v>0.5</v>
      </c>
    </row>
    <row r="864">
      <c r="A864" t="n">
        <v>861</v>
      </c>
      <c r="B864" t="n">
        <v>2014</v>
      </c>
      <c r="C864" t="inlineStr">
        <is>
          <t>Iris Li</t>
        </is>
      </c>
      <c r="D864">
        <f>HYPERLINK("https://ota.tournamentsoftware.com/player-profile/CC36F5CC-203F-4A28-B27C-068A0E15610C", "Link")</f>
        <v/>
      </c>
      <c r="E864" s="3" t="n">
        <v>4.806</v>
      </c>
      <c r="F864" s="4" t="n">
        <v>2</v>
      </c>
      <c r="G864" t="inlineStr">
        <is>
          <t>British Columbia</t>
        </is>
      </c>
      <c r="H864" t="inlineStr">
        <is>
          <t>Tennis for Life</t>
        </is>
      </c>
      <c r="I864" t="n">
        <v>39.6</v>
      </c>
      <c r="J864" s="4" t="n">
        <v>37</v>
      </c>
      <c r="K864" t="inlineStr">
        <is>
          <t>11 / 26</t>
        </is>
      </c>
      <c r="L864" t="inlineStr">
        <is>
          <t>2 / 4</t>
        </is>
      </c>
      <c r="M864" s="5" t="n">
        <v>0.3</v>
      </c>
      <c r="N864" s="5" t="n">
        <v>0.33</v>
      </c>
    </row>
    <row r="865">
      <c r="A865" t="n">
        <v>861</v>
      </c>
      <c r="B865" t="n">
        <v>2014</v>
      </c>
      <c r="C865" t="inlineStr">
        <is>
          <t>Hannah Kucherawy</t>
        </is>
      </c>
      <c r="D865">
        <f>HYPERLINK("https://ota.tournamentsoftware.com/player-profile/E2ACD595-E7E5-40E3-935D-57DCECB8E04C", "Link")</f>
        <v/>
      </c>
      <c r="E865" s="3" t="n">
        <v>4.806</v>
      </c>
      <c r="F865" s="4" t="n">
        <v>1</v>
      </c>
      <c r="G865" t="inlineStr">
        <is>
          <t>Ontario Tennis Association</t>
        </is>
      </c>
      <c r="H865" t="inlineStr">
        <is>
          <t>Simcoe Tennis</t>
        </is>
      </c>
      <c r="I865" t="n">
        <v>35.6</v>
      </c>
      <c r="J865" s="4" t="n">
        <v>23</v>
      </c>
      <c r="K865" t="inlineStr">
        <is>
          <t>3 / 20</t>
        </is>
      </c>
      <c r="L865" t="inlineStr">
        <is>
          <t>1 / 1</t>
        </is>
      </c>
      <c r="M865" s="5" t="n">
        <v>0.13</v>
      </c>
      <c r="N865" s="5" t="n">
        <v>0.5</v>
      </c>
    </row>
    <row r="866">
      <c r="A866" t="n">
        <v>865</v>
      </c>
      <c r="B866" t="n">
        <v>2012</v>
      </c>
      <c r="C866" t="inlineStr">
        <is>
          <t>Katie Elizabeth Furlan</t>
        </is>
      </c>
      <c r="D866">
        <f>HYPERLINK("https://ota.tournamentsoftware.com/player-profile/CB36C2DA-0DAF-44E4-AE44-0A925ED0DFC0", "Link")</f>
        <v/>
      </c>
      <c r="E866" s="3" t="n">
        <v>4.538</v>
      </c>
      <c r="F866" s="4" t="n">
        <v>4</v>
      </c>
      <c r="G866" t="inlineStr">
        <is>
          <t>Tennis Alberta</t>
        </is>
      </c>
      <c r="H866" t="inlineStr">
        <is>
          <t>The Glencoe Club</t>
        </is>
      </c>
      <c r="I866" t="n">
        <v>38.4</v>
      </c>
      <c r="J866" s="4" t="n">
        <v>25</v>
      </c>
      <c r="K866" t="inlineStr">
        <is>
          <t>6 / 19</t>
        </is>
      </c>
      <c r="L866" t="inlineStr">
        <is>
          <t>0 / 2</t>
        </is>
      </c>
      <c r="M866" s="5" t="n">
        <v>0.24</v>
      </c>
      <c r="N866" s="5" t="n">
        <v>0</v>
      </c>
    </row>
    <row r="867">
      <c r="A867" t="n">
        <v>866</v>
      </c>
      <c r="B867" t="n">
        <v>2016</v>
      </c>
      <c r="C867" t="inlineStr">
        <is>
          <t>Michelle Hiu Tung Law</t>
        </is>
      </c>
      <c r="D867">
        <f>HYPERLINK("https://ota.tournamentsoftware.com/player-profile/6B7246D7-C656-43B4-A93A-54E15E04D73D", "Link")</f>
        <v/>
      </c>
      <c r="E867" s="3" t="n">
        <v>4.536</v>
      </c>
      <c r="F867" s="4" t="n">
        <v>9</v>
      </c>
      <c r="G867" t="inlineStr">
        <is>
          <t>Tennis Alberta</t>
        </is>
      </c>
      <c r="H867" t="inlineStr">
        <is>
          <t>Saville Community Sports Centre</t>
        </is>
      </c>
      <c r="I867" t="n">
        <v>38.4</v>
      </c>
      <c r="J867" s="4" t="n">
        <v>77</v>
      </c>
      <c r="K867" t="inlineStr">
        <is>
          <t>31 / 46</t>
        </is>
      </c>
      <c r="L867" t="inlineStr">
        <is>
          <t>12 / 18</t>
        </is>
      </c>
      <c r="M867" s="5" t="n">
        <v>0.4</v>
      </c>
      <c r="N867" s="5" t="n">
        <v>0.4</v>
      </c>
    </row>
    <row r="868">
      <c r="A868" t="n">
        <v>867</v>
      </c>
      <c r="B868" t="n">
        <v>2012</v>
      </c>
      <c r="C868" t="inlineStr">
        <is>
          <t>Lucia Racquel Deagle</t>
        </is>
      </c>
      <c r="D868">
        <f>HYPERLINK("https://ota.tournamentsoftware.com/player-profile/9262B9F2-035F-451E-8B86-6E98C95AB597", "Link")</f>
        <v/>
      </c>
      <c r="E868" s="3" t="n">
        <v>4.173</v>
      </c>
      <c r="F868" s="4" t="n">
        <v>2</v>
      </c>
      <c r="G868" t="inlineStr">
        <is>
          <t>Tennis Alberta</t>
        </is>
      </c>
      <c r="H868" t="inlineStr">
        <is>
          <t>Aforza</t>
        </is>
      </c>
      <c r="I868" t="n">
        <v>39.2</v>
      </c>
      <c r="J868" s="4" t="n">
        <v>17</v>
      </c>
      <c r="K868" t="inlineStr">
        <is>
          <t>1 / 16</t>
        </is>
      </c>
      <c r="L868" t="inlineStr">
        <is>
          <t>0 / 0</t>
        </is>
      </c>
      <c r="M868" s="5" t="n">
        <v>0.06</v>
      </c>
      <c r="N868" s="5" t="n">
        <v>0</v>
      </c>
    </row>
    <row r="869">
      <c r="A869" t="n">
        <v>868</v>
      </c>
      <c r="B869" t="n">
        <v>2015</v>
      </c>
      <c r="C869" t="inlineStr">
        <is>
          <t>Ruhi Juneja</t>
        </is>
      </c>
      <c r="D869">
        <f>HYPERLINK("https://ota.tournamentsoftware.com/player-profile/E7A03006-4960-4A35-8B80-22CB122EB413", "Link")</f>
        <v/>
      </c>
      <c r="E869" s="3" t="n">
        <v>4.166</v>
      </c>
      <c r="F869" s="4" t="n">
        <v>5</v>
      </c>
      <c r="G869" t="inlineStr">
        <is>
          <t>Tennis Alberta</t>
        </is>
      </c>
      <c r="H869" t="inlineStr">
        <is>
          <t>IQ Tennis and Pickleball Centre</t>
        </is>
      </c>
      <c r="I869" t="n">
        <v>40</v>
      </c>
      <c r="J869" s="4" t="n">
        <v>8</v>
      </c>
      <c r="K869" t="inlineStr">
        <is>
          <t>1 / 7</t>
        </is>
      </c>
      <c r="L869" t="inlineStr">
        <is>
          <t>1 / 7</t>
        </is>
      </c>
      <c r="M869" s="5" t="n">
        <v>0.12</v>
      </c>
      <c r="N869" s="5" t="n">
        <v>0.12</v>
      </c>
    </row>
    <row r="870">
      <c r="A870" t="n">
        <v>869</v>
      </c>
      <c r="B870" t="n">
        <v>2015</v>
      </c>
      <c r="C870" t="inlineStr">
        <is>
          <t>Emmy Judge</t>
        </is>
      </c>
      <c r="D870">
        <f>HYPERLINK("https://ota.tournamentsoftware.com/player-profile/553284DE-2D65-4837-B86A-2230DB300AC5", "Link")</f>
        <v/>
      </c>
      <c r="E870" s="3" t="n">
        <v>4.077</v>
      </c>
      <c r="F870" s="4" t="n">
        <v>1</v>
      </c>
      <c r="G870" t="inlineStr">
        <is>
          <t>Ontario Tennis Association</t>
        </is>
      </c>
      <c r="H870" t="inlineStr">
        <is>
          <t>No Club</t>
        </is>
      </c>
      <c r="I870" t="inlineStr">
        <is>
          <t>unavailable</t>
        </is>
      </c>
      <c r="J870" s="4" t="n">
        <v>1</v>
      </c>
      <c r="K870" t="inlineStr">
        <is>
          <t>0 / 1</t>
        </is>
      </c>
      <c r="L870" t="inlineStr">
        <is>
          <t>0 / 1</t>
        </is>
      </c>
      <c r="M870" s="5" t="n">
        <v>0</v>
      </c>
      <c r="N870" s="5" t="n">
        <v>0</v>
      </c>
    </row>
    <row r="871">
      <c r="A871" t="n">
        <v>870</v>
      </c>
      <c r="B871" t="n">
        <v>2016</v>
      </c>
      <c r="C871" t="inlineStr">
        <is>
          <t>Peiyu(Cici) Li</t>
        </is>
      </c>
      <c r="D871">
        <f>HYPERLINK("https://ota.tournamentsoftware.com/player-profile/C4571297-B444-4579-A011-D24753628021", "Link")</f>
        <v/>
      </c>
      <c r="E871" s="3" t="n">
        <v>4.052</v>
      </c>
      <c r="F871" s="4" t="n">
        <v>6</v>
      </c>
      <c r="G871" t="inlineStr">
        <is>
          <t>Tennis Nova Scotia</t>
        </is>
      </c>
      <c r="H871" t="inlineStr">
        <is>
          <t>Atlantic Tennis Centre</t>
        </is>
      </c>
      <c r="I871" t="n">
        <v>39.2</v>
      </c>
      <c r="J871" s="4" t="n">
        <v>50</v>
      </c>
      <c r="K871" t="inlineStr">
        <is>
          <t>18 / 32</t>
        </is>
      </c>
      <c r="L871" t="inlineStr">
        <is>
          <t>10 / 22</t>
        </is>
      </c>
      <c r="M871" s="5" t="n">
        <v>0.36</v>
      </c>
      <c r="N871" s="5" t="n">
        <v>0.31</v>
      </c>
    </row>
    <row r="872">
      <c r="A872" t="n">
        <v>871</v>
      </c>
      <c r="B872" t="n">
        <v>2013</v>
      </c>
      <c r="C872" t="inlineStr">
        <is>
          <t>Xi Niu</t>
        </is>
      </c>
      <c r="D872">
        <f>HYPERLINK("https://ota.tournamentsoftware.com/player-profile/B2759B21-5521-4528-9454-D7FF201653DE", "Link")</f>
        <v/>
      </c>
      <c r="E872" s="3" t="n">
        <v>4</v>
      </c>
      <c r="F872" s="4" t="n">
        <v>1</v>
      </c>
      <c r="G872" t="inlineStr">
        <is>
          <t>British Columbia</t>
        </is>
      </c>
      <c r="H872" t="inlineStr">
        <is>
          <t>No Club</t>
        </is>
      </c>
      <c r="I872" t="inlineStr">
        <is>
          <t>unavailable</t>
        </is>
      </c>
      <c r="J872" s="4" t="n">
        <v>3</v>
      </c>
      <c r="K872" t="inlineStr">
        <is>
          <t>0 / 3</t>
        </is>
      </c>
      <c r="L872" t="inlineStr">
        <is>
          <t>0 / 0</t>
        </is>
      </c>
      <c r="M872" s="5" t="n">
        <v>0</v>
      </c>
      <c r="N872" s="5" t="n">
        <v>0</v>
      </c>
    </row>
    <row r="873">
      <c r="A873" t="n">
        <v>871</v>
      </c>
      <c r="B873" t="n">
        <v>2014</v>
      </c>
      <c r="C873" t="inlineStr">
        <is>
          <t>Sophia Zhao</t>
        </is>
      </c>
      <c r="D873">
        <f>HYPERLINK("https://ota.tournamentsoftware.com/player-profile/388D9D37-AB69-4888-AB07-C709FC6BB450", "Link")</f>
        <v/>
      </c>
      <c r="E873" s="3" t="n">
        <v>4</v>
      </c>
      <c r="F873" s="4" t="n">
        <v>1</v>
      </c>
      <c r="G873" t="inlineStr">
        <is>
          <t>British Columbia</t>
        </is>
      </c>
      <c r="H873" t="inlineStr">
        <is>
          <t>Hollyburn Country Club</t>
        </is>
      </c>
      <c r="I873" t="inlineStr">
        <is>
          <t>unavailable</t>
        </is>
      </c>
      <c r="J873" s="4" t="n">
        <v>3</v>
      </c>
      <c r="K873" t="inlineStr">
        <is>
          <t>0 / 3</t>
        </is>
      </c>
      <c r="L873" t="inlineStr">
        <is>
          <t>0 / 0</t>
        </is>
      </c>
      <c r="M873" s="5" t="n">
        <v>0</v>
      </c>
      <c r="N873" s="5" t="n">
        <v>0</v>
      </c>
    </row>
    <row r="874">
      <c r="A874" t="n">
        <v>871</v>
      </c>
      <c r="B874" t="n">
        <v>2014</v>
      </c>
      <c r="C874" t="inlineStr">
        <is>
          <t>Sophia Jaffer</t>
        </is>
      </c>
      <c r="D874">
        <f>HYPERLINK("https://ota.tournamentsoftware.com/player-profile/264F2E7F-0F8D-4B4E-875F-FAAFDB4E9D43", "Link")</f>
        <v/>
      </c>
      <c r="E874" s="3" t="n">
        <v>4</v>
      </c>
      <c r="F874" s="4" t="n">
        <v>1</v>
      </c>
      <c r="G874" t="inlineStr">
        <is>
          <t>British Columbia</t>
        </is>
      </c>
      <c r="H874" t="inlineStr">
        <is>
          <t>Hollyburn Country Club</t>
        </is>
      </c>
      <c r="I874" t="n">
        <v>38.6</v>
      </c>
      <c r="J874" s="4" t="n">
        <v>17</v>
      </c>
      <c r="K874" t="inlineStr">
        <is>
          <t>6 / 11</t>
        </is>
      </c>
      <c r="L874" t="inlineStr">
        <is>
          <t>6 / 6</t>
        </is>
      </c>
      <c r="M874" s="5" t="n">
        <v>0.35</v>
      </c>
      <c r="N874" s="5" t="n">
        <v>0.5</v>
      </c>
    </row>
    <row r="875">
      <c r="A875" t="n">
        <v>874</v>
      </c>
      <c r="B875" t="n">
        <v>2016</v>
      </c>
      <c r="C875" t="inlineStr">
        <is>
          <t>Ella Luo</t>
        </is>
      </c>
      <c r="D875">
        <f>HYPERLINK("https://ota.tournamentsoftware.com/player-profile/3031CAE1-D7FD-42C8-B04F-2247B30476FE", "Link")</f>
        <v/>
      </c>
      <c r="E875" s="3" t="n">
        <v>3.931</v>
      </c>
      <c r="F875" s="4" t="n">
        <v>3</v>
      </c>
      <c r="G875" t="inlineStr">
        <is>
          <t>Tennis Alberta</t>
        </is>
      </c>
      <c r="H875" t="inlineStr">
        <is>
          <t>Saville Community Sports Centre</t>
        </is>
      </c>
      <c r="I875" t="n">
        <v>38.3</v>
      </c>
      <c r="J875" s="4" t="n">
        <v>30</v>
      </c>
      <c r="K875" t="inlineStr">
        <is>
          <t>12 / 18</t>
        </is>
      </c>
      <c r="L875" t="inlineStr">
        <is>
          <t>12 / 14</t>
        </is>
      </c>
      <c r="M875" s="5" t="n">
        <v>0.4</v>
      </c>
      <c r="N875" s="5" t="n">
        <v>0.46</v>
      </c>
    </row>
    <row r="876">
      <c r="A876" t="n">
        <v>875</v>
      </c>
      <c r="B876" t="n">
        <v>2013</v>
      </c>
      <c r="C876" t="inlineStr">
        <is>
          <t>Vittoria Veronica Noce</t>
        </is>
      </c>
      <c r="D876">
        <f>HYPERLINK("https://ota.tournamentsoftware.com/player-profile/00D388D4-0B24-4339-9B51-BDB96207A30D", "Link")</f>
        <v/>
      </c>
      <c r="E876" s="3" t="n">
        <v>3.889</v>
      </c>
      <c r="F876" s="4" t="n">
        <v>3</v>
      </c>
      <c r="G876" t="inlineStr">
        <is>
          <t>Tennis Alberta</t>
        </is>
      </c>
      <c r="H876" t="inlineStr">
        <is>
          <t>Derrick Golf &amp; Winter Club</t>
        </is>
      </c>
      <c r="I876" t="n">
        <v>37.1</v>
      </c>
      <c r="J876" s="4" t="n">
        <v>51</v>
      </c>
      <c r="K876" t="inlineStr">
        <is>
          <t>13 / 38</t>
        </is>
      </c>
      <c r="L876" t="inlineStr">
        <is>
          <t>3 / 5</t>
        </is>
      </c>
      <c r="M876" s="5" t="n">
        <v>0.25</v>
      </c>
      <c r="N876" s="5" t="n">
        <v>0.38</v>
      </c>
    </row>
    <row r="877">
      <c r="A877" t="n">
        <v>876</v>
      </c>
      <c r="B877" t="n">
        <v>2016</v>
      </c>
      <c r="C877" t="inlineStr">
        <is>
          <t>Yuxuan Niu</t>
        </is>
      </c>
      <c r="D877">
        <f>HYPERLINK("https://ota.tournamentsoftware.com/player-profile/49C2723D-DBBA-48CA-B20D-69A550E45FB4", "Link")</f>
        <v/>
      </c>
      <c r="E877" s="3" t="n">
        <v>3.888</v>
      </c>
      <c r="F877" s="4" t="n">
        <v>2</v>
      </c>
      <c r="G877" t="inlineStr">
        <is>
          <t>Ontario Tennis Association</t>
        </is>
      </c>
      <c r="H877" t="inlineStr">
        <is>
          <t>Premier Racquet Clubs – Mississauga</t>
        </is>
      </c>
      <c r="I877" t="inlineStr">
        <is>
          <t>unavailable</t>
        </is>
      </c>
      <c r="J877" s="4" t="n">
        <v>19</v>
      </c>
      <c r="K877" t="inlineStr">
        <is>
          <t>13 / 6</t>
        </is>
      </c>
      <c r="L877" t="inlineStr">
        <is>
          <t>13 / 6</t>
        </is>
      </c>
      <c r="M877" s="5" t="n">
        <v>0.68</v>
      </c>
      <c r="N877" s="5" t="n">
        <v>0.68</v>
      </c>
    </row>
    <row r="878">
      <c r="A878" t="n">
        <v>876</v>
      </c>
      <c r="B878" t="n">
        <v>2015</v>
      </c>
      <c r="C878" t="inlineStr">
        <is>
          <t>JIAYI LIN</t>
        </is>
      </c>
      <c r="D878">
        <f>HYPERLINK("https://ota.tournamentsoftware.com/player-profile/9025A036-DFDA-4A69-B03F-EEE43D14A3C3", "Link")</f>
        <v/>
      </c>
      <c r="E878" s="3" t="n">
        <v>3.888</v>
      </c>
      <c r="F878" s="4" t="n">
        <v>1</v>
      </c>
      <c r="G878" t="inlineStr">
        <is>
          <t>Ontario Tennis Association</t>
        </is>
      </c>
      <c r="H878" t="inlineStr">
        <is>
          <t>Mayfair Parkway Racquet Club</t>
        </is>
      </c>
      <c r="I878" t="n">
        <v>39.5</v>
      </c>
      <c r="J878" s="4" t="n">
        <v>2</v>
      </c>
      <c r="K878" t="inlineStr">
        <is>
          <t>0 / 2</t>
        </is>
      </c>
      <c r="L878" t="inlineStr">
        <is>
          <t>0 / 2</t>
        </is>
      </c>
      <c r="M878" s="5" t="n">
        <v>0</v>
      </c>
      <c r="N878" s="5" t="n">
        <v>0</v>
      </c>
    </row>
    <row r="879">
      <c r="A879" t="n">
        <v>876</v>
      </c>
      <c r="B879" t="n">
        <v>2014</v>
      </c>
      <c r="C879" t="inlineStr">
        <is>
          <t>Yanxi Chen</t>
        </is>
      </c>
      <c r="D879">
        <f>HYPERLINK("https://ota.tournamentsoftware.com/player-profile/E6571B14-6651-4CD3-A420-8263947DBA1E", "Link")</f>
        <v/>
      </c>
      <c r="E879" s="3" t="n">
        <v>3.888</v>
      </c>
      <c r="F879" s="4" t="n">
        <v>1</v>
      </c>
      <c r="G879" t="inlineStr">
        <is>
          <t>British Columbia</t>
        </is>
      </c>
      <c r="H879" t="inlineStr">
        <is>
          <t>West Vancouver Tennis Club</t>
        </is>
      </c>
      <c r="I879" t="n">
        <v>38.6</v>
      </c>
      <c r="J879" s="4" t="n">
        <v>10</v>
      </c>
      <c r="K879" t="inlineStr">
        <is>
          <t>5 / 5</t>
        </is>
      </c>
      <c r="L879" t="inlineStr">
        <is>
          <t>3 / 3</t>
        </is>
      </c>
      <c r="M879" s="5" t="n">
        <v>0.5</v>
      </c>
      <c r="N879" s="5" t="n">
        <v>0.5</v>
      </c>
    </row>
    <row r="880">
      <c r="A880" t="n">
        <v>876</v>
      </c>
      <c r="B880" t="n">
        <v>2013</v>
      </c>
      <c r="C880" t="inlineStr">
        <is>
          <t>Amy Duo</t>
        </is>
      </c>
      <c r="D880">
        <f>HYPERLINK("https://ota.tournamentsoftware.com/player-profile/71495656-F9AD-402C-B368-62609F5D70B9", "Link")</f>
        <v/>
      </c>
      <c r="E880" s="3" t="n">
        <v>3.888</v>
      </c>
      <c r="F880" s="4" t="n">
        <v>1</v>
      </c>
      <c r="G880" t="inlineStr">
        <is>
          <t>British Columbia</t>
        </is>
      </c>
      <c r="H880" t="inlineStr">
        <is>
          <t>North Shore Winter Club</t>
        </is>
      </c>
      <c r="I880" t="inlineStr">
        <is>
          <t>unavailable</t>
        </is>
      </c>
      <c r="J880" s="4" t="n">
        <v>29</v>
      </c>
      <c r="K880" t="inlineStr">
        <is>
          <t>10 / 19</t>
        </is>
      </c>
      <c r="L880" t="inlineStr">
        <is>
          <t>2 / 2</t>
        </is>
      </c>
      <c r="M880" s="5" t="n">
        <v>0.34</v>
      </c>
      <c r="N880" s="5" t="n">
        <v>0.5</v>
      </c>
    </row>
    <row r="881">
      <c r="A881" t="n">
        <v>876</v>
      </c>
      <c r="B881" t="n">
        <v>2017</v>
      </c>
      <c r="C881" t="inlineStr">
        <is>
          <t>Nysa Iyer</t>
        </is>
      </c>
      <c r="D881">
        <f>HYPERLINK("https://ota.tournamentsoftware.com/player-profile/7133F3A1-6724-4B35-BBF9-2DFB20E0D933", "Link")</f>
        <v/>
      </c>
      <c r="E881" s="3" t="n">
        <v>3.888</v>
      </c>
      <c r="F881" s="4" t="n">
        <v>3</v>
      </c>
      <c r="G881" t="inlineStr">
        <is>
          <t>Tennis Alberta</t>
        </is>
      </c>
      <c r="H881" t="inlineStr">
        <is>
          <t>No Club</t>
        </is>
      </c>
      <c r="I881" t="n">
        <v>38.1</v>
      </c>
      <c r="J881" s="4" t="n">
        <v>65</v>
      </c>
      <c r="K881" t="inlineStr">
        <is>
          <t>32 / 33</t>
        </is>
      </c>
      <c r="L881" t="inlineStr">
        <is>
          <t>15 / 12</t>
        </is>
      </c>
      <c r="M881" s="5" t="n">
        <v>0.49</v>
      </c>
      <c r="N881" s="5" t="n">
        <v>0.5600000000000001</v>
      </c>
    </row>
    <row r="882">
      <c r="A882" t="n">
        <v>876</v>
      </c>
      <c r="B882" t="n">
        <v>2015</v>
      </c>
      <c r="C882" t="inlineStr">
        <is>
          <t>Maya Clara Shakra</t>
        </is>
      </c>
      <c r="D882">
        <f>HYPERLINK("https://ota.tournamentsoftware.com/player-profile/50FA5A17-1808-42C0-B8C3-34766E9151A2", "Link")</f>
        <v/>
      </c>
      <c r="E882" s="3" t="n">
        <v>3.888</v>
      </c>
      <c r="F882" s="4" t="n">
        <v>1</v>
      </c>
      <c r="G882" t="inlineStr">
        <is>
          <t>Ontario Tennis Association</t>
        </is>
      </c>
      <c r="H882" t="inlineStr">
        <is>
          <t>Toronto Tennis Academy</t>
        </is>
      </c>
      <c r="I882" t="inlineStr">
        <is>
          <t>unavailable</t>
        </is>
      </c>
      <c r="J882" s="4" t="n">
        <v>44</v>
      </c>
      <c r="K882" t="inlineStr">
        <is>
          <t>14 / 30</t>
        </is>
      </c>
      <c r="L882" t="inlineStr">
        <is>
          <t>3 / 6</t>
        </is>
      </c>
      <c r="M882" s="5" t="n">
        <v>0.32</v>
      </c>
      <c r="N882" s="5" t="n">
        <v>0.33</v>
      </c>
    </row>
    <row r="883">
      <c r="A883" t="n">
        <v>876</v>
      </c>
      <c r="B883" t="n">
        <v>2015</v>
      </c>
      <c r="C883" t="inlineStr">
        <is>
          <t>Olivia Franchi</t>
        </is>
      </c>
      <c r="D883">
        <f>HYPERLINK("https://ota.tournamentsoftware.com/player-profile/71DEE53D-92D1-4C5D-A9AE-0F02860DD189", "Link")</f>
        <v/>
      </c>
      <c r="E883" s="3" t="n">
        <v>3.888</v>
      </c>
      <c r="F883" s="4" t="n">
        <v>1</v>
      </c>
      <c r="G883" t="inlineStr">
        <is>
          <t>Ontario Tennis Association</t>
        </is>
      </c>
      <c r="H883" t="inlineStr">
        <is>
          <t>Barrie North Winter Tennis</t>
        </is>
      </c>
      <c r="I883" t="n">
        <v>37.6</v>
      </c>
      <c r="J883" s="4" t="n">
        <v>14</v>
      </c>
      <c r="K883" t="inlineStr">
        <is>
          <t>0 / 14</t>
        </is>
      </c>
      <c r="L883" t="inlineStr">
        <is>
          <t>0 / 2</t>
        </is>
      </c>
      <c r="M883" s="5" t="n">
        <v>0</v>
      </c>
      <c r="N883" s="5" t="n">
        <v>0</v>
      </c>
    </row>
    <row r="884">
      <c r="A884" t="n">
        <v>883</v>
      </c>
      <c r="B884" t="n">
        <v>2014</v>
      </c>
      <c r="C884" t="inlineStr">
        <is>
          <t>Tillya Villeneuve</t>
        </is>
      </c>
      <c r="D884">
        <f>HYPERLINK("https://ota.tournamentsoftware.com/player-profile/B96926BC-0825-4914-B6C7-E7906E4AC960", "Link")</f>
        <v/>
      </c>
      <c r="E884" s="3" t="n">
        <v>3.845</v>
      </c>
      <c r="F884" s="4" t="n">
        <v>5</v>
      </c>
      <c r="G884" t="inlineStr">
        <is>
          <t>Tennis Alberta</t>
        </is>
      </c>
      <c r="H884" t="inlineStr">
        <is>
          <t>Aforza</t>
        </is>
      </c>
      <c r="I884" t="inlineStr">
        <is>
          <t>unavailable</t>
        </is>
      </c>
      <c r="J884" s="4" t="n">
        <v>11</v>
      </c>
      <c r="K884" t="inlineStr">
        <is>
          <t>4 / 7</t>
        </is>
      </c>
      <c r="L884" t="inlineStr">
        <is>
          <t>4 / 7</t>
        </is>
      </c>
      <c r="M884" s="5" t="n">
        <v>0.36</v>
      </c>
      <c r="N884" s="5" t="n">
        <v>0.36</v>
      </c>
    </row>
    <row r="885">
      <c r="A885" t="n">
        <v>884</v>
      </c>
      <c r="B885" t="n">
        <v>2014</v>
      </c>
      <c r="C885" t="inlineStr">
        <is>
          <t>Baani Kaur Saini</t>
        </is>
      </c>
      <c r="D885">
        <f>HYPERLINK("https://ota.tournamentsoftware.com/player-profile/F8A85050-87CB-4D78-BB4D-4D11F0D18229", "Link")</f>
        <v/>
      </c>
      <c r="E885" s="3" t="n">
        <v>3.806</v>
      </c>
      <c r="F885" s="4" t="n">
        <v>1</v>
      </c>
      <c r="G885" t="inlineStr">
        <is>
          <t>Ontario Tennis Association</t>
        </is>
      </c>
      <c r="H885" t="inlineStr">
        <is>
          <t>Bramalea Tennis Club</t>
        </is>
      </c>
      <c r="I885" t="inlineStr">
        <is>
          <t>unavailable</t>
        </is>
      </c>
      <c r="J885" s="4" t="inlineStr"/>
      <c r="K885" t="inlineStr">
        <is>
          <t>unavailable</t>
        </is>
      </c>
      <c r="L885" t="inlineStr">
        <is>
          <t>unavailable</t>
        </is>
      </c>
      <c r="M885" s="5" t="inlineStr"/>
      <c r="N885" s="5" t="inlineStr"/>
    </row>
    <row r="886">
      <c r="A886" t="n">
        <v>885</v>
      </c>
      <c r="B886" t="n">
        <v>2015</v>
      </c>
      <c r="C886" t="inlineStr">
        <is>
          <t>Tamara Skayem</t>
        </is>
      </c>
      <c r="D886">
        <f>HYPERLINK("https://ota.tournamentsoftware.com/player-profile/C90206C3-DC6E-4BE3-938F-C8608F20CDD6", "Link")</f>
        <v/>
      </c>
      <c r="E886" s="3" t="n">
        <v>3.758</v>
      </c>
      <c r="F886" s="4" t="n">
        <v>1</v>
      </c>
      <c r="G886" t="inlineStr">
        <is>
          <t>Tennis Québec</t>
        </is>
      </c>
      <c r="H886" t="inlineStr">
        <is>
          <t>No Club</t>
        </is>
      </c>
      <c r="I886" t="inlineStr">
        <is>
          <t>unavailable</t>
        </is>
      </c>
      <c r="J886" s="4" t="n">
        <v>0</v>
      </c>
      <c r="K886" t="inlineStr">
        <is>
          <t>0 / 0</t>
        </is>
      </c>
      <c r="L886" t="inlineStr">
        <is>
          <t>0 / 0</t>
        </is>
      </c>
      <c r="M886" s="5" t="n">
        <v>0</v>
      </c>
      <c r="N886" s="5" t="n">
        <v>0</v>
      </c>
    </row>
    <row r="887">
      <c r="A887" t="n">
        <v>885</v>
      </c>
      <c r="B887" t="n">
        <v>2014</v>
      </c>
      <c r="C887" t="inlineStr">
        <is>
          <t>Charlotte Lanthier</t>
        </is>
      </c>
      <c r="D887">
        <f>HYPERLINK("https://ota.tournamentsoftware.com/player-profile/930A92EC-BBE2-40FD-8684-CB6F18EAD19A", "Link")</f>
        <v/>
      </c>
      <c r="E887" s="3" t="n">
        <v>3.758</v>
      </c>
      <c r="F887" s="4" t="n">
        <v>5</v>
      </c>
      <c r="G887" t="inlineStr">
        <is>
          <t>Tennis Québec</t>
        </is>
      </c>
      <c r="H887" t="inlineStr">
        <is>
          <t>EB Tennis inc.</t>
        </is>
      </c>
      <c r="I887" t="n">
        <v>39.6</v>
      </c>
      <c r="J887" s="4" t="n">
        <v>6</v>
      </c>
      <c r="K887" t="inlineStr">
        <is>
          <t>0 / 6</t>
        </is>
      </c>
      <c r="L887" t="inlineStr">
        <is>
          <t>0 / 4</t>
        </is>
      </c>
      <c r="M887" s="5" t="n">
        <v>0</v>
      </c>
      <c r="N887" s="5" t="n">
        <v>0</v>
      </c>
    </row>
    <row r="888">
      <c r="A888" t="n">
        <v>887</v>
      </c>
      <c r="B888" t="n">
        <v>2014</v>
      </c>
      <c r="C888" t="inlineStr">
        <is>
          <t>Kaira Ankit Arora</t>
        </is>
      </c>
      <c r="D888">
        <f>HYPERLINK("https://ota.tournamentsoftware.com/player-profile/48CDC473-6B50-4781-BB3F-2B72F12C6320", "Link")</f>
        <v/>
      </c>
      <c r="E888" s="3" t="n">
        <v>3.629</v>
      </c>
      <c r="F888" s="4" t="n">
        <v>1</v>
      </c>
      <c r="G888" t="inlineStr">
        <is>
          <t>Ontario Tennis Association</t>
        </is>
      </c>
      <c r="H888" t="inlineStr">
        <is>
          <t>Mohawk Tennis Club</t>
        </is>
      </c>
      <c r="I888" t="n">
        <v>39.1</v>
      </c>
      <c r="J888" s="4" t="n">
        <v>26</v>
      </c>
      <c r="K888" t="inlineStr">
        <is>
          <t>2 / 24</t>
        </is>
      </c>
      <c r="L888" t="inlineStr">
        <is>
          <t>0 / 3</t>
        </is>
      </c>
      <c r="M888" s="5" t="n">
        <v>0.08</v>
      </c>
      <c r="N888" s="5" t="n">
        <v>0</v>
      </c>
    </row>
    <row r="889">
      <c r="A889" t="n">
        <v>887</v>
      </c>
      <c r="B889" t="n">
        <v>2014</v>
      </c>
      <c r="C889" t="inlineStr">
        <is>
          <t>Cindy Chai</t>
        </is>
      </c>
      <c r="D889">
        <f>HYPERLINK("https://ota.tournamentsoftware.com/player-profile/1777FA49-1C9D-4D7D-AF29-8B5B024F1F30", "Link")</f>
        <v/>
      </c>
      <c r="E889" s="3" t="n">
        <v>3.629</v>
      </c>
      <c r="F889" s="4" t="n">
        <v>1</v>
      </c>
      <c r="G889" t="inlineStr">
        <is>
          <t>Ontario Tennis Association</t>
        </is>
      </c>
      <c r="H889" t="inlineStr">
        <is>
          <t>Ontario Racquet Club</t>
        </is>
      </c>
      <c r="I889" t="inlineStr">
        <is>
          <t>unavailable</t>
        </is>
      </c>
      <c r="J889" s="4" t="n">
        <v>8</v>
      </c>
      <c r="K889" t="inlineStr">
        <is>
          <t>3 / 5</t>
        </is>
      </c>
      <c r="L889" t="inlineStr">
        <is>
          <t>3 / 3</t>
        </is>
      </c>
      <c r="M889" s="5" t="n">
        <v>0.38</v>
      </c>
      <c r="N889" s="5" t="n">
        <v>0.5</v>
      </c>
    </row>
    <row r="890">
      <c r="A890" t="n">
        <v>887</v>
      </c>
      <c r="B890" t="n">
        <v>2013</v>
      </c>
      <c r="C890" t="inlineStr">
        <is>
          <t>Apphia Anderson</t>
        </is>
      </c>
      <c r="D890">
        <f>HYPERLINK("https://ota.tournamentsoftware.com/player-profile/557E4D67-D9E9-47B3-800F-DB2194C8FCA3", "Link")</f>
        <v/>
      </c>
      <c r="E890" s="3" t="n">
        <v>3.629</v>
      </c>
      <c r="F890" s="4" t="n">
        <v>2</v>
      </c>
      <c r="G890" t="inlineStr">
        <is>
          <t>Tennis Alberta</t>
        </is>
      </c>
      <c r="H890" t="inlineStr">
        <is>
          <t>No Club</t>
        </is>
      </c>
      <c r="I890" t="inlineStr">
        <is>
          <t>unavailable</t>
        </is>
      </c>
      <c r="J890" s="4" t="n">
        <v>3</v>
      </c>
      <c r="K890" t="inlineStr">
        <is>
          <t>0 / 3</t>
        </is>
      </c>
      <c r="L890" t="inlineStr">
        <is>
          <t>0 / 3</t>
        </is>
      </c>
      <c r="M890" s="5" t="n">
        <v>0</v>
      </c>
      <c r="N890" s="5" t="n">
        <v>0</v>
      </c>
    </row>
    <row r="891">
      <c r="A891" t="n">
        <v>890</v>
      </c>
      <c r="B891" t="n">
        <v>2015</v>
      </c>
      <c r="C891" t="inlineStr">
        <is>
          <t>Lea Youssef</t>
        </is>
      </c>
      <c r="D891">
        <f>HYPERLINK("https://ota.tournamentsoftware.com/player-profile/DC3DBF03-8EF5-4959-B08E-EE226DB25DE6", "Link")</f>
        <v/>
      </c>
      <c r="E891" s="3" t="n">
        <v>3.471</v>
      </c>
      <c r="F891" s="4" t="n">
        <v>1</v>
      </c>
      <c r="G891" t="inlineStr">
        <is>
          <t>Tennis Québec</t>
        </is>
      </c>
      <c r="H891" t="inlineStr">
        <is>
          <t>Tennis 13</t>
        </is>
      </c>
      <c r="I891" t="inlineStr">
        <is>
          <t>unavailable</t>
        </is>
      </c>
      <c r="J891" s="4" t="n">
        <v>2</v>
      </c>
      <c r="K891" t="inlineStr">
        <is>
          <t>0 / 2</t>
        </is>
      </c>
      <c r="L891" t="inlineStr">
        <is>
          <t>0 / 2</t>
        </is>
      </c>
      <c r="M891" s="5" t="n">
        <v>0</v>
      </c>
      <c r="N891" s="5" t="n">
        <v>0</v>
      </c>
    </row>
    <row r="892">
      <c r="A892" t="n">
        <v>891</v>
      </c>
      <c r="B892" t="n">
        <v>2012</v>
      </c>
      <c r="C892" t="inlineStr">
        <is>
          <t>Hannah Grace Burrows</t>
        </is>
      </c>
      <c r="D892">
        <f>HYPERLINK("https://ota.tournamentsoftware.com/player-profile/A4FFA0A4-EAE7-43E6-AF92-E22114BE5D8B", "Link")</f>
        <v/>
      </c>
      <c r="E892" s="3" t="n">
        <v>3.421</v>
      </c>
      <c r="F892" s="4" t="n">
        <v>2</v>
      </c>
      <c r="G892" t="inlineStr">
        <is>
          <t>Tennis Alberta</t>
        </is>
      </c>
      <c r="H892" t="inlineStr">
        <is>
          <t>The Glencoe Club</t>
        </is>
      </c>
      <c r="I892" t="n">
        <v>38.8</v>
      </c>
      <c r="J892" s="4" t="n">
        <v>28</v>
      </c>
      <c r="K892" t="inlineStr">
        <is>
          <t>6 / 22</t>
        </is>
      </c>
      <c r="L892" t="inlineStr">
        <is>
          <t>0 / 2</t>
        </is>
      </c>
      <c r="M892" s="5" t="n">
        <v>0.21</v>
      </c>
      <c r="N892" s="5" t="n">
        <v>0</v>
      </c>
    </row>
    <row r="893">
      <c r="A893" t="n">
        <v>892</v>
      </c>
      <c r="B893" t="n">
        <v>2015</v>
      </c>
      <c r="C893" t="inlineStr">
        <is>
          <t>Jade Adepetu</t>
        </is>
      </c>
      <c r="D893">
        <f>HYPERLINK("https://ota.tournamentsoftware.com/player-profile/44B25337-8306-4D62-BB4F-8BAB0C726BA7", "Link")</f>
        <v/>
      </c>
      <c r="E893" s="3" t="n">
        <v>3.326</v>
      </c>
      <c r="F893" s="4" t="n">
        <v>4</v>
      </c>
      <c r="G893" t="inlineStr">
        <is>
          <t>Tennis Alberta</t>
        </is>
      </c>
      <c r="H893" t="inlineStr">
        <is>
          <t>Osten &amp; Victor Alberta Tennis Centre</t>
        </is>
      </c>
      <c r="I893" t="inlineStr">
        <is>
          <t>unavailable</t>
        </is>
      </c>
      <c r="J893" s="4" t="n">
        <v>25</v>
      </c>
      <c r="K893" t="inlineStr">
        <is>
          <t>6 / 19</t>
        </is>
      </c>
      <c r="L893" t="inlineStr">
        <is>
          <t>5 / 9</t>
        </is>
      </c>
      <c r="M893" s="5" t="n">
        <v>0.24</v>
      </c>
      <c r="N893" s="5" t="n">
        <v>0.36</v>
      </c>
    </row>
    <row r="894">
      <c r="A894" t="n">
        <v>893</v>
      </c>
      <c r="B894" t="n">
        <v>2016</v>
      </c>
      <c r="C894" t="inlineStr">
        <is>
          <t>Jaclyn Zhang</t>
        </is>
      </c>
      <c r="D894">
        <f>HYPERLINK("https://ota.tournamentsoftware.com/player-profile/E6E9780C-ACDE-4CFD-B134-4984C266BCEB", "Link")</f>
        <v/>
      </c>
      <c r="E894" s="3" t="n">
        <v>3.24</v>
      </c>
      <c r="F894" s="4" t="n">
        <v>4</v>
      </c>
      <c r="G894" t="inlineStr">
        <is>
          <t>British Columbia</t>
        </is>
      </c>
      <c r="H894" t="inlineStr">
        <is>
          <t>UBC Tennis Centre</t>
        </is>
      </c>
      <c r="I894" t="n">
        <v>40</v>
      </c>
      <c r="J894" s="4" t="n">
        <v>73</v>
      </c>
      <c r="K894" t="inlineStr">
        <is>
          <t>42 / 31</t>
        </is>
      </c>
      <c r="L894" t="inlineStr">
        <is>
          <t>16 / 19</t>
        </is>
      </c>
      <c r="M894" s="5" t="n">
        <v>0.58</v>
      </c>
      <c r="N894" s="5" t="n">
        <v>0.46</v>
      </c>
    </row>
    <row r="895">
      <c r="A895" t="n">
        <v>893</v>
      </c>
      <c r="B895" t="n">
        <v>2016</v>
      </c>
      <c r="C895" t="inlineStr">
        <is>
          <t>Bella Huang</t>
        </is>
      </c>
      <c r="D895">
        <f>HYPERLINK("https://ota.tournamentsoftware.com/player-profile/468B6432-F842-48F8-9A02-3A80761D962B", "Link")</f>
        <v/>
      </c>
      <c r="E895" s="3" t="n">
        <v>3.24</v>
      </c>
      <c r="F895" s="4" t="n">
        <v>1</v>
      </c>
      <c r="G895" t="inlineStr">
        <is>
          <t>British Columbia</t>
        </is>
      </c>
      <c r="H895" t="inlineStr">
        <is>
          <t>Richmond Country Club</t>
        </is>
      </c>
      <c r="I895" t="n">
        <v>38.1</v>
      </c>
      <c r="J895" s="4" t="n">
        <v>33</v>
      </c>
      <c r="K895" t="inlineStr">
        <is>
          <t>10 / 23</t>
        </is>
      </c>
      <c r="L895" t="inlineStr">
        <is>
          <t>2 / 3</t>
        </is>
      </c>
      <c r="M895" s="5" t="n">
        <v>0.3</v>
      </c>
      <c r="N895" s="5" t="n">
        <v>0.4</v>
      </c>
    </row>
    <row r="896">
      <c r="A896" t="n">
        <v>893</v>
      </c>
      <c r="B896" t="n">
        <v>2015</v>
      </c>
      <c r="C896" t="inlineStr">
        <is>
          <t>Alison Kao</t>
        </is>
      </c>
      <c r="D896">
        <f>HYPERLINK("https://ota.tournamentsoftware.com/player-profile/BAEC89E7-F54C-49F7-AA56-227606797D02", "Link")</f>
        <v/>
      </c>
      <c r="E896" s="3" t="n">
        <v>3.24</v>
      </c>
      <c r="F896" s="4" t="n">
        <v>3</v>
      </c>
      <c r="G896" t="inlineStr">
        <is>
          <t>Tennis Alberta</t>
        </is>
      </c>
      <c r="H896" t="inlineStr">
        <is>
          <t>Osten &amp; Victor Alberta Tennis Centre</t>
        </is>
      </c>
      <c r="I896" t="n">
        <v>40</v>
      </c>
      <c r="J896" s="4" t="n">
        <v>40</v>
      </c>
      <c r="K896" t="inlineStr">
        <is>
          <t>18 / 22</t>
        </is>
      </c>
      <c r="L896" t="inlineStr">
        <is>
          <t>8 / 7</t>
        </is>
      </c>
      <c r="M896" s="5" t="n">
        <v>0.45</v>
      </c>
      <c r="N896" s="5" t="n">
        <v>0.53</v>
      </c>
    </row>
    <row r="897">
      <c r="A897" t="n">
        <v>896</v>
      </c>
      <c r="B897" t="n">
        <v>2014</v>
      </c>
      <c r="C897" t="inlineStr">
        <is>
          <t>Arya Thompson</t>
        </is>
      </c>
      <c r="D897">
        <f>HYPERLINK("https://ota.tournamentsoftware.com/player-profile/89293F3A-9DD8-44F1-B165-EB1978E7BEF9", "Link")</f>
        <v/>
      </c>
      <c r="E897" s="3" t="n">
        <v>3.098</v>
      </c>
      <c r="F897" s="4" t="n">
        <v>1</v>
      </c>
      <c r="G897" t="inlineStr">
        <is>
          <t>British Columbia</t>
        </is>
      </c>
      <c r="H897" t="inlineStr">
        <is>
          <t>UBC Tennis Centre</t>
        </is>
      </c>
      <c r="I897" t="n">
        <v>39.1</v>
      </c>
      <c r="J897" s="4" t="n">
        <v>8</v>
      </c>
      <c r="K897" t="inlineStr">
        <is>
          <t>1 / 7</t>
        </is>
      </c>
      <c r="L897" t="inlineStr">
        <is>
          <t>0 / 2</t>
        </is>
      </c>
      <c r="M897" s="5" t="n">
        <v>0.12</v>
      </c>
      <c r="N897" s="5" t="n">
        <v>0</v>
      </c>
    </row>
    <row r="898">
      <c r="A898" t="n">
        <v>896</v>
      </c>
      <c r="B898" t="n">
        <v>2014</v>
      </c>
      <c r="C898" t="inlineStr">
        <is>
          <t>Amaara Bhardwaj</t>
        </is>
      </c>
      <c r="D898">
        <f>HYPERLINK("https://ota.tournamentsoftware.com/player-profile/5E30A7A6-4E75-4094-9C50-E36BC2D57510", "Link")</f>
        <v/>
      </c>
      <c r="E898" s="3" t="n">
        <v>3.098</v>
      </c>
      <c r="F898" s="4" t="n">
        <v>1</v>
      </c>
      <c r="G898" t="inlineStr">
        <is>
          <t>British Columbia</t>
        </is>
      </c>
      <c r="H898" t="inlineStr">
        <is>
          <t>No Club</t>
        </is>
      </c>
      <c r="I898" t="n">
        <v>39.7</v>
      </c>
      <c r="J898" s="4" t="n">
        <v>15</v>
      </c>
      <c r="K898" t="inlineStr">
        <is>
          <t>7 / 8</t>
        </is>
      </c>
      <c r="L898" t="inlineStr">
        <is>
          <t>0 / 2</t>
        </is>
      </c>
      <c r="M898" s="5" t="n">
        <v>0.47</v>
      </c>
      <c r="N898" s="5" t="n">
        <v>0</v>
      </c>
    </row>
    <row r="899">
      <c r="A899" t="n">
        <v>898</v>
      </c>
      <c r="B899" t="n">
        <v>2014</v>
      </c>
      <c r="C899" t="inlineStr">
        <is>
          <t>Arianna Shiyong Zhang</t>
        </is>
      </c>
      <c r="D899">
        <f>HYPERLINK("https://ota.tournamentsoftware.com/player-profile/534D64C5-0604-4070-B56D-0E5A49B9F850", "Link")</f>
        <v/>
      </c>
      <c r="E899" s="3" t="n">
        <v>3.075</v>
      </c>
      <c r="F899" s="4" t="n">
        <v>1</v>
      </c>
      <c r="G899" t="inlineStr">
        <is>
          <t>British Columbia</t>
        </is>
      </c>
      <c r="H899" t="inlineStr">
        <is>
          <t>Hollyburn Country Club</t>
        </is>
      </c>
      <c r="I899" t="inlineStr">
        <is>
          <t>unavailable</t>
        </is>
      </c>
      <c r="J899" s="4" t="n">
        <v>34</v>
      </c>
      <c r="K899" t="inlineStr">
        <is>
          <t>13 / 21</t>
        </is>
      </c>
      <c r="L899" t="inlineStr">
        <is>
          <t>0 / 0</t>
        </is>
      </c>
      <c r="M899" s="5" t="n">
        <v>0.38</v>
      </c>
      <c r="N899" s="5" t="n">
        <v>0</v>
      </c>
    </row>
    <row r="900">
      <c r="A900" t="n">
        <v>899</v>
      </c>
      <c r="B900" t="n">
        <v>2014</v>
      </c>
      <c r="C900" t="inlineStr">
        <is>
          <t>Evelyn Jewell Rautenbach</t>
        </is>
      </c>
      <c r="D900">
        <f>HYPERLINK("https://ota.tournamentsoftware.com/player-profile/867F5D6A-BB9A-4FEB-A95E-565609563C13", "Link")</f>
        <v/>
      </c>
      <c r="E900" s="3" t="n">
        <v>2.618</v>
      </c>
      <c r="F900" s="4" t="n">
        <v>2</v>
      </c>
      <c r="G900" t="inlineStr">
        <is>
          <t>Tennis Alberta</t>
        </is>
      </c>
      <c r="H900" t="inlineStr">
        <is>
          <t>The Glencoe Club</t>
        </is>
      </c>
      <c r="I900" t="n">
        <v>36.6</v>
      </c>
      <c r="J900" s="4" t="n">
        <v>34</v>
      </c>
      <c r="K900" t="inlineStr">
        <is>
          <t>14 / 20</t>
        </is>
      </c>
      <c r="L900" t="inlineStr">
        <is>
          <t>1 / 1</t>
        </is>
      </c>
      <c r="M900" s="5" t="n">
        <v>0.41</v>
      </c>
      <c r="N900" s="5" t="n">
        <v>0.5</v>
      </c>
    </row>
    <row r="901">
      <c r="A901" t="n">
        <v>900</v>
      </c>
      <c r="B901" t="n">
        <v>2014</v>
      </c>
      <c r="C901" t="inlineStr">
        <is>
          <t>Frances Fletcher</t>
        </is>
      </c>
      <c r="D901">
        <f>HYPERLINK("https://ota.tournamentsoftware.com/player-profile/67CBECB7-306E-4C07-AB72-7C9F967F74F1", "Link")</f>
        <v/>
      </c>
      <c r="E901" s="3" t="n">
        <v>2.431</v>
      </c>
      <c r="F901" s="4" t="n">
        <v>2</v>
      </c>
      <c r="G901" t="inlineStr">
        <is>
          <t>Tennis Québec</t>
        </is>
      </c>
      <c r="H901" t="inlineStr">
        <is>
          <t>Club Sportif Côte-de-Liesse</t>
        </is>
      </c>
      <c r="I901" t="n">
        <v>37.8</v>
      </c>
      <c r="J901" s="4" t="n">
        <v>3</v>
      </c>
      <c r="K901" t="inlineStr">
        <is>
          <t>1 / 2</t>
        </is>
      </c>
      <c r="L901" t="inlineStr">
        <is>
          <t>1 / 2</t>
        </is>
      </c>
      <c r="M901" s="5" t="n">
        <v>0.33</v>
      </c>
      <c r="N901" s="5" t="n">
        <v>0.33</v>
      </c>
    </row>
  </sheetData>
  <autoFilter ref="A1:N9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19.9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Emma Cuirassier</t>
        </is>
      </c>
      <c r="D4">
        <f>HYPERLINK("https://ota.tournamentsoftware.com/player-profile/88442A27-D4CA-4614-86BE-89F6BAFA4C36", "Link")</f>
        <v/>
      </c>
      <c r="E4" s="3" t="n">
        <v>9585.811</v>
      </c>
      <c r="F4" s="4" t="n">
        <v>11</v>
      </c>
      <c r="G4" t="inlineStr">
        <is>
          <t>Tennis Québec</t>
        </is>
      </c>
      <c r="H4" t="inlineStr">
        <is>
          <t>Tennis Montréal Excellence</t>
        </is>
      </c>
      <c r="I4" t="n">
        <v>19.2</v>
      </c>
      <c r="J4" s="4" t="n">
        <v>304</v>
      </c>
      <c r="K4" t="inlineStr">
        <is>
          <t>198 / 106</t>
        </is>
      </c>
      <c r="L4" t="inlineStr">
        <is>
          <t>10 / 4</t>
        </is>
      </c>
      <c r="M4" s="5" t="n">
        <v>0.65</v>
      </c>
      <c r="N4" s="5" t="n">
        <v>0.71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9198.4</v>
      </c>
      <c r="F5" s="4" t="n">
        <v>13</v>
      </c>
      <c r="G5" t="inlineStr">
        <is>
          <t>Ontario Tennis Association</t>
        </is>
      </c>
      <c r="H5" t="inlineStr">
        <is>
          <t>City of Kitchener</t>
        </is>
      </c>
      <c r="I5" t="n">
        <v>18.1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21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17.8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Victoria Koniouchine</t>
        </is>
      </c>
      <c r="D7">
        <f>HYPERLINK("https://ota.tournamentsoftware.com/player-profile/4F2575CB-84B4-4072-ABEF-7652A7E74DBA", "Link")</f>
        <v/>
      </c>
      <c r="E7" s="3" t="n">
        <v>8177</v>
      </c>
      <c r="F7" s="4" t="n">
        <v>14</v>
      </c>
      <c r="G7" t="inlineStr">
        <is>
          <t>Tennis Québec</t>
        </is>
      </c>
      <c r="H7" t="inlineStr">
        <is>
          <t>Tennis Montréal Excellence</t>
        </is>
      </c>
      <c r="I7" t="n">
        <v>20.7</v>
      </c>
      <c r="J7" s="4" t="n">
        <v>380</v>
      </c>
      <c r="K7" t="inlineStr">
        <is>
          <t>244 / 136</t>
        </is>
      </c>
      <c r="L7" t="inlineStr">
        <is>
          <t>22 / 6</t>
        </is>
      </c>
      <c r="M7" s="5" t="n">
        <v>0.64</v>
      </c>
      <c r="N7" s="5" t="n">
        <v>0.79</v>
      </c>
    </row>
    <row r="8">
      <c r="A8" t="n">
        <v>7</v>
      </c>
      <c r="B8" t="n">
        <v>2012</v>
      </c>
      <c r="C8" t="inlineStr">
        <is>
          <t>Ruijing Chen</t>
        </is>
      </c>
      <c r="D8">
        <f>HYPERLINK("https://ota.tournamentsoftware.com/player-profile/CF3F9020-5B8A-4448-8412-B206DFD70D34", "Link")</f>
        <v/>
      </c>
      <c r="E8" s="3" t="n">
        <v>8026.067</v>
      </c>
      <c r="F8" s="4" t="n">
        <v>20</v>
      </c>
      <c r="G8" t="inlineStr">
        <is>
          <t>British Columbia</t>
        </is>
      </c>
      <c r="H8" t="inlineStr">
        <is>
          <t>North Vancouver Tennis Centre</t>
        </is>
      </c>
      <c r="I8" t="n">
        <v>20.4</v>
      </c>
      <c r="J8" s="4" t="n">
        <v>272</v>
      </c>
      <c r="K8" t="inlineStr">
        <is>
          <t>158 / 114</t>
        </is>
      </c>
      <c r="L8" t="inlineStr">
        <is>
          <t>40 / 19</t>
        </is>
      </c>
      <c r="M8" s="5" t="n">
        <v>0.58</v>
      </c>
      <c r="N8" s="5" t="n">
        <v>0.68</v>
      </c>
    </row>
    <row r="9">
      <c r="A9" t="n">
        <v>8</v>
      </c>
      <c r="B9" t="n">
        <v>2012</v>
      </c>
      <c r="C9" t="inlineStr">
        <is>
          <t>Karina Swaminath</t>
        </is>
      </c>
      <c r="D9">
        <f>HYPERLINK("https://ota.tournamentsoftware.com/player-profile/4DB9D061-D74F-4482-87A3-9C7480D14EFD", "Link")</f>
        <v/>
      </c>
      <c r="E9" s="3" t="n">
        <v>7284.4</v>
      </c>
      <c r="F9" s="4" t="n">
        <v>20</v>
      </c>
      <c r="G9" t="inlineStr">
        <is>
          <t>Ontario Tennis Association</t>
        </is>
      </c>
      <c r="H9" t="inlineStr">
        <is>
          <t>Premier Racquet Clubs – Mississauga</t>
        </is>
      </c>
      <c r="I9" t="n">
        <v>20.7</v>
      </c>
      <c r="J9" s="4" t="n">
        <v>318</v>
      </c>
      <c r="K9" t="inlineStr">
        <is>
          <t>206 / 112</t>
        </is>
      </c>
      <c r="L9" t="inlineStr">
        <is>
          <t>43 / 19</t>
        </is>
      </c>
      <c r="M9" s="5" t="n">
        <v>0.65</v>
      </c>
      <c r="N9" s="5" t="n">
        <v>0.6899999999999999</v>
      </c>
    </row>
    <row r="10">
      <c r="A10" t="n">
        <v>9</v>
      </c>
      <c r="B10" t="n">
        <v>2013</v>
      </c>
      <c r="C10" t="inlineStr">
        <is>
          <t>Callie Raharinosy</t>
        </is>
      </c>
      <c r="D10">
        <f>HYPERLINK("https://ota.tournamentsoftware.com/player-profile/C3BB19C9-39F8-4DF4-A576-AAB3D92B85C3", "Link")</f>
        <v/>
      </c>
      <c r="E10" s="3" t="n">
        <v>7178.294</v>
      </c>
      <c r="F10" s="4" t="n">
        <v>13</v>
      </c>
      <c r="G10" t="inlineStr">
        <is>
          <t>Ontario Tennis Association</t>
        </is>
      </c>
      <c r="H10" t="inlineStr">
        <is>
          <t>Richmondhill Golf &amp; Country Club</t>
        </is>
      </c>
      <c r="I10" t="n">
        <v>20.7</v>
      </c>
      <c r="J10" s="4" t="n">
        <v>243</v>
      </c>
      <c r="K10" t="inlineStr">
        <is>
          <t>157 / 86</t>
        </is>
      </c>
      <c r="L10" t="inlineStr">
        <is>
          <t>26 / 11</t>
        </is>
      </c>
      <c r="M10" s="5" t="n">
        <v>0.65</v>
      </c>
      <c r="N10" s="5" t="n">
        <v>0.7</v>
      </c>
    </row>
    <row r="11">
      <c r="A11" t="n">
        <v>10</v>
      </c>
      <c r="B11" t="n">
        <v>2013</v>
      </c>
      <c r="C11" t="inlineStr">
        <is>
          <t>Olivia Ma</t>
        </is>
      </c>
      <c r="D11">
        <f>HYPERLINK("https://ota.tournamentsoftware.com/player-profile/8DB93BEF-9FF1-4A58-A4CC-C5E09482F693", "Link")</f>
        <v/>
      </c>
      <c r="E11" s="3" t="n">
        <v>6870.005</v>
      </c>
      <c r="F11" s="4" t="n">
        <v>21</v>
      </c>
      <c r="G11" t="inlineStr">
        <is>
          <t>British Columbia</t>
        </is>
      </c>
      <c r="H11" t="inlineStr">
        <is>
          <t>Kamloops Tennis Centre</t>
        </is>
      </c>
      <c r="I11" t="n">
        <v>20</v>
      </c>
      <c r="J11" s="4" t="n">
        <v>240</v>
      </c>
      <c r="K11" t="inlineStr">
        <is>
          <t>161 / 79</t>
        </is>
      </c>
      <c r="L11" t="inlineStr">
        <is>
          <t>40 / 17</t>
        </is>
      </c>
      <c r="M11" s="5" t="n">
        <v>0.67</v>
      </c>
      <c r="N11" s="5" t="n">
        <v>0.7</v>
      </c>
    </row>
    <row r="12">
      <c r="A12" t="n">
        <v>11</v>
      </c>
      <c r="B12" t="n">
        <v>2012</v>
      </c>
      <c r="C12" t="inlineStr">
        <is>
          <t>Elise Chen</t>
        </is>
      </c>
      <c r="D12">
        <f>HYPERLINK("https://ota.tournamentsoftware.com/player-profile/8E8A2CD5-37E0-4690-A780-846D1895BB0A", "Link")</f>
        <v/>
      </c>
      <c r="E12" s="3" t="n">
        <v>6210.149</v>
      </c>
      <c r="F12" s="4" t="n">
        <v>18</v>
      </c>
      <c r="G12" t="inlineStr">
        <is>
          <t>Tennis Québec</t>
        </is>
      </c>
      <c r="H12" t="inlineStr">
        <is>
          <t>AA Autre club</t>
        </is>
      </c>
      <c r="I12" t="n">
        <v>20.5</v>
      </c>
      <c r="J12" s="4" t="n">
        <v>341</v>
      </c>
      <c r="K12" t="inlineStr">
        <is>
          <t>225 / 116</t>
        </is>
      </c>
      <c r="L12" t="inlineStr">
        <is>
          <t>44 / 14</t>
        </is>
      </c>
      <c r="M12" s="5" t="n">
        <v>0.66</v>
      </c>
      <c r="N12" s="5" t="n">
        <v>0.76</v>
      </c>
    </row>
    <row r="13">
      <c r="A13" t="n">
        <v>12</v>
      </c>
      <c r="B13" t="n">
        <v>2012</v>
      </c>
      <c r="C13" t="inlineStr">
        <is>
          <t>kendra zhang</t>
        </is>
      </c>
      <c r="D13">
        <f>HYPERLINK("https://ota.tournamentsoftware.com/player-profile/23508257-17E1-4A1F-A208-90A41A8C5BC8", "Link")</f>
        <v/>
      </c>
      <c r="E13" s="3" t="n">
        <v>6085.707</v>
      </c>
      <c r="F13" s="4" t="n">
        <v>16</v>
      </c>
      <c r="G13" t="inlineStr">
        <is>
          <t>Tennis Alberta</t>
        </is>
      </c>
      <c r="H13" t="inlineStr">
        <is>
          <t>Osten &amp; Victor Alberta Tennis Centre</t>
        </is>
      </c>
      <c r="I13" t="n">
        <v>20.2</v>
      </c>
      <c r="J13" s="4" t="n">
        <v>315</v>
      </c>
      <c r="K13" t="inlineStr">
        <is>
          <t>248 / 67</t>
        </is>
      </c>
      <c r="L13" t="inlineStr">
        <is>
          <t>39 / 5</t>
        </is>
      </c>
      <c r="M13" s="5" t="n">
        <v>0.79</v>
      </c>
      <c r="N13" s="5" t="n">
        <v>0.89</v>
      </c>
    </row>
    <row r="14">
      <c r="A14" t="n">
        <v>13</v>
      </c>
      <c r="B14" t="n">
        <v>2013</v>
      </c>
      <c r="C14" t="inlineStr">
        <is>
          <t>Paris Radovic</t>
        </is>
      </c>
      <c r="D14">
        <f>HYPERLINK("https://ota.tournamentsoftware.com/player-profile/F1F29E41-D080-473C-93A3-FEF9F1122EE3", "Link")</f>
        <v/>
      </c>
      <c r="E14" s="3" t="n">
        <v>6019.129</v>
      </c>
      <c r="F14" s="4" t="n">
        <v>15</v>
      </c>
      <c r="G14" t="inlineStr">
        <is>
          <t>Ontario Tennis Association</t>
        </is>
      </c>
      <c r="H14" t="inlineStr">
        <is>
          <t>Advantage Tennis International at Veneto</t>
        </is>
      </c>
      <c r="I14" t="n">
        <v>20.7</v>
      </c>
      <c r="J14" s="4" t="n">
        <v>290</v>
      </c>
      <c r="K14" t="inlineStr">
        <is>
          <t>188 / 102</t>
        </is>
      </c>
      <c r="L14" t="inlineStr">
        <is>
          <t>32 / 12</t>
        </is>
      </c>
      <c r="M14" s="5" t="n">
        <v>0.65</v>
      </c>
      <c r="N14" s="5" t="n">
        <v>0.73</v>
      </c>
    </row>
    <row r="15">
      <c r="A15" t="n">
        <v>14</v>
      </c>
      <c r="B15" t="n">
        <v>2013</v>
      </c>
      <c r="C15" t="inlineStr">
        <is>
          <t>Urvi Singh</t>
        </is>
      </c>
      <c r="D15">
        <f>HYPERLINK("https://ota.tournamentsoftware.com/player-profile/20590827-22F8-402F-BC87-449928EE4236", "Link")</f>
        <v/>
      </c>
      <c r="E15" s="3" t="n">
        <v>5765.184</v>
      </c>
      <c r="F15" s="4" t="n">
        <v>16</v>
      </c>
      <c r="G15" t="inlineStr">
        <is>
          <t>Ontario Tennis Association</t>
        </is>
      </c>
      <c r="H15" t="inlineStr">
        <is>
          <t>Guildwood Tennis Club</t>
        </is>
      </c>
      <c r="I15" t="n">
        <v>20.2</v>
      </c>
      <c r="J15" s="4" t="n">
        <v>257</v>
      </c>
      <c r="K15" t="inlineStr">
        <is>
          <t>160 / 97</t>
        </is>
      </c>
      <c r="L15" t="inlineStr">
        <is>
          <t>32 / 15</t>
        </is>
      </c>
      <c r="M15" s="5" t="n">
        <v>0.62</v>
      </c>
      <c r="N15" s="5" t="n">
        <v>0.68</v>
      </c>
    </row>
    <row r="16">
      <c r="A16" t="n">
        <v>15</v>
      </c>
      <c r="B16" t="n">
        <v>2012</v>
      </c>
      <c r="C16" t="inlineStr">
        <is>
          <t>Emma Ciobanu</t>
        </is>
      </c>
      <c r="D16">
        <f>HYPERLINK("https://ota.tournamentsoftware.com/player-profile/3FF64A25-D930-4C5E-8E36-3F04D7602157", "Link")</f>
        <v/>
      </c>
      <c r="E16" s="3" t="n">
        <v>5377.186</v>
      </c>
      <c r="F16" s="4" t="n">
        <v>17</v>
      </c>
      <c r="G16" t="inlineStr">
        <is>
          <t>Tennis Québec</t>
        </is>
      </c>
      <c r="H16" t="inlineStr">
        <is>
          <t>No Club</t>
        </is>
      </c>
      <c r="I16" t="n">
        <v>21.6</v>
      </c>
      <c r="J16" s="4" t="n">
        <v>445</v>
      </c>
      <c r="K16" t="inlineStr">
        <is>
          <t>254 / 191</t>
        </is>
      </c>
      <c r="L16" t="inlineStr">
        <is>
          <t>12 / 9</t>
        </is>
      </c>
      <c r="M16" s="5" t="n">
        <v>0.57</v>
      </c>
      <c r="N16" s="5" t="n">
        <v>0.57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23</v>
      </c>
      <c r="G17" t="inlineStr">
        <is>
          <t>British Columbia</t>
        </is>
      </c>
      <c r="H17" t="inlineStr">
        <is>
          <t>North Vancouver Tennis Centre</t>
        </is>
      </c>
      <c r="I17" t="n">
        <v>22.2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23</v>
      </c>
      <c r="G18" t="inlineStr">
        <is>
          <t>Ontario Tennis Association</t>
        </is>
      </c>
      <c r="H18" t="inlineStr">
        <is>
          <t>North Toronto Tennis Club</t>
        </is>
      </c>
      <c r="I18" t="n">
        <v>21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20</v>
      </c>
      <c r="G20" t="inlineStr">
        <is>
          <t>Ontario Tennis Association</t>
        </is>
      </c>
      <c r="H20" t="inlineStr">
        <is>
          <t>10XTO</t>
        </is>
      </c>
      <c r="I20" t="n">
        <v>21.5</v>
      </c>
      <c r="J20" s="4" t="n">
        <v>342</v>
      </c>
      <c r="K20" t="inlineStr">
        <is>
          <t>236 / 106</t>
        </is>
      </c>
      <c r="L20" t="inlineStr">
        <is>
          <t>44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12</v>
      </c>
      <c r="G21" t="inlineStr">
        <is>
          <t>British Columbia</t>
        </is>
      </c>
      <c r="H21" t="inlineStr">
        <is>
          <t>Jericho Tennis Club</t>
        </is>
      </c>
      <c r="I21" t="n">
        <v>21.4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13</v>
      </c>
      <c r="G22" t="inlineStr">
        <is>
          <t>British Columbia</t>
        </is>
      </c>
      <c r="H22" t="inlineStr">
        <is>
          <t>No Club</t>
        </is>
      </c>
      <c r="I22" t="n">
        <v>21.3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22</v>
      </c>
      <c r="G23" t="inlineStr">
        <is>
          <t>Tennis Québec</t>
        </is>
      </c>
      <c r="H23" t="inlineStr">
        <is>
          <t>Tennis 13</t>
        </is>
      </c>
      <c r="I23" t="n">
        <v>22.5</v>
      </c>
      <c r="J23" s="4" t="n">
        <v>310</v>
      </c>
      <c r="K23" t="inlineStr">
        <is>
          <t>195 / 115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Tennis BC Hub @ Richmond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13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21.5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16</v>
      </c>
      <c r="G26" t="inlineStr">
        <is>
          <t>Tennis Québec</t>
        </is>
      </c>
      <c r="H26" t="inlineStr">
        <is>
          <t>Tennis Ile- des- Soeurs</t>
        </is>
      </c>
      <c r="I26" t="n">
        <v>22.5</v>
      </c>
      <c r="J26" s="4" t="n">
        <v>266</v>
      </c>
      <c r="K26" t="inlineStr">
        <is>
          <t>179 / 87</t>
        </is>
      </c>
      <c r="L26" t="inlineStr">
        <is>
          <t>42 / 16</t>
        </is>
      </c>
      <c r="M26" s="5" t="n">
        <v>0.67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12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Hailey MacDonald</t>
        </is>
      </c>
      <c r="D28">
        <f>HYPERLINK("https://ota.tournamentsoftware.com/player-profile/7B752A16-6837-4A5A-AFD8-83F950F37834", "Link")</f>
        <v/>
      </c>
      <c r="E28" s="3" t="n">
        <v>3466.484</v>
      </c>
      <c r="F28" s="4" t="n">
        <v>15</v>
      </c>
      <c r="G28" t="inlineStr">
        <is>
          <t>Ontario Tennis Association</t>
        </is>
      </c>
      <c r="H28" t="inlineStr">
        <is>
          <t>Advantage Tennis International at Veneto</t>
        </is>
      </c>
      <c r="I28" t="n">
        <v>24.4</v>
      </c>
      <c r="J28" s="4" t="n">
        <v>329</v>
      </c>
      <c r="K28" t="inlineStr">
        <is>
          <t>225 / 104</t>
        </is>
      </c>
      <c r="L28" t="inlineStr">
        <is>
          <t>23 / 9</t>
        </is>
      </c>
      <c r="M28" s="5" t="n">
        <v>0.68</v>
      </c>
      <c r="N28" s="5" t="n">
        <v>0.72</v>
      </c>
    </row>
    <row r="29">
      <c r="A29" t="n">
        <v>28</v>
      </c>
      <c r="B29" t="n">
        <v>2012</v>
      </c>
      <c r="C29" t="inlineStr">
        <is>
          <t>Victoria Cui</t>
        </is>
      </c>
      <c r="D29">
        <f>HYPERLINK("https://ota.tournamentsoftware.com/player-profile/0645977B-E01D-437B-A80F-04D3BC7B5871", "Link")</f>
        <v/>
      </c>
      <c r="E29" s="3" t="n">
        <v>3377.16</v>
      </c>
      <c r="F29" s="4" t="n">
        <v>22</v>
      </c>
      <c r="G29" t="inlineStr">
        <is>
          <t>Ontario Tennis Association</t>
        </is>
      </c>
      <c r="H29" t="inlineStr">
        <is>
          <t>Mayfair East Racquet Club</t>
        </is>
      </c>
      <c r="I29" t="n">
        <v>23.8</v>
      </c>
      <c r="J29" s="4" t="n">
        <v>251</v>
      </c>
      <c r="K29" t="inlineStr">
        <is>
          <t>160 / 91</t>
        </is>
      </c>
      <c r="L29" t="inlineStr">
        <is>
          <t>32 / 18</t>
        </is>
      </c>
      <c r="M29" s="5" t="n">
        <v>0.64</v>
      </c>
      <c r="N29" s="5" t="n">
        <v>0.64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20</v>
      </c>
      <c r="G30" t="inlineStr">
        <is>
          <t>Tennis Alberta</t>
        </is>
      </c>
      <c r="H30" t="inlineStr">
        <is>
          <t>Aforza</t>
        </is>
      </c>
      <c r="I30" t="n">
        <v>22.9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22.6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28</v>
      </c>
      <c r="G32" t="inlineStr">
        <is>
          <t>Tennis Québec</t>
        </is>
      </c>
      <c r="H32" t="inlineStr">
        <is>
          <t>SANI Sport</t>
        </is>
      </c>
      <c r="I32" t="n">
        <v>23.7</v>
      </c>
      <c r="J32" s="4" t="n">
        <v>384</v>
      </c>
      <c r="K32" t="inlineStr">
        <is>
          <t>238 / 146</t>
        </is>
      </c>
      <c r="L32" t="inlineStr">
        <is>
          <t>47 / 27</t>
        </is>
      </c>
      <c r="M32" s="5" t="n">
        <v>0.62</v>
      </c>
      <c r="N32" s="5" t="n">
        <v>0.64</v>
      </c>
    </row>
    <row r="33">
      <c r="A33" t="n">
        <v>32</v>
      </c>
      <c r="B33" t="n">
        <v>2012</v>
      </c>
      <c r="C33" t="inlineStr">
        <is>
          <t>Sophie Rachel Murray</t>
        </is>
      </c>
      <c r="D33">
        <f>HYPERLINK("https://ota.tournamentsoftware.com/player-profile/ADAA4094-7084-435C-80A6-9DA79EB19D3F", "Link")</f>
        <v/>
      </c>
      <c r="E33" s="3" t="n">
        <v>2878.56</v>
      </c>
      <c r="F33" s="4" t="n">
        <v>17</v>
      </c>
      <c r="G33" t="inlineStr">
        <is>
          <t>Tennis Alberta</t>
        </is>
      </c>
      <c r="H33" t="inlineStr">
        <is>
          <t>Osten &amp; Victor Alberta Tennis Centre</t>
        </is>
      </c>
      <c r="I33" t="n">
        <v>21.5</v>
      </c>
      <c r="J33" s="4" t="n">
        <v>322</v>
      </c>
      <c r="K33" t="inlineStr">
        <is>
          <t>194 / 128</t>
        </is>
      </c>
      <c r="L33" t="inlineStr">
        <is>
          <t>20 / 6</t>
        </is>
      </c>
      <c r="M33" s="5" t="n">
        <v>0.6</v>
      </c>
      <c r="N33" s="5" t="n">
        <v>0.77</v>
      </c>
    </row>
    <row r="34">
      <c r="A34" t="n">
        <v>33</v>
      </c>
      <c r="B34" t="n">
        <v>2013</v>
      </c>
      <c r="C34" t="inlineStr">
        <is>
          <t>Mia Zhou</t>
        </is>
      </c>
      <c r="D34">
        <f>HYPERLINK("https://ota.tournamentsoftware.com/player-profile/88191DA6-771E-497F-B932-CBADA674D329", "Link")</f>
        <v/>
      </c>
      <c r="E34" s="3" t="n">
        <v>2807.223</v>
      </c>
      <c r="F34" s="4" t="n">
        <v>23</v>
      </c>
      <c r="G34" t="inlineStr">
        <is>
          <t>Ontario Tennis Association</t>
        </is>
      </c>
      <c r="H34" t="inlineStr">
        <is>
          <t>Richmondhill Golf &amp; Country Club</t>
        </is>
      </c>
      <c r="I34" t="n">
        <v>23.7</v>
      </c>
      <c r="J34" s="4" t="n">
        <v>256</v>
      </c>
      <c r="K34" t="inlineStr">
        <is>
          <t>141 / 115</t>
        </is>
      </c>
      <c r="L34" t="inlineStr">
        <is>
          <t>40 / 27</t>
        </is>
      </c>
      <c r="M34" s="5" t="n">
        <v>0.55</v>
      </c>
      <c r="N34" s="5" t="n">
        <v>0.6</v>
      </c>
    </row>
    <row r="35">
      <c r="A35" t="n">
        <v>34</v>
      </c>
      <c r="B35" t="n">
        <v>2013</v>
      </c>
      <c r="C35" t="inlineStr">
        <is>
          <t>Valesca Calabrese</t>
        </is>
      </c>
      <c r="D35">
        <f>HYPERLINK("https://ota.tournamentsoftware.com/player-profile/B0833DD4-B006-4DA5-A204-F5A1B4F3FABB", "Link")</f>
        <v/>
      </c>
      <c r="E35" s="3" t="n">
        <v>2487.42</v>
      </c>
      <c r="F35" s="4" t="n">
        <v>24</v>
      </c>
      <c r="G35" t="inlineStr">
        <is>
          <t>Ontario Tennis Association</t>
        </is>
      </c>
      <c r="H35" t="inlineStr">
        <is>
          <t>Kingston Racquet Centre</t>
        </is>
      </c>
      <c r="I35" t="n">
        <v>23.8</v>
      </c>
      <c r="J35" s="4" t="n">
        <v>269</v>
      </c>
      <c r="K35" t="inlineStr">
        <is>
          <t>180 / 89</t>
        </is>
      </c>
      <c r="L35" t="inlineStr">
        <is>
          <t>31 / 13</t>
        </is>
      </c>
      <c r="M35" s="5" t="n">
        <v>0.67</v>
      </c>
      <c r="N35" s="5" t="n">
        <v>0.7</v>
      </c>
    </row>
    <row r="36">
      <c r="A36" t="n">
        <v>35</v>
      </c>
      <c r="B36" t="n">
        <v>2012</v>
      </c>
      <c r="C36" t="inlineStr">
        <is>
          <t>Misaki Rukovanjski</t>
        </is>
      </c>
      <c r="D36">
        <f>HYPERLINK("https://ota.tournamentsoftware.com/player-profile/CECDBF80-C74F-40ED-B426-04CA75BF14C1", "Link")</f>
        <v/>
      </c>
      <c r="E36" s="3" t="n">
        <v>2485.998</v>
      </c>
      <c r="F36" s="4" t="n">
        <v>23</v>
      </c>
      <c r="G36" t="inlineStr">
        <is>
          <t>Ontario Tennis Association</t>
        </is>
      </c>
      <c r="H36" t="inlineStr">
        <is>
          <t>No Club</t>
        </is>
      </c>
      <c r="I36" t="n">
        <v>25.2</v>
      </c>
      <c r="J36" s="4" t="n">
        <v>270</v>
      </c>
      <c r="K36" t="inlineStr">
        <is>
          <t>170 / 100</t>
        </is>
      </c>
      <c r="L36" t="inlineStr">
        <is>
          <t>26 / 20</t>
        </is>
      </c>
      <c r="M36" s="5" t="n">
        <v>0.63</v>
      </c>
      <c r="N36" s="5" t="n">
        <v>0.57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2464.817</v>
      </c>
      <c r="F37" s="4" t="n">
        <v>17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</v>
      </c>
      <c r="J37" s="4" t="n">
        <v>175</v>
      </c>
      <c r="K37" t="inlineStr">
        <is>
          <t>93 / 82</t>
        </is>
      </c>
      <c r="L37" t="inlineStr">
        <is>
          <t>23 / 16</t>
        </is>
      </c>
      <c r="M37" s="5" t="n">
        <v>0.53</v>
      </c>
      <c r="N37" s="5" t="n">
        <v>0.59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24.4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10</v>
      </c>
      <c r="G39" t="inlineStr">
        <is>
          <t>Ontario Tennis Association</t>
        </is>
      </c>
      <c r="H39" t="inlineStr">
        <is>
          <t>Carleton Tennis Centre</t>
        </is>
      </c>
      <c r="I39" t="n">
        <v>26.8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25.2</v>
      </c>
      <c r="J40" s="4" t="n">
        <v>221</v>
      </c>
      <c r="K40" t="inlineStr">
        <is>
          <t>120 / 101</t>
        </is>
      </c>
      <c r="L40" t="inlineStr">
        <is>
          <t>23 / 16</t>
        </is>
      </c>
      <c r="M40" s="5" t="n">
        <v>0.54</v>
      </c>
      <c r="N40" s="5" t="n">
        <v>0.59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2308.904</v>
      </c>
      <c r="F41" s="4" t="n">
        <v>22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22.1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2013</v>
      </c>
      <c r="C42" t="inlineStr">
        <is>
          <t>YASMINE SOUISSI</t>
        </is>
      </c>
      <c r="D42">
        <f>HYPERLINK("https://ota.tournamentsoftware.com/player-profile/1B8E66F9-8E72-48A5-A280-1ADD14488B21", "Link")</f>
        <v/>
      </c>
      <c r="E42" s="3" t="n">
        <v>2224.521</v>
      </c>
      <c r="F42" s="4" t="n">
        <v>10</v>
      </c>
      <c r="G42" t="inlineStr">
        <is>
          <t>Tennis Québec</t>
        </is>
      </c>
      <c r="H42" t="inlineStr">
        <is>
          <t>Tennis 13</t>
        </is>
      </c>
      <c r="I42" t="n">
        <v>22.2</v>
      </c>
      <c r="J42" s="4" t="n">
        <v>248</v>
      </c>
      <c r="K42" t="inlineStr">
        <is>
          <t>167 / 81</t>
        </is>
      </c>
      <c r="L42" t="inlineStr">
        <is>
          <t>24 / 13</t>
        </is>
      </c>
      <c r="M42" s="5" t="n">
        <v>0.67</v>
      </c>
      <c r="N42" s="5" t="n">
        <v>0.65</v>
      </c>
    </row>
    <row r="43">
      <c r="A43" t="n">
        <v>42</v>
      </c>
      <c r="B43" t="n">
        <v>2014</v>
      </c>
      <c r="C43" t="inlineStr">
        <is>
          <t>Adelina Tanashikova</t>
        </is>
      </c>
      <c r="D43">
        <f>HYPERLINK("https://ota.tournamentsoftware.com/player-profile/AD7F41D2-B208-4518-963D-851BBA4276F4", "Link")</f>
        <v/>
      </c>
      <c r="E43" s="3" t="n">
        <v>2209.809</v>
      </c>
      <c r="F43" s="4" t="n">
        <v>14</v>
      </c>
      <c r="G43" t="inlineStr">
        <is>
          <t>Ontario Tennis Association</t>
        </is>
      </c>
      <c r="H43" t="inlineStr">
        <is>
          <t>No Club</t>
        </is>
      </c>
      <c r="I43" t="n">
        <v>24.4</v>
      </c>
      <c r="J43" s="4" t="n">
        <v>269</v>
      </c>
      <c r="K43" t="inlineStr">
        <is>
          <t>145 / 124</t>
        </is>
      </c>
      <c r="L43" t="inlineStr">
        <is>
          <t>28 / 7</t>
        </is>
      </c>
      <c r="M43" s="5" t="n">
        <v>0.54</v>
      </c>
      <c r="N43" s="5" t="n">
        <v>0.8</v>
      </c>
    </row>
    <row r="44">
      <c r="A44" t="n">
        <v>43</v>
      </c>
      <c r="B44" t="n">
        <v>2014</v>
      </c>
      <c r="C44" t="inlineStr">
        <is>
          <t>SOPHIA JIAJIA DENG</t>
        </is>
      </c>
      <c r="D44">
        <f>HYPERLINK("https://ota.tournamentsoftware.com/player-profile/FE6DD2AD-9E29-4128-BE09-D1E88B84D2C8", "Link")</f>
        <v/>
      </c>
      <c r="E44" s="3" t="n">
        <v>2125.702</v>
      </c>
      <c r="F44" s="4" t="n">
        <v>17</v>
      </c>
      <c r="G44" t="inlineStr">
        <is>
          <t>Ontario Tennis Association</t>
        </is>
      </c>
      <c r="H44" t="inlineStr">
        <is>
          <t>Peak Performance Tennis Academy</t>
        </is>
      </c>
      <c r="I44" t="n">
        <v>25.1</v>
      </c>
      <c r="J44" s="4" t="n">
        <v>184</v>
      </c>
      <c r="K44" t="inlineStr">
        <is>
          <t>136 / 48</t>
        </is>
      </c>
      <c r="L44" t="inlineStr">
        <is>
          <t>36 / 14</t>
        </is>
      </c>
      <c r="M44" s="5" t="n">
        <v>0.74</v>
      </c>
      <c r="N44" s="5" t="n">
        <v>0.72</v>
      </c>
    </row>
    <row r="45">
      <c r="A45" t="n">
        <v>44</v>
      </c>
      <c r="B45" t="n">
        <v>2014</v>
      </c>
      <c r="C45" t="inlineStr">
        <is>
          <t>Fiona Huang</t>
        </is>
      </c>
      <c r="D45">
        <f>HYPERLINK("https://ota.tournamentsoftware.com/player-profile/701ADA13-714A-48E5-B54F-4DB9E25DBDB3", "Link")</f>
        <v/>
      </c>
      <c r="E45" s="3" t="n">
        <v>2111.25</v>
      </c>
      <c r="F45" s="4" t="n">
        <v>14</v>
      </c>
      <c r="G45" t="inlineStr">
        <is>
          <t>British Columbia</t>
        </is>
      </c>
      <c r="H45" t="inlineStr">
        <is>
          <t>No Club</t>
        </is>
      </c>
      <c r="I45" t="n">
        <v>25.2</v>
      </c>
      <c r="J45" s="4" t="n">
        <v>223</v>
      </c>
      <c r="K45" t="inlineStr">
        <is>
          <t>142 / 81</t>
        </is>
      </c>
      <c r="L45" t="inlineStr">
        <is>
          <t>34 / 14</t>
        </is>
      </c>
      <c r="M45" s="5" t="n">
        <v>0.64</v>
      </c>
      <c r="N45" s="5" t="n">
        <v>0.71</v>
      </c>
    </row>
    <row r="46">
      <c r="A46" t="n">
        <v>45</v>
      </c>
      <c r="B46" t="n">
        <v>2012</v>
      </c>
      <c r="C46" t="inlineStr">
        <is>
          <t>Marilyn deBruin-Sawutz</t>
        </is>
      </c>
      <c r="D46">
        <f>HYPERLINK("https://ota.tournamentsoftware.com/player-profile/3DC26724-8571-4345-A75C-D904297288CB", "Link")</f>
        <v/>
      </c>
      <c r="E46" s="3" t="n">
        <v>2054.217</v>
      </c>
      <c r="F46" s="4" t="n">
        <v>24</v>
      </c>
      <c r="G46" t="inlineStr">
        <is>
          <t>Ontario Tennis Association</t>
        </is>
      </c>
      <c r="H46" t="inlineStr">
        <is>
          <t>Advantage Tennis International at Veneto</t>
        </is>
      </c>
      <c r="I46" t="n">
        <v>23.7</v>
      </c>
      <c r="J46" s="4" t="n">
        <v>290</v>
      </c>
      <c r="K46" t="inlineStr">
        <is>
          <t>151 / 139</t>
        </is>
      </c>
      <c r="L46" t="inlineStr">
        <is>
          <t>30 / 20</t>
        </is>
      </c>
      <c r="M46" s="5" t="n">
        <v>0.52</v>
      </c>
      <c r="N46" s="5" t="n">
        <v>0.6</v>
      </c>
    </row>
    <row r="47">
      <c r="A47" t="n">
        <v>46</v>
      </c>
      <c r="B47" t="n">
        <v>2014</v>
      </c>
      <c r="C47" t="inlineStr">
        <is>
          <t>Roseline Nana</t>
        </is>
      </c>
      <c r="D47">
        <f>HYPERLINK("https://ota.tournamentsoftware.com/player-profile/B0A425C4-2F23-4C29-8447-4FFBF9D90967", "Link")</f>
        <v/>
      </c>
      <c r="E47" s="3" t="n">
        <v>1993.2</v>
      </c>
      <c r="F47" s="4" t="n">
        <v>27</v>
      </c>
      <c r="G47" t="inlineStr">
        <is>
          <t>Tennis Québec</t>
        </is>
      </c>
      <c r="H47" t="inlineStr">
        <is>
          <t>Tennis Montréal Excellence</t>
        </is>
      </c>
      <c r="I47" t="n">
        <v>25</v>
      </c>
      <c r="J47" s="4" t="n">
        <v>193</v>
      </c>
      <c r="K47" t="inlineStr">
        <is>
          <t>137 / 56</t>
        </is>
      </c>
      <c r="L47" t="inlineStr">
        <is>
          <t>50 / 17</t>
        </is>
      </c>
      <c r="M47" s="5" t="n">
        <v>0.71</v>
      </c>
      <c r="N47" s="5" t="n">
        <v>0.75</v>
      </c>
    </row>
    <row r="48">
      <c r="A48" t="n">
        <v>47</v>
      </c>
      <c r="B48" t="n">
        <v>2014</v>
      </c>
      <c r="C48" t="inlineStr">
        <is>
          <t>Wilma Wai Bo Yue</t>
        </is>
      </c>
      <c r="D48">
        <f>HYPERLINK("https://ota.tournamentsoftware.com/player-profile/6CAEB488-574A-45E0-B597-01F96FA5C987", "Link")</f>
        <v/>
      </c>
      <c r="E48" s="3" t="n">
        <v>1945.112</v>
      </c>
      <c r="F48" s="4" t="n">
        <v>13</v>
      </c>
      <c r="G48" t="inlineStr">
        <is>
          <t>Ontario Tennis Association</t>
        </is>
      </c>
      <c r="H48" t="inlineStr">
        <is>
          <t>No Club</t>
        </is>
      </c>
      <c r="I48" t="n">
        <v>26.9</v>
      </c>
      <c r="J48" s="4" t="n">
        <v>207</v>
      </c>
      <c r="K48" t="inlineStr">
        <is>
          <t>149 / 58</t>
        </is>
      </c>
      <c r="L48" t="inlineStr">
        <is>
          <t>34 / 12</t>
        </is>
      </c>
      <c r="M48" s="5" t="n">
        <v>0.72</v>
      </c>
      <c r="N48" s="5" t="n">
        <v>0.74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17.8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25.4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1836.281</v>
      </c>
      <c r="F51" s="4" t="n">
        <v>18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25.1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13</v>
      </c>
      <c r="G52" t="inlineStr">
        <is>
          <t>Ontario Tennis Association</t>
        </is>
      </c>
      <c r="H52" t="inlineStr">
        <is>
          <t>Rexall Centre</t>
        </is>
      </c>
      <c r="I52" t="n">
        <v>24.8</v>
      </c>
      <c r="J52" s="4" t="n">
        <v>221</v>
      </c>
      <c r="K52" t="inlineStr">
        <is>
          <t>138 / 83</t>
        </is>
      </c>
      <c r="L52" t="inlineStr">
        <is>
          <t>37 / 14</t>
        </is>
      </c>
      <c r="M52" s="5" t="n">
        <v>0.62</v>
      </c>
      <c r="N52" s="5" t="n">
        <v>0.73</v>
      </c>
    </row>
    <row r="53">
      <c r="A53" t="n">
        <v>52</v>
      </c>
      <c r="B53" t="n">
        <v>2012</v>
      </c>
      <c r="C53" t="inlineStr">
        <is>
          <t>Daria Glinna</t>
        </is>
      </c>
      <c r="D53">
        <f>HYPERLINK("https://ota.tournamentsoftware.com/player-profile/75F31A41-BD9F-46AC-A064-06ECE54741E7", "Link")</f>
        <v/>
      </c>
      <c r="E53" s="3" t="n">
        <v>1760.552</v>
      </c>
      <c r="F53" s="4" t="n">
        <v>14</v>
      </c>
      <c r="G53" t="inlineStr">
        <is>
          <t>Ontario Tennis Association</t>
        </is>
      </c>
      <c r="H53" t="inlineStr">
        <is>
          <t>Premier Racquet Clubs – Mississauga</t>
        </is>
      </c>
      <c r="I53" t="n">
        <v>28.2</v>
      </c>
      <c r="J53" s="4" t="n">
        <v>158</v>
      </c>
      <c r="K53" t="inlineStr">
        <is>
          <t>59 / 99</t>
        </is>
      </c>
      <c r="L53" t="inlineStr">
        <is>
          <t>4 / 8</t>
        </is>
      </c>
      <c r="M53" s="5" t="n">
        <v>0.37</v>
      </c>
      <c r="N53" s="5" t="n">
        <v>0.33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1747.487</v>
      </c>
      <c r="F54" s="4" t="n">
        <v>7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35</v>
      </c>
      <c r="K54" t="inlineStr">
        <is>
          <t>21 / 14</t>
        </is>
      </c>
      <c r="L54" t="inlineStr">
        <is>
          <t>8 / 5</t>
        </is>
      </c>
      <c r="M54" s="5" t="n">
        <v>0.6</v>
      </c>
      <c r="N54" s="5" t="n">
        <v>0.62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1744</v>
      </c>
      <c r="F55" s="4" t="n">
        <v>27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27.7</v>
      </c>
      <c r="J55" s="4" t="n">
        <v>269</v>
      </c>
      <c r="K55" t="inlineStr">
        <is>
          <t>166 / 103</t>
        </is>
      </c>
      <c r="L55" t="inlineStr">
        <is>
          <t>22 / 13</t>
        </is>
      </c>
      <c r="M55" s="5" t="n">
        <v>0.62</v>
      </c>
      <c r="N55" s="5" t="n">
        <v>0.63</v>
      </c>
    </row>
    <row r="56">
      <c r="A56" t="n">
        <v>55</v>
      </c>
      <c r="B56" t="n">
        <v>2012</v>
      </c>
      <c r="C56" t="inlineStr">
        <is>
          <t>Allyson Experience</t>
        </is>
      </c>
      <c r="D56">
        <f>HYPERLINK("https://ota.tournamentsoftware.com/player-profile/9A5D0B4A-A8C7-47DA-8CAD-CA25D28C69CE", "Link")</f>
        <v/>
      </c>
      <c r="E56" s="3" t="n">
        <v>1725.227</v>
      </c>
      <c r="F56" s="4" t="n">
        <v>24</v>
      </c>
      <c r="G56" t="inlineStr">
        <is>
          <t>Tennis Québec</t>
        </is>
      </c>
      <c r="H56" t="inlineStr">
        <is>
          <t>Tennis Montréal Excellence</t>
        </is>
      </c>
      <c r="I56" t="n">
        <v>26.4</v>
      </c>
      <c r="J56" s="4" t="n">
        <v>264</v>
      </c>
      <c r="K56" t="inlineStr">
        <is>
          <t>123 / 141</t>
        </is>
      </c>
      <c r="L56" t="inlineStr">
        <is>
          <t>22 / 22</t>
        </is>
      </c>
      <c r="M56" s="5" t="n">
        <v>0.47</v>
      </c>
      <c r="N56" s="5" t="n">
        <v>0.5</v>
      </c>
    </row>
    <row r="57">
      <c r="A57" t="n">
        <v>56</v>
      </c>
      <c r="B57" t="n">
        <v>2013</v>
      </c>
      <c r="C57" t="inlineStr">
        <is>
          <t>Haeun (Emily) Jo</t>
        </is>
      </c>
      <c r="D57">
        <f>HYPERLINK("https://ota.tournamentsoftware.com/player-profile/BBD49A71-6CAE-4AC7-908B-9DB5263DA715", "Link")</f>
        <v/>
      </c>
      <c r="E57" s="3" t="n">
        <v>1714.8</v>
      </c>
      <c r="F57" s="4" t="n">
        <v>13</v>
      </c>
      <c r="G57" t="inlineStr">
        <is>
          <t>Tennis Nova Scotia</t>
        </is>
      </c>
      <c r="H57" t="inlineStr">
        <is>
          <t>Atlantic Tennis Centre</t>
        </is>
      </c>
      <c r="I57" t="n">
        <v>26.1</v>
      </c>
      <c r="J57" s="4" t="n">
        <v>288</v>
      </c>
      <c r="K57" t="inlineStr">
        <is>
          <t>192 / 96</t>
        </is>
      </c>
      <c r="L57" t="inlineStr">
        <is>
          <t>43 / 17</t>
        </is>
      </c>
      <c r="M57" s="5" t="n">
        <v>0.67</v>
      </c>
      <c r="N57" s="5" t="n">
        <v>0.72</v>
      </c>
    </row>
    <row r="58">
      <c r="A58" t="n">
        <v>57</v>
      </c>
      <c r="B58" t="n">
        <v>2013</v>
      </c>
      <c r="C58" t="inlineStr">
        <is>
          <t>xiayue(Cecelia) Bi</t>
        </is>
      </c>
      <c r="D58">
        <f>HYPERLINK("https://ota.tournamentsoftware.com/player-profile/081CD41C-A9E4-4340-A239-2D92F6639919", "Link")</f>
        <v/>
      </c>
      <c r="E58" s="3" t="n">
        <v>1681.279</v>
      </c>
      <c r="F58" s="4" t="n">
        <v>13</v>
      </c>
      <c r="G58" t="inlineStr">
        <is>
          <t>British Columbia</t>
        </is>
      </c>
      <c r="H58" t="inlineStr">
        <is>
          <t>North Vancouver Tennis Centre</t>
        </is>
      </c>
      <c r="I58" t="n">
        <v>24.3</v>
      </c>
      <c r="J58" s="4" t="n">
        <v>248</v>
      </c>
      <c r="K58" t="inlineStr">
        <is>
          <t>158 / 90</t>
        </is>
      </c>
      <c r="L58" t="inlineStr">
        <is>
          <t>19 / 22</t>
        </is>
      </c>
      <c r="M58" s="5" t="n">
        <v>0.64</v>
      </c>
      <c r="N58" s="5" t="n">
        <v>0.46</v>
      </c>
    </row>
    <row r="59">
      <c r="A59" t="n">
        <v>58</v>
      </c>
      <c r="B59" t="n">
        <v>2014</v>
      </c>
      <c r="C59" t="inlineStr">
        <is>
          <t>Naomi Danyod</t>
        </is>
      </c>
      <c r="D59">
        <f>HYPERLINK("https://ota.tournamentsoftware.com/player-profile/2037E4D8-F8CE-4A2B-858E-7FBBA84F2BC7", "Link")</f>
        <v/>
      </c>
      <c r="E59" s="3" t="n">
        <v>1674.084</v>
      </c>
      <c r="F59" s="4" t="n">
        <v>18</v>
      </c>
      <c r="G59" t="inlineStr">
        <is>
          <t>Tennis Québec</t>
        </is>
      </c>
      <c r="H59" t="inlineStr">
        <is>
          <t>Rouge et Or - Université Laval</t>
        </is>
      </c>
      <c r="I59" t="n">
        <v>26</v>
      </c>
      <c r="J59" s="4" t="n">
        <v>164</v>
      </c>
      <c r="K59" t="inlineStr">
        <is>
          <t>105 / 59</t>
        </is>
      </c>
      <c r="L59" t="inlineStr">
        <is>
          <t>35 / 20</t>
        </is>
      </c>
      <c r="M59" s="5" t="n">
        <v>0.64</v>
      </c>
      <c r="N59" s="5" t="n">
        <v>0.64</v>
      </c>
    </row>
    <row r="60">
      <c r="A60" t="n">
        <v>59</v>
      </c>
      <c r="B60" t="n">
        <v>2013</v>
      </c>
      <c r="C60" t="inlineStr">
        <is>
          <t>Elena Rusic</t>
        </is>
      </c>
      <c r="D60">
        <f>HYPERLINK("https://ota.tournamentsoftware.com/player-profile/C202F0BA-61C5-459D-993A-2D56C17C2B04", "Link")</f>
        <v/>
      </c>
      <c r="E60" s="3" t="n">
        <v>1612.81</v>
      </c>
      <c r="F60" s="4" t="n">
        <v>22</v>
      </c>
      <c r="G60" t="inlineStr">
        <is>
          <t>Ontario Tennis Association</t>
        </is>
      </c>
      <c r="H60" t="inlineStr">
        <is>
          <t>Joshua Creek Golf &amp; Tennis</t>
        </is>
      </c>
      <c r="I60" t="n">
        <v>26.5</v>
      </c>
      <c r="J60" s="4" t="n">
        <v>256</v>
      </c>
      <c r="K60" t="inlineStr">
        <is>
          <t>182 / 74</t>
        </is>
      </c>
      <c r="L60" t="inlineStr">
        <is>
          <t>23 / 19</t>
        </is>
      </c>
      <c r="M60" s="5" t="n">
        <v>0.71</v>
      </c>
      <c r="N60" s="5" t="n">
        <v>0.55</v>
      </c>
    </row>
    <row r="61">
      <c r="A61" t="n">
        <v>60</v>
      </c>
      <c r="B61" t="n">
        <v>2012</v>
      </c>
      <c r="C61" t="inlineStr">
        <is>
          <t>Annika Richards</t>
        </is>
      </c>
      <c r="D61">
        <f>HYPERLINK("https://ota.tournamentsoftware.com/player-profile/CFED81F9-9EA3-48DF-84C4-507456D5D68B", "Link")</f>
        <v/>
      </c>
      <c r="E61" s="3" t="n">
        <v>1580.813</v>
      </c>
      <c r="F61" s="4" t="n">
        <v>18</v>
      </c>
      <c r="G61" t="inlineStr">
        <is>
          <t>Ontario Tennis Association</t>
        </is>
      </c>
      <c r="H61" t="inlineStr">
        <is>
          <t>Toronto Cricket Skating &amp; Curling</t>
        </is>
      </c>
      <c r="I61" t="n">
        <v>27.4</v>
      </c>
      <c r="J61" s="4" t="n">
        <v>189</v>
      </c>
      <c r="K61" t="inlineStr">
        <is>
          <t>81 / 108</t>
        </is>
      </c>
      <c r="L61" t="inlineStr">
        <is>
          <t>8 / 17</t>
        </is>
      </c>
      <c r="M61" s="5" t="n">
        <v>0.43</v>
      </c>
      <c r="N61" s="5" t="n">
        <v>0.32</v>
      </c>
    </row>
    <row r="62">
      <c r="A62" t="n">
        <v>61</v>
      </c>
      <c r="B62" t="n">
        <v>2013</v>
      </c>
      <c r="C62" t="inlineStr">
        <is>
          <t>Alexane Deschênes</t>
        </is>
      </c>
      <c r="D62">
        <f>HYPERLINK("https://ota.tournamentsoftware.com/player-profile/124D1E6B-E463-4461-A5D1-9C844DE2C6D9", "Link")</f>
        <v/>
      </c>
      <c r="E62" s="3" t="n">
        <v>1534.592</v>
      </c>
      <c r="F62" s="4" t="n">
        <v>22</v>
      </c>
      <c r="G62" t="inlineStr">
        <is>
          <t>Tennis Québec</t>
        </is>
      </c>
      <c r="H62" t="inlineStr">
        <is>
          <t>Centre récréatif de Repentigny / Académie Tennis Momentum</t>
        </is>
      </c>
      <c r="I62" t="n">
        <v>25.2</v>
      </c>
      <c r="J62" s="4" t="n">
        <v>293</v>
      </c>
      <c r="K62" t="inlineStr">
        <is>
          <t>156 / 137</t>
        </is>
      </c>
      <c r="L62" t="inlineStr">
        <is>
          <t>36 / 35</t>
        </is>
      </c>
      <c r="M62" s="5" t="n">
        <v>0.53</v>
      </c>
      <c r="N62" s="5" t="n">
        <v>0.51</v>
      </c>
    </row>
    <row r="63">
      <c r="A63" t="n">
        <v>62</v>
      </c>
      <c r="B63" t="n">
        <v>2013</v>
      </c>
      <c r="C63" t="inlineStr">
        <is>
          <t>Varvara Lutsyk</t>
        </is>
      </c>
      <c r="D63">
        <f>HYPERLINK("https://ota.tournamentsoftware.com/player-profile/5197490D-6996-4375-892E-2696E508FF34", "Link")</f>
        <v/>
      </c>
      <c r="E63" s="3" t="n">
        <v>1491.991</v>
      </c>
      <c r="F63" s="4" t="n">
        <v>21</v>
      </c>
      <c r="G63" t="inlineStr">
        <is>
          <t>Tennis Québec</t>
        </is>
      </c>
      <c r="H63" t="inlineStr">
        <is>
          <t>Club Sportif Côte-de-Liesse</t>
        </is>
      </c>
      <c r="I63" t="n">
        <v>24.9</v>
      </c>
      <c r="J63" s="4" t="n">
        <v>210</v>
      </c>
      <c r="K63" t="inlineStr">
        <is>
          <t>137 / 73</t>
        </is>
      </c>
      <c r="L63" t="inlineStr">
        <is>
          <t>31 / 17</t>
        </is>
      </c>
      <c r="M63" s="5" t="n">
        <v>0.65</v>
      </c>
      <c r="N63" s="5" t="n">
        <v>0.65</v>
      </c>
    </row>
    <row r="64">
      <c r="A64" t="n">
        <v>63</v>
      </c>
      <c r="B64" t="n">
        <v>2012</v>
      </c>
      <c r="C64" t="inlineStr">
        <is>
          <t>Natalie Le'er Sang</t>
        </is>
      </c>
      <c r="D64">
        <f>HYPERLINK("https://ota.tournamentsoftware.com/player-profile/993E5845-6FAB-4557-A6F0-C3D60CD8BB97", "Link")</f>
        <v/>
      </c>
      <c r="E64" s="3" t="n">
        <v>1488.96</v>
      </c>
      <c r="F64" s="4" t="n">
        <v>16</v>
      </c>
      <c r="G64" t="inlineStr">
        <is>
          <t>British Columbia</t>
        </is>
      </c>
      <c r="H64" t="inlineStr">
        <is>
          <t>No Club</t>
        </is>
      </c>
      <c r="I64" t="n">
        <v>25.4</v>
      </c>
      <c r="J64" s="4" t="n">
        <v>111</v>
      </c>
      <c r="K64" t="inlineStr">
        <is>
          <t>78 / 33</t>
        </is>
      </c>
      <c r="L64" t="inlineStr">
        <is>
          <t>21 / 19</t>
        </is>
      </c>
      <c r="M64" s="5" t="n">
        <v>0.7</v>
      </c>
      <c r="N64" s="5" t="n">
        <v>0.53</v>
      </c>
    </row>
    <row r="65">
      <c r="A65" t="n">
        <v>64</v>
      </c>
      <c r="B65" t="n">
        <v>2012</v>
      </c>
      <c r="C65" t="inlineStr">
        <is>
          <t>Kelly L Zhang</t>
        </is>
      </c>
      <c r="D65">
        <f>HYPERLINK("https://ota.tournamentsoftware.com/player-profile/2504E03B-B05C-4307-B90E-F3F72DD94827", "Link")</f>
        <v/>
      </c>
      <c r="E65" s="3" t="n">
        <v>1476.763</v>
      </c>
      <c r="F65" s="4" t="n">
        <v>21</v>
      </c>
      <c r="G65" t="inlineStr">
        <is>
          <t>Ontario Tennis Association</t>
        </is>
      </c>
      <c r="H65" t="inlineStr">
        <is>
          <t>NYTA Winter Tennis Club</t>
        </is>
      </c>
      <c r="I65" t="n">
        <v>28.1</v>
      </c>
      <c r="J65" s="4" t="n">
        <v>188</v>
      </c>
      <c r="K65" t="inlineStr">
        <is>
          <t>92 / 96</t>
        </is>
      </c>
      <c r="L65" t="inlineStr">
        <is>
          <t>25 / 18</t>
        </is>
      </c>
      <c r="M65" s="5" t="n">
        <v>0.49</v>
      </c>
      <c r="N65" s="5" t="n">
        <v>0.58</v>
      </c>
    </row>
    <row r="66">
      <c r="A66" t="n">
        <v>65</v>
      </c>
      <c r="B66" t="n">
        <v>2013</v>
      </c>
      <c r="C66" t="inlineStr">
        <is>
          <t>Avery Badyal</t>
        </is>
      </c>
      <c r="D66">
        <f>HYPERLINK("https://ota.tournamentsoftware.com/player-profile/9486479F-C8FD-48FB-BCCD-0246C53A632C", "Link")</f>
        <v/>
      </c>
      <c r="E66" s="3" t="n">
        <v>1469.906</v>
      </c>
      <c r="F66" s="4" t="n">
        <v>12</v>
      </c>
      <c r="G66" t="inlineStr">
        <is>
          <t>British Columbia</t>
        </is>
      </c>
      <c r="H66" t="inlineStr">
        <is>
          <t>The Tennis Centre</t>
        </is>
      </c>
      <c r="I66" t="n">
        <v>25.3</v>
      </c>
      <c r="J66" s="4" t="n">
        <v>239</v>
      </c>
      <c r="K66" t="inlineStr">
        <is>
          <t>145 / 94</t>
        </is>
      </c>
      <c r="L66" t="inlineStr">
        <is>
          <t>17 / 19</t>
        </is>
      </c>
      <c r="M66" s="5" t="n">
        <v>0.61</v>
      </c>
      <c r="N66" s="5" t="n">
        <v>0.47</v>
      </c>
    </row>
    <row r="67">
      <c r="A67" t="n">
        <v>66</v>
      </c>
      <c r="B67" t="n">
        <v>2014</v>
      </c>
      <c r="C67" t="inlineStr">
        <is>
          <t>jocelyn ai</t>
        </is>
      </c>
      <c r="D67">
        <f>HYPERLINK("https://ota.tournamentsoftware.com/player-profile/EADED953-942B-4335-BE21-C0DE8F31626D", "Link")</f>
        <v/>
      </c>
      <c r="E67" s="3" t="n">
        <v>1450.912</v>
      </c>
      <c r="F67" s="4" t="n">
        <v>21</v>
      </c>
      <c r="G67" t="inlineStr">
        <is>
          <t>Ontario Tennis Association</t>
        </is>
      </c>
      <c r="H67" t="inlineStr">
        <is>
          <t>No Club</t>
        </is>
      </c>
      <c r="I67" t="n">
        <v>27.1</v>
      </c>
      <c r="J67" s="4" t="n">
        <v>220</v>
      </c>
      <c r="K67" t="inlineStr">
        <is>
          <t>133 / 87</t>
        </is>
      </c>
      <c r="L67" t="inlineStr">
        <is>
          <t>39 / 24</t>
        </is>
      </c>
      <c r="M67" s="5" t="n">
        <v>0.6</v>
      </c>
      <c r="N67" s="5" t="n">
        <v>0.62</v>
      </c>
    </row>
    <row r="68">
      <c r="A68" t="n">
        <v>67</v>
      </c>
      <c r="B68" t="n">
        <v>2012</v>
      </c>
      <c r="C68" t="inlineStr">
        <is>
          <t>Karina Zhang</t>
        </is>
      </c>
      <c r="D68">
        <f>HYPERLINK("https://ota.tournamentsoftware.com/player-profile/7BB53E38-BBB9-4E1E-B8A2-8EFC2E762653", "Link")</f>
        <v/>
      </c>
      <c r="E68" s="3" t="n">
        <v>1427.367</v>
      </c>
      <c r="F68" s="4" t="n">
        <v>27</v>
      </c>
      <c r="G68" t="inlineStr">
        <is>
          <t>Ontario Tennis Association</t>
        </is>
      </c>
      <c r="H68" t="inlineStr">
        <is>
          <t>Richmondhill Golf &amp; Country Club</t>
        </is>
      </c>
      <c r="I68" t="n">
        <v>24.5</v>
      </c>
      <c r="J68" s="4" t="n">
        <v>209</v>
      </c>
      <c r="K68" t="inlineStr">
        <is>
          <t>130 / 79</t>
        </is>
      </c>
      <c r="L68" t="inlineStr">
        <is>
          <t>30 / 23</t>
        </is>
      </c>
      <c r="M68" s="5" t="n">
        <v>0.62</v>
      </c>
      <c r="N68" s="5" t="n">
        <v>0.57</v>
      </c>
    </row>
    <row r="69">
      <c r="A69" t="n">
        <v>68</v>
      </c>
      <c r="B69" t="n">
        <v>2014</v>
      </c>
      <c r="C69" t="inlineStr">
        <is>
          <t>Amelia Grace Balasuriya</t>
        </is>
      </c>
      <c r="D69">
        <f>HYPERLINK("https://ota.tournamentsoftware.com/player-profile/741A3060-1EA3-4E29-A0BE-1717DEF32CEA", "Link")</f>
        <v/>
      </c>
      <c r="E69" s="3" t="n">
        <v>1414.433</v>
      </c>
      <c r="F69" s="4" t="n">
        <v>26</v>
      </c>
      <c r="G69" t="inlineStr">
        <is>
          <t>Ontario Tennis Association</t>
        </is>
      </c>
      <c r="H69" t="inlineStr">
        <is>
          <t>The Supreme Court Tennis Club</t>
        </is>
      </c>
      <c r="I69" t="n">
        <v>26.7</v>
      </c>
      <c r="J69" s="4" t="n">
        <v>267</v>
      </c>
      <c r="K69" t="inlineStr">
        <is>
          <t>172 / 95</t>
        </is>
      </c>
      <c r="L69" t="inlineStr">
        <is>
          <t>49 / 25</t>
        </is>
      </c>
      <c r="M69" s="5" t="n">
        <v>0.64</v>
      </c>
      <c r="N69" s="5" t="n">
        <v>0.66</v>
      </c>
    </row>
    <row r="70">
      <c r="A70" t="n">
        <v>69</v>
      </c>
      <c r="B70" t="n">
        <v>2013</v>
      </c>
      <c r="C70" t="inlineStr">
        <is>
          <t>Dewa Ayu Devin Sum</t>
        </is>
      </c>
      <c r="D70">
        <f>HYPERLINK("https://ota.tournamentsoftware.com/player-profile/9DB24D5C-3B5C-4B40-BE7E-B331240C1B21", "Link")</f>
        <v/>
      </c>
      <c r="E70" s="3" t="n">
        <v>1397.453</v>
      </c>
      <c r="F70" s="4" t="n">
        <v>31</v>
      </c>
      <c r="G70" t="inlineStr">
        <is>
          <t>Ontario Tennis Association</t>
        </is>
      </c>
      <c r="H70" t="inlineStr">
        <is>
          <t>Premier Racquet Clubs – Mississauga</t>
        </is>
      </c>
      <c r="I70" t="n">
        <v>27.9</v>
      </c>
      <c r="J70" s="4" t="n">
        <v>179</v>
      </c>
      <c r="K70" t="inlineStr">
        <is>
          <t>93 / 86</t>
        </is>
      </c>
      <c r="L70" t="inlineStr">
        <is>
          <t>27 / 21</t>
        </is>
      </c>
      <c r="M70" s="5" t="n">
        <v>0.52</v>
      </c>
      <c r="N70" s="5" t="n">
        <v>0.5600000000000001</v>
      </c>
    </row>
    <row r="71">
      <c r="A71" t="n">
        <v>70</v>
      </c>
      <c r="B71" t="n">
        <v>2012</v>
      </c>
      <c r="C71" t="inlineStr">
        <is>
          <t>Zahava Olszynko</t>
        </is>
      </c>
      <c r="D71">
        <f>HYPERLINK("https://ota.tournamentsoftware.com/player-profile/B6F84042-B29D-4CD8-984E-787094BFA8A4", "Link")</f>
        <v/>
      </c>
      <c r="E71" s="3" t="n">
        <v>1396.116</v>
      </c>
      <c r="F71" s="4" t="n">
        <v>30</v>
      </c>
      <c r="G71" t="inlineStr">
        <is>
          <t>Ontario Tennis Association</t>
        </is>
      </c>
      <c r="H71" t="inlineStr">
        <is>
          <t>Rideau Sports Centre</t>
        </is>
      </c>
      <c r="I71" t="n">
        <v>25.7</v>
      </c>
      <c r="J71" s="4" t="n">
        <v>232</v>
      </c>
      <c r="K71" t="inlineStr">
        <is>
          <t>128 / 104</t>
        </is>
      </c>
      <c r="L71" t="inlineStr">
        <is>
          <t>36 / 24</t>
        </is>
      </c>
      <c r="M71" s="5" t="n">
        <v>0.55</v>
      </c>
      <c r="N71" s="5" t="n">
        <v>0.6</v>
      </c>
    </row>
    <row r="72">
      <c r="A72" t="n">
        <v>71</v>
      </c>
      <c r="B72" t="n">
        <v>2013</v>
      </c>
      <c r="C72" t="inlineStr">
        <is>
          <t>Eleanor Victoria Paura</t>
        </is>
      </c>
      <c r="D72">
        <f>HYPERLINK("https://ota.tournamentsoftware.com/player-profile/4D9EBB83-94D7-44A3-BD6F-1D98EF9559DF", "Link")</f>
        <v/>
      </c>
      <c r="E72" s="3" t="n">
        <v>1376.144</v>
      </c>
      <c r="F72" s="4" t="n">
        <v>11</v>
      </c>
      <c r="G72" t="inlineStr">
        <is>
          <t>Tennis Saskatchewan</t>
        </is>
      </c>
      <c r="H72" t="inlineStr">
        <is>
          <t>Lakeshore Tennis Club</t>
        </is>
      </c>
      <c r="I72" t="n">
        <v>29.7</v>
      </c>
      <c r="J72" s="4" t="n">
        <v>196</v>
      </c>
      <c r="K72" t="inlineStr">
        <is>
          <t>85 / 111</t>
        </is>
      </c>
      <c r="L72" t="inlineStr">
        <is>
          <t>27 / 22</t>
        </is>
      </c>
      <c r="M72" s="5" t="n">
        <v>0.43</v>
      </c>
      <c r="N72" s="5" t="n">
        <v>0.55</v>
      </c>
    </row>
    <row r="73">
      <c r="A73" t="n">
        <v>72</v>
      </c>
      <c r="B73" t="n">
        <v>2014</v>
      </c>
      <c r="C73" t="inlineStr">
        <is>
          <t>Emma Allen</t>
        </is>
      </c>
      <c r="D73">
        <f>HYPERLINK("https://ota.tournamentsoftware.com/player-profile/5640B61E-0EE7-4BB3-ABC3-AD9CB508E4E9", "Link")</f>
        <v/>
      </c>
      <c r="E73" s="3" t="n">
        <v>1351.651</v>
      </c>
      <c r="F73" s="4" t="n">
        <v>22</v>
      </c>
      <c r="G73" t="inlineStr">
        <is>
          <t>Ontario Tennis Association</t>
        </is>
      </c>
      <c r="H73" t="inlineStr">
        <is>
          <t>Joshua Creek Golf &amp; Tennis</t>
        </is>
      </c>
      <c r="I73" t="n">
        <v>26.9</v>
      </c>
      <c r="J73" s="4" t="n">
        <v>258</v>
      </c>
      <c r="K73" t="inlineStr">
        <is>
          <t>186 / 72</t>
        </is>
      </c>
      <c r="L73" t="inlineStr">
        <is>
          <t>38 / 20</t>
        </is>
      </c>
      <c r="M73" s="5" t="n">
        <v>0.72</v>
      </c>
      <c r="N73" s="5" t="n">
        <v>0.66</v>
      </c>
    </row>
    <row r="74">
      <c r="A74" t="n">
        <v>73</v>
      </c>
      <c r="B74" t="n">
        <v>2014</v>
      </c>
      <c r="C74" t="inlineStr">
        <is>
          <t>Nanette Du</t>
        </is>
      </c>
      <c r="D74">
        <f>HYPERLINK("https://ota.tournamentsoftware.com/player-profile/53190390-CC68-4E5E-8079-A41733ADF41A", "Link")</f>
        <v/>
      </c>
      <c r="E74" s="3" t="n">
        <v>1337.773</v>
      </c>
      <c r="F74" s="4" t="n">
        <v>16</v>
      </c>
      <c r="G74" t="inlineStr">
        <is>
          <t>Ontario Tennis Association</t>
        </is>
      </c>
      <c r="H74" t="inlineStr">
        <is>
          <t>Advantage Tennis International at Veneto</t>
        </is>
      </c>
      <c r="I74" t="n">
        <v>28.1</v>
      </c>
      <c r="J74" s="4" t="n">
        <v>150</v>
      </c>
      <c r="K74" t="inlineStr">
        <is>
          <t>94 / 56</t>
        </is>
      </c>
      <c r="L74" t="inlineStr">
        <is>
          <t>28 / 12</t>
        </is>
      </c>
      <c r="M74" s="5" t="n">
        <v>0.63</v>
      </c>
      <c r="N74" s="5" t="n">
        <v>0.7</v>
      </c>
    </row>
    <row r="75">
      <c r="A75" t="n">
        <v>74</v>
      </c>
      <c r="B75" t="n">
        <v>2013</v>
      </c>
      <c r="C75" t="inlineStr">
        <is>
          <t>Charlotte Dawes</t>
        </is>
      </c>
      <c r="D75">
        <f>HYPERLINK("https://ota.tournamentsoftware.com/player-profile/F2AC6B3A-37CF-4522-9228-9A614DED4E6F", "Link")</f>
        <v/>
      </c>
      <c r="E75" s="3" t="n">
        <v>1333.136</v>
      </c>
      <c r="F75" s="4" t="n">
        <v>14</v>
      </c>
      <c r="G75" t="inlineStr">
        <is>
          <t>Tennis Alberta</t>
        </is>
      </c>
      <c r="H75" t="inlineStr">
        <is>
          <t>Osten &amp; Victor Alberta Tennis Centre</t>
        </is>
      </c>
      <c r="I75" t="n">
        <v>27.3</v>
      </c>
      <c r="J75" s="4" t="n">
        <v>225</v>
      </c>
      <c r="K75" t="inlineStr">
        <is>
          <t>112 / 113</t>
        </is>
      </c>
      <c r="L75" t="inlineStr">
        <is>
          <t>25 / 18</t>
        </is>
      </c>
      <c r="M75" s="5" t="n">
        <v>0.5</v>
      </c>
      <c r="N75" s="5" t="n">
        <v>0.58</v>
      </c>
    </row>
    <row r="76">
      <c r="A76" t="n">
        <v>75</v>
      </c>
      <c r="B76" t="n">
        <v>2012</v>
      </c>
      <c r="C76" t="inlineStr">
        <is>
          <t>Emilie Chen</t>
        </is>
      </c>
      <c r="D76">
        <f>HYPERLINK("https://ota.tournamentsoftware.com/player-profile/829AD033-5D37-4AE8-9F34-8C50F25B20C3", "Link")</f>
        <v/>
      </c>
      <c r="E76" s="3" t="n">
        <v>1288.491</v>
      </c>
      <c r="F76" s="4" t="n">
        <v>13</v>
      </c>
      <c r="G76" t="inlineStr">
        <is>
          <t>Ontario Tennis Association</t>
        </is>
      </c>
      <c r="H76" t="inlineStr">
        <is>
          <t>Toronto Cricket Skating &amp; Curling</t>
        </is>
      </c>
      <c r="I76" t="n">
        <v>26.2</v>
      </c>
      <c r="J76" s="4" t="n">
        <v>214</v>
      </c>
      <c r="K76" t="inlineStr">
        <is>
          <t>89 / 125</t>
        </is>
      </c>
      <c r="L76" t="inlineStr">
        <is>
          <t>12 / 13</t>
        </is>
      </c>
      <c r="M76" s="5" t="n">
        <v>0.42</v>
      </c>
      <c r="N76" s="5" t="n">
        <v>0.48</v>
      </c>
    </row>
    <row r="77">
      <c r="A77" t="n">
        <v>76</v>
      </c>
      <c r="B77" t="n">
        <v>2013</v>
      </c>
      <c r="C77" t="inlineStr">
        <is>
          <t>Iris Fu</t>
        </is>
      </c>
      <c r="D77">
        <f>HYPERLINK("https://ota.tournamentsoftware.com/player-profile/0A3A4B5A-8950-4E67-BAA9-3F132754A3FD", "Link")</f>
        <v/>
      </c>
      <c r="E77" s="3" t="n">
        <v>1233.045</v>
      </c>
      <c r="F77" s="4" t="n">
        <v>16</v>
      </c>
      <c r="G77" t="inlineStr">
        <is>
          <t>Ontario Tennis Association</t>
        </is>
      </c>
      <c r="H77" t="inlineStr">
        <is>
          <t>Premier Racquet Clubs – Mississauga</t>
        </is>
      </c>
      <c r="I77" t="inlineStr">
        <is>
          <t>unavailable</t>
        </is>
      </c>
      <c r="J77" s="4" t="n">
        <v>240</v>
      </c>
      <c r="K77" t="inlineStr">
        <is>
          <t>138 / 102</t>
        </is>
      </c>
      <c r="L77" t="inlineStr">
        <is>
          <t>23 / 12</t>
        </is>
      </c>
      <c r="M77" s="5" t="n">
        <v>0.57</v>
      </c>
      <c r="N77" s="5" t="n">
        <v>0.66</v>
      </c>
    </row>
    <row r="78">
      <c r="A78" t="n">
        <v>77</v>
      </c>
      <c r="B78" t="n">
        <v>2013</v>
      </c>
      <c r="C78" t="inlineStr">
        <is>
          <t>Adèle Juneau</t>
        </is>
      </c>
      <c r="D78">
        <f>HYPERLINK("https://ota.tournamentsoftware.com/player-profile/3A8C3EB0-444C-4108-A91E-FC74701A660D", "Link")</f>
        <v/>
      </c>
      <c r="E78" s="3" t="n">
        <v>1231.347</v>
      </c>
      <c r="F78" s="4" t="n">
        <v>16</v>
      </c>
      <c r="G78" t="inlineStr">
        <is>
          <t>Tennis Québec</t>
        </is>
      </c>
      <c r="H78" t="inlineStr">
        <is>
          <t>Tennis 13 / Académie Ménard et associé</t>
        </is>
      </c>
      <c r="I78" t="n">
        <v>25.5</v>
      </c>
      <c r="J78" s="4" t="n">
        <v>335</v>
      </c>
      <c r="K78" t="inlineStr">
        <is>
          <t>187 / 148</t>
        </is>
      </c>
      <c r="L78" t="inlineStr">
        <is>
          <t>19 / 23</t>
        </is>
      </c>
      <c r="M78" s="5" t="n">
        <v>0.5600000000000001</v>
      </c>
      <c r="N78" s="5" t="n">
        <v>0.45</v>
      </c>
    </row>
    <row r="79">
      <c r="A79" t="n">
        <v>78</v>
      </c>
      <c r="B79" t="n">
        <v>2012</v>
      </c>
      <c r="C79" t="inlineStr">
        <is>
          <t>Alessia Lungu</t>
        </is>
      </c>
      <c r="D79">
        <f>HYPERLINK("https://ota.tournamentsoftware.com/player-profile/99FF719F-9C8F-4394-BE76-5455D457977A", "Link")</f>
        <v/>
      </c>
      <c r="E79" s="3" t="n">
        <v>1212.805</v>
      </c>
      <c r="F79" s="4" t="n">
        <v>10</v>
      </c>
      <c r="G79" t="inlineStr">
        <is>
          <t>Ontario Tennis Association</t>
        </is>
      </c>
      <c r="H79" t="inlineStr">
        <is>
          <t>Joshua Creek Golf &amp; Tennis</t>
        </is>
      </c>
      <c r="I79" t="n">
        <v>23.2</v>
      </c>
      <c r="J79" s="4" t="n">
        <v>181</v>
      </c>
      <c r="K79" t="inlineStr">
        <is>
          <t>116 / 65</t>
        </is>
      </c>
      <c r="L79" t="inlineStr">
        <is>
          <t>5 / 3</t>
        </is>
      </c>
      <c r="M79" s="5" t="n">
        <v>0.64</v>
      </c>
      <c r="N79" s="5" t="n">
        <v>0.62</v>
      </c>
    </row>
    <row r="80">
      <c r="A80" t="n">
        <v>79</v>
      </c>
      <c r="B80" t="n">
        <v>2014</v>
      </c>
      <c r="C80" t="inlineStr">
        <is>
          <t>Naella Sehic</t>
        </is>
      </c>
      <c r="D80">
        <f>HYPERLINK("https://ota.tournamentsoftware.com/player-profile/C86BA5BA-97F0-463B-BBE7-6A41452E0D47", "Link")</f>
        <v/>
      </c>
      <c r="E80" s="3" t="n">
        <v>1206.241</v>
      </c>
      <c r="F80" s="4" t="n">
        <v>20</v>
      </c>
      <c r="G80" t="inlineStr">
        <is>
          <t>Tennis Québec</t>
        </is>
      </c>
      <c r="H80" t="inlineStr">
        <is>
          <t>Tennis Ile- des- Soeurs</t>
        </is>
      </c>
      <c r="I80" t="n">
        <v>25.9</v>
      </c>
      <c r="J80" s="4" t="n">
        <v>298</v>
      </c>
      <c r="K80" t="inlineStr">
        <is>
          <t>183 / 115</t>
        </is>
      </c>
      <c r="L80" t="inlineStr">
        <is>
          <t>48 / 16</t>
        </is>
      </c>
      <c r="M80" s="5" t="n">
        <v>0.61</v>
      </c>
      <c r="N80" s="5" t="n">
        <v>0.75</v>
      </c>
    </row>
    <row r="81">
      <c r="A81" t="n">
        <v>80</v>
      </c>
      <c r="B81" t="n">
        <v>2014</v>
      </c>
      <c r="C81" t="inlineStr">
        <is>
          <t>Ruoran Hou</t>
        </is>
      </c>
      <c r="D81">
        <f>HYPERLINK("https://ota.tournamentsoftware.com/player-profile/01D9A845-667C-4EDB-ABF5-CFE1C5418675", "Link")</f>
        <v/>
      </c>
      <c r="E81" s="3" t="n">
        <v>1181.094</v>
      </c>
      <c r="F81" s="4" t="n">
        <v>15</v>
      </c>
      <c r="G81" t="inlineStr">
        <is>
          <t>Tennis Nova Scotia</t>
        </is>
      </c>
      <c r="H81" t="inlineStr">
        <is>
          <t>Atlantic Tennis Centre</t>
        </is>
      </c>
      <c r="I81" t="n">
        <v>29.5</v>
      </c>
      <c r="J81" s="4" t="n">
        <v>236</v>
      </c>
      <c r="K81" t="inlineStr">
        <is>
          <t>136 / 100</t>
        </is>
      </c>
      <c r="L81" t="inlineStr">
        <is>
          <t>38 / 27</t>
        </is>
      </c>
      <c r="M81" s="5" t="n">
        <v>0.58</v>
      </c>
      <c r="N81" s="5" t="n">
        <v>0.58</v>
      </c>
    </row>
    <row r="82">
      <c r="A82" t="n">
        <v>81</v>
      </c>
      <c r="B82" t="n">
        <v>2012</v>
      </c>
      <c r="C82" t="inlineStr">
        <is>
          <t>Ashlee Hanul Yoo</t>
        </is>
      </c>
      <c r="D82">
        <f>HYPERLINK("https://ota.tournamentsoftware.com/player-profile/BA09F220-C66B-4A96-9C0C-1BEE71ADDA56", "Link")</f>
        <v/>
      </c>
      <c r="E82" s="3" t="n">
        <v>1170.503</v>
      </c>
      <c r="F82" s="4" t="n">
        <v>13</v>
      </c>
      <c r="G82" t="inlineStr">
        <is>
          <t>British Columbia</t>
        </is>
      </c>
      <c r="H82" t="inlineStr">
        <is>
          <t>No Club</t>
        </is>
      </c>
      <c r="I82" t="inlineStr">
        <is>
          <t>unavailable</t>
        </is>
      </c>
      <c r="J82" s="4" t="n">
        <v>205</v>
      </c>
      <c r="K82" t="inlineStr">
        <is>
          <t>109 / 96</t>
        </is>
      </c>
      <c r="L82" t="inlineStr">
        <is>
          <t>18 / 18</t>
        </is>
      </c>
      <c r="M82" s="5" t="n">
        <v>0.53</v>
      </c>
      <c r="N82" s="5" t="n">
        <v>0.5</v>
      </c>
    </row>
    <row r="83">
      <c r="A83" t="n">
        <v>82</v>
      </c>
      <c r="B83" t="n">
        <v>2013</v>
      </c>
      <c r="C83" t="inlineStr">
        <is>
          <t>Halo Boyu Li</t>
        </is>
      </c>
      <c r="D83">
        <f>HYPERLINK("https://ota.tournamentsoftware.com/player-profile/42371346-12B9-439B-B9EB-FB5DD0ABCB73", "Link")</f>
        <v/>
      </c>
      <c r="E83" s="3" t="n">
        <v>1165.149</v>
      </c>
      <c r="F83" s="4" t="n">
        <v>11</v>
      </c>
      <c r="G83" t="inlineStr">
        <is>
          <t>Tennis Saskatchewan</t>
        </is>
      </c>
      <c r="H83" t="inlineStr">
        <is>
          <t>No Club</t>
        </is>
      </c>
      <c r="I83" t="n">
        <v>31</v>
      </c>
      <c r="J83" s="4" t="n">
        <v>181</v>
      </c>
      <c r="K83" t="inlineStr">
        <is>
          <t>79 / 102</t>
        </is>
      </c>
      <c r="L83" t="inlineStr">
        <is>
          <t>29 / 27</t>
        </is>
      </c>
      <c r="M83" s="5" t="n">
        <v>0.44</v>
      </c>
      <c r="N83" s="5" t="n">
        <v>0.52</v>
      </c>
    </row>
    <row r="84">
      <c r="A84" t="n">
        <v>83</v>
      </c>
      <c r="B84" t="n">
        <v>2012</v>
      </c>
      <c r="C84" t="inlineStr">
        <is>
          <t>Alexsandra Stanislavksy</t>
        </is>
      </c>
      <c r="D84">
        <f>HYPERLINK("https://ota.tournamentsoftware.com/player-profile/A067EDC1-6B71-4023-8C13-88CA87AA808B", "Link")</f>
        <v/>
      </c>
      <c r="E84" s="3" t="n">
        <v>1142.629</v>
      </c>
      <c r="F84" s="4" t="n">
        <v>30</v>
      </c>
      <c r="G84" t="inlineStr">
        <is>
          <t>Ontario Tennis Association</t>
        </is>
      </c>
      <c r="H84" t="inlineStr">
        <is>
          <t>No Club</t>
        </is>
      </c>
      <c r="I84" t="n">
        <v>28.8</v>
      </c>
      <c r="J84" s="4" t="n">
        <v>192</v>
      </c>
      <c r="K84" t="inlineStr">
        <is>
          <t>86 / 106</t>
        </is>
      </c>
      <c r="L84" t="inlineStr">
        <is>
          <t>23 / 25</t>
        </is>
      </c>
      <c r="M84" s="5" t="n">
        <v>0.45</v>
      </c>
      <c r="N84" s="5" t="n">
        <v>0.48</v>
      </c>
    </row>
    <row r="85">
      <c r="A85" t="n">
        <v>84</v>
      </c>
      <c r="B85" t="n">
        <v>2013</v>
      </c>
      <c r="C85" t="inlineStr">
        <is>
          <t>Chloé Normandin</t>
        </is>
      </c>
      <c r="D85">
        <f>HYPERLINK("https://ota.tournamentsoftware.com/player-profile/A22608C6-6D99-476C-9EC7-9A31F3CACB0A", "Link")</f>
        <v/>
      </c>
      <c r="E85" s="3" t="n">
        <v>1139.173</v>
      </c>
      <c r="F85" s="4" t="n">
        <v>23</v>
      </c>
      <c r="G85" t="inlineStr">
        <is>
          <t>Tennis Québec</t>
        </is>
      </c>
      <c r="H85" t="inlineStr">
        <is>
          <t>Tennis Ile- des- Soeurs</t>
        </is>
      </c>
      <c r="I85" t="n">
        <v>26.8</v>
      </c>
      <c r="J85" s="4" t="n">
        <v>268</v>
      </c>
      <c r="K85" t="inlineStr">
        <is>
          <t>147 / 121</t>
        </is>
      </c>
      <c r="L85" t="inlineStr">
        <is>
          <t>37 / 21</t>
        </is>
      </c>
      <c r="M85" s="5" t="n">
        <v>0.55</v>
      </c>
      <c r="N85" s="5" t="n">
        <v>0.64</v>
      </c>
    </row>
    <row r="86">
      <c r="A86" t="n">
        <v>85</v>
      </c>
      <c r="B86" t="n">
        <v>2012</v>
      </c>
      <c r="C86" t="inlineStr">
        <is>
          <t>Kate Louise Violet Dee</t>
        </is>
      </c>
      <c r="D86">
        <f>HYPERLINK("https://ota.tournamentsoftware.com/player-profile/807F7468-99D8-4717-B3DF-3F2ED69EFA0A", "Link")</f>
        <v/>
      </c>
      <c r="E86" s="3" t="n">
        <v>1135.533</v>
      </c>
      <c r="F86" s="4" t="n">
        <v>11</v>
      </c>
      <c r="G86" t="inlineStr">
        <is>
          <t>British Columbia</t>
        </is>
      </c>
      <c r="H86" t="inlineStr">
        <is>
          <t>North Vancouver Tennis Centre</t>
        </is>
      </c>
      <c r="I86" t="n">
        <v>25.8</v>
      </c>
      <c r="J86" s="4" t="n">
        <v>244</v>
      </c>
      <c r="K86" t="inlineStr">
        <is>
          <t>136 / 108</t>
        </is>
      </c>
      <c r="L86" t="inlineStr">
        <is>
          <t>14 / 16</t>
        </is>
      </c>
      <c r="M86" s="5" t="n">
        <v>0.5600000000000001</v>
      </c>
      <c r="N86" s="5" t="n">
        <v>0.47</v>
      </c>
    </row>
    <row r="87">
      <c r="A87" t="n">
        <v>86</v>
      </c>
      <c r="B87" t="n">
        <v>2012</v>
      </c>
      <c r="C87" t="inlineStr">
        <is>
          <t>Adrienne Keaton Nelson</t>
        </is>
      </c>
      <c r="D87">
        <f>HYPERLINK("https://ota.tournamentsoftware.com/player-profile/1D977DD3-331D-4977-B4D6-E3202A6C56BD", "Link")</f>
        <v/>
      </c>
      <c r="E87" s="3" t="n">
        <v>1117.411</v>
      </c>
      <c r="F87" s="4" t="n">
        <v>42</v>
      </c>
      <c r="G87" t="inlineStr">
        <is>
          <t>Ontario Tennis Association</t>
        </is>
      </c>
      <c r="H87" t="inlineStr">
        <is>
          <t>Blackmore Tennis Club</t>
        </is>
      </c>
      <c r="I87" t="n">
        <v>27</v>
      </c>
      <c r="J87" s="4" t="n">
        <v>233</v>
      </c>
      <c r="K87" t="inlineStr">
        <is>
          <t>114 / 119</t>
        </is>
      </c>
      <c r="L87" t="inlineStr">
        <is>
          <t>28 / 24</t>
        </is>
      </c>
      <c r="M87" s="5" t="n">
        <v>0.49</v>
      </c>
      <c r="N87" s="5" t="n">
        <v>0.54</v>
      </c>
    </row>
    <row r="88">
      <c r="A88" t="n">
        <v>87</v>
      </c>
      <c r="B88" t="n">
        <v>2013</v>
      </c>
      <c r="C88" t="inlineStr">
        <is>
          <t>Cindy Liu</t>
        </is>
      </c>
      <c r="D88">
        <f>HYPERLINK("https://ota.tournamentsoftware.com/player-profile/89018759-835F-4CE0-A297-3449F2A42D00", "Link")</f>
        <v/>
      </c>
      <c r="E88" s="3" t="n">
        <v>1113.273</v>
      </c>
      <c r="F88" s="4" t="n">
        <v>23</v>
      </c>
      <c r="G88" t="inlineStr">
        <is>
          <t>British Columbia</t>
        </is>
      </c>
      <c r="H88" t="inlineStr">
        <is>
          <t>The Tennis Centre</t>
        </is>
      </c>
      <c r="I88" t="n">
        <v>25.8</v>
      </c>
      <c r="J88" s="4" t="n">
        <v>197</v>
      </c>
      <c r="K88" t="inlineStr">
        <is>
          <t>104 / 93</t>
        </is>
      </c>
      <c r="L88" t="inlineStr">
        <is>
          <t>34 / 20</t>
        </is>
      </c>
      <c r="M88" s="5" t="n">
        <v>0.53</v>
      </c>
      <c r="N88" s="5" t="n">
        <v>0.63</v>
      </c>
    </row>
    <row r="89">
      <c r="A89" t="n">
        <v>88</v>
      </c>
      <c r="B89" t="n">
        <v>2012</v>
      </c>
      <c r="C89" t="inlineStr">
        <is>
          <t>Olivia Escobar</t>
        </is>
      </c>
      <c r="D89">
        <f>HYPERLINK("https://ota.tournamentsoftware.com/player-profile/9E3A15EA-D947-4048-B7A7-6C2437D34132", "Link")</f>
        <v/>
      </c>
      <c r="E89" s="3" t="n">
        <v>1109.116</v>
      </c>
      <c r="F89" s="4" t="n">
        <v>36</v>
      </c>
      <c r="G89" t="inlineStr">
        <is>
          <t>Tennis Québec</t>
        </is>
      </c>
      <c r="H89" t="inlineStr">
        <is>
          <t>Tennis Ile- des- Soeurs</t>
        </is>
      </c>
      <c r="I89" t="n">
        <v>26.8</v>
      </c>
      <c r="J89" s="4" t="n">
        <v>345</v>
      </c>
      <c r="K89" t="inlineStr">
        <is>
          <t>131 / 214</t>
        </is>
      </c>
      <c r="L89" t="inlineStr">
        <is>
          <t>19 / 23</t>
        </is>
      </c>
      <c r="M89" s="5" t="n">
        <v>0.38</v>
      </c>
      <c r="N89" s="5" t="n">
        <v>0.45</v>
      </c>
    </row>
    <row r="90">
      <c r="A90" t="n">
        <v>89</v>
      </c>
      <c r="B90" t="n">
        <v>2015</v>
      </c>
      <c r="C90" t="inlineStr">
        <is>
          <t>Sofia Tabunshchyk</t>
        </is>
      </c>
      <c r="D90">
        <f>HYPERLINK("https://ota.tournamentsoftware.com/player-profile/3714FE82-9045-425F-937B-7104A43D57F9", "Link")</f>
        <v/>
      </c>
      <c r="E90" s="3" t="n">
        <v>1098.18</v>
      </c>
      <c r="F90" s="4" t="n">
        <v>39</v>
      </c>
      <c r="G90" t="inlineStr">
        <is>
          <t>Ontario Tennis Association</t>
        </is>
      </c>
      <c r="H90" t="inlineStr">
        <is>
          <t>ACE Tennis - Burlington</t>
        </is>
      </c>
      <c r="I90" t="inlineStr">
        <is>
          <t>unavailable</t>
        </is>
      </c>
      <c r="J90" s="4" t="n">
        <v>327</v>
      </c>
      <c r="K90" t="inlineStr">
        <is>
          <t>163 / 164</t>
        </is>
      </c>
      <c r="L90" t="inlineStr">
        <is>
          <t>53 / 28</t>
        </is>
      </c>
      <c r="M90" s="5" t="n">
        <v>0.5</v>
      </c>
      <c r="N90" s="5" t="n">
        <v>0.65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19</v>
      </c>
      <c r="G91" t="inlineStr">
        <is>
          <t>Tennis Alberta</t>
        </is>
      </c>
      <c r="H91" t="inlineStr">
        <is>
          <t>Saville Community Sports Centre</t>
        </is>
      </c>
      <c r="I91" t="n">
        <v>26.5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30</v>
      </c>
      <c r="G92" t="inlineStr">
        <is>
          <t>Ontario Tennis Association</t>
        </is>
      </c>
      <c r="H92" t="inlineStr">
        <is>
          <t>Blackmore Tennis Club</t>
        </is>
      </c>
      <c r="I92" t="n">
        <v>30.4</v>
      </c>
      <c r="J92" s="4" t="n">
        <v>218</v>
      </c>
      <c r="K92" t="inlineStr">
        <is>
          <t>124 / 94</t>
        </is>
      </c>
      <c r="L92" t="inlineStr">
        <is>
          <t>33 / 20</t>
        </is>
      </c>
      <c r="M92" s="5" t="n">
        <v>0.57</v>
      </c>
      <c r="N92" s="5" t="n">
        <v>0.62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19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2014</v>
      </c>
      <c r="C95" t="inlineStr">
        <is>
          <t>Victoria Markova</t>
        </is>
      </c>
      <c r="D95">
        <f>HYPERLINK("https://ota.tournamentsoftware.com/player-profile/DE909631-ADF4-4157-ABE4-0097B95C4307", "Link")</f>
        <v/>
      </c>
      <c r="E95" s="3" t="n">
        <v>1059.342</v>
      </c>
      <c r="F95" s="4" t="n">
        <v>24</v>
      </c>
      <c r="G95" t="inlineStr">
        <is>
          <t>Tennis Québec</t>
        </is>
      </c>
      <c r="H95" t="inlineStr">
        <is>
          <t>Carrefour Multisports</t>
        </is>
      </c>
      <c r="I95" t="n">
        <v>28.8</v>
      </c>
      <c r="J95" s="4" t="n">
        <v>228</v>
      </c>
      <c r="K95" t="inlineStr">
        <is>
          <t>126 / 102</t>
        </is>
      </c>
      <c r="L95" t="inlineStr">
        <is>
          <t>41 / 25</t>
        </is>
      </c>
      <c r="M95" s="5" t="n">
        <v>0.55</v>
      </c>
      <c r="N95" s="5" t="n">
        <v>0.62</v>
      </c>
    </row>
    <row r="96">
      <c r="A96" t="n">
        <v>95</v>
      </c>
      <c r="B96" t="n">
        <v>2014</v>
      </c>
      <c r="C96" t="inlineStr">
        <is>
          <t>JOANNA QIHENG FEI</t>
        </is>
      </c>
      <c r="D96">
        <f>HYPERLINK("https://ota.tournamentsoftware.com/player-profile/1DD48A17-96B6-42F9-8D67-EE4CBF6DFA95", "Link")</f>
        <v/>
      </c>
      <c r="E96" s="3" t="n">
        <v>1051.658</v>
      </c>
      <c r="F96" s="4" t="n">
        <v>20</v>
      </c>
      <c r="G96" t="inlineStr">
        <is>
          <t>British Columbia</t>
        </is>
      </c>
      <c r="H96" t="inlineStr">
        <is>
          <t>Richmond Country Club</t>
        </is>
      </c>
      <c r="I96" t="n">
        <v>25.5</v>
      </c>
      <c r="J96" s="4" t="n">
        <v>268</v>
      </c>
      <c r="K96" t="inlineStr">
        <is>
          <t>133 / 135</t>
        </is>
      </c>
      <c r="L96" t="inlineStr">
        <is>
          <t>40 / 19</t>
        </is>
      </c>
      <c r="M96" s="5" t="n">
        <v>0.5</v>
      </c>
      <c r="N96" s="5" t="n">
        <v>0.68</v>
      </c>
    </row>
    <row r="97">
      <c r="A97" t="n">
        <v>96</v>
      </c>
      <c r="B97" t="n">
        <v>2012</v>
      </c>
      <c r="C97" t="inlineStr">
        <is>
          <t>Margarita Ter-Grigoryan</t>
        </is>
      </c>
      <c r="D97">
        <f>HYPERLINK("https://ota.tournamentsoftware.com/player-profile/A86B3E87-30AA-4D57-86CF-572CF663421E", "Link")</f>
        <v/>
      </c>
      <c r="E97" s="3" t="n">
        <v>1020.42</v>
      </c>
      <c r="F97" s="4" t="n">
        <v>14</v>
      </c>
      <c r="G97" t="inlineStr">
        <is>
          <t>Tennis Saskatchewan</t>
        </is>
      </c>
      <c r="H97" t="inlineStr">
        <is>
          <t>No Club</t>
        </is>
      </c>
      <c r="I97" t="n">
        <v>29.9</v>
      </c>
      <c r="J97" s="4" t="n">
        <v>130</v>
      </c>
      <c r="K97" t="inlineStr">
        <is>
          <t>70 / 60</t>
        </is>
      </c>
      <c r="L97" t="inlineStr">
        <is>
          <t>30 / 30</t>
        </is>
      </c>
      <c r="M97" s="5" t="n">
        <v>0.54</v>
      </c>
      <c r="N97" s="5" t="n">
        <v>0.5</v>
      </c>
    </row>
    <row r="98">
      <c r="A98" t="n">
        <v>97</v>
      </c>
      <c r="B98" t="n">
        <v>2012</v>
      </c>
      <c r="C98" t="inlineStr">
        <is>
          <t>Maia-Alexandra Popa</t>
        </is>
      </c>
      <c r="D98">
        <f>HYPERLINK("https://ota.tournamentsoftware.com/player-profile/1D5E0C32-9DDE-4B44-ADF9-FDB75BF638BC", "Link")</f>
        <v/>
      </c>
      <c r="E98" s="3" t="n">
        <v>992.261</v>
      </c>
      <c r="F98" s="4" t="n">
        <v>22</v>
      </c>
      <c r="G98" t="inlineStr">
        <is>
          <t>Ontario Tennis Association</t>
        </is>
      </c>
      <c r="H98" t="inlineStr">
        <is>
          <t>No Club</t>
        </is>
      </c>
      <c r="I98" t="n">
        <v>26.3</v>
      </c>
      <c r="J98" s="4" t="n">
        <v>205</v>
      </c>
      <c r="K98" t="inlineStr">
        <is>
          <t>108 / 97</t>
        </is>
      </c>
      <c r="L98" t="inlineStr">
        <is>
          <t>26 / 12</t>
        </is>
      </c>
      <c r="M98" s="5" t="n">
        <v>0.53</v>
      </c>
      <c r="N98" s="5" t="n">
        <v>0.68</v>
      </c>
    </row>
    <row r="99">
      <c r="A99" t="n">
        <v>98</v>
      </c>
      <c r="B99" t="n">
        <v>2013</v>
      </c>
      <c r="C99" t="inlineStr">
        <is>
          <t>Aubrianna Ellen York</t>
        </is>
      </c>
      <c r="D99">
        <f>HYPERLINK("https://ota.tournamentsoftware.com/player-profile/FDFD6FEF-AD8B-4B1E-ADE3-15417E1BCF05", "Link")</f>
        <v/>
      </c>
      <c r="E99" s="3" t="n">
        <v>970.944</v>
      </c>
      <c r="F99" s="4" t="n">
        <v>18</v>
      </c>
      <c r="G99" t="inlineStr">
        <is>
          <t>Tennis Alberta</t>
        </is>
      </c>
      <c r="H99" t="inlineStr">
        <is>
          <t>Aforza</t>
        </is>
      </c>
      <c r="I99" t="n">
        <v>28.1</v>
      </c>
      <c r="J99" s="4" t="n">
        <v>214</v>
      </c>
      <c r="K99" t="inlineStr">
        <is>
          <t>113 / 101</t>
        </is>
      </c>
      <c r="L99" t="inlineStr">
        <is>
          <t>28 / 19</t>
        </is>
      </c>
      <c r="M99" s="5" t="n">
        <v>0.53</v>
      </c>
      <c r="N99" s="5" t="n">
        <v>0.6</v>
      </c>
    </row>
    <row r="100">
      <c r="A100" t="n">
        <v>99</v>
      </c>
      <c r="B100" t="n">
        <v>2012</v>
      </c>
      <c r="C100" t="inlineStr">
        <is>
          <t>Chloe Lou Friesen</t>
        </is>
      </c>
      <c r="D100">
        <f>HYPERLINK("https://ota.tournamentsoftware.com/player-profile/A0A11672-F1E8-4BD3-A43A-BB82984EDDA5", "Link")</f>
        <v/>
      </c>
      <c r="E100" s="3" t="n">
        <v>959.691</v>
      </c>
      <c r="F100" s="4" t="n">
        <v>17</v>
      </c>
      <c r="G100" t="inlineStr">
        <is>
          <t>British Columbia</t>
        </is>
      </c>
      <c r="H100" t="inlineStr">
        <is>
          <t>Vancouver Lawn Tennis and Badminton Club</t>
        </is>
      </c>
      <c r="I100" t="n">
        <v>26</v>
      </c>
      <c r="J100" s="4" t="n">
        <v>235</v>
      </c>
      <c r="K100" t="inlineStr">
        <is>
          <t>129 / 106</t>
        </is>
      </c>
      <c r="L100" t="inlineStr">
        <is>
          <t>24 / 16</t>
        </is>
      </c>
      <c r="M100" s="5" t="n">
        <v>0.55</v>
      </c>
      <c r="N100" s="5" t="n">
        <v>0.6</v>
      </c>
    </row>
    <row r="101">
      <c r="A101" t="n">
        <v>100</v>
      </c>
      <c r="B101" t="n">
        <v>2015</v>
      </c>
      <c r="C101" t="inlineStr">
        <is>
          <t>Evelyn J.C. Liu</t>
        </is>
      </c>
      <c r="D101">
        <f>HYPERLINK("https://ota.tournamentsoftware.com/player-profile/193F9EEB-1528-48A2-A0D8-C6448E62254A", "Link")</f>
        <v/>
      </c>
      <c r="E101" s="3" t="n">
        <v>945.349</v>
      </c>
      <c r="F101" s="4" t="n">
        <v>18</v>
      </c>
      <c r="G101" t="inlineStr">
        <is>
          <t>British Columbia</t>
        </is>
      </c>
      <c r="H101" t="inlineStr">
        <is>
          <t>Vancouver Lawn Tennis and Badminton Club</t>
        </is>
      </c>
      <c r="I101" t="n">
        <v>26.9</v>
      </c>
      <c r="J101" s="4" t="n">
        <v>271</v>
      </c>
      <c r="K101" t="inlineStr">
        <is>
          <t>152 / 119</t>
        </is>
      </c>
      <c r="L101" t="inlineStr">
        <is>
          <t>41 / 22</t>
        </is>
      </c>
      <c r="M101" s="5" t="n">
        <v>0.5600000000000001</v>
      </c>
      <c r="N101" s="5" t="n">
        <v>0.65</v>
      </c>
    </row>
    <row r="102">
      <c r="A102" t="n">
        <v>101</v>
      </c>
      <c r="B102" t="n">
        <v>2015</v>
      </c>
      <c r="C102" t="inlineStr">
        <is>
          <t>Aahana Guha</t>
        </is>
      </c>
      <c r="D102">
        <f>HYPERLINK("https://ota.tournamentsoftware.com/player-profile/B6BFAEC0-924F-4635-B45C-E700061D4B03", "Link")</f>
        <v/>
      </c>
      <c r="E102" s="3" t="n">
        <v>944.747</v>
      </c>
      <c r="F102" s="4" t="n">
        <v>12</v>
      </c>
      <c r="G102" t="inlineStr">
        <is>
          <t>Tennis Saskatchewan</t>
        </is>
      </c>
      <c r="H102" t="inlineStr">
        <is>
          <t>Lakeshore Tennis Club</t>
        </is>
      </c>
      <c r="I102" t="n">
        <v>30.8</v>
      </c>
      <c r="J102" s="4" t="n">
        <v>171</v>
      </c>
      <c r="K102" t="inlineStr">
        <is>
          <t>90 / 81</t>
        </is>
      </c>
      <c r="L102" t="inlineStr">
        <is>
          <t>34 / 23</t>
        </is>
      </c>
      <c r="M102" s="5" t="n">
        <v>0.53</v>
      </c>
      <c r="N102" s="5" t="n">
        <v>0.6</v>
      </c>
    </row>
    <row r="103">
      <c r="A103" t="n">
        <v>102</v>
      </c>
      <c r="B103" t="n">
        <v>2012</v>
      </c>
      <c r="C103" t="inlineStr">
        <is>
          <t>Laura Patsynka</t>
        </is>
      </c>
      <c r="D103">
        <f>HYPERLINK("https://ota.tournamentsoftware.com/player-profile/49340E93-6E30-4683-9E0F-4D50A1C584F1", "Link")</f>
        <v/>
      </c>
      <c r="E103" s="3" t="n">
        <v>932.872</v>
      </c>
      <c r="F103" s="4" t="n">
        <v>29</v>
      </c>
      <c r="G103" t="inlineStr">
        <is>
          <t>Ontario Tennis Association</t>
        </is>
      </c>
      <c r="H103" t="inlineStr">
        <is>
          <t>SmartVMC Racquetsports by ACE</t>
        </is>
      </c>
      <c r="I103" t="inlineStr">
        <is>
          <t>unavailable</t>
        </is>
      </c>
      <c r="J103" s="4" t="n">
        <v>197</v>
      </c>
      <c r="K103" t="inlineStr">
        <is>
          <t>79 / 118</t>
        </is>
      </c>
      <c r="L103" t="inlineStr">
        <is>
          <t>10 / 19</t>
        </is>
      </c>
      <c r="M103" s="5" t="n">
        <v>0.4</v>
      </c>
      <c r="N103" s="5" t="n">
        <v>0.34</v>
      </c>
    </row>
    <row r="104">
      <c r="A104" t="n">
        <v>103</v>
      </c>
      <c r="B104" t="n">
        <v>2013</v>
      </c>
      <c r="C104" t="inlineStr">
        <is>
          <t>Akshara Bavanaka</t>
        </is>
      </c>
      <c r="D104">
        <f>HYPERLINK("https://ota.tournamentsoftware.com/player-profile/DB56F65D-8A18-4169-BE31-18F89B25E14B", "Link")</f>
        <v/>
      </c>
      <c r="E104" s="3" t="n">
        <v>897.643</v>
      </c>
      <c r="F104" s="4" t="n">
        <v>37</v>
      </c>
      <c r="G104" t="inlineStr">
        <is>
          <t>Ontario Tennis Association</t>
        </is>
      </c>
      <c r="H104" t="inlineStr">
        <is>
          <t>Advantage Tennis International at Veneto</t>
        </is>
      </c>
      <c r="I104" t="n">
        <v>30</v>
      </c>
      <c r="J104" s="4" t="n">
        <v>233</v>
      </c>
      <c r="K104" t="inlineStr">
        <is>
          <t>120 / 113</t>
        </is>
      </c>
      <c r="L104" t="inlineStr">
        <is>
          <t>19 / 22</t>
        </is>
      </c>
      <c r="M104" s="5" t="n">
        <v>0.52</v>
      </c>
      <c r="N104" s="5" t="n">
        <v>0.46</v>
      </c>
    </row>
    <row r="105">
      <c r="A105" t="n">
        <v>104</v>
      </c>
      <c r="B105" t="n">
        <v>2013</v>
      </c>
      <c r="C105" t="inlineStr">
        <is>
          <t>Amelia Karapalevski</t>
        </is>
      </c>
      <c r="D105">
        <f>HYPERLINK("https://ota.tournamentsoftware.com/player-profile/FA2D2790-6EBD-4928-94F7-17F54621E2B4", "Link")</f>
        <v/>
      </c>
      <c r="E105" s="3" t="n">
        <v>896.6180000000001</v>
      </c>
      <c r="F105" s="4" t="n">
        <v>35</v>
      </c>
      <c r="G105" t="inlineStr">
        <is>
          <t>Ontario Tennis Association</t>
        </is>
      </c>
      <c r="H105" t="inlineStr">
        <is>
          <t>No Club</t>
        </is>
      </c>
      <c r="I105" t="n">
        <v>28</v>
      </c>
      <c r="J105" s="4" t="n">
        <v>219</v>
      </c>
      <c r="K105" t="inlineStr">
        <is>
          <t>127 / 92</t>
        </is>
      </c>
      <c r="L105" t="inlineStr">
        <is>
          <t>33 / 21</t>
        </is>
      </c>
      <c r="M105" s="5" t="n">
        <v>0.58</v>
      </c>
      <c r="N105" s="5" t="n">
        <v>0.61</v>
      </c>
    </row>
    <row r="106">
      <c r="A106" t="n">
        <v>105</v>
      </c>
      <c r="B106" t="n">
        <v>2013</v>
      </c>
      <c r="C106" t="inlineStr">
        <is>
          <t>Mia Nikolovska</t>
        </is>
      </c>
      <c r="D106">
        <f>HYPERLINK("https://ota.tournamentsoftware.com/player-profile/52158395-8ADB-4430-ABAA-C56A79756D09", "Link")</f>
        <v/>
      </c>
      <c r="E106" s="3" t="n">
        <v>895.96</v>
      </c>
      <c r="F106" s="4" t="n">
        <v>38</v>
      </c>
      <c r="G106" t="inlineStr">
        <is>
          <t>Ontario Tennis Association</t>
        </is>
      </c>
      <c r="H106" t="inlineStr">
        <is>
          <t>No Club</t>
        </is>
      </c>
      <c r="I106" t="inlineStr">
        <is>
          <t>unavailable</t>
        </is>
      </c>
      <c r="J106" s="4" t="n">
        <v>366</v>
      </c>
      <c r="K106" t="inlineStr">
        <is>
          <t>223 / 143</t>
        </is>
      </c>
      <c r="L106" t="inlineStr">
        <is>
          <t>33 / 22</t>
        </is>
      </c>
      <c r="M106" s="5" t="n">
        <v>0.61</v>
      </c>
      <c r="N106" s="5" t="n">
        <v>0.6</v>
      </c>
    </row>
    <row r="107">
      <c r="A107" t="n">
        <v>106</v>
      </c>
      <c r="B107" t="n">
        <v>2014</v>
      </c>
      <c r="C107" t="inlineStr">
        <is>
          <t>Qiuyue Li</t>
        </is>
      </c>
      <c r="D107">
        <f>HYPERLINK("https://ota.tournamentsoftware.com/player-profile/20DDEF60-3700-4387-8C53-C32DB7F857D4", "Link")</f>
        <v/>
      </c>
      <c r="E107" s="3" t="n">
        <v>884.4</v>
      </c>
      <c r="F107" s="4" t="n">
        <v>4</v>
      </c>
      <c r="G107" t="inlineStr">
        <is>
          <t>Ontario Tennis Association</t>
        </is>
      </c>
      <c r="H107" t="inlineStr">
        <is>
          <t>No Club</t>
        </is>
      </c>
      <c r="I107" t="n">
        <v>26.6</v>
      </c>
      <c r="J107" s="4" t="n">
        <v>26</v>
      </c>
      <c r="K107" t="inlineStr">
        <is>
          <t>24 / 2</t>
        </is>
      </c>
      <c r="L107" t="inlineStr">
        <is>
          <t>14 / 1</t>
        </is>
      </c>
      <c r="M107" s="5" t="n">
        <v>0.92</v>
      </c>
      <c r="N107" s="5" t="n">
        <v>0.93</v>
      </c>
    </row>
    <row r="108">
      <c r="A108" t="n">
        <v>107</v>
      </c>
      <c r="B108" t="n">
        <v>2015</v>
      </c>
      <c r="C108" t="inlineStr">
        <is>
          <t>Emilie Joly</t>
        </is>
      </c>
      <c r="D108">
        <f>HYPERLINK("https://ota.tournamentsoftware.com/player-profile/57736008-B9CA-4FCE-BEF6-90222787F336", "Link")</f>
        <v/>
      </c>
      <c r="E108" s="3" t="n">
        <v>865.3150000000001</v>
      </c>
      <c r="F108" s="4" t="n">
        <v>17</v>
      </c>
      <c r="G108" t="inlineStr">
        <is>
          <t>Ontario Tennis Association</t>
        </is>
      </c>
      <c r="H108" t="inlineStr">
        <is>
          <t>Kingston Racquet Centre</t>
        </is>
      </c>
      <c r="I108" t="n">
        <v>27.5</v>
      </c>
      <c r="J108" s="4" t="n">
        <v>224</v>
      </c>
      <c r="K108" t="inlineStr">
        <is>
          <t>156 / 68</t>
        </is>
      </c>
      <c r="L108" t="inlineStr">
        <is>
          <t>33 / 8</t>
        </is>
      </c>
      <c r="M108" s="5" t="n">
        <v>0.7</v>
      </c>
      <c r="N108" s="5" t="n">
        <v>0.8</v>
      </c>
    </row>
    <row r="109">
      <c r="A109" t="n">
        <v>108</v>
      </c>
      <c r="B109" t="n">
        <v>2012</v>
      </c>
      <c r="C109" t="inlineStr">
        <is>
          <t>Jaydalie Isaac</t>
        </is>
      </c>
      <c r="D109">
        <f>HYPERLINK("https://ota.tournamentsoftware.com/player-profile/A56DDC7B-03D0-424A-907D-63A363906F9A", "Link")</f>
        <v/>
      </c>
      <c r="E109" s="3" t="n">
        <v>851.111</v>
      </c>
      <c r="F109" s="4" t="n">
        <v>13</v>
      </c>
      <c r="G109" t="inlineStr">
        <is>
          <t>Tennis Québec</t>
        </is>
      </c>
      <c r="H109" t="inlineStr">
        <is>
          <t>No Club</t>
        </is>
      </c>
      <c r="I109" t="n">
        <v>28</v>
      </c>
      <c r="J109" s="4" t="n">
        <v>235</v>
      </c>
      <c r="K109" t="inlineStr">
        <is>
          <t>111 / 124</t>
        </is>
      </c>
      <c r="L109" t="inlineStr">
        <is>
          <t>21 / 12</t>
        </is>
      </c>
      <c r="M109" s="5" t="n">
        <v>0.47</v>
      </c>
      <c r="N109" s="5" t="n">
        <v>0.64</v>
      </c>
    </row>
    <row r="110">
      <c r="A110" t="n">
        <v>109</v>
      </c>
      <c r="B110" t="n">
        <v>2013</v>
      </c>
      <c r="C110" t="inlineStr">
        <is>
          <t>Jeanne Lampron</t>
        </is>
      </c>
      <c r="D110">
        <f>HYPERLINK("https://ota.tournamentsoftware.com/player-profile/DBA36429-C15E-4F24-9832-7D6BA94887C6", "Link")</f>
        <v/>
      </c>
      <c r="E110" s="3" t="n">
        <v>850.005</v>
      </c>
      <c r="F110" s="4" t="n">
        <v>25</v>
      </c>
      <c r="G110" t="inlineStr">
        <is>
          <t>Tennis Québec</t>
        </is>
      </c>
      <c r="H110" t="inlineStr">
        <is>
          <t>Tennis Montréal Excellence</t>
        </is>
      </c>
      <c r="I110" t="n">
        <v>26.7</v>
      </c>
      <c r="J110" s="4" t="n">
        <v>133</v>
      </c>
      <c r="K110" t="inlineStr">
        <is>
          <t>63 / 70</t>
        </is>
      </c>
      <c r="L110" t="inlineStr">
        <is>
          <t>28 / 23</t>
        </is>
      </c>
      <c r="M110" s="5" t="n">
        <v>0.47</v>
      </c>
      <c r="N110" s="5" t="n">
        <v>0.55</v>
      </c>
    </row>
    <row r="111">
      <c r="A111" t="n">
        <v>110</v>
      </c>
      <c r="B111" t="n">
        <v>2012</v>
      </c>
      <c r="C111" t="inlineStr">
        <is>
          <t>Estelle Kroupetski</t>
        </is>
      </c>
      <c r="D111">
        <f>HYPERLINK("https://ota.tournamentsoftware.com/player-profile/7A8D0D40-A77C-429C-81D6-05DC21DB8D28", "Link")</f>
        <v/>
      </c>
      <c r="E111" s="3" t="n">
        <v>846.264</v>
      </c>
      <c r="F111" s="4" t="n">
        <v>18</v>
      </c>
      <c r="G111" t="inlineStr">
        <is>
          <t>Ontario Tennis Association</t>
        </is>
      </c>
      <c r="H111" t="inlineStr">
        <is>
          <t>Ontario Racquet Club</t>
        </is>
      </c>
      <c r="I111" t="n">
        <v>27.9</v>
      </c>
      <c r="J111" s="4" t="n">
        <v>145</v>
      </c>
      <c r="K111" t="inlineStr">
        <is>
          <t>72 / 73</t>
        </is>
      </c>
      <c r="L111" t="inlineStr">
        <is>
          <t>28 / 11</t>
        </is>
      </c>
      <c r="M111" s="5" t="n">
        <v>0.5</v>
      </c>
      <c r="N111" s="5" t="n">
        <v>0.72</v>
      </c>
    </row>
    <row r="112">
      <c r="A112" t="n">
        <v>111</v>
      </c>
      <c r="B112" t="n">
        <v>2014</v>
      </c>
      <c r="C112" t="inlineStr">
        <is>
          <t>Thanida (Belle) Shaipanich</t>
        </is>
      </c>
      <c r="D112">
        <f>HYPERLINK("https://ota.tournamentsoftware.com/player-profile/98546C72-5CCA-44E8-AFB9-20B9D560E5E3", "Link")</f>
        <v/>
      </c>
      <c r="E112" s="3" t="n">
        <v>835.515</v>
      </c>
      <c r="F112" s="4" t="n">
        <v>15</v>
      </c>
      <c r="G112" t="inlineStr">
        <is>
          <t>British Columbia</t>
        </is>
      </c>
      <c r="H112" t="inlineStr">
        <is>
          <t>UBC Tennis Centre</t>
        </is>
      </c>
      <c r="I112" t="n">
        <v>27.7</v>
      </c>
      <c r="J112" s="4" t="n">
        <v>206</v>
      </c>
      <c r="K112" t="inlineStr">
        <is>
          <t>148 / 58</t>
        </is>
      </c>
      <c r="L112" t="inlineStr">
        <is>
          <t>31 / 21</t>
        </is>
      </c>
      <c r="M112" s="5" t="n">
        <v>0.72</v>
      </c>
      <c r="N112" s="5" t="n">
        <v>0.6</v>
      </c>
    </row>
    <row r="113">
      <c r="A113" t="n">
        <v>112</v>
      </c>
      <c r="B113" t="n">
        <v>2012</v>
      </c>
      <c r="C113" t="inlineStr">
        <is>
          <t>Zenaida May Kolesnikov</t>
        </is>
      </c>
      <c r="D113">
        <f>HYPERLINK("https://ota.tournamentsoftware.com/player-profile/0D20CA06-CC79-483F-87DD-AD6F5FC76972", "Link")</f>
        <v/>
      </c>
      <c r="E113" s="3" t="n">
        <v>834.88</v>
      </c>
      <c r="F113" s="4" t="n">
        <v>5</v>
      </c>
      <c r="G113" t="inlineStr">
        <is>
          <t>Ontario Tennis Association</t>
        </is>
      </c>
      <c r="H113" t="inlineStr">
        <is>
          <t>Kew Gardens Tennis Club</t>
        </is>
      </c>
      <c r="I113" t="n">
        <v>24.3</v>
      </c>
      <c r="J113" s="4" t="n">
        <v>87</v>
      </c>
      <c r="K113" t="inlineStr">
        <is>
          <t>67 / 20</t>
        </is>
      </c>
      <c r="L113" t="inlineStr">
        <is>
          <t>13 / 3</t>
        </is>
      </c>
      <c r="M113" s="5" t="n">
        <v>0.77</v>
      </c>
      <c r="N113" s="5" t="n">
        <v>0.8100000000000001</v>
      </c>
    </row>
    <row r="114">
      <c r="A114" t="n">
        <v>113</v>
      </c>
      <c r="B114" t="n">
        <v>2013</v>
      </c>
      <c r="C114" t="inlineStr">
        <is>
          <t>Natalia Sena</t>
        </is>
      </c>
      <c r="D114">
        <f>HYPERLINK("https://ota.tournamentsoftware.com/player-profile/D89592D5-D2EA-499E-9A9C-8B20B391C761", "Link")</f>
        <v/>
      </c>
      <c r="E114" s="3" t="n">
        <v>830.0940000000001</v>
      </c>
      <c r="F114" s="4" t="n">
        <v>30</v>
      </c>
      <c r="G114" t="inlineStr">
        <is>
          <t>Tennis Québec</t>
        </is>
      </c>
      <c r="H114" t="inlineStr">
        <is>
          <t>No Club</t>
        </is>
      </c>
      <c r="I114" t="n">
        <v>28.9</v>
      </c>
      <c r="J114" s="4" t="n">
        <v>91</v>
      </c>
      <c r="K114" t="inlineStr">
        <is>
          <t>47 / 44</t>
        </is>
      </c>
      <c r="L114" t="inlineStr">
        <is>
          <t>28 / 15</t>
        </is>
      </c>
      <c r="M114" s="5" t="n">
        <v>0.52</v>
      </c>
      <c r="N114" s="5" t="n">
        <v>0.65</v>
      </c>
    </row>
    <row r="115">
      <c r="A115" t="n">
        <v>114</v>
      </c>
      <c r="B115" t="n">
        <v>2014</v>
      </c>
      <c r="C115" t="inlineStr">
        <is>
          <t>Edwina Ed Xue</t>
        </is>
      </c>
      <c r="D115">
        <f>HYPERLINK("https://ota.tournamentsoftware.com/player-profile/16F3FDF7-F098-4A63-9D5F-87B196D248B5", "Link")</f>
        <v/>
      </c>
      <c r="E115" s="3" t="n">
        <v>821.777</v>
      </c>
      <c r="F115" s="4" t="n">
        <v>22</v>
      </c>
      <c r="G115" t="inlineStr">
        <is>
          <t>Ontario Tennis Association</t>
        </is>
      </c>
      <c r="H115" t="inlineStr">
        <is>
          <t>Granite Club</t>
        </is>
      </c>
      <c r="I115" t="n">
        <v>28.5</v>
      </c>
      <c r="J115" s="4" t="n">
        <v>288</v>
      </c>
      <c r="K115" t="inlineStr">
        <is>
          <t>169 / 119</t>
        </is>
      </c>
      <c r="L115" t="inlineStr">
        <is>
          <t>29 / 23</t>
        </is>
      </c>
      <c r="M115" s="5" t="n">
        <v>0.59</v>
      </c>
      <c r="N115" s="5" t="n">
        <v>0.5600000000000001</v>
      </c>
    </row>
    <row r="116">
      <c r="A116" t="n">
        <v>115</v>
      </c>
      <c r="B116" t="n">
        <v>2014</v>
      </c>
      <c r="C116" t="inlineStr">
        <is>
          <t>Nyah Morgan</t>
        </is>
      </c>
      <c r="D116">
        <f>HYPERLINK("https://ota.tournamentsoftware.com/player-profile/D9CA028A-3366-4954-9B65-F9840B84F93D", "Link")</f>
        <v/>
      </c>
      <c r="E116" s="3" t="n">
        <v>794.096</v>
      </c>
      <c r="F116" s="4" t="n">
        <v>22</v>
      </c>
      <c r="G116" t="inlineStr">
        <is>
          <t>Ontario Tennis Association</t>
        </is>
      </c>
      <c r="H116" t="inlineStr">
        <is>
          <t>Premier Racquet Clubs – Mississauga</t>
        </is>
      </c>
      <c r="I116" t="n">
        <v>28.3</v>
      </c>
      <c r="J116" s="4" t="n">
        <v>206</v>
      </c>
      <c r="K116" t="inlineStr">
        <is>
          <t>132 / 74</t>
        </is>
      </c>
      <c r="L116" t="inlineStr">
        <is>
          <t>30 / 18</t>
        </is>
      </c>
      <c r="M116" s="5" t="n">
        <v>0.64</v>
      </c>
      <c r="N116" s="5" t="n">
        <v>0.62</v>
      </c>
    </row>
    <row r="117">
      <c r="A117" t="n">
        <v>116</v>
      </c>
      <c r="B117" t="n">
        <v>2013</v>
      </c>
      <c r="C117" t="inlineStr">
        <is>
          <t>Melanie Moon</t>
        </is>
      </c>
      <c r="D117">
        <f>HYPERLINK("https://ota.tournamentsoftware.com/player-profile/90FC60A1-D48C-4A9A-97D8-A17B60CF6D4A", "Link")</f>
        <v/>
      </c>
      <c r="E117" s="3" t="n">
        <v>784.8390000000001</v>
      </c>
      <c r="F117" s="4" t="n">
        <v>15</v>
      </c>
      <c r="G117" t="inlineStr">
        <is>
          <t>British Columbia</t>
        </is>
      </c>
      <c r="H117" t="inlineStr">
        <is>
          <t>Vancouver Lawn Tennis and Badminton Club</t>
        </is>
      </c>
      <c r="I117" t="n">
        <v>28.3</v>
      </c>
      <c r="J117" s="4" t="n">
        <v>236</v>
      </c>
      <c r="K117" t="inlineStr">
        <is>
          <t>119 / 117</t>
        </is>
      </c>
      <c r="L117" t="inlineStr">
        <is>
          <t>10 / 17</t>
        </is>
      </c>
      <c r="M117" s="5" t="n">
        <v>0.5</v>
      </c>
      <c r="N117" s="5" t="n">
        <v>0.37</v>
      </c>
    </row>
    <row r="118">
      <c r="A118" t="n">
        <v>117</v>
      </c>
      <c r="B118" t="n">
        <v>2013</v>
      </c>
      <c r="C118" t="inlineStr">
        <is>
          <t>Élianne Bouchard</t>
        </is>
      </c>
      <c r="D118">
        <f>HYPERLINK("https://ota.tournamentsoftware.com/player-profile/44233F45-64EC-49B2-AA72-859E176C2987", "Link")</f>
        <v/>
      </c>
      <c r="E118" s="3" t="n">
        <v>784.313</v>
      </c>
      <c r="F118" s="4" t="n">
        <v>30</v>
      </c>
      <c r="G118" t="inlineStr">
        <is>
          <t>Tennis Québec</t>
        </is>
      </c>
      <c r="H118" t="inlineStr">
        <is>
          <t>Tennis Interclub Piedmont</t>
        </is>
      </c>
      <c r="I118" t="n">
        <v>29.5</v>
      </c>
      <c r="J118" s="4" t="n">
        <v>246</v>
      </c>
      <c r="K118" t="inlineStr">
        <is>
          <t>115 / 131</t>
        </is>
      </c>
      <c r="L118" t="inlineStr">
        <is>
          <t>29 / 23</t>
        </is>
      </c>
      <c r="M118" s="5" t="n">
        <v>0.47</v>
      </c>
      <c r="N118" s="5" t="n">
        <v>0.5600000000000001</v>
      </c>
    </row>
    <row r="119">
      <c r="A119" t="n">
        <v>118</v>
      </c>
      <c r="B119" t="n">
        <v>2012</v>
      </c>
      <c r="C119" t="inlineStr">
        <is>
          <t>Penelope Brandt</t>
        </is>
      </c>
      <c r="D119">
        <f>HYPERLINK("https://ota.tournamentsoftware.com/player-profile/AA2E46A9-EC33-4492-A527-0C8E0CA405B0", "Link")</f>
        <v/>
      </c>
      <c r="E119" s="3" t="n">
        <v>784.1559999999999</v>
      </c>
      <c r="F119" s="4" t="n">
        <v>26</v>
      </c>
      <c r="G119" t="inlineStr">
        <is>
          <t>Tennis Québec</t>
        </is>
      </c>
      <c r="H119" t="inlineStr">
        <is>
          <t>SANI Sport</t>
        </is>
      </c>
      <c r="I119" t="n">
        <v>27.9</v>
      </c>
      <c r="J119" s="4" t="n">
        <v>245</v>
      </c>
      <c r="K119" t="inlineStr">
        <is>
          <t>123 / 122</t>
        </is>
      </c>
      <c r="L119" t="inlineStr">
        <is>
          <t>32 / 21</t>
        </is>
      </c>
      <c r="M119" s="5" t="n">
        <v>0.5</v>
      </c>
      <c r="N119" s="5" t="n">
        <v>0.6</v>
      </c>
    </row>
    <row r="120">
      <c r="A120" t="n">
        <v>119</v>
      </c>
      <c r="B120" t="n">
        <v>2013</v>
      </c>
      <c r="C120" t="inlineStr">
        <is>
          <t>Navya Chawla</t>
        </is>
      </c>
      <c r="D120">
        <f>HYPERLINK("https://ota.tournamentsoftware.com/player-profile/26838C23-66D4-4CAD-825B-C69620EB242D", "Link")</f>
        <v/>
      </c>
      <c r="E120" s="3" t="n">
        <v>777.96</v>
      </c>
      <c r="F120" s="4" t="n">
        <v>18</v>
      </c>
      <c r="G120" t="inlineStr">
        <is>
          <t>Tennis Alberta</t>
        </is>
      </c>
      <c r="H120" t="inlineStr">
        <is>
          <t>Osten &amp; Victor Alberta Tennis Centre</t>
        </is>
      </c>
      <c r="I120" t="n">
        <v>24.6</v>
      </c>
      <c r="J120" s="4" t="n">
        <v>281</v>
      </c>
      <c r="K120" t="inlineStr">
        <is>
          <t>178 / 103</t>
        </is>
      </c>
      <c r="L120" t="inlineStr">
        <is>
          <t>14 / 13</t>
        </is>
      </c>
      <c r="M120" s="5" t="n">
        <v>0.63</v>
      </c>
      <c r="N120" s="5" t="n">
        <v>0.52</v>
      </c>
    </row>
    <row r="121">
      <c r="A121" t="n">
        <v>120</v>
      </c>
      <c r="B121" t="n">
        <v>2015</v>
      </c>
      <c r="C121" t="inlineStr">
        <is>
          <t>Olivia Lu</t>
        </is>
      </c>
      <c r="D121">
        <f>HYPERLINK("https://ota.tournamentsoftware.com/player-profile/807CAE71-A1FD-4ED2-952F-E0EDBF0E66E6", "Link")</f>
        <v/>
      </c>
      <c r="E121" s="3" t="n">
        <v>767.184</v>
      </c>
      <c r="F121" s="4" t="n">
        <v>23</v>
      </c>
      <c r="G121" t="inlineStr">
        <is>
          <t>Ontario Tennis Association</t>
        </is>
      </c>
      <c r="H121" t="inlineStr">
        <is>
          <t>Advantage Tennis International at Veneto</t>
        </is>
      </c>
      <c r="I121" t="n">
        <v>30.7</v>
      </c>
      <c r="J121" s="4" t="n">
        <v>161</v>
      </c>
      <c r="K121" t="inlineStr">
        <is>
          <t>93 / 68</t>
        </is>
      </c>
      <c r="L121" t="inlineStr">
        <is>
          <t>26 / 16</t>
        </is>
      </c>
      <c r="M121" s="5" t="n">
        <v>0.58</v>
      </c>
      <c r="N121" s="5" t="n">
        <v>0.62</v>
      </c>
    </row>
    <row r="122">
      <c r="A122" t="n">
        <v>121</v>
      </c>
      <c r="B122" t="n">
        <v>2012</v>
      </c>
      <c r="C122" t="inlineStr">
        <is>
          <t>Lourdes Valentina Haun</t>
        </is>
      </c>
      <c r="D122">
        <f>HYPERLINK("https://ota.tournamentsoftware.com/player-profile/97D1640C-AAFD-43B2-8C9A-BAA1649A3937", "Link")</f>
        <v/>
      </c>
      <c r="E122" s="3" t="n">
        <v>761.729</v>
      </c>
      <c r="F122" s="4" t="n">
        <v>14</v>
      </c>
      <c r="G122" t="inlineStr">
        <is>
          <t>Tennis Alberta</t>
        </is>
      </c>
      <c r="H122" t="inlineStr">
        <is>
          <t>Osten &amp; Victor Alberta Tennis Centre</t>
        </is>
      </c>
      <c r="I122" t="n">
        <v>26.2</v>
      </c>
      <c r="J122" s="4" t="n">
        <v>292</v>
      </c>
      <c r="K122" t="inlineStr">
        <is>
          <t>170 / 122</t>
        </is>
      </c>
      <c r="L122" t="inlineStr">
        <is>
          <t>21 / 16</t>
        </is>
      </c>
      <c r="M122" s="5" t="n">
        <v>0.58</v>
      </c>
      <c r="N122" s="5" t="n">
        <v>0.57</v>
      </c>
    </row>
    <row r="123">
      <c r="A123" t="n">
        <v>122</v>
      </c>
      <c r="B123" t="n">
        <v>2012</v>
      </c>
      <c r="C123" t="inlineStr">
        <is>
          <t>Victoria Chow</t>
        </is>
      </c>
      <c r="D123">
        <f>HYPERLINK("https://ota.tournamentsoftware.com/player-profile/7A966C5F-11C4-49ED-9F9D-2B1D18AB7E3B", "Link")</f>
        <v/>
      </c>
      <c r="E123" s="3" t="n">
        <v>743.375</v>
      </c>
      <c r="F123" s="4" t="n">
        <v>20</v>
      </c>
      <c r="G123" t="inlineStr">
        <is>
          <t>Ontario Tennis Association</t>
        </is>
      </c>
      <c r="H123" t="inlineStr">
        <is>
          <t>No Club</t>
        </is>
      </c>
      <c r="I123" t="inlineStr">
        <is>
          <t>unavailable</t>
        </is>
      </c>
      <c r="J123" s="4" t="n">
        <v>278</v>
      </c>
      <c r="K123" t="inlineStr">
        <is>
          <t>141 / 137</t>
        </is>
      </c>
      <c r="L123" t="inlineStr">
        <is>
          <t>15 / 23</t>
        </is>
      </c>
      <c r="M123" s="5" t="n">
        <v>0.51</v>
      </c>
      <c r="N123" s="5" t="n">
        <v>0.39</v>
      </c>
    </row>
    <row r="124">
      <c r="A124" t="n">
        <v>123</v>
      </c>
      <c r="B124" t="n">
        <v>2014</v>
      </c>
      <c r="C124" t="inlineStr">
        <is>
          <t>Michelle Zhang</t>
        </is>
      </c>
      <c r="D124">
        <f>HYPERLINK("https://ota.tournamentsoftware.com/player-profile/9912697B-2876-4A36-8F98-3B7F524694E1", "Link")</f>
        <v/>
      </c>
      <c r="E124" s="3" t="n">
        <v>738.6799999999999</v>
      </c>
      <c r="F124" s="4" t="n">
        <v>12</v>
      </c>
      <c r="G124" t="inlineStr">
        <is>
          <t>Tennis Nova Scotia</t>
        </is>
      </c>
      <c r="H124" t="inlineStr">
        <is>
          <t>Atlantic Tennis Centre</t>
        </is>
      </c>
      <c r="I124" t="n">
        <v>30.2</v>
      </c>
      <c r="J124" s="4" t="n">
        <v>157</v>
      </c>
      <c r="K124" t="inlineStr">
        <is>
          <t>88 / 69</t>
        </is>
      </c>
      <c r="L124" t="inlineStr">
        <is>
          <t>26 / 28</t>
        </is>
      </c>
      <c r="M124" s="5" t="n">
        <v>0.5600000000000001</v>
      </c>
      <c r="N124" s="5" t="n">
        <v>0.48</v>
      </c>
    </row>
    <row r="125">
      <c r="A125" t="n">
        <v>124</v>
      </c>
      <c r="B125" t="n">
        <v>2012</v>
      </c>
      <c r="C125" t="inlineStr">
        <is>
          <t>Emma Abdou</t>
        </is>
      </c>
      <c r="D125">
        <f>HYPERLINK("https://ota.tournamentsoftware.com/player-profile/FD6387AB-774D-491E-8A68-CE4DD20FAEF7", "Link")</f>
        <v/>
      </c>
      <c r="E125" s="3" t="n">
        <v>734.55</v>
      </c>
      <c r="F125" s="4" t="n">
        <v>34</v>
      </c>
      <c r="G125" t="inlineStr">
        <is>
          <t>Ontario Tennis Association</t>
        </is>
      </c>
      <c r="H125" t="inlineStr">
        <is>
          <t>Granite Club</t>
        </is>
      </c>
      <c r="I125" t="n">
        <v>29.8</v>
      </c>
      <c r="J125" s="4" t="n">
        <v>211</v>
      </c>
      <c r="K125" t="inlineStr">
        <is>
          <t>101 / 110</t>
        </is>
      </c>
      <c r="L125" t="inlineStr">
        <is>
          <t>33 / 27</t>
        </is>
      </c>
      <c r="M125" s="5" t="n">
        <v>0.48</v>
      </c>
      <c r="N125" s="5" t="n">
        <v>0.55</v>
      </c>
    </row>
    <row r="126">
      <c r="A126" t="n">
        <v>125</v>
      </c>
      <c r="B126" t="n">
        <v>2012</v>
      </c>
      <c r="C126" t="inlineStr">
        <is>
          <t>Joanna Pananchickal</t>
        </is>
      </c>
      <c r="D126">
        <f>HYPERLINK("https://ota.tournamentsoftware.com/player-profile/6487D297-D67D-4189-9D3C-05A8EA398E60", "Link")</f>
        <v/>
      </c>
      <c r="E126" s="3" t="n">
        <v>722.931</v>
      </c>
      <c r="F126" s="4" t="n">
        <v>12</v>
      </c>
      <c r="G126" t="inlineStr">
        <is>
          <t>Ontario Tennis Association</t>
        </is>
      </c>
      <c r="H126" t="inlineStr">
        <is>
          <t>No Club</t>
        </is>
      </c>
      <c r="I126" t="n">
        <v>30.6</v>
      </c>
      <c r="J126" s="4" t="n">
        <v>66</v>
      </c>
      <c r="K126" t="inlineStr">
        <is>
          <t>31 / 35</t>
        </is>
      </c>
      <c r="L126" t="inlineStr">
        <is>
          <t>13 / 7</t>
        </is>
      </c>
      <c r="M126" s="5" t="n">
        <v>0.47</v>
      </c>
      <c r="N126" s="5" t="n">
        <v>0.65</v>
      </c>
    </row>
    <row r="127">
      <c r="A127" t="n">
        <v>126</v>
      </c>
      <c r="B127" t="n">
        <v>2012</v>
      </c>
      <c r="C127" t="inlineStr">
        <is>
          <t>Meika Sebastian</t>
        </is>
      </c>
      <c r="D127">
        <f>HYPERLINK("https://ota.tournamentsoftware.com/player-profile/0CA7407B-419A-43BA-82FB-32200AA68BA2", "Link")</f>
        <v/>
      </c>
      <c r="E127" s="3" t="n">
        <v>719.111</v>
      </c>
      <c r="F127" s="4" t="n">
        <v>8</v>
      </c>
      <c r="G127" t="inlineStr">
        <is>
          <t>Ontario Tennis Association</t>
        </is>
      </c>
      <c r="H127" t="inlineStr">
        <is>
          <t>City of Kingston</t>
        </is>
      </c>
      <c r="I127" t="n">
        <v>24.8</v>
      </c>
      <c r="J127" s="4" t="n">
        <v>287</v>
      </c>
      <c r="K127" t="inlineStr">
        <is>
          <t>147 / 140</t>
        </is>
      </c>
      <c r="L127" t="inlineStr">
        <is>
          <t>0 / 4</t>
        </is>
      </c>
      <c r="M127" s="5" t="n">
        <v>0.51</v>
      </c>
      <c r="N127" s="5" t="n">
        <v>0</v>
      </c>
    </row>
    <row r="128">
      <c r="A128" t="n">
        <v>127</v>
      </c>
      <c r="B128" t="n">
        <v>2014</v>
      </c>
      <c r="C128" t="inlineStr">
        <is>
          <t>Nuanyi Li</t>
        </is>
      </c>
      <c r="D128">
        <f>HYPERLINK("https://ota.tournamentsoftware.com/player-profile/341DA394-9039-4254-B369-B8C52872A168", "Link")</f>
        <v/>
      </c>
      <c r="E128" s="3" t="n">
        <v>710.697</v>
      </c>
      <c r="F128" s="4" t="n">
        <v>30</v>
      </c>
      <c r="G128" t="inlineStr">
        <is>
          <t>Ontario Tennis Association</t>
        </is>
      </c>
      <c r="H128" t="inlineStr">
        <is>
          <t>Fainblum Tennis Academy</t>
        </is>
      </c>
      <c r="I128" t="n">
        <v>28.4</v>
      </c>
      <c r="J128" s="4" t="n">
        <v>289</v>
      </c>
      <c r="K128" t="inlineStr">
        <is>
          <t>179 / 110</t>
        </is>
      </c>
      <c r="L128" t="inlineStr">
        <is>
          <t>28 / 27</t>
        </is>
      </c>
      <c r="M128" s="5" t="n">
        <v>0.62</v>
      </c>
      <c r="N128" s="5" t="n">
        <v>0.51</v>
      </c>
    </row>
    <row r="129">
      <c r="A129" t="n">
        <v>128</v>
      </c>
      <c r="B129" t="n">
        <v>2012</v>
      </c>
      <c r="C129" t="inlineStr">
        <is>
          <t>Dina Yijia Zhang</t>
        </is>
      </c>
      <c r="D129">
        <f>HYPERLINK("https://ota.tournamentsoftware.com/player-profile/CF7261D5-5723-40A9-853D-2B21D7A35985", "Link")</f>
        <v/>
      </c>
      <c r="E129" s="3" t="n">
        <v>703.611</v>
      </c>
      <c r="F129" s="4" t="n">
        <v>9</v>
      </c>
      <c r="G129" t="inlineStr">
        <is>
          <t>Tennis Nova Scotia</t>
        </is>
      </c>
      <c r="H129" t="inlineStr">
        <is>
          <t>HEADSTART</t>
        </is>
      </c>
      <c r="I129" t="n">
        <v>30.8</v>
      </c>
      <c r="J129" s="4" t="n">
        <v>158</v>
      </c>
      <c r="K129" t="inlineStr">
        <is>
          <t>64 / 94</t>
        </is>
      </c>
      <c r="L129" t="inlineStr">
        <is>
          <t>8 / 15</t>
        </is>
      </c>
      <c r="M129" s="5" t="n">
        <v>0.41</v>
      </c>
      <c r="N129" s="5" t="n">
        <v>0.35</v>
      </c>
    </row>
    <row r="130">
      <c r="A130" t="n">
        <v>129</v>
      </c>
      <c r="B130" t="n">
        <v>2013</v>
      </c>
      <c r="C130" t="inlineStr">
        <is>
          <t>Elena Vamoser</t>
        </is>
      </c>
      <c r="D130">
        <f>HYPERLINK("https://ota.tournamentsoftware.com/player-profile/F839ADA6-2875-4712-9FE7-C958E075D669", "Link")</f>
        <v/>
      </c>
      <c r="E130" s="3" t="n">
        <v>697.77</v>
      </c>
      <c r="F130" s="4" t="n">
        <v>26</v>
      </c>
      <c r="G130" t="inlineStr">
        <is>
          <t>Ontario Tennis Association</t>
        </is>
      </c>
      <c r="H130" t="inlineStr">
        <is>
          <t>ACE Tennis - Burlington</t>
        </is>
      </c>
      <c r="I130" t="n">
        <v>30.7</v>
      </c>
      <c r="J130" s="4" t="n">
        <v>128</v>
      </c>
      <c r="K130" t="inlineStr">
        <is>
          <t>74 / 54</t>
        </is>
      </c>
      <c r="L130" t="inlineStr">
        <is>
          <t>15 / 17</t>
        </is>
      </c>
      <c r="M130" s="5" t="n">
        <v>0.58</v>
      </c>
      <c r="N130" s="5" t="n">
        <v>0.47</v>
      </c>
    </row>
    <row r="131">
      <c r="A131" t="n">
        <v>130</v>
      </c>
      <c r="B131" t="n">
        <v>2016</v>
      </c>
      <c r="C131" t="inlineStr">
        <is>
          <t>Kaili Ear Gui</t>
        </is>
      </c>
      <c r="D131">
        <f>HYPERLINK("https://ota.tournamentsoftware.com/player-profile/6E1FCBA7-1BA6-4DCA-9440-D121E3710638", "Link")</f>
        <v/>
      </c>
      <c r="E131" s="3" t="n">
        <v>695.772</v>
      </c>
      <c r="F131" s="4" t="n">
        <v>13</v>
      </c>
      <c r="G131" t="inlineStr">
        <is>
          <t>Tennis Saskatchewan</t>
        </is>
      </c>
      <c r="H131" t="inlineStr">
        <is>
          <t>Lakeshore Tennis Club</t>
        </is>
      </c>
      <c r="I131" t="n">
        <v>31.7</v>
      </c>
      <c r="J131" s="4" t="n">
        <v>147</v>
      </c>
      <c r="K131" t="inlineStr">
        <is>
          <t>84 / 63</t>
        </is>
      </c>
      <c r="L131" t="inlineStr">
        <is>
          <t>35 / 30</t>
        </is>
      </c>
      <c r="M131" s="5" t="n">
        <v>0.57</v>
      </c>
      <c r="N131" s="5" t="n">
        <v>0.54</v>
      </c>
    </row>
    <row r="132">
      <c r="A132" t="n">
        <v>131</v>
      </c>
      <c r="B132" t="n">
        <v>2012</v>
      </c>
      <c r="C132" t="inlineStr">
        <is>
          <t>Avea Ungureanu Pinto</t>
        </is>
      </c>
      <c r="D132">
        <f>HYPERLINK("https://ota.tournamentsoftware.com/player-profile/527FEC9E-D920-4439-9E01-51A3CFDED939", "Link")</f>
        <v/>
      </c>
      <c r="E132" s="3" t="n">
        <v>681.7809999999999</v>
      </c>
      <c r="F132" s="4" t="n">
        <v>27</v>
      </c>
      <c r="G132" t="inlineStr">
        <is>
          <t>Ontario Tennis Association</t>
        </is>
      </c>
      <c r="H132" t="inlineStr">
        <is>
          <t>Mayfair East Racquet Club</t>
        </is>
      </c>
      <c r="I132" t="n">
        <v>28.3</v>
      </c>
      <c r="J132" s="4" t="n">
        <v>144</v>
      </c>
      <c r="K132" t="inlineStr">
        <is>
          <t>78 / 66</t>
        </is>
      </c>
      <c r="L132" t="inlineStr">
        <is>
          <t>23 / 17</t>
        </is>
      </c>
      <c r="M132" s="5" t="n">
        <v>0.54</v>
      </c>
      <c r="N132" s="5" t="n">
        <v>0.57</v>
      </c>
    </row>
    <row r="133">
      <c r="A133" t="n">
        <v>132</v>
      </c>
      <c r="B133" t="n">
        <v>2012</v>
      </c>
      <c r="C133" t="inlineStr">
        <is>
          <t>Anna Lucenti</t>
        </is>
      </c>
      <c r="D133">
        <f>HYPERLINK("https://ota.tournamentsoftware.com/player-profile/332E40CD-AB90-41CE-81C3-858501B2FAD3", "Link")</f>
        <v/>
      </c>
      <c r="E133" s="3" t="n">
        <v>680.645</v>
      </c>
      <c r="F133" s="4" t="n">
        <v>29</v>
      </c>
      <c r="G133" t="inlineStr">
        <is>
          <t>Ontario Tennis Association</t>
        </is>
      </c>
      <c r="H133" t="inlineStr">
        <is>
          <t>SmartVMC Racquetsports by ACE</t>
        </is>
      </c>
      <c r="I133" t="n">
        <v>30.6</v>
      </c>
      <c r="J133" s="4" t="n">
        <v>135</v>
      </c>
      <c r="K133" t="inlineStr">
        <is>
          <t>57 / 78</t>
        </is>
      </c>
      <c r="L133" t="inlineStr">
        <is>
          <t>24 / 15</t>
        </is>
      </c>
      <c r="M133" s="5" t="n">
        <v>0.42</v>
      </c>
      <c r="N133" s="5" t="n">
        <v>0.62</v>
      </c>
    </row>
    <row r="134">
      <c r="A134" t="n">
        <v>133</v>
      </c>
      <c r="B134" t="n">
        <v>2013</v>
      </c>
      <c r="C134" t="inlineStr">
        <is>
          <t>Leyan Isabella Yik Sum Leung</t>
        </is>
      </c>
      <c r="D134">
        <f>HYPERLINK("https://ota.tournamentsoftware.com/player-profile/7FB2D792-ABB2-4F05-B9D4-757321E9FA35", "Link")</f>
        <v/>
      </c>
      <c r="E134" s="3" t="n">
        <v>663.989</v>
      </c>
      <c r="F134" s="4" t="n">
        <v>21</v>
      </c>
      <c r="G134" t="inlineStr">
        <is>
          <t>British Columbia</t>
        </is>
      </c>
      <c r="H134" t="inlineStr">
        <is>
          <t>Vanguard Tennis Academy</t>
        </is>
      </c>
      <c r="I134" t="n">
        <v>27.2</v>
      </c>
      <c r="J134" s="4" t="n">
        <v>127</v>
      </c>
      <c r="K134" t="inlineStr">
        <is>
          <t>82 / 45</t>
        </is>
      </c>
      <c r="L134" t="inlineStr">
        <is>
          <t>32 / 17</t>
        </is>
      </c>
      <c r="M134" s="5" t="n">
        <v>0.65</v>
      </c>
      <c r="N134" s="5" t="n">
        <v>0.65</v>
      </c>
    </row>
    <row r="135">
      <c r="A135" t="n">
        <v>134</v>
      </c>
      <c r="B135" t="n">
        <v>2014</v>
      </c>
      <c r="C135" t="inlineStr">
        <is>
          <t>Fengfei ZHANG</t>
        </is>
      </c>
      <c r="D135">
        <f>HYPERLINK("https://ota.tournamentsoftware.com/player-profile/AB18AFB2-DEDF-42AF-BFB1-458553AF250C", "Link")</f>
        <v/>
      </c>
      <c r="E135" s="3" t="n">
        <v>661.9109999999999</v>
      </c>
      <c r="F135" s="4" t="n">
        <v>30</v>
      </c>
      <c r="G135" t="inlineStr">
        <is>
          <t>Tennis Québec</t>
        </is>
      </c>
      <c r="H135" t="inlineStr">
        <is>
          <t>Tennis Ile- des- Soeurs</t>
        </is>
      </c>
      <c r="I135" t="n">
        <v>29.6</v>
      </c>
      <c r="J135" s="4" t="n">
        <v>235</v>
      </c>
      <c r="K135" t="inlineStr">
        <is>
          <t>103 / 132</t>
        </is>
      </c>
      <c r="L135" t="inlineStr">
        <is>
          <t>37 / 32</t>
        </is>
      </c>
      <c r="M135" s="5" t="n">
        <v>0.44</v>
      </c>
      <c r="N135" s="5" t="n">
        <v>0.54</v>
      </c>
    </row>
    <row r="136">
      <c r="A136" t="n">
        <v>135</v>
      </c>
      <c r="B136" t="n">
        <v>2012</v>
      </c>
      <c r="C136" t="inlineStr">
        <is>
          <t>Cindy Zixuan Li</t>
        </is>
      </c>
      <c r="D136">
        <f>HYPERLINK("https://ota.tournamentsoftware.com/player-profile/23E61DC5-74BF-4612-8E7F-7DA0B013D911", "Link")</f>
        <v/>
      </c>
      <c r="E136" s="3" t="n">
        <v>661.299</v>
      </c>
      <c r="F136" s="4" t="n">
        <v>9</v>
      </c>
      <c r="G136" t="inlineStr">
        <is>
          <t>British Columbia</t>
        </is>
      </c>
      <c r="H136" t="inlineStr">
        <is>
          <t>Vanguard Tennis Academy</t>
        </is>
      </c>
      <c r="I136" t="n">
        <v>27.2</v>
      </c>
      <c r="J136" s="4" t="n">
        <v>137</v>
      </c>
      <c r="K136" t="inlineStr">
        <is>
          <t>69 / 68</t>
        </is>
      </c>
      <c r="L136" t="inlineStr">
        <is>
          <t>8 / 7</t>
        </is>
      </c>
      <c r="M136" s="5" t="n">
        <v>0.5</v>
      </c>
      <c r="N136" s="5" t="n">
        <v>0.53</v>
      </c>
    </row>
    <row r="137">
      <c r="A137" t="n">
        <v>136</v>
      </c>
      <c r="B137" t="n">
        <v>2012</v>
      </c>
      <c r="C137" t="inlineStr">
        <is>
          <t>Luisa Victoria Davis</t>
        </is>
      </c>
      <c r="D137">
        <f>HYPERLINK("https://ota.tournamentsoftware.com/player-profile/F5AE6D4A-50BA-4E57-AD34-589189161D57", "Link")</f>
        <v/>
      </c>
      <c r="E137" s="3" t="n">
        <v>656.047</v>
      </c>
      <c r="F137" s="4" t="n">
        <v>12</v>
      </c>
      <c r="G137" t="inlineStr">
        <is>
          <t>Ontario Tennis Association</t>
        </is>
      </c>
      <c r="H137" t="inlineStr">
        <is>
          <t>Mayfair West Fitness &amp; Racquet Club</t>
        </is>
      </c>
      <c r="I137" t="inlineStr">
        <is>
          <t>unavailable</t>
        </is>
      </c>
      <c r="J137" s="4" t="n">
        <v>200</v>
      </c>
      <c r="K137" t="inlineStr">
        <is>
          <t>128 / 72</t>
        </is>
      </c>
      <c r="L137" t="inlineStr">
        <is>
          <t>6 / 10</t>
        </is>
      </c>
      <c r="M137" s="5" t="n">
        <v>0.64</v>
      </c>
      <c r="N137" s="5" t="n">
        <v>0.38</v>
      </c>
    </row>
    <row r="138">
      <c r="A138" t="n">
        <v>137</v>
      </c>
      <c r="B138" t="n">
        <v>2012</v>
      </c>
      <c r="C138" t="inlineStr">
        <is>
          <t>Chloe Fischer</t>
        </is>
      </c>
      <c r="D138">
        <f>HYPERLINK("https://ota.tournamentsoftware.com/player-profile/4F19921D-D25C-4DFA-8A7D-90DE48FEB722", "Link")</f>
        <v/>
      </c>
      <c r="E138" s="3" t="n">
        <v>646.653</v>
      </c>
      <c r="F138" s="4" t="n">
        <v>22</v>
      </c>
      <c r="G138" t="inlineStr">
        <is>
          <t>Ontario Tennis Association</t>
        </is>
      </c>
      <c r="H138" t="inlineStr">
        <is>
          <t>No Club</t>
        </is>
      </c>
      <c r="I138" t="n">
        <v>33</v>
      </c>
      <c r="J138" s="4" t="n">
        <v>218</v>
      </c>
      <c r="K138" t="inlineStr">
        <is>
          <t>102 / 116</t>
        </is>
      </c>
      <c r="L138" t="inlineStr">
        <is>
          <t>6 / 21</t>
        </is>
      </c>
      <c r="M138" s="5" t="n">
        <v>0.47</v>
      </c>
      <c r="N138" s="5" t="n">
        <v>0.22</v>
      </c>
    </row>
    <row r="139">
      <c r="A139" t="n">
        <v>138</v>
      </c>
      <c r="B139" t="n">
        <v>2015</v>
      </c>
      <c r="C139" t="inlineStr">
        <is>
          <t>Sofia Chan</t>
        </is>
      </c>
      <c r="D139">
        <f>HYPERLINK("https://ota.tournamentsoftware.com/player-profile/62C41ADF-8A1D-416E-AAF9-4C80ECB74645", "Link")</f>
        <v/>
      </c>
      <c r="E139" s="3" t="n">
        <v>643.928</v>
      </c>
      <c r="F139" s="4" t="n">
        <v>31</v>
      </c>
      <c r="G139" t="inlineStr">
        <is>
          <t>Ontario Tennis Association</t>
        </is>
      </c>
      <c r="H139" t="inlineStr">
        <is>
          <t>No Club</t>
        </is>
      </c>
      <c r="I139" t="n">
        <v>30.3</v>
      </c>
      <c r="J139" s="4" t="n">
        <v>156</v>
      </c>
      <c r="K139" t="inlineStr">
        <is>
          <t>100 / 56</t>
        </is>
      </c>
      <c r="L139" t="inlineStr">
        <is>
          <t>43 / 25</t>
        </is>
      </c>
      <c r="M139" s="5" t="n">
        <v>0.64</v>
      </c>
      <c r="N139" s="5" t="n">
        <v>0.63</v>
      </c>
    </row>
    <row r="140">
      <c r="A140" t="n">
        <v>139</v>
      </c>
      <c r="B140" t="n">
        <v>2015</v>
      </c>
      <c r="C140" t="inlineStr">
        <is>
          <t>Amy Jiao</t>
        </is>
      </c>
      <c r="D140">
        <f>HYPERLINK("https://ota.tournamentsoftware.com/player-profile/5977984B-8EC9-4812-BCFA-CD93C4FFD7AF", "Link")</f>
        <v/>
      </c>
      <c r="E140" s="3" t="n">
        <v>641.838</v>
      </c>
      <c r="F140" s="4" t="n">
        <v>24</v>
      </c>
      <c r="G140" t="inlineStr">
        <is>
          <t>Ontario Tennis Association</t>
        </is>
      </c>
      <c r="H140" t="inlineStr">
        <is>
          <t>Rideau Sports Centre</t>
        </is>
      </c>
      <c r="I140" t="n">
        <v>29.5</v>
      </c>
      <c r="J140" s="4" t="n">
        <v>297</v>
      </c>
      <c r="K140" t="inlineStr">
        <is>
          <t>168 / 129</t>
        </is>
      </c>
      <c r="L140" t="inlineStr">
        <is>
          <t>49 / 27</t>
        </is>
      </c>
      <c r="M140" s="5" t="n">
        <v>0.57</v>
      </c>
      <c r="N140" s="5" t="n">
        <v>0.64</v>
      </c>
    </row>
    <row r="141">
      <c r="A141" t="n">
        <v>140</v>
      </c>
      <c r="B141" t="n">
        <v>2012</v>
      </c>
      <c r="C141" t="inlineStr">
        <is>
          <t>Madison Tam</t>
        </is>
      </c>
      <c r="D141">
        <f>HYPERLINK("https://ota.tournamentsoftware.com/player-profile/827C7FCD-2D7D-406E-B5C0-29D0720096DC", "Link")</f>
        <v/>
      </c>
      <c r="E141" s="3" t="n">
        <v>638.2</v>
      </c>
      <c r="F141" s="4" t="n">
        <v>19</v>
      </c>
      <c r="G141" t="inlineStr">
        <is>
          <t>Ontario Tennis Association</t>
        </is>
      </c>
      <c r="H141" t="inlineStr">
        <is>
          <t>Sir Winston Churchill Tennis Club</t>
        </is>
      </c>
      <c r="I141" t="n">
        <v>29.1</v>
      </c>
      <c r="J141" s="4" t="n">
        <v>441</v>
      </c>
      <c r="K141" t="inlineStr">
        <is>
          <t>316 / 125</t>
        </is>
      </c>
      <c r="L141" t="inlineStr">
        <is>
          <t>19 / 10</t>
        </is>
      </c>
      <c r="M141" s="5" t="n">
        <v>0.72</v>
      </c>
      <c r="N141" s="5" t="n">
        <v>0.66</v>
      </c>
    </row>
    <row r="142">
      <c r="A142" t="n">
        <v>141</v>
      </c>
      <c r="B142" t="n">
        <v>2014</v>
      </c>
      <c r="C142" t="inlineStr">
        <is>
          <t>Emmanuella Ibrahim</t>
        </is>
      </c>
      <c r="D142">
        <f>HYPERLINK("https://ota.tournamentsoftware.com/player-profile/8CFFE2B1-9508-4CB2-8E6A-6761AA8394EA", "Link")</f>
        <v/>
      </c>
      <c r="E142" s="3" t="n">
        <v>628.717</v>
      </c>
      <c r="F142" s="4" t="n">
        <v>18</v>
      </c>
      <c r="G142" t="inlineStr">
        <is>
          <t>Tennis Alberta</t>
        </is>
      </c>
      <c r="H142" t="inlineStr">
        <is>
          <t>Aforza</t>
        </is>
      </c>
      <c r="I142" t="inlineStr">
        <is>
          <t>unavailable</t>
        </is>
      </c>
      <c r="J142" s="4" t="n">
        <v>190</v>
      </c>
      <c r="K142" t="inlineStr">
        <is>
          <t>137 / 53</t>
        </is>
      </c>
      <c r="L142" t="inlineStr">
        <is>
          <t>39 / 16</t>
        </is>
      </c>
      <c r="M142" s="5" t="n">
        <v>0.72</v>
      </c>
      <c r="N142" s="5" t="n">
        <v>0.71</v>
      </c>
    </row>
    <row r="143">
      <c r="A143" t="n">
        <v>142</v>
      </c>
      <c r="B143" t="n">
        <v>2012</v>
      </c>
      <c r="C143" t="inlineStr">
        <is>
          <t>Yutong (Olivia) Ha</t>
        </is>
      </c>
      <c r="D143">
        <f>HYPERLINK("https://ota.tournamentsoftware.com/player-profile/53AE0DB5-1F76-4FB8-9870-3B236A9DAA97", "Link")</f>
        <v/>
      </c>
      <c r="E143" s="3" t="n">
        <v>624.7430000000001</v>
      </c>
      <c r="F143" s="4" t="n">
        <v>16</v>
      </c>
      <c r="G143" t="inlineStr">
        <is>
          <t>Ontario Tennis Association</t>
        </is>
      </c>
      <c r="H143" t="inlineStr">
        <is>
          <t>Richmondhill Golf &amp; Country Club</t>
        </is>
      </c>
      <c r="I143" t="inlineStr">
        <is>
          <t>unavailable</t>
        </is>
      </c>
      <c r="J143" s="4" t="n">
        <v>195</v>
      </c>
      <c r="K143" t="inlineStr">
        <is>
          <t>84 / 111</t>
        </is>
      </c>
      <c r="L143" t="inlineStr">
        <is>
          <t>6 / 16</t>
        </is>
      </c>
      <c r="M143" s="5" t="n">
        <v>0.43</v>
      </c>
      <c r="N143" s="5" t="n">
        <v>0.27</v>
      </c>
    </row>
    <row r="144">
      <c r="A144" t="n">
        <v>143</v>
      </c>
      <c r="B144" t="n">
        <v>2012</v>
      </c>
      <c r="C144" t="inlineStr">
        <is>
          <t>Riddhi Jha</t>
        </is>
      </c>
      <c r="D144">
        <f>HYPERLINK("https://ota.tournamentsoftware.com/player-profile/3B4B01BB-2AAD-49DD-B186-312576B12DC9", "Link")</f>
        <v/>
      </c>
      <c r="E144" s="3" t="n">
        <v>622.258</v>
      </c>
      <c r="F144" s="4" t="n">
        <v>14</v>
      </c>
      <c r="G144" t="inlineStr">
        <is>
          <t>Ontario Tennis Association</t>
        </is>
      </c>
      <c r="H144" t="inlineStr">
        <is>
          <t>Bramalea Tennis Club</t>
        </is>
      </c>
      <c r="I144" t="n">
        <v>30.7</v>
      </c>
      <c r="J144" s="4" t="n">
        <v>241</v>
      </c>
      <c r="K144" t="inlineStr">
        <is>
          <t>89 / 152</t>
        </is>
      </c>
      <c r="L144" t="inlineStr">
        <is>
          <t>18 / 11</t>
        </is>
      </c>
      <c r="M144" s="5" t="n">
        <v>0.37</v>
      </c>
      <c r="N144" s="5" t="n">
        <v>0.62</v>
      </c>
    </row>
    <row r="145">
      <c r="A145" t="n">
        <v>144</v>
      </c>
      <c r="B145" t="n">
        <v>2014</v>
      </c>
      <c r="C145" t="inlineStr">
        <is>
          <t>Evelyn Wang</t>
        </is>
      </c>
      <c r="D145">
        <f>HYPERLINK("https://ota.tournamentsoftware.com/player-profile/3A43E7FB-647C-4296-8E8D-106421DC2080", "Link")</f>
        <v/>
      </c>
      <c r="E145" s="3" t="n">
        <v>615.356</v>
      </c>
      <c r="F145" s="4" t="n">
        <v>16</v>
      </c>
      <c r="G145" t="inlineStr">
        <is>
          <t>British Columbia</t>
        </is>
      </c>
      <c r="H145" t="inlineStr">
        <is>
          <t>UBC Tennis Centre</t>
        </is>
      </c>
      <c r="I145" t="n">
        <v>28.2</v>
      </c>
      <c r="J145" s="4" t="n">
        <v>248</v>
      </c>
      <c r="K145" t="inlineStr">
        <is>
          <t>125 / 123</t>
        </is>
      </c>
      <c r="L145" t="inlineStr">
        <is>
          <t>29 / 24</t>
        </is>
      </c>
      <c r="M145" s="5" t="n">
        <v>0.5</v>
      </c>
      <c r="N145" s="5" t="n">
        <v>0.55</v>
      </c>
    </row>
    <row r="146">
      <c r="A146" t="n">
        <v>145</v>
      </c>
      <c r="B146" t="n">
        <v>2015</v>
      </c>
      <c r="C146" t="inlineStr">
        <is>
          <t>Emma Yin</t>
        </is>
      </c>
      <c r="D146">
        <f>HYPERLINK("https://ota.tournamentsoftware.com/player-profile/F90E2576-5989-4051-9E1F-45C789378967", "Link")</f>
        <v/>
      </c>
      <c r="E146" s="3" t="n">
        <v>613.705</v>
      </c>
      <c r="F146" s="4" t="n">
        <v>11</v>
      </c>
      <c r="G146" t="inlineStr">
        <is>
          <t>Tennis Saskatchewan</t>
        </is>
      </c>
      <c r="H146" t="inlineStr">
        <is>
          <t>Lakeshore Tennis Club</t>
        </is>
      </c>
      <c r="I146" t="n">
        <v>30.1</v>
      </c>
      <c r="J146" s="4" t="n">
        <v>157</v>
      </c>
      <c r="K146" t="inlineStr">
        <is>
          <t>80 / 77</t>
        </is>
      </c>
      <c r="L146" t="inlineStr">
        <is>
          <t>34 / 22</t>
        </is>
      </c>
      <c r="M146" s="5" t="n">
        <v>0.51</v>
      </c>
      <c r="N146" s="5" t="n">
        <v>0.61</v>
      </c>
    </row>
    <row r="147">
      <c r="A147" t="n">
        <v>146</v>
      </c>
      <c r="B147" t="n">
        <v>2014</v>
      </c>
      <c r="C147" t="inlineStr">
        <is>
          <t>Alice Yu-Qi Ren</t>
        </is>
      </c>
      <c r="D147">
        <f>HYPERLINK("https://ota.tournamentsoftware.com/player-profile/FE127D3B-825E-4C4F-9666-BA4529348FE4", "Link")</f>
        <v/>
      </c>
      <c r="E147" s="3" t="n">
        <v>610.301</v>
      </c>
      <c r="F147" s="4" t="n">
        <v>19</v>
      </c>
      <c r="G147" t="inlineStr">
        <is>
          <t>Tennis Alberta</t>
        </is>
      </c>
      <c r="H147" t="inlineStr">
        <is>
          <t>Saville Community Sports Centre</t>
        </is>
      </c>
      <c r="I147" t="n">
        <v>28.2</v>
      </c>
      <c r="J147" s="4" t="n">
        <v>208</v>
      </c>
      <c r="K147" t="inlineStr">
        <is>
          <t>142 / 66</t>
        </is>
      </c>
      <c r="L147" t="inlineStr">
        <is>
          <t>39 / 17</t>
        </is>
      </c>
      <c r="M147" s="5" t="n">
        <v>0.68</v>
      </c>
      <c r="N147" s="5" t="n">
        <v>0.7</v>
      </c>
    </row>
    <row r="148">
      <c r="A148" t="n">
        <v>147</v>
      </c>
      <c r="B148" t="n">
        <v>2012</v>
      </c>
      <c r="C148" t="inlineStr">
        <is>
          <t>OLIVIA JUNHAN CAO</t>
        </is>
      </c>
      <c r="D148">
        <f>HYPERLINK("https://ota.tournamentsoftware.com/player-profile/3D68BE77-5DE2-40D9-BCC3-C836A764F3EF", "Link")</f>
        <v/>
      </c>
      <c r="E148" s="3" t="n">
        <v>608.6</v>
      </c>
      <c r="F148" s="4" t="n">
        <v>20</v>
      </c>
      <c r="G148" t="inlineStr">
        <is>
          <t>British Columbia</t>
        </is>
      </c>
      <c r="H148" t="inlineStr">
        <is>
          <t>Richmond Country Club</t>
        </is>
      </c>
      <c r="I148" t="n">
        <v>27.2</v>
      </c>
      <c r="J148" s="4" t="n">
        <v>150</v>
      </c>
      <c r="K148" t="inlineStr">
        <is>
          <t>102 / 48</t>
        </is>
      </c>
      <c r="L148" t="inlineStr">
        <is>
          <t>39 / 17</t>
        </is>
      </c>
      <c r="M148" s="5" t="n">
        <v>0.68</v>
      </c>
      <c r="N148" s="5" t="n">
        <v>0.7</v>
      </c>
    </row>
    <row r="149">
      <c r="A149" t="n">
        <v>148</v>
      </c>
      <c r="B149" t="n">
        <v>2014</v>
      </c>
      <c r="C149" t="inlineStr">
        <is>
          <t>Naomi Iamandi</t>
        </is>
      </c>
      <c r="D149">
        <f>HYPERLINK("https://ota.tournamentsoftware.com/player-profile/5653599F-FFB6-46FA-B574-E53D7FBC278E", "Link")</f>
        <v/>
      </c>
      <c r="E149" s="3" t="n">
        <v>607.422</v>
      </c>
      <c r="F149" s="4" t="n">
        <v>24</v>
      </c>
      <c r="G149" t="inlineStr">
        <is>
          <t>Ontario Tennis Association</t>
        </is>
      </c>
      <c r="H149" t="inlineStr">
        <is>
          <t>Joshua Creek Golf &amp; Tennis</t>
        </is>
      </c>
      <c r="I149" t="n">
        <v>30.2</v>
      </c>
      <c r="J149" s="4" t="n">
        <v>231</v>
      </c>
      <c r="K149" t="inlineStr">
        <is>
          <t>125 / 106</t>
        </is>
      </c>
      <c r="L149" t="inlineStr">
        <is>
          <t>16 / 25</t>
        </is>
      </c>
      <c r="M149" s="5" t="n">
        <v>0.54</v>
      </c>
      <c r="N149" s="5" t="n">
        <v>0.39</v>
      </c>
    </row>
    <row r="150">
      <c r="A150" t="n">
        <v>149</v>
      </c>
      <c r="B150" t="n">
        <v>2013</v>
      </c>
      <c r="C150" t="inlineStr">
        <is>
          <t>Blaire Ming min kaminski</t>
        </is>
      </c>
      <c r="D150">
        <f>HYPERLINK("https://ota.tournamentsoftware.com/player-profile/F1255585-993D-4DBF-ADE9-E5818DCBA131", "Link")</f>
        <v/>
      </c>
      <c r="E150" s="3" t="n">
        <v>601.103</v>
      </c>
      <c r="F150" s="4" t="n">
        <v>16</v>
      </c>
      <c r="G150" t="inlineStr">
        <is>
          <t>Tennis Alberta</t>
        </is>
      </c>
      <c r="H150" t="inlineStr">
        <is>
          <t>Osten &amp; Victor Alberta Tennis Centre</t>
        </is>
      </c>
      <c r="I150" t="inlineStr">
        <is>
          <t>unavailable</t>
        </is>
      </c>
      <c r="J150" s="4" t="n">
        <v>124</v>
      </c>
      <c r="K150" t="inlineStr">
        <is>
          <t>60 / 64</t>
        </is>
      </c>
      <c r="L150" t="inlineStr">
        <is>
          <t>15 / 13</t>
        </is>
      </c>
      <c r="M150" s="5" t="n">
        <v>0.48</v>
      </c>
      <c r="N150" s="5" t="n">
        <v>0.54</v>
      </c>
    </row>
    <row r="151">
      <c r="A151" t="n">
        <v>150</v>
      </c>
      <c r="B151" t="n">
        <v>2012</v>
      </c>
      <c r="C151" t="inlineStr">
        <is>
          <t>Marisol Hilal</t>
        </is>
      </c>
      <c r="D151">
        <f>HYPERLINK("https://ota.tournamentsoftware.com/player-profile/A59841ED-F3F4-4773-A197-5502453988FE", "Link")</f>
        <v/>
      </c>
      <c r="E151" s="3" t="n">
        <v>596.234</v>
      </c>
      <c r="F151" s="4" t="n">
        <v>32</v>
      </c>
      <c r="G151" t="inlineStr">
        <is>
          <t>Tennis Québec</t>
        </is>
      </c>
      <c r="H151" t="inlineStr">
        <is>
          <t>Carrefour Multisports</t>
        </is>
      </c>
      <c r="I151" t="n">
        <v>30.1</v>
      </c>
      <c r="J151" s="4" t="n">
        <v>285</v>
      </c>
      <c r="K151" t="inlineStr">
        <is>
          <t>114 / 171</t>
        </is>
      </c>
      <c r="L151" t="inlineStr">
        <is>
          <t>17 / 26</t>
        </is>
      </c>
      <c r="M151" s="5" t="n">
        <v>0.4</v>
      </c>
      <c r="N151" s="5" t="n">
        <v>0.4</v>
      </c>
    </row>
    <row r="152">
      <c r="A152" t="n">
        <v>151</v>
      </c>
      <c r="B152" t="n">
        <v>2013</v>
      </c>
      <c r="C152" t="inlineStr">
        <is>
          <t>Bianca Nestor</t>
        </is>
      </c>
      <c r="D152">
        <f>HYPERLINK("https://ota.tournamentsoftware.com/player-profile/8BAE5D37-8145-43F6-9016-30DDC5E4E994", "Link")</f>
        <v/>
      </c>
      <c r="E152" s="3" t="n">
        <v>587.992</v>
      </c>
      <c r="F152" s="4" t="n">
        <v>22</v>
      </c>
      <c r="G152" t="inlineStr">
        <is>
          <t>Ontario Tennis Association</t>
        </is>
      </c>
      <c r="H152" t="inlineStr">
        <is>
          <t>Toronto Lawn Tennis Club</t>
        </is>
      </c>
      <c r="I152" t="n">
        <v>30.4</v>
      </c>
      <c r="J152" s="4" t="n">
        <v>196</v>
      </c>
      <c r="K152" t="inlineStr">
        <is>
          <t>96 / 100</t>
        </is>
      </c>
      <c r="L152" t="inlineStr">
        <is>
          <t>15 / 14</t>
        </is>
      </c>
      <c r="M152" s="5" t="n">
        <v>0.49</v>
      </c>
      <c r="N152" s="5" t="n">
        <v>0.52</v>
      </c>
    </row>
    <row r="153">
      <c r="A153" t="n">
        <v>152</v>
      </c>
      <c r="B153" t="n">
        <v>2013</v>
      </c>
      <c r="C153" t="inlineStr">
        <is>
          <t>Zoe Yeung</t>
        </is>
      </c>
      <c r="D153">
        <f>HYPERLINK("https://ota.tournamentsoftware.com/player-profile/69712725-5DA5-49A3-9C42-5A05BBB6B230", "Link")</f>
        <v/>
      </c>
      <c r="E153" s="3" t="n">
        <v>583.942</v>
      </c>
      <c r="F153" s="4" t="n">
        <v>16</v>
      </c>
      <c r="G153" t="inlineStr">
        <is>
          <t>Tennis Alberta</t>
        </is>
      </c>
      <c r="H153" t="inlineStr">
        <is>
          <t>Osten &amp; Victor Alberta Tennis Centre</t>
        </is>
      </c>
      <c r="I153" t="n">
        <v>29.2</v>
      </c>
      <c r="J153" s="4" t="n">
        <v>184</v>
      </c>
      <c r="K153" t="inlineStr">
        <is>
          <t>87 / 97</t>
        </is>
      </c>
      <c r="L153" t="inlineStr">
        <is>
          <t>13 / 16</t>
        </is>
      </c>
      <c r="M153" s="5" t="n">
        <v>0.47</v>
      </c>
      <c r="N153" s="5" t="n">
        <v>0.45</v>
      </c>
    </row>
    <row r="154">
      <c r="A154" t="n">
        <v>153</v>
      </c>
      <c r="B154" t="n">
        <v>2014</v>
      </c>
      <c r="C154" t="inlineStr">
        <is>
          <t>Veronica Mourlatov</t>
        </is>
      </c>
      <c r="D154">
        <f>HYPERLINK("https://ota.tournamentsoftware.com/player-profile/B6154A4C-BA94-41F6-A39C-E106D7116C1A", "Link")</f>
        <v/>
      </c>
      <c r="E154" s="3" t="n">
        <v>583.4</v>
      </c>
      <c r="F154" s="4" t="n">
        <v>33</v>
      </c>
      <c r="G154" t="inlineStr">
        <is>
          <t>Ontario Tennis Association</t>
        </is>
      </c>
      <c r="H154" t="inlineStr">
        <is>
          <t>SmartVMC Racquetsports by ACE</t>
        </is>
      </c>
      <c r="I154" t="n">
        <v>30.6</v>
      </c>
      <c r="J154" s="4" t="n">
        <v>219</v>
      </c>
      <c r="K154" t="inlineStr">
        <is>
          <t>139 / 80</t>
        </is>
      </c>
      <c r="L154" t="inlineStr">
        <is>
          <t>42 / 17</t>
        </is>
      </c>
      <c r="M154" s="5" t="n">
        <v>0.63</v>
      </c>
      <c r="N154" s="5" t="n">
        <v>0.71</v>
      </c>
    </row>
    <row r="155">
      <c r="A155" t="n">
        <v>154</v>
      </c>
      <c r="B155" t="n">
        <v>2012</v>
      </c>
      <c r="C155" t="inlineStr">
        <is>
          <t>Malia Lee Datta</t>
        </is>
      </c>
      <c r="D155">
        <f>HYPERLINK("https://ota.tournamentsoftware.com/player-profile/0FC1E5E7-0316-49C4-95C5-C429E3032398", "Link")</f>
        <v/>
      </c>
      <c r="E155" s="3" t="n">
        <v>583.375</v>
      </c>
      <c r="F155" s="4" t="n">
        <v>17</v>
      </c>
      <c r="G155" t="inlineStr">
        <is>
          <t>Tennis Alberta</t>
        </is>
      </c>
      <c r="H155" t="inlineStr">
        <is>
          <t>Osten &amp; Victor Alberta Tennis Centre</t>
        </is>
      </c>
      <c r="I155" t="n">
        <v>28.6</v>
      </c>
      <c r="J155" s="4" t="n">
        <v>149</v>
      </c>
      <c r="K155" t="inlineStr">
        <is>
          <t>64 / 85</t>
        </is>
      </c>
      <c r="L155" t="inlineStr">
        <is>
          <t>13 / 18</t>
        </is>
      </c>
      <c r="M155" s="5" t="n">
        <v>0.43</v>
      </c>
      <c r="N155" s="5" t="n">
        <v>0.42</v>
      </c>
    </row>
    <row r="156">
      <c r="A156" t="n">
        <v>155</v>
      </c>
      <c r="B156" t="n">
        <v>2012</v>
      </c>
      <c r="C156" t="inlineStr">
        <is>
          <t>Eliana Cantin</t>
        </is>
      </c>
      <c r="D156">
        <f>HYPERLINK("https://ota.tournamentsoftware.com/player-profile/D4DBD3FF-74D7-4D84-BB8F-104CA729E69E", "Link")</f>
        <v/>
      </c>
      <c r="E156" s="3" t="n">
        <v>579.148</v>
      </c>
      <c r="F156" s="4" t="n">
        <v>14</v>
      </c>
      <c r="G156" t="inlineStr">
        <is>
          <t>Tennis Québec</t>
        </is>
      </c>
      <c r="H156" t="inlineStr">
        <is>
          <t>Centre récréatif de Repentigny / Académie Tennis Momentum</t>
        </is>
      </c>
      <c r="I156" t="n">
        <v>29</v>
      </c>
      <c r="J156" s="4" t="n">
        <v>186</v>
      </c>
      <c r="K156" t="inlineStr">
        <is>
          <t>91 / 95</t>
        </is>
      </c>
      <c r="L156" t="inlineStr">
        <is>
          <t>9 / 16</t>
        </is>
      </c>
      <c r="M156" s="5" t="n">
        <v>0.49</v>
      </c>
      <c r="N156" s="5" t="n">
        <v>0.36</v>
      </c>
    </row>
    <row r="157">
      <c r="A157" t="n">
        <v>156</v>
      </c>
      <c r="B157" t="n">
        <v>2013</v>
      </c>
      <c r="C157" t="inlineStr">
        <is>
          <t>Mathilde Labeeuw</t>
        </is>
      </c>
      <c r="D157">
        <f>HYPERLINK("https://ota.tournamentsoftware.com/player-profile/ACCBCF37-0334-4ED1-B564-DFD6E35F3445", "Link")</f>
        <v/>
      </c>
      <c r="E157" s="3" t="n">
        <v>578.7809999999999</v>
      </c>
      <c r="F157" s="4" t="n">
        <v>23</v>
      </c>
      <c r="G157" t="inlineStr">
        <is>
          <t>Tennis Québec</t>
        </is>
      </c>
      <c r="H157" t="inlineStr">
        <is>
          <t>SANI Sport</t>
        </is>
      </c>
      <c r="I157" t="n">
        <v>30.4</v>
      </c>
      <c r="J157" s="4" t="n">
        <v>195</v>
      </c>
      <c r="K157" t="inlineStr">
        <is>
          <t>93 / 102</t>
        </is>
      </c>
      <c r="L157" t="inlineStr">
        <is>
          <t>15 / 16</t>
        </is>
      </c>
      <c r="M157" s="5" t="n">
        <v>0.48</v>
      </c>
      <c r="N157" s="5" t="n">
        <v>0.48</v>
      </c>
    </row>
    <row r="158">
      <c r="A158" t="n">
        <v>157</v>
      </c>
      <c r="B158" t="n">
        <v>2012</v>
      </c>
      <c r="C158" t="inlineStr">
        <is>
          <t>Caroline ChuYun Yang</t>
        </is>
      </c>
      <c r="D158">
        <f>HYPERLINK("https://ota.tournamentsoftware.com/player-profile/973A8D96-42F5-42BC-9DF2-0A195E1A983F", "Link")</f>
        <v/>
      </c>
      <c r="E158" s="3" t="n">
        <v>574.0700000000001</v>
      </c>
      <c r="F158" s="4" t="n">
        <v>20</v>
      </c>
      <c r="G158" t="inlineStr">
        <is>
          <t>British Columbia</t>
        </is>
      </c>
      <c r="H158" t="inlineStr">
        <is>
          <t>The Tennis Centre</t>
        </is>
      </c>
      <c r="I158" t="n">
        <v>28.5</v>
      </c>
      <c r="J158" s="4" t="n">
        <v>265</v>
      </c>
      <c r="K158" t="inlineStr">
        <is>
          <t>159 / 106</t>
        </is>
      </c>
      <c r="L158" t="inlineStr">
        <is>
          <t>27 / 20</t>
        </is>
      </c>
      <c r="M158" s="5" t="n">
        <v>0.6</v>
      </c>
      <c r="N158" s="5" t="n">
        <v>0.57</v>
      </c>
    </row>
    <row r="159">
      <c r="A159" t="n">
        <v>158</v>
      </c>
      <c r="B159" t="n">
        <v>2014</v>
      </c>
      <c r="C159" t="inlineStr">
        <is>
          <t>Sophie Lu</t>
        </is>
      </c>
      <c r="D159">
        <f>HYPERLINK("https://ota.tournamentsoftware.com/player-profile/5C3C8ABA-3BF6-4232-B65C-B26C16207D0A", "Link")</f>
        <v/>
      </c>
      <c r="E159" s="3" t="n">
        <v>569.085</v>
      </c>
      <c r="F159" s="4" t="n">
        <v>18</v>
      </c>
      <c r="G159" t="inlineStr">
        <is>
          <t>Tennis Québec</t>
        </is>
      </c>
      <c r="H159" t="inlineStr">
        <is>
          <t>Tennis Ile- des- Soeurs</t>
        </is>
      </c>
      <c r="I159" t="inlineStr">
        <is>
          <t>unavailable</t>
        </is>
      </c>
      <c r="J159" s="4" t="n">
        <v>210</v>
      </c>
      <c r="K159" t="inlineStr">
        <is>
          <t>107 / 103</t>
        </is>
      </c>
      <c r="L159" t="inlineStr">
        <is>
          <t>36 / 24</t>
        </is>
      </c>
      <c r="M159" s="5" t="n">
        <v>0.51</v>
      </c>
      <c r="N159" s="5" t="n">
        <v>0.6</v>
      </c>
    </row>
    <row r="160">
      <c r="A160" t="n">
        <v>159</v>
      </c>
      <c r="B160" t="n">
        <v>2012</v>
      </c>
      <c r="C160" t="inlineStr">
        <is>
          <t>Alexandra Dorobantu</t>
        </is>
      </c>
      <c r="D160">
        <f>HYPERLINK("https://ota.tournamentsoftware.com/player-profile/CE7FB59F-F5CB-4CA3-A3EB-27DC05EB2B7D", "Link")</f>
        <v/>
      </c>
      <c r="E160" s="3" t="n">
        <v>568.771</v>
      </c>
      <c r="F160" s="4" t="n">
        <v>13</v>
      </c>
      <c r="G160" t="inlineStr">
        <is>
          <t>Tennis Alberta</t>
        </is>
      </c>
      <c r="H160" t="inlineStr">
        <is>
          <t>Saville Community Sports Centre</t>
        </is>
      </c>
      <c r="I160" t="inlineStr">
        <is>
          <t>unavailable</t>
        </is>
      </c>
      <c r="J160" s="4" t="n">
        <v>156</v>
      </c>
      <c r="K160" t="inlineStr">
        <is>
          <t>76 / 80</t>
        </is>
      </c>
      <c r="L160" t="inlineStr">
        <is>
          <t>14 / 17</t>
        </is>
      </c>
      <c r="M160" s="5" t="n">
        <v>0.49</v>
      </c>
      <c r="N160" s="5" t="n">
        <v>0.45</v>
      </c>
    </row>
    <row r="161">
      <c r="A161" t="n">
        <v>160</v>
      </c>
      <c r="B161" t="n">
        <v>2015</v>
      </c>
      <c r="C161" t="inlineStr">
        <is>
          <t>Alexia Djomo</t>
        </is>
      </c>
      <c r="D161">
        <f>HYPERLINK("https://ota.tournamentsoftware.com/player-profile/DCE433A3-22C1-4484-BA5B-62931094794E", "Link")</f>
        <v/>
      </c>
      <c r="E161" s="3" t="n">
        <v>559.021</v>
      </c>
      <c r="F161" s="4" t="n">
        <v>13</v>
      </c>
      <c r="G161" t="inlineStr">
        <is>
          <t>Tennis Manitoba</t>
        </is>
      </c>
      <c r="H161" t="inlineStr">
        <is>
          <t>Winnipeg Winter Club</t>
        </is>
      </c>
      <c r="I161" t="n">
        <v>33</v>
      </c>
      <c r="J161" s="4" t="n">
        <v>78</v>
      </c>
      <c r="K161" t="inlineStr">
        <is>
          <t>31 / 47</t>
        </is>
      </c>
      <c r="L161" t="inlineStr">
        <is>
          <t>24 / 28</t>
        </is>
      </c>
      <c r="M161" s="5" t="n">
        <v>0.4</v>
      </c>
      <c r="N161" s="5" t="n">
        <v>0.46</v>
      </c>
    </row>
    <row r="162">
      <c r="A162" t="n">
        <v>161</v>
      </c>
      <c r="B162" t="n">
        <v>2015</v>
      </c>
      <c r="C162" t="inlineStr">
        <is>
          <t>NELIA BERKOUD</t>
        </is>
      </c>
      <c r="D162">
        <f>HYPERLINK("https://ota.tournamentsoftware.com/player-profile/2E73021E-DEDD-484B-95FC-00429D223FB2", "Link")</f>
        <v/>
      </c>
      <c r="E162" s="3" t="n">
        <v>554.133</v>
      </c>
      <c r="F162" s="4" t="n">
        <v>23</v>
      </c>
      <c r="G162" t="inlineStr">
        <is>
          <t>Tennis Québec</t>
        </is>
      </c>
      <c r="H162" t="inlineStr">
        <is>
          <t>Carrefour Multisports</t>
        </is>
      </c>
      <c r="I162" t="n">
        <v>30.2</v>
      </c>
      <c r="J162" s="4" t="n">
        <v>142</v>
      </c>
      <c r="K162" t="inlineStr">
        <is>
          <t>87 / 55</t>
        </is>
      </c>
      <c r="L162" t="inlineStr">
        <is>
          <t>31 / 27</t>
        </is>
      </c>
      <c r="M162" s="5" t="n">
        <v>0.61</v>
      </c>
      <c r="N162" s="5" t="n">
        <v>0.53</v>
      </c>
    </row>
    <row r="163">
      <c r="A163" t="n">
        <v>162</v>
      </c>
      <c r="B163" t="n">
        <v>2015</v>
      </c>
      <c r="C163" t="inlineStr">
        <is>
          <t>Grace Wang</t>
        </is>
      </c>
      <c r="D163">
        <f>HYPERLINK("https://ota.tournamentsoftware.com/player-profile/2F68C1DC-1A19-4E3A-AF58-6DC4541843F2", "Link")</f>
        <v/>
      </c>
      <c r="E163" s="3" t="n">
        <v>553.759</v>
      </c>
      <c r="F163" s="4" t="n">
        <v>26</v>
      </c>
      <c r="G163" t="inlineStr">
        <is>
          <t>British Columbia</t>
        </is>
      </c>
      <c r="H163" t="inlineStr">
        <is>
          <t>No Club</t>
        </is>
      </c>
      <c r="I163" t="n">
        <v>28.7</v>
      </c>
      <c r="J163" s="4" t="n">
        <v>242</v>
      </c>
      <c r="K163" t="inlineStr">
        <is>
          <t>145 / 97</t>
        </is>
      </c>
      <c r="L163" t="inlineStr">
        <is>
          <t>44 / 24</t>
        </is>
      </c>
      <c r="M163" s="5" t="n">
        <v>0.6</v>
      </c>
      <c r="N163" s="5" t="n">
        <v>0.65</v>
      </c>
    </row>
    <row r="164">
      <c r="A164" t="n">
        <v>163</v>
      </c>
      <c r="B164" t="n">
        <v>2014</v>
      </c>
      <c r="C164" t="inlineStr">
        <is>
          <t>Charlie Thomas-Simard</t>
        </is>
      </c>
      <c r="D164">
        <f>HYPERLINK("https://ota.tournamentsoftware.com/player-profile/E101E3D0-39D8-4861-AB44-D9BE1C346E1E", "Link")</f>
        <v/>
      </c>
      <c r="E164" s="3" t="n">
        <v>550.771</v>
      </c>
      <c r="F164" s="4" t="n">
        <v>22</v>
      </c>
      <c r="G164" t="inlineStr">
        <is>
          <t>Tennis Québec</t>
        </is>
      </c>
      <c r="H164" t="inlineStr">
        <is>
          <t>Club Avantage Multi-sports / Académie de tennis Hérisset Bordeleau</t>
        </is>
      </c>
      <c r="I164" t="n">
        <v>31.5</v>
      </c>
      <c r="J164" s="4" t="n">
        <v>121</v>
      </c>
      <c r="K164" t="inlineStr">
        <is>
          <t>65 / 56</t>
        </is>
      </c>
      <c r="L164" t="inlineStr">
        <is>
          <t>29 / 28</t>
        </is>
      </c>
      <c r="M164" s="5" t="n">
        <v>0.54</v>
      </c>
      <c r="N164" s="5" t="n">
        <v>0.51</v>
      </c>
    </row>
    <row r="165">
      <c r="A165" t="n">
        <v>164</v>
      </c>
      <c r="B165" t="n">
        <v>2013</v>
      </c>
      <c r="C165" t="inlineStr">
        <is>
          <t>Maliah Morgan</t>
        </is>
      </c>
      <c r="D165">
        <f>HYPERLINK("https://ota.tournamentsoftware.com/player-profile/9A3C1326-AE04-42FE-BCE6-AF95D32715F8", "Link")</f>
        <v/>
      </c>
      <c r="E165" s="3" t="n">
        <v>541.035</v>
      </c>
      <c r="F165" s="4" t="n">
        <v>19</v>
      </c>
      <c r="G165" t="inlineStr">
        <is>
          <t>Ontario Tennis Association</t>
        </is>
      </c>
      <c r="H165" t="inlineStr">
        <is>
          <t>Joshua Creek Golf &amp; Tennis</t>
        </is>
      </c>
      <c r="I165" t="n">
        <v>29.6</v>
      </c>
      <c r="J165" s="4" t="n">
        <v>188</v>
      </c>
      <c r="K165" t="inlineStr">
        <is>
          <t>111 / 77</t>
        </is>
      </c>
      <c r="L165" t="inlineStr">
        <is>
          <t>11 / 14</t>
        </is>
      </c>
      <c r="M165" s="5" t="n">
        <v>0.59</v>
      </c>
      <c r="N165" s="5" t="n">
        <v>0.44</v>
      </c>
    </row>
    <row r="166">
      <c r="A166" t="n">
        <v>165</v>
      </c>
      <c r="B166" t="n">
        <v>2013</v>
      </c>
      <c r="C166" t="inlineStr">
        <is>
          <t>Chloe Elizabeth Kotorobai</t>
        </is>
      </c>
      <c r="D166">
        <f>HYPERLINK("https://ota.tournamentsoftware.com/player-profile/FA516D57-03A4-4F2E-810D-864F5732F5CE", "Link")</f>
        <v/>
      </c>
      <c r="E166" s="3" t="n">
        <v>540.384</v>
      </c>
      <c r="F166" s="4" t="n">
        <v>21</v>
      </c>
      <c r="G166" t="inlineStr">
        <is>
          <t>Ontario Tennis Association</t>
        </is>
      </c>
      <c r="H166" t="inlineStr">
        <is>
          <t>City of Stoney Creek</t>
        </is>
      </c>
      <c r="I166" t="n">
        <v>32</v>
      </c>
      <c r="J166" s="4" t="n">
        <v>92</v>
      </c>
      <c r="K166" t="inlineStr">
        <is>
          <t>36 / 56</t>
        </is>
      </c>
      <c r="L166" t="inlineStr">
        <is>
          <t>8 / 15</t>
        </is>
      </c>
      <c r="M166" s="5" t="n">
        <v>0.39</v>
      </c>
      <c r="N166" s="5" t="n">
        <v>0.35</v>
      </c>
    </row>
    <row r="167">
      <c r="A167" t="n">
        <v>166</v>
      </c>
      <c r="B167" t="n">
        <v>2012</v>
      </c>
      <c r="C167" t="inlineStr">
        <is>
          <t>Yuehan DONG</t>
        </is>
      </c>
      <c r="D167">
        <f>HYPERLINK("https://ota.tournamentsoftware.com/player-profile/F5996998-771E-46C9-A222-1C90911DD4C3", "Link")</f>
        <v/>
      </c>
      <c r="E167" s="3" t="n">
        <v>534.77</v>
      </c>
      <c r="F167" s="4" t="n">
        <v>28</v>
      </c>
      <c r="G167" t="inlineStr">
        <is>
          <t>Ontario Tennis Association</t>
        </is>
      </c>
      <c r="H167" t="inlineStr">
        <is>
          <t>Fainblum Tennis Academy</t>
        </is>
      </c>
      <c r="I167" t="n">
        <v>31.8</v>
      </c>
      <c r="J167" s="4" t="n">
        <v>125</v>
      </c>
      <c r="K167" t="inlineStr">
        <is>
          <t>56 / 69</t>
        </is>
      </c>
      <c r="L167" t="inlineStr">
        <is>
          <t>8 / 18</t>
        </is>
      </c>
      <c r="M167" s="5" t="n">
        <v>0.45</v>
      </c>
      <c r="N167" s="5" t="n">
        <v>0.31</v>
      </c>
    </row>
    <row r="168">
      <c r="A168" t="n">
        <v>167</v>
      </c>
      <c r="B168" t="n">
        <v>2015</v>
      </c>
      <c r="C168" t="inlineStr">
        <is>
          <t>Alyanna Jane Principe</t>
        </is>
      </c>
      <c r="D168">
        <f>HYPERLINK("https://ota.tournamentsoftware.com/player-profile/DF18434B-FE2E-4647-9481-0DA91B5C9B92", "Link")</f>
        <v/>
      </c>
      <c r="E168" s="3" t="n">
        <v>532.043</v>
      </c>
      <c r="F168" s="4" t="n">
        <v>22</v>
      </c>
      <c r="G168" t="inlineStr">
        <is>
          <t>British Columbia</t>
        </is>
      </c>
      <c r="H168" t="inlineStr">
        <is>
          <t>The Tennis Centre</t>
        </is>
      </c>
      <c r="I168" t="n">
        <v>28.4</v>
      </c>
      <c r="J168" s="4" t="n">
        <v>238</v>
      </c>
      <c r="K168" t="inlineStr">
        <is>
          <t>156 / 82</t>
        </is>
      </c>
      <c r="L168" t="inlineStr">
        <is>
          <t>34 / 23</t>
        </is>
      </c>
      <c r="M168" s="5" t="n">
        <v>0.66</v>
      </c>
      <c r="N168" s="5" t="n">
        <v>0.6</v>
      </c>
    </row>
    <row r="169">
      <c r="A169" t="n">
        <v>168</v>
      </c>
      <c r="B169" t="n">
        <v>2013</v>
      </c>
      <c r="C169" t="inlineStr">
        <is>
          <t>Sonya Notta</t>
        </is>
      </c>
      <c r="D169">
        <f>HYPERLINK("https://ota.tournamentsoftware.com/player-profile/6AF626BE-D8F1-4939-AF03-813D0A17EE25", "Link")</f>
        <v/>
      </c>
      <c r="E169" s="3" t="n">
        <v>527.968</v>
      </c>
      <c r="F169" s="4" t="n">
        <v>8</v>
      </c>
      <c r="G169" t="inlineStr">
        <is>
          <t>Ontario Tennis Association</t>
        </is>
      </c>
      <c r="H169" t="inlineStr">
        <is>
          <t>Mayfair East Racquet Club</t>
        </is>
      </c>
      <c r="I169" t="inlineStr">
        <is>
          <t>unavailable</t>
        </is>
      </c>
      <c r="J169" s="4" t="n">
        <v>76</v>
      </c>
      <c r="K169" t="inlineStr">
        <is>
          <t>51 / 25</t>
        </is>
      </c>
      <c r="L169" t="inlineStr">
        <is>
          <t>8 / 3</t>
        </is>
      </c>
      <c r="M169" s="5" t="n">
        <v>0.67</v>
      </c>
      <c r="N169" s="5" t="n">
        <v>0.73</v>
      </c>
    </row>
    <row r="170">
      <c r="A170" t="n">
        <v>169</v>
      </c>
      <c r="B170" t="n">
        <v>2014</v>
      </c>
      <c r="C170" t="inlineStr">
        <is>
          <t>Laetitia Thuy Van Nguyen</t>
        </is>
      </c>
      <c r="D170">
        <f>HYPERLINK("https://ota.tournamentsoftware.com/player-profile/B151CB64-D12D-48B2-8087-4EABB50157E8", "Link")</f>
        <v/>
      </c>
      <c r="E170" s="3" t="n">
        <v>522.812</v>
      </c>
      <c r="F170" s="4" t="n">
        <v>22</v>
      </c>
      <c r="G170" t="inlineStr">
        <is>
          <t>Tennis Québec</t>
        </is>
      </c>
      <c r="H170" t="inlineStr">
        <is>
          <t>Tennis Outaouais Performance (TOP)</t>
        </is>
      </c>
      <c r="I170" t="n">
        <v>29.8</v>
      </c>
      <c r="J170" s="4" t="n">
        <v>216</v>
      </c>
      <c r="K170" t="inlineStr">
        <is>
          <t>118 / 98</t>
        </is>
      </c>
      <c r="L170" t="inlineStr">
        <is>
          <t>32 / 23</t>
        </is>
      </c>
      <c r="M170" s="5" t="n">
        <v>0.55</v>
      </c>
      <c r="N170" s="5" t="n">
        <v>0.58</v>
      </c>
    </row>
    <row r="171">
      <c r="A171" t="n">
        <v>170</v>
      </c>
      <c r="B171" t="n">
        <v>2012</v>
      </c>
      <c r="C171" t="inlineStr">
        <is>
          <t>Meeth Kaur Rai</t>
        </is>
      </c>
      <c r="D171">
        <f>HYPERLINK("https://ota.tournamentsoftware.com/player-profile/3C191393-570A-4DF7-80D4-0613143CE54B", "Link")</f>
        <v/>
      </c>
      <c r="E171" s="3" t="n">
        <v>517.12</v>
      </c>
      <c r="F171" s="4" t="n">
        <v>18</v>
      </c>
      <c r="G171" t="inlineStr">
        <is>
          <t>British Columbia</t>
        </is>
      </c>
      <c r="H171" t="inlineStr">
        <is>
          <t>No Club</t>
        </is>
      </c>
      <c r="I171" t="n">
        <v>28.3</v>
      </c>
      <c r="J171" s="4" t="n">
        <v>230</v>
      </c>
      <c r="K171" t="inlineStr">
        <is>
          <t>126 / 104</t>
        </is>
      </c>
      <c r="L171" t="inlineStr">
        <is>
          <t>16 / 27</t>
        </is>
      </c>
      <c r="M171" s="5" t="n">
        <v>0.55</v>
      </c>
      <c r="N171" s="5" t="n">
        <v>0.37</v>
      </c>
    </row>
    <row r="172">
      <c r="A172" t="n">
        <v>171</v>
      </c>
      <c r="B172" t="n">
        <v>2012</v>
      </c>
      <c r="C172" t="inlineStr">
        <is>
          <t>Daniella Kulemin</t>
        </is>
      </c>
      <c r="D172">
        <f>HYPERLINK("https://ota.tournamentsoftware.com/player-profile/665847C2-A172-4164-B9E1-C1030269B793", "Link")</f>
        <v/>
      </c>
      <c r="E172" s="3" t="n">
        <v>515.465</v>
      </c>
      <c r="F172" s="4" t="n">
        <v>20</v>
      </c>
      <c r="G172" t="inlineStr">
        <is>
          <t>Ontario Tennis Association</t>
        </is>
      </c>
      <c r="H172" t="inlineStr">
        <is>
          <t>Concord Tennis Academy</t>
        </is>
      </c>
      <c r="I172" t="n">
        <v>30.6</v>
      </c>
      <c r="J172" s="4" t="n">
        <v>56</v>
      </c>
      <c r="K172" t="inlineStr">
        <is>
          <t>25 / 31</t>
        </is>
      </c>
      <c r="L172" t="inlineStr">
        <is>
          <t>15 / 17</t>
        </is>
      </c>
      <c r="M172" s="5" t="n">
        <v>0.45</v>
      </c>
      <c r="N172" s="5" t="n">
        <v>0.47</v>
      </c>
    </row>
    <row r="173">
      <c r="A173" t="n">
        <v>172</v>
      </c>
      <c r="B173" t="n">
        <v>2013</v>
      </c>
      <c r="C173" t="inlineStr">
        <is>
          <t>Nelly Campagna</t>
        </is>
      </c>
      <c r="D173">
        <f>HYPERLINK("https://ota.tournamentsoftware.com/player-profile/57A742FF-F88B-4C14-A895-DA6559972095", "Link")</f>
        <v/>
      </c>
      <c r="E173" s="3" t="n">
        <v>514.603</v>
      </c>
      <c r="F173" s="4" t="n">
        <v>20</v>
      </c>
      <c r="G173" t="inlineStr">
        <is>
          <t>Tennis Québec</t>
        </is>
      </c>
      <c r="H173" t="inlineStr">
        <is>
          <t>Centre récréatif de Repentigny / Académie Tennis Momentum</t>
        </is>
      </c>
      <c r="I173" t="n">
        <v>29.6</v>
      </c>
      <c r="J173" s="4" t="n">
        <v>167</v>
      </c>
      <c r="K173" t="inlineStr">
        <is>
          <t>89 / 78</t>
        </is>
      </c>
      <c r="L173" t="inlineStr">
        <is>
          <t>21 / 16</t>
        </is>
      </c>
      <c r="M173" s="5" t="n">
        <v>0.53</v>
      </c>
      <c r="N173" s="5" t="n">
        <v>0.57</v>
      </c>
    </row>
    <row r="174">
      <c r="A174" t="n">
        <v>173</v>
      </c>
      <c r="B174" t="n">
        <v>2012</v>
      </c>
      <c r="C174" t="inlineStr">
        <is>
          <t>Ira Karthi</t>
        </is>
      </c>
      <c r="D174">
        <f>HYPERLINK("https://ota.tournamentsoftware.com/player-profile/87DFD688-7475-43FD-B605-7E13CDDC471C", "Link")</f>
        <v/>
      </c>
      <c r="E174" s="3" t="n">
        <v>509.725</v>
      </c>
      <c r="F174" s="4" t="n">
        <v>19</v>
      </c>
      <c r="G174" t="inlineStr">
        <is>
          <t>Ontario Tennis Association</t>
        </is>
      </c>
      <c r="H174" t="inlineStr">
        <is>
          <t>Sandy Beach Tennis Club</t>
        </is>
      </c>
      <c r="I174" t="n">
        <v>32.4</v>
      </c>
      <c r="J174" s="4" t="n">
        <v>74</v>
      </c>
      <c r="K174" t="inlineStr">
        <is>
          <t>22 / 52</t>
        </is>
      </c>
      <c r="L174" t="inlineStr">
        <is>
          <t>11 / 14</t>
        </is>
      </c>
      <c r="M174" s="5" t="n">
        <v>0.3</v>
      </c>
      <c r="N174" s="5" t="n">
        <v>0.44</v>
      </c>
    </row>
    <row r="175">
      <c r="A175" t="n">
        <v>174</v>
      </c>
      <c r="B175" t="n">
        <v>2013</v>
      </c>
      <c r="C175" t="inlineStr">
        <is>
          <t>Sonya Resnikova</t>
        </is>
      </c>
      <c r="D175">
        <f>HYPERLINK("https://ota.tournamentsoftware.com/player-profile/083F5EEA-6E2D-488B-B778-27E4248C2F0D", "Link")</f>
        <v/>
      </c>
      <c r="E175" s="3" t="n">
        <v>508.302</v>
      </c>
      <c r="F175" s="4" t="n">
        <v>26</v>
      </c>
      <c r="G175" t="inlineStr">
        <is>
          <t>Ontario Tennis Association</t>
        </is>
      </c>
      <c r="H175" t="inlineStr">
        <is>
          <t>SmartVMC Racquetsports by ACE</t>
        </is>
      </c>
      <c r="I175" t="n">
        <v>31.8</v>
      </c>
      <c r="J175" s="4" t="n">
        <v>87</v>
      </c>
      <c r="K175" t="inlineStr">
        <is>
          <t>55 / 32</t>
        </is>
      </c>
      <c r="L175" t="inlineStr">
        <is>
          <t>23 / 18</t>
        </is>
      </c>
      <c r="M175" s="5" t="n">
        <v>0.63</v>
      </c>
      <c r="N175" s="5" t="n">
        <v>0.5600000000000001</v>
      </c>
    </row>
    <row r="176">
      <c r="A176" t="n">
        <v>175</v>
      </c>
      <c r="B176" t="n">
        <v>2012</v>
      </c>
      <c r="C176" t="inlineStr">
        <is>
          <t>Margot de Candé</t>
        </is>
      </c>
      <c r="D176">
        <f>HYPERLINK("https://ota.tournamentsoftware.com/player-profile/695315EE-6360-44B7-9352-E2A867A09DAD", "Link")</f>
        <v/>
      </c>
      <c r="E176" s="3" t="n">
        <v>506.227</v>
      </c>
      <c r="F176" s="4" t="n">
        <v>14</v>
      </c>
      <c r="G176" t="inlineStr">
        <is>
          <t>Tennis Québec</t>
        </is>
      </c>
      <c r="H176" t="inlineStr">
        <is>
          <t>Tennis Ile- des- Soeurs</t>
        </is>
      </c>
      <c r="I176" t="n">
        <v>30.2</v>
      </c>
      <c r="J176" s="4" t="n">
        <v>113</v>
      </c>
      <c r="K176" t="inlineStr">
        <is>
          <t>54 / 59</t>
        </is>
      </c>
      <c r="L176" t="inlineStr">
        <is>
          <t>14 / 4</t>
        </is>
      </c>
      <c r="M176" s="5" t="n">
        <v>0.48</v>
      </c>
      <c r="N176" s="5" t="n">
        <v>0.78</v>
      </c>
    </row>
    <row r="177">
      <c r="A177" t="n">
        <v>176</v>
      </c>
      <c r="B177" t="n">
        <v>2012</v>
      </c>
      <c r="C177" t="inlineStr">
        <is>
          <t>Emma Sun</t>
        </is>
      </c>
      <c r="D177">
        <f>HYPERLINK("https://ota.tournamentsoftware.com/player-profile/00B8EFA4-17DF-49B4-90DE-B5A577BC8620", "Link")</f>
        <v/>
      </c>
      <c r="E177" s="3" t="n">
        <v>503.724</v>
      </c>
      <c r="F177" s="4" t="n">
        <v>15</v>
      </c>
      <c r="G177" t="inlineStr">
        <is>
          <t>British Columbia</t>
        </is>
      </c>
      <c r="H177" t="inlineStr">
        <is>
          <t>The Tennis Centre</t>
        </is>
      </c>
      <c r="I177" t="n">
        <v>27.5</v>
      </c>
      <c r="J177" s="4" t="n">
        <v>260</v>
      </c>
      <c r="K177" t="inlineStr">
        <is>
          <t>124 / 136</t>
        </is>
      </c>
      <c r="L177" t="inlineStr">
        <is>
          <t>15 / 15</t>
        </is>
      </c>
      <c r="M177" s="5" t="n">
        <v>0.48</v>
      </c>
      <c r="N177" s="5" t="n">
        <v>0.5</v>
      </c>
    </row>
    <row r="178">
      <c r="A178" t="n">
        <v>177</v>
      </c>
      <c r="B178" t="n">
        <v>2012</v>
      </c>
      <c r="C178" t="inlineStr">
        <is>
          <t>Alexandra Bayentin</t>
        </is>
      </c>
      <c r="D178">
        <f>HYPERLINK("https://ota.tournamentsoftware.com/player-profile/EFF894D9-35F7-45C9-9C57-06584708D213", "Link")</f>
        <v/>
      </c>
      <c r="E178" s="3" t="n">
        <v>499.016</v>
      </c>
      <c r="F178" s="4" t="n">
        <v>14</v>
      </c>
      <c r="G178" t="inlineStr">
        <is>
          <t>Tennis Alberta</t>
        </is>
      </c>
      <c r="H178" t="inlineStr">
        <is>
          <t>Osten &amp; Victor Alberta Tennis Centre</t>
        </is>
      </c>
      <c r="I178" t="n">
        <v>29</v>
      </c>
      <c r="J178" s="4" t="n">
        <v>167</v>
      </c>
      <c r="K178" t="inlineStr">
        <is>
          <t>81 / 86</t>
        </is>
      </c>
      <c r="L178" t="inlineStr">
        <is>
          <t>11 / 12</t>
        </is>
      </c>
      <c r="M178" s="5" t="n">
        <v>0.49</v>
      </c>
      <c r="N178" s="5" t="n">
        <v>0.48</v>
      </c>
    </row>
    <row r="179">
      <c r="A179" t="n">
        <v>178</v>
      </c>
      <c r="B179" t="n">
        <v>2015</v>
      </c>
      <c r="C179" t="inlineStr">
        <is>
          <t>Abbey Crump</t>
        </is>
      </c>
      <c r="D179">
        <f>HYPERLINK("https://ota.tournamentsoftware.com/player-profile/92F0423F-2B57-40B1-A6AA-5C7DC6477800", "Link")</f>
        <v/>
      </c>
      <c r="E179" s="3" t="n">
        <v>493.889</v>
      </c>
      <c r="F179" s="4" t="n">
        <v>16</v>
      </c>
      <c r="G179" t="inlineStr">
        <is>
          <t>Ontario Tennis Association</t>
        </is>
      </c>
      <c r="H179" t="inlineStr">
        <is>
          <t>Joshua Creek Golf &amp; Tennis</t>
        </is>
      </c>
      <c r="I179" t="n">
        <v>30.7</v>
      </c>
      <c r="J179" s="4" t="n">
        <v>146</v>
      </c>
      <c r="K179" t="inlineStr">
        <is>
          <t>120 / 26</t>
        </is>
      </c>
      <c r="L179" t="inlineStr">
        <is>
          <t>28 / 15</t>
        </is>
      </c>
      <c r="M179" s="5" t="n">
        <v>0.82</v>
      </c>
      <c r="N179" s="5" t="n">
        <v>0.65</v>
      </c>
    </row>
    <row r="180">
      <c r="A180" t="n">
        <v>179</v>
      </c>
      <c r="B180" t="n">
        <v>2013</v>
      </c>
      <c r="C180" t="inlineStr">
        <is>
          <t>Mila Anna Kodjian</t>
        </is>
      </c>
      <c r="D180">
        <f>HYPERLINK("https://ota.tournamentsoftware.com/player-profile/CE1F1BC7-04CB-4652-A947-AF91FA03ECD5", "Link")</f>
        <v/>
      </c>
      <c r="E180" s="3" t="n">
        <v>491.4</v>
      </c>
      <c r="F180" s="4" t="n">
        <v>18</v>
      </c>
      <c r="G180" t="inlineStr">
        <is>
          <t>Ontario Tennis Association</t>
        </is>
      </c>
      <c r="H180" t="inlineStr">
        <is>
          <t>Rosethorn Tennis Club</t>
        </is>
      </c>
      <c r="I180" t="n">
        <v>31.6</v>
      </c>
      <c r="J180" s="4" t="n">
        <v>114</v>
      </c>
      <c r="K180" t="inlineStr">
        <is>
          <t>66 / 48</t>
        </is>
      </c>
      <c r="L180" t="inlineStr">
        <is>
          <t>25 / 10</t>
        </is>
      </c>
      <c r="M180" s="5" t="n">
        <v>0.58</v>
      </c>
      <c r="N180" s="5" t="n">
        <v>0.71</v>
      </c>
    </row>
    <row r="181">
      <c r="A181" t="n">
        <v>180</v>
      </c>
      <c r="B181" t="n">
        <v>2013</v>
      </c>
      <c r="C181" t="inlineStr">
        <is>
          <t>Livia Seguin</t>
        </is>
      </c>
      <c r="D181">
        <f>HYPERLINK("https://ota.tournamentsoftware.com/player-profile/2B987274-8A56-4EE6-B85D-948871231CC0", "Link")</f>
        <v/>
      </c>
      <c r="E181" s="3" t="n">
        <v>488.345</v>
      </c>
      <c r="F181" s="4" t="n">
        <v>36</v>
      </c>
      <c r="G181" t="inlineStr">
        <is>
          <t>Tennis Québec</t>
        </is>
      </c>
      <c r="H181" t="inlineStr">
        <is>
          <t>Tennis Interclub Piedmont</t>
        </is>
      </c>
      <c r="I181" t="n">
        <v>33</v>
      </c>
      <c r="J181" s="4" t="n">
        <v>133</v>
      </c>
      <c r="K181" t="inlineStr">
        <is>
          <t>40 / 93</t>
        </is>
      </c>
      <c r="L181" t="inlineStr">
        <is>
          <t>16 / 32</t>
        </is>
      </c>
      <c r="M181" s="5" t="n">
        <v>0.3</v>
      </c>
      <c r="N181" s="5" t="n">
        <v>0.33</v>
      </c>
    </row>
    <row r="182">
      <c r="A182" t="n">
        <v>181</v>
      </c>
      <c r="B182" t="n">
        <v>2012</v>
      </c>
      <c r="C182" t="inlineStr">
        <is>
          <t>Maya Sophia Abdullah</t>
        </is>
      </c>
      <c r="D182">
        <f>HYPERLINK("https://ota.tournamentsoftware.com/player-profile/6169AD2A-5AC2-4220-8B87-C5D54BAF6AD4", "Link")</f>
        <v/>
      </c>
      <c r="E182" s="3" t="n">
        <v>485.934</v>
      </c>
      <c r="F182" s="4" t="n">
        <v>20</v>
      </c>
      <c r="G182" t="inlineStr">
        <is>
          <t>Tennis Alberta</t>
        </is>
      </c>
      <c r="H182" t="inlineStr">
        <is>
          <t>Aforza</t>
        </is>
      </c>
      <c r="I182" t="n">
        <v>31.5</v>
      </c>
      <c r="J182" s="4" t="n">
        <v>61</v>
      </c>
      <c r="K182" t="inlineStr">
        <is>
          <t>30 / 31</t>
        </is>
      </c>
      <c r="L182" t="inlineStr">
        <is>
          <t>18 / 19</t>
        </is>
      </c>
      <c r="M182" s="5" t="n">
        <v>0.49</v>
      </c>
      <c r="N182" s="5" t="n">
        <v>0.49</v>
      </c>
    </row>
    <row r="183">
      <c r="A183" t="n">
        <v>182</v>
      </c>
      <c r="B183" t="n">
        <v>2014</v>
      </c>
      <c r="C183" t="inlineStr">
        <is>
          <t>Naima Majumdar-Moreau</t>
        </is>
      </c>
      <c r="D183">
        <f>HYPERLINK("https://ota.tournamentsoftware.com/player-profile/DCA02929-B08F-46CE-9CFE-852A987CEBF8", "Link")</f>
        <v/>
      </c>
      <c r="E183" s="3" t="n">
        <v>485.9</v>
      </c>
      <c r="F183" s="4" t="n">
        <v>30</v>
      </c>
      <c r="G183" t="inlineStr">
        <is>
          <t>Tennis Québec</t>
        </is>
      </c>
      <c r="H183" t="inlineStr">
        <is>
          <t>Tennis Ile- des- Soeurs</t>
        </is>
      </c>
      <c r="I183" t="inlineStr">
        <is>
          <t>unavailable</t>
        </is>
      </c>
      <c r="J183" s="4" t="n">
        <v>158</v>
      </c>
      <c r="K183" t="inlineStr">
        <is>
          <t>74 / 84</t>
        </is>
      </c>
      <c r="L183" t="inlineStr">
        <is>
          <t>30 / 29</t>
        </is>
      </c>
      <c r="M183" s="5" t="n">
        <v>0.47</v>
      </c>
      <c r="N183" s="5" t="n">
        <v>0.51</v>
      </c>
    </row>
    <row r="184">
      <c r="A184" t="n">
        <v>183</v>
      </c>
      <c r="B184" t="n">
        <v>2015</v>
      </c>
      <c r="C184" t="inlineStr">
        <is>
          <t>Elina Wang</t>
        </is>
      </c>
      <c r="D184">
        <f>HYPERLINK("https://ota.tournamentsoftware.com/player-profile/D1A88E02-8A26-413B-866E-8A72948B268F", "Link")</f>
        <v/>
      </c>
      <c r="E184" s="3" t="n">
        <v>482.596</v>
      </c>
      <c r="F184" s="4" t="n">
        <v>20</v>
      </c>
      <c r="G184" t="inlineStr">
        <is>
          <t>Ontario Tennis Association</t>
        </is>
      </c>
      <c r="H184" t="inlineStr">
        <is>
          <t>Richmondhill Golf &amp; Country Club</t>
        </is>
      </c>
      <c r="I184" t="n">
        <v>30.5</v>
      </c>
      <c r="J184" s="4" t="n">
        <v>232</v>
      </c>
      <c r="K184" t="inlineStr">
        <is>
          <t>153 / 79</t>
        </is>
      </c>
      <c r="L184" t="inlineStr">
        <is>
          <t>36 / 14</t>
        </is>
      </c>
      <c r="M184" s="5" t="n">
        <v>0.66</v>
      </c>
      <c r="N184" s="5" t="n">
        <v>0.72</v>
      </c>
    </row>
    <row r="185">
      <c r="A185" t="n">
        <v>184</v>
      </c>
      <c r="B185" t="n">
        <v>2013</v>
      </c>
      <c r="C185" t="inlineStr">
        <is>
          <t>Alexandra Choe</t>
        </is>
      </c>
      <c r="D185">
        <f>HYPERLINK("https://ota.tournamentsoftware.com/player-profile/0BFF8F09-A612-40D9-B491-E305A472672B", "Link")</f>
        <v/>
      </c>
      <c r="E185" s="3" t="n">
        <v>481.947</v>
      </c>
      <c r="F185" s="4" t="n">
        <v>15</v>
      </c>
      <c r="G185" t="inlineStr">
        <is>
          <t>Ontario Tennis Association</t>
        </is>
      </c>
      <c r="H185" t="inlineStr">
        <is>
          <t>Joshua Creek Golf &amp; Tennis</t>
        </is>
      </c>
      <c r="I185" t="n">
        <v>30</v>
      </c>
      <c r="J185" s="4" t="n">
        <v>221</v>
      </c>
      <c r="K185" t="inlineStr">
        <is>
          <t>135 / 86</t>
        </is>
      </c>
      <c r="L185" t="inlineStr">
        <is>
          <t>8 / 4</t>
        </is>
      </c>
      <c r="M185" s="5" t="n">
        <v>0.61</v>
      </c>
      <c r="N185" s="5" t="n">
        <v>0.67</v>
      </c>
    </row>
    <row r="186">
      <c r="A186" t="n">
        <v>185</v>
      </c>
      <c r="B186" t="n">
        <v>2014</v>
      </c>
      <c r="C186" t="inlineStr">
        <is>
          <t>Anica Yachun Liu</t>
        </is>
      </c>
      <c r="D186">
        <f>HYPERLINK("https://ota.tournamentsoftware.com/player-profile/B58148E6-4895-4918-B4B6-ADFAA5FEE0D2", "Link")</f>
        <v/>
      </c>
      <c r="E186" s="3" t="n">
        <v>479.105</v>
      </c>
      <c r="F186" s="4" t="n">
        <v>23</v>
      </c>
      <c r="G186" t="inlineStr">
        <is>
          <t>Tennis Alberta</t>
        </is>
      </c>
      <c r="H186" t="inlineStr">
        <is>
          <t>Saville Community Sports Centre</t>
        </is>
      </c>
      <c r="I186" t="n">
        <v>29.4</v>
      </c>
      <c r="J186" s="4" t="n">
        <v>224</v>
      </c>
      <c r="K186" t="inlineStr">
        <is>
          <t>111 / 113</t>
        </is>
      </c>
      <c r="L186" t="inlineStr">
        <is>
          <t>30 / 35</t>
        </is>
      </c>
      <c r="M186" s="5" t="n">
        <v>0.5</v>
      </c>
      <c r="N186" s="5" t="n">
        <v>0.46</v>
      </c>
    </row>
    <row r="187">
      <c r="A187" t="n">
        <v>186</v>
      </c>
      <c r="B187" t="n">
        <v>2013</v>
      </c>
      <c r="C187" t="inlineStr">
        <is>
          <t>Juliana Sophie Ho</t>
        </is>
      </c>
      <c r="D187">
        <f>HYPERLINK("https://ota.tournamentsoftware.com/player-profile/D79AC720-EA55-42CC-ACCB-558E5C86D00C", "Link")</f>
        <v/>
      </c>
      <c r="E187" s="3" t="n">
        <v>468.722</v>
      </c>
      <c r="F187" s="4" t="n">
        <v>30</v>
      </c>
      <c r="G187" t="inlineStr">
        <is>
          <t>Ontario Tennis Association</t>
        </is>
      </c>
      <c r="H187" t="inlineStr">
        <is>
          <t>Ontario Racquet Club</t>
        </is>
      </c>
      <c r="I187" t="n">
        <v>32.3</v>
      </c>
      <c r="J187" s="4" t="n">
        <v>143</v>
      </c>
      <c r="K187" t="inlineStr">
        <is>
          <t>73 / 70</t>
        </is>
      </c>
      <c r="L187" t="inlineStr">
        <is>
          <t>21 / 19</t>
        </is>
      </c>
      <c r="M187" s="5" t="n">
        <v>0.51</v>
      </c>
      <c r="N187" s="5" t="n">
        <v>0.53</v>
      </c>
    </row>
    <row r="188">
      <c r="A188" t="n">
        <v>187</v>
      </c>
      <c r="B188" t="n">
        <v>2012</v>
      </c>
      <c r="C188" t="inlineStr">
        <is>
          <t>Izibeyle Bhopal</t>
        </is>
      </c>
      <c r="D188">
        <f>HYPERLINK("https://ota.tournamentsoftware.com/player-profile/E9C7A60A-D097-4925-9456-764C57DCF01A", "Link")</f>
        <v/>
      </c>
      <c r="E188" s="3" t="n">
        <v>468.448</v>
      </c>
      <c r="F188" s="4" t="n">
        <v>2</v>
      </c>
      <c r="G188" t="inlineStr">
        <is>
          <t>British Columbia</t>
        </is>
      </c>
      <c r="H188" t="inlineStr">
        <is>
          <t>Bear Mountain Tennis Centre</t>
        </is>
      </c>
      <c r="I188" t="n">
        <v>24.4</v>
      </c>
      <c r="J188" s="4" t="n">
        <v>64</v>
      </c>
      <c r="K188" t="inlineStr">
        <is>
          <t>39 / 25</t>
        </is>
      </c>
      <c r="L188" t="inlineStr">
        <is>
          <t>4 / 0</t>
        </is>
      </c>
      <c r="M188" s="5" t="n">
        <v>0.61</v>
      </c>
      <c r="N188" s="5" t="n">
        <v>1</v>
      </c>
    </row>
    <row r="189">
      <c r="A189" t="n">
        <v>188</v>
      </c>
      <c r="B189" t="n">
        <v>2014</v>
      </c>
      <c r="C189" t="inlineStr">
        <is>
          <t>Eva Larose</t>
        </is>
      </c>
      <c r="D189">
        <f>HYPERLINK("https://ota.tournamentsoftware.com/player-profile/BC2D4F14-515B-4F2A-AD3B-8DA03F3E5E5B", "Link")</f>
        <v/>
      </c>
      <c r="E189" s="3" t="n">
        <v>466.782</v>
      </c>
      <c r="F189" s="4" t="n">
        <v>22</v>
      </c>
      <c r="G189" t="inlineStr">
        <is>
          <t>Tennis Québec</t>
        </is>
      </c>
      <c r="H189" t="inlineStr">
        <is>
          <t>Tennis Ile- des- Soeurs</t>
        </is>
      </c>
      <c r="I189" t="inlineStr">
        <is>
          <t>unavailable</t>
        </is>
      </c>
      <c r="J189" s="4" t="n">
        <v>163</v>
      </c>
      <c r="K189" t="inlineStr">
        <is>
          <t>96 / 67</t>
        </is>
      </c>
      <c r="L189" t="inlineStr">
        <is>
          <t>43 / 19</t>
        </is>
      </c>
      <c r="M189" s="5" t="n">
        <v>0.59</v>
      </c>
      <c r="N189" s="5" t="n">
        <v>0.6899999999999999</v>
      </c>
    </row>
    <row r="190">
      <c r="A190" t="n">
        <v>189</v>
      </c>
      <c r="B190" t="n">
        <v>2016</v>
      </c>
      <c r="C190" t="inlineStr">
        <is>
          <t>Alisha Goel</t>
        </is>
      </c>
      <c r="D190">
        <f>HYPERLINK("https://ota.tournamentsoftware.com/player-profile/7F9E9DD0-77A1-4F40-B2B5-C4B89592B089", "Link")</f>
        <v/>
      </c>
      <c r="E190" s="3" t="n">
        <v>459.47</v>
      </c>
      <c r="F190" s="4" t="n">
        <v>23</v>
      </c>
      <c r="G190" t="inlineStr">
        <is>
          <t>Ontario Tennis Association</t>
        </is>
      </c>
      <c r="H190" t="inlineStr">
        <is>
          <t>The Supreme Court Tennis Club</t>
        </is>
      </c>
      <c r="I190" t="n">
        <v>32.7</v>
      </c>
      <c r="J190" s="4" t="n">
        <v>182</v>
      </c>
      <c r="K190" t="inlineStr">
        <is>
          <t>123 / 59</t>
        </is>
      </c>
      <c r="L190" t="inlineStr">
        <is>
          <t>36 / 21</t>
        </is>
      </c>
      <c r="M190" s="5" t="n">
        <v>0.68</v>
      </c>
      <c r="N190" s="5" t="n">
        <v>0.63</v>
      </c>
    </row>
    <row r="191">
      <c r="A191" t="n">
        <v>190</v>
      </c>
      <c r="B191" t="n">
        <v>2012</v>
      </c>
      <c r="C191" t="inlineStr">
        <is>
          <t>MISHIKA SURESH BALAJI</t>
        </is>
      </c>
      <c r="D191">
        <f>HYPERLINK("https://ota.tournamentsoftware.com/player-profile/B11C615C-6BB8-4655-BCAA-370D01C186B1", "Link")</f>
        <v/>
      </c>
      <c r="E191" s="3" t="n">
        <v>448</v>
      </c>
      <c r="F191" s="4" t="n">
        <v>17</v>
      </c>
      <c r="G191" t="inlineStr">
        <is>
          <t>Tennis Nova Scotia</t>
        </is>
      </c>
      <c r="H191" t="inlineStr">
        <is>
          <t>Atlantic Tennis Centre</t>
        </is>
      </c>
      <c r="I191" t="n">
        <v>28.1</v>
      </c>
      <c r="J191" s="4" t="n">
        <v>169</v>
      </c>
      <c r="K191" t="inlineStr">
        <is>
          <t>87 / 82</t>
        </is>
      </c>
      <c r="L191" t="inlineStr">
        <is>
          <t>22 / 14</t>
        </is>
      </c>
      <c r="M191" s="5" t="n">
        <v>0.51</v>
      </c>
      <c r="N191" s="5" t="n">
        <v>0.61</v>
      </c>
    </row>
    <row r="192">
      <c r="A192" t="n">
        <v>191</v>
      </c>
      <c r="B192" t="n">
        <v>2013</v>
      </c>
      <c r="C192" t="inlineStr">
        <is>
          <t>Bianca Bordogna</t>
        </is>
      </c>
      <c r="D192">
        <f>HYPERLINK("https://ota.tournamentsoftware.com/player-profile/71A0B4E7-3A92-4F64-82D6-42A032600DC7", "Link")</f>
        <v/>
      </c>
      <c r="E192" s="3" t="n">
        <v>447.08</v>
      </c>
      <c r="F192" s="4" t="n">
        <v>14</v>
      </c>
      <c r="G192" t="inlineStr">
        <is>
          <t>Ontario Tennis Association</t>
        </is>
      </c>
      <c r="H192" t="inlineStr">
        <is>
          <t>Carleton Tennis Centre</t>
        </is>
      </c>
      <c r="I192" t="n">
        <v>31.5</v>
      </c>
      <c r="J192" s="4" t="n">
        <v>104</v>
      </c>
      <c r="K192" t="inlineStr">
        <is>
          <t>53 / 51</t>
        </is>
      </c>
      <c r="L192" t="inlineStr">
        <is>
          <t>10 / 11</t>
        </is>
      </c>
      <c r="M192" s="5" t="n">
        <v>0.51</v>
      </c>
      <c r="N192" s="5" t="n">
        <v>0.48</v>
      </c>
    </row>
    <row r="193">
      <c r="A193" t="n">
        <v>192</v>
      </c>
      <c r="B193" t="n">
        <v>2013</v>
      </c>
      <c r="C193" t="inlineStr">
        <is>
          <t>Mariela Ibrahim</t>
        </is>
      </c>
      <c r="D193">
        <f>HYPERLINK("https://ota.tournamentsoftware.com/player-profile/D80C965C-4117-4C2C-9F46-F371E9E47454", "Link")</f>
        <v/>
      </c>
      <c r="E193" s="3" t="n">
        <v>447.042</v>
      </c>
      <c r="F193" s="4" t="n">
        <v>28</v>
      </c>
      <c r="G193" t="inlineStr">
        <is>
          <t>Ontario Tennis Association</t>
        </is>
      </c>
      <c r="H193" t="inlineStr">
        <is>
          <t>Concord Tennis Academy</t>
        </is>
      </c>
      <c r="I193" t="inlineStr">
        <is>
          <t>unavailable</t>
        </is>
      </c>
      <c r="J193" s="4" t="n">
        <v>102</v>
      </c>
      <c r="K193" t="inlineStr">
        <is>
          <t>58 / 44</t>
        </is>
      </c>
      <c r="L193" t="inlineStr">
        <is>
          <t>24 / 18</t>
        </is>
      </c>
      <c r="M193" s="5" t="n">
        <v>0.57</v>
      </c>
      <c r="N193" s="5" t="n">
        <v>0.57</v>
      </c>
    </row>
    <row r="194">
      <c r="A194" t="n">
        <v>193</v>
      </c>
      <c r="B194" t="n">
        <v>2015</v>
      </c>
      <c r="C194" t="inlineStr">
        <is>
          <t>Sunandita Pal</t>
        </is>
      </c>
      <c r="D194">
        <f>HYPERLINK("https://ota.tournamentsoftware.com/player-profile/10185E41-C6E2-4C6A-9A47-A3AF6C77F2A4", "Link")</f>
        <v/>
      </c>
      <c r="E194" s="3" t="n">
        <v>444.977</v>
      </c>
      <c r="F194" s="4" t="n">
        <v>27</v>
      </c>
      <c r="G194" t="inlineStr">
        <is>
          <t>Ontario Tennis Association</t>
        </is>
      </c>
      <c r="H194" t="inlineStr">
        <is>
          <t>No Club</t>
        </is>
      </c>
      <c r="I194" t="n">
        <v>33.3</v>
      </c>
      <c r="J194" s="4" t="n">
        <v>233</v>
      </c>
      <c r="K194" t="inlineStr">
        <is>
          <t>110 / 123</t>
        </is>
      </c>
      <c r="L194" t="inlineStr">
        <is>
          <t>26 / 22</t>
        </is>
      </c>
      <c r="M194" s="5" t="n">
        <v>0.47</v>
      </c>
      <c r="N194" s="5" t="n">
        <v>0.54</v>
      </c>
    </row>
    <row r="195">
      <c r="A195" t="n">
        <v>194</v>
      </c>
      <c r="B195" t="n">
        <v>2013</v>
      </c>
      <c r="C195" t="inlineStr">
        <is>
          <t>Rihanna Kulyk</t>
        </is>
      </c>
      <c r="D195">
        <f>HYPERLINK("https://ota.tournamentsoftware.com/player-profile/6E1703BA-DB25-4B47-9BB7-314BDDCFDBAC", "Link")</f>
        <v/>
      </c>
      <c r="E195" s="3" t="n">
        <v>444.665</v>
      </c>
      <c r="F195" s="4" t="n">
        <v>24</v>
      </c>
      <c r="G195" t="inlineStr">
        <is>
          <t>Tennis Québec</t>
        </is>
      </c>
      <c r="H195" t="inlineStr">
        <is>
          <t>Tennis Ile- des- Soeurs</t>
        </is>
      </c>
      <c r="I195" t="inlineStr">
        <is>
          <t>unavailable</t>
        </is>
      </c>
      <c r="J195" s="4" t="n">
        <v>241</v>
      </c>
      <c r="K195" t="inlineStr">
        <is>
          <t>106 / 135</t>
        </is>
      </c>
      <c r="L195" t="inlineStr">
        <is>
          <t>13 / 21</t>
        </is>
      </c>
      <c r="M195" s="5" t="n">
        <v>0.44</v>
      </c>
      <c r="N195" s="5" t="n">
        <v>0.38</v>
      </c>
    </row>
    <row r="196">
      <c r="A196" t="n">
        <v>195</v>
      </c>
      <c r="B196" t="n">
        <v>2014</v>
      </c>
      <c r="C196" t="inlineStr">
        <is>
          <t>KENZA JERBI</t>
        </is>
      </c>
      <c r="D196">
        <f>HYPERLINK("https://ota.tournamentsoftware.com/player-profile/C6A8B859-96DA-46D9-A270-B08DA27DDE5C", "Link")</f>
        <v/>
      </c>
      <c r="E196" s="3" t="n">
        <v>442.895</v>
      </c>
      <c r="F196" s="4" t="n">
        <v>15</v>
      </c>
      <c r="G196" t="inlineStr">
        <is>
          <t>Tennis Québec</t>
        </is>
      </c>
      <c r="H196" t="inlineStr">
        <is>
          <t>Tennis Montréal Excellence</t>
        </is>
      </c>
      <c r="I196" t="n">
        <v>31.9</v>
      </c>
      <c r="J196" s="4" t="n">
        <v>108</v>
      </c>
      <c r="K196" t="inlineStr">
        <is>
          <t>65 / 43</t>
        </is>
      </c>
      <c r="L196" t="inlineStr">
        <is>
          <t>7 / 11</t>
        </is>
      </c>
      <c r="M196" s="5" t="n">
        <v>0.6</v>
      </c>
      <c r="N196" s="5" t="n">
        <v>0.39</v>
      </c>
    </row>
    <row r="197">
      <c r="A197" t="n">
        <v>196</v>
      </c>
      <c r="B197" t="n">
        <v>2012</v>
      </c>
      <c r="C197" t="inlineStr">
        <is>
          <t>Ella Zhao</t>
        </is>
      </c>
      <c r="D197">
        <f>HYPERLINK("https://ota.tournamentsoftware.com/player-profile/4CFC4B61-0F67-4AD7-8CC6-03CC7A224737", "Link")</f>
        <v/>
      </c>
      <c r="E197" s="3" t="n">
        <v>442.478</v>
      </c>
      <c r="F197" s="4" t="n">
        <v>9</v>
      </c>
      <c r="G197" t="inlineStr">
        <is>
          <t>British Columbia</t>
        </is>
      </c>
      <c r="H197" t="inlineStr">
        <is>
          <t>North Shore Winter Club</t>
        </is>
      </c>
      <c r="I197" t="n">
        <v>26.9</v>
      </c>
      <c r="J197" s="4" t="n">
        <v>121</v>
      </c>
      <c r="K197" t="inlineStr">
        <is>
          <t>89 / 32</t>
        </is>
      </c>
      <c r="L197" t="inlineStr">
        <is>
          <t>9 / 7</t>
        </is>
      </c>
      <c r="M197" s="5" t="n">
        <v>0.74</v>
      </c>
      <c r="N197" s="5" t="n">
        <v>0.5600000000000001</v>
      </c>
    </row>
    <row r="198">
      <c r="A198" t="n">
        <v>197</v>
      </c>
      <c r="B198" t="n">
        <v>2013</v>
      </c>
      <c r="C198" t="inlineStr">
        <is>
          <t>Audrey Yiyi Xu</t>
        </is>
      </c>
      <c r="D198">
        <f>HYPERLINK("https://ota.tournamentsoftware.com/player-profile/25D8C643-E3DC-418B-948B-22520C94F8E3", "Link")</f>
        <v/>
      </c>
      <c r="E198" s="3" t="n">
        <v>439.622</v>
      </c>
      <c r="F198" s="4" t="n">
        <v>21</v>
      </c>
      <c r="G198" t="inlineStr">
        <is>
          <t>Ontario Tennis Association</t>
        </is>
      </c>
      <c r="H198" t="inlineStr">
        <is>
          <t>Joshua Creek Golf &amp; Tennis</t>
        </is>
      </c>
      <c r="I198" t="n">
        <v>32.3</v>
      </c>
      <c r="J198" s="4" t="n">
        <v>141</v>
      </c>
      <c r="K198" t="inlineStr">
        <is>
          <t>61 / 80</t>
        </is>
      </c>
      <c r="L198" t="inlineStr">
        <is>
          <t>22 / 16</t>
        </is>
      </c>
      <c r="M198" s="5" t="n">
        <v>0.43</v>
      </c>
      <c r="N198" s="5" t="n">
        <v>0.58</v>
      </c>
    </row>
    <row r="199">
      <c r="A199" t="n">
        <v>198</v>
      </c>
      <c r="B199" t="n">
        <v>2014</v>
      </c>
      <c r="C199" t="inlineStr">
        <is>
          <t>Adrianna Gianvito</t>
        </is>
      </c>
      <c r="D199">
        <f>HYPERLINK("https://ota.tournamentsoftware.com/player-profile/1412F0F4-82D3-410D-980E-969EFE386B01", "Link")</f>
        <v/>
      </c>
      <c r="E199" s="3" t="n">
        <v>439.384</v>
      </c>
      <c r="F199" s="4" t="n">
        <v>20</v>
      </c>
      <c r="G199" t="inlineStr">
        <is>
          <t>Tennis Québec</t>
        </is>
      </c>
      <c r="H199" t="inlineStr">
        <is>
          <t>No Club</t>
        </is>
      </c>
      <c r="I199" t="inlineStr">
        <is>
          <t>unavailable</t>
        </is>
      </c>
      <c r="J199" s="4" t="n">
        <v>145</v>
      </c>
      <c r="K199" t="inlineStr">
        <is>
          <t>75 / 70</t>
        </is>
      </c>
      <c r="L199" t="inlineStr">
        <is>
          <t>25 / 18</t>
        </is>
      </c>
      <c r="M199" s="5" t="n">
        <v>0.52</v>
      </c>
      <c r="N199" s="5" t="n">
        <v>0.58</v>
      </c>
    </row>
    <row r="200">
      <c r="A200" t="n">
        <v>199</v>
      </c>
      <c r="B200" t="n">
        <v>2015</v>
      </c>
      <c r="C200" t="inlineStr">
        <is>
          <t>Tina liu</t>
        </is>
      </c>
      <c r="D200">
        <f>HYPERLINK("https://ota.tournamentsoftware.com/player-profile/E7D1FBAC-8033-480E-A688-28CBCEF6D907", "Link")</f>
        <v/>
      </c>
      <c r="E200" s="3" t="n">
        <v>436.506</v>
      </c>
      <c r="F200" s="4" t="n">
        <v>29</v>
      </c>
      <c r="G200" t="inlineStr">
        <is>
          <t>Ontario Tennis Association</t>
        </is>
      </c>
      <c r="H200" t="inlineStr">
        <is>
          <t>No Club</t>
        </is>
      </c>
      <c r="I200" t="n">
        <v>32.6</v>
      </c>
      <c r="J200" s="4" t="n">
        <v>200</v>
      </c>
      <c r="K200" t="inlineStr">
        <is>
          <t>128 / 72</t>
        </is>
      </c>
      <c r="L200" t="inlineStr">
        <is>
          <t>32 / 19</t>
        </is>
      </c>
      <c r="M200" s="5" t="n">
        <v>0.64</v>
      </c>
      <c r="N200" s="5" t="n">
        <v>0.63</v>
      </c>
    </row>
    <row r="201">
      <c r="A201" t="n">
        <v>200</v>
      </c>
      <c r="B201" t="n">
        <v>2013</v>
      </c>
      <c r="C201" t="inlineStr">
        <is>
          <t>Rosemarie Gagnon</t>
        </is>
      </c>
      <c r="D201">
        <f>HYPERLINK("https://ota.tournamentsoftware.com/player-profile/55A370D6-4FAD-414D-9E3D-2889C644855A", "Link")</f>
        <v/>
      </c>
      <c r="E201" s="3" t="n">
        <v>429.244</v>
      </c>
      <c r="F201" s="4" t="n">
        <v>22</v>
      </c>
      <c r="G201" t="inlineStr">
        <is>
          <t>Tennis Québec</t>
        </is>
      </c>
      <c r="H201" t="inlineStr">
        <is>
          <t>Club de tennis intérieur Saguenay / École de tennis Delisle-Poirel</t>
        </is>
      </c>
      <c r="I201" t="n">
        <v>32.2</v>
      </c>
      <c r="J201" s="4" t="n">
        <v>111</v>
      </c>
      <c r="K201" t="inlineStr">
        <is>
          <t>49 / 62</t>
        </is>
      </c>
      <c r="L201" t="inlineStr">
        <is>
          <t>11 / 17</t>
        </is>
      </c>
      <c r="M201" s="5" t="n">
        <v>0.44</v>
      </c>
      <c r="N201" s="5" t="n">
        <v>0.39</v>
      </c>
    </row>
    <row r="202">
      <c r="A202" t="n">
        <v>201</v>
      </c>
      <c r="B202" t="n">
        <v>2014</v>
      </c>
      <c r="C202" t="inlineStr">
        <is>
          <t>Ema Zonjic</t>
        </is>
      </c>
      <c r="D202">
        <f>HYPERLINK("https://ota.tournamentsoftware.com/player-profile/42A43C76-E08F-4134-B876-2E9D05859D92", "Link")</f>
        <v/>
      </c>
      <c r="E202" s="3" t="n">
        <v>427.7</v>
      </c>
      <c r="F202" s="4" t="n">
        <v>27</v>
      </c>
      <c r="G202" t="inlineStr">
        <is>
          <t>Ontario Tennis Association</t>
        </is>
      </c>
      <c r="H202" t="inlineStr">
        <is>
          <t>Rideau Sports Centre</t>
        </is>
      </c>
      <c r="I202" t="n">
        <v>31</v>
      </c>
      <c r="J202" s="4" t="n">
        <v>183</v>
      </c>
      <c r="K202" t="inlineStr">
        <is>
          <t>103 / 80</t>
        </is>
      </c>
      <c r="L202" t="inlineStr">
        <is>
          <t>35 / 23</t>
        </is>
      </c>
      <c r="M202" s="5" t="n">
        <v>0.5600000000000001</v>
      </c>
      <c r="N202" s="5" t="n">
        <v>0.6</v>
      </c>
    </row>
    <row r="203">
      <c r="A203" t="n">
        <v>202</v>
      </c>
      <c r="B203" t="n">
        <v>2012</v>
      </c>
      <c r="C203" t="inlineStr">
        <is>
          <t>Tiffany Ren Jun Cao</t>
        </is>
      </c>
      <c r="D203">
        <f>HYPERLINK("https://ota.tournamentsoftware.com/player-profile/07B17DA5-DD47-4C90-B575-478C58AD7465", "Link")</f>
        <v/>
      </c>
      <c r="E203" s="3" t="n">
        <v>426.413</v>
      </c>
      <c r="F203" s="4" t="n">
        <v>21</v>
      </c>
      <c r="G203" t="inlineStr">
        <is>
          <t>British Columbia</t>
        </is>
      </c>
      <c r="H203" t="inlineStr">
        <is>
          <t>Richmond Country Club</t>
        </is>
      </c>
      <c r="I203" t="n">
        <v>29.8</v>
      </c>
      <c r="J203" s="4" t="n">
        <v>207</v>
      </c>
      <c r="K203" t="inlineStr">
        <is>
          <t>105 / 102</t>
        </is>
      </c>
      <c r="L203" t="inlineStr">
        <is>
          <t>18 / 22</t>
        </is>
      </c>
      <c r="M203" s="5" t="n">
        <v>0.51</v>
      </c>
      <c r="N203" s="5" t="n">
        <v>0.45</v>
      </c>
    </row>
    <row r="204">
      <c r="A204" t="n">
        <v>203</v>
      </c>
      <c r="B204" t="n">
        <v>2014</v>
      </c>
      <c r="C204" t="inlineStr">
        <is>
          <t>Katelyn Li</t>
        </is>
      </c>
      <c r="D204">
        <f>HYPERLINK("https://ota.tournamentsoftware.com/player-profile/4A74B151-256A-40ED-9F9D-F00036EDD0A5", "Link")</f>
        <v/>
      </c>
      <c r="E204" s="3" t="n">
        <v>419.141</v>
      </c>
      <c r="F204" s="4" t="n">
        <v>24</v>
      </c>
      <c r="G204" t="inlineStr">
        <is>
          <t>Ontario Tennis Association</t>
        </is>
      </c>
      <c r="H204" t="inlineStr">
        <is>
          <t>No Club</t>
        </is>
      </c>
      <c r="I204" t="inlineStr">
        <is>
          <t>unavailable</t>
        </is>
      </c>
      <c r="J204" s="4" t="n">
        <v>131</v>
      </c>
      <c r="K204" t="inlineStr">
        <is>
          <t>61 / 70</t>
        </is>
      </c>
      <c r="L204" t="inlineStr">
        <is>
          <t>20 / 20</t>
        </is>
      </c>
      <c r="M204" s="5" t="n">
        <v>0.47</v>
      </c>
      <c r="N204" s="5" t="n">
        <v>0.5</v>
      </c>
    </row>
    <row r="205">
      <c r="A205" t="n">
        <v>204</v>
      </c>
      <c r="B205" t="n">
        <v>2014</v>
      </c>
      <c r="C205" t="inlineStr">
        <is>
          <t>Sophia Pavlovska</t>
        </is>
      </c>
      <c r="D205">
        <f>HYPERLINK("https://ota.tournamentsoftware.com/player-profile/5C58F1EE-F291-431D-AC00-FB9096274E0A", "Link")</f>
        <v/>
      </c>
      <c r="E205" s="3" t="n">
        <v>413.785</v>
      </c>
      <c r="F205" s="4" t="n">
        <v>13</v>
      </c>
      <c r="G205" t="inlineStr">
        <is>
          <t>Tennis New Brunswick</t>
        </is>
      </c>
      <c r="H205" t="inlineStr">
        <is>
          <t>Dieppe</t>
        </is>
      </c>
      <c r="I205" t="n">
        <v>32.6</v>
      </c>
      <c r="J205" s="4" t="n">
        <v>175</v>
      </c>
      <c r="K205" t="inlineStr">
        <is>
          <t>64 / 111</t>
        </is>
      </c>
      <c r="L205" t="inlineStr">
        <is>
          <t>17 / 16</t>
        </is>
      </c>
      <c r="M205" s="5" t="n">
        <v>0.37</v>
      </c>
      <c r="N205" s="5" t="n">
        <v>0.52</v>
      </c>
    </row>
    <row r="206">
      <c r="A206" t="n">
        <v>205</v>
      </c>
      <c r="B206" t="n">
        <v>2013</v>
      </c>
      <c r="C206" t="inlineStr">
        <is>
          <t>Isidora Trkulja</t>
        </is>
      </c>
      <c r="D206">
        <f>HYPERLINK("https://ota.tournamentsoftware.com/player-profile/1A3F3EE8-FB93-483C-A52C-E761E6FA42CE", "Link")</f>
        <v/>
      </c>
      <c r="E206" s="3" t="n">
        <v>413.395</v>
      </c>
      <c r="F206" s="4" t="n">
        <v>8</v>
      </c>
      <c r="G206" t="inlineStr">
        <is>
          <t>Tennis Alberta</t>
        </is>
      </c>
      <c r="H206" t="inlineStr">
        <is>
          <t>Saville Community Sports Centre</t>
        </is>
      </c>
      <c r="I206" t="n">
        <v>26.2</v>
      </c>
      <c r="J206" s="4" t="n">
        <v>194</v>
      </c>
      <c r="K206" t="inlineStr">
        <is>
          <t>125 / 69</t>
        </is>
      </c>
      <c r="L206" t="inlineStr">
        <is>
          <t>8 / 6</t>
        </is>
      </c>
      <c r="M206" s="5" t="n">
        <v>0.64</v>
      </c>
      <c r="N206" s="5" t="n">
        <v>0.57</v>
      </c>
    </row>
    <row r="207">
      <c r="A207" t="n">
        <v>206</v>
      </c>
      <c r="B207" t="n">
        <v>2013</v>
      </c>
      <c r="C207" t="inlineStr">
        <is>
          <t>Coralie D'Amours</t>
        </is>
      </c>
      <c r="D207">
        <f>HYPERLINK("https://ota.tournamentsoftware.com/player-profile/35A6230C-9F9D-4861-B1DB-6367FB38A039", "Link")</f>
        <v/>
      </c>
      <c r="E207" s="3" t="n">
        <v>408.39</v>
      </c>
      <c r="F207" s="4" t="n">
        <v>16</v>
      </c>
      <c r="G207" t="inlineStr">
        <is>
          <t>Ontario Tennis Association</t>
        </is>
      </c>
      <c r="H207" t="inlineStr">
        <is>
          <t>Rideau Sports Centre</t>
        </is>
      </c>
      <c r="I207" t="n">
        <v>34</v>
      </c>
      <c r="J207" s="4" t="n">
        <v>56</v>
      </c>
      <c r="K207" t="inlineStr">
        <is>
          <t>19 / 37</t>
        </is>
      </c>
      <c r="L207" t="inlineStr">
        <is>
          <t>11 / 15</t>
        </is>
      </c>
      <c r="M207" s="5" t="n">
        <v>0.34</v>
      </c>
      <c r="N207" s="5" t="n">
        <v>0.42</v>
      </c>
    </row>
    <row r="208">
      <c r="A208" t="n">
        <v>207</v>
      </c>
      <c r="B208" t="n">
        <v>2013</v>
      </c>
      <c r="C208" t="inlineStr">
        <is>
          <t>Arya Kaur Dhillon</t>
        </is>
      </c>
      <c r="D208">
        <f>HYPERLINK("https://ota.tournamentsoftware.com/player-profile/3DBC0BDE-C3D6-40A5-992E-F7274098EF5D", "Link")</f>
        <v/>
      </c>
      <c r="E208" s="3" t="n">
        <v>405.446</v>
      </c>
      <c r="F208" s="4" t="n">
        <v>18</v>
      </c>
      <c r="G208" t="inlineStr">
        <is>
          <t>Tennis Alberta</t>
        </is>
      </c>
      <c r="H208" t="inlineStr">
        <is>
          <t>Saville Community Sports Centre</t>
        </is>
      </c>
      <c r="I208" t="n">
        <v>29.5</v>
      </c>
      <c r="J208" s="4" t="n">
        <v>173</v>
      </c>
      <c r="K208" t="inlineStr">
        <is>
          <t>85 / 88</t>
        </is>
      </c>
      <c r="L208" t="inlineStr">
        <is>
          <t>23 / 20</t>
        </is>
      </c>
      <c r="M208" s="5" t="n">
        <v>0.49</v>
      </c>
      <c r="N208" s="5" t="n">
        <v>0.53</v>
      </c>
    </row>
    <row r="209">
      <c r="A209" t="n">
        <v>208</v>
      </c>
      <c r="B209" t="n">
        <v>2014</v>
      </c>
      <c r="C209" t="inlineStr">
        <is>
          <t>Hanna Julia Barta</t>
        </is>
      </c>
      <c r="D209">
        <f>HYPERLINK("https://ota.tournamentsoftware.com/player-profile/BAF4D69B-39E5-4A7E-BB04-5AF0EDC7734B", "Link")</f>
        <v/>
      </c>
      <c r="E209" s="3" t="n">
        <v>403.877</v>
      </c>
      <c r="F209" s="4" t="n">
        <v>25</v>
      </c>
      <c r="G209" t="inlineStr">
        <is>
          <t>Ontario Tennis Association</t>
        </is>
      </c>
      <c r="H209" t="inlineStr">
        <is>
          <t>Advantage Tennis International at Veneto</t>
        </is>
      </c>
      <c r="I209" t="n">
        <v>32.2</v>
      </c>
      <c r="J209" s="4" t="n">
        <v>208</v>
      </c>
      <c r="K209" t="inlineStr">
        <is>
          <t>102 / 106</t>
        </is>
      </c>
      <c r="L209" t="inlineStr">
        <is>
          <t>22 / 20</t>
        </is>
      </c>
      <c r="M209" s="5" t="n">
        <v>0.49</v>
      </c>
      <c r="N209" s="5" t="n">
        <v>0.52</v>
      </c>
    </row>
    <row r="210">
      <c r="A210" t="n">
        <v>209</v>
      </c>
      <c r="B210" t="n">
        <v>2013</v>
      </c>
      <c r="C210" t="inlineStr">
        <is>
          <t>Rachel Daniel</t>
        </is>
      </c>
      <c r="D210">
        <f>HYPERLINK("https://ota.tournamentsoftware.com/player-profile/C70279D5-586C-4A9D-94CC-EB9551085FF4", "Link")</f>
        <v/>
      </c>
      <c r="E210" s="3" t="n">
        <v>398.854</v>
      </c>
      <c r="F210" s="4" t="n">
        <v>19</v>
      </c>
      <c r="G210" t="inlineStr">
        <is>
          <t>Ontario Tennis Association</t>
        </is>
      </c>
      <c r="H210" t="inlineStr">
        <is>
          <t>Advantage Tennis International at Veneto</t>
        </is>
      </c>
      <c r="I210" t="n">
        <v>32.8</v>
      </c>
      <c r="J210" s="4" t="n">
        <v>100</v>
      </c>
      <c r="K210" t="inlineStr">
        <is>
          <t>39 / 61</t>
        </is>
      </c>
      <c r="L210" t="inlineStr">
        <is>
          <t>9 / 12</t>
        </is>
      </c>
      <c r="M210" s="5" t="n">
        <v>0.39</v>
      </c>
      <c r="N210" s="5" t="n">
        <v>0.43</v>
      </c>
    </row>
    <row r="211">
      <c r="A211" t="n">
        <v>210</v>
      </c>
      <c r="B211" t="n">
        <v>2012</v>
      </c>
      <c r="C211" t="inlineStr">
        <is>
          <t>Victoria Perez Vargas</t>
        </is>
      </c>
      <c r="D211">
        <f>HYPERLINK("https://ota.tournamentsoftware.com/player-profile/6649B15F-628D-4ED7-81D6-AEB9036DF19A", "Link")</f>
        <v/>
      </c>
      <c r="E211" s="3" t="n">
        <v>396.088</v>
      </c>
      <c r="F211" s="4" t="n">
        <v>24</v>
      </c>
      <c r="G211" t="inlineStr">
        <is>
          <t>Tennis Québec</t>
        </is>
      </c>
      <c r="H211" t="inlineStr">
        <is>
          <t>Centre récréatif de Repentigny / Académie Tennis Momentum</t>
        </is>
      </c>
      <c r="I211" t="n">
        <v>32.6</v>
      </c>
      <c r="J211" s="4" t="n">
        <v>103</v>
      </c>
      <c r="K211" t="inlineStr">
        <is>
          <t>51 / 52</t>
        </is>
      </c>
      <c r="L211" t="inlineStr">
        <is>
          <t>26 / 15</t>
        </is>
      </c>
      <c r="M211" s="5" t="n">
        <v>0.5</v>
      </c>
      <c r="N211" s="5" t="n">
        <v>0.63</v>
      </c>
    </row>
    <row r="212">
      <c r="A212" t="n">
        <v>211</v>
      </c>
      <c r="B212" t="n">
        <v>2015</v>
      </c>
      <c r="C212" t="inlineStr">
        <is>
          <t>Mila Caporusso</t>
        </is>
      </c>
      <c r="D212">
        <f>HYPERLINK("https://ota.tournamentsoftware.com/player-profile/71A1C940-3E73-49DA-929B-3B90328FC4BC", "Link")</f>
        <v/>
      </c>
      <c r="E212" s="3" t="n">
        <v>392.138</v>
      </c>
      <c r="F212" s="4" t="n">
        <v>8</v>
      </c>
      <c r="G212" t="inlineStr">
        <is>
          <t>Tennis Québec</t>
        </is>
      </c>
      <c r="H212" t="inlineStr">
        <is>
          <t>Tennis 13 / Académie Ménard et associé</t>
        </is>
      </c>
      <c r="I212" t="n">
        <v>30.4</v>
      </c>
      <c r="J212" s="4" t="n">
        <v>109</v>
      </c>
      <c r="K212" t="inlineStr">
        <is>
          <t>71 / 38</t>
        </is>
      </c>
      <c r="L212" t="inlineStr">
        <is>
          <t>10 / 10</t>
        </is>
      </c>
      <c r="M212" s="5" t="n">
        <v>0.65</v>
      </c>
      <c r="N212" s="5" t="n">
        <v>0.5</v>
      </c>
    </row>
    <row r="213">
      <c r="A213" t="n">
        <v>212</v>
      </c>
      <c r="B213" t="n">
        <v>2013</v>
      </c>
      <c r="C213" t="inlineStr">
        <is>
          <t>Élisabeth Circé</t>
        </is>
      </c>
      <c r="D213">
        <f>HYPERLINK("https://ota.tournamentsoftware.com/player-profile/6616439A-F3CD-4D57-876F-DCE4AC4B88C9", "Link")</f>
        <v/>
      </c>
      <c r="E213" s="3" t="n">
        <v>389.717</v>
      </c>
      <c r="F213" s="4" t="n">
        <v>28</v>
      </c>
      <c r="G213" t="inlineStr">
        <is>
          <t>Tennis Québec</t>
        </is>
      </c>
      <c r="H213" t="inlineStr">
        <is>
          <t>Tennis Interclub Piedmont</t>
        </is>
      </c>
      <c r="I213" t="inlineStr">
        <is>
          <t>unavailable</t>
        </is>
      </c>
      <c r="J213" s="4" t="n">
        <v>145</v>
      </c>
      <c r="K213" t="inlineStr">
        <is>
          <t>47 / 98</t>
        </is>
      </c>
      <c r="L213" t="inlineStr">
        <is>
          <t>13 / 22</t>
        </is>
      </c>
      <c r="M213" s="5" t="n">
        <v>0.32</v>
      </c>
      <c r="N213" s="5" t="n">
        <v>0.37</v>
      </c>
    </row>
    <row r="214">
      <c r="A214" t="n">
        <v>213</v>
      </c>
      <c r="B214" t="n">
        <v>2014</v>
      </c>
      <c r="C214" t="inlineStr">
        <is>
          <t>Maeva Cantin</t>
        </is>
      </c>
      <c r="D214">
        <f>HYPERLINK("https://ota.tournamentsoftware.com/player-profile/B46D6374-4A68-4FB0-8516-4056AFA1047A", "Link")</f>
        <v/>
      </c>
      <c r="E214" s="3" t="n">
        <v>389.285</v>
      </c>
      <c r="F214" s="4" t="n">
        <v>17</v>
      </c>
      <c r="G214" t="inlineStr">
        <is>
          <t>Tennis Québec</t>
        </is>
      </c>
      <c r="H214" t="inlineStr">
        <is>
          <t>Centre récréatif de Repentigny / Académie Tennis Momentum</t>
        </is>
      </c>
      <c r="I214" t="n">
        <v>30.9</v>
      </c>
      <c r="J214" s="4" t="n">
        <v>149</v>
      </c>
      <c r="K214" t="inlineStr">
        <is>
          <t>79 / 70</t>
        </is>
      </c>
      <c r="L214" t="inlineStr">
        <is>
          <t>26 / 17</t>
        </is>
      </c>
      <c r="M214" s="5" t="n">
        <v>0.53</v>
      </c>
      <c r="N214" s="5" t="n">
        <v>0.6</v>
      </c>
    </row>
    <row r="215">
      <c r="A215" t="n">
        <v>214</v>
      </c>
      <c r="B215" t="n">
        <v>2014</v>
      </c>
      <c r="C215" t="inlineStr">
        <is>
          <t>Olivia Zhang</t>
        </is>
      </c>
      <c r="D215">
        <f>HYPERLINK("https://ota.tournamentsoftware.com/player-profile/8A1E61A8-3535-4F88-8C90-68A511D75AC2", "Link")</f>
        <v/>
      </c>
      <c r="E215" s="3" t="n">
        <v>388.8</v>
      </c>
      <c r="F215" s="4" t="n">
        <v>17</v>
      </c>
      <c r="G215" t="inlineStr">
        <is>
          <t>Ontario Tennis Association</t>
        </is>
      </c>
      <c r="H215" t="inlineStr">
        <is>
          <t>Richmondhill Golf &amp; Country Club</t>
        </is>
      </c>
      <c r="I215" t="n">
        <v>30.4</v>
      </c>
      <c r="J215" s="4" t="n">
        <v>100</v>
      </c>
      <c r="K215" t="inlineStr">
        <is>
          <t>61 / 39</t>
        </is>
      </c>
      <c r="L215" t="inlineStr">
        <is>
          <t>30 / 16</t>
        </is>
      </c>
      <c r="M215" s="5" t="n">
        <v>0.61</v>
      </c>
      <c r="N215" s="5" t="n">
        <v>0.65</v>
      </c>
    </row>
    <row r="216">
      <c r="A216" t="n">
        <v>215</v>
      </c>
      <c r="B216" t="n">
        <v>2012</v>
      </c>
      <c r="C216" t="inlineStr">
        <is>
          <t>Aliya Star Michel</t>
        </is>
      </c>
      <c r="D216">
        <f>HYPERLINK("https://ota.tournamentsoftware.com/player-profile/B34E6AA6-2962-4DB5-93DB-BCA4DBF97316", "Link")</f>
        <v/>
      </c>
      <c r="E216" s="3" t="n">
        <v>386.865</v>
      </c>
      <c r="F216" s="4" t="n">
        <v>7</v>
      </c>
      <c r="G216" t="inlineStr">
        <is>
          <t>Tennis Québec</t>
        </is>
      </c>
      <c r="H216" t="inlineStr">
        <is>
          <t>Carrefour Multisports</t>
        </is>
      </c>
      <c r="I216" t="n">
        <v>30</v>
      </c>
      <c r="J216" s="4" t="n">
        <v>184</v>
      </c>
      <c r="K216" t="inlineStr">
        <is>
          <t>96 / 88</t>
        </is>
      </c>
      <c r="L216" t="inlineStr">
        <is>
          <t>2 / 2</t>
        </is>
      </c>
      <c r="M216" s="5" t="n">
        <v>0.52</v>
      </c>
      <c r="N216" s="5" t="n">
        <v>0.5</v>
      </c>
    </row>
    <row r="217">
      <c r="A217" t="n">
        <v>216</v>
      </c>
      <c r="B217" t="n">
        <v>2013</v>
      </c>
      <c r="C217" t="inlineStr">
        <is>
          <t>EMMA ANTONIA DOBREAN</t>
        </is>
      </c>
      <c r="D217">
        <f>HYPERLINK("https://ota.tournamentsoftware.com/player-profile/A556E1FC-8159-42C1-A5DB-35375535B6F4", "Link")</f>
        <v/>
      </c>
      <c r="E217" s="3" t="n">
        <v>386.415</v>
      </c>
      <c r="F217" s="4" t="n">
        <v>3</v>
      </c>
      <c r="G217" t="inlineStr">
        <is>
          <t>Ontario Tennis Association</t>
        </is>
      </c>
      <c r="H217" t="inlineStr">
        <is>
          <t>No Club</t>
        </is>
      </c>
      <c r="I217" t="inlineStr">
        <is>
          <t>unavailable</t>
        </is>
      </c>
      <c r="J217" s="4" t="n">
        <v>137</v>
      </c>
      <c r="K217" t="inlineStr">
        <is>
          <t>98 / 39</t>
        </is>
      </c>
      <c r="L217" t="inlineStr">
        <is>
          <t>2 / 3</t>
        </is>
      </c>
      <c r="M217" s="5" t="n">
        <v>0.72</v>
      </c>
      <c r="N217" s="5" t="n">
        <v>0.4</v>
      </c>
    </row>
    <row r="218">
      <c r="A218" t="n">
        <v>217</v>
      </c>
      <c r="B218" t="n">
        <v>2012</v>
      </c>
      <c r="C218" t="inlineStr">
        <is>
          <t>Milena Mavrin</t>
        </is>
      </c>
      <c r="D218">
        <f>HYPERLINK("https://ota.tournamentsoftware.com/player-profile/E6DED1E8-57C3-4627-8D59-94A636610A6B", "Link")</f>
        <v/>
      </c>
      <c r="E218" s="3" t="n">
        <v>386.04</v>
      </c>
      <c r="F218" s="4" t="n">
        <v>25</v>
      </c>
      <c r="G218" t="inlineStr">
        <is>
          <t>Ontario Tennis Association</t>
        </is>
      </c>
      <c r="H218" t="inlineStr">
        <is>
          <t>Blackmore Tennis Club</t>
        </is>
      </c>
      <c r="I218" t="n">
        <v>31.5</v>
      </c>
      <c r="J218" s="4" t="n">
        <v>75</v>
      </c>
      <c r="K218" t="inlineStr">
        <is>
          <t>35 / 40</t>
        </is>
      </c>
      <c r="L218" t="inlineStr">
        <is>
          <t>27 / 20</t>
        </is>
      </c>
      <c r="M218" s="5" t="n">
        <v>0.47</v>
      </c>
      <c r="N218" s="5" t="n">
        <v>0.57</v>
      </c>
    </row>
    <row r="219">
      <c r="A219" t="n">
        <v>218</v>
      </c>
      <c r="B219" t="n">
        <v>2014</v>
      </c>
      <c r="C219" t="inlineStr">
        <is>
          <t>Erin Yida Li</t>
        </is>
      </c>
      <c r="D219">
        <f>HYPERLINK("https://ota.tournamentsoftware.com/player-profile/48592A27-18BE-4C04-BE24-73F536B6D5D5", "Link")</f>
        <v/>
      </c>
      <c r="E219" s="3" t="n">
        <v>382.624</v>
      </c>
      <c r="F219" s="4" t="n">
        <v>20</v>
      </c>
      <c r="G219" t="inlineStr">
        <is>
          <t>Ontario Tennis Association</t>
        </is>
      </c>
      <c r="H219" t="inlineStr">
        <is>
          <t>Richmondhill Golf &amp; Country Club</t>
        </is>
      </c>
      <c r="I219" t="n">
        <v>32.3</v>
      </c>
      <c r="J219" s="4" t="n">
        <v>86</v>
      </c>
      <c r="K219" t="inlineStr">
        <is>
          <t>43 / 43</t>
        </is>
      </c>
      <c r="L219" t="inlineStr">
        <is>
          <t>20 / 18</t>
        </is>
      </c>
      <c r="M219" s="5" t="n">
        <v>0.5</v>
      </c>
      <c r="N219" s="5" t="n">
        <v>0.53</v>
      </c>
    </row>
    <row r="220">
      <c r="A220" t="n">
        <v>219</v>
      </c>
      <c r="B220" t="n">
        <v>2014</v>
      </c>
      <c r="C220" t="inlineStr">
        <is>
          <t>anne xie</t>
        </is>
      </c>
      <c r="D220">
        <f>HYPERLINK("https://ota.tournamentsoftware.com/player-profile/FA9126B9-8D97-4D5E-9E34-8893BB836AE1", "Link")</f>
        <v/>
      </c>
      <c r="E220" s="3" t="n">
        <v>378.598</v>
      </c>
      <c r="F220" s="4" t="n">
        <v>25</v>
      </c>
      <c r="G220" t="inlineStr">
        <is>
          <t>British Columbia</t>
        </is>
      </c>
      <c r="H220" t="inlineStr">
        <is>
          <t>North Vancouver Tennis Centre</t>
        </is>
      </c>
      <c r="I220" t="n">
        <v>29.2</v>
      </c>
      <c r="J220" s="4" t="n">
        <v>261</v>
      </c>
      <c r="K220" t="inlineStr">
        <is>
          <t>127 / 134</t>
        </is>
      </c>
      <c r="L220" t="inlineStr">
        <is>
          <t>30 / 26</t>
        </is>
      </c>
      <c r="M220" s="5" t="n">
        <v>0.49</v>
      </c>
      <c r="N220" s="5" t="n">
        <v>0.54</v>
      </c>
    </row>
    <row r="221">
      <c r="A221" t="n">
        <v>220</v>
      </c>
      <c r="B221" t="n">
        <v>2014</v>
      </c>
      <c r="C221" t="inlineStr">
        <is>
          <t>Isabella Quintero-Gonzalez</t>
        </is>
      </c>
      <c r="D221">
        <f>HYPERLINK("https://ota.tournamentsoftware.com/player-profile/7215E114-BC9E-4292-9B97-03B766DB64EA", "Link")</f>
        <v/>
      </c>
      <c r="E221" s="3" t="n">
        <v>370.411</v>
      </c>
      <c r="F221" s="4" t="n">
        <v>12</v>
      </c>
      <c r="G221" t="inlineStr">
        <is>
          <t>Tennis Nova Scotia</t>
        </is>
      </c>
      <c r="H221" t="inlineStr">
        <is>
          <t>Atlantic Tennis Centre</t>
        </is>
      </c>
      <c r="I221" t="n">
        <v>32.1</v>
      </c>
      <c r="J221" s="4" t="n">
        <v>128</v>
      </c>
      <c r="K221" t="inlineStr">
        <is>
          <t>65 / 63</t>
        </is>
      </c>
      <c r="L221" t="inlineStr">
        <is>
          <t>29 / 23</t>
        </is>
      </c>
      <c r="M221" s="5" t="n">
        <v>0.51</v>
      </c>
      <c r="N221" s="5" t="n">
        <v>0.5600000000000001</v>
      </c>
    </row>
    <row r="222">
      <c r="A222" t="n">
        <v>221</v>
      </c>
      <c r="B222" t="n">
        <v>2013</v>
      </c>
      <c r="C222" t="inlineStr">
        <is>
          <t>Noelle Coyne</t>
        </is>
      </c>
      <c r="D222">
        <f>HYPERLINK("https://ota.tournamentsoftware.com/player-profile/F9F10EB5-F22D-4997-85F1-78377170C70A", "Link")</f>
        <v/>
      </c>
      <c r="E222" s="3" t="n">
        <v>367.853</v>
      </c>
      <c r="F222" s="4" t="n">
        <v>26</v>
      </c>
      <c r="G222" t="inlineStr">
        <is>
          <t>Tennis Alberta</t>
        </is>
      </c>
      <c r="H222" t="inlineStr">
        <is>
          <t>Osten &amp; Victor Alberta Tennis Centre</t>
        </is>
      </c>
      <c r="I222" t="n">
        <v>31.9</v>
      </c>
      <c r="J222" s="4" t="n">
        <v>122</v>
      </c>
      <c r="K222" t="inlineStr">
        <is>
          <t>51 / 71</t>
        </is>
      </c>
      <c r="L222" t="inlineStr">
        <is>
          <t>23 / 32</t>
        </is>
      </c>
      <c r="M222" s="5" t="n">
        <v>0.42</v>
      </c>
      <c r="N222" s="5" t="n">
        <v>0.42</v>
      </c>
    </row>
    <row r="223">
      <c r="A223" t="n">
        <v>222</v>
      </c>
      <c r="B223" t="n">
        <v>2013</v>
      </c>
      <c r="C223" t="inlineStr">
        <is>
          <t>Mary Grace MacDonnell Doak</t>
        </is>
      </c>
      <c r="D223">
        <f>HYPERLINK("https://ota.tournamentsoftware.com/player-profile/7E3C3388-CB92-4FE9-B0C8-FE6415D966E4", "Link")</f>
        <v/>
      </c>
      <c r="E223" s="3" t="n">
        <v>366.079</v>
      </c>
      <c r="F223" s="4" t="n">
        <v>17</v>
      </c>
      <c r="G223" t="inlineStr">
        <is>
          <t>Ontario Tennis Association</t>
        </is>
      </c>
      <c r="H223" t="inlineStr">
        <is>
          <t>St. James Tennis Club</t>
        </is>
      </c>
      <c r="I223" t="n">
        <v>36.3</v>
      </c>
      <c r="J223" s="4" t="n">
        <v>143</v>
      </c>
      <c r="K223" t="inlineStr">
        <is>
          <t>69 / 74</t>
        </is>
      </c>
      <c r="L223" t="inlineStr">
        <is>
          <t>5 / 12</t>
        </is>
      </c>
      <c r="M223" s="5" t="n">
        <v>0.48</v>
      </c>
      <c r="N223" s="5" t="n">
        <v>0.29</v>
      </c>
    </row>
    <row r="224">
      <c r="A224" t="n">
        <v>223</v>
      </c>
      <c r="B224" t="n">
        <v>2014</v>
      </c>
      <c r="C224" t="inlineStr">
        <is>
          <t>Hailey Zhou</t>
        </is>
      </c>
      <c r="D224">
        <f>HYPERLINK("https://ota.tournamentsoftware.com/player-profile/3046278B-E91E-4DE6-B598-5CD7D202AA49", "Link")</f>
        <v/>
      </c>
      <c r="E224" s="3" t="n">
        <v>344.77</v>
      </c>
      <c r="F224" s="4" t="n">
        <v>35</v>
      </c>
      <c r="G224" t="inlineStr">
        <is>
          <t>Ontario Tennis Association</t>
        </is>
      </c>
      <c r="H224" t="inlineStr">
        <is>
          <t>Advantage Tennis International at Veneto</t>
        </is>
      </c>
      <c r="I224" t="n">
        <v>33.5</v>
      </c>
      <c r="J224" s="4" t="n">
        <v>85</v>
      </c>
      <c r="K224" t="inlineStr">
        <is>
          <t>43 / 42</t>
        </is>
      </c>
      <c r="L224" t="inlineStr">
        <is>
          <t>33 / 30</t>
        </is>
      </c>
      <c r="M224" s="5" t="n">
        <v>0.51</v>
      </c>
      <c r="N224" s="5" t="n">
        <v>0.52</v>
      </c>
    </row>
    <row r="225">
      <c r="A225" t="n">
        <v>224</v>
      </c>
      <c r="B225" t="n">
        <v>2012</v>
      </c>
      <c r="C225" t="inlineStr">
        <is>
          <t>Sneha Sahiba Bhatti</t>
        </is>
      </c>
      <c r="D225">
        <f>HYPERLINK("https://ota.tournamentsoftware.com/player-profile/16EA0E7B-0025-4333-9A2A-28395C436A40", "Link")</f>
        <v/>
      </c>
      <c r="E225" s="3" t="n">
        <v>343.767</v>
      </c>
      <c r="F225" s="4" t="n">
        <v>17</v>
      </c>
      <c r="G225" t="inlineStr">
        <is>
          <t>British Columbia</t>
        </is>
      </c>
      <c r="H225" t="inlineStr">
        <is>
          <t>Coquitlam Tennis Club</t>
        </is>
      </c>
      <c r="I225" t="n">
        <v>30.3</v>
      </c>
      <c r="J225" s="4" t="n">
        <v>188</v>
      </c>
      <c r="K225" t="inlineStr">
        <is>
          <t>93 / 95</t>
        </is>
      </c>
      <c r="L225" t="inlineStr">
        <is>
          <t>15 / 21</t>
        </is>
      </c>
      <c r="M225" s="5" t="n">
        <v>0.49</v>
      </c>
      <c r="N225" s="5" t="n">
        <v>0.42</v>
      </c>
    </row>
    <row r="226">
      <c r="A226" t="n">
        <v>225</v>
      </c>
      <c r="B226" t="n">
        <v>2012</v>
      </c>
      <c r="C226" t="inlineStr">
        <is>
          <t>Ariyana Usharah Mahanandan</t>
        </is>
      </c>
      <c r="D226">
        <f>HYPERLINK("https://ota.tournamentsoftware.com/player-profile/FE0B9224-EA2B-4B60-AB52-7A0A2ACA90DA", "Link")</f>
        <v/>
      </c>
      <c r="E226" s="3" t="n">
        <v>340.822</v>
      </c>
      <c r="F226" s="4" t="n">
        <v>23</v>
      </c>
      <c r="G226" t="inlineStr">
        <is>
          <t>Ontario Tennis Association</t>
        </is>
      </c>
      <c r="H226" t="inlineStr">
        <is>
          <t>Premier Racquet Clubs – Mississauga</t>
        </is>
      </c>
      <c r="I226" t="inlineStr">
        <is>
          <t>unavailable</t>
        </is>
      </c>
      <c r="J226" s="4" t="n">
        <v>139</v>
      </c>
      <c r="K226" t="inlineStr">
        <is>
          <t>59 / 80</t>
        </is>
      </c>
      <c r="L226" t="inlineStr">
        <is>
          <t>13 / 22</t>
        </is>
      </c>
      <c r="M226" s="5" t="n">
        <v>0.42</v>
      </c>
      <c r="N226" s="5" t="n">
        <v>0.37</v>
      </c>
    </row>
    <row r="227">
      <c r="A227" t="n">
        <v>226</v>
      </c>
      <c r="B227" t="n">
        <v>2014</v>
      </c>
      <c r="C227" t="inlineStr">
        <is>
          <t>Sara Liao</t>
        </is>
      </c>
      <c r="D227">
        <f>HYPERLINK("https://ota.tournamentsoftware.com/player-profile/A86A9BCB-375D-415C-BD04-3D7638B2F6E8", "Link")</f>
        <v/>
      </c>
      <c r="E227" s="3" t="n">
        <v>339.926</v>
      </c>
      <c r="F227" s="4" t="n">
        <v>33</v>
      </c>
      <c r="G227" t="inlineStr">
        <is>
          <t>Ontario Tennis Association</t>
        </is>
      </c>
      <c r="H227" t="inlineStr">
        <is>
          <t>Ontario Racquet Club</t>
        </is>
      </c>
      <c r="I227" t="n">
        <v>32.8</v>
      </c>
      <c r="J227" s="4" t="n">
        <v>119</v>
      </c>
      <c r="K227" t="inlineStr">
        <is>
          <t>58 / 61</t>
        </is>
      </c>
      <c r="L227" t="inlineStr">
        <is>
          <t>31 / 28</t>
        </is>
      </c>
      <c r="M227" s="5" t="n">
        <v>0.49</v>
      </c>
      <c r="N227" s="5" t="n">
        <v>0.53</v>
      </c>
    </row>
    <row r="228">
      <c r="A228" t="n">
        <v>227</v>
      </c>
      <c r="B228" t="n">
        <v>2012</v>
      </c>
      <c r="C228" t="inlineStr">
        <is>
          <t>Anne-Frédérique Jacob</t>
        </is>
      </c>
      <c r="D228">
        <f>HYPERLINK("https://ota.tournamentsoftware.com/player-profile/6FDF9E24-9EF2-40B8-AA29-4E8DB70822F9", "Link")</f>
        <v/>
      </c>
      <c r="E228" s="3" t="n">
        <v>339.237</v>
      </c>
      <c r="F228" s="4" t="n">
        <v>15</v>
      </c>
      <c r="G228" t="inlineStr">
        <is>
          <t>Tennis Québec</t>
        </is>
      </c>
      <c r="H228" t="inlineStr">
        <is>
          <t>SANI Sport</t>
        </is>
      </c>
      <c r="I228" t="n">
        <v>30.4</v>
      </c>
      <c r="J228" s="4" t="n">
        <v>147</v>
      </c>
      <c r="K228" t="inlineStr">
        <is>
          <t>73 / 74</t>
        </is>
      </c>
      <c r="L228" t="inlineStr">
        <is>
          <t>5 / 11</t>
        </is>
      </c>
      <c r="M228" s="5" t="n">
        <v>0.5</v>
      </c>
      <c r="N228" s="5" t="n">
        <v>0.31</v>
      </c>
    </row>
    <row r="229">
      <c r="A229" t="n">
        <v>228</v>
      </c>
      <c r="B229" t="n">
        <v>2014</v>
      </c>
      <c r="C229" t="inlineStr">
        <is>
          <t>Isabelle Prusinkiewicz</t>
        </is>
      </c>
      <c r="D229">
        <f>HYPERLINK("https://ota.tournamentsoftware.com/player-profile/15F8CE0F-EF62-4029-B13B-F131581B8B29", "Link")</f>
        <v/>
      </c>
      <c r="E229" s="3" t="n">
        <v>338.545</v>
      </c>
      <c r="F229" s="4" t="n">
        <v>24</v>
      </c>
      <c r="G229" t="inlineStr">
        <is>
          <t>Tennis Alberta</t>
        </is>
      </c>
      <c r="H229" t="inlineStr">
        <is>
          <t>Aforza</t>
        </is>
      </c>
      <c r="I229" t="n">
        <v>32</v>
      </c>
      <c r="J229" s="4" t="n">
        <v>178</v>
      </c>
      <c r="K229" t="inlineStr">
        <is>
          <t>102 / 76</t>
        </is>
      </c>
      <c r="L229" t="inlineStr">
        <is>
          <t>30 / 20</t>
        </is>
      </c>
      <c r="M229" s="5" t="n">
        <v>0.57</v>
      </c>
      <c r="N229" s="5" t="n">
        <v>0.6</v>
      </c>
    </row>
    <row r="230">
      <c r="A230" t="n">
        <v>229</v>
      </c>
      <c r="B230" t="n">
        <v>2015</v>
      </c>
      <c r="C230" t="inlineStr">
        <is>
          <t>Mia Louise LADEWIG</t>
        </is>
      </c>
      <c r="D230">
        <f>HYPERLINK("https://ota.tournamentsoftware.com/player-profile/25055713-74C7-482D-8A9B-00D94FB7068B", "Link")</f>
        <v/>
      </c>
      <c r="E230" s="3" t="n">
        <v>337.743</v>
      </c>
      <c r="F230" s="4" t="n">
        <v>23</v>
      </c>
      <c r="G230" t="inlineStr">
        <is>
          <t>British Columbia</t>
        </is>
      </c>
      <c r="H230" t="inlineStr">
        <is>
          <t>North Vancouver Tennis Centre</t>
        </is>
      </c>
      <c r="I230" t="n">
        <v>29.3</v>
      </c>
      <c r="J230" s="4" t="n">
        <v>227</v>
      </c>
      <c r="K230" t="inlineStr">
        <is>
          <t>145 / 82</t>
        </is>
      </c>
      <c r="L230" t="inlineStr">
        <is>
          <t>35 / 20</t>
        </is>
      </c>
      <c r="M230" s="5" t="n">
        <v>0.64</v>
      </c>
      <c r="N230" s="5" t="n">
        <v>0.64</v>
      </c>
    </row>
    <row r="231">
      <c r="A231" t="n">
        <v>230</v>
      </c>
      <c r="B231" t="n">
        <v>2013</v>
      </c>
      <c r="C231" t="inlineStr">
        <is>
          <t>Jessica Rosemary Hill</t>
        </is>
      </c>
      <c r="D231">
        <f>HYPERLINK("https://ota.tournamentsoftware.com/player-profile/9F68BF9A-4FFA-4754-8023-C9F4ABCF0003", "Link")</f>
        <v/>
      </c>
      <c r="E231" s="3" t="n">
        <v>336.999</v>
      </c>
      <c r="F231" s="4" t="n">
        <v>22</v>
      </c>
      <c r="G231" t="inlineStr">
        <is>
          <t>British Columbia</t>
        </is>
      </c>
      <c r="H231" t="inlineStr">
        <is>
          <t>Vancouver International Tennis Academy</t>
        </is>
      </c>
      <c r="I231" t="n">
        <v>30.5</v>
      </c>
      <c r="J231" s="4" t="n">
        <v>167</v>
      </c>
      <c r="K231" t="inlineStr">
        <is>
          <t>93 / 74</t>
        </is>
      </c>
      <c r="L231" t="inlineStr">
        <is>
          <t>23 / 19</t>
        </is>
      </c>
      <c r="M231" s="5" t="n">
        <v>0.5600000000000001</v>
      </c>
      <c r="N231" s="5" t="n">
        <v>0.55</v>
      </c>
    </row>
    <row r="232">
      <c r="A232" t="n">
        <v>231</v>
      </c>
      <c r="B232" t="n">
        <v>2013</v>
      </c>
      <c r="C232" t="inlineStr">
        <is>
          <t>Alina Luo</t>
        </is>
      </c>
      <c r="D232">
        <f>HYPERLINK("https://ota.tournamentsoftware.com/player-profile/848C25E0-4CBB-4051-8AB5-C8460313D4A3", "Link")</f>
        <v/>
      </c>
      <c r="E232" s="3" t="n">
        <v>336.847</v>
      </c>
      <c r="F232" s="4" t="n">
        <v>23</v>
      </c>
      <c r="G232" t="inlineStr">
        <is>
          <t>Tennis Québec</t>
        </is>
      </c>
      <c r="H232" t="inlineStr">
        <is>
          <t>SANI Sport</t>
        </is>
      </c>
      <c r="I232" t="n">
        <v>32.5</v>
      </c>
      <c r="J232" s="4" t="n">
        <v>217</v>
      </c>
      <c r="K232" t="inlineStr">
        <is>
          <t>103 / 114</t>
        </is>
      </c>
      <c r="L232" t="inlineStr">
        <is>
          <t>3 / 17</t>
        </is>
      </c>
      <c r="M232" s="5" t="n">
        <v>0.47</v>
      </c>
      <c r="N232" s="5" t="n">
        <v>0.15</v>
      </c>
    </row>
    <row r="233">
      <c r="A233" t="n">
        <v>232</v>
      </c>
      <c r="B233" t="n">
        <v>2014</v>
      </c>
      <c r="C233" t="inlineStr">
        <is>
          <t>Eva Paquette</t>
        </is>
      </c>
      <c r="D233">
        <f>HYPERLINK("https://ota.tournamentsoftware.com/player-profile/631BF8EC-5FD6-41F7-A4BC-1B4980693D40", "Link")</f>
        <v/>
      </c>
      <c r="E233" s="3" t="n">
        <v>336.645</v>
      </c>
      <c r="F233" s="4" t="n">
        <v>33</v>
      </c>
      <c r="G233" t="inlineStr">
        <is>
          <t>Tennis Québec</t>
        </is>
      </c>
      <c r="H233" t="inlineStr">
        <is>
          <t>Club Sportif Côte-de-Liesse</t>
        </is>
      </c>
      <c r="I233" t="n">
        <v>32.4</v>
      </c>
      <c r="J233" s="4" t="n">
        <v>205</v>
      </c>
      <c r="K233" t="inlineStr">
        <is>
          <t>104 / 101</t>
        </is>
      </c>
      <c r="L233" t="inlineStr">
        <is>
          <t>40 / 26</t>
        </is>
      </c>
      <c r="M233" s="5" t="n">
        <v>0.51</v>
      </c>
      <c r="N233" s="5" t="n">
        <v>0.61</v>
      </c>
    </row>
    <row r="234">
      <c r="A234" t="n">
        <v>233</v>
      </c>
      <c r="B234" t="n">
        <v>2013</v>
      </c>
      <c r="C234" t="inlineStr">
        <is>
          <t>Anastazia De Lain</t>
        </is>
      </c>
      <c r="D234">
        <f>HYPERLINK("https://ota.tournamentsoftware.com/player-profile/BEE8D838-8464-4CCF-9268-D0D58F108999", "Link")</f>
        <v/>
      </c>
      <c r="E234" s="3" t="n">
        <v>335.359</v>
      </c>
      <c r="F234" s="4" t="n">
        <v>21</v>
      </c>
      <c r="G234" t="inlineStr">
        <is>
          <t>Tennis Québec</t>
        </is>
      </c>
      <c r="H234" t="inlineStr">
        <is>
          <t>EB Tennis inc.</t>
        </is>
      </c>
      <c r="I234" t="n">
        <v>36.6</v>
      </c>
      <c r="J234" s="4" t="n">
        <v>174</v>
      </c>
      <c r="K234" t="inlineStr">
        <is>
          <t>37 / 137</t>
        </is>
      </c>
      <c r="L234" t="inlineStr">
        <is>
          <t>4 / 23</t>
        </is>
      </c>
      <c r="M234" s="5" t="n">
        <v>0.21</v>
      </c>
      <c r="N234" s="5" t="n">
        <v>0.15</v>
      </c>
    </row>
    <row r="235">
      <c r="A235" t="n">
        <v>234</v>
      </c>
      <c r="B235" t="n">
        <v>2013</v>
      </c>
      <c r="C235" t="inlineStr">
        <is>
          <t>Kmar ELHOUIJ</t>
        </is>
      </c>
      <c r="D235">
        <f>HYPERLINK("https://ota.tournamentsoftware.com/player-profile/D690466C-B3D9-45B2-B453-BA40F436A5C1", "Link")</f>
        <v/>
      </c>
      <c r="E235" s="3" t="n">
        <v>335.176</v>
      </c>
      <c r="F235" s="4" t="n">
        <v>4</v>
      </c>
      <c r="G235" t="inlineStr">
        <is>
          <t>Tennis New Brunswick</t>
        </is>
      </c>
      <c r="H235" t="inlineStr">
        <is>
          <t>No Club</t>
        </is>
      </c>
      <c r="I235" t="n">
        <v>27.4</v>
      </c>
      <c r="J235" s="4" t="n">
        <v>39</v>
      </c>
      <c r="K235" t="inlineStr">
        <is>
          <t>30 / 9</t>
        </is>
      </c>
      <c r="L235" t="inlineStr">
        <is>
          <t>19 / 6</t>
        </is>
      </c>
      <c r="M235" s="5" t="n">
        <v>0.77</v>
      </c>
      <c r="N235" s="5" t="n">
        <v>0.76</v>
      </c>
    </row>
    <row r="236">
      <c r="A236" t="n">
        <v>235</v>
      </c>
      <c r="B236" t="n">
        <v>2012</v>
      </c>
      <c r="C236" t="inlineStr">
        <is>
          <t>Yunia Bartha</t>
        </is>
      </c>
      <c r="D236">
        <f>HYPERLINK("https://ota.tournamentsoftware.com/player-profile/3A2980C0-C922-4870-A2B4-18E74AC903C2", "Link")</f>
        <v/>
      </c>
      <c r="E236" s="3" t="n">
        <v>332.284</v>
      </c>
      <c r="F236" s="4" t="n">
        <v>25</v>
      </c>
      <c r="G236" t="inlineStr">
        <is>
          <t>Tennis Québec</t>
        </is>
      </c>
      <c r="H236" t="inlineStr">
        <is>
          <t>Club Sportif Côte-de-Liesse</t>
        </is>
      </c>
      <c r="I236" t="n">
        <v>32.6</v>
      </c>
      <c r="J236" s="4" t="n">
        <v>141</v>
      </c>
      <c r="K236" t="inlineStr">
        <is>
          <t>56 / 85</t>
        </is>
      </c>
      <c r="L236" t="inlineStr">
        <is>
          <t>12 / 21</t>
        </is>
      </c>
      <c r="M236" s="5" t="n">
        <v>0.4</v>
      </c>
      <c r="N236" s="5" t="n">
        <v>0.36</v>
      </c>
    </row>
    <row r="237">
      <c r="A237" t="n">
        <v>236</v>
      </c>
      <c r="B237" t="n">
        <v>2013</v>
      </c>
      <c r="C237" t="inlineStr">
        <is>
          <t>Aicha Ben Ali</t>
        </is>
      </c>
      <c r="D237">
        <f>HYPERLINK("https://ota.tournamentsoftware.com/player-profile/87F8F2BE-10FE-41D7-8382-85524C1D5D23", "Link")</f>
        <v/>
      </c>
      <c r="E237" s="3" t="n">
        <v>330.988</v>
      </c>
      <c r="F237" s="4" t="n">
        <v>9</v>
      </c>
      <c r="G237" t="inlineStr">
        <is>
          <t>Tennis Saskatchewan</t>
        </is>
      </c>
      <c r="H237" t="inlineStr">
        <is>
          <t>Lakeshore Tennis Club</t>
        </is>
      </c>
      <c r="I237" t="inlineStr">
        <is>
          <t>unavailable</t>
        </is>
      </c>
      <c r="J237" s="4" t="n">
        <v>31</v>
      </c>
      <c r="K237" t="inlineStr">
        <is>
          <t>4 / 27</t>
        </is>
      </c>
      <c r="L237" t="inlineStr">
        <is>
          <t>4 / 23</t>
        </is>
      </c>
      <c r="M237" s="5" t="n">
        <v>0.13</v>
      </c>
      <c r="N237" s="5" t="n">
        <v>0.15</v>
      </c>
    </row>
    <row r="238">
      <c r="A238" t="n">
        <v>237</v>
      </c>
      <c r="B238" t="n">
        <v>2014</v>
      </c>
      <c r="C238" t="inlineStr">
        <is>
          <t>Vrishti Gehlot</t>
        </is>
      </c>
      <c r="D238">
        <f>HYPERLINK("https://ota.tournamentsoftware.com/player-profile/8D59FB71-FC68-41E0-B69F-920C29B60AD3", "Link")</f>
        <v/>
      </c>
      <c r="E238" s="3" t="n">
        <v>322.528</v>
      </c>
      <c r="F238" s="4" t="n">
        <v>27</v>
      </c>
      <c r="G238" t="inlineStr">
        <is>
          <t>Ontario Tennis Association</t>
        </is>
      </c>
      <c r="H238" t="inlineStr">
        <is>
          <t>Premier Racquet Clubs – Mississauga</t>
        </is>
      </c>
      <c r="I238" t="n">
        <v>33</v>
      </c>
      <c r="J238" s="4" t="n">
        <v>157</v>
      </c>
      <c r="K238" t="inlineStr">
        <is>
          <t>79 / 78</t>
        </is>
      </c>
      <c r="L238" t="inlineStr">
        <is>
          <t>31 / 19</t>
        </is>
      </c>
      <c r="M238" s="5" t="n">
        <v>0.5</v>
      </c>
      <c r="N238" s="5" t="n">
        <v>0.62</v>
      </c>
    </row>
    <row r="239">
      <c r="A239" t="n">
        <v>238</v>
      </c>
      <c r="B239" t="n">
        <v>2015</v>
      </c>
      <c r="C239" t="inlineStr">
        <is>
          <t>Josephine Yitong Wu</t>
        </is>
      </c>
      <c r="D239">
        <f>HYPERLINK("https://ota.tournamentsoftware.com/player-profile/1DF0BC06-9057-4469-9CEF-A9B5D864D9C9", "Link")</f>
        <v/>
      </c>
      <c r="E239" s="3" t="n">
        <v>321.68</v>
      </c>
      <c r="F239" s="4" t="n">
        <v>19</v>
      </c>
      <c r="G239" t="inlineStr">
        <is>
          <t>British Columbia</t>
        </is>
      </c>
      <c r="H239" t="inlineStr">
        <is>
          <t>North Vancouver Tennis Centre</t>
        </is>
      </c>
      <c r="I239" t="n">
        <v>29.1</v>
      </c>
      <c r="J239" s="4" t="n">
        <v>169</v>
      </c>
      <c r="K239" t="inlineStr">
        <is>
          <t>100 / 69</t>
        </is>
      </c>
      <c r="L239" t="inlineStr">
        <is>
          <t>23 / 13</t>
        </is>
      </c>
      <c r="M239" s="5" t="n">
        <v>0.59</v>
      </c>
      <c r="N239" s="5" t="n">
        <v>0.64</v>
      </c>
    </row>
    <row r="240">
      <c r="A240" t="n">
        <v>239</v>
      </c>
      <c r="B240" t="n">
        <v>2012</v>
      </c>
      <c r="C240" t="inlineStr">
        <is>
          <t>Abby Jean Tobac</t>
        </is>
      </c>
      <c r="D240">
        <f>HYPERLINK("https://ota.tournamentsoftware.com/player-profile/CDFDF0FB-A147-4D3C-BF4D-24E115B9EC1A", "Link")</f>
        <v/>
      </c>
      <c r="E240" s="3" t="n">
        <v>318.528</v>
      </c>
      <c r="F240" s="4" t="n">
        <v>6</v>
      </c>
      <c r="G240" t="inlineStr">
        <is>
          <t>Tennis Manitoba</t>
        </is>
      </c>
      <c r="H240" t="inlineStr">
        <is>
          <t>Taylor Tennis</t>
        </is>
      </c>
      <c r="I240" t="n">
        <v>35.1</v>
      </c>
      <c r="J240" s="4" t="n">
        <v>49</v>
      </c>
      <c r="K240" t="inlineStr">
        <is>
          <t>14 / 35</t>
        </is>
      </c>
      <c r="L240" t="inlineStr">
        <is>
          <t>2 / 9</t>
        </is>
      </c>
      <c r="M240" s="5" t="n">
        <v>0.29</v>
      </c>
      <c r="N240" s="5" t="n">
        <v>0.18</v>
      </c>
    </row>
    <row r="241">
      <c r="A241" t="n">
        <v>240</v>
      </c>
      <c r="B241" t="n">
        <v>2015</v>
      </c>
      <c r="C241" t="inlineStr">
        <is>
          <t>Clara Fanoos</t>
        </is>
      </c>
      <c r="D241">
        <f>HYPERLINK("https://ota.tournamentsoftware.com/player-profile/4AE431B3-C9E6-49D8-8003-48666B13F94B", "Link")</f>
        <v/>
      </c>
      <c r="E241" s="3" t="n">
        <v>316.509</v>
      </c>
      <c r="F241" s="4" t="n">
        <v>21</v>
      </c>
      <c r="G241" t="inlineStr">
        <is>
          <t>Tennis Québec</t>
        </is>
      </c>
      <c r="H241" t="inlineStr">
        <is>
          <t>Complexe de tennis de St-Augustin</t>
        </is>
      </c>
      <c r="I241" t="n">
        <v>31.5</v>
      </c>
      <c r="J241" s="4" t="n">
        <v>192</v>
      </c>
      <c r="K241" t="inlineStr">
        <is>
          <t>117 / 75</t>
        </is>
      </c>
      <c r="L241" t="inlineStr">
        <is>
          <t>29 / 19</t>
        </is>
      </c>
      <c r="M241" s="5" t="n">
        <v>0.61</v>
      </c>
      <c r="N241" s="5" t="n">
        <v>0.6</v>
      </c>
    </row>
    <row r="242">
      <c r="A242" t="n">
        <v>241</v>
      </c>
      <c r="B242" t="n">
        <v>2012</v>
      </c>
      <c r="C242" t="inlineStr">
        <is>
          <t>Eva Brisson</t>
        </is>
      </c>
      <c r="D242">
        <f>HYPERLINK("https://ota.tournamentsoftware.com/player-profile/BC349487-CEB9-4CB8-ABCF-1006DD0F69AA", "Link")</f>
        <v/>
      </c>
      <c r="E242" s="3" t="n">
        <v>313.816</v>
      </c>
      <c r="F242" s="4" t="n">
        <v>23</v>
      </c>
      <c r="G242" t="inlineStr">
        <is>
          <t>Tennis Québec</t>
        </is>
      </c>
      <c r="H242" t="inlineStr">
        <is>
          <t>Club Sportif Côte-de-Liesse</t>
        </is>
      </c>
      <c r="I242" t="n">
        <v>31.1</v>
      </c>
      <c r="J242" s="4" t="n">
        <v>145</v>
      </c>
      <c r="K242" t="inlineStr">
        <is>
          <t>61 / 84</t>
        </is>
      </c>
      <c r="L242" t="inlineStr">
        <is>
          <t>15 / 16</t>
        </is>
      </c>
      <c r="M242" s="5" t="n">
        <v>0.42</v>
      </c>
      <c r="N242" s="5" t="n">
        <v>0.48</v>
      </c>
    </row>
    <row r="243">
      <c r="A243" t="n">
        <v>242</v>
      </c>
      <c r="B243" t="n">
        <v>2012</v>
      </c>
      <c r="C243" t="inlineStr">
        <is>
          <t>helena Khorsid-G-Mahdi</t>
        </is>
      </c>
      <c r="D243">
        <f>HYPERLINK("https://ota.tournamentsoftware.com/player-profile/D9FB3068-A1A7-4F96-B728-095D292B805C", "Link")</f>
        <v/>
      </c>
      <c r="E243" s="3" t="n">
        <v>312.56</v>
      </c>
      <c r="F243" s="4" t="n">
        <v>22</v>
      </c>
      <c r="G243" t="inlineStr">
        <is>
          <t>Ontario Tennis Association</t>
        </is>
      </c>
      <c r="H243" t="inlineStr">
        <is>
          <t>Cottingham Tennis Club</t>
        </is>
      </c>
      <c r="I243" t="inlineStr">
        <is>
          <t>unavailable</t>
        </is>
      </c>
      <c r="J243" s="4" t="n">
        <v>56</v>
      </c>
      <c r="K243" t="inlineStr">
        <is>
          <t>33 / 23</t>
        </is>
      </c>
      <c r="L243" t="inlineStr">
        <is>
          <t>19 / 16</t>
        </is>
      </c>
      <c r="M243" s="5" t="n">
        <v>0.59</v>
      </c>
      <c r="N243" s="5" t="n">
        <v>0.54</v>
      </c>
    </row>
    <row r="244">
      <c r="A244" t="n">
        <v>243</v>
      </c>
      <c r="B244" t="n">
        <v>2013</v>
      </c>
      <c r="C244" t="inlineStr">
        <is>
          <t>Katelyn Zhao</t>
        </is>
      </c>
      <c r="D244">
        <f>HYPERLINK("https://ota.tournamentsoftware.com/player-profile/C6305E19-1670-4857-9967-0344F0C8AB1D", "Link")</f>
        <v/>
      </c>
      <c r="E244" s="3" t="n">
        <v>312.472</v>
      </c>
      <c r="F244" s="4" t="n">
        <v>27</v>
      </c>
      <c r="G244" t="inlineStr">
        <is>
          <t>Ontario Tennis Association</t>
        </is>
      </c>
      <c r="H244" t="inlineStr">
        <is>
          <t>Premier Racquet Club</t>
        </is>
      </c>
      <c r="I244" t="n">
        <v>33.5</v>
      </c>
      <c r="J244" s="4" t="n">
        <v>101</v>
      </c>
      <c r="K244" t="inlineStr">
        <is>
          <t>52 / 49</t>
        </is>
      </c>
      <c r="L244" t="inlineStr">
        <is>
          <t>20 / 23</t>
        </is>
      </c>
      <c r="M244" s="5" t="n">
        <v>0.51</v>
      </c>
      <c r="N244" s="5" t="n">
        <v>0.47</v>
      </c>
    </row>
    <row r="245">
      <c r="A245" t="n">
        <v>244</v>
      </c>
      <c r="B245" t="n">
        <v>2012</v>
      </c>
      <c r="C245" t="inlineStr">
        <is>
          <t>Camie Wang</t>
        </is>
      </c>
      <c r="D245">
        <f>HYPERLINK("https://ota.tournamentsoftware.com/player-profile/5CE5CCC5-E821-48EF-86C9-6973D97D1F92", "Link")</f>
        <v/>
      </c>
      <c r="E245" s="3" t="n">
        <v>311.911</v>
      </c>
      <c r="F245" s="4" t="n">
        <v>16</v>
      </c>
      <c r="G245" t="inlineStr">
        <is>
          <t>Tennis Alberta</t>
        </is>
      </c>
      <c r="H245" t="inlineStr">
        <is>
          <t>Osten &amp; Victor Alberta Tennis Centre</t>
        </is>
      </c>
      <c r="I245" t="n">
        <v>28</v>
      </c>
      <c r="J245" s="4" t="n">
        <v>115</v>
      </c>
      <c r="K245" t="inlineStr">
        <is>
          <t>61 / 54</t>
        </is>
      </c>
      <c r="L245" t="inlineStr">
        <is>
          <t>20 / 19</t>
        </is>
      </c>
      <c r="M245" s="5" t="n">
        <v>0.53</v>
      </c>
      <c r="N245" s="5" t="n">
        <v>0.51</v>
      </c>
    </row>
    <row r="246">
      <c r="A246" t="n">
        <v>245</v>
      </c>
      <c r="B246" t="n">
        <v>2012</v>
      </c>
      <c r="C246" t="inlineStr">
        <is>
          <t>Daisy Tingru Wang</t>
        </is>
      </c>
      <c r="D246">
        <f>HYPERLINK("https://ota.tournamentsoftware.com/player-profile/40DA5F9F-8E70-4030-A0ED-A54E3D8832D2", "Link")</f>
        <v/>
      </c>
      <c r="E246" s="3" t="n">
        <v>310.853</v>
      </c>
      <c r="F246" s="4" t="n">
        <v>7</v>
      </c>
      <c r="G246" t="inlineStr">
        <is>
          <t>Tennis Nova Scotia</t>
        </is>
      </c>
      <c r="H246" t="inlineStr">
        <is>
          <t>HEADSTART</t>
        </is>
      </c>
      <c r="I246" t="n">
        <v>36.2</v>
      </c>
      <c r="J246" s="4" t="n">
        <v>37</v>
      </c>
      <c r="K246" t="inlineStr">
        <is>
          <t>8 / 29</t>
        </is>
      </c>
      <c r="L246" t="inlineStr">
        <is>
          <t>5 / 19</t>
        </is>
      </c>
      <c r="M246" s="5" t="n">
        <v>0.22</v>
      </c>
      <c r="N246" s="5" t="n">
        <v>0.21</v>
      </c>
    </row>
    <row r="247">
      <c r="A247" t="n">
        <v>246</v>
      </c>
      <c r="B247" t="n">
        <v>2013</v>
      </c>
      <c r="C247" t="inlineStr">
        <is>
          <t>Ria Tamber</t>
        </is>
      </c>
      <c r="D247">
        <f>HYPERLINK("https://ota.tournamentsoftware.com/player-profile/4A086BBB-EEC2-48A4-BDDA-142D9D4A3534", "Link")</f>
        <v/>
      </c>
      <c r="E247" s="3" t="n">
        <v>308.995</v>
      </c>
      <c r="F247" s="4" t="n">
        <v>24</v>
      </c>
      <c r="G247" t="inlineStr">
        <is>
          <t>Ontario Tennis Association</t>
        </is>
      </c>
      <c r="H247" t="inlineStr">
        <is>
          <t>Premier Racquet Clubs – Mississauga</t>
        </is>
      </c>
      <c r="I247" t="inlineStr">
        <is>
          <t>unavailable</t>
        </is>
      </c>
      <c r="J247" s="4" t="n">
        <v>98</v>
      </c>
      <c r="K247" t="inlineStr">
        <is>
          <t>42 / 56</t>
        </is>
      </c>
      <c r="L247" t="inlineStr">
        <is>
          <t>15 / 16</t>
        </is>
      </c>
      <c r="M247" s="5" t="n">
        <v>0.43</v>
      </c>
      <c r="N247" s="5" t="n">
        <v>0.48</v>
      </c>
    </row>
    <row r="248">
      <c r="A248" t="n">
        <v>247</v>
      </c>
      <c r="B248" t="n">
        <v>2013</v>
      </c>
      <c r="C248" t="inlineStr">
        <is>
          <t>Keona Asogwa</t>
        </is>
      </c>
      <c r="D248">
        <f>HYPERLINK("https://ota.tournamentsoftware.com/player-profile/1F426AE8-5B0F-4535-AD10-450570C37073", "Link")</f>
        <v/>
      </c>
      <c r="E248" s="3" t="n">
        <v>308.808</v>
      </c>
      <c r="F248" s="4" t="n">
        <v>17</v>
      </c>
      <c r="G248" t="inlineStr">
        <is>
          <t>Ontario Tennis Association</t>
        </is>
      </c>
      <c r="H248" t="inlineStr">
        <is>
          <t>Carleton Tennis Centre</t>
        </is>
      </c>
      <c r="I248" t="inlineStr">
        <is>
          <t>unavailable</t>
        </is>
      </c>
      <c r="J248" s="4" t="n">
        <v>108</v>
      </c>
      <c r="K248" t="inlineStr">
        <is>
          <t>40 / 68</t>
        </is>
      </c>
      <c r="L248" t="inlineStr">
        <is>
          <t>4 / 12</t>
        </is>
      </c>
      <c r="M248" s="5" t="n">
        <v>0.37</v>
      </c>
      <c r="N248" s="5" t="n">
        <v>0.25</v>
      </c>
    </row>
    <row r="249">
      <c r="A249" t="n">
        <v>248</v>
      </c>
      <c r="B249" t="n">
        <v>2015</v>
      </c>
      <c r="C249" t="inlineStr">
        <is>
          <t>Maya Lupu</t>
        </is>
      </c>
      <c r="D249">
        <f>HYPERLINK("https://ota.tournamentsoftware.com/player-profile/C02052CF-6FBB-4C91-8237-A96FF9B4C794", "Link")</f>
        <v/>
      </c>
      <c r="E249" s="3" t="n">
        <v>308.771</v>
      </c>
      <c r="F249" s="4" t="n">
        <v>16</v>
      </c>
      <c r="G249" t="inlineStr">
        <is>
          <t>Tennis Alberta</t>
        </is>
      </c>
      <c r="H249" t="inlineStr">
        <is>
          <t>Saville Community Sports Centre</t>
        </is>
      </c>
      <c r="I249" t="n">
        <v>31.2</v>
      </c>
      <c r="J249" s="4" t="n">
        <v>162</v>
      </c>
      <c r="K249" t="inlineStr">
        <is>
          <t>104 / 58</t>
        </is>
      </c>
      <c r="L249" t="inlineStr">
        <is>
          <t>19 / 23</t>
        </is>
      </c>
      <c r="M249" s="5" t="n">
        <v>0.64</v>
      </c>
      <c r="N249" s="5" t="n">
        <v>0.45</v>
      </c>
    </row>
    <row r="250">
      <c r="A250" t="n">
        <v>249</v>
      </c>
      <c r="B250" t="n">
        <v>2013</v>
      </c>
      <c r="C250" t="inlineStr">
        <is>
          <t>Kany Kaba</t>
        </is>
      </c>
      <c r="D250">
        <f>HYPERLINK("https://ota.tournamentsoftware.com/player-profile/7816DF47-252D-402D-BF26-B906A8AB6ED7", "Link")</f>
        <v/>
      </c>
      <c r="E250" s="3" t="n">
        <v>308.626</v>
      </c>
      <c r="F250" s="4" t="n">
        <v>11</v>
      </c>
      <c r="G250" t="inlineStr">
        <is>
          <t>Tennis Québec</t>
        </is>
      </c>
      <c r="H250" t="inlineStr">
        <is>
          <t>EB Tennis inc.</t>
        </is>
      </c>
      <c r="I250" t="n">
        <v>33</v>
      </c>
      <c r="J250" s="4" t="n">
        <v>138</v>
      </c>
      <c r="K250" t="inlineStr">
        <is>
          <t>83 / 55</t>
        </is>
      </c>
      <c r="L250" t="inlineStr">
        <is>
          <t>5 / 12</t>
        </is>
      </c>
      <c r="M250" s="5" t="n">
        <v>0.6</v>
      </c>
      <c r="N250" s="5" t="n">
        <v>0.29</v>
      </c>
    </row>
    <row r="251">
      <c r="A251" t="n">
        <v>250</v>
      </c>
      <c r="B251" t="n">
        <v>2013</v>
      </c>
      <c r="C251" t="inlineStr">
        <is>
          <t>ZOE SOFIA CARDENAS PANIAGUA</t>
        </is>
      </c>
      <c r="D251">
        <f>HYPERLINK("https://ota.tournamentsoftware.com/player-profile/6ADCA248-D68F-47BB-9ED7-CDC7448C4AE9", "Link")</f>
        <v/>
      </c>
      <c r="E251" s="3" t="n">
        <v>307.118</v>
      </c>
      <c r="F251" s="4" t="n">
        <v>6</v>
      </c>
      <c r="G251" t="inlineStr">
        <is>
          <t>Tennis Manitoba</t>
        </is>
      </c>
      <c r="H251" t="inlineStr">
        <is>
          <t>Tuxedo Tennis Club</t>
        </is>
      </c>
      <c r="I251" t="inlineStr">
        <is>
          <t>unavailable</t>
        </is>
      </c>
      <c r="J251" s="4" t="n">
        <v>59</v>
      </c>
      <c r="K251" t="inlineStr">
        <is>
          <t>22 / 37</t>
        </is>
      </c>
      <c r="L251" t="inlineStr">
        <is>
          <t>6 / 8</t>
        </is>
      </c>
      <c r="M251" s="5" t="n">
        <v>0.37</v>
      </c>
      <c r="N251" s="5" t="n">
        <v>0.43</v>
      </c>
    </row>
    <row r="252">
      <c r="A252" t="n">
        <v>251</v>
      </c>
      <c r="B252" t="n">
        <v>2014</v>
      </c>
      <c r="C252" t="inlineStr">
        <is>
          <t>Rosie Mai Kowalewski</t>
        </is>
      </c>
      <c r="D252">
        <f>HYPERLINK("https://ota.tournamentsoftware.com/player-profile/6AE6D507-C7A4-4B8D-AF2E-EBFE848DD41B", "Link")</f>
        <v/>
      </c>
      <c r="E252" s="3" t="n">
        <v>303.327</v>
      </c>
      <c r="F252" s="4" t="n">
        <v>18</v>
      </c>
      <c r="G252" t="inlineStr">
        <is>
          <t>Ontario Tennis Association</t>
        </is>
      </c>
      <c r="H252" t="inlineStr">
        <is>
          <t>No Club</t>
        </is>
      </c>
      <c r="I252" t="n">
        <v>31.5</v>
      </c>
      <c r="J252" s="4" t="n">
        <v>192</v>
      </c>
      <c r="K252" t="inlineStr">
        <is>
          <t>113 / 79</t>
        </is>
      </c>
      <c r="L252" t="inlineStr">
        <is>
          <t>14 / 11</t>
        </is>
      </c>
      <c r="M252" s="5" t="n">
        <v>0.59</v>
      </c>
      <c r="N252" s="5" t="n">
        <v>0.5600000000000001</v>
      </c>
    </row>
    <row r="253">
      <c r="A253" t="n">
        <v>252</v>
      </c>
      <c r="B253" t="n">
        <v>2014</v>
      </c>
      <c r="C253" t="inlineStr">
        <is>
          <t>Isabella Huang</t>
        </is>
      </c>
      <c r="D253">
        <f>HYPERLINK("https://ota.tournamentsoftware.com/player-profile/DB8FA904-8DE1-4D99-951F-F44CD792291A", "Link")</f>
        <v/>
      </c>
      <c r="E253" s="3" t="n">
        <v>302.648</v>
      </c>
      <c r="F253" s="4" t="n">
        <v>17</v>
      </c>
      <c r="G253" t="inlineStr">
        <is>
          <t>British Columbia</t>
        </is>
      </c>
      <c r="H253" t="inlineStr">
        <is>
          <t>Burnaby Tennis Club</t>
        </is>
      </c>
      <c r="I253" t="inlineStr">
        <is>
          <t>unavailable</t>
        </is>
      </c>
      <c r="J253" s="4" t="n">
        <v>198</v>
      </c>
      <c r="K253" t="inlineStr">
        <is>
          <t>113 / 85</t>
        </is>
      </c>
      <c r="L253" t="inlineStr">
        <is>
          <t>26 / 13</t>
        </is>
      </c>
      <c r="M253" s="5" t="n">
        <v>0.57</v>
      </c>
      <c r="N253" s="5" t="n">
        <v>0.67</v>
      </c>
    </row>
    <row r="254">
      <c r="A254" t="n">
        <v>253</v>
      </c>
      <c r="B254" t="n">
        <v>2013</v>
      </c>
      <c r="C254" t="inlineStr">
        <is>
          <t>Chloe Lu</t>
        </is>
      </c>
      <c r="D254">
        <f>HYPERLINK("https://ota.tournamentsoftware.com/player-profile/30F898AC-1C96-41C5-BBB0-3BFD30EC0D0D", "Link")</f>
        <v/>
      </c>
      <c r="E254" s="3" t="n">
        <v>300.706</v>
      </c>
      <c r="F254" s="4" t="n">
        <v>26</v>
      </c>
      <c r="G254" t="inlineStr">
        <is>
          <t>British Columbia</t>
        </is>
      </c>
      <c r="H254" t="inlineStr">
        <is>
          <t>UBC Tennis Centre</t>
        </is>
      </c>
      <c r="I254" t="n">
        <v>32.1</v>
      </c>
      <c r="J254" s="4" t="n">
        <v>164</v>
      </c>
      <c r="K254" t="inlineStr">
        <is>
          <t>61 / 103</t>
        </is>
      </c>
      <c r="L254" t="inlineStr">
        <is>
          <t>21 / 25</t>
        </is>
      </c>
      <c r="M254" s="5" t="n">
        <v>0.37</v>
      </c>
      <c r="N254" s="5" t="n">
        <v>0.46</v>
      </c>
    </row>
    <row r="255">
      <c r="A255" t="n">
        <v>254</v>
      </c>
      <c r="B255" t="n">
        <v>2015</v>
      </c>
      <c r="C255" t="inlineStr">
        <is>
          <t>Zoë Crago</t>
        </is>
      </c>
      <c r="D255">
        <f>HYPERLINK("https://ota.tournamentsoftware.com/player-profile/C2D18227-6075-4F1E-83A2-40A822F874D3", "Link")</f>
        <v/>
      </c>
      <c r="E255" s="3" t="n">
        <v>298.67</v>
      </c>
      <c r="F255" s="4" t="n">
        <v>28</v>
      </c>
      <c r="G255" t="inlineStr">
        <is>
          <t>Tennis Québec</t>
        </is>
      </c>
      <c r="H255" t="inlineStr">
        <is>
          <t>Tennis Montréal Excellence</t>
        </is>
      </c>
      <c r="I255" t="n">
        <v>32.9</v>
      </c>
      <c r="J255" s="4" t="n">
        <v>195</v>
      </c>
      <c r="K255" t="inlineStr">
        <is>
          <t>102 / 93</t>
        </is>
      </c>
      <c r="L255" t="inlineStr">
        <is>
          <t>30 / 25</t>
        </is>
      </c>
      <c r="M255" s="5" t="n">
        <v>0.52</v>
      </c>
      <c r="N255" s="5" t="n">
        <v>0.55</v>
      </c>
    </row>
    <row r="256">
      <c r="A256" t="n">
        <v>255</v>
      </c>
      <c r="B256" t="n">
        <v>2013</v>
      </c>
      <c r="C256" t="inlineStr">
        <is>
          <t>Tia Patel</t>
        </is>
      </c>
      <c r="D256">
        <f>HYPERLINK("https://ota.tournamentsoftware.com/player-profile/5C480574-FD9C-4816-B1CF-F51441726B25", "Link")</f>
        <v/>
      </c>
      <c r="E256" s="3" t="n">
        <v>295.069</v>
      </c>
      <c r="F256" s="4" t="n">
        <v>16</v>
      </c>
      <c r="G256" t="inlineStr">
        <is>
          <t>Ontario Tennis Association</t>
        </is>
      </c>
      <c r="H256" t="inlineStr">
        <is>
          <t>Waterloo Tennis Club</t>
        </is>
      </c>
      <c r="I256" t="n">
        <v>34.7</v>
      </c>
      <c r="J256" s="4" t="n">
        <v>76</v>
      </c>
      <c r="K256" t="inlineStr">
        <is>
          <t>27 / 49</t>
        </is>
      </c>
      <c r="L256" t="inlineStr">
        <is>
          <t>5 / 9</t>
        </is>
      </c>
      <c r="M256" s="5" t="n">
        <v>0.36</v>
      </c>
      <c r="N256" s="5" t="n">
        <v>0.36</v>
      </c>
    </row>
    <row r="257">
      <c r="A257" t="n">
        <v>256</v>
      </c>
      <c r="B257" t="n">
        <v>2012</v>
      </c>
      <c r="C257" t="inlineStr">
        <is>
          <t>Trisha Singh</t>
        </is>
      </c>
      <c r="D257">
        <f>HYPERLINK("https://ota.tournamentsoftware.com/player-profile/CA831513-6963-4556-B8FD-4D148748EB19", "Link")</f>
        <v/>
      </c>
      <c r="E257" s="3" t="n">
        <v>294.989</v>
      </c>
      <c r="F257" s="4" t="n">
        <v>18</v>
      </c>
      <c r="G257" t="inlineStr">
        <is>
          <t>Ontario Tennis Association</t>
        </is>
      </c>
      <c r="H257" t="inlineStr">
        <is>
          <t>Rideau Sports Centre</t>
        </is>
      </c>
      <c r="I257" t="n">
        <v>31.9</v>
      </c>
      <c r="J257" s="4" t="n">
        <v>89</v>
      </c>
      <c r="K257" t="inlineStr">
        <is>
          <t>39 / 50</t>
        </is>
      </c>
      <c r="L257" t="inlineStr">
        <is>
          <t>9 / 17</t>
        </is>
      </c>
      <c r="M257" s="5" t="n">
        <v>0.44</v>
      </c>
      <c r="N257" s="5" t="n">
        <v>0.35</v>
      </c>
    </row>
    <row r="258">
      <c r="A258" t="n">
        <v>257</v>
      </c>
      <c r="B258" t="n">
        <v>2014</v>
      </c>
      <c r="C258" t="inlineStr">
        <is>
          <t>Tehzeeb MRAR</t>
        </is>
      </c>
      <c r="D258">
        <f>HYPERLINK("https://ota.tournamentsoftware.com/player-profile/9E69163B-7ED7-4450-8845-0676D6C943B8", "Link")</f>
        <v/>
      </c>
      <c r="E258" s="3" t="n">
        <v>293.832</v>
      </c>
      <c r="F258" s="4" t="n">
        <v>20</v>
      </c>
      <c r="G258" t="inlineStr">
        <is>
          <t>British Columbia</t>
        </is>
      </c>
      <c r="H258" t="inlineStr">
        <is>
          <t>No Club</t>
        </is>
      </c>
      <c r="I258" t="n">
        <v>29.6</v>
      </c>
      <c r="J258" s="4" t="n">
        <v>198</v>
      </c>
      <c r="K258" t="inlineStr">
        <is>
          <t>109 / 89</t>
        </is>
      </c>
      <c r="L258" t="inlineStr">
        <is>
          <t>19 / 15</t>
        </is>
      </c>
      <c r="M258" s="5" t="n">
        <v>0.55</v>
      </c>
      <c r="N258" s="5" t="n">
        <v>0.5600000000000001</v>
      </c>
    </row>
    <row r="259">
      <c r="A259" t="n">
        <v>258</v>
      </c>
      <c r="B259" t="n">
        <v>2014</v>
      </c>
      <c r="C259" t="inlineStr">
        <is>
          <t>Krystal Xuan Sun</t>
        </is>
      </c>
      <c r="D259">
        <f>HYPERLINK("https://ota.tournamentsoftware.com/player-profile/683C106F-AE4B-4C63-B1A3-D9C25FFAD31B", "Link")</f>
        <v/>
      </c>
      <c r="E259" s="3" t="n">
        <v>289.981</v>
      </c>
      <c r="F259" s="4" t="n">
        <v>11</v>
      </c>
      <c r="G259" t="inlineStr">
        <is>
          <t>Tennis Manitoba</t>
        </is>
      </c>
      <c r="H259" t="inlineStr">
        <is>
          <t>Taylor Tennis</t>
        </is>
      </c>
      <c r="I259" t="inlineStr">
        <is>
          <t>unavailable</t>
        </is>
      </c>
      <c r="J259" s="4" t="n">
        <v>74</v>
      </c>
      <c r="K259" t="inlineStr">
        <is>
          <t>21 / 53</t>
        </is>
      </c>
      <c r="L259" t="inlineStr">
        <is>
          <t>10 / 29</t>
        </is>
      </c>
      <c r="M259" s="5" t="n">
        <v>0.28</v>
      </c>
      <c r="N259" s="5" t="n">
        <v>0.26</v>
      </c>
    </row>
    <row r="260">
      <c r="A260" t="n">
        <v>259</v>
      </c>
      <c r="B260" t="n">
        <v>2013</v>
      </c>
      <c r="C260" t="inlineStr">
        <is>
          <t>Lily Gaumond-Boivin</t>
        </is>
      </c>
      <c r="D260">
        <f>HYPERLINK("https://ota.tournamentsoftware.com/player-profile/98461C64-ECF9-40D8-849E-C8999A9F9BA1", "Link")</f>
        <v/>
      </c>
      <c r="E260" s="3" t="n">
        <v>289.881</v>
      </c>
      <c r="F260" s="4" t="n">
        <v>21</v>
      </c>
      <c r="G260" t="inlineStr">
        <is>
          <t>Tennis Québec</t>
        </is>
      </c>
      <c r="H260" t="inlineStr">
        <is>
          <t>Club Avantage Multi-sports / Académie de tennis Hérisset Bordeleau</t>
        </is>
      </c>
      <c r="I260" t="inlineStr">
        <is>
          <t>unavailable</t>
        </is>
      </c>
      <c r="J260" s="4" t="n">
        <v>121</v>
      </c>
      <c r="K260" t="inlineStr">
        <is>
          <t>59 / 62</t>
        </is>
      </c>
      <c r="L260" t="inlineStr">
        <is>
          <t>9 / 13</t>
        </is>
      </c>
      <c r="M260" s="5" t="n">
        <v>0.49</v>
      </c>
      <c r="N260" s="5" t="n">
        <v>0.41</v>
      </c>
    </row>
    <row r="261">
      <c r="A261" t="n">
        <v>260</v>
      </c>
      <c r="B261" t="n">
        <v>2012</v>
      </c>
      <c r="C261" t="inlineStr">
        <is>
          <t>Norah Diop</t>
        </is>
      </c>
      <c r="D261">
        <f>HYPERLINK("https://ota.tournamentsoftware.com/player-profile/1B130952-D24A-467D-813D-2DA5B56ADFFF", "Link")</f>
        <v/>
      </c>
      <c r="E261" s="3" t="n">
        <v>289.524</v>
      </c>
      <c r="F261" s="4" t="n">
        <v>19</v>
      </c>
      <c r="G261" t="inlineStr">
        <is>
          <t>Tennis Québec</t>
        </is>
      </c>
      <c r="H261" t="inlineStr">
        <is>
          <t>Tennis 13</t>
        </is>
      </c>
      <c r="I261" t="inlineStr">
        <is>
          <t>unavailable</t>
        </is>
      </c>
      <c r="J261" s="4" t="n">
        <v>85</v>
      </c>
      <c r="K261" t="inlineStr">
        <is>
          <t>38 / 47</t>
        </is>
      </c>
      <c r="L261" t="inlineStr">
        <is>
          <t>13 / 12</t>
        </is>
      </c>
      <c r="M261" s="5" t="n">
        <v>0.45</v>
      </c>
      <c r="N261" s="5" t="n">
        <v>0.52</v>
      </c>
    </row>
    <row r="262">
      <c r="A262" t="n">
        <v>261</v>
      </c>
      <c r="B262" t="n">
        <v>2015</v>
      </c>
      <c r="C262" t="inlineStr">
        <is>
          <t>Danica Stamatovic</t>
        </is>
      </c>
      <c r="D262">
        <f>HYPERLINK("https://ota.tournamentsoftware.com/player-profile/3D976EDA-1737-4852-A9BF-C67ED47C73C1", "Link")</f>
        <v/>
      </c>
      <c r="E262" s="3" t="n">
        <v>285.672</v>
      </c>
      <c r="F262" s="4" t="n">
        <v>21</v>
      </c>
      <c r="G262" t="inlineStr">
        <is>
          <t>Ontario Tennis Association</t>
        </is>
      </c>
      <c r="H262" t="inlineStr">
        <is>
          <t>SmartVMC Racquetsports by ACE</t>
        </is>
      </c>
      <c r="I262" t="n">
        <v>31.7</v>
      </c>
      <c r="J262" s="4" t="n">
        <v>190</v>
      </c>
      <c r="K262" t="inlineStr">
        <is>
          <t>95 / 95</t>
        </is>
      </c>
      <c r="L262" t="inlineStr">
        <is>
          <t>28 / 16</t>
        </is>
      </c>
      <c r="M262" s="5" t="n">
        <v>0.5</v>
      </c>
      <c r="N262" s="5" t="n">
        <v>0.64</v>
      </c>
    </row>
    <row r="263">
      <c r="A263" t="n">
        <v>262</v>
      </c>
      <c r="B263" t="n">
        <v>2013</v>
      </c>
      <c r="C263" t="inlineStr">
        <is>
          <t>Sasha Stack</t>
        </is>
      </c>
      <c r="D263">
        <f>HYPERLINK("https://ota.tournamentsoftware.com/player-profile/C0B95842-5E69-4EBF-8E5C-398666A7112E", "Link")</f>
        <v/>
      </c>
      <c r="E263" s="3" t="n">
        <v>283.679</v>
      </c>
      <c r="F263" s="4" t="n">
        <v>15</v>
      </c>
      <c r="G263" t="inlineStr">
        <is>
          <t>British Columbia</t>
        </is>
      </c>
      <c r="H263" t="inlineStr">
        <is>
          <t>Hollyburn Country Club</t>
        </is>
      </c>
      <c r="I263" t="n">
        <v>33</v>
      </c>
      <c r="J263" s="4" t="n">
        <v>113</v>
      </c>
      <c r="K263" t="inlineStr">
        <is>
          <t>52 / 61</t>
        </is>
      </c>
      <c r="L263" t="inlineStr">
        <is>
          <t>8 / 15</t>
        </is>
      </c>
      <c r="M263" s="5" t="n">
        <v>0.46</v>
      </c>
      <c r="N263" s="5" t="n">
        <v>0.35</v>
      </c>
    </row>
    <row r="264">
      <c r="A264" t="n">
        <v>263</v>
      </c>
      <c r="B264" t="n">
        <v>2014</v>
      </c>
      <c r="C264" t="inlineStr">
        <is>
          <t>Ela Velic</t>
        </is>
      </c>
      <c r="D264">
        <f>HYPERLINK("https://ota.tournamentsoftware.com/player-profile/5CC54F7D-0D30-4EF4-BE6C-A336041BBEE2", "Link")</f>
        <v/>
      </c>
      <c r="E264" s="3" t="n">
        <v>283.442</v>
      </c>
      <c r="F264" s="4" t="n">
        <v>23</v>
      </c>
      <c r="G264" t="inlineStr">
        <is>
          <t>Ontario Tennis Association</t>
        </is>
      </c>
      <c r="H264" t="inlineStr">
        <is>
          <t>Central Tennis Club</t>
        </is>
      </c>
      <c r="I264" t="n">
        <v>34</v>
      </c>
      <c r="J264" s="4" t="n">
        <v>104</v>
      </c>
      <c r="K264" t="inlineStr">
        <is>
          <t>53 / 51</t>
        </is>
      </c>
      <c r="L264" t="inlineStr">
        <is>
          <t>22 / 23</t>
        </is>
      </c>
      <c r="M264" s="5" t="n">
        <v>0.51</v>
      </c>
      <c r="N264" s="5" t="n">
        <v>0.49</v>
      </c>
    </row>
    <row r="265">
      <c r="A265" t="n">
        <v>264</v>
      </c>
      <c r="B265" t="n">
        <v>2014</v>
      </c>
      <c r="C265" t="inlineStr">
        <is>
          <t>Avelyn Deepak</t>
        </is>
      </c>
      <c r="D265">
        <f>HYPERLINK("https://ota.tournamentsoftware.com/player-profile/4412DB09-5DE9-45DA-AB13-46B4F24B409F", "Link")</f>
        <v/>
      </c>
      <c r="E265" s="3" t="n">
        <v>282.546</v>
      </c>
      <c r="F265" s="4" t="n">
        <v>10</v>
      </c>
      <c r="G265" t="inlineStr">
        <is>
          <t>Tennis Manitoba</t>
        </is>
      </c>
      <c r="H265" t="inlineStr">
        <is>
          <t>Winnipeg Winter Club</t>
        </is>
      </c>
      <c r="I265" t="n">
        <v>35.2</v>
      </c>
      <c r="J265" s="4" t="n">
        <v>35</v>
      </c>
      <c r="K265" t="inlineStr">
        <is>
          <t>9 / 26</t>
        </is>
      </c>
      <c r="L265" t="inlineStr">
        <is>
          <t>9 / 26</t>
        </is>
      </c>
      <c r="M265" s="5" t="n">
        <v>0.26</v>
      </c>
      <c r="N265" s="5" t="n">
        <v>0.26</v>
      </c>
    </row>
    <row r="266">
      <c r="A266" t="n">
        <v>265</v>
      </c>
      <c r="B266" t="n">
        <v>2014</v>
      </c>
      <c r="C266" t="inlineStr">
        <is>
          <t>Alaia Grace Serravalle</t>
        </is>
      </c>
      <c r="D266">
        <f>HYPERLINK("https://ota.tournamentsoftware.com/player-profile/EDBCEC0C-45DE-4DFD-B17A-C176B306FC97", "Link")</f>
        <v/>
      </c>
      <c r="E266" s="3" t="n">
        <v>280.68</v>
      </c>
      <c r="F266" s="4" t="n">
        <v>23</v>
      </c>
      <c r="G266" t="inlineStr">
        <is>
          <t>Ontario Tennis Association</t>
        </is>
      </c>
      <c r="H266" t="inlineStr">
        <is>
          <t>Youngs Sportsplex</t>
        </is>
      </c>
      <c r="I266" t="n">
        <v>33.1</v>
      </c>
      <c r="J266" s="4" t="n">
        <v>60</v>
      </c>
      <c r="K266" t="inlineStr">
        <is>
          <t>34 / 26</t>
        </is>
      </c>
      <c r="L266" t="inlineStr">
        <is>
          <t>22 / 17</t>
        </is>
      </c>
      <c r="M266" s="5" t="n">
        <v>0.57</v>
      </c>
      <c r="N266" s="5" t="n">
        <v>0.5600000000000001</v>
      </c>
    </row>
    <row r="267">
      <c r="A267" t="n">
        <v>266</v>
      </c>
      <c r="B267" t="n">
        <v>2013</v>
      </c>
      <c r="C267" t="inlineStr">
        <is>
          <t>Chanjoban Kaur Birdi</t>
        </is>
      </c>
      <c r="D267">
        <f>HYPERLINK("https://ota.tournamentsoftware.com/player-profile/26D50988-CF95-4A0A-9087-8DC8E38F0BDB", "Link")</f>
        <v/>
      </c>
      <c r="E267" s="3" t="n">
        <v>279.108</v>
      </c>
      <c r="F267" s="4" t="n">
        <v>19</v>
      </c>
      <c r="G267" t="inlineStr">
        <is>
          <t>British Columbia</t>
        </is>
      </c>
      <c r="H267" t="inlineStr">
        <is>
          <t>Newton Tennis Club</t>
        </is>
      </c>
      <c r="I267" t="n">
        <v>29.8</v>
      </c>
      <c r="J267" s="4" t="n">
        <v>204</v>
      </c>
      <c r="K267" t="inlineStr">
        <is>
          <t>100 / 104</t>
        </is>
      </c>
      <c r="L267" t="inlineStr">
        <is>
          <t>25 / 17</t>
        </is>
      </c>
      <c r="M267" s="5" t="n">
        <v>0.49</v>
      </c>
      <c r="N267" s="5" t="n">
        <v>0.6</v>
      </c>
    </row>
    <row r="268">
      <c r="A268" t="n">
        <v>267</v>
      </c>
      <c r="B268" t="n">
        <v>2014</v>
      </c>
      <c r="C268" t="inlineStr">
        <is>
          <t>Elliette Leah Tran</t>
        </is>
      </c>
      <c r="D268">
        <f>HYPERLINK("https://ota.tournamentsoftware.com/player-profile/9986D752-4364-42A6-9A1B-E1BC239760F0", "Link")</f>
        <v/>
      </c>
      <c r="E268" s="3" t="n">
        <v>278.539</v>
      </c>
      <c r="F268" s="4" t="n">
        <v>17</v>
      </c>
      <c r="G268" t="inlineStr">
        <is>
          <t>Tennis Alberta</t>
        </is>
      </c>
      <c r="H268" t="inlineStr">
        <is>
          <t>Saville Community Sports Centre</t>
        </is>
      </c>
      <c r="I268" t="inlineStr">
        <is>
          <t>unavailable</t>
        </is>
      </c>
      <c r="J268" s="4" t="n">
        <v>118</v>
      </c>
      <c r="K268" t="inlineStr">
        <is>
          <t>59 / 59</t>
        </is>
      </c>
      <c r="L268" t="inlineStr">
        <is>
          <t>24 / 19</t>
        </is>
      </c>
      <c r="M268" s="5" t="n">
        <v>0.5</v>
      </c>
      <c r="N268" s="5" t="n">
        <v>0.5600000000000001</v>
      </c>
    </row>
    <row r="269">
      <c r="A269" t="n">
        <v>268</v>
      </c>
      <c r="B269" t="n">
        <v>2013</v>
      </c>
      <c r="C269" t="inlineStr">
        <is>
          <t>Maddie Kershaw</t>
        </is>
      </c>
      <c r="D269">
        <f>HYPERLINK("https://ota.tournamentsoftware.com/player-profile/14F8911D-BF5A-4FE7-BFF6-D5A71E72307F", "Link")</f>
        <v/>
      </c>
      <c r="E269" s="3" t="n">
        <v>278.432</v>
      </c>
      <c r="F269" s="4" t="n">
        <v>10</v>
      </c>
      <c r="G269" t="inlineStr">
        <is>
          <t>Tennis New Brunswick</t>
        </is>
      </c>
      <c r="H269" t="inlineStr">
        <is>
          <t>Abony Family Tennis Center</t>
        </is>
      </c>
      <c r="I269" t="n">
        <v>33.9</v>
      </c>
      <c r="J269" s="4" t="n">
        <v>188</v>
      </c>
      <c r="K269" t="inlineStr">
        <is>
          <t>95 / 93</t>
        </is>
      </c>
      <c r="L269" t="inlineStr">
        <is>
          <t>16 / 23</t>
        </is>
      </c>
      <c r="M269" s="5" t="n">
        <v>0.51</v>
      </c>
      <c r="N269" s="5" t="n">
        <v>0.41</v>
      </c>
    </row>
    <row r="270">
      <c r="A270" t="n">
        <v>269</v>
      </c>
      <c r="B270" t="n">
        <v>2012</v>
      </c>
      <c r="C270" t="inlineStr">
        <is>
          <t>Jana Karkoukli</t>
        </is>
      </c>
      <c r="D270">
        <f>HYPERLINK("https://ota.tournamentsoftware.com/player-profile/ED5D7332-7665-453C-87FD-D7E5B172FD8A", "Link")</f>
        <v/>
      </c>
      <c r="E270" s="3" t="n">
        <v>276.736</v>
      </c>
      <c r="F270" s="4" t="n">
        <v>24</v>
      </c>
      <c r="G270" t="inlineStr">
        <is>
          <t>Tennis Québec</t>
        </is>
      </c>
      <c r="H270" t="inlineStr">
        <is>
          <t>EB Tennis inc.</t>
        </is>
      </c>
      <c r="I270" t="n">
        <v>35.6</v>
      </c>
      <c r="J270" s="4" t="n">
        <v>186</v>
      </c>
      <c r="K270" t="inlineStr">
        <is>
          <t>51 / 135</t>
        </is>
      </c>
      <c r="L270" t="inlineStr">
        <is>
          <t>2 / 18</t>
        </is>
      </c>
      <c r="M270" s="5" t="n">
        <v>0.27</v>
      </c>
      <c r="N270" s="5" t="n">
        <v>0.1</v>
      </c>
    </row>
    <row r="271">
      <c r="A271" t="n">
        <v>270</v>
      </c>
      <c r="B271" t="n">
        <v>2012</v>
      </c>
      <c r="C271" t="inlineStr">
        <is>
          <t>ella kim brend</t>
        </is>
      </c>
      <c r="D271">
        <f>HYPERLINK("https://ota.tournamentsoftware.com/player-profile/C777EDB2-AC2E-4E02-948A-26DCAC347821", "Link")</f>
        <v/>
      </c>
      <c r="E271" s="3" t="n">
        <v>274.297</v>
      </c>
      <c r="F271" s="4" t="n">
        <v>19</v>
      </c>
      <c r="G271" t="inlineStr">
        <is>
          <t>British Columbia</t>
        </is>
      </c>
      <c r="H271" t="inlineStr">
        <is>
          <t>The Tennis Centre</t>
        </is>
      </c>
      <c r="I271" t="n">
        <v>30.1</v>
      </c>
      <c r="J271" s="4" t="n">
        <v>126</v>
      </c>
      <c r="K271" t="inlineStr">
        <is>
          <t>87 / 39</t>
        </is>
      </c>
      <c r="L271" t="inlineStr">
        <is>
          <t>35 / 14</t>
        </is>
      </c>
      <c r="M271" s="5" t="n">
        <v>0.6899999999999999</v>
      </c>
      <c r="N271" s="5" t="n">
        <v>0.71</v>
      </c>
    </row>
    <row r="272">
      <c r="A272" t="n">
        <v>271</v>
      </c>
      <c r="B272" t="n">
        <v>2014</v>
      </c>
      <c r="C272" t="inlineStr">
        <is>
          <t>Elisa Krumov</t>
        </is>
      </c>
      <c r="D272">
        <f>HYPERLINK("https://ota.tournamentsoftware.com/player-profile/8B5D18FC-0F51-468A-BE7C-7EA242A06382", "Link")</f>
        <v/>
      </c>
      <c r="E272" s="3" t="n">
        <v>270.273</v>
      </c>
      <c r="F272" s="4" t="n">
        <v>16</v>
      </c>
      <c r="G272" t="inlineStr">
        <is>
          <t>Ontario Tennis Association</t>
        </is>
      </c>
      <c r="H272" t="inlineStr">
        <is>
          <t>Joshua Creek Golf &amp; Tennis</t>
        </is>
      </c>
      <c r="I272" t="n">
        <v>32.6</v>
      </c>
      <c r="J272" s="4" t="n">
        <v>90</v>
      </c>
      <c r="K272" t="inlineStr">
        <is>
          <t>43 / 47</t>
        </is>
      </c>
      <c r="L272" t="inlineStr">
        <is>
          <t>16 / 17</t>
        </is>
      </c>
      <c r="M272" s="5" t="n">
        <v>0.48</v>
      </c>
      <c r="N272" s="5" t="n">
        <v>0.48</v>
      </c>
    </row>
    <row r="273">
      <c r="A273" t="n">
        <v>272</v>
      </c>
      <c r="B273" t="n">
        <v>2013</v>
      </c>
      <c r="C273" t="inlineStr">
        <is>
          <t>Gabriela Gardonyi</t>
        </is>
      </c>
      <c r="D273">
        <f>HYPERLINK("https://ota.tournamentsoftware.com/player-profile/EA584DC9-AF4E-413B-BF0B-75746024F8E4", "Link")</f>
        <v/>
      </c>
      <c r="E273" s="3" t="n">
        <v>269.544</v>
      </c>
      <c r="F273" s="4" t="n">
        <v>22</v>
      </c>
      <c r="G273" t="inlineStr">
        <is>
          <t>Ontario Tennis Association</t>
        </is>
      </c>
      <c r="H273" t="inlineStr">
        <is>
          <t>Richmond Hill Country Club</t>
        </is>
      </c>
      <c r="I273" t="inlineStr">
        <is>
          <t>unavailable</t>
        </is>
      </c>
      <c r="J273" s="4" t="n">
        <v>119</v>
      </c>
      <c r="K273" t="inlineStr">
        <is>
          <t>56 / 63</t>
        </is>
      </c>
      <c r="L273" t="inlineStr">
        <is>
          <t>21 / 19</t>
        </is>
      </c>
      <c r="M273" s="5" t="n">
        <v>0.47</v>
      </c>
      <c r="N273" s="5" t="n">
        <v>0.53</v>
      </c>
    </row>
    <row r="274">
      <c r="A274" t="n">
        <v>273</v>
      </c>
      <c r="B274" t="n">
        <v>2015</v>
      </c>
      <c r="C274" t="inlineStr">
        <is>
          <t>Sophia Shiqi Zeng</t>
        </is>
      </c>
      <c r="D274">
        <f>HYPERLINK("https://ota.tournamentsoftware.com/player-profile/F1A373DA-18B2-46FA-AF39-157644DB679B", "Link")</f>
        <v/>
      </c>
      <c r="E274" s="3" t="n">
        <v>267.836</v>
      </c>
      <c r="F274" s="4" t="n">
        <v>22</v>
      </c>
      <c r="G274" t="inlineStr">
        <is>
          <t>British Columbia</t>
        </is>
      </c>
      <c r="H274" t="inlineStr">
        <is>
          <t>The Tennis Centre</t>
        </is>
      </c>
      <c r="I274" t="n">
        <v>31.5</v>
      </c>
      <c r="J274" s="4" t="n">
        <v>189</v>
      </c>
      <c r="K274" t="inlineStr">
        <is>
          <t>104 / 85</t>
        </is>
      </c>
      <c r="L274" t="inlineStr">
        <is>
          <t>30 / 16</t>
        </is>
      </c>
      <c r="M274" s="5" t="n">
        <v>0.55</v>
      </c>
      <c r="N274" s="5" t="n">
        <v>0.65</v>
      </c>
    </row>
    <row r="275">
      <c r="A275" t="n">
        <v>274</v>
      </c>
      <c r="B275" t="n">
        <v>2015</v>
      </c>
      <c r="C275" t="inlineStr">
        <is>
          <t>Alia Idrissi Serghini</t>
        </is>
      </c>
      <c r="D275">
        <f>HYPERLINK("https://ota.tournamentsoftware.com/player-profile/CF328206-362D-4259-AA9F-74B7EF760A80", "Link")</f>
        <v/>
      </c>
      <c r="E275" s="3" t="n">
        <v>267.456</v>
      </c>
      <c r="F275" s="4" t="n">
        <v>19</v>
      </c>
      <c r="G275" t="inlineStr">
        <is>
          <t>Tennis Québec</t>
        </is>
      </c>
      <c r="H275" t="inlineStr">
        <is>
          <t>Centre récréatif de Repentigny / Académie Tennis Momentum</t>
        </is>
      </c>
      <c r="I275" t="n">
        <v>32.6</v>
      </c>
      <c r="J275" s="4" t="n">
        <v>139</v>
      </c>
      <c r="K275" t="inlineStr">
        <is>
          <t>84 / 55</t>
        </is>
      </c>
      <c r="L275" t="inlineStr">
        <is>
          <t>19 / 19</t>
        </is>
      </c>
      <c r="M275" s="5" t="n">
        <v>0.6</v>
      </c>
      <c r="N275" s="5" t="n">
        <v>0.5</v>
      </c>
    </row>
    <row r="276">
      <c r="A276" t="n">
        <v>275</v>
      </c>
      <c r="B276" t="n">
        <v>2015</v>
      </c>
      <c r="C276" t="inlineStr">
        <is>
          <t>Alexia Picciola</t>
        </is>
      </c>
      <c r="D276">
        <f>HYPERLINK("https://ota.tournamentsoftware.com/player-profile/91C9A734-3E6E-45CC-B46D-51BF9C9A7FC4", "Link")</f>
        <v/>
      </c>
      <c r="E276" s="3" t="n">
        <v>264.417</v>
      </c>
      <c r="F276" s="4" t="n">
        <v>20</v>
      </c>
      <c r="G276" t="inlineStr">
        <is>
          <t>Tennis Québec</t>
        </is>
      </c>
      <c r="H276" t="inlineStr">
        <is>
          <t>Tennis Montréal Excellence</t>
        </is>
      </c>
      <c r="I276" t="n">
        <v>31.8</v>
      </c>
      <c r="J276" s="4" t="n">
        <v>163</v>
      </c>
      <c r="K276" t="inlineStr">
        <is>
          <t>79 / 84</t>
        </is>
      </c>
      <c r="L276" t="inlineStr">
        <is>
          <t>32 / 18</t>
        </is>
      </c>
      <c r="M276" s="5" t="n">
        <v>0.48</v>
      </c>
      <c r="N276" s="5" t="n">
        <v>0.64</v>
      </c>
    </row>
    <row r="277">
      <c r="A277" t="n">
        <v>276</v>
      </c>
      <c r="B277" t="n">
        <v>2014</v>
      </c>
      <c r="C277" t="inlineStr">
        <is>
          <t>Mégane Bernard</t>
        </is>
      </c>
      <c r="D277">
        <f>HYPERLINK("https://ota.tournamentsoftware.com/player-profile/041B9415-6EB0-452F-AD3F-EA68CADBA2FB", "Link")</f>
        <v/>
      </c>
      <c r="E277" s="3" t="n">
        <v>263.592</v>
      </c>
      <c r="F277" s="4" t="n">
        <v>20</v>
      </c>
      <c r="G277" t="inlineStr">
        <is>
          <t>Tennis Québec</t>
        </is>
      </c>
      <c r="H277" t="inlineStr">
        <is>
          <t>Tennis 13</t>
        </is>
      </c>
      <c r="I277" t="n">
        <v>32.8</v>
      </c>
      <c r="J277" s="4" t="n">
        <v>190</v>
      </c>
      <c r="K277" t="inlineStr">
        <is>
          <t>84 / 106</t>
        </is>
      </c>
      <c r="L277" t="inlineStr">
        <is>
          <t>14 / 20</t>
        </is>
      </c>
      <c r="M277" s="5" t="n">
        <v>0.44</v>
      </c>
      <c r="N277" s="5" t="n">
        <v>0.41</v>
      </c>
    </row>
    <row r="278">
      <c r="A278" t="n">
        <v>277</v>
      </c>
      <c r="B278" t="n">
        <v>2013</v>
      </c>
      <c r="C278" t="inlineStr">
        <is>
          <t>Mia Tran</t>
        </is>
      </c>
      <c r="D278">
        <f>HYPERLINK("https://ota.tournamentsoftware.com/player-profile/140A029D-3BE9-44F2-AA6A-53ED5C2991A8", "Link")</f>
        <v/>
      </c>
      <c r="E278" s="3" t="n">
        <v>263.48</v>
      </c>
      <c r="F278" s="4" t="n">
        <v>11</v>
      </c>
      <c r="G278" t="inlineStr">
        <is>
          <t>Ontario Tennis Association</t>
        </is>
      </c>
      <c r="H278" t="inlineStr">
        <is>
          <t>SmartVMC Racquetsports by ACE</t>
        </is>
      </c>
      <c r="I278" t="n">
        <v>32.6</v>
      </c>
      <c r="J278" s="4" t="n">
        <v>86</v>
      </c>
      <c r="K278" t="inlineStr">
        <is>
          <t>53 / 33</t>
        </is>
      </c>
      <c r="L278" t="inlineStr">
        <is>
          <t>14 / 8</t>
        </is>
      </c>
      <c r="M278" s="5" t="n">
        <v>0.62</v>
      </c>
      <c r="N278" s="5" t="n">
        <v>0.64</v>
      </c>
    </row>
    <row r="279">
      <c r="A279" t="n">
        <v>278</v>
      </c>
      <c r="B279" t="n">
        <v>2015</v>
      </c>
      <c r="C279" t="inlineStr">
        <is>
          <t>Hannah D'Souza</t>
        </is>
      </c>
      <c r="D279">
        <f>HYPERLINK("https://ota.tournamentsoftware.com/player-profile/6516E6BE-4D11-4CDB-8F62-FFE106E8A899", "Link")</f>
        <v/>
      </c>
      <c r="E279" s="3" t="n">
        <v>263.065</v>
      </c>
      <c r="F279" s="4" t="n">
        <v>28</v>
      </c>
      <c r="G279" t="inlineStr">
        <is>
          <t>Ontario Tennis Association</t>
        </is>
      </c>
      <c r="H279" t="inlineStr">
        <is>
          <t>No Club</t>
        </is>
      </c>
      <c r="I279" t="n">
        <v>33.5</v>
      </c>
      <c r="J279" s="4" t="n">
        <v>160</v>
      </c>
      <c r="K279" t="inlineStr">
        <is>
          <t>66 / 94</t>
        </is>
      </c>
      <c r="L279" t="inlineStr">
        <is>
          <t>22 / 25</t>
        </is>
      </c>
      <c r="M279" s="5" t="n">
        <v>0.41</v>
      </c>
      <c r="N279" s="5" t="n">
        <v>0.47</v>
      </c>
    </row>
    <row r="280">
      <c r="A280" t="n">
        <v>279</v>
      </c>
      <c r="B280" t="n">
        <v>2014</v>
      </c>
      <c r="C280" t="inlineStr">
        <is>
          <t>Thanushka Sadasivam</t>
        </is>
      </c>
      <c r="D280">
        <f>HYPERLINK("https://ota.tournamentsoftware.com/player-profile/CA495DA8-0B9D-4530-9886-FC567CD73AE9", "Link")</f>
        <v/>
      </c>
      <c r="E280" s="3" t="n">
        <v>260.403</v>
      </c>
      <c r="F280" s="4" t="n">
        <v>17</v>
      </c>
      <c r="G280" t="inlineStr">
        <is>
          <t>Ontario Tennis Association</t>
        </is>
      </c>
      <c r="H280" t="inlineStr">
        <is>
          <t>Ontario Racquet Club</t>
        </is>
      </c>
      <c r="I280" t="n">
        <v>35.2</v>
      </c>
      <c r="J280" s="4" t="n">
        <v>59</v>
      </c>
      <c r="K280" t="inlineStr">
        <is>
          <t>25 / 34</t>
        </is>
      </c>
      <c r="L280" t="inlineStr">
        <is>
          <t>7 / 12</t>
        </is>
      </c>
      <c r="M280" s="5" t="n">
        <v>0.42</v>
      </c>
      <c r="N280" s="5" t="n">
        <v>0.37</v>
      </c>
    </row>
    <row r="281">
      <c r="A281" t="n">
        <v>280</v>
      </c>
      <c r="B281" t="n">
        <v>2015</v>
      </c>
      <c r="C281" t="inlineStr">
        <is>
          <t>Emma Xu</t>
        </is>
      </c>
      <c r="D281">
        <f>HYPERLINK("https://ota.tournamentsoftware.com/player-profile/464089C3-D2B4-413F-A102-AF0AEFF9A318", "Link")</f>
        <v/>
      </c>
      <c r="E281" s="3" t="n">
        <v>259.338</v>
      </c>
      <c r="F281" s="4" t="n">
        <v>9</v>
      </c>
      <c r="G281" t="inlineStr">
        <is>
          <t>Tennis Manitoba</t>
        </is>
      </c>
      <c r="H281" t="inlineStr">
        <is>
          <t>Taylor Tennis</t>
        </is>
      </c>
      <c r="I281" t="n">
        <v>36.6</v>
      </c>
      <c r="J281" s="4" t="n">
        <v>98</v>
      </c>
      <c r="K281" t="inlineStr">
        <is>
          <t>27 / 71</t>
        </is>
      </c>
      <c r="L281" t="inlineStr">
        <is>
          <t>9 / 28</t>
        </is>
      </c>
      <c r="M281" s="5" t="n">
        <v>0.28</v>
      </c>
      <c r="N281" s="5" t="n">
        <v>0.24</v>
      </c>
    </row>
    <row r="282">
      <c r="A282" t="n">
        <v>281</v>
      </c>
      <c r="B282" t="n">
        <v>2013</v>
      </c>
      <c r="C282" t="inlineStr">
        <is>
          <t>Victoria Ta</t>
        </is>
      </c>
      <c r="D282">
        <f>HYPERLINK("https://ota.tournamentsoftware.com/player-profile/A9D6CF45-A7F1-427F-A376-2C40852D98CD", "Link")</f>
        <v/>
      </c>
      <c r="E282" s="3" t="n">
        <v>256.435</v>
      </c>
      <c r="F282" s="4" t="n">
        <v>18</v>
      </c>
      <c r="G282" t="inlineStr">
        <is>
          <t>Ontario Tennis Association</t>
        </is>
      </c>
      <c r="H282" t="inlineStr">
        <is>
          <t>Lambton Golf &amp; Country Club</t>
        </is>
      </c>
      <c r="I282" t="n">
        <v>32.4</v>
      </c>
      <c r="J282" s="4" t="n">
        <v>103</v>
      </c>
      <c r="K282" t="inlineStr">
        <is>
          <t>50 / 53</t>
        </is>
      </c>
      <c r="L282" t="inlineStr">
        <is>
          <t>15 / 13</t>
        </is>
      </c>
      <c r="M282" s="5" t="n">
        <v>0.49</v>
      </c>
      <c r="N282" s="5" t="n">
        <v>0.54</v>
      </c>
    </row>
    <row r="283">
      <c r="A283" t="n">
        <v>282</v>
      </c>
      <c r="B283" t="n">
        <v>2013</v>
      </c>
      <c r="C283" t="inlineStr">
        <is>
          <t>Ebun Fasanya</t>
        </is>
      </c>
      <c r="D283">
        <f>HYPERLINK("https://ota.tournamentsoftware.com/player-profile/943BB22B-8108-44B4-80BD-15A6984D1D23", "Link")</f>
        <v/>
      </c>
      <c r="E283" s="3" t="n">
        <v>256.168</v>
      </c>
      <c r="F283" s="4" t="n">
        <v>17</v>
      </c>
      <c r="G283" t="inlineStr">
        <is>
          <t>Ontario Tennis Association</t>
        </is>
      </c>
      <c r="H283" t="inlineStr">
        <is>
          <t>Joshua Creek Golf &amp; Tennis</t>
        </is>
      </c>
      <c r="I283" t="n">
        <v>33.9</v>
      </c>
      <c r="J283" s="4" t="n">
        <v>82</v>
      </c>
      <c r="K283" t="inlineStr">
        <is>
          <t>45 / 37</t>
        </is>
      </c>
      <c r="L283" t="inlineStr">
        <is>
          <t>17 / 14</t>
        </is>
      </c>
      <c r="M283" s="5" t="n">
        <v>0.55</v>
      </c>
      <c r="N283" s="5" t="n">
        <v>0.55</v>
      </c>
    </row>
    <row r="284">
      <c r="A284" t="n">
        <v>283</v>
      </c>
      <c r="B284" t="n">
        <v>2012</v>
      </c>
      <c r="C284" t="inlineStr">
        <is>
          <t>Kristina Khlyebnykova</t>
        </is>
      </c>
      <c r="D284">
        <f>HYPERLINK("https://ota.tournamentsoftware.com/player-profile/D585FC7E-ABD0-44A4-A0AC-539E39880B84", "Link")</f>
        <v/>
      </c>
      <c r="E284" s="3" t="n">
        <v>255.56</v>
      </c>
      <c r="F284" s="4" t="n">
        <v>13</v>
      </c>
      <c r="G284" t="inlineStr">
        <is>
          <t>Ontario Tennis Association</t>
        </is>
      </c>
      <c r="H284" t="inlineStr">
        <is>
          <t>Concord Tennis Academy</t>
        </is>
      </c>
      <c r="I284" t="n">
        <v>32.4</v>
      </c>
      <c r="J284" s="4" t="n">
        <v>71</v>
      </c>
      <c r="K284" t="inlineStr">
        <is>
          <t>34 / 37</t>
        </is>
      </c>
      <c r="L284" t="inlineStr">
        <is>
          <t>13 / 10</t>
        </is>
      </c>
      <c r="M284" s="5" t="n">
        <v>0.48</v>
      </c>
      <c r="N284" s="5" t="n">
        <v>0.57</v>
      </c>
    </row>
    <row r="285">
      <c r="A285" t="n">
        <v>284</v>
      </c>
      <c r="B285" t="n">
        <v>2012</v>
      </c>
      <c r="C285" t="inlineStr">
        <is>
          <t>Jessica Li</t>
        </is>
      </c>
      <c r="D285">
        <f>HYPERLINK("https://ota.tournamentsoftware.com/player-profile/9F51CCE2-07F1-48BF-B635-CE7622769243", "Link")</f>
        <v/>
      </c>
      <c r="E285" s="3" t="n">
        <v>254.244</v>
      </c>
      <c r="F285" s="4" t="n">
        <v>12</v>
      </c>
      <c r="G285" t="inlineStr">
        <is>
          <t>Ontario Tennis Association</t>
        </is>
      </c>
      <c r="H285" t="inlineStr">
        <is>
          <t>Markham Tennis Club</t>
        </is>
      </c>
      <c r="I285" t="inlineStr">
        <is>
          <t>unavailable</t>
        </is>
      </c>
      <c r="J285" s="4" t="n">
        <v>58</v>
      </c>
      <c r="K285" t="inlineStr">
        <is>
          <t>27 / 31</t>
        </is>
      </c>
      <c r="L285" t="inlineStr">
        <is>
          <t>9 / 9</t>
        </is>
      </c>
      <c r="M285" s="5" t="n">
        <v>0.47</v>
      </c>
      <c r="N285" s="5" t="n">
        <v>0.5</v>
      </c>
    </row>
    <row r="286">
      <c r="A286" t="n">
        <v>285</v>
      </c>
      <c r="B286" t="n">
        <v>2015</v>
      </c>
      <c r="C286" t="inlineStr">
        <is>
          <t>Ella Potechin</t>
        </is>
      </c>
      <c r="D286">
        <f>HYPERLINK("https://ota.tournamentsoftware.com/player-profile/6611C50A-5A2F-4DF7-B99B-97DD644D2C2A", "Link")</f>
        <v/>
      </c>
      <c r="E286" s="3" t="n">
        <v>251.009</v>
      </c>
      <c r="F286" s="4" t="n">
        <v>16</v>
      </c>
      <c r="G286" t="inlineStr">
        <is>
          <t>Ontario Tennis Association</t>
        </is>
      </c>
      <c r="H286" t="inlineStr">
        <is>
          <t>Tennis Outaouais Performance (TOP) ON</t>
        </is>
      </c>
      <c r="I286" t="n">
        <v>35.1</v>
      </c>
      <c r="J286" s="4" t="n">
        <v>92</v>
      </c>
      <c r="K286" t="inlineStr">
        <is>
          <t>36 / 56</t>
        </is>
      </c>
      <c r="L286" t="inlineStr">
        <is>
          <t>19 / 20</t>
        </is>
      </c>
      <c r="M286" s="5" t="n">
        <v>0.39</v>
      </c>
      <c r="N286" s="5" t="n">
        <v>0.49</v>
      </c>
    </row>
    <row r="287">
      <c r="A287" t="n">
        <v>286</v>
      </c>
      <c r="B287" t="n">
        <v>2015</v>
      </c>
      <c r="C287" t="inlineStr">
        <is>
          <t>Keira Braudo</t>
        </is>
      </c>
      <c r="D287">
        <f>HYPERLINK("https://ota.tournamentsoftware.com/player-profile/8D683600-A107-430B-BBAA-BD98BDCE0FD8", "Link")</f>
        <v/>
      </c>
      <c r="E287" s="3" t="n">
        <v>250.103</v>
      </c>
      <c r="F287" s="4" t="n">
        <v>13</v>
      </c>
      <c r="G287" t="inlineStr">
        <is>
          <t>Ontario Tennis Association</t>
        </is>
      </c>
      <c r="H287" t="inlineStr">
        <is>
          <t>Mayfair West Fitness &amp; Racquet Club</t>
        </is>
      </c>
      <c r="I287" t="n">
        <v>30.6</v>
      </c>
      <c r="J287" s="4" t="n">
        <v>70</v>
      </c>
      <c r="K287" t="inlineStr">
        <is>
          <t>46 / 24</t>
        </is>
      </c>
      <c r="L287" t="inlineStr">
        <is>
          <t>23 / 6</t>
        </is>
      </c>
      <c r="M287" s="5" t="n">
        <v>0.66</v>
      </c>
      <c r="N287" s="5" t="n">
        <v>0.79</v>
      </c>
    </row>
    <row r="288">
      <c r="A288" t="n">
        <v>287</v>
      </c>
      <c r="B288" t="n">
        <v>2015</v>
      </c>
      <c r="C288" t="inlineStr">
        <is>
          <t>Lydia Huang</t>
        </is>
      </c>
      <c r="D288">
        <f>HYPERLINK("https://ota.tournamentsoftware.com/player-profile/C398C976-6D88-4D76-B532-8E986C6FF0EA", "Link")</f>
        <v/>
      </c>
      <c r="E288" s="3" t="n">
        <v>250.066</v>
      </c>
      <c r="F288" s="4" t="n">
        <v>30</v>
      </c>
      <c r="G288" t="inlineStr">
        <is>
          <t>Ontario Tennis Association</t>
        </is>
      </c>
      <c r="H288" t="inlineStr">
        <is>
          <t>The Supreme Court Tennis Club</t>
        </is>
      </c>
      <c r="I288" t="n">
        <v>32.4</v>
      </c>
      <c r="J288" s="4" t="n">
        <v>105</v>
      </c>
      <c r="K288" t="inlineStr">
        <is>
          <t>65 / 40</t>
        </is>
      </c>
      <c r="L288" t="inlineStr">
        <is>
          <t>36 / 22</t>
        </is>
      </c>
      <c r="M288" s="5" t="n">
        <v>0.62</v>
      </c>
      <c r="N288" s="5" t="n">
        <v>0.62</v>
      </c>
    </row>
    <row r="289">
      <c r="A289" t="n">
        <v>288</v>
      </c>
      <c r="B289" t="n">
        <v>2014</v>
      </c>
      <c r="C289" t="inlineStr">
        <is>
          <t>Emma Lajoie</t>
        </is>
      </c>
      <c r="D289">
        <f>HYPERLINK("https://ota.tournamentsoftware.com/player-profile/E1635D80-45C0-4A06-8270-280699032897", "Link")</f>
        <v/>
      </c>
      <c r="E289" s="3" t="n">
        <v>249.285</v>
      </c>
      <c r="F289" s="4" t="n">
        <v>22</v>
      </c>
      <c r="G289" t="inlineStr">
        <is>
          <t>Tennis Québec</t>
        </is>
      </c>
      <c r="H289" t="inlineStr">
        <is>
          <t>SANI Sport</t>
        </is>
      </c>
      <c r="I289" t="n">
        <v>33</v>
      </c>
      <c r="J289" s="4" t="n">
        <v>160</v>
      </c>
      <c r="K289" t="inlineStr">
        <is>
          <t>81 / 79</t>
        </is>
      </c>
      <c r="L289" t="inlineStr">
        <is>
          <t>19 / 23</t>
        </is>
      </c>
      <c r="M289" s="5" t="n">
        <v>0.51</v>
      </c>
      <c r="N289" s="5" t="n">
        <v>0.45</v>
      </c>
    </row>
    <row r="290">
      <c r="A290" t="n">
        <v>289</v>
      </c>
      <c r="B290" t="n">
        <v>2013</v>
      </c>
      <c r="C290" t="inlineStr">
        <is>
          <t>Elina Farmanbar</t>
        </is>
      </c>
      <c r="D290">
        <f>HYPERLINK("https://ota.tournamentsoftware.com/player-profile/CBAE609B-7C8B-4EA5-976F-0F6C1089D79C", "Link")</f>
        <v/>
      </c>
      <c r="E290" s="3" t="n">
        <v>248</v>
      </c>
      <c r="F290" s="4" t="n">
        <v>1</v>
      </c>
      <c r="G290" t="inlineStr">
        <is>
          <t>Ontario Tennis Association</t>
        </is>
      </c>
      <c r="H290" t="inlineStr">
        <is>
          <t>Thornhill Park Tennis Club</t>
        </is>
      </c>
      <c r="I290" t="n">
        <v>24.1</v>
      </c>
      <c r="J290" s="4" t="n">
        <v>73</v>
      </c>
      <c r="K290" t="inlineStr">
        <is>
          <t>54 / 19</t>
        </is>
      </c>
      <c r="L290" t="inlineStr">
        <is>
          <t>0 / 0</t>
        </is>
      </c>
      <c r="M290" s="5" t="n">
        <v>0.74</v>
      </c>
      <c r="N290" s="5" t="n">
        <v>0</v>
      </c>
    </row>
    <row r="291">
      <c r="A291" t="n">
        <v>290</v>
      </c>
      <c r="B291" t="n">
        <v>2012</v>
      </c>
      <c r="C291" t="inlineStr">
        <is>
          <t>Shrreya Elkturi</t>
        </is>
      </c>
      <c r="D291">
        <f>HYPERLINK("https://ota.tournamentsoftware.com/player-profile/1A8DA0C1-51FB-48B8-8AED-D37DAB186E95", "Link")</f>
        <v/>
      </c>
      <c r="E291" s="3" t="n">
        <v>245.675</v>
      </c>
      <c r="F291" s="4" t="n">
        <v>21</v>
      </c>
      <c r="G291" t="inlineStr">
        <is>
          <t>Ontario Tennis Association</t>
        </is>
      </c>
      <c r="H291" t="inlineStr">
        <is>
          <t>No Club</t>
        </is>
      </c>
      <c r="I291" t="n">
        <v>32.5</v>
      </c>
      <c r="J291" s="4" t="n">
        <v>85</v>
      </c>
      <c r="K291" t="inlineStr">
        <is>
          <t>31 / 54</t>
        </is>
      </c>
      <c r="L291" t="inlineStr">
        <is>
          <t>16 / 16</t>
        </is>
      </c>
      <c r="M291" s="5" t="n">
        <v>0.36</v>
      </c>
      <c r="N291" s="5" t="n">
        <v>0.5</v>
      </c>
    </row>
    <row r="292">
      <c r="A292" t="n">
        <v>291</v>
      </c>
      <c r="B292" t="n">
        <v>2013</v>
      </c>
      <c r="C292" t="inlineStr">
        <is>
          <t>Ava Dancik</t>
        </is>
      </c>
      <c r="D292">
        <f>HYPERLINK("https://ota.tournamentsoftware.com/player-profile/CF808414-C0CE-4B07-9667-D3EE492D6BCE", "Link")</f>
        <v/>
      </c>
      <c r="E292" s="3" t="n">
        <v>245.24</v>
      </c>
      <c r="F292" s="4" t="n">
        <v>13</v>
      </c>
      <c r="G292" t="inlineStr">
        <is>
          <t>Tennis Québec</t>
        </is>
      </c>
      <c r="H292" t="inlineStr">
        <is>
          <t>Tennis de l'Île des Sœurs / École de tennis</t>
        </is>
      </c>
      <c r="I292" t="n">
        <v>31.5</v>
      </c>
      <c r="J292" s="4" t="n">
        <v>218</v>
      </c>
      <c r="K292" t="inlineStr">
        <is>
          <t>112 / 106</t>
        </is>
      </c>
      <c r="L292" t="inlineStr">
        <is>
          <t>16 / 9</t>
        </is>
      </c>
      <c r="M292" s="5" t="n">
        <v>0.51</v>
      </c>
      <c r="N292" s="5" t="n">
        <v>0.64</v>
      </c>
    </row>
    <row r="293">
      <c r="A293" t="n">
        <v>292</v>
      </c>
      <c r="B293" t="n">
        <v>2014</v>
      </c>
      <c r="C293" t="inlineStr">
        <is>
          <t>SOFIA LUCKY</t>
        </is>
      </c>
      <c r="D293">
        <f>HYPERLINK("https://ota.tournamentsoftware.com/player-profile/9A590660-3C23-4CD7-A9AF-30CC3227EC17", "Link")</f>
        <v/>
      </c>
      <c r="E293" s="3" t="n">
        <v>245.128</v>
      </c>
      <c r="F293" s="4" t="n">
        <v>13</v>
      </c>
      <c r="G293" t="inlineStr">
        <is>
          <t>Tennis Québec</t>
        </is>
      </c>
      <c r="H293" t="inlineStr">
        <is>
          <t>Académie de tennis UNI(T)</t>
        </is>
      </c>
      <c r="I293" t="n">
        <v>34.5</v>
      </c>
      <c r="J293" s="4" t="n">
        <v>85</v>
      </c>
      <c r="K293" t="inlineStr">
        <is>
          <t>31 / 54</t>
        </is>
      </c>
      <c r="L293" t="inlineStr">
        <is>
          <t>10 / 9</t>
        </is>
      </c>
      <c r="M293" s="5" t="n">
        <v>0.36</v>
      </c>
      <c r="N293" s="5" t="n">
        <v>0.53</v>
      </c>
    </row>
    <row r="294">
      <c r="A294" t="n">
        <v>293</v>
      </c>
      <c r="B294" t="n">
        <v>2012</v>
      </c>
      <c r="C294" t="inlineStr">
        <is>
          <t>Sophia Zhang</t>
        </is>
      </c>
      <c r="D294">
        <f>HYPERLINK("https://ota.tournamentsoftware.com/player-profile/D3858E79-6F6D-42C3-B497-74590CD50165", "Link")</f>
        <v/>
      </c>
      <c r="E294" s="3" t="n">
        <v>242.786</v>
      </c>
      <c r="F294" s="4" t="n">
        <v>9</v>
      </c>
      <c r="G294" t="inlineStr">
        <is>
          <t>British Columbia</t>
        </is>
      </c>
      <c r="H294" t="inlineStr">
        <is>
          <t>Richmond Country Club</t>
        </is>
      </c>
      <c r="I294" t="n">
        <v>33.8</v>
      </c>
      <c r="J294" s="4" t="n">
        <v>122</v>
      </c>
      <c r="K294" t="inlineStr">
        <is>
          <t>33 / 89</t>
        </is>
      </c>
      <c r="L294" t="inlineStr">
        <is>
          <t>1 / 12</t>
        </is>
      </c>
      <c r="M294" s="5" t="n">
        <v>0.27</v>
      </c>
      <c r="N294" s="5" t="n">
        <v>0.08</v>
      </c>
    </row>
    <row r="295">
      <c r="A295" t="n">
        <v>294</v>
      </c>
      <c r="B295" t="n">
        <v>2012</v>
      </c>
      <c r="C295" t="inlineStr">
        <is>
          <t>MICHELLE OREANE OLA ECHAO</t>
        </is>
      </c>
      <c r="D295">
        <f>HYPERLINK("https://ota.tournamentsoftware.com/player-profile/50FA5AE5-9557-483C-94FB-05937E25C837", "Link")</f>
        <v/>
      </c>
      <c r="E295" s="3" t="n">
        <v>241.101</v>
      </c>
      <c r="F295" s="4" t="n">
        <v>10</v>
      </c>
      <c r="G295" t="inlineStr">
        <is>
          <t>Ontario Tennis Association</t>
        </is>
      </c>
      <c r="H295" t="inlineStr">
        <is>
          <t>Rideau Sports Centre</t>
        </is>
      </c>
      <c r="I295" t="n">
        <v>36.9</v>
      </c>
      <c r="J295" s="4" t="n">
        <v>55</v>
      </c>
      <c r="K295" t="inlineStr">
        <is>
          <t>12 / 43</t>
        </is>
      </c>
      <c r="L295" t="inlineStr">
        <is>
          <t>3 / 8</t>
        </is>
      </c>
      <c r="M295" s="5" t="n">
        <v>0.22</v>
      </c>
      <c r="N295" s="5" t="n">
        <v>0.27</v>
      </c>
    </row>
    <row r="296">
      <c r="A296" t="n">
        <v>295</v>
      </c>
      <c r="B296" t="n">
        <v>2015</v>
      </c>
      <c r="C296" t="inlineStr">
        <is>
          <t>Liana Arendain</t>
        </is>
      </c>
      <c r="D296">
        <f>HYPERLINK("https://ota.tournamentsoftware.com/player-profile/2D89D481-D621-43AF-8792-3F0114FE4D77", "Link")</f>
        <v/>
      </c>
      <c r="E296" s="3" t="n">
        <v>238.244</v>
      </c>
      <c r="F296" s="4" t="n">
        <v>20</v>
      </c>
      <c r="G296" t="inlineStr">
        <is>
          <t>Tennis Alberta</t>
        </is>
      </c>
      <c r="H296" t="inlineStr">
        <is>
          <t>Saville Community Sports Centre</t>
        </is>
      </c>
      <c r="I296" t="n">
        <v>31.1</v>
      </c>
      <c r="J296" s="4" t="n">
        <v>147</v>
      </c>
      <c r="K296" t="inlineStr">
        <is>
          <t>100 / 47</t>
        </is>
      </c>
      <c r="L296" t="inlineStr">
        <is>
          <t>33 / 19</t>
        </is>
      </c>
      <c r="M296" s="5" t="n">
        <v>0.68</v>
      </c>
      <c r="N296" s="5" t="n">
        <v>0.63</v>
      </c>
    </row>
    <row r="297">
      <c r="A297" t="n">
        <v>296</v>
      </c>
      <c r="B297" t="n">
        <v>2012</v>
      </c>
      <c r="C297" t="inlineStr">
        <is>
          <t>Ariella Wainer</t>
        </is>
      </c>
      <c r="D297">
        <f>HYPERLINK("https://ota.tournamentsoftware.com/player-profile/29A07F50-E6F3-4FFE-84BF-31DB048552D6", "Link")</f>
        <v/>
      </c>
      <c r="E297" s="3" t="n">
        <v>238.158</v>
      </c>
      <c r="F297" s="4" t="n">
        <v>21</v>
      </c>
      <c r="G297" t="inlineStr">
        <is>
          <t>Tennis Québec</t>
        </is>
      </c>
      <c r="H297" t="inlineStr">
        <is>
          <t>Club Sportif Côte-de-Liesse</t>
        </is>
      </c>
      <c r="I297" t="n">
        <v>34.8</v>
      </c>
      <c r="J297" s="4" t="n">
        <v>169</v>
      </c>
      <c r="K297" t="inlineStr">
        <is>
          <t>57 / 112</t>
        </is>
      </c>
      <c r="L297" t="inlineStr">
        <is>
          <t>3 / 17</t>
        </is>
      </c>
      <c r="M297" s="5" t="n">
        <v>0.34</v>
      </c>
      <c r="N297" s="5" t="n">
        <v>0.15</v>
      </c>
    </row>
    <row r="298">
      <c r="A298" t="n">
        <v>297</v>
      </c>
      <c r="B298" t="n">
        <v>2015</v>
      </c>
      <c r="C298" t="inlineStr">
        <is>
          <t>Violetta Munoz</t>
        </is>
      </c>
      <c r="D298">
        <f>HYPERLINK("https://ota.tournamentsoftware.com/player-profile/55FD2B42-2961-45DA-8250-9ECCED0E6566", "Link")</f>
        <v/>
      </c>
      <c r="E298" s="3" t="n">
        <v>236.517</v>
      </c>
      <c r="F298" s="4" t="n">
        <v>24</v>
      </c>
      <c r="G298" t="inlineStr">
        <is>
          <t>Tennis Québec</t>
        </is>
      </c>
      <c r="H298" t="inlineStr">
        <is>
          <t>Carrefour Multisports</t>
        </is>
      </c>
      <c r="I298" t="n">
        <v>31.9</v>
      </c>
      <c r="J298" s="4" t="n">
        <v>177</v>
      </c>
      <c r="K298" t="inlineStr">
        <is>
          <t>93 / 84</t>
        </is>
      </c>
      <c r="L298" t="inlineStr">
        <is>
          <t>22 / 19</t>
        </is>
      </c>
      <c r="M298" s="5" t="n">
        <v>0.53</v>
      </c>
      <c r="N298" s="5" t="n">
        <v>0.54</v>
      </c>
    </row>
    <row r="299">
      <c r="A299" t="n">
        <v>298</v>
      </c>
      <c r="B299" t="n">
        <v>2014</v>
      </c>
      <c r="C299" t="inlineStr">
        <is>
          <t>Penelope Anne McMillan</t>
        </is>
      </c>
      <c r="D299">
        <f>HYPERLINK("https://ota.tournamentsoftware.com/player-profile/D7699338-4FE5-4F30-9A7D-8E14842C2A9B", "Link")</f>
        <v/>
      </c>
      <c r="E299" s="3" t="n">
        <v>235.813</v>
      </c>
      <c r="F299" s="4" t="n">
        <v>8</v>
      </c>
      <c r="G299" t="inlineStr">
        <is>
          <t>Tennis Nova Scotia</t>
        </is>
      </c>
      <c r="H299" t="inlineStr">
        <is>
          <t>Atlantic Tennis Centre</t>
        </is>
      </c>
      <c r="I299" t="n">
        <v>35.7</v>
      </c>
      <c r="J299" s="4" t="n">
        <v>110</v>
      </c>
      <c r="K299" t="inlineStr">
        <is>
          <t>46 / 64</t>
        </is>
      </c>
      <c r="L299" t="inlineStr">
        <is>
          <t>16 / 24</t>
        </is>
      </c>
      <c r="M299" s="5" t="n">
        <v>0.42</v>
      </c>
      <c r="N299" s="5" t="n">
        <v>0.4</v>
      </c>
    </row>
    <row r="300">
      <c r="A300" t="n">
        <v>299</v>
      </c>
      <c r="B300" t="n">
        <v>2013</v>
      </c>
      <c r="C300" t="inlineStr">
        <is>
          <t>Hazel Sharma</t>
        </is>
      </c>
      <c r="D300">
        <f>HYPERLINK("https://ota.tournamentsoftware.com/player-profile/114D9BCA-C6DA-49E0-9F64-5FB54E5B0E3E", "Link")</f>
        <v/>
      </c>
      <c r="E300" s="3" t="n">
        <v>234.934</v>
      </c>
      <c r="F300" s="4" t="n">
        <v>15</v>
      </c>
      <c r="G300" t="inlineStr">
        <is>
          <t>British Columbia</t>
        </is>
      </c>
      <c r="H300" t="inlineStr">
        <is>
          <t>The Tennis Centre</t>
        </is>
      </c>
      <c r="I300" t="n">
        <v>32.5</v>
      </c>
      <c r="J300" s="4" t="n">
        <v>192</v>
      </c>
      <c r="K300" t="inlineStr">
        <is>
          <t>85 / 107</t>
        </is>
      </c>
      <c r="L300" t="inlineStr">
        <is>
          <t>16 / 12</t>
        </is>
      </c>
      <c r="M300" s="5" t="n">
        <v>0.44</v>
      </c>
      <c r="N300" s="5" t="n">
        <v>0.57</v>
      </c>
    </row>
    <row r="301">
      <c r="A301" t="n">
        <v>300</v>
      </c>
      <c r="B301" t="n">
        <v>2016</v>
      </c>
      <c r="C301" t="inlineStr">
        <is>
          <t>Victoria Chang</t>
        </is>
      </c>
      <c r="D301">
        <f>HYPERLINK("https://ota.tournamentsoftware.com/player-profile/A391B4A7-44C6-4D9F-9A04-161A8B22E0C3", "Link")</f>
        <v/>
      </c>
      <c r="E301" s="3" t="n">
        <v>234.277</v>
      </c>
      <c r="F301" s="4" t="n">
        <v>17</v>
      </c>
      <c r="G301" t="inlineStr">
        <is>
          <t>Ontario Tennis Association</t>
        </is>
      </c>
      <c r="H301" t="inlineStr">
        <is>
          <t>Richmond Hill Country Club</t>
        </is>
      </c>
      <c r="I301" t="n">
        <v>31.4</v>
      </c>
      <c r="J301" s="4" t="n">
        <v>117</v>
      </c>
      <c r="K301" t="inlineStr">
        <is>
          <t>90 / 27</t>
        </is>
      </c>
      <c r="L301" t="inlineStr">
        <is>
          <t>42 / 11</t>
        </is>
      </c>
      <c r="M301" s="5" t="n">
        <v>0.77</v>
      </c>
      <c r="N301" s="5" t="n">
        <v>0.79</v>
      </c>
    </row>
    <row r="302">
      <c r="A302" t="n">
        <v>301</v>
      </c>
      <c r="B302" t="n">
        <v>2015</v>
      </c>
      <c r="C302" t="inlineStr">
        <is>
          <t>ESTHER HAO</t>
        </is>
      </c>
      <c r="D302">
        <f>HYPERLINK("https://ota.tournamentsoftware.com/player-profile/8EA584DE-3986-4803-A3AA-F96230F853A7", "Link")</f>
        <v/>
      </c>
      <c r="E302" s="3" t="n">
        <v>233.33</v>
      </c>
      <c r="F302" s="4" t="n">
        <v>17</v>
      </c>
      <c r="G302" t="inlineStr">
        <is>
          <t>Ontario Tennis Association</t>
        </is>
      </c>
      <c r="H302" t="inlineStr">
        <is>
          <t>Ontario Racquet Club</t>
        </is>
      </c>
      <c r="I302" t="n">
        <v>34.2</v>
      </c>
      <c r="J302" s="4" t="n">
        <v>215</v>
      </c>
      <c r="K302" t="inlineStr">
        <is>
          <t>131 / 84</t>
        </is>
      </c>
      <c r="L302" t="inlineStr">
        <is>
          <t>9 / 9</t>
        </is>
      </c>
      <c r="M302" s="5" t="n">
        <v>0.61</v>
      </c>
      <c r="N302" s="5" t="n">
        <v>0.5</v>
      </c>
    </row>
    <row r="303">
      <c r="A303" t="n">
        <v>302</v>
      </c>
      <c r="B303" t="n">
        <v>2015</v>
      </c>
      <c r="C303" t="inlineStr">
        <is>
          <t>Daniella Lynne Lee</t>
        </is>
      </c>
      <c r="D303">
        <f>HYPERLINK("https://ota.tournamentsoftware.com/player-profile/92FC49CB-246B-48E6-ABC3-903AA780449F", "Link")</f>
        <v/>
      </c>
      <c r="E303" s="3" t="n">
        <v>232.641</v>
      </c>
      <c r="F303" s="4" t="n">
        <v>28</v>
      </c>
      <c r="G303" t="inlineStr">
        <is>
          <t>British Columbia</t>
        </is>
      </c>
      <c r="H303" t="inlineStr">
        <is>
          <t>Arbutus Club</t>
        </is>
      </c>
      <c r="I303" t="n">
        <v>32</v>
      </c>
      <c r="J303" s="4" t="n">
        <v>131</v>
      </c>
      <c r="K303" t="inlineStr">
        <is>
          <t>68 / 63</t>
        </is>
      </c>
      <c r="L303" t="inlineStr">
        <is>
          <t>29 / 24</t>
        </is>
      </c>
      <c r="M303" s="5" t="n">
        <v>0.52</v>
      </c>
      <c r="N303" s="5" t="n">
        <v>0.55</v>
      </c>
    </row>
    <row r="304">
      <c r="A304" t="n">
        <v>303</v>
      </c>
      <c r="B304" t="n">
        <v>2015</v>
      </c>
      <c r="C304" t="inlineStr">
        <is>
          <t>Navena Thelepan</t>
        </is>
      </c>
      <c r="D304">
        <f>HYPERLINK("https://ota.tournamentsoftware.com/player-profile/811C2EA5-51E7-4FDE-BF82-1DF3D9D0AD27", "Link")</f>
        <v/>
      </c>
      <c r="E304" s="3" t="n">
        <v>231.661</v>
      </c>
      <c r="F304" s="4" t="n">
        <v>41</v>
      </c>
      <c r="G304" t="inlineStr">
        <is>
          <t>Ontario Tennis Association</t>
        </is>
      </c>
      <c r="H304" t="inlineStr">
        <is>
          <t>Markham Tennis Club</t>
        </is>
      </c>
      <c r="I304" t="n">
        <v>36.2</v>
      </c>
      <c r="J304" s="4" t="n">
        <v>143</v>
      </c>
      <c r="K304" t="inlineStr">
        <is>
          <t>64 / 79</t>
        </is>
      </c>
      <c r="L304" t="inlineStr">
        <is>
          <t>20 / 42</t>
        </is>
      </c>
      <c r="M304" s="5" t="n">
        <v>0.45</v>
      </c>
      <c r="N304" s="5" t="n">
        <v>0.32</v>
      </c>
    </row>
    <row r="305">
      <c r="A305" t="n">
        <v>304</v>
      </c>
      <c r="B305" t="n">
        <v>2015</v>
      </c>
      <c r="C305" t="inlineStr">
        <is>
          <t>Lacey Isabella Ly</t>
        </is>
      </c>
      <c r="D305">
        <f>HYPERLINK("https://ota.tournamentsoftware.com/player-profile/878918D3-5C76-4815-A98A-1D1A49BFC21F", "Link")</f>
        <v/>
      </c>
      <c r="E305" s="3" t="n">
        <v>231.26</v>
      </c>
      <c r="F305" s="4" t="n">
        <v>12</v>
      </c>
      <c r="G305" t="inlineStr">
        <is>
          <t>British Columbia</t>
        </is>
      </c>
      <c r="H305" t="inlineStr">
        <is>
          <t>The Tennis Centre</t>
        </is>
      </c>
      <c r="I305" t="n">
        <v>30.8</v>
      </c>
      <c r="J305" s="4" t="n">
        <v>133</v>
      </c>
      <c r="K305" t="inlineStr">
        <is>
          <t>100 / 33</t>
        </is>
      </c>
      <c r="L305" t="inlineStr">
        <is>
          <t>23 / 9</t>
        </is>
      </c>
      <c r="M305" s="5" t="n">
        <v>0.75</v>
      </c>
      <c r="N305" s="5" t="n">
        <v>0.72</v>
      </c>
    </row>
    <row r="306">
      <c r="A306" t="n">
        <v>305</v>
      </c>
      <c r="B306" t="n">
        <v>2014</v>
      </c>
      <c r="C306" t="inlineStr">
        <is>
          <t>Candice YAO</t>
        </is>
      </c>
      <c r="D306">
        <f>HYPERLINK("https://ota.tournamentsoftware.com/player-profile/2EEE6D95-1504-4E36-A996-F48A3CD7FC03", "Link")</f>
        <v/>
      </c>
      <c r="E306" s="3" t="n">
        <v>231.193</v>
      </c>
      <c r="F306" s="4" t="n">
        <v>17</v>
      </c>
      <c r="G306" t="inlineStr">
        <is>
          <t>Ontario Tennis Association</t>
        </is>
      </c>
      <c r="H306" t="inlineStr">
        <is>
          <t>Richmondhill Golf &amp; Country Club</t>
        </is>
      </c>
      <c r="I306" t="n">
        <v>33.2</v>
      </c>
      <c r="J306" s="4" t="n">
        <v>93</v>
      </c>
      <c r="K306" t="inlineStr">
        <is>
          <t>41 / 52</t>
        </is>
      </c>
      <c r="L306" t="inlineStr">
        <is>
          <t>17 / 13</t>
        </is>
      </c>
      <c r="M306" s="5" t="n">
        <v>0.44</v>
      </c>
      <c r="N306" s="5" t="n">
        <v>0.57</v>
      </c>
    </row>
    <row r="307">
      <c r="A307" t="n">
        <v>306</v>
      </c>
      <c r="B307" t="n">
        <v>2014</v>
      </c>
      <c r="C307" t="inlineStr">
        <is>
          <t>Aryella Ainame Duran Khongwir</t>
        </is>
      </c>
      <c r="D307">
        <f>HYPERLINK("https://ota.tournamentsoftware.com/player-profile/6DB3D46F-3C74-400D-92A4-62CF55426936", "Link")</f>
        <v/>
      </c>
      <c r="E307" s="3" t="n">
        <v>230.594</v>
      </c>
      <c r="F307" s="4" t="n">
        <v>18</v>
      </c>
      <c r="G307" t="inlineStr">
        <is>
          <t>Ontario Tennis Association</t>
        </is>
      </c>
      <c r="H307" t="inlineStr">
        <is>
          <t>Stefanovic Tennis Academy</t>
        </is>
      </c>
      <c r="I307" t="n">
        <v>34.3</v>
      </c>
      <c r="J307" s="4" t="n">
        <v>177</v>
      </c>
      <c r="K307" t="inlineStr">
        <is>
          <t>50 / 127</t>
        </is>
      </c>
      <c r="L307" t="inlineStr">
        <is>
          <t>16 / 15</t>
        </is>
      </c>
      <c r="M307" s="5" t="n">
        <v>0.28</v>
      </c>
      <c r="N307" s="5" t="n">
        <v>0.52</v>
      </c>
    </row>
    <row r="308">
      <c r="A308" t="n">
        <v>307</v>
      </c>
      <c r="B308" t="n">
        <v>2014</v>
      </c>
      <c r="C308" t="inlineStr">
        <is>
          <t>Dora Zhang</t>
        </is>
      </c>
      <c r="D308">
        <f>HYPERLINK("https://ota.tournamentsoftware.com/player-profile/3772BD57-A73E-4652-86C8-E1885FE20DCF", "Link")</f>
        <v/>
      </c>
      <c r="E308" s="3" t="n">
        <v>230.464</v>
      </c>
      <c r="F308" s="4" t="n">
        <v>17</v>
      </c>
      <c r="G308" t="inlineStr">
        <is>
          <t>Ontario Tennis Association</t>
        </is>
      </c>
      <c r="H308" t="inlineStr">
        <is>
          <t>Toronto Tennis City</t>
        </is>
      </c>
      <c r="I308" t="n">
        <v>33.1</v>
      </c>
      <c r="J308" s="4" t="n">
        <v>50</v>
      </c>
      <c r="K308" t="inlineStr">
        <is>
          <t>36 / 14</t>
        </is>
      </c>
      <c r="L308" t="inlineStr">
        <is>
          <t>5 / 4</t>
        </is>
      </c>
      <c r="M308" s="5" t="n">
        <v>0.72</v>
      </c>
      <c r="N308" s="5" t="n">
        <v>0.5600000000000001</v>
      </c>
    </row>
    <row r="309">
      <c r="A309" t="n">
        <v>308</v>
      </c>
      <c r="B309" t="n">
        <v>2012</v>
      </c>
      <c r="C309" t="inlineStr">
        <is>
          <t>Jamie Cui</t>
        </is>
      </c>
      <c r="D309">
        <f>HYPERLINK("https://ota.tournamentsoftware.com/player-profile/6F7B90A5-BECB-44C9-9B4E-74FED8443672", "Link")</f>
        <v/>
      </c>
      <c r="E309" s="3" t="n">
        <v>228.114</v>
      </c>
      <c r="F309" s="4" t="n">
        <v>20</v>
      </c>
      <c r="G309" t="inlineStr">
        <is>
          <t>British Columbia</t>
        </is>
      </c>
      <c r="H309" t="inlineStr">
        <is>
          <t>Coquitlam Tennis Club</t>
        </is>
      </c>
      <c r="I309" t="inlineStr">
        <is>
          <t>unavailable</t>
        </is>
      </c>
      <c r="J309" s="4" t="n">
        <v>173</v>
      </c>
      <c r="K309" t="inlineStr">
        <is>
          <t>49 / 124</t>
        </is>
      </c>
      <c r="L309" t="inlineStr">
        <is>
          <t>12 / 21</t>
        </is>
      </c>
      <c r="M309" s="5" t="n">
        <v>0.28</v>
      </c>
      <c r="N309" s="5" t="n">
        <v>0.36</v>
      </c>
    </row>
    <row r="310">
      <c r="A310" t="n">
        <v>309</v>
      </c>
      <c r="B310" t="n">
        <v>2012</v>
      </c>
      <c r="C310" t="inlineStr">
        <is>
          <t>Saroop Randhawa</t>
        </is>
      </c>
      <c r="D310">
        <f>HYPERLINK("https://ota.tournamentsoftware.com/player-profile/5F710ADB-6059-4376-8917-220BAD95C9B2", "Link")</f>
        <v/>
      </c>
      <c r="E310" s="3" t="n">
        <v>228</v>
      </c>
      <c r="F310" s="4" t="n">
        <v>2</v>
      </c>
      <c r="G310" t="inlineStr">
        <is>
          <t>Ontario Tennis Association</t>
        </is>
      </c>
      <c r="H310" t="inlineStr">
        <is>
          <t>Advantage Tennis International at Veneto</t>
        </is>
      </c>
      <c r="I310" t="n">
        <v>21.8</v>
      </c>
      <c r="J310" s="4" t="n">
        <v>153</v>
      </c>
      <c r="K310" t="inlineStr">
        <is>
          <t>114 / 39</t>
        </is>
      </c>
      <c r="L310" t="inlineStr">
        <is>
          <t>5 / 0</t>
        </is>
      </c>
      <c r="M310" s="5" t="n">
        <v>0.75</v>
      </c>
      <c r="N310" s="5" t="n">
        <v>1</v>
      </c>
    </row>
    <row r="311">
      <c r="A311" t="n">
        <v>310</v>
      </c>
      <c r="B311" t="n">
        <v>2012</v>
      </c>
      <c r="C311" t="inlineStr">
        <is>
          <t>Louanna Perron</t>
        </is>
      </c>
      <c r="D311">
        <f>HYPERLINK("https://ota.tournamentsoftware.com/player-profile/0D5BD355-F71F-4A8A-B269-0D225B56C809", "Link")</f>
        <v/>
      </c>
      <c r="E311" s="3" t="n">
        <v>227.848</v>
      </c>
      <c r="F311" s="4" t="n">
        <v>10</v>
      </c>
      <c r="G311" t="inlineStr">
        <is>
          <t>Tennis Québec</t>
        </is>
      </c>
      <c r="H311" t="inlineStr">
        <is>
          <t>Tennis 13 / Académie Ménard et associé</t>
        </is>
      </c>
      <c r="I311" t="n">
        <v>33.2</v>
      </c>
      <c r="J311" s="4" t="n">
        <v>21</v>
      </c>
      <c r="K311" t="inlineStr">
        <is>
          <t>9 / 12</t>
        </is>
      </c>
      <c r="L311" t="inlineStr">
        <is>
          <t>3 / 6</t>
        </is>
      </c>
      <c r="M311" s="5" t="n">
        <v>0.43</v>
      </c>
      <c r="N311" s="5" t="n">
        <v>0.33</v>
      </c>
    </row>
    <row r="312">
      <c r="A312" t="n">
        <v>311</v>
      </c>
      <c r="B312" t="n">
        <v>2015</v>
      </c>
      <c r="C312" t="inlineStr">
        <is>
          <t>MASAL ELA YAZICI</t>
        </is>
      </c>
      <c r="D312">
        <f>HYPERLINK("https://ota.tournamentsoftware.com/player-profile/8556435C-B5F1-47A5-8C4A-46AF5B800D78", "Link")</f>
        <v/>
      </c>
      <c r="E312" s="3" t="n">
        <v>223.946</v>
      </c>
      <c r="F312" s="4" t="n">
        <v>19</v>
      </c>
      <c r="G312" t="inlineStr">
        <is>
          <t>Ontario Tennis Association</t>
        </is>
      </c>
      <c r="H312" t="inlineStr">
        <is>
          <t>Mayfair West Fitness &amp; Racquet Club</t>
        </is>
      </c>
      <c r="I312" t="n">
        <v>34</v>
      </c>
      <c r="J312" s="4" t="n">
        <v>59</v>
      </c>
      <c r="K312" t="inlineStr">
        <is>
          <t>36 / 23</t>
        </is>
      </c>
      <c r="L312" t="inlineStr">
        <is>
          <t>28 / 16</t>
        </is>
      </c>
      <c r="M312" s="5" t="n">
        <v>0.61</v>
      </c>
      <c r="N312" s="5" t="n">
        <v>0.64</v>
      </c>
    </row>
    <row r="313">
      <c r="A313" t="n">
        <v>312</v>
      </c>
      <c r="B313" t="n">
        <v>2013</v>
      </c>
      <c r="C313" t="inlineStr">
        <is>
          <t>Makayla Najjar</t>
        </is>
      </c>
      <c r="D313">
        <f>HYPERLINK("https://ota.tournamentsoftware.com/player-profile/A931D3E2-A84F-4018-9B2A-A1664811863E", "Link")</f>
        <v/>
      </c>
      <c r="E313" s="3" t="n">
        <v>219.584</v>
      </c>
      <c r="F313" s="4" t="n">
        <v>13</v>
      </c>
      <c r="G313" t="inlineStr">
        <is>
          <t>Ontario Tennis Association</t>
        </is>
      </c>
      <c r="H313" t="inlineStr">
        <is>
          <t>Premier Racquet Clubs – Mississauga</t>
        </is>
      </c>
      <c r="I313" t="n">
        <v>33.3</v>
      </c>
      <c r="J313" s="4" t="n">
        <v>90</v>
      </c>
      <c r="K313" t="inlineStr">
        <is>
          <t>60 / 30</t>
        </is>
      </c>
      <c r="L313" t="inlineStr">
        <is>
          <t>17 / 11</t>
        </is>
      </c>
      <c r="M313" s="5" t="n">
        <v>0.67</v>
      </c>
      <c r="N313" s="5" t="n">
        <v>0.61</v>
      </c>
    </row>
    <row r="314">
      <c r="A314" t="n">
        <v>313</v>
      </c>
      <c r="B314" t="n">
        <v>2015</v>
      </c>
      <c r="C314" t="inlineStr">
        <is>
          <t>Mikaëlla Jean-Bart</t>
        </is>
      </c>
      <c r="D314">
        <f>HYPERLINK("https://ota.tournamentsoftware.com/player-profile/5309814B-24E5-4F46-920F-74FD0DAF8C7D", "Link")</f>
        <v/>
      </c>
      <c r="E314" s="3" t="n">
        <v>218.826</v>
      </c>
      <c r="F314" s="4" t="n">
        <v>15</v>
      </c>
      <c r="G314" t="inlineStr">
        <is>
          <t>Tennis Québec</t>
        </is>
      </c>
      <c r="H314" t="inlineStr">
        <is>
          <t>Centre récréatif de Repentigny / Académie Tennis Momentum</t>
        </is>
      </c>
      <c r="I314" t="n">
        <v>33.7</v>
      </c>
      <c r="J314" s="4" t="n">
        <v>75</v>
      </c>
      <c r="K314" t="inlineStr">
        <is>
          <t>32 / 43</t>
        </is>
      </c>
      <c r="L314" t="inlineStr">
        <is>
          <t>15 / 15</t>
        </is>
      </c>
      <c r="M314" s="5" t="n">
        <v>0.43</v>
      </c>
      <c r="N314" s="5" t="n">
        <v>0.5</v>
      </c>
    </row>
    <row r="315">
      <c r="A315" t="n">
        <v>314</v>
      </c>
      <c r="B315" t="n">
        <v>2012</v>
      </c>
      <c r="C315" t="inlineStr">
        <is>
          <t>Charlotte Gal</t>
        </is>
      </c>
      <c r="D315">
        <f>HYPERLINK("https://ota.tournamentsoftware.com/player-profile/EF0AF614-E6CE-4E3C-9FC4-7EF8A5EB6B57", "Link")</f>
        <v/>
      </c>
      <c r="E315" s="3" t="n">
        <v>218.581</v>
      </c>
      <c r="F315" s="4" t="n">
        <v>3</v>
      </c>
      <c r="G315" t="inlineStr">
        <is>
          <t>Tennis Nova Scotia</t>
        </is>
      </c>
      <c r="H315" t="inlineStr">
        <is>
          <t>HEADSTART</t>
        </is>
      </c>
      <c r="I315" t="n">
        <v>37.1</v>
      </c>
      <c r="J315" s="4" t="n">
        <v>24</v>
      </c>
      <c r="K315" t="inlineStr">
        <is>
          <t>6 / 18</t>
        </is>
      </c>
      <c r="L315" t="inlineStr">
        <is>
          <t>2 / 12</t>
        </is>
      </c>
      <c r="M315" s="5" t="n">
        <v>0.25</v>
      </c>
      <c r="N315" s="5" t="n">
        <v>0.14</v>
      </c>
    </row>
    <row r="316">
      <c r="A316" t="n">
        <v>315</v>
      </c>
      <c r="B316" t="n">
        <v>2013</v>
      </c>
      <c r="C316" t="inlineStr">
        <is>
          <t>Helena Shengyi Chen</t>
        </is>
      </c>
      <c r="D316">
        <f>HYPERLINK("https://ota.tournamentsoftware.com/player-profile/097D6397-0826-4C15-948E-B983C1D748F4", "Link")</f>
        <v/>
      </c>
      <c r="E316" s="3" t="n">
        <v>218.438</v>
      </c>
      <c r="F316" s="4" t="n">
        <v>15</v>
      </c>
      <c r="G316" t="inlineStr">
        <is>
          <t>British Columbia</t>
        </is>
      </c>
      <c r="H316" t="inlineStr">
        <is>
          <t>Tennis BC Hub @ Richmond</t>
        </is>
      </c>
      <c r="I316" t="n">
        <v>32.8</v>
      </c>
      <c r="J316" s="4" t="n">
        <v>118</v>
      </c>
      <c r="K316" t="inlineStr">
        <is>
          <t>50 / 68</t>
        </is>
      </c>
      <c r="L316" t="inlineStr">
        <is>
          <t>13 / 17</t>
        </is>
      </c>
      <c r="M316" s="5" t="n">
        <v>0.42</v>
      </c>
      <c r="N316" s="5" t="n">
        <v>0.43</v>
      </c>
    </row>
    <row r="317">
      <c r="A317" t="n">
        <v>316</v>
      </c>
      <c r="B317" t="n">
        <v>2013</v>
      </c>
      <c r="C317" t="inlineStr">
        <is>
          <t>Léa Crépault</t>
        </is>
      </c>
      <c r="D317">
        <f>HYPERLINK("https://ota.tournamentsoftware.com/player-profile/A3D2A82D-C6E8-410C-A1B3-E5DC3B845B7A", "Link")</f>
        <v/>
      </c>
      <c r="E317" s="3" t="n">
        <v>217.722</v>
      </c>
      <c r="F317" s="4" t="n">
        <v>19</v>
      </c>
      <c r="G317" t="inlineStr">
        <is>
          <t>Tennis Québec</t>
        </is>
      </c>
      <c r="H317" t="inlineStr">
        <is>
          <t>EB Tennis inc.</t>
        </is>
      </c>
      <c r="I317" t="n">
        <v>34.5</v>
      </c>
      <c r="J317" s="4" t="n">
        <v>157</v>
      </c>
      <c r="K317" t="inlineStr">
        <is>
          <t>44 / 113</t>
        </is>
      </c>
      <c r="L317" t="inlineStr">
        <is>
          <t>8 / 14</t>
        </is>
      </c>
      <c r="M317" s="5" t="n">
        <v>0.28</v>
      </c>
      <c r="N317" s="5" t="n">
        <v>0.36</v>
      </c>
    </row>
    <row r="318">
      <c r="A318" t="n">
        <v>317</v>
      </c>
      <c r="B318" t="n">
        <v>2012</v>
      </c>
      <c r="C318" t="inlineStr">
        <is>
          <t>Clémence Martin</t>
        </is>
      </c>
      <c r="D318">
        <f>HYPERLINK("https://ota.tournamentsoftware.com/player-profile/CF2B02DD-EFB8-49FD-8774-B98F78A30C1A", "Link")</f>
        <v/>
      </c>
      <c r="E318" s="3" t="n">
        <v>216.993</v>
      </c>
      <c r="F318" s="4" t="n">
        <v>5</v>
      </c>
      <c r="G318" t="inlineStr">
        <is>
          <t>Tennis Québec</t>
        </is>
      </c>
      <c r="H318" t="inlineStr">
        <is>
          <t>Centre sportif Sport Scène / Élite Tennis Académie</t>
        </is>
      </c>
      <c r="I318" t="n">
        <v>31.2</v>
      </c>
      <c r="J318" s="4" t="n">
        <v>34</v>
      </c>
      <c r="K318" t="inlineStr">
        <is>
          <t>19 / 15</t>
        </is>
      </c>
      <c r="L318" t="inlineStr">
        <is>
          <t>5 / 5</t>
        </is>
      </c>
      <c r="M318" s="5" t="n">
        <v>0.5600000000000001</v>
      </c>
      <c r="N318" s="5" t="n">
        <v>0.5</v>
      </c>
    </row>
    <row r="319">
      <c r="A319" t="n">
        <v>318</v>
      </c>
      <c r="B319" t="n">
        <v>2014</v>
      </c>
      <c r="C319" t="inlineStr">
        <is>
          <t>Skylar Isabelle JOHNSTON</t>
        </is>
      </c>
      <c r="D319">
        <f>HYPERLINK("https://ota.tournamentsoftware.com/player-profile/18CCEC3F-12DA-4A55-A300-393E64FB4F6E", "Link")</f>
        <v/>
      </c>
      <c r="E319" s="3" t="n">
        <v>216.396</v>
      </c>
      <c r="F319" s="4" t="n">
        <v>11</v>
      </c>
      <c r="G319" t="inlineStr">
        <is>
          <t>Tennis Nova Scotia</t>
        </is>
      </c>
      <c r="H319" t="inlineStr">
        <is>
          <t>Gordon Hughes Tennis Club</t>
        </is>
      </c>
      <c r="I319" t="n">
        <v>32.9</v>
      </c>
      <c r="J319" s="4" t="n">
        <v>93</v>
      </c>
      <c r="K319" t="inlineStr">
        <is>
          <t>46 / 47</t>
        </is>
      </c>
      <c r="L319" t="inlineStr">
        <is>
          <t>25 / 14</t>
        </is>
      </c>
      <c r="M319" s="5" t="n">
        <v>0.49</v>
      </c>
      <c r="N319" s="5" t="n">
        <v>0.64</v>
      </c>
    </row>
    <row r="320">
      <c r="A320" t="n">
        <v>319</v>
      </c>
      <c r="B320" t="n">
        <v>2015</v>
      </c>
      <c r="C320" t="inlineStr">
        <is>
          <t>Yasmine Maazouz</t>
        </is>
      </c>
      <c r="D320">
        <f>HYPERLINK("https://ota.tournamentsoftware.com/player-profile/004E04F8-71A7-4C1F-B42C-805F1590C456", "Link")</f>
        <v/>
      </c>
      <c r="E320" s="3" t="n">
        <v>215.212</v>
      </c>
      <c r="F320" s="4" t="n">
        <v>8</v>
      </c>
      <c r="G320" t="inlineStr">
        <is>
          <t>Tennis Québec</t>
        </is>
      </c>
      <c r="H320" t="inlineStr">
        <is>
          <t>Tennis Montréal Excellence</t>
        </is>
      </c>
      <c r="I320" t="n">
        <v>31.3</v>
      </c>
      <c r="J320" s="4" t="n">
        <v>115</v>
      </c>
      <c r="K320" t="inlineStr">
        <is>
          <t>69 / 46</t>
        </is>
      </c>
      <c r="L320" t="inlineStr">
        <is>
          <t>20 / 7</t>
        </is>
      </c>
      <c r="M320" s="5" t="n">
        <v>0.6</v>
      </c>
      <c r="N320" s="5" t="n">
        <v>0.74</v>
      </c>
    </row>
    <row r="321">
      <c r="A321" t="n">
        <v>320</v>
      </c>
      <c r="B321" t="n">
        <v>2015</v>
      </c>
      <c r="C321" t="inlineStr">
        <is>
          <t>Kiyara Dinuli Hinidumarachchi</t>
        </is>
      </c>
      <c r="D321">
        <f>HYPERLINK("https://ota.tournamentsoftware.com/player-profile/FD2638E4-B06D-478E-9F5A-FE51B9EC8DF8", "Link")</f>
        <v/>
      </c>
      <c r="E321" s="3" t="n">
        <v>211.944</v>
      </c>
      <c r="F321" s="4" t="n">
        <v>17</v>
      </c>
      <c r="G321" t="inlineStr">
        <is>
          <t>Ontario Tennis Association</t>
        </is>
      </c>
      <c r="H321" t="inlineStr">
        <is>
          <t>Sarnia Tennis Club</t>
        </is>
      </c>
      <c r="I321" t="inlineStr">
        <is>
          <t>unavailable</t>
        </is>
      </c>
      <c r="J321" s="4" t="n">
        <v>155</v>
      </c>
      <c r="K321" t="inlineStr">
        <is>
          <t>95 / 60</t>
        </is>
      </c>
      <c r="L321" t="inlineStr">
        <is>
          <t>10 / 14</t>
        </is>
      </c>
      <c r="M321" s="5" t="n">
        <v>0.61</v>
      </c>
      <c r="N321" s="5" t="n">
        <v>0.42</v>
      </c>
    </row>
    <row r="322">
      <c r="A322" t="n">
        <v>321</v>
      </c>
      <c r="B322" t="n">
        <v>2015</v>
      </c>
      <c r="C322" t="inlineStr">
        <is>
          <t>Sofia Twynam</t>
        </is>
      </c>
      <c r="D322">
        <f>HYPERLINK("https://ota.tournamentsoftware.com/player-profile/025F0929-F490-4440-8CB6-08E8D1F59F08", "Link")</f>
        <v/>
      </c>
      <c r="E322" s="3" t="n">
        <v>209.039</v>
      </c>
      <c r="F322" s="4" t="n">
        <v>16</v>
      </c>
      <c r="G322" t="inlineStr">
        <is>
          <t>Tennis Québec</t>
        </is>
      </c>
      <c r="H322" t="inlineStr">
        <is>
          <t>SANI Sport</t>
        </is>
      </c>
      <c r="I322" t="n">
        <v>32.2</v>
      </c>
      <c r="J322" s="4" t="n">
        <v>127</v>
      </c>
      <c r="K322" t="inlineStr">
        <is>
          <t>69 / 58</t>
        </is>
      </c>
      <c r="L322" t="inlineStr">
        <is>
          <t>14 / 15</t>
        </is>
      </c>
      <c r="M322" s="5" t="n">
        <v>0.54</v>
      </c>
      <c r="N322" s="5" t="n">
        <v>0.48</v>
      </c>
    </row>
    <row r="323">
      <c r="A323" t="n">
        <v>322</v>
      </c>
      <c r="B323" t="n">
        <v>2014</v>
      </c>
      <c r="C323" t="inlineStr">
        <is>
          <t>Esabel Liu</t>
        </is>
      </c>
      <c r="D323">
        <f>HYPERLINK("https://ota.tournamentsoftware.com/player-profile/03274A3B-556F-4321-880B-2AF255E6A817", "Link")</f>
        <v/>
      </c>
      <c r="E323" s="3" t="n">
        <v>208.86</v>
      </c>
      <c r="F323" s="4" t="n">
        <v>19</v>
      </c>
      <c r="G323" t="inlineStr">
        <is>
          <t>British Columbia</t>
        </is>
      </c>
      <c r="H323" t="inlineStr">
        <is>
          <t>North Vancouver Tennis Centre</t>
        </is>
      </c>
      <c r="I323" t="n">
        <v>30.2</v>
      </c>
      <c r="J323" s="4" t="n">
        <v>226</v>
      </c>
      <c r="K323" t="inlineStr">
        <is>
          <t>140 / 86</t>
        </is>
      </c>
      <c r="L323" t="inlineStr">
        <is>
          <t>32 / 20</t>
        </is>
      </c>
      <c r="M323" s="5" t="n">
        <v>0.62</v>
      </c>
      <c r="N323" s="5" t="n">
        <v>0.62</v>
      </c>
    </row>
    <row r="324">
      <c r="A324" t="n">
        <v>323</v>
      </c>
      <c r="B324" t="n">
        <v>2013</v>
      </c>
      <c r="C324" t="inlineStr">
        <is>
          <t>Annabelle Chen</t>
        </is>
      </c>
      <c r="D324">
        <f>HYPERLINK("https://ota.tournamentsoftware.com/player-profile/E532A343-867C-4B97-BCB3-998A28EC84A8", "Link")</f>
        <v/>
      </c>
      <c r="E324" s="3" t="n">
        <v>208.256</v>
      </c>
      <c r="F324" s="4" t="n">
        <v>8</v>
      </c>
      <c r="G324" t="inlineStr">
        <is>
          <t>British Columbia</t>
        </is>
      </c>
      <c r="H324" t="inlineStr">
        <is>
          <t>UBC Tennis Centre</t>
        </is>
      </c>
      <c r="I324" t="n">
        <v>32</v>
      </c>
      <c r="J324" s="4" t="n">
        <v>152</v>
      </c>
      <c r="K324" t="inlineStr">
        <is>
          <t>84 / 68</t>
        </is>
      </c>
      <c r="L324" t="inlineStr">
        <is>
          <t>0 / 4</t>
        </is>
      </c>
      <c r="M324" s="5" t="n">
        <v>0.55</v>
      </c>
      <c r="N324" s="5" t="n">
        <v>0</v>
      </c>
    </row>
    <row r="325">
      <c r="A325" t="n">
        <v>324</v>
      </c>
      <c r="B325" t="n">
        <v>2014</v>
      </c>
      <c r="C325" t="inlineStr">
        <is>
          <t>Vida Jeftic</t>
        </is>
      </c>
      <c r="D325">
        <f>HYPERLINK("https://ota.tournamentsoftware.com/player-profile/5A42C908-572E-4E42-A8CB-609FCF083DE9", "Link")</f>
        <v/>
      </c>
      <c r="E325" s="3" t="n">
        <v>206.56</v>
      </c>
      <c r="F325" s="4" t="n">
        <v>9</v>
      </c>
      <c r="G325" t="inlineStr">
        <is>
          <t>Ontario Tennis Association</t>
        </is>
      </c>
      <c r="H325" t="inlineStr">
        <is>
          <t>Parkside Tennis Club</t>
        </is>
      </c>
      <c r="I325" t="n">
        <v>30.8</v>
      </c>
      <c r="J325" s="4" t="n">
        <v>38</v>
      </c>
      <c r="K325" t="inlineStr">
        <is>
          <t>27 / 11</t>
        </is>
      </c>
      <c r="L325" t="inlineStr">
        <is>
          <t>11 / 4</t>
        </is>
      </c>
      <c r="M325" s="5" t="n">
        <v>0.71</v>
      </c>
      <c r="N325" s="5" t="n">
        <v>0.73</v>
      </c>
    </row>
    <row r="326">
      <c r="A326" t="n">
        <v>325</v>
      </c>
      <c r="B326" t="n">
        <v>2014</v>
      </c>
      <c r="C326" t="inlineStr">
        <is>
          <t>Alexandra Strgacic</t>
        </is>
      </c>
      <c r="D326">
        <f>HYPERLINK("https://ota.tournamentsoftware.com/player-profile/C809B120-C1B7-4F85-B411-257E3DC9B63B", "Link")</f>
        <v/>
      </c>
      <c r="E326" s="3" t="n">
        <v>205.183</v>
      </c>
      <c r="F326" s="4" t="n">
        <v>7</v>
      </c>
      <c r="G326" t="inlineStr">
        <is>
          <t>Ontario Tennis Association</t>
        </is>
      </c>
      <c r="H326" t="inlineStr">
        <is>
          <t>Advantage Tennis International at Veneto</t>
        </is>
      </c>
      <c r="I326" t="n">
        <v>33.5</v>
      </c>
      <c r="J326" s="4" t="n">
        <v>165</v>
      </c>
      <c r="K326" t="inlineStr">
        <is>
          <t>96 / 69</t>
        </is>
      </c>
      <c r="L326" t="inlineStr">
        <is>
          <t>3 / 5</t>
        </is>
      </c>
      <c r="M326" s="5" t="n">
        <v>0.58</v>
      </c>
      <c r="N326" s="5" t="n">
        <v>0.38</v>
      </c>
    </row>
    <row r="327">
      <c r="A327" t="n">
        <v>326</v>
      </c>
      <c r="B327" t="n">
        <v>2013</v>
      </c>
      <c r="C327" t="inlineStr">
        <is>
          <t>Ella Iva Mavretic</t>
        </is>
      </c>
      <c r="D327">
        <f>HYPERLINK("https://ota.tournamentsoftware.com/player-profile/CF99D041-FAEF-47A9-BBE6-3D6335355408", "Link")</f>
        <v/>
      </c>
      <c r="E327" s="3" t="n">
        <v>203.735</v>
      </c>
      <c r="F327" s="4" t="n">
        <v>11</v>
      </c>
      <c r="G327" t="inlineStr">
        <is>
          <t>Ontario Tennis Association</t>
        </is>
      </c>
      <c r="H327" t="inlineStr">
        <is>
          <t>Pinafore Park</t>
        </is>
      </c>
      <c r="I327" t="n">
        <v>34.7</v>
      </c>
      <c r="J327" s="4" t="n">
        <v>198</v>
      </c>
      <c r="K327" t="inlineStr">
        <is>
          <t>88 / 110</t>
        </is>
      </c>
      <c r="L327" t="inlineStr">
        <is>
          <t>4 / 6</t>
        </is>
      </c>
      <c r="M327" s="5" t="n">
        <v>0.44</v>
      </c>
      <c r="N327" s="5" t="n">
        <v>0.4</v>
      </c>
    </row>
    <row r="328">
      <c r="A328" t="n">
        <v>327</v>
      </c>
      <c r="B328" t="n">
        <v>2014</v>
      </c>
      <c r="C328" t="inlineStr">
        <is>
          <t>Freya Jiaxin He</t>
        </is>
      </c>
      <c r="D328">
        <f>HYPERLINK("https://ota.tournamentsoftware.com/player-profile/8C1C07F2-C769-4A85-8385-40B14C9CD709", "Link")</f>
        <v/>
      </c>
      <c r="E328" s="3" t="n">
        <v>203.592</v>
      </c>
      <c r="F328" s="4" t="n">
        <v>6</v>
      </c>
      <c r="G328" t="inlineStr">
        <is>
          <t>Tennis Prince Edward Island</t>
        </is>
      </c>
      <c r="H328" t="inlineStr">
        <is>
          <t>Charlottetown Recreation Tennis Group</t>
        </is>
      </c>
      <c r="I328" t="n">
        <v>31.9</v>
      </c>
      <c r="J328" s="4" t="n">
        <v>104</v>
      </c>
      <c r="K328" t="inlineStr">
        <is>
          <t>58 / 46</t>
        </is>
      </c>
      <c r="L328" t="inlineStr">
        <is>
          <t>19 / 7</t>
        </is>
      </c>
      <c r="M328" s="5" t="n">
        <v>0.5600000000000001</v>
      </c>
      <c r="N328" s="5" t="n">
        <v>0.73</v>
      </c>
    </row>
    <row r="329">
      <c r="A329" t="n">
        <v>328</v>
      </c>
      <c r="B329" t="n">
        <v>2012</v>
      </c>
      <c r="C329" t="inlineStr">
        <is>
          <t>Victoria Trempe</t>
        </is>
      </c>
      <c r="D329">
        <f>HYPERLINK("https://ota.tournamentsoftware.com/player-profile/90EB2857-D907-47BD-ABB6-AAED21876912", "Link")</f>
        <v/>
      </c>
      <c r="E329" s="3" t="n">
        <v>203.573</v>
      </c>
      <c r="F329" s="4" t="n">
        <v>8</v>
      </c>
      <c r="G329" t="inlineStr">
        <is>
          <t>Tennis Québec</t>
        </is>
      </c>
      <c r="H329" t="inlineStr">
        <is>
          <t>Club Sportif Côte-de-Liesse</t>
        </is>
      </c>
      <c r="I329" t="n">
        <v>34</v>
      </c>
      <c r="J329" s="4" t="n">
        <v>122</v>
      </c>
      <c r="K329" t="inlineStr">
        <is>
          <t>45 / 77</t>
        </is>
      </c>
      <c r="L329" t="inlineStr">
        <is>
          <t>2 / 4</t>
        </is>
      </c>
      <c r="M329" s="5" t="n">
        <v>0.37</v>
      </c>
      <c r="N329" s="5" t="n">
        <v>0.33</v>
      </c>
    </row>
    <row r="330">
      <c r="A330" t="n">
        <v>329</v>
      </c>
      <c r="B330" t="n">
        <v>2014</v>
      </c>
      <c r="C330" t="inlineStr">
        <is>
          <t>Mila Alexandra Voros</t>
        </is>
      </c>
      <c r="D330">
        <f>HYPERLINK("https://ota.tournamentsoftware.com/player-profile/96155B79-5199-481D-8AF1-A174FA860401", "Link")</f>
        <v/>
      </c>
      <c r="E330" s="3" t="n">
        <v>203.548</v>
      </c>
      <c r="F330" s="4" t="n">
        <v>15</v>
      </c>
      <c r="G330" t="inlineStr">
        <is>
          <t>Ontario Tennis Association</t>
        </is>
      </c>
      <c r="H330" t="inlineStr">
        <is>
          <t>GSM Tennis Club</t>
        </is>
      </c>
      <c r="I330" t="n">
        <v>34.8</v>
      </c>
      <c r="J330" s="4" t="n">
        <v>136</v>
      </c>
      <c r="K330" t="inlineStr">
        <is>
          <t>58 / 78</t>
        </is>
      </c>
      <c r="L330" t="inlineStr">
        <is>
          <t>7 / 15</t>
        </is>
      </c>
      <c r="M330" s="5" t="n">
        <v>0.43</v>
      </c>
      <c r="N330" s="5" t="n">
        <v>0.32</v>
      </c>
    </row>
    <row r="331">
      <c r="A331" t="n">
        <v>330</v>
      </c>
      <c r="B331" t="n">
        <v>2012</v>
      </c>
      <c r="C331" t="inlineStr">
        <is>
          <t>Naomi Brown</t>
        </is>
      </c>
      <c r="D331">
        <f>HYPERLINK("https://ota.tournamentsoftware.com/player-profile/3302BB60-F05F-49BC-8E90-BE5B9A063576", "Link")</f>
        <v/>
      </c>
      <c r="E331" s="3" t="n">
        <v>202.223</v>
      </c>
      <c r="F331" s="4" t="n">
        <v>7</v>
      </c>
      <c r="G331" t="inlineStr">
        <is>
          <t>Ontario Tennis Association</t>
        </is>
      </c>
      <c r="H331" t="inlineStr">
        <is>
          <t>Milton Tennis Club</t>
        </is>
      </c>
      <c r="I331" t="inlineStr">
        <is>
          <t>unavailable</t>
        </is>
      </c>
      <c r="J331" s="4" t="n">
        <v>81</v>
      </c>
      <c r="K331" t="inlineStr">
        <is>
          <t>36 / 45</t>
        </is>
      </c>
      <c r="L331" t="inlineStr">
        <is>
          <t>8 / 7</t>
        </is>
      </c>
      <c r="M331" s="5" t="n">
        <v>0.44</v>
      </c>
      <c r="N331" s="5" t="n">
        <v>0.53</v>
      </c>
    </row>
    <row r="332">
      <c r="A332" t="n">
        <v>331</v>
      </c>
      <c r="B332" t="n">
        <v>2012</v>
      </c>
      <c r="C332" t="inlineStr">
        <is>
          <t>Harsimran Kaur Sandhu</t>
        </is>
      </c>
      <c r="D332">
        <f>HYPERLINK("https://ota.tournamentsoftware.com/player-profile/10345BBC-2CC8-4DA1-AA88-2730495B6CB8", "Link")</f>
        <v/>
      </c>
      <c r="E332" s="3" t="n">
        <v>201.384</v>
      </c>
      <c r="F332" s="4" t="n">
        <v>24</v>
      </c>
      <c r="G332" t="inlineStr">
        <is>
          <t>Ontario Tennis Association</t>
        </is>
      </c>
      <c r="H332" t="inlineStr">
        <is>
          <t>Premier Racquet Clubs – Mississauga</t>
        </is>
      </c>
      <c r="I332" t="inlineStr">
        <is>
          <t>unavailable</t>
        </is>
      </c>
      <c r="J332" s="4" t="n">
        <v>104</v>
      </c>
      <c r="K332" t="inlineStr">
        <is>
          <t>46 / 58</t>
        </is>
      </c>
      <c r="L332" t="inlineStr">
        <is>
          <t>21 / 19</t>
        </is>
      </c>
      <c r="M332" s="5" t="n">
        <v>0.44</v>
      </c>
      <c r="N332" s="5" t="n">
        <v>0.53</v>
      </c>
    </row>
    <row r="333">
      <c r="A333" t="n">
        <v>332</v>
      </c>
      <c r="B333" t="n">
        <v>2015</v>
      </c>
      <c r="C333" t="inlineStr">
        <is>
          <t>Kayla Chevez</t>
        </is>
      </c>
      <c r="D333">
        <f>HYPERLINK("https://ota.tournamentsoftware.com/player-profile/EE941149-B269-44AA-A65B-D00099EE4086", "Link")</f>
        <v/>
      </c>
      <c r="E333" s="3" t="n">
        <v>201.354</v>
      </c>
      <c r="F333" s="4" t="n">
        <v>27</v>
      </c>
      <c r="G333" t="inlineStr">
        <is>
          <t>Tennis Québec</t>
        </is>
      </c>
      <c r="H333" t="inlineStr">
        <is>
          <t>Tennis Montréal Excellence</t>
        </is>
      </c>
      <c r="I333" t="n">
        <v>34.5</v>
      </c>
      <c r="J333" s="4" t="n">
        <v>143</v>
      </c>
      <c r="K333" t="inlineStr">
        <is>
          <t>69 / 74</t>
        </is>
      </c>
      <c r="L333" t="inlineStr">
        <is>
          <t>18 / 23</t>
        </is>
      </c>
      <c r="M333" s="5" t="n">
        <v>0.48</v>
      </c>
      <c r="N333" s="5" t="n">
        <v>0.44</v>
      </c>
    </row>
    <row r="334">
      <c r="A334" t="n">
        <v>333</v>
      </c>
      <c r="B334" t="n">
        <v>2014</v>
      </c>
      <c r="C334" t="inlineStr">
        <is>
          <t>Lana Kasumovic</t>
        </is>
      </c>
      <c r="D334">
        <f>HYPERLINK("https://ota.tournamentsoftware.com/player-profile/7F2BA85F-A3DF-40B8-9457-1DD55A7C11FB", "Link")</f>
        <v/>
      </c>
      <c r="E334" s="3" t="n">
        <v>200.268</v>
      </c>
      <c r="F334" s="4" t="n">
        <v>24</v>
      </c>
      <c r="G334" t="inlineStr">
        <is>
          <t>Ontario Tennis Association</t>
        </is>
      </c>
      <c r="H334" t="inlineStr">
        <is>
          <t>Rideau Sports Centre</t>
        </is>
      </c>
      <c r="I334" t="n">
        <v>34.3</v>
      </c>
      <c r="J334" s="4" t="n">
        <v>145</v>
      </c>
      <c r="K334" t="inlineStr">
        <is>
          <t>49 / 96</t>
        </is>
      </c>
      <c r="L334" t="inlineStr">
        <is>
          <t>23 / 21</t>
        </is>
      </c>
      <c r="M334" s="5" t="n">
        <v>0.34</v>
      </c>
      <c r="N334" s="5" t="n">
        <v>0.52</v>
      </c>
    </row>
    <row r="335">
      <c r="A335" t="n">
        <v>334</v>
      </c>
      <c r="B335" t="n">
        <v>2016</v>
      </c>
      <c r="C335" t="inlineStr">
        <is>
          <t>Minna TAN</t>
        </is>
      </c>
      <c r="D335">
        <f>HYPERLINK("https://ota.tournamentsoftware.com/player-profile/4830D271-776A-41F3-B5D9-B5D2EC272CB4", "Link")</f>
        <v/>
      </c>
      <c r="E335" s="3" t="n">
        <v>199.43</v>
      </c>
      <c r="F335" s="4" t="n">
        <v>9</v>
      </c>
      <c r="G335" t="inlineStr">
        <is>
          <t>Tennis Québec</t>
        </is>
      </c>
      <c r="H335" t="inlineStr">
        <is>
          <t>Tennis Ile- des- Soeurs</t>
        </is>
      </c>
      <c r="I335" t="n">
        <v>32.9</v>
      </c>
      <c r="J335" s="4" t="n">
        <v>81</v>
      </c>
      <c r="K335" t="inlineStr">
        <is>
          <t>49 / 32</t>
        </is>
      </c>
      <c r="L335" t="inlineStr">
        <is>
          <t>18 / 7</t>
        </is>
      </c>
      <c r="M335" s="5" t="n">
        <v>0.6</v>
      </c>
      <c r="N335" s="5" t="n">
        <v>0.72</v>
      </c>
    </row>
    <row r="336">
      <c r="A336" t="n">
        <v>335</v>
      </c>
      <c r="B336" t="n">
        <v>2013</v>
      </c>
      <c r="C336" t="inlineStr">
        <is>
          <t>Ana Sofia Prieto Echandia</t>
        </is>
      </c>
      <c r="D336">
        <f>HYPERLINK("https://ota.tournamentsoftware.com/player-profile/0A98F660-17C5-4374-B63C-9B5B0E183AF0", "Link")</f>
        <v/>
      </c>
      <c r="E336" s="3" t="n">
        <v>198.964</v>
      </c>
      <c r="F336" s="4" t="n">
        <v>8</v>
      </c>
      <c r="G336" t="inlineStr">
        <is>
          <t>Tennis Québec</t>
        </is>
      </c>
      <c r="H336" t="inlineStr">
        <is>
          <t>Tennis Ile- des- Soeurs</t>
        </is>
      </c>
      <c r="I336" t="n">
        <v>33.1</v>
      </c>
      <c r="J336" s="4" t="n">
        <v>33</v>
      </c>
      <c r="K336" t="inlineStr">
        <is>
          <t>19 / 14</t>
        </is>
      </c>
      <c r="L336" t="inlineStr">
        <is>
          <t>2 / 6</t>
        </is>
      </c>
      <c r="M336" s="5" t="n">
        <v>0.58</v>
      </c>
      <c r="N336" s="5" t="n">
        <v>0.25</v>
      </c>
    </row>
    <row r="337">
      <c r="A337" t="n">
        <v>336</v>
      </c>
      <c r="B337" t="n">
        <v>2014</v>
      </c>
      <c r="C337" t="inlineStr">
        <is>
          <t>Mariah Jorge-Eman</t>
        </is>
      </c>
      <c r="D337">
        <f>HYPERLINK("https://ota.tournamentsoftware.com/player-profile/B6887B12-5A2B-48B9-8A94-164305BBBBBE", "Link")</f>
        <v/>
      </c>
      <c r="E337" s="3" t="n">
        <v>198.746</v>
      </c>
      <c r="F337" s="4" t="n">
        <v>20</v>
      </c>
      <c r="G337" t="inlineStr">
        <is>
          <t>Ontario Tennis Association</t>
        </is>
      </c>
      <c r="H337" t="inlineStr">
        <is>
          <t>Premier Racquet Clubs – Mississauga</t>
        </is>
      </c>
      <c r="I337" t="n">
        <v>33.6</v>
      </c>
      <c r="J337" s="4" t="n">
        <v>102</v>
      </c>
      <c r="K337" t="inlineStr">
        <is>
          <t>48 / 54</t>
        </is>
      </c>
      <c r="L337" t="inlineStr">
        <is>
          <t>15 / 14</t>
        </is>
      </c>
      <c r="M337" s="5" t="n">
        <v>0.47</v>
      </c>
      <c r="N337" s="5" t="n">
        <v>0.52</v>
      </c>
    </row>
    <row r="338">
      <c r="A338" t="n">
        <v>337</v>
      </c>
      <c r="B338" t="n">
        <v>2013</v>
      </c>
      <c r="C338" t="inlineStr">
        <is>
          <t>Eliza Willow Nguyen</t>
        </is>
      </c>
      <c r="D338">
        <f>HYPERLINK("https://ota.tournamentsoftware.com/player-profile/1A3AE60F-B4FB-4C4C-AE09-5D730884AC0A", "Link")</f>
        <v/>
      </c>
      <c r="E338" s="3" t="n">
        <v>198.067</v>
      </c>
      <c r="F338" s="4" t="n">
        <v>12</v>
      </c>
      <c r="G338" t="inlineStr">
        <is>
          <t>Tennis Alberta</t>
        </is>
      </c>
      <c r="H338" t="inlineStr">
        <is>
          <t>Saville Community Sports Centre</t>
        </is>
      </c>
      <c r="I338" t="n">
        <v>33.1</v>
      </c>
      <c r="J338" s="4" t="n">
        <v>143</v>
      </c>
      <c r="K338" t="inlineStr">
        <is>
          <t>66 / 77</t>
        </is>
      </c>
      <c r="L338" t="inlineStr">
        <is>
          <t>10 / 13</t>
        </is>
      </c>
      <c r="M338" s="5" t="n">
        <v>0.46</v>
      </c>
      <c r="N338" s="5" t="n">
        <v>0.43</v>
      </c>
    </row>
    <row r="339">
      <c r="A339" t="n">
        <v>338</v>
      </c>
      <c r="B339" t="n">
        <v>2013</v>
      </c>
      <c r="C339" t="inlineStr">
        <is>
          <t>Ophélia Carbonneau</t>
        </is>
      </c>
      <c r="D339">
        <f>HYPERLINK("https://ota.tournamentsoftware.com/player-profile/8B592B8F-8B82-48EF-9CDD-0CBA40EBB412", "Link")</f>
        <v/>
      </c>
      <c r="E339" s="3" t="n">
        <v>197.747</v>
      </c>
      <c r="F339" s="4" t="n">
        <v>17</v>
      </c>
      <c r="G339" t="inlineStr">
        <is>
          <t>Tennis Québec</t>
        </is>
      </c>
      <c r="H339" t="inlineStr">
        <is>
          <t>Tennis Interclub Piedmont</t>
        </is>
      </c>
      <c r="I339" t="n">
        <v>35.8</v>
      </c>
      <c r="J339" s="4" t="n">
        <v>108</v>
      </c>
      <c r="K339" t="inlineStr">
        <is>
          <t>31 / 77</t>
        </is>
      </c>
      <c r="L339" t="inlineStr">
        <is>
          <t>7 / 14</t>
        </is>
      </c>
      <c r="M339" s="5" t="n">
        <v>0.29</v>
      </c>
      <c r="N339" s="5" t="n">
        <v>0.33</v>
      </c>
    </row>
    <row r="340">
      <c r="A340" t="n">
        <v>339</v>
      </c>
      <c r="B340" t="n">
        <v>2014</v>
      </c>
      <c r="C340" t="inlineStr">
        <is>
          <t>Ella Meng</t>
        </is>
      </c>
      <c r="D340">
        <f>HYPERLINK("https://ota.tournamentsoftware.com/player-profile/B7EC0DBA-A6B8-49FA-A398-63ABEF8384E7", "Link")</f>
        <v/>
      </c>
      <c r="E340" s="3" t="n">
        <v>194.534</v>
      </c>
      <c r="F340" s="4" t="n">
        <v>12</v>
      </c>
      <c r="G340" t="inlineStr">
        <is>
          <t>Ontario Tennis Association</t>
        </is>
      </c>
      <c r="H340" t="inlineStr">
        <is>
          <t>Marilyn Redvers Tennis Club</t>
        </is>
      </c>
      <c r="I340" t="n">
        <v>33.8</v>
      </c>
      <c r="J340" s="4" t="n">
        <v>84</v>
      </c>
      <c r="K340" t="inlineStr">
        <is>
          <t>30 / 54</t>
        </is>
      </c>
      <c r="L340" t="inlineStr">
        <is>
          <t>11 / 12</t>
        </is>
      </c>
      <c r="M340" s="5" t="n">
        <v>0.36</v>
      </c>
      <c r="N340" s="5" t="n">
        <v>0.48</v>
      </c>
    </row>
    <row r="341">
      <c r="A341" t="n">
        <v>340</v>
      </c>
      <c r="B341" t="n">
        <v>2012</v>
      </c>
      <c r="C341" t="inlineStr">
        <is>
          <t>Carys Miles</t>
        </is>
      </c>
      <c r="D341">
        <f>HYPERLINK("https://ota.tournamentsoftware.com/player-profile/7FCFD8F6-5B52-4825-B8AA-B72BF77A3298", "Link")</f>
        <v/>
      </c>
      <c r="E341" s="3" t="n">
        <v>194.325</v>
      </c>
      <c r="F341" s="4" t="n">
        <v>15</v>
      </c>
      <c r="G341" t="inlineStr">
        <is>
          <t>Tennis Alberta</t>
        </is>
      </c>
      <c r="H341" t="inlineStr">
        <is>
          <t>Osten &amp; Victor Alberta Tennis Centre</t>
        </is>
      </c>
      <c r="I341" t="n">
        <v>31.1</v>
      </c>
      <c r="J341" s="4" t="n">
        <v>200</v>
      </c>
      <c r="K341" t="inlineStr">
        <is>
          <t>98 / 102</t>
        </is>
      </c>
      <c r="L341" t="inlineStr">
        <is>
          <t>4 / 9</t>
        </is>
      </c>
      <c r="M341" s="5" t="n">
        <v>0.49</v>
      </c>
      <c r="N341" s="5" t="n">
        <v>0.31</v>
      </c>
    </row>
    <row r="342">
      <c r="A342" t="n">
        <v>341</v>
      </c>
      <c r="B342" t="n">
        <v>2015</v>
      </c>
      <c r="C342" t="inlineStr">
        <is>
          <t>Emma Echeverri Vujicic</t>
        </is>
      </c>
      <c r="D342">
        <f>HYPERLINK("https://ota.tournamentsoftware.com/player-profile/644C3F8A-163C-4BEA-8EBD-9263F89347F9", "Link")</f>
        <v/>
      </c>
      <c r="E342" s="3" t="n">
        <v>194.237</v>
      </c>
      <c r="F342" s="4" t="n">
        <v>22</v>
      </c>
      <c r="G342" t="inlineStr">
        <is>
          <t>Ontario Tennis Association</t>
        </is>
      </c>
      <c r="H342" t="inlineStr">
        <is>
          <t>Mayfair West Fitness &amp; Racquet Club</t>
        </is>
      </c>
      <c r="I342" t="n">
        <v>33.8</v>
      </c>
      <c r="J342" s="4" t="n">
        <v>130</v>
      </c>
      <c r="K342" t="inlineStr">
        <is>
          <t>63 / 67</t>
        </is>
      </c>
      <c r="L342" t="inlineStr">
        <is>
          <t>24 / 13</t>
        </is>
      </c>
      <c r="M342" s="5" t="n">
        <v>0.48</v>
      </c>
      <c r="N342" s="5" t="n">
        <v>0.65</v>
      </c>
    </row>
    <row r="343">
      <c r="A343" t="n">
        <v>342</v>
      </c>
      <c r="B343" t="n">
        <v>2012</v>
      </c>
      <c r="C343" t="inlineStr">
        <is>
          <t>Gabrielle Siewe Meliatou</t>
        </is>
      </c>
      <c r="D343">
        <f>HYPERLINK("https://ota.tournamentsoftware.com/player-profile/7E53A46A-6CF0-4DB8-9382-FCE1966714A8", "Link")</f>
        <v/>
      </c>
      <c r="E343" s="3" t="n">
        <v>192.866</v>
      </c>
      <c r="F343" s="4" t="n">
        <v>18</v>
      </c>
      <c r="G343" t="inlineStr">
        <is>
          <t>Tennis Québec</t>
        </is>
      </c>
      <c r="H343" t="inlineStr">
        <is>
          <t>SANI Sport</t>
        </is>
      </c>
      <c r="I343" t="n">
        <v>35.5</v>
      </c>
      <c r="J343" s="4" t="n">
        <v>78</v>
      </c>
      <c r="K343" t="inlineStr">
        <is>
          <t>24 / 54</t>
        </is>
      </c>
      <c r="L343" t="inlineStr">
        <is>
          <t>5 / 11</t>
        </is>
      </c>
      <c r="M343" s="5" t="n">
        <v>0.31</v>
      </c>
      <c r="N343" s="5" t="n">
        <v>0.31</v>
      </c>
    </row>
    <row r="344">
      <c r="A344" t="n">
        <v>343</v>
      </c>
      <c r="B344" t="n">
        <v>2016</v>
      </c>
      <c r="C344" t="inlineStr">
        <is>
          <t>Tanishka Varishtha Tripathi</t>
        </is>
      </c>
      <c r="D344">
        <f>HYPERLINK("https://ota.tournamentsoftware.com/player-profile/C966D3AB-F944-4405-A712-C5FA591776A1", "Link")</f>
        <v/>
      </c>
      <c r="E344" s="3" t="n">
        <v>192.289</v>
      </c>
      <c r="F344" s="4" t="n">
        <v>13</v>
      </c>
      <c r="G344" t="inlineStr">
        <is>
          <t>Ontario Tennis Association</t>
        </is>
      </c>
      <c r="H344" t="inlineStr">
        <is>
          <t>Tennis Outaouais Performance (TOP) ON</t>
        </is>
      </c>
      <c r="I344" t="n">
        <v>32</v>
      </c>
      <c r="J344" s="4" t="n">
        <v>140</v>
      </c>
      <c r="K344" t="inlineStr">
        <is>
          <t>101 / 39</t>
        </is>
      </c>
      <c r="L344" t="inlineStr">
        <is>
          <t>24 / 12</t>
        </is>
      </c>
      <c r="M344" s="5" t="n">
        <v>0.72</v>
      </c>
      <c r="N344" s="5" t="n">
        <v>0.67</v>
      </c>
    </row>
    <row r="345">
      <c r="A345" t="n">
        <v>344</v>
      </c>
      <c r="B345" t="n">
        <v>2012</v>
      </c>
      <c r="C345" t="inlineStr">
        <is>
          <t>Xinyi Zhang</t>
        </is>
      </c>
      <c r="D345">
        <f>HYPERLINK("https://ota.tournamentsoftware.com/player-profile/BCC8B346-C184-4803-9CC2-592D143B667B", "Link")</f>
        <v/>
      </c>
      <c r="E345" s="3" t="n">
        <v>191.822</v>
      </c>
      <c r="F345" s="4" t="n">
        <v>16</v>
      </c>
      <c r="G345" t="inlineStr">
        <is>
          <t>Ontario Tennis Association</t>
        </is>
      </c>
      <c r="H345" t="inlineStr">
        <is>
          <t>Marilyn Redvers Tennis Club</t>
        </is>
      </c>
      <c r="I345" t="n">
        <v>33.5</v>
      </c>
      <c r="J345" s="4" t="n">
        <v>52</v>
      </c>
      <c r="K345" t="inlineStr">
        <is>
          <t>26 / 26</t>
        </is>
      </c>
      <c r="L345" t="inlineStr">
        <is>
          <t>15 / 18</t>
        </is>
      </c>
      <c r="M345" s="5" t="n">
        <v>0.5</v>
      </c>
      <c r="N345" s="5" t="n">
        <v>0.45</v>
      </c>
    </row>
    <row r="346">
      <c r="A346" t="n">
        <v>345</v>
      </c>
      <c r="B346" t="n">
        <v>2015</v>
      </c>
      <c r="C346" t="inlineStr">
        <is>
          <t>Olivia Ormandy</t>
        </is>
      </c>
      <c r="D346">
        <f>HYPERLINK("https://ota.tournamentsoftware.com/player-profile/C2722647-7EFC-4E85-B2ED-55E77949843B", "Link")</f>
        <v/>
      </c>
      <c r="E346" s="3" t="n">
        <v>190.2</v>
      </c>
      <c r="F346" s="4" t="n">
        <v>26</v>
      </c>
      <c r="G346" t="inlineStr">
        <is>
          <t>Tennis Québec</t>
        </is>
      </c>
      <c r="H346" t="inlineStr">
        <is>
          <t>Tennis Interclub Piedmont</t>
        </is>
      </c>
      <c r="I346" t="n">
        <v>33.1</v>
      </c>
      <c r="J346" s="4" t="n">
        <v>194</v>
      </c>
      <c r="K346" t="inlineStr">
        <is>
          <t>95 / 99</t>
        </is>
      </c>
      <c r="L346" t="inlineStr">
        <is>
          <t>23 / 25</t>
        </is>
      </c>
      <c r="M346" s="5" t="n">
        <v>0.49</v>
      </c>
      <c r="N346" s="5" t="n">
        <v>0.48</v>
      </c>
    </row>
    <row r="347">
      <c r="A347" t="n">
        <v>346</v>
      </c>
      <c r="B347" t="n">
        <v>2012</v>
      </c>
      <c r="C347" t="inlineStr">
        <is>
          <t>Sabrina Sajjad</t>
        </is>
      </c>
      <c r="D347">
        <f>HYPERLINK("https://ota.tournamentsoftware.com/player-profile/6C7EB560-0C6C-49E6-9B42-49009727ED3D", "Link")</f>
        <v/>
      </c>
      <c r="E347" s="3" t="n">
        <v>189.48</v>
      </c>
      <c r="F347" s="4" t="n">
        <v>15</v>
      </c>
      <c r="G347" t="inlineStr">
        <is>
          <t>Ontario Tennis Association</t>
        </is>
      </c>
      <c r="H347" t="inlineStr">
        <is>
          <t>No Club</t>
        </is>
      </c>
      <c r="I347" t="n">
        <v>33.9</v>
      </c>
      <c r="J347" s="4" t="n">
        <v>69</v>
      </c>
      <c r="K347" t="inlineStr">
        <is>
          <t>35 / 34</t>
        </is>
      </c>
      <c r="L347" t="inlineStr">
        <is>
          <t>8 / 10</t>
        </is>
      </c>
      <c r="M347" s="5" t="n">
        <v>0.51</v>
      </c>
      <c r="N347" s="5" t="n">
        <v>0.44</v>
      </c>
    </row>
    <row r="348">
      <c r="A348" t="n">
        <v>347</v>
      </c>
      <c r="B348" t="n">
        <v>2014</v>
      </c>
      <c r="C348" t="inlineStr">
        <is>
          <t>Payton Isabelle JOHNSTON</t>
        </is>
      </c>
      <c r="D348">
        <f>HYPERLINK("https://ota.tournamentsoftware.com/player-profile/30639279-6EB4-43A0-806A-9F7E6209EBA5", "Link")</f>
        <v/>
      </c>
      <c r="E348" s="3" t="n">
        <v>189.449</v>
      </c>
      <c r="F348" s="4" t="n">
        <v>11</v>
      </c>
      <c r="G348" t="inlineStr">
        <is>
          <t>Tennis Nova Scotia</t>
        </is>
      </c>
      <c r="H348" t="inlineStr">
        <is>
          <t>Gordon Hughes Tennis Club</t>
        </is>
      </c>
      <c r="I348" t="n">
        <v>34.3</v>
      </c>
      <c r="J348" s="4" t="n">
        <v>96</v>
      </c>
      <c r="K348" t="inlineStr">
        <is>
          <t>49 / 47</t>
        </is>
      </c>
      <c r="L348" t="inlineStr">
        <is>
          <t>18 / 21</t>
        </is>
      </c>
      <c r="M348" s="5" t="n">
        <v>0.51</v>
      </c>
      <c r="N348" s="5" t="n">
        <v>0.46</v>
      </c>
    </row>
    <row r="349">
      <c r="A349" t="n">
        <v>348</v>
      </c>
      <c r="B349" t="n">
        <v>2012</v>
      </c>
      <c r="C349" t="inlineStr">
        <is>
          <t>GURMEHR KAUR</t>
        </is>
      </c>
      <c r="D349">
        <f>HYPERLINK("https://ota.tournamentsoftware.com/player-profile/2C69CAA6-FCC8-49BC-ACA2-32F5C15717ED", "Link")</f>
        <v/>
      </c>
      <c r="E349" s="3" t="n">
        <v>189.248</v>
      </c>
      <c r="F349" s="4" t="n">
        <v>19</v>
      </c>
      <c r="G349" t="inlineStr">
        <is>
          <t>British Columbia</t>
        </is>
      </c>
      <c r="H349" t="inlineStr">
        <is>
          <t>Newton Tennis Club</t>
        </is>
      </c>
      <c r="I349" t="n">
        <v>32.3</v>
      </c>
      <c r="J349" s="4" t="n">
        <v>180</v>
      </c>
      <c r="K349" t="inlineStr">
        <is>
          <t>78 / 102</t>
        </is>
      </c>
      <c r="L349" t="inlineStr">
        <is>
          <t>18 / 23</t>
        </is>
      </c>
      <c r="M349" s="5" t="n">
        <v>0.43</v>
      </c>
      <c r="N349" s="5" t="n">
        <v>0.44</v>
      </c>
    </row>
    <row r="350">
      <c r="A350" t="n">
        <v>349</v>
      </c>
      <c r="B350" t="n">
        <v>2016</v>
      </c>
      <c r="C350" t="inlineStr">
        <is>
          <t>Emily Zheng</t>
        </is>
      </c>
      <c r="D350">
        <f>HYPERLINK("https://ota.tournamentsoftware.com/player-profile/6AB11A61-4852-4958-84E1-2773676D29C2", "Link")</f>
        <v/>
      </c>
      <c r="E350" s="3" t="n">
        <v>187.89</v>
      </c>
      <c r="F350" s="4" t="n">
        <v>28</v>
      </c>
      <c r="G350" t="inlineStr">
        <is>
          <t>Ontario Tennis Association</t>
        </is>
      </c>
      <c r="H350" t="inlineStr">
        <is>
          <t>Toronto Cricket Skating &amp; Curling</t>
        </is>
      </c>
      <c r="I350" t="n">
        <v>33.2</v>
      </c>
      <c r="J350" s="4" t="n">
        <v>108</v>
      </c>
      <c r="K350" t="inlineStr">
        <is>
          <t>44 / 64</t>
        </is>
      </c>
      <c r="L350" t="inlineStr">
        <is>
          <t>23 / 14</t>
        </is>
      </c>
      <c r="M350" s="5" t="n">
        <v>0.41</v>
      </c>
      <c r="N350" s="5" t="n">
        <v>0.62</v>
      </c>
    </row>
    <row r="351">
      <c r="A351" t="n">
        <v>350</v>
      </c>
      <c r="B351" t="n">
        <v>2012</v>
      </c>
      <c r="C351" t="inlineStr">
        <is>
          <t>Ruoyu Wang</t>
        </is>
      </c>
      <c r="D351">
        <f>HYPERLINK("https://ota.tournamentsoftware.com/player-profile/BF1A51BB-FF4F-417F-AE41-0914B75C7FF1", "Link")</f>
        <v/>
      </c>
      <c r="E351" s="3" t="n">
        <v>187.562</v>
      </c>
      <c r="F351" s="4" t="n">
        <v>12</v>
      </c>
      <c r="G351" t="inlineStr">
        <is>
          <t>Tennis Québec</t>
        </is>
      </c>
      <c r="H351" t="inlineStr">
        <is>
          <t>Tennis 13</t>
        </is>
      </c>
      <c r="I351" t="inlineStr">
        <is>
          <t>unavailable</t>
        </is>
      </c>
      <c r="J351" s="4" t="n">
        <v>20</v>
      </c>
      <c r="K351" t="inlineStr">
        <is>
          <t>5 / 15</t>
        </is>
      </c>
      <c r="L351" t="inlineStr">
        <is>
          <t>4 / 9</t>
        </is>
      </c>
      <c r="M351" s="5" t="n">
        <v>0.25</v>
      </c>
      <c r="N351" s="5" t="n">
        <v>0.31</v>
      </c>
    </row>
    <row r="352">
      <c r="A352" t="n">
        <v>351</v>
      </c>
      <c r="B352" t="n">
        <v>2013</v>
      </c>
      <c r="C352" t="inlineStr">
        <is>
          <t>Alma Safinia</t>
        </is>
      </c>
      <c r="D352">
        <f>HYPERLINK("https://ota.tournamentsoftware.com/player-profile/5EF88718-BF69-42BC-A643-1C11174AD1CB", "Link")</f>
        <v/>
      </c>
      <c r="E352" s="3" t="n">
        <v>185.426</v>
      </c>
      <c r="F352" s="4" t="n">
        <v>1</v>
      </c>
      <c r="G352" t="inlineStr">
        <is>
          <t>Tennis Nova Scotia</t>
        </is>
      </c>
      <c r="H352" t="inlineStr">
        <is>
          <t>Atlantic Tennis Centre</t>
        </is>
      </c>
      <c r="I352" t="n">
        <v>33.9</v>
      </c>
      <c r="J352" s="4" t="n">
        <v>26</v>
      </c>
      <c r="K352" t="inlineStr">
        <is>
          <t>13 / 13</t>
        </is>
      </c>
      <c r="L352" t="inlineStr">
        <is>
          <t>2 / 5</t>
        </is>
      </c>
      <c r="M352" s="5" t="n">
        <v>0.5</v>
      </c>
      <c r="N352" s="5" t="n">
        <v>0.29</v>
      </c>
    </row>
    <row r="353">
      <c r="A353" t="n">
        <v>352</v>
      </c>
      <c r="B353" t="n">
        <v>2013</v>
      </c>
      <c r="C353" t="inlineStr">
        <is>
          <t>Alysha Alexis</t>
        </is>
      </c>
      <c r="D353">
        <f>HYPERLINK("https://ota.tournamentsoftware.com/player-profile/42191CE6-0E1E-460D-80E0-9A7FF78DA6C6", "Link")</f>
        <v/>
      </c>
      <c r="E353" s="3" t="n">
        <v>185.03</v>
      </c>
      <c r="F353" s="4" t="n">
        <v>18</v>
      </c>
      <c r="G353" t="inlineStr">
        <is>
          <t>Tennis Québec</t>
        </is>
      </c>
      <c r="H353" t="inlineStr">
        <is>
          <t>Académie Tennis Momentum (club extérieur)</t>
        </is>
      </c>
      <c r="I353" t="n">
        <v>33.9</v>
      </c>
      <c r="J353" s="4" t="n">
        <v>68</v>
      </c>
      <c r="K353" t="inlineStr">
        <is>
          <t>32 / 36</t>
        </is>
      </c>
      <c r="L353" t="inlineStr">
        <is>
          <t>12 / 12</t>
        </is>
      </c>
      <c r="M353" s="5" t="n">
        <v>0.47</v>
      </c>
      <c r="N353" s="5" t="n">
        <v>0.5</v>
      </c>
    </row>
    <row r="354">
      <c r="A354" t="n">
        <v>353</v>
      </c>
      <c r="B354" t="n">
        <v>2014</v>
      </c>
      <c r="C354" t="inlineStr">
        <is>
          <t>Amelia Rogette Hinnawi</t>
        </is>
      </c>
      <c r="D354">
        <f>HYPERLINK("https://ota.tournamentsoftware.com/player-profile/1DADE780-E571-45F1-BC6D-21B72637C0B7", "Link")</f>
        <v/>
      </c>
      <c r="E354" s="3" t="n">
        <v>184.213</v>
      </c>
      <c r="F354" s="4" t="n">
        <v>22</v>
      </c>
      <c r="G354" t="inlineStr">
        <is>
          <t>Tennis Québec</t>
        </is>
      </c>
      <c r="H354" t="inlineStr">
        <is>
          <t>Tennis Ile- des- Soeurs</t>
        </is>
      </c>
      <c r="I354" t="inlineStr">
        <is>
          <t>unavailable</t>
        </is>
      </c>
      <c r="J354" s="4" t="n">
        <v>135</v>
      </c>
      <c r="K354" t="inlineStr">
        <is>
          <t>42 / 93</t>
        </is>
      </c>
      <c r="L354" t="inlineStr">
        <is>
          <t>12 / 21</t>
        </is>
      </c>
      <c r="M354" s="5" t="n">
        <v>0.31</v>
      </c>
      <c r="N354" s="5" t="n">
        <v>0.36</v>
      </c>
    </row>
    <row r="355">
      <c r="A355" t="n">
        <v>354</v>
      </c>
      <c r="B355" t="n">
        <v>2013</v>
      </c>
      <c r="C355" t="inlineStr">
        <is>
          <t>Victoria Pellerin</t>
        </is>
      </c>
      <c r="D355">
        <f>HYPERLINK("https://ota.tournamentsoftware.com/player-profile/097573BE-64EA-4951-9B1B-3779B5938722", "Link")</f>
        <v/>
      </c>
      <c r="E355" s="3" t="n">
        <v>181.263</v>
      </c>
      <c r="F355" s="4" t="n">
        <v>15</v>
      </c>
      <c r="G355" t="inlineStr">
        <is>
          <t>Tennis Québec</t>
        </is>
      </c>
      <c r="H355" t="inlineStr">
        <is>
          <t>Centre récréatif de Repentigny / Académie Tennis Momentum</t>
        </is>
      </c>
      <c r="I355" t="n">
        <v>36.5</v>
      </c>
      <c r="J355" s="4" t="n">
        <v>57</v>
      </c>
      <c r="K355" t="inlineStr">
        <is>
          <t>16 / 41</t>
        </is>
      </c>
      <c r="L355" t="inlineStr">
        <is>
          <t>4 / 13</t>
        </is>
      </c>
      <c r="M355" s="5" t="n">
        <v>0.28</v>
      </c>
      <c r="N355" s="5" t="n">
        <v>0.24</v>
      </c>
    </row>
    <row r="356">
      <c r="A356" t="n">
        <v>355</v>
      </c>
      <c r="B356" t="n">
        <v>2013</v>
      </c>
      <c r="C356" t="inlineStr">
        <is>
          <t>Sophie Pothel</t>
        </is>
      </c>
      <c r="D356">
        <f>HYPERLINK("https://ota.tournamentsoftware.com/player-profile/21DD6509-0C4D-4711-BEB0-DC2D198520FD", "Link")</f>
        <v/>
      </c>
      <c r="E356" s="3" t="n">
        <v>179.691</v>
      </c>
      <c r="F356" s="4" t="n">
        <v>15</v>
      </c>
      <c r="G356" t="inlineStr">
        <is>
          <t>Tennis Québec</t>
        </is>
      </c>
      <c r="H356" t="inlineStr">
        <is>
          <t>Tennis Ile- des- Soeurs</t>
        </is>
      </c>
      <c r="I356" t="inlineStr">
        <is>
          <t>unavailable</t>
        </is>
      </c>
      <c r="J356" s="4" t="n">
        <v>57</v>
      </c>
      <c r="K356" t="inlineStr">
        <is>
          <t>9 / 48</t>
        </is>
      </c>
      <c r="L356" t="inlineStr">
        <is>
          <t>4 / 16</t>
        </is>
      </c>
      <c r="M356" s="5" t="n">
        <v>0.16</v>
      </c>
      <c r="N356" s="5" t="n">
        <v>0.2</v>
      </c>
    </row>
    <row r="357">
      <c r="A357" t="n">
        <v>356</v>
      </c>
      <c r="B357" t="n">
        <v>2015</v>
      </c>
      <c r="C357" t="inlineStr">
        <is>
          <t>Jesi Myra Kumaran</t>
        </is>
      </c>
      <c r="D357">
        <f>HYPERLINK("https://ota.tournamentsoftware.com/player-profile/8DE19A2A-095B-4432-92FE-7CA64D28B7F1", "Link")</f>
        <v/>
      </c>
      <c r="E357" s="3" t="n">
        <v>179.454</v>
      </c>
      <c r="F357" s="4" t="n">
        <v>33</v>
      </c>
      <c r="G357" t="inlineStr">
        <is>
          <t>Ontario Tennis Association</t>
        </is>
      </c>
      <c r="H357" t="inlineStr">
        <is>
          <t>Valan Tennis Academy</t>
        </is>
      </c>
      <c r="I357" t="n">
        <v>36.7</v>
      </c>
      <c r="J357" s="4" t="n">
        <v>196</v>
      </c>
      <c r="K357" t="inlineStr">
        <is>
          <t>69 / 127</t>
        </is>
      </c>
      <c r="L357" t="inlineStr">
        <is>
          <t>15 / 30</t>
        </is>
      </c>
      <c r="M357" s="5" t="n">
        <v>0.35</v>
      </c>
      <c r="N357" s="5" t="n">
        <v>0.33</v>
      </c>
    </row>
    <row r="358">
      <c r="A358" t="n">
        <v>357</v>
      </c>
      <c r="B358" t="n">
        <v>2015</v>
      </c>
      <c r="C358" t="inlineStr">
        <is>
          <t>Kynarra Tayt Burthwright</t>
        </is>
      </c>
      <c r="D358">
        <f>HYPERLINK("https://ota.tournamentsoftware.com/player-profile/54340729-CFE8-4AE6-B072-4BD29664CBEC", "Link")</f>
        <v/>
      </c>
      <c r="E358" s="3" t="n">
        <v>179.393</v>
      </c>
      <c r="F358" s="4" t="n">
        <v>24</v>
      </c>
      <c r="G358" t="inlineStr">
        <is>
          <t>Ontario Tennis Association</t>
        </is>
      </c>
      <c r="H358" t="inlineStr">
        <is>
          <t>Newmarket Community Tennis Club</t>
        </is>
      </c>
      <c r="I358" t="n">
        <v>34.9</v>
      </c>
      <c r="J358" s="4" t="n">
        <v>128</v>
      </c>
      <c r="K358" t="inlineStr">
        <is>
          <t>66 / 62</t>
        </is>
      </c>
      <c r="L358" t="inlineStr">
        <is>
          <t>29 / 29</t>
        </is>
      </c>
      <c r="M358" s="5" t="n">
        <v>0.52</v>
      </c>
      <c r="N358" s="5" t="n">
        <v>0.5</v>
      </c>
    </row>
    <row r="359">
      <c r="A359" t="n">
        <v>358</v>
      </c>
      <c r="B359" t="n">
        <v>2015</v>
      </c>
      <c r="C359" t="inlineStr">
        <is>
          <t>Brielle York</t>
        </is>
      </c>
      <c r="D359">
        <f>HYPERLINK("https://ota.tournamentsoftware.com/player-profile/C0B1A514-EDF7-4907-9E4D-D3B8C705EB1D", "Link")</f>
        <v/>
      </c>
      <c r="E359" s="3" t="n">
        <v>177.941</v>
      </c>
      <c r="F359" s="4" t="n">
        <v>16</v>
      </c>
      <c r="G359" t="inlineStr">
        <is>
          <t>Tennis Alberta</t>
        </is>
      </c>
      <c r="H359" t="inlineStr">
        <is>
          <t>Aforza</t>
        </is>
      </c>
      <c r="I359" t="n">
        <v>36.3</v>
      </c>
      <c r="J359" s="4" t="n">
        <v>144</v>
      </c>
      <c r="K359" t="inlineStr">
        <is>
          <t>68 / 76</t>
        </is>
      </c>
      <c r="L359" t="inlineStr">
        <is>
          <t>13 / 21</t>
        </is>
      </c>
      <c r="M359" s="5" t="n">
        <v>0.47</v>
      </c>
      <c r="N359" s="5" t="n">
        <v>0.38</v>
      </c>
    </row>
    <row r="360">
      <c r="A360" t="n">
        <v>359</v>
      </c>
      <c r="B360" t="n">
        <v>2012</v>
      </c>
      <c r="C360" t="inlineStr">
        <is>
          <t>Charlianne Grace Kiss</t>
        </is>
      </c>
      <c r="D360">
        <f>HYPERLINK("https://ota.tournamentsoftware.com/player-profile/09C918D2-187B-42AF-836D-E31A35062CB3", "Link")</f>
        <v/>
      </c>
      <c r="E360" s="3" t="n">
        <v>176.12</v>
      </c>
      <c r="F360" s="4" t="n">
        <v>10</v>
      </c>
      <c r="G360" t="inlineStr">
        <is>
          <t>Tennis Alberta</t>
        </is>
      </c>
      <c r="H360" t="inlineStr">
        <is>
          <t>Saville Community Sports Centre</t>
        </is>
      </c>
      <c r="I360" t="n">
        <v>35.9</v>
      </c>
      <c r="J360" s="4" t="n">
        <v>72</v>
      </c>
      <c r="K360" t="inlineStr">
        <is>
          <t>27 / 45</t>
        </is>
      </c>
      <c r="L360" t="inlineStr">
        <is>
          <t>9 / 15</t>
        </is>
      </c>
      <c r="M360" s="5" t="n">
        <v>0.38</v>
      </c>
      <c r="N360" s="5" t="n">
        <v>0.38</v>
      </c>
    </row>
    <row r="361">
      <c r="A361" t="n">
        <v>360</v>
      </c>
      <c r="B361" t="n">
        <v>2014</v>
      </c>
      <c r="C361" t="inlineStr">
        <is>
          <t>Nadia Stuparyk</t>
        </is>
      </c>
      <c r="D361">
        <f>HYPERLINK("https://ota.tournamentsoftware.com/player-profile/05ABA68F-2EB2-4BFB-B6CA-677BDD1DCDCA", "Link")</f>
        <v/>
      </c>
      <c r="E361" s="3" t="n">
        <v>173.522</v>
      </c>
      <c r="F361" s="4" t="n">
        <v>36</v>
      </c>
      <c r="G361" t="inlineStr">
        <is>
          <t>Ontario Tennis Association</t>
        </is>
      </c>
      <c r="H361" t="inlineStr">
        <is>
          <t>Parkside Tennis Club</t>
        </is>
      </c>
      <c r="I361" t="n">
        <v>33.3</v>
      </c>
      <c r="J361" s="4" t="n">
        <v>186</v>
      </c>
      <c r="K361" t="inlineStr">
        <is>
          <t>89 / 97</t>
        </is>
      </c>
      <c r="L361" t="inlineStr">
        <is>
          <t>24 / 21</t>
        </is>
      </c>
      <c r="M361" s="5" t="n">
        <v>0.48</v>
      </c>
      <c r="N361" s="5" t="n">
        <v>0.53</v>
      </c>
    </row>
    <row r="362">
      <c r="A362" t="n">
        <v>361</v>
      </c>
      <c r="B362" t="n">
        <v>2012</v>
      </c>
      <c r="C362" t="inlineStr">
        <is>
          <t>Angelica Rose Spyrka</t>
        </is>
      </c>
      <c r="D362">
        <f>HYPERLINK("https://ota.tournamentsoftware.com/player-profile/7A8F99DB-3ADA-4FDB-AC08-5095AAF01985", "Link")</f>
        <v/>
      </c>
      <c r="E362" s="3" t="n">
        <v>173.417</v>
      </c>
      <c r="F362" s="4" t="n">
        <v>12</v>
      </c>
      <c r="G362" t="inlineStr">
        <is>
          <t>British Columbia</t>
        </is>
      </c>
      <c r="H362" t="inlineStr">
        <is>
          <t>Vanguard Tennis Academy</t>
        </is>
      </c>
      <c r="I362" t="n">
        <v>33.3</v>
      </c>
      <c r="J362" s="4" t="n">
        <v>74</v>
      </c>
      <c r="K362" t="inlineStr">
        <is>
          <t>32 / 42</t>
        </is>
      </c>
      <c r="L362" t="inlineStr">
        <is>
          <t>6 / 10</t>
        </is>
      </c>
      <c r="M362" s="5" t="n">
        <v>0.43</v>
      </c>
      <c r="N362" s="5" t="n">
        <v>0.38</v>
      </c>
    </row>
    <row r="363">
      <c r="A363" t="n">
        <v>362</v>
      </c>
      <c r="B363" t="n">
        <v>2015</v>
      </c>
      <c r="C363" t="inlineStr">
        <is>
          <t>Isla J Green</t>
        </is>
      </c>
      <c r="D363">
        <f>HYPERLINK("https://ota.tournamentsoftware.com/player-profile/B2E098BE-DB7E-4756-BD31-93298500E09D", "Link")</f>
        <v/>
      </c>
      <c r="E363" s="3" t="n">
        <v>173.154</v>
      </c>
      <c r="F363" s="4" t="n">
        <v>26</v>
      </c>
      <c r="G363" t="inlineStr">
        <is>
          <t>Ontario Tennis Association</t>
        </is>
      </c>
      <c r="H363" t="inlineStr">
        <is>
          <t>Advantage Tennis International at Veneto</t>
        </is>
      </c>
      <c r="I363" t="n">
        <v>32.5</v>
      </c>
      <c r="J363" s="4" t="n">
        <v>245</v>
      </c>
      <c r="K363" t="inlineStr">
        <is>
          <t>164 / 81</t>
        </is>
      </c>
      <c r="L363" t="inlineStr">
        <is>
          <t>37 / 18</t>
        </is>
      </c>
      <c r="M363" s="5" t="n">
        <v>0.67</v>
      </c>
      <c r="N363" s="5" t="n">
        <v>0.67</v>
      </c>
    </row>
    <row r="364">
      <c r="A364" t="n">
        <v>363</v>
      </c>
      <c r="B364" t="n">
        <v>2012</v>
      </c>
      <c r="C364" t="inlineStr">
        <is>
          <t>Riley Lynn Banath</t>
        </is>
      </c>
      <c r="D364">
        <f>HYPERLINK("https://ota.tournamentsoftware.com/player-profile/4B613A1C-293C-4701-B6BA-BEC5F8EBDA29", "Link")</f>
        <v/>
      </c>
      <c r="E364" s="3" t="n">
        <v>173.105</v>
      </c>
      <c r="F364" s="4" t="n">
        <v>14</v>
      </c>
      <c r="G364" t="inlineStr">
        <is>
          <t>British Columbia</t>
        </is>
      </c>
      <c r="H364" t="inlineStr">
        <is>
          <t>Arbutus Club</t>
        </is>
      </c>
      <c r="I364" t="n">
        <v>36.5</v>
      </c>
      <c r="J364" s="4" t="n">
        <v>46</v>
      </c>
      <c r="K364" t="inlineStr">
        <is>
          <t>10 / 36</t>
        </is>
      </c>
      <c r="L364" t="inlineStr">
        <is>
          <t>6 / 21</t>
        </is>
      </c>
      <c r="M364" s="5" t="n">
        <v>0.22</v>
      </c>
      <c r="N364" s="5" t="n">
        <v>0.22</v>
      </c>
    </row>
    <row r="365">
      <c r="A365" t="n">
        <v>364</v>
      </c>
      <c r="B365" t="n">
        <v>2012</v>
      </c>
      <c r="C365" t="inlineStr">
        <is>
          <t>Amelia Jee</t>
        </is>
      </c>
      <c r="D365">
        <f>HYPERLINK("https://ota.tournamentsoftware.com/player-profile/485EA829-3893-4703-AF9A-1CF8D304CE5D", "Link")</f>
        <v/>
      </c>
      <c r="E365" s="3" t="n">
        <v>173.084</v>
      </c>
      <c r="F365" s="4" t="n">
        <v>12</v>
      </c>
      <c r="G365" t="inlineStr">
        <is>
          <t>Ontario Tennis Association</t>
        </is>
      </c>
      <c r="H365" t="inlineStr">
        <is>
          <t>Toronto Cricket Skating &amp; Curling</t>
        </is>
      </c>
      <c r="I365" t="n">
        <v>32.8</v>
      </c>
      <c r="J365" s="4" t="n">
        <v>125</v>
      </c>
      <c r="K365" t="inlineStr">
        <is>
          <t>53 / 72</t>
        </is>
      </c>
      <c r="L365" t="inlineStr">
        <is>
          <t>11 / 13</t>
        </is>
      </c>
      <c r="M365" s="5" t="n">
        <v>0.42</v>
      </c>
      <c r="N365" s="5" t="n">
        <v>0.46</v>
      </c>
    </row>
    <row r="366">
      <c r="A366" t="n">
        <v>365</v>
      </c>
      <c r="B366" t="n">
        <v>2013</v>
      </c>
      <c r="C366" t="inlineStr">
        <is>
          <t>Alice Laganière</t>
        </is>
      </c>
      <c r="D366">
        <f>HYPERLINK("https://ota.tournamentsoftware.com/player-profile/C9532D29-EE9A-4084-ACB5-2DBCAD4DF862", "Link")</f>
        <v/>
      </c>
      <c r="E366" s="3" t="n">
        <v>171.17</v>
      </c>
      <c r="F366" s="4" t="n">
        <v>10</v>
      </c>
      <c r="G366" t="inlineStr">
        <is>
          <t>Tennis Québec</t>
        </is>
      </c>
      <c r="H366" t="inlineStr">
        <is>
          <t>Club de tennis intérieur Saguenay / École de tennis Delisle-Poirel</t>
        </is>
      </c>
      <c r="I366" t="n">
        <v>35.4</v>
      </c>
      <c r="J366" s="4" t="n">
        <v>39</v>
      </c>
      <c r="K366" t="inlineStr">
        <is>
          <t>13 / 26</t>
        </is>
      </c>
      <c r="L366" t="inlineStr">
        <is>
          <t>1 / 6</t>
        </is>
      </c>
      <c r="M366" s="5" t="n">
        <v>0.33</v>
      </c>
      <c r="N366" s="5" t="n">
        <v>0.14</v>
      </c>
    </row>
    <row r="367">
      <c r="A367" t="n">
        <v>366</v>
      </c>
      <c r="B367" t="n">
        <v>2015</v>
      </c>
      <c r="C367" t="inlineStr">
        <is>
          <t>Ruichu Rachel Piao</t>
        </is>
      </c>
      <c r="D367">
        <f>HYPERLINK("https://ota.tournamentsoftware.com/player-profile/13F65932-C96D-4F89-B571-4AA7315B2EEB", "Link")</f>
        <v/>
      </c>
      <c r="E367" s="3" t="n">
        <v>170.967</v>
      </c>
      <c r="F367" s="4" t="n">
        <v>14</v>
      </c>
      <c r="G367" t="inlineStr">
        <is>
          <t>Tennis Québec</t>
        </is>
      </c>
      <c r="H367" t="inlineStr">
        <is>
          <t>Tennis Ile- des- Soeurs</t>
        </is>
      </c>
      <c r="I367" t="inlineStr">
        <is>
          <t>unavailable</t>
        </is>
      </c>
      <c r="J367" s="4" t="n">
        <v>74</v>
      </c>
      <c r="K367" t="inlineStr">
        <is>
          <t>34 / 40</t>
        </is>
      </c>
      <c r="L367" t="inlineStr">
        <is>
          <t>7 / 12</t>
        </is>
      </c>
      <c r="M367" s="5" t="n">
        <v>0.46</v>
      </c>
      <c r="N367" s="5" t="n">
        <v>0.37</v>
      </c>
    </row>
    <row r="368">
      <c r="A368" t="n">
        <v>367</v>
      </c>
      <c r="B368" t="n">
        <v>2016</v>
      </c>
      <c r="C368" t="inlineStr">
        <is>
          <t>Dorothy Ning</t>
        </is>
      </c>
      <c r="D368">
        <f>HYPERLINK("https://ota.tournamentsoftware.com/player-profile/15BEDAE4-AB73-4AE9-B466-BA81BCA77DB1", "Link")</f>
        <v/>
      </c>
      <c r="E368" s="3" t="n">
        <v>170.72</v>
      </c>
      <c r="F368" s="4" t="n">
        <v>21</v>
      </c>
      <c r="G368" t="inlineStr">
        <is>
          <t>Ontario Tennis Association</t>
        </is>
      </c>
      <c r="H368" t="inlineStr">
        <is>
          <t>Toronto Tennis Academy</t>
        </is>
      </c>
      <c r="I368" t="inlineStr">
        <is>
          <t>unavailable</t>
        </is>
      </c>
      <c r="J368" s="4" t="n">
        <v>149</v>
      </c>
      <c r="K368" t="inlineStr">
        <is>
          <t>80 / 69</t>
        </is>
      </c>
      <c r="L368" t="inlineStr">
        <is>
          <t>21 / 14</t>
        </is>
      </c>
      <c r="M368" s="5" t="n">
        <v>0.54</v>
      </c>
      <c r="N368" s="5" t="n">
        <v>0.6</v>
      </c>
    </row>
    <row r="369">
      <c r="A369" t="n">
        <v>368</v>
      </c>
      <c r="B369" t="n">
        <v>2015</v>
      </c>
      <c r="C369" t="inlineStr">
        <is>
          <t>Adelaide Mossop</t>
        </is>
      </c>
      <c r="D369">
        <f>HYPERLINK("https://ota.tournamentsoftware.com/player-profile/0BA4F4DB-3133-41DE-9EE3-39EB4A609399", "Link")</f>
        <v/>
      </c>
      <c r="E369" s="3" t="n">
        <v>170.614</v>
      </c>
      <c r="F369" s="4" t="n">
        <v>11</v>
      </c>
      <c r="G369" t="inlineStr">
        <is>
          <t>Tennis Nova Scotia</t>
        </is>
      </c>
      <c r="H369" t="inlineStr">
        <is>
          <t>Atlantic Tennis Centre</t>
        </is>
      </c>
      <c r="I369" t="n">
        <v>36.2</v>
      </c>
      <c r="J369" s="4" t="n">
        <v>164</v>
      </c>
      <c r="K369" t="inlineStr">
        <is>
          <t>66 / 98</t>
        </is>
      </c>
      <c r="L369" t="inlineStr">
        <is>
          <t>15 / 25</t>
        </is>
      </c>
      <c r="M369" s="5" t="n">
        <v>0.4</v>
      </c>
      <c r="N369" s="5" t="n">
        <v>0.38</v>
      </c>
    </row>
    <row r="370">
      <c r="A370" t="n">
        <v>369</v>
      </c>
      <c r="B370" t="n">
        <v>2016</v>
      </c>
      <c r="C370" t="inlineStr">
        <is>
          <t>Amaranna Ugwunze</t>
        </is>
      </c>
      <c r="D370">
        <f>HYPERLINK("https://ota.tournamentsoftware.com/player-profile/2C6CBEBE-C5D2-4EC5-B283-CB703335834E", "Link")</f>
        <v/>
      </c>
      <c r="E370" s="3" t="n">
        <v>170.064</v>
      </c>
      <c r="F370" s="4" t="n">
        <v>18</v>
      </c>
      <c r="G370" t="inlineStr">
        <is>
          <t>Ontario Tennis Association</t>
        </is>
      </c>
      <c r="H370" t="inlineStr">
        <is>
          <t>Ontario Racquet Club</t>
        </is>
      </c>
      <c r="I370" t="n">
        <v>33.5</v>
      </c>
      <c r="J370" s="4" t="n">
        <v>92</v>
      </c>
      <c r="K370" t="inlineStr">
        <is>
          <t>49 / 43</t>
        </is>
      </c>
      <c r="L370" t="inlineStr">
        <is>
          <t>25 / 15</t>
        </is>
      </c>
      <c r="M370" s="5" t="n">
        <v>0.53</v>
      </c>
      <c r="N370" s="5" t="n">
        <v>0.62</v>
      </c>
    </row>
    <row r="371">
      <c r="A371" t="n">
        <v>370</v>
      </c>
      <c r="B371" t="n">
        <v>2015</v>
      </c>
      <c r="C371" t="inlineStr">
        <is>
          <t>Allison Penev</t>
        </is>
      </c>
      <c r="D371">
        <f>HYPERLINK("https://ota.tournamentsoftware.com/player-profile/C34C7D86-0233-454A-9C07-62AD41AF32CE", "Link")</f>
        <v/>
      </c>
      <c r="E371" s="3" t="n">
        <v>169.413</v>
      </c>
      <c r="F371" s="4" t="n">
        <v>21</v>
      </c>
      <c r="G371" t="inlineStr">
        <is>
          <t>Tennis Québec</t>
        </is>
      </c>
      <c r="H371" t="inlineStr">
        <is>
          <t>Carrefour Multisports</t>
        </is>
      </c>
      <c r="I371" t="n">
        <v>35.8</v>
      </c>
      <c r="J371" s="4" t="n">
        <v>152</v>
      </c>
      <c r="K371" t="inlineStr">
        <is>
          <t>65 / 87</t>
        </is>
      </c>
      <c r="L371" t="inlineStr">
        <is>
          <t>7 / 17</t>
        </is>
      </c>
      <c r="M371" s="5" t="n">
        <v>0.43</v>
      </c>
      <c r="N371" s="5" t="n">
        <v>0.29</v>
      </c>
    </row>
    <row r="372">
      <c r="A372" t="n">
        <v>371</v>
      </c>
      <c r="B372" t="n">
        <v>2012</v>
      </c>
      <c r="C372" t="inlineStr">
        <is>
          <t>Mavis Li</t>
        </is>
      </c>
      <c r="D372">
        <f>HYPERLINK("https://ota.tournamentsoftware.com/player-profile/FC8D1AE6-D9A0-409A-A095-1B2C12EDB359", "Link")</f>
        <v/>
      </c>
      <c r="E372" s="3" t="n">
        <v>168.577</v>
      </c>
      <c r="F372" s="4" t="n">
        <v>21</v>
      </c>
      <c r="G372" t="inlineStr">
        <is>
          <t>Ontario Tennis Association</t>
        </is>
      </c>
      <c r="H372" t="inlineStr">
        <is>
          <t>Blackmore Tennis Club</t>
        </is>
      </c>
      <c r="I372" t="n">
        <v>35.4</v>
      </c>
      <c r="J372" s="4" t="n">
        <v>67</v>
      </c>
      <c r="K372" t="inlineStr">
        <is>
          <t>24 / 43</t>
        </is>
      </c>
      <c r="L372" t="inlineStr">
        <is>
          <t>9 / 26</t>
        </is>
      </c>
      <c r="M372" s="5" t="n">
        <v>0.36</v>
      </c>
      <c r="N372" s="5" t="n">
        <v>0.26</v>
      </c>
    </row>
    <row r="373">
      <c r="A373" t="n">
        <v>372</v>
      </c>
      <c r="B373" t="n">
        <v>2015</v>
      </c>
      <c r="C373" t="inlineStr">
        <is>
          <t>Nora Firoozi</t>
        </is>
      </c>
      <c r="D373">
        <f>HYPERLINK("https://ota.tournamentsoftware.com/player-profile/328F4CA8-B72D-4F94-9BB6-3F666B5E0706", "Link")</f>
        <v/>
      </c>
      <c r="E373" s="3" t="n">
        <v>167.643</v>
      </c>
      <c r="F373" s="4" t="n">
        <v>18</v>
      </c>
      <c r="G373" t="inlineStr">
        <is>
          <t>British Columbia</t>
        </is>
      </c>
      <c r="H373" t="inlineStr">
        <is>
          <t>North Vancouver Tennis Centre</t>
        </is>
      </c>
      <c r="I373" t="n">
        <v>33.5</v>
      </c>
      <c r="J373" s="4" t="n">
        <v>165</v>
      </c>
      <c r="K373" t="inlineStr">
        <is>
          <t>81 / 84</t>
        </is>
      </c>
      <c r="L373" t="inlineStr">
        <is>
          <t>15 / 18</t>
        </is>
      </c>
      <c r="M373" s="5" t="n">
        <v>0.49</v>
      </c>
      <c r="N373" s="5" t="n">
        <v>0.45</v>
      </c>
    </row>
    <row r="374">
      <c r="A374" t="n">
        <v>373</v>
      </c>
      <c r="B374" t="n">
        <v>2014</v>
      </c>
      <c r="C374" t="inlineStr">
        <is>
          <t>Hunter Anne Wilkinson</t>
        </is>
      </c>
      <c r="D374">
        <f>HYPERLINK("https://ota.tournamentsoftware.com/player-profile/EB893DF0-DCAD-49C8-BAB9-0D044090A656", "Link")</f>
        <v/>
      </c>
      <c r="E374" s="3" t="n">
        <v>167.587</v>
      </c>
      <c r="F374" s="4" t="n">
        <v>20</v>
      </c>
      <c r="G374" t="inlineStr">
        <is>
          <t>Ontario Tennis Association</t>
        </is>
      </c>
      <c r="H374" t="inlineStr">
        <is>
          <t>GSM Tennis Club</t>
        </is>
      </c>
      <c r="I374" t="n">
        <v>34</v>
      </c>
      <c r="J374" s="4" t="n">
        <v>186</v>
      </c>
      <c r="K374" t="inlineStr">
        <is>
          <t>89 / 97</t>
        </is>
      </c>
      <c r="L374" t="inlineStr">
        <is>
          <t>12 / 14</t>
        </is>
      </c>
      <c r="M374" s="5" t="n">
        <v>0.48</v>
      </c>
      <c r="N374" s="5" t="n">
        <v>0.46</v>
      </c>
    </row>
    <row r="375">
      <c r="A375" t="n">
        <v>374</v>
      </c>
      <c r="B375" t="n">
        <v>2014</v>
      </c>
      <c r="C375" t="inlineStr">
        <is>
          <t>Sahana Bath</t>
        </is>
      </c>
      <c r="D375">
        <f>HYPERLINK("https://ota.tournamentsoftware.com/player-profile/25E19F82-227F-4B69-8295-16AA8F4F207F", "Link")</f>
        <v/>
      </c>
      <c r="E375" s="3" t="n">
        <v>166.44</v>
      </c>
      <c r="F375" s="4" t="n">
        <v>23</v>
      </c>
      <c r="G375" t="inlineStr">
        <is>
          <t>British Columbia</t>
        </is>
      </c>
      <c r="H375" t="inlineStr">
        <is>
          <t>The Tennis Centre</t>
        </is>
      </c>
      <c r="I375" t="n">
        <v>31.9</v>
      </c>
      <c r="J375" s="4" t="n">
        <v>176</v>
      </c>
      <c r="K375" t="inlineStr">
        <is>
          <t>101 / 75</t>
        </is>
      </c>
      <c r="L375" t="inlineStr">
        <is>
          <t>46 / 22</t>
        </is>
      </c>
      <c r="M375" s="5" t="n">
        <v>0.57</v>
      </c>
      <c r="N375" s="5" t="n">
        <v>0.68</v>
      </c>
    </row>
    <row r="376">
      <c r="A376" t="n">
        <v>375</v>
      </c>
      <c r="B376" t="n">
        <v>2012</v>
      </c>
      <c r="C376" t="inlineStr">
        <is>
          <t>Naomi Lucy McCrank</t>
        </is>
      </c>
      <c r="D376">
        <f>HYPERLINK("https://ota.tournamentsoftware.com/player-profile/68E80EA0-3999-4449-8E0B-83CC30E1EF77", "Link")</f>
        <v/>
      </c>
      <c r="E376" s="3" t="n">
        <v>166.417</v>
      </c>
      <c r="F376" s="4" t="n">
        <v>15</v>
      </c>
      <c r="G376" t="inlineStr">
        <is>
          <t>Tennis Alberta</t>
        </is>
      </c>
      <c r="H376" t="inlineStr">
        <is>
          <t>Aforza</t>
        </is>
      </c>
      <c r="I376" t="n">
        <v>33.5</v>
      </c>
      <c r="J376" s="4" t="n">
        <v>80</v>
      </c>
      <c r="K376" t="inlineStr">
        <is>
          <t>24 / 56</t>
        </is>
      </c>
      <c r="L376" t="inlineStr">
        <is>
          <t>8 / 11</t>
        </is>
      </c>
      <c r="M376" s="5" t="n">
        <v>0.3</v>
      </c>
      <c r="N376" s="5" t="n">
        <v>0.42</v>
      </c>
    </row>
    <row r="377">
      <c r="A377" t="n">
        <v>376</v>
      </c>
      <c r="B377" t="n">
        <v>2014</v>
      </c>
      <c r="C377" t="inlineStr">
        <is>
          <t>Grace Li</t>
        </is>
      </c>
      <c r="D377">
        <f>HYPERLINK("https://ota.tournamentsoftware.com/player-profile/5B95D38D-7E3D-4B41-B418-6B2307ED0863", "Link")</f>
        <v/>
      </c>
      <c r="E377" s="3" t="n">
        <v>166.105</v>
      </c>
      <c r="F377" s="4" t="n">
        <v>19</v>
      </c>
      <c r="G377" t="inlineStr">
        <is>
          <t>Tennis Québec</t>
        </is>
      </c>
      <c r="H377" t="inlineStr">
        <is>
          <t>Tennis 13</t>
        </is>
      </c>
      <c r="I377" t="n">
        <v>35</v>
      </c>
      <c r="J377" s="4" t="n">
        <v>166</v>
      </c>
      <c r="K377" t="inlineStr">
        <is>
          <t>71 / 95</t>
        </is>
      </c>
      <c r="L377" t="inlineStr">
        <is>
          <t>7 / 14</t>
        </is>
      </c>
      <c r="M377" s="5" t="n">
        <v>0.43</v>
      </c>
      <c r="N377" s="5" t="n">
        <v>0.33</v>
      </c>
    </row>
    <row r="378">
      <c r="A378" t="n">
        <v>377</v>
      </c>
      <c r="B378" t="n">
        <v>2013</v>
      </c>
      <c r="C378" t="inlineStr">
        <is>
          <t>Adriana Juliana Tambini</t>
        </is>
      </c>
      <c r="D378">
        <f>HYPERLINK("https://ota.tournamentsoftware.com/player-profile/7D7985A7-C189-4AE6-9641-F7EA5AE89364", "Link")</f>
        <v/>
      </c>
      <c r="E378" s="3" t="n">
        <v>165.937</v>
      </c>
      <c r="F378" s="4" t="n">
        <v>7</v>
      </c>
      <c r="G378" t="inlineStr">
        <is>
          <t>Ontario Tennis Association</t>
        </is>
      </c>
      <c r="H378" t="inlineStr">
        <is>
          <t>Headwaters Racquet Club</t>
        </is>
      </c>
      <c r="I378" t="n">
        <v>38.5</v>
      </c>
      <c r="J378" s="4" t="n">
        <v>23</v>
      </c>
      <c r="K378" t="inlineStr">
        <is>
          <t>12 / 11</t>
        </is>
      </c>
      <c r="L378" t="inlineStr">
        <is>
          <t>7 / 10</t>
        </is>
      </c>
      <c r="M378" s="5" t="n">
        <v>0.52</v>
      </c>
      <c r="N378" s="5" t="n">
        <v>0.41</v>
      </c>
    </row>
    <row r="379">
      <c r="A379" t="n">
        <v>378</v>
      </c>
      <c r="B379" t="n">
        <v>2013</v>
      </c>
      <c r="C379" t="inlineStr">
        <is>
          <t>Eva Eile</t>
        </is>
      </c>
      <c r="D379">
        <f>HYPERLINK("https://ota.tournamentsoftware.com/player-profile/EE5E7036-3979-48DF-A095-8C40584653EF", "Link")</f>
        <v/>
      </c>
      <c r="E379" s="3" t="n">
        <v>164.212</v>
      </c>
      <c r="F379" s="4" t="n">
        <v>15</v>
      </c>
      <c r="G379" t="inlineStr">
        <is>
          <t>Tennis Québec</t>
        </is>
      </c>
      <c r="H379" t="inlineStr">
        <is>
          <t>Midtown Le Sporting Club Sanctuaire</t>
        </is>
      </c>
      <c r="I379" t="n">
        <v>39.2</v>
      </c>
      <c r="J379" s="4" t="n">
        <v>25</v>
      </c>
      <c r="K379" t="inlineStr">
        <is>
          <t>3 / 22</t>
        </is>
      </c>
      <c r="L379" t="inlineStr">
        <is>
          <t>0 / 11</t>
        </is>
      </c>
      <c r="M379" s="5" t="n">
        <v>0.12</v>
      </c>
      <c r="N379" s="5" t="n">
        <v>0</v>
      </c>
    </row>
    <row r="380">
      <c r="A380" t="n">
        <v>379</v>
      </c>
      <c r="B380" t="n">
        <v>2013</v>
      </c>
      <c r="C380" t="inlineStr">
        <is>
          <t>Nisa Karim</t>
        </is>
      </c>
      <c r="D380">
        <f>HYPERLINK("https://ota.tournamentsoftware.com/player-profile/11CB5752-5D45-47AB-82AD-AC3D554873E5", "Link")</f>
        <v/>
      </c>
      <c r="E380" s="3" t="n">
        <v>163.167</v>
      </c>
      <c r="F380" s="4" t="n">
        <v>17</v>
      </c>
      <c r="G380" t="inlineStr">
        <is>
          <t>British Columbia</t>
        </is>
      </c>
      <c r="H380" t="inlineStr">
        <is>
          <t>Arbutus Club</t>
        </is>
      </c>
      <c r="I380" t="n">
        <v>34.7</v>
      </c>
      <c r="J380" s="4" t="n">
        <v>97</v>
      </c>
      <c r="K380" t="inlineStr">
        <is>
          <t>51 / 46</t>
        </is>
      </c>
      <c r="L380" t="inlineStr">
        <is>
          <t>17 / 20</t>
        </is>
      </c>
      <c r="M380" s="5" t="n">
        <v>0.53</v>
      </c>
      <c r="N380" s="5" t="n">
        <v>0.46</v>
      </c>
    </row>
    <row r="381">
      <c r="A381" t="n">
        <v>380</v>
      </c>
      <c r="B381" t="n">
        <v>2012</v>
      </c>
      <c r="C381" t="inlineStr">
        <is>
          <t>Sophia Zhang</t>
        </is>
      </c>
      <c r="D381">
        <f>HYPERLINK("https://ota.tournamentsoftware.com/player-profile/2BBD611B-69D1-4A97-AAC3-1D897498B21A", "Link")</f>
        <v/>
      </c>
      <c r="E381" s="3" t="n">
        <v>160.591</v>
      </c>
      <c r="F381" s="4" t="n">
        <v>12</v>
      </c>
      <c r="G381" t="inlineStr">
        <is>
          <t>Ontario Tennis Association</t>
        </is>
      </c>
      <c r="H381" t="inlineStr">
        <is>
          <t>Burlington Tennis Club</t>
        </is>
      </c>
      <c r="I381" t="inlineStr">
        <is>
          <t>unavailable</t>
        </is>
      </c>
      <c r="J381" s="4" t="n">
        <v>40</v>
      </c>
      <c r="K381" t="inlineStr">
        <is>
          <t>18 / 22</t>
        </is>
      </c>
      <c r="L381" t="inlineStr">
        <is>
          <t>12 / 11</t>
        </is>
      </c>
      <c r="M381" s="5" t="n">
        <v>0.45</v>
      </c>
      <c r="N381" s="5" t="n">
        <v>0.52</v>
      </c>
    </row>
    <row r="382">
      <c r="A382" t="n">
        <v>381</v>
      </c>
      <c r="B382" t="n">
        <v>2014</v>
      </c>
      <c r="C382" t="inlineStr">
        <is>
          <t>Eve Martel</t>
        </is>
      </c>
      <c r="D382">
        <f>HYPERLINK("https://ota.tournamentsoftware.com/player-profile/590DE091-4FC9-494D-A8AC-45DB223E71D8", "Link")</f>
        <v/>
      </c>
      <c r="E382" s="3" t="n">
        <v>160.307</v>
      </c>
      <c r="F382" s="4" t="n">
        <v>21</v>
      </c>
      <c r="G382" t="inlineStr">
        <is>
          <t>Tennis Québec</t>
        </is>
      </c>
      <c r="H382" t="inlineStr">
        <is>
          <t>Club Avantage Multi-sports / Académie de tennis Hérisset Bordeleau</t>
        </is>
      </c>
      <c r="I382" t="inlineStr">
        <is>
          <t>unavailable</t>
        </is>
      </c>
      <c r="J382" s="4" t="n">
        <v>130</v>
      </c>
      <c r="K382" t="inlineStr">
        <is>
          <t>41 / 89</t>
        </is>
      </c>
      <c r="L382" t="inlineStr">
        <is>
          <t>12 / 17</t>
        </is>
      </c>
      <c r="M382" s="5" t="n">
        <v>0.32</v>
      </c>
      <c r="N382" s="5" t="n">
        <v>0.41</v>
      </c>
    </row>
    <row r="383">
      <c r="A383" t="n">
        <v>382</v>
      </c>
      <c r="B383" t="n">
        <v>2013</v>
      </c>
      <c r="C383" t="inlineStr">
        <is>
          <t>Renée Jugalbot</t>
        </is>
      </c>
      <c r="D383">
        <f>HYPERLINK("https://ota.tournamentsoftware.com/player-profile/A487A79B-AB42-4314-BD75-6EFD99F64BC7", "Link")</f>
        <v/>
      </c>
      <c r="E383" s="3" t="n">
        <v>159.393</v>
      </c>
      <c r="F383" s="4" t="n">
        <v>25</v>
      </c>
      <c r="G383" t="inlineStr">
        <is>
          <t>Ontario Tennis Association</t>
        </is>
      </c>
      <c r="H383" t="inlineStr">
        <is>
          <t>Rosedale Tennis Club (Hamilton)</t>
        </is>
      </c>
      <c r="I383" t="n">
        <v>36.1</v>
      </c>
      <c r="J383" s="4" t="n">
        <v>87</v>
      </c>
      <c r="K383" t="inlineStr">
        <is>
          <t>35 / 52</t>
        </is>
      </c>
      <c r="L383" t="inlineStr">
        <is>
          <t>17 / 25</t>
        </is>
      </c>
      <c r="M383" s="5" t="n">
        <v>0.4</v>
      </c>
      <c r="N383" s="5" t="n">
        <v>0.4</v>
      </c>
    </row>
    <row r="384">
      <c r="A384" t="n">
        <v>383</v>
      </c>
      <c r="B384" t="n">
        <v>2013</v>
      </c>
      <c r="C384" t="inlineStr">
        <is>
          <t>Diya Vasudeva</t>
        </is>
      </c>
      <c r="D384">
        <f>HYPERLINK("https://ota.tournamentsoftware.com/player-profile/81C22EEF-F10A-4447-AF45-2B9B6D1A7F5B", "Link")</f>
        <v/>
      </c>
      <c r="E384" s="3" t="n">
        <v>159.16</v>
      </c>
      <c r="F384" s="4" t="n">
        <v>9</v>
      </c>
      <c r="G384" t="inlineStr">
        <is>
          <t>Ontario Tennis Association</t>
        </is>
      </c>
      <c r="H384" t="inlineStr">
        <is>
          <t>ACE Tennis - Burlington</t>
        </is>
      </c>
      <c r="I384" t="n">
        <v>36.4</v>
      </c>
      <c r="J384" s="4" t="n">
        <v>99</v>
      </c>
      <c r="K384" t="inlineStr">
        <is>
          <t>34 / 65</t>
        </is>
      </c>
      <c r="L384" t="inlineStr">
        <is>
          <t>5 / 10</t>
        </is>
      </c>
      <c r="M384" s="5" t="n">
        <v>0.34</v>
      </c>
      <c r="N384" s="5" t="n">
        <v>0.33</v>
      </c>
    </row>
    <row r="385">
      <c r="A385" t="n">
        <v>384</v>
      </c>
      <c r="B385" t="n">
        <v>2017</v>
      </c>
      <c r="C385" t="inlineStr">
        <is>
          <t>Yuetwing, Doris Li</t>
        </is>
      </c>
      <c r="D385">
        <f>HYPERLINK("https://ota.tournamentsoftware.com/player-profile/C901A65F-E3DE-47DE-A4BC-21149FEBA20C", "Link")</f>
        <v/>
      </c>
      <c r="E385" s="3" t="n">
        <v>157.026</v>
      </c>
      <c r="F385" s="4" t="n">
        <v>4</v>
      </c>
      <c r="G385" t="inlineStr">
        <is>
          <t>Ontario Tennis Association</t>
        </is>
      </c>
      <c r="H385" t="inlineStr">
        <is>
          <t>No Club</t>
        </is>
      </c>
      <c r="I385" t="n">
        <v>32.7</v>
      </c>
      <c r="J385" s="4" t="n">
        <v>16</v>
      </c>
      <c r="K385" t="inlineStr">
        <is>
          <t>14 / 2</t>
        </is>
      </c>
      <c r="L385" t="inlineStr">
        <is>
          <t>10 / 2</t>
        </is>
      </c>
      <c r="M385" s="5" t="n">
        <v>0.88</v>
      </c>
      <c r="N385" s="5" t="n">
        <v>0.83</v>
      </c>
    </row>
    <row r="386">
      <c r="A386" t="n">
        <v>385</v>
      </c>
      <c r="B386" t="n">
        <v>2013</v>
      </c>
      <c r="C386" t="inlineStr">
        <is>
          <t>Kate Penalba</t>
        </is>
      </c>
      <c r="D386">
        <f>HYPERLINK("https://ota.tournamentsoftware.com/player-profile/C3F08CFB-765E-4234-8D01-16CB3E717037", "Link")</f>
        <v/>
      </c>
      <c r="E386" s="3" t="n">
        <v>154.591</v>
      </c>
      <c r="F386" s="4" t="n">
        <v>17</v>
      </c>
      <c r="G386" t="inlineStr">
        <is>
          <t>Ontario Tennis Association</t>
        </is>
      </c>
      <c r="H386" t="inlineStr">
        <is>
          <t>No Club</t>
        </is>
      </c>
      <c r="I386" t="n">
        <v>34.6</v>
      </c>
      <c r="J386" s="4" t="n">
        <v>132</v>
      </c>
      <c r="K386" t="inlineStr">
        <is>
          <t>53 / 79</t>
        </is>
      </c>
      <c r="L386" t="inlineStr">
        <is>
          <t>10 / 17</t>
        </is>
      </c>
      <c r="M386" s="5" t="n">
        <v>0.4</v>
      </c>
      <c r="N386" s="5" t="n">
        <v>0.37</v>
      </c>
    </row>
    <row r="387">
      <c r="A387" t="n">
        <v>386</v>
      </c>
      <c r="B387" t="n">
        <v>2013</v>
      </c>
      <c r="C387" t="inlineStr">
        <is>
          <t>Gabrielle Pompa</t>
        </is>
      </c>
      <c r="D387">
        <f>HYPERLINK("https://ota.tournamentsoftware.com/player-profile/668A29C0-962F-4DAD-B317-933787C09DCF", "Link")</f>
        <v/>
      </c>
      <c r="E387" s="3" t="n">
        <v>153.753</v>
      </c>
      <c r="F387" s="4" t="n">
        <v>7</v>
      </c>
      <c r="G387" t="inlineStr">
        <is>
          <t>Tennis Alberta</t>
        </is>
      </c>
      <c r="H387" t="inlineStr">
        <is>
          <t>Aforza</t>
        </is>
      </c>
      <c r="I387" t="n">
        <v>29.1</v>
      </c>
      <c r="J387" s="4" t="n">
        <v>162</v>
      </c>
      <c r="K387" t="inlineStr">
        <is>
          <t>111 / 51</t>
        </is>
      </c>
      <c r="L387" t="inlineStr">
        <is>
          <t>6 / 4</t>
        </is>
      </c>
      <c r="M387" s="5" t="n">
        <v>0.6899999999999999</v>
      </c>
      <c r="N387" s="5" t="n">
        <v>0.6</v>
      </c>
    </row>
    <row r="388">
      <c r="A388" t="n">
        <v>387</v>
      </c>
      <c r="B388" t="n">
        <v>2017</v>
      </c>
      <c r="C388" t="inlineStr">
        <is>
          <t>Nalayah Smith</t>
        </is>
      </c>
      <c r="D388">
        <f>HYPERLINK("https://ota.tournamentsoftware.com/player-profile/6F913BA8-58BB-4BEE-9CA1-8E064E1332B8", "Link")</f>
        <v/>
      </c>
      <c r="E388" s="3" t="n">
        <v>153.154</v>
      </c>
      <c r="F388" s="4" t="n">
        <v>20</v>
      </c>
      <c r="G388" t="inlineStr">
        <is>
          <t>Ontario Tennis Association</t>
        </is>
      </c>
      <c r="H388" t="inlineStr">
        <is>
          <t>SmartVMC Racquetsports by ACE</t>
        </is>
      </c>
      <c r="I388" t="n">
        <v>33.6</v>
      </c>
      <c r="J388" s="4" t="n">
        <v>133</v>
      </c>
      <c r="K388" t="inlineStr">
        <is>
          <t>85 / 48</t>
        </is>
      </c>
      <c r="L388" t="inlineStr">
        <is>
          <t>30 / 15</t>
        </is>
      </c>
      <c r="M388" s="5" t="n">
        <v>0.64</v>
      </c>
      <c r="N388" s="5" t="n">
        <v>0.67</v>
      </c>
    </row>
    <row r="389">
      <c r="A389" t="n">
        <v>388</v>
      </c>
      <c r="B389" t="n">
        <v>2014</v>
      </c>
      <c r="C389" t="inlineStr">
        <is>
          <t>Rain Yu Chan</t>
        </is>
      </c>
      <c r="D389">
        <f>HYPERLINK("https://ota.tournamentsoftware.com/player-profile/BF26AD2D-BAAC-4E82-A862-14039C1584F2", "Link")</f>
        <v/>
      </c>
      <c r="E389" s="3" t="n">
        <v>152.222</v>
      </c>
      <c r="F389" s="4" t="n">
        <v>34</v>
      </c>
      <c r="G389" t="inlineStr">
        <is>
          <t>British Columbia</t>
        </is>
      </c>
      <c r="H389" t="inlineStr">
        <is>
          <t>Burnaby Tennis Club</t>
        </is>
      </c>
      <c r="I389" t="inlineStr">
        <is>
          <t>unavailable</t>
        </is>
      </c>
      <c r="J389" s="4" t="n">
        <v>206</v>
      </c>
      <c r="K389" t="inlineStr">
        <is>
          <t>97 / 109</t>
        </is>
      </c>
      <c r="L389" t="inlineStr">
        <is>
          <t>31 / 32</t>
        </is>
      </c>
      <c r="M389" s="5" t="n">
        <v>0.47</v>
      </c>
      <c r="N389" s="5" t="n">
        <v>0.49</v>
      </c>
    </row>
    <row r="390">
      <c r="A390" t="n">
        <v>389</v>
      </c>
      <c r="B390" t="n">
        <v>2014</v>
      </c>
      <c r="C390" t="inlineStr">
        <is>
          <t>Andrea Robles Sgambatti</t>
        </is>
      </c>
      <c r="D390">
        <f>HYPERLINK("https://ota.tournamentsoftware.com/player-profile/842B5763-8026-4DFF-BD28-4FA110C3A345", "Link")</f>
        <v/>
      </c>
      <c r="E390" s="3" t="n">
        <v>152.162</v>
      </c>
      <c r="F390" s="4" t="n">
        <v>17</v>
      </c>
      <c r="G390" t="inlineStr">
        <is>
          <t>Tennis Alberta</t>
        </is>
      </c>
      <c r="H390" t="inlineStr">
        <is>
          <t>Osten &amp; Victor Alberta Tennis Centre</t>
        </is>
      </c>
      <c r="I390" t="n">
        <v>34.2</v>
      </c>
      <c r="J390" s="4" t="n">
        <v>150</v>
      </c>
      <c r="K390" t="inlineStr">
        <is>
          <t>62 / 88</t>
        </is>
      </c>
      <c r="L390" t="inlineStr">
        <is>
          <t>13 / 20</t>
        </is>
      </c>
      <c r="M390" s="5" t="n">
        <v>0.41</v>
      </c>
      <c r="N390" s="5" t="n">
        <v>0.39</v>
      </c>
    </row>
    <row r="391">
      <c r="A391" t="n">
        <v>390</v>
      </c>
      <c r="B391" t="n">
        <v>2017</v>
      </c>
      <c r="C391" t="inlineStr">
        <is>
          <t>Ella Nicolaeva</t>
        </is>
      </c>
      <c r="D391">
        <f>HYPERLINK("https://ota.tournamentsoftware.com/player-profile/7A11DAF6-4353-49AB-8591-07AB86D11272", "Link")</f>
        <v/>
      </c>
      <c r="E391" s="3" t="n">
        <v>150.858</v>
      </c>
      <c r="F391" s="4" t="n">
        <v>38</v>
      </c>
      <c r="G391" t="inlineStr">
        <is>
          <t>Ontario Tennis Association</t>
        </is>
      </c>
      <c r="H391" t="inlineStr">
        <is>
          <t>Valan Tennis Academy</t>
        </is>
      </c>
      <c r="I391" t="n">
        <v>33.4</v>
      </c>
      <c r="J391" s="4" t="n">
        <v>189</v>
      </c>
      <c r="K391" t="inlineStr">
        <is>
          <t>132 / 57</t>
        </is>
      </c>
      <c r="L391" t="inlineStr">
        <is>
          <t>43 / 27</t>
        </is>
      </c>
      <c r="M391" s="5" t="n">
        <v>0.7</v>
      </c>
      <c r="N391" s="5" t="n">
        <v>0.61</v>
      </c>
    </row>
    <row r="392">
      <c r="A392" t="n">
        <v>391</v>
      </c>
      <c r="B392" t="n">
        <v>2013</v>
      </c>
      <c r="C392" t="inlineStr">
        <is>
          <t>Jaheema Jajah Joseph</t>
        </is>
      </c>
      <c r="D392">
        <f>HYPERLINK("https://ota.tournamentsoftware.com/player-profile/2C08ABD4-0853-4E02-96D6-4CBDA8251E2A", "Link")</f>
        <v/>
      </c>
      <c r="E392" s="3" t="n">
        <v>149.601</v>
      </c>
      <c r="F392" s="4" t="n">
        <v>16</v>
      </c>
      <c r="G392" t="inlineStr">
        <is>
          <t>Tennis Québec</t>
        </is>
      </c>
      <c r="H392" t="inlineStr">
        <is>
          <t>Tennis Montréal</t>
        </is>
      </c>
      <c r="I392" t="n">
        <v>36.9</v>
      </c>
      <c r="J392" s="4" t="n">
        <v>93</v>
      </c>
      <c r="K392" t="inlineStr">
        <is>
          <t>38 / 55</t>
        </is>
      </c>
      <c r="L392" t="inlineStr">
        <is>
          <t>6 / 15</t>
        </is>
      </c>
      <c r="M392" s="5" t="n">
        <v>0.41</v>
      </c>
      <c r="N392" s="5" t="n">
        <v>0.29</v>
      </c>
    </row>
    <row r="393">
      <c r="A393" t="n">
        <v>392</v>
      </c>
      <c r="B393" t="n">
        <v>2013</v>
      </c>
      <c r="C393" t="inlineStr">
        <is>
          <t>Aarushi Pal</t>
        </is>
      </c>
      <c r="D393">
        <f>HYPERLINK("https://ota.tournamentsoftware.com/player-profile/F5E1E459-0A97-4C1F-8F37-D8CEF64DA1FA", "Link")</f>
        <v/>
      </c>
      <c r="E393" s="3" t="n">
        <v>149.571</v>
      </c>
      <c r="F393" s="4" t="n">
        <v>14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33.8</v>
      </c>
      <c r="J393" s="4" t="n">
        <v>165</v>
      </c>
      <c r="K393" t="inlineStr">
        <is>
          <t>81 / 84</t>
        </is>
      </c>
      <c r="L393" t="inlineStr">
        <is>
          <t>5 / 12</t>
        </is>
      </c>
      <c r="M393" s="5" t="n">
        <v>0.49</v>
      </c>
      <c r="N393" s="5" t="n">
        <v>0.29</v>
      </c>
    </row>
    <row r="394">
      <c r="A394" t="n">
        <v>393</v>
      </c>
      <c r="B394" t="n">
        <v>2015</v>
      </c>
      <c r="C394" t="inlineStr">
        <is>
          <t>Stefaniia Grimailo</t>
        </is>
      </c>
      <c r="D394">
        <f>HYPERLINK("https://ota.tournamentsoftware.com/player-profile/63AAF188-F773-4BFA-B6C2-97B1DFB9AF3A", "Link")</f>
        <v/>
      </c>
      <c r="E394" s="3" t="n">
        <v>147.389</v>
      </c>
      <c r="F394" s="4" t="n">
        <v>9</v>
      </c>
      <c r="G394" t="inlineStr">
        <is>
          <t>Tennis Manitoba</t>
        </is>
      </c>
      <c r="H394" t="inlineStr">
        <is>
          <t>Winnipeg Winter Club</t>
        </is>
      </c>
      <c r="I394" t="n">
        <v>38.6</v>
      </c>
      <c r="J394" s="4" t="n">
        <v>64</v>
      </c>
      <c r="K394" t="inlineStr">
        <is>
          <t>9 / 55</t>
        </is>
      </c>
      <c r="L394" t="inlineStr">
        <is>
          <t>2 / 25</t>
        </is>
      </c>
      <c r="M394" s="5" t="n">
        <v>0.14</v>
      </c>
      <c r="N394" s="5" t="n">
        <v>0.07000000000000001</v>
      </c>
    </row>
    <row r="395">
      <c r="A395" t="n">
        <v>394</v>
      </c>
      <c r="B395" t="n">
        <v>2012</v>
      </c>
      <c r="C395" t="inlineStr">
        <is>
          <t>Gaëlle Jodoin</t>
        </is>
      </c>
      <c r="D395">
        <f>HYPERLINK("https://ota.tournamentsoftware.com/player-profile/A3792AFC-E32E-4258-8FA9-9240021C6401", "Link")</f>
        <v/>
      </c>
      <c r="E395" s="3" t="n">
        <v>147.089</v>
      </c>
      <c r="F395" s="4" t="n">
        <v>5</v>
      </c>
      <c r="G395" t="inlineStr">
        <is>
          <t>Tennis Québec</t>
        </is>
      </c>
      <c r="H395" t="inlineStr">
        <is>
          <t>Tennis 13</t>
        </is>
      </c>
      <c r="I395" t="n">
        <v>38.5</v>
      </c>
      <c r="J395" s="4" t="n">
        <v>87</v>
      </c>
      <c r="K395" t="inlineStr">
        <is>
          <t>14 / 73</t>
        </is>
      </c>
      <c r="L395" t="inlineStr">
        <is>
          <t>0 / 3</t>
        </is>
      </c>
      <c r="M395" s="5" t="n">
        <v>0.16</v>
      </c>
      <c r="N395" s="5" t="n">
        <v>0</v>
      </c>
    </row>
    <row r="396">
      <c r="A396" t="n">
        <v>395</v>
      </c>
      <c r="B396" t="n">
        <v>2012</v>
      </c>
      <c r="C396" t="inlineStr">
        <is>
          <t>Chloe Park</t>
        </is>
      </c>
      <c r="D396">
        <f>HYPERLINK("https://ota.tournamentsoftware.com/player-profile/FD8FB9A4-F5D9-4A90-AA66-D8E6FC3D3BC5", "Link")</f>
        <v/>
      </c>
      <c r="E396" s="3" t="n">
        <v>146.362</v>
      </c>
      <c r="F396" s="4" t="n">
        <v>4</v>
      </c>
      <c r="G396" t="inlineStr">
        <is>
          <t>Tennis Prince Edward Island</t>
        </is>
      </c>
      <c r="H396" t="inlineStr">
        <is>
          <t>No Club</t>
        </is>
      </c>
      <c r="I396" t="n">
        <v>34.4</v>
      </c>
      <c r="J396" s="4" t="n">
        <v>52</v>
      </c>
      <c r="K396" t="inlineStr">
        <is>
          <t>11 / 41</t>
        </is>
      </c>
      <c r="L396" t="inlineStr">
        <is>
          <t>6 / 10</t>
        </is>
      </c>
      <c r="M396" s="5" t="n">
        <v>0.21</v>
      </c>
      <c r="N396" s="5" t="n">
        <v>0.38</v>
      </c>
    </row>
    <row r="397">
      <c r="A397" t="n">
        <v>396</v>
      </c>
      <c r="B397" t="n">
        <v>2015</v>
      </c>
      <c r="C397" t="inlineStr">
        <is>
          <t>Emma Lucenti</t>
        </is>
      </c>
      <c r="D397">
        <f>HYPERLINK("https://ota.tournamentsoftware.com/player-profile/F174A813-5F1A-4B24-BDFF-B6E6160FE2EB", "Link")</f>
        <v/>
      </c>
      <c r="E397" s="3" t="n">
        <v>146.068</v>
      </c>
      <c r="F397" s="4" t="n">
        <v>11</v>
      </c>
      <c r="G397" t="inlineStr">
        <is>
          <t>Ontario Tennis Association</t>
        </is>
      </c>
      <c r="H397" t="inlineStr">
        <is>
          <t>SmartVMC Racquetsports by ACE</t>
        </is>
      </c>
      <c r="I397" t="n">
        <v>35.5</v>
      </c>
      <c r="J397" s="4" t="n">
        <v>85</v>
      </c>
      <c r="K397" t="inlineStr">
        <is>
          <t>30 / 55</t>
        </is>
      </c>
      <c r="L397" t="inlineStr">
        <is>
          <t>9 / 13</t>
        </is>
      </c>
      <c r="M397" s="5" t="n">
        <v>0.35</v>
      </c>
      <c r="N397" s="5" t="n">
        <v>0.41</v>
      </c>
    </row>
    <row r="398">
      <c r="A398" t="n">
        <v>397</v>
      </c>
      <c r="B398" t="n">
        <v>2015</v>
      </c>
      <c r="C398" t="inlineStr">
        <is>
          <t>Elaina York</t>
        </is>
      </c>
      <c r="D398">
        <f>HYPERLINK("https://ota.tournamentsoftware.com/player-profile/7D4D2F10-C754-4560-B490-903FD1C70ADE", "Link")</f>
        <v/>
      </c>
      <c r="E398" s="3" t="n">
        <v>145.952</v>
      </c>
      <c r="F398" s="4" t="n">
        <v>16</v>
      </c>
      <c r="G398" t="inlineStr">
        <is>
          <t>Tennis Alberta</t>
        </is>
      </c>
      <c r="H398" t="inlineStr">
        <is>
          <t>Aforza</t>
        </is>
      </c>
      <c r="I398" t="n">
        <v>34.9</v>
      </c>
      <c r="J398" s="4" t="n">
        <v>149</v>
      </c>
      <c r="K398" t="inlineStr">
        <is>
          <t>61 / 88</t>
        </is>
      </c>
      <c r="L398" t="inlineStr">
        <is>
          <t>15 / 23</t>
        </is>
      </c>
      <c r="M398" s="5" t="n">
        <v>0.41</v>
      </c>
      <c r="N398" s="5" t="n">
        <v>0.39</v>
      </c>
    </row>
    <row r="399">
      <c r="A399" t="n">
        <v>398</v>
      </c>
      <c r="B399" t="n">
        <v>2014</v>
      </c>
      <c r="C399" t="inlineStr">
        <is>
          <t>Sofia Zhuchenko</t>
        </is>
      </c>
      <c r="D399">
        <f>HYPERLINK("https://ota.tournamentsoftware.com/player-profile/F633DD21-A0C3-4CAC-B560-7222D07936B7", "Link")</f>
        <v/>
      </c>
      <c r="E399" s="3" t="n">
        <v>145.261</v>
      </c>
      <c r="F399" s="4" t="n">
        <v>15</v>
      </c>
      <c r="G399" t="inlineStr">
        <is>
          <t>Tennis Alberta</t>
        </is>
      </c>
      <c r="H399" t="inlineStr">
        <is>
          <t>Osten &amp; Victor Alberta Tennis Centre</t>
        </is>
      </c>
      <c r="I399" t="n">
        <v>33.5</v>
      </c>
      <c r="J399" s="4" t="n">
        <v>111</v>
      </c>
      <c r="K399" t="inlineStr">
        <is>
          <t>43 / 68</t>
        </is>
      </c>
      <c r="L399" t="inlineStr">
        <is>
          <t>13 / 18</t>
        </is>
      </c>
      <c r="M399" s="5" t="n">
        <v>0.39</v>
      </c>
      <c r="N399" s="5" t="n">
        <v>0.42</v>
      </c>
    </row>
    <row r="400">
      <c r="A400" t="n">
        <v>399</v>
      </c>
      <c r="B400" t="n">
        <v>2014</v>
      </c>
      <c r="C400" t="inlineStr">
        <is>
          <t>Kira Wong</t>
        </is>
      </c>
      <c r="D400">
        <f>HYPERLINK("https://ota.tournamentsoftware.com/player-profile/E305B648-4548-45A0-B043-623E1473C7E5", "Link")</f>
        <v/>
      </c>
      <c r="E400" s="3" t="n">
        <v>144.621</v>
      </c>
      <c r="F400" s="4" t="n">
        <v>24</v>
      </c>
      <c r="G400" t="inlineStr">
        <is>
          <t>Tennis Alberta</t>
        </is>
      </c>
      <c r="H400" t="inlineStr">
        <is>
          <t>Aforza</t>
        </is>
      </c>
      <c r="I400" t="n">
        <v>35.2</v>
      </c>
      <c r="J400" s="4" t="n">
        <v>130</v>
      </c>
      <c r="K400" t="inlineStr">
        <is>
          <t>48 / 82</t>
        </is>
      </c>
      <c r="L400" t="inlineStr">
        <is>
          <t>24 / 28</t>
        </is>
      </c>
      <c r="M400" s="5" t="n">
        <v>0.37</v>
      </c>
      <c r="N400" s="5" t="n">
        <v>0.46</v>
      </c>
    </row>
    <row r="401">
      <c r="A401" t="n">
        <v>400</v>
      </c>
      <c r="B401" t="n">
        <v>2016</v>
      </c>
      <c r="C401" t="inlineStr">
        <is>
          <t>Milana Piazza</t>
        </is>
      </c>
      <c r="D401">
        <f>HYPERLINK("https://ota.tournamentsoftware.com/player-profile/4CDBB0C3-0D8B-4D7B-873C-3CEC65600FA0", "Link")</f>
        <v/>
      </c>
      <c r="E401" s="3" t="n">
        <v>144.058</v>
      </c>
      <c r="F401" s="4" t="n">
        <v>11</v>
      </c>
      <c r="G401" t="inlineStr">
        <is>
          <t>Tennis Québec</t>
        </is>
      </c>
      <c r="H401" t="inlineStr">
        <is>
          <t>Tennis 13</t>
        </is>
      </c>
      <c r="I401" t="n">
        <v>32.9</v>
      </c>
      <c r="J401" s="4" t="n">
        <v>92</v>
      </c>
      <c r="K401" t="inlineStr">
        <is>
          <t>56 / 36</t>
        </is>
      </c>
      <c r="L401" t="inlineStr">
        <is>
          <t>23 / 8</t>
        </is>
      </c>
      <c r="M401" s="5" t="n">
        <v>0.61</v>
      </c>
      <c r="N401" s="5" t="n">
        <v>0.74</v>
      </c>
    </row>
    <row r="402">
      <c r="A402" t="n">
        <v>401</v>
      </c>
      <c r="B402" t="n">
        <v>2015</v>
      </c>
      <c r="C402" t="inlineStr">
        <is>
          <t>Vera Toptounov</t>
        </is>
      </c>
      <c r="D402">
        <f>HYPERLINK("https://ota.tournamentsoftware.com/player-profile/6AC05446-ED22-406D-9460-F30F3FC8B16B", "Link")</f>
        <v/>
      </c>
      <c r="E402" s="3" t="n">
        <v>144.013</v>
      </c>
      <c r="F402" s="4" t="n">
        <v>20</v>
      </c>
      <c r="G402" t="inlineStr">
        <is>
          <t>Ontario Tennis Association</t>
        </is>
      </c>
      <c r="H402" t="inlineStr">
        <is>
          <t>SmartVMC Racquetsports by ACE</t>
        </is>
      </c>
      <c r="I402" t="n">
        <v>35.5</v>
      </c>
      <c r="J402" s="4" t="n">
        <v>106</v>
      </c>
      <c r="K402" t="inlineStr">
        <is>
          <t>46 / 60</t>
        </is>
      </c>
      <c r="L402" t="inlineStr">
        <is>
          <t>12 / 16</t>
        </is>
      </c>
      <c r="M402" s="5" t="n">
        <v>0.43</v>
      </c>
      <c r="N402" s="5" t="n">
        <v>0.43</v>
      </c>
    </row>
    <row r="403">
      <c r="A403" t="n">
        <v>402</v>
      </c>
      <c r="B403" t="n">
        <v>2014</v>
      </c>
      <c r="C403" t="inlineStr">
        <is>
          <t>Sarah Gottlieb</t>
        </is>
      </c>
      <c r="D403">
        <f>HYPERLINK("https://ota.tournamentsoftware.com/player-profile/BD51254A-E036-424C-B89A-FB47A73C0DC5", "Link")</f>
        <v/>
      </c>
      <c r="E403" s="3" t="n">
        <v>143.604</v>
      </c>
      <c r="F403" s="4" t="n">
        <v>5</v>
      </c>
      <c r="G403" t="inlineStr">
        <is>
          <t>Tennis Québec</t>
        </is>
      </c>
      <c r="H403" t="inlineStr">
        <is>
          <t>Tennis 13</t>
        </is>
      </c>
      <c r="I403" t="n">
        <v>33.6</v>
      </c>
      <c r="J403" s="4" t="n">
        <v>92</v>
      </c>
      <c r="K403" t="inlineStr">
        <is>
          <t>46 / 46</t>
        </is>
      </c>
      <c r="L403" t="inlineStr">
        <is>
          <t>1 / 2</t>
        </is>
      </c>
      <c r="M403" s="5" t="n">
        <v>0.5</v>
      </c>
      <c r="N403" s="5" t="n">
        <v>0.33</v>
      </c>
    </row>
    <row r="404">
      <c r="A404" t="n">
        <v>403</v>
      </c>
      <c r="B404" t="n">
        <v>2015</v>
      </c>
      <c r="C404" t="inlineStr">
        <is>
          <t>Theia Zhang</t>
        </is>
      </c>
      <c r="D404">
        <f>HYPERLINK("https://ota.tournamentsoftware.com/player-profile/8628DB3F-1A24-45E1-A1F1-727AFFD593DD", "Link")</f>
        <v/>
      </c>
      <c r="E404" s="3" t="n">
        <v>142.594</v>
      </c>
      <c r="F404" s="4" t="n">
        <v>11</v>
      </c>
      <c r="G404" t="inlineStr">
        <is>
          <t>Ontario Tennis Association</t>
        </is>
      </c>
      <c r="H404" t="inlineStr">
        <is>
          <t>Premier Racquet Clubs – Mississauga</t>
        </is>
      </c>
      <c r="I404" t="n">
        <v>35.8</v>
      </c>
      <c r="J404" s="4" t="n">
        <v>102</v>
      </c>
      <c r="K404" t="inlineStr">
        <is>
          <t>48 / 54</t>
        </is>
      </c>
      <c r="L404" t="inlineStr">
        <is>
          <t>1 / 6</t>
        </is>
      </c>
      <c r="M404" s="5" t="n">
        <v>0.47</v>
      </c>
      <c r="N404" s="5" t="n">
        <v>0.14</v>
      </c>
    </row>
    <row r="405">
      <c r="A405" t="n">
        <v>404</v>
      </c>
      <c r="B405" t="n">
        <v>2014</v>
      </c>
      <c r="C405" t="inlineStr">
        <is>
          <t>myra Malik</t>
        </is>
      </c>
      <c r="D405">
        <f>HYPERLINK("https://ota.tournamentsoftware.com/player-profile/B5B677E5-44EA-48DD-95B7-05BF38E3758B", "Link")</f>
        <v/>
      </c>
      <c r="E405" s="3" t="n">
        <v>140.56</v>
      </c>
      <c r="F405" s="4" t="n">
        <v>27</v>
      </c>
      <c r="G405" t="inlineStr">
        <is>
          <t>British Columbia</t>
        </is>
      </c>
      <c r="H405" t="inlineStr">
        <is>
          <t>The Tennis Centre</t>
        </is>
      </c>
      <c r="I405" t="n">
        <v>32.8</v>
      </c>
      <c r="J405" s="4" t="n">
        <v>68</v>
      </c>
      <c r="K405" t="inlineStr">
        <is>
          <t>32 / 36</t>
        </is>
      </c>
      <c r="L405" t="inlineStr">
        <is>
          <t>25 / 22</t>
        </is>
      </c>
      <c r="M405" s="5" t="n">
        <v>0.47</v>
      </c>
      <c r="N405" s="5" t="n">
        <v>0.53</v>
      </c>
    </row>
    <row r="406">
      <c r="A406" t="n">
        <v>405</v>
      </c>
      <c r="B406" t="n">
        <v>2014</v>
      </c>
      <c r="C406" t="inlineStr">
        <is>
          <t>Melissa Yi Nuo Yang</t>
        </is>
      </c>
      <c r="D406">
        <f>HYPERLINK("https://ota.tournamentsoftware.com/player-profile/870FB276-B8EA-4586-B0F5-B2318D4B1CD6", "Link")</f>
        <v/>
      </c>
      <c r="E406" s="3" t="n">
        <v>139.267</v>
      </c>
      <c r="F406" s="4" t="n">
        <v>18</v>
      </c>
      <c r="G406" t="inlineStr">
        <is>
          <t>Tennis Québec</t>
        </is>
      </c>
      <c r="H406" t="inlineStr">
        <is>
          <t>Club Sportif Côte-de-Liesse</t>
        </is>
      </c>
      <c r="I406" t="n">
        <v>32.9</v>
      </c>
      <c r="J406" s="4" t="n">
        <v>86</v>
      </c>
      <c r="K406" t="inlineStr">
        <is>
          <t>44 / 42</t>
        </is>
      </c>
      <c r="L406" t="inlineStr">
        <is>
          <t>24 / 11</t>
        </is>
      </c>
      <c r="M406" s="5" t="n">
        <v>0.51</v>
      </c>
      <c r="N406" s="5" t="n">
        <v>0.6899999999999999</v>
      </c>
    </row>
    <row r="407">
      <c r="A407" t="n">
        <v>406</v>
      </c>
      <c r="B407" t="n">
        <v>2012</v>
      </c>
      <c r="C407" t="inlineStr">
        <is>
          <t>Spencer Xie</t>
        </is>
      </c>
      <c r="D407">
        <f>HYPERLINK("https://ota.tournamentsoftware.com/player-profile/E8C882F3-740E-4E76-A249-7FC036AFD1F8", "Link")</f>
        <v/>
      </c>
      <c r="E407" s="3" t="n">
        <v>138.244</v>
      </c>
      <c r="F407" s="4" t="n">
        <v>12</v>
      </c>
      <c r="G407" t="inlineStr">
        <is>
          <t>Ontario Tennis Association</t>
        </is>
      </c>
      <c r="H407" t="inlineStr">
        <is>
          <t>Granite Club</t>
        </is>
      </c>
      <c r="I407" t="n">
        <v>35.2</v>
      </c>
      <c r="J407" s="4" t="n">
        <v>71</v>
      </c>
      <c r="K407" t="inlineStr">
        <is>
          <t>19 / 52</t>
        </is>
      </c>
      <c r="L407" t="inlineStr">
        <is>
          <t>6 / 13</t>
        </is>
      </c>
      <c r="M407" s="5" t="n">
        <v>0.27</v>
      </c>
      <c r="N407" s="5" t="n">
        <v>0.32</v>
      </c>
    </row>
    <row r="408">
      <c r="A408" t="n">
        <v>407</v>
      </c>
      <c r="B408" t="n">
        <v>2013</v>
      </c>
      <c r="C408" t="inlineStr">
        <is>
          <t>Audrey Ziqi Liu</t>
        </is>
      </c>
      <c r="D408">
        <f>HYPERLINK("https://ota.tournamentsoftware.com/player-profile/C2E6156A-D7ED-45A1-B728-0FA7A8D2D6A1", "Link")</f>
        <v/>
      </c>
      <c r="E408" s="3" t="n">
        <v>138.106</v>
      </c>
      <c r="F408" s="4" t="n">
        <v>11</v>
      </c>
      <c r="G408" t="inlineStr">
        <is>
          <t>British Columbia</t>
        </is>
      </c>
      <c r="H408" t="inlineStr">
        <is>
          <t>UBC Tennis Centre</t>
        </is>
      </c>
      <c r="I408" t="n">
        <v>34.8</v>
      </c>
      <c r="J408" s="4" t="n">
        <v>28</v>
      </c>
      <c r="K408" t="inlineStr">
        <is>
          <t>9 / 19</t>
        </is>
      </c>
      <c r="L408" t="inlineStr">
        <is>
          <t>8 / 17</t>
        </is>
      </c>
      <c r="M408" s="5" t="n">
        <v>0.32</v>
      </c>
      <c r="N408" s="5" t="n">
        <v>0.32</v>
      </c>
    </row>
    <row r="409">
      <c r="A409" t="n">
        <v>408</v>
      </c>
      <c r="B409" t="n">
        <v>2012</v>
      </c>
      <c r="C409" t="inlineStr">
        <is>
          <t>Sophia Hamel</t>
        </is>
      </c>
      <c r="D409">
        <f>HYPERLINK("https://ota.tournamentsoftware.com/player-profile/D6C2A4EC-5F86-459B-A81E-7C31F47AD78D", "Link")</f>
        <v/>
      </c>
      <c r="E409" s="3" t="n">
        <v>135.331</v>
      </c>
      <c r="F409" s="4" t="n">
        <v>9</v>
      </c>
      <c r="G409" t="inlineStr">
        <is>
          <t>Tennis Québec</t>
        </is>
      </c>
      <c r="H409" t="inlineStr">
        <is>
          <t>Rouge et Or - Université Laval</t>
        </is>
      </c>
      <c r="I409" t="n">
        <v>35</v>
      </c>
      <c r="J409" s="4" t="n">
        <v>71</v>
      </c>
      <c r="K409" t="inlineStr">
        <is>
          <t>15 / 56</t>
        </is>
      </c>
      <c r="L409" t="inlineStr">
        <is>
          <t>6 / 11</t>
        </is>
      </c>
      <c r="M409" s="5" t="n">
        <v>0.21</v>
      </c>
      <c r="N409" s="5" t="n">
        <v>0.35</v>
      </c>
    </row>
    <row r="410">
      <c r="A410" t="n">
        <v>409</v>
      </c>
      <c r="B410" t="n">
        <v>2012</v>
      </c>
      <c r="C410" t="inlineStr">
        <is>
          <t>Aila Olivia Brimacombe</t>
        </is>
      </c>
      <c r="D410">
        <f>HYPERLINK("https://ota.tournamentsoftware.com/player-profile/665F5A6C-3B65-4541-A5CF-6A84DC235104", "Link")</f>
        <v/>
      </c>
      <c r="E410" s="3" t="n">
        <v>134.944</v>
      </c>
      <c r="F410" s="4" t="n">
        <v>21</v>
      </c>
      <c r="G410" t="inlineStr">
        <is>
          <t>British Columbia</t>
        </is>
      </c>
      <c r="H410" t="inlineStr">
        <is>
          <t>West Vancouver Tennis Club</t>
        </is>
      </c>
      <c r="I410" t="n">
        <v>35.6</v>
      </c>
      <c r="J410" s="4" t="n">
        <v>115</v>
      </c>
      <c r="K410" t="inlineStr">
        <is>
          <t>19 / 96</t>
        </is>
      </c>
      <c r="L410" t="inlineStr">
        <is>
          <t>9 / 31</t>
        </is>
      </c>
      <c r="M410" s="5" t="n">
        <v>0.17</v>
      </c>
      <c r="N410" s="5" t="n">
        <v>0.23</v>
      </c>
    </row>
    <row r="411">
      <c r="A411" t="n">
        <v>410</v>
      </c>
      <c r="B411" t="n">
        <v>2015</v>
      </c>
      <c r="C411" t="inlineStr">
        <is>
          <t>Anya De Lain</t>
        </is>
      </c>
      <c r="D411">
        <f>HYPERLINK("https://ota.tournamentsoftware.com/player-profile/563B79E2-A8FE-4D68-B224-8FB6861F2D7F", "Link")</f>
        <v/>
      </c>
      <c r="E411" s="3" t="n">
        <v>134.241</v>
      </c>
      <c r="F411" s="4" t="n">
        <v>14</v>
      </c>
      <c r="G411" t="inlineStr">
        <is>
          <t>Tennis Québec</t>
        </is>
      </c>
      <c r="H411" t="inlineStr">
        <is>
          <t>EB Tennis inc.</t>
        </is>
      </c>
      <c r="I411" t="n">
        <v>40</v>
      </c>
      <c r="J411" s="4" t="n">
        <v>90</v>
      </c>
      <c r="K411" t="inlineStr">
        <is>
          <t>16 / 74</t>
        </is>
      </c>
      <c r="L411" t="inlineStr">
        <is>
          <t>2 / 18</t>
        </is>
      </c>
      <c r="M411" s="5" t="n">
        <v>0.18</v>
      </c>
      <c r="N411" s="5" t="n">
        <v>0.1</v>
      </c>
    </row>
    <row r="412">
      <c r="A412" t="n">
        <v>411</v>
      </c>
      <c r="B412" t="n">
        <v>2015</v>
      </c>
      <c r="C412" t="inlineStr">
        <is>
          <t>Blake Badger</t>
        </is>
      </c>
      <c r="D412">
        <f>HYPERLINK("https://ota.tournamentsoftware.com/player-profile/33B72483-1E5D-4043-8C06-81F76F0504E6", "Link")</f>
        <v/>
      </c>
      <c r="E412" s="3" t="n">
        <v>133.817</v>
      </c>
      <c r="F412" s="4" t="n">
        <v>4</v>
      </c>
      <c r="G412" t="inlineStr">
        <is>
          <t>Tennis Saskatchewan</t>
        </is>
      </c>
      <c r="H412" t="inlineStr">
        <is>
          <t>Lakeshore Tennis Club</t>
        </is>
      </c>
      <c r="I412" t="n">
        <v>38.3</v>
      </c>
      <c r="J412" s="4" t="n">
        <v>63</v>
      </c>
      <c r="K412" t="inlineStr">
        <is>
          <t>20 / 43</t>
        </is>
      </c>
      <c r="L412" t="inlineStr">
        <is>
          <t>2 / 7</t>
        </is>
      </c>
      <c r="M412" s="5" t="n">
        <v>0.32</v>
      </c>
      <c r="N412" s="5" t="n">
        <v>0.22</v>
      </c>
    </row>
    <row r="413">
      <c r="A413" t="n">
        <v>412</v>
      </c>
      <c r="B413" t="n">
        <v>2014</v>
      </c>
      <c r="C413" t="inlineStr">
        <is>
          <t>Jaynaëlle Isaac</t>
        </is>
      </c>
      <c r="D413">
        <f>HYPERLINK("https://ota.tournamentsoftware.com/player-profile/6748F07C-41D2-4D26-87D9-8636B60DC389", "Link")</f>
        <v/>
      </c>
      <c r="E413" s="3" t="n">
        <v>132.874</v>
      </c>
      <c r="F413" s="4" t="n">
        <v>11</v>
      </c>
      <c r="G413" t="inlineStr">
        <is>
          <t>Tennis Québec</t>
        </is>
      </c>
      <c r="H413" t="inlineStr">
        <is>
          <t>No Club</t>
        </is>
      </c>
      <c r="I413" t="n">
        <v>32.5</v>
      </c>
      <c r="J413" s="4" t="n">
        <v>124</v>
      </c>
      <c r="K413" t="inlineStr">
        <is>
          <t>49 / 75</t>
        </is>
      </c>
      <c r="L413" t="inlineStr">
        <is>
          <t>9 / 11</t>
        </is>
      </c>
      <c r="M413" s="5" t="n">
        <v>0.4</v>
      </c>
      <c r="N413" s="5" t="n">
        <v>0.45</v>
      </c>
    </row>
    <row r="414">
      <c r="A414" t="n">
        <v>413</v>
      </c>
      <c r="B414" t="n">
        <v>2013</v>
      </c>
      <c r="C414" t="inlineStr">
        <is>
          <t>Olivia Xing</t>
        </is>
      </c>
      <c r="D414">
        <f>HYPERLINK("https://ota.tournamentsoftware.com/player-profile/03475BC0-CC60-490A-8E94-0D82D43C8EDC", "Link")</f>
        <v/>
      </c>
      <c r="E414" s="3" t="n">
        <v>132.497</v>
      </c>
      <c r="F414" s="4" t="n">
        <v>17</v>
      </c>
      <c r="G414" t="inlineStr">
        <is>
          <t>British Columbia</t>
        </is>
      </c>
      <c r="H414" t="inlineStr">
        <is>
          <t>Vancouver Lawn Tennis and Badminton Club</t>
        </is>
      </c>
      <c r="I414" t="inlineStr">
        <is>
          <t>unavailable</t>
        </is>
      </c>
      <c r="J414" s="4" t="n">
        <v>117</v>
      </c>
      <c r="K414" t="inlineStr">
        <is>
          <t>57 / 60</t>
        </is>
      </c>
      <c r="L414" t="inlineStr">
        <is>
          <t>10 / 13</t>
        </is>
      </c>
      <c r="M414" s="5" t="n">
        <v>0.49</v>
      </c>
      <c r="N414" s="5" t="n">
        <v>0.43</v>
      </c>
    </row>
    <row r="415">
      <c r="A415" t="n">
        <v>414</v>
      </c>
      <c r="B415" t="n">
        <v>2013</v>
      </c>
      <c r="C415" t="inlineStr">
        <is>
          <t>Zoé Pilon</t>
        </is>
      </c>
      <c r="D415">
        <f>HYPERLINK("https://ota.tournamentsoftware.com/player-profile/5CF92DF6-CB3B-4E9E-9D03-B9CC6481DEBA", "Link")</f>
        <v/>
      </c>
      <c r="E415" s="3" t="n">
        <v>131.911</v>
      </c>
      <c r="F415" s="4" t="n">
        <v>11</v>
      </c>
      <c r="G415" t="inlineStr">
        <is>
          <t>Tennis Québec</t>
        </is>
      </c>
      <c r="H415" t="inlineStr">
        <is>
          <t>Tennis Interclub Piedmont</t>
        </is>
      </c>
      <c r="I415" t="n">
        <v>37.4</v>
      </c>
      <c r="J415" s="4" t="n">
        <v>21</v>
      </c>
      <c r="K415" t="inlineStr">
        <is>
          <t>7 / 14</t>
        </is>
      </c>
      <c r="L415" t="inlineStr">
        <is>
          <t>3 / 11</t>
        </is>
      </c>
      <c r="M415" s="5" t="n">
        <v>0.33</v>
      </c>
      <c r="N415" s="5" t="n">
        <v>0.21</v>
      </c>
    </row>
    <row r="416">
      <c r="A416" t="n">
        <v>415</v>
      </c>
      <c r="B416" t="n">
        <v>2015</v>
      </c>
      <c r="C416" t="inlineStr">
        <is>
          <t>Athisayah Viji</t>
        </is>
      </c>
      <c r="D416">
        <f>HYPERLINK("https://ota.tournamentsoftware.com/player-profile/C8684F68-4EF9-414D-BDA9-FC73111C2DB8", "Link")</f>
        <v/>
      </c>
      <c r="E416" s="3" t="n">
        <v>131.362</v>
      </c>
      <c r="F416" s="4" t="n">
        <v>19</v>
      </c>
      <c r="G416" t="inlineStr">
        <is>
          <t>British Columbia</t>
        </is>
      </c>
      <c r="H416" t="inlineStr">
        <is>
          <t>The Tennis Centre</t>
        </is>
      </c>
      <c r="I416" t="n">
        <v>31.8</v>
      </c>
      <c r="J416" s="4" t="n">
        <v>126</v>
      </c>
      <c r="K416" t="inlineStr">
        <is>
          <t>75 / 51</t>
        </is>
      </c>
      <c r="L416" t="inlineStr">
        <is>
          <t>35 / 16</t>
        </is>
      </c>
      <c r="M416" s="5" t="n">
        <v>0.6</v>
      </c>
      <c r="N416" s="5" t="n">
        <v>0.6899999999999999</v>
      </c>
    </row>
    <row r="417">
      <c r="A417" t="n">
        <v>416</v>
      </c>
      <c r="B417" t="n">
        <v>2014</v>
      </c>
      <c r="C417" t="inlineStr">
        <is>
          <t>Olivia Weiwei Kong</t>
        </is>
      </c>
      <c r="D417">
        <f>HYPERLINK("https://ota.tournamentsoftware.com/player-profile/D959AEB1-2F72-4DC3-9FC0-C7595A80CDA0", "Link")</f>
        <v/>
      </c>
      <c r="E417" s="3" t="n">
        <v>130.887</v>
      </c>
      <c r="F417" s="4" t="n">
        <v>6</v>
      </c>
      <c r="G417" t="inlineStr">
        <is>
          <t>Tennis Saskatchewan</t>
        </is>
      </c>
      <c r="H417" t="inlineStr">
        <is>
          <t>Lakeshore Tennis Club</t>
        </is>
      </c>
      <c r="I417" t="n">
        <v>35.8</v>
      </c>
      <c r="J417" s="4" t="n">
        <v>91</v>
      </c>
      <c r="K417" t="inlineStr">
        <is>
          <t>23 / 68</t>
        </is>
      </c>
      <c r="L417" t="inlineStr">
        <is>
          <t>4 / 11</t>
        </is>
      </c>
      <c r="M417" s="5" t="n">
        <v>0.25</v>
      </c>
      <c r="N417" s="5" t="n">
        <v>0.27</v>
      </c>
    </row>
    <row r="418">
      <c r="A418" t="n">
        <v>417</v>
      </c>
      <c r="B418" t="n">
        <v>2012</v>
      </c>
      <c r="C418" t="inlineStr">
        <is>
          <t>Eliana Yiannacouras</t>
        </is>
      </c>
      <c r="D418">
        <f>HYPERLINK("https://ota.tournamentsoftware.com/player-profile/B77AA2DD-5FF4-4B16-8ABD-E6ED22D4B5E1", "Link")</f>
        <v/>
      </c>
      <c r="E418" s="3" t="n">
        <v>130.395</v>
      </c>
      <c r="F418" s="4" t="n">
        <v>13</v>
      </c>
      <c r="G418" t="inlineStr">
        <is>
          <t>Ontario Tennis Association</t>
        </is>
      </c>
      <c r="H418" t="inlineStr">
        <is>
          <t>The Supreme Court Tennis Club</t>
        </is>
      </c>
      <c r="I418" t="n">
        <v>34.6</v>
      </c>
      <c r="J418" s="4" t="n">
        <v>97</v>
      </c>
      <c r="K418" t="inlineStr">
        <is>
          <t>25 / 72</t>
        </is>
      </c>
      <c r="L418" t="inlineStr">
        <is>
          <t>6 / 9</t>
        </is>
      </c>
      <c r="M418" s="5" t="n">
        <v>0.26</v>
      </c>
      <c r="N418" s="5" t="n">
        <v>0.4</v>
      </c>
    </row>
    <row r="419">
      <c r="A419" t="n">
        <v>418</v>
      </c>
      <c r="B419" t="n">
        <v>2016</v>
      </c>
      <c r="C419" t="inlineStr">
        <is>
          <t>Eva Yanakieva</t>
        </is>
      </c>
      <c r="D419">
        <f>HYPERLINK("https://ota.tournamentsoftware.com/player-profile/7FBBEC05-D20C-448B-93F1-1F8C6BA80758", "Link")</f>
        <v/>
      </c>
      <c r="E419" s="3" t="n">
        <v>129.733</v>
      </c>
      <c r="F419" s="4" t="n">
        <v>20</v>
      </c>
      <c r="G419" t="inlineStr">
        <is>
          <t>Tennis Québec</t>
        </is>
      </c>
      <c r="H419" t="inlineStr">
        <is>
          <t>Tennis Montréal Excellence</t>
        </is>
      </c>
      <c r="I419" t="n">
        <v>35.7</v>
      </c>
      <c r="J419" s="4" t="n">
        <v>175</v>
      </c>
      <c r="K419" t="inlineStr">
        <is>
          <t>84 / 91</t>
        </is>
      </c>
      <c r="L419" t="inlineStr">
        <is>
          <t>23 / 23</t>
        </is>
      </c>
      <c r="M419" s="5" t="n">
        <v>0.48</v>
      </c>
      <c r="N419" s="5" t="n">
        <v>0.5</v>
      </c>
    </row>
    <row r="420">
      <c r="A420" t="n">
        <v>419</v>
      </c>
      <c r="B420" t="n">
        <v>2014</v>
      </c>
      <c r="C420" t="inlineStr">
        <is>
          <t>Scarlett Hannah Yip</t>
        </is>
      </c>
      <c r="D420">
        <f>HYPERLINK("https://ota.tournamentsoftware.com/player-profile/D01B38C8-E207-4D1F-B33D-970B1F8BDC78", "Link")</f>
        <v/>
      </c>
      <c r="E420" s="3" t="n">
        <v>128.523</v>
      </c>
      <c r="F420" s="4" t="n">
        <v>12</v>
      </c>
      <c r="G420" t="inlineStr">
        <is>
          <t>Tennis Alberta</t>
        </is>
      </c>
      <c r="H420" t="inlineStr">
        <is>
          <t>Osten &amp; Victor Alberta Tennis Centre</t>
        </is>
      </c>
      <c r="I420" t="n">
        <v>33.7</v>
      </c>
      <c r="J420" s="4" t="n">
        <v>146</v>
      </c>
      <c r="K420" t="inlineStr">
        <is>
          <t>65 / 81</t>
        </is>
      </c>
      <c r="L420" t="inlineStr">
        <is>
          <t>6 / 8</t>
        </is>
      </c>
      <c r="M420" s="5" t="n">
        <v>0.45</v>
      </c>
      <c r="N420" s="5" t="n">
        <v>0.43</v>
      </c>
    </row>
    <row r="421">
      <c r="A421" t="n">
        <v>420</v>
      </c>
      <c r="B421" t="n">
        <v>2014</v>
      </c>
      <c r="C421" t="inlineStr">
        <is>
          <t>Afsoune Wassel</t>
        </is>
      </c>
      <c r="D421">
        <f>HYPERLINK("https://ota.tournamentsoftware.com/player-profile/72D5D7A1-94DE-47DF-B01E-F83205C53092", "Link")</f>
        <v/>
      </c>
      <c r="E421" s="3" t="n">
        <v>128.099</v>
      </c>
      <c r="F421" s="4" t="n">
        <v>21</v>
      </c>
      <c r="G421" t="inlineStr">
        <is>
          <t>Tennis Québec</t>
        </is>
      </c>
      <c r="H421" t="inlineStr">
        <is>
          <t>SANI Sport</t>
        </is>
      </c>
      <c r="I421" t="n">
        <v>34.7</v>
      </c>
      <c r="J421" s="4" t="n">
        <v>118</v>
      </c>
      <c r="K421" t="inlineStr">
        <is>
          <t>59 / 59</t>
        </is>
      </c>
      <c r="L421" t="inlineStr">
        <is>
          <t>7 / 13</t>
        </is>
      </c>
      <c r="M421" s="5" t="n">
        <v>0.5</v>
      </c>
      <c r="N421" s="5" t="n">
        <v>0.35</v>
      </c>
    </row>
    <row r="422">
      <c r="A422" t="n">
        <v>421</v>
      </c>
      <c r="B422" t="n">
        <v>2014</v>
      </c>
      <c r="C422" t="inlineStr">
        <is>
          <t>Mikayla Avani Mahanandan</t>
        </is>
      </c>
      <c r="D422">
        <f>HYPERLINK("https://ota.tournamentsoftware.com/player-profile/DAFD5F0F-733D-4242-B572-5905268B6041", "Link")</f>
        <v/>
      </c>
      <c r="E422" s="3" t="n">
        <v>127.05</v>
      </c>
      <c r="F422" s="4" t="n">
        <v>24</v>
      </c>
      <c r="G422" t="inlineStr">
        <is>
          <t>Ontario Tennis Association</t>
        </is>
      </c>
      <c r="H422" t="inlineStr">
        <is>
          <t>Premier Racquet Clubs – Mississauga</t>
        </is>
      </c>
      <c r="I422" t="inlineStr">
        <is>
          <t>unavailable</t>
        </is>
      </c>
      <c r="J422" s="4" t="n">
        <v>110</v>
      </c>
      <c r="K422" t="inlineStr">
        <is>
          <t>38 / 72</t>
        </is>
      </c>
      <c r="L422" t="inlineStr">
        <is>
          <t>14 / 23</t>
        </is>
      </c>
      <c r="M422" s="5" t="n">
        <v>0.35</v>
      </c>
      <c r="N422" s="5" t="n">
        <v>0.38</v>
      </c>
    </row>
    <row r="423">
      <c r="A423" t="n">
        <v>422</v>
      </c>
      <c r="B423" t="n">
        <v>2015</v>
      </c>
      <c r="C423" t="inlineStr">
        <is>
          <t>Isla Suokas</t>
        </is>
      </c>
      <c r="D423">
        <f>HYPERLINK("https://ota.tournamentsoftware.com/player-profile/4CF0CDA6-2600-4F1B-8775-31212B766E74", "Link")</f>
        <v/>
      </c>
      <c r="E423" s="3" t="n">
        <v>126</v>
      </c>
      <c r="F423" s="4" t="n">
        <v>23</v>
      </c>
      <c r="G423" t="inlineStr">
        <is>
          <t>Ontario Tennis Association</t>
        </is>
      </c>
      <c r="H423" t="inlineStr">
        <is>
          <t>Boulevard Club</t>
        </is>
      </c>
      <c r="I423" t="n">
        <v>34.7</v>
      </c>
      <c r="J423" s="4" t="n">
        <v>100</v>
      </c>
      <c r="K423" t="inlineStr">
        <is>
          <t>60 / 40</t>
        </is>
      </c>
      <c r="L423" t="inlineStr">
        <is>
          <t>25 / 17</t>
        </is>
      </c>
      <c r="M423" s="5" t="n">
        <v>0.6</v>
      </c>
      <c r="N423" s="5" t="n">
        <v>0.6</v>
      </c>
    </row>
    <row r="424">
      <c r="A424" t="n">
        <v>423</v>
      </c>
      <c r="B424" t="n">
        <v>2015</v>
      </c>
      <c r="C424" t="inlineStr">
        <is>
          <t>Xinyue Grace zhu</t>
        </is>
      </c>
      <c r="D424">
        <f>HYPERLINK("https://ota.tournamentsoftware.com/player-profile/9C1D6B37-A27B-4B15-8F8F-72E6D4418B50", "Link")</f>
        <v/>
      </c>
      <c r="E424" s="3" t="n">
        <v>124.998</v>
      </c>
      <c r="F424" s="4" t="n">
        <v>11</v>
      </c>
      <c r="G424" t="inlineStr">
        <is>
          <t>British Columbia</t>
        </is>
      </c>
      <c r="H424" t="inlineStr">
        <is>
          <t>North Vancouver Tennis Centre</t>
        </is>
      </c>
      <c r="I424" t="inlineStr">
        <is>
          <t>unavailable</t>
        </is>
      </c>
      <c r="J424" s="4" t="n">
        <v>184</v>
      </c>
      <c r="K424" t="inlineStr">
        <is>
          <t>111 / 73</t>
        </is>
      </c>
      <c r="L424" t="inlineStr">
        <is>
          <t>12 / 10</t>
        </is>
      </c>
      <c r="M424" s="5" t="n">
        <v>0.6</v>
      </c>
      <c r="N424" s="5" t="n">
        <v>0.55</v>
      </c>
    </row>
    <row r="425">
      <c r="A425" t="n">
        <v>424</v>
      </c>
      <c r="B425" t="n">
        <v>2014</v>
      </c>
      <c r="C425" t="inlineStr">
        <is>
          <t>Sonia Leung</t>
        </is>
      </c>
      <c r="D425">
        <f>HYPERLINK("https://ota.tournamentsoftware.com/player-profile/CCA302B0-3E0B-42DA-BCF9-B1A9AF0035E5", "Link")</f>
        <v/>
      </c>
      <c r="E425" s="3" t="n">
        <v>124.32</v>
      </c>
      <c r="F425" s="4" t="n">
        <v>18</v>
      </c>
      <c r="G425" t="inlineStr">
        <is>
          <t>Ontario Tennis Association</t>
        </is>
      </c>
      <c r="H425" t="inlineStr">
        <is>
          <t>Toronto Tennis Academy</t>
        </is>
      </c>
      <c r="I425" t="n">
        <v>34.3</v>
      </c>
      <c r="J425" s="4" t="n">
        <v>66</v>
      </c>
      <c r="K425" t="inlineStr">
        <is>
          <t>33 / 33</t>
        </is>
      </c>
      <c r="L425" t="inlineStr">
        <is>
          <t>24 / 13</t>
        </is>
      </c>
      <c r="M425" s="5" t="n">
        <v>0.5</v>
      </c>
      <c r="N425" s="5" t="n">
        <v>0.65</v>
      </c>
    </row>
    <row r="426">
      <c r="A426" t="n">
        <v>425</v>
      </c>
      <c r="B426" t="n">
        <v>2014</v>
      </c>
      <c r="C426" t="inlineStr">
        <is>
          <t>Grace Wu</t>
        </is>
      </c>
      <c r="D426">
        <f>HYPERLINK("https://ota.tournamentsoftware.com/player-profile/0E55C3D7-7F72-4CDB-9BC3-2D90797931A5", "Link")</f>
        <v/>
      </c>
      <c r="E426" s="3" t="n">
        <v>123.93</v>
      </c>
      <c r="F426" s="4" t="n">
        <v>5</v>
      </c>
      <c r="G426" t="inlineStr">
        <is>
          <t>British Columbia</t>
        </is>
      </c>
      <c r="H426" t="inlineStr">
        <is>
          <t>The Tennis Centre</t>
        </is>
      </c>
      <c r="I426" t="n">
        <v>32.1</v>
      </c>
      <c r="J426" s="4" t="n">
        <v>96</v>
      </c>
      <c r="K426" t="inlineStr">
        <is>
          <t>63 / 33</t>
        </is>
      </c>
      <c r="L426" t="inlineStr">
        <is>
          <t>3 / 4</t>
        </is>
      </c>
      <c r="M426" s="5" t="n">
        <v>0.66</v>
      </c>
      <c r="N426" s="5" t="n">
        <v>0.43</v>
      </c>
    </row>
    <row r="427">
      <c r="A427" t="n">
        <v>426</v>
      </c>
      <c r="B427" t="n">
        <v>2015</v>
      </c>
      <c r="C427" t="inlineStr">
        <is>
          <t>Chloe Zhiyan Bai</t>
        </is>
      </c>
      <c r="D427">
        <f>HYPERLINK("https://ota.tournamentsoftware.com/player-profile/D190414C-9B0E-4001-86BC-CD88F7FCF827", "Link")</f>
        <v/>
      </c>
      <c r="E427" s="3" t="n">
        <v>123.895</v>
      </c>
      <c r="F427" s="4" t="n">
        <v>27</v>
      </c>
      <c r="G427" t="inlineStr">
        <is>
          <t>British Columbia</t>
        </is>
      </c>
      <c r="H427" t="inlineStr">
        <is>
          <t>Tennis BC Hub @ Richmond</t>
        </is>
      </c>
      <c r="I427" t="inlineStr">
        <is>
          <t>unavailable</t>
        </is>
      </c>
      <c r="J427" s="4" t="n">
        <v>176</v>
      </c>
      <c r="K427" t="inlineStr">
        <is>
          <t>81 / 95</t>
        </is>
      </c>
      <c r="L427" t="inlineStr">
        <is>
          <t>28 / 22</t>
        </is>
      </c>
      <c r="M427" s="5" t="n">
        <v>0.46</v>
      </c>
      <c r="N427" s="5" t="n">
        <v>0.5600000000000001</v>
      </c>
    </row>
    <row r="428">
      <c r="A428" t="n">
        <v>427</v>
      </c>
      <c r="B428" t="n">
        <v>2013</v>
      </c>
      <c r="C428" t="inlineStr">
        <is>
          <t>Alyxandra Grace Bellot Wildeman</t>
        </is>
      </c>
      <c r="D428">
        <f>HYPERLINK("https://ota.tournamentsoftware.com/player-profile/E2171261-67FD-4CFA-B4F2-64D9B979CCE5", "Link")</f>
        <v/>
      </c>
      <c r="E428" s="3" t="n">
        <v>122.607</v>
      </c>
      <c r="F428" s="4" t="n">
        <v>11</v>
      </c>
      <c r="G428" t="inlineStr">
        <is>
          <t>British Columbia</t>
        </is>
      </c>
      <c r="H428" t="inlineStr">
        <is>
          <t>Vanguard Tennis Academy</t>
        </is>
      </c>
      <c r="I428" t="n">
        <v>34.1</v>
      </c>
      <c r="J428" s="4" t="n">
        <v>125</v>
      </c>
      <c r="K428" t="inlineStr">
        <is>
          <t>54 / 71</t>
        </is>
      </c>
      <c r="L428" t="inlineStr">
        <is>
          <t>10 / 13</t>
        </is>
      </c>
      <c r="M428" s="5" t="n">
        <v>0.43</v>
      </c>
      <c r="N428" s="5" t="n">
        <v>0.43</v>
      </c>
    </row>
    <row r="429">
      <c r="A429" t="n">
        <v>428</v>
      </c>
      <c r="B429" t="n">
        <v>2014</v>
      </c>
      <c r="C429" t="inlineStr">
        <is>
          <t>Olivia Lee</t>
        </is>
      </c>
      <c r="D429">
        <f>HYPERLINK("https://ota.tournamentsoftware.com/player-profile/DEF89846-A0EF-4373-B8DC-8305F756E612", "Link")</f>
        <v/>
      </c>
      <c r="E429" s="3" t="n">
        <v>122.446</v>
      </c>
      <c r="F429" s="4" t="n">
        <v>24</v>
      </c>
      <c r="G429" t="inlineStr">
        <is>
          <t>Tennis Québec</t>
        </is>
      </c>
      <c r="H429" t="inlineStr">
        <is>
          <t>SANI Sport</t>
        </is>
      </c>
      <c r="I429" t="n">
        <v>36.4</v>
      </c>
      <c r="J429" s="4" t="n">
        <v>111</v>
      </c>
      <c r="K429" t="inlineStr">
        <is>
          <t>41 / 70</t>
        </is>
      </c>
      <c r="L429" t="inlineStr">
        <is>
          <t>11 / 22</t>
        </is>
      </c>
      <c r="M429" s="5" t="n">
        <v>0.37</v>
      </c>
      <c r="N429" s="5" t="n">
        <v>0.33</v>
      </c>
    </row>
    <row r="430">
      <c r="A430" t="n">
        <v>429</v>
      </c>
      <c r="B430" t="n">
        <v>2014</v>
      </c>
      <c r="C430" t="inlineStr">
        <is>
          <t>Bella Beiqi Zhao</t>
        </is>
      </c>
      <c r="D430">
        <f>HYPERLINK("https://ota.tournamentsoftware.com/player-profile/440C1FD3-B189-4153-99D4-C9B6B43D7D03", "Link")</f>
        <v/>
      </c>
      <c r="E430" s="3" t="n">
        <v>120.871</v>
      </c>
      <c r="F430" s="4" t="n">
        <v>27</v>
      </c>
      <c r="G430" t="inlineStr">
        <is>
          <t>British Columbia</t>
        </is>
      </c>
      <c r="H430" t="inlineStr">
        <is>
          <t>No Club</t>
        </is>
      </c>
      <c r="I430" t="n">
        <v>31.9</v>
      </c>
      <c r="J430" s="4" t="n">
        <v>208</v>
      </c>
      <c r="K430" t="inlineStr">
        <is>
          <t>84 / 124</t>
        </is>
      </c>
      <c r="L430" t="inlineStr">
        <is>
          <t>22 / 24</t>
        </is>
      </c>
      <c r="M430" s="5" t="n">
        <v>0.4</v>
      </c>
      <c r="N430" s="5" t="n">
        <v>0.48</v>
      </c>
    </row>
    <row r="431">
      <c r="A431" t="n">
        <v>430</v>
      </c>
      <c r="B431" t="n">
        <v>2013</v>
      </c>
      <c r="C431" t="inlineStr">
        <is>
          <t>Ellie Patricia Wilson</t>
        </is>
      </c>
      <c r="D431">
        <f>HYPERLINK("https://ota.tournamentsoftware.com/player-profile/CB4D2A63-DEA3-4EB8-9085-4317BC39804E", "Link")</f>
        <v/>
      </c>
      <c r="E431" s="3" t="n">
        <v>119.767</v>
      </c>
      <c r="F431" s="4" t="n">
        <v>8</v>
      </c>
      <c r="G431" t="inlineStr">
        <is>
          <t>Ontario Tennis Association</t>
        </is>
      </c>
      <c r="H431" t="inlineStr">
        <is>
          <t>Milton Tennis Club</t>
        </is>
      </c>
      <c r="I431" t="n">
        <v>34.4</v>
      </c>
      <c r="J431" s="4" t="n">
        <v>64</v>
      </c>
      <c r="K431" t="inlineStr">
        <is>
          <t>23 / 41</t>
        </is>
      </c>
      <c r="L431" t="inlineStr">
        <is>
          <t>2 / 4</t>
        </is>
      </c>
      <c r="M431" s="5" t="n">
        <v>0.36</v>
      </c>
      <c r="N431" s="5" t="n">
        <v>0.33</v>
      </c>
    </row>
    <row r="432">
      <c r="A432" t="n">
        <v>431</v>
      </c>
      <c r="B432" t="n">
        <v>2014</v>
      </c>
      <c r="C432" t="inlineStr">
        <is>
          <t>Ranica Li</t>
        </is>
      </c>
      <c r="D432">
        <f>HYPERLINK("https://ota.tournamentsoftware.com/player-profile/5C189397-D536-4086-AA1D-1AD29C093438", "Link")</f>
        <v/>
      </c>
      <c r="E432" s="3" t="n">
        <v>118.633</v>
      </c>
      <c r="F432" s="4" t="n">
        <v>19</v>
      </c>
      <c r="G432" t="inlineStr">
        <is>
          <t>British Columbia</t>
        </is>
      </c>
      <c r="H432" t="inlineStr">
        <is>
          <t>The Tennis Centre</t>
        </is>
      </c>
      <c r="I432" t="n">
        <v>32.6</v>
      </c>
      <c r="J432" s="4" t="n">
        <v>91</v>
      </c>
      <c r="K432" t="inlineStr">
        <is>
          <t>53 / 38</t>
        </is>
      </c>
      <c r="L432" t="inlineStr">
        <is>
          <t>29 / 15</t>
        </is>
      </c>
      <c r="M432" s="5" t="n">
        <v>0.58</v>
      </c>
      <c r="N432" s="5" t="n">
        <v>0.66</v>
      </c>
    </row>
    <row r="433">
      <c r="A433" t="n">
        <v>432</v>
      </c>
      <c r="B433" t="n">
        <v>2012</v>
      </c>
      <c r="C433" t="inlineStr">
        <is>
          <t>Myra Chowdhary</t>
        </is>
      </c>
      <c r="D433">
        <f>HYPERLINK("https://ota.tournamentsoftware.com/player-profile/CE7139B1-580D-4EF4-A747-D0E1E897EAFB", "Link")</f>
        <v/>
      </c>
      <c r="E433" s="3" t="n">
        <v>118.026</v>
      </c>
      <c r="F433" s="4" t="n">
        <v>8</v>
      </c>
      <c r="G433" t="inlineStr">
        <is>
          <t>Ontario Tennis Association</t>
        </is>
      </c>
      <c r="H433" t="inlineStr">
        <is>
          <t>Youngs Sportsplex</t>
        </is>
      </c>
      <c r="I433" t="n">
        <v>38.3</v>
      </c>
      <c r="J433" s="4" t="n">
        <v>39</v>
      </c>
      <c r="K433" t="inlineStr">
        <is>
          <t>12 / 27</t>
        </is>
      </c>
      <c r="L433" t="inlineStr">
        <is>
          <t>4 / 11</t>
        </is>
      </c>
      <c r="M433" s="5" t="n">
        <v>0.31</v>
      </c>
      <c r="N433" s="5" t="n">
        <v>0.27</v>
      </c>
    </row>
    <row r="434">
      <c r="A434" t="n">
        <v>433</v>
      </c>
      <c r="B434" t="n">
        <v>2013</v>
      </c>
      <c r="C434" t="inlineStr">
        <is>
          <t>Zaria Antonella Tambini</t>
        </is>
      </c>
      <c r="D434">
        <f>HYPERLINK("https://ota.tournamentsoftware.com/player-profile/92DDE685-2967-4CDD-8CA6-2827E6AC3AEB", "Link")</f>
        <v/>
      </c>
      <c r="E434" s="3" t="n">
        <v>117.899</v>
      </c>
      <c r="F434" s="4" t="n">
        <v>8</v>
      </c>
      <c r="G434" t="inlineStr">
        <is>
          <t>Ontario Tennis Association</t>
        </is>
      </c>
      <c r="H434" t="inlineStr">
        <is>
          <t>Headwaters Racquet Club</t>
        </is>
      </c>
      <c r="I434" t="n">
        <v>38</v>
      </c>
      <c r="J434" s="4" t="n">
        <v>26</v>
      </c>
      <c r="K434" t="inlineStr">
        <is>
          <t>10 / 16</t>
        </is>
      </c>
      <c r="L434" t="inlineStr">
        <is>
          <t>5 / 14</t>
        </is>
      </c>
      <c r="M434" s="5" t="n">
        <v>0.38</v>
      </c>
      <c r="N434" s="5" t="n">
        <v>0.26</v>
      </c>
    </row>
    <row r="435">
      <c r="A435" t="n">
        <v>434</v>
      </c>
      <c r="B435" t="n">
        <v>2015</v>
      </c>
      <c r="C435" t="inlineStr">
        <is>
          <t>Grace Raymond</t>
        </is>
      </c>
      <c r="D435">
        <f>HYPERLINK("https://ota.tournamentsoftware.com/player-profile/879338D5-D59E-4EA6-A8E9-135220F52905", "Link")</f>
        <v/>
      </c>
      <c r="E435" s="3" t="n">
        <v>117.654</v>
      </c>
      <c r="F435" s="4" t="n">
        <v>14</v>
      </c>
      <c r="G435" t="inlineStr">
        <is>
          <t>Tennis Alberta</t>
        </is>
      </c>
      <c r="H435" t="inlineStr">
        <is>
          <t>Osten &amp; Victor Alberta Tennis Centre</t>
        </is>
      </c>
      <c r="I435" t="n">
        <v>35.7</v>
      </c>
      <c r="J435" s="4" t="n">
        <v>69</v>
      </c>
      <c r="K435" t="inlineStr">
        <is>
          <t>30 / 39</t>
        </is>
      </c>
      <c r="L435" t="inlineStr">
        <is>
          <t>5 / 10</t>
        </is>
      </c>
      <c r="M435" s="5" t="n">
        <v>0.43</v>
      </c>
      <c r="N435" s="5" t="n">
        <v>0.33</v>
      </c>
    </row>
    <row r="436">
      <c r="A436" t="n">
        <v>435</v>
      </c>
      <c r="B436" t="n">
        <v>2015</v>
      </c>
      <c r="C436" t="inlineStr">
        <is>
          <t>Emma Plugaru</t>
        </is>
      </c>
      <c r="D436">
        <f>HYPERLINK("https://ota.tournamentsoftware.com/player-profile/A8C9C47A-4B9A-43CD-97A6-5516A6BAA15D", "Link")</f>
        <v/>
      </c>
      <c r="E436" s="3" t="n">
        <v>117.51</v>
      </c>
      <c r="F436" s="4" t="n">
        <v>15</v>
      </c>
      <c r="G436" t="inlineStr">
        <is>
          <t>Tennis Québec</t>
        </is>
      </c>
      <c r="H436" t="inlineStr">
        <is>
          <t>Tennis 13</t>
        </is>
      </c>
      <c r="I436" t="n">
        <v>33.6</v>
      </c>
      <c r="J436" s="4" t="n">
        <v>131</v>
      </c>
      <c r="K436" t="inlineStr">
        <is>
          <t>72 / 59</t>
        </is>
      </c>
      <c r="L436" t="inlineStr">
        <is>
          <t>19 / 10</t>
        </is>
      </c>
      <c r="M436" s="5" t="n">
        <v>0.55</v>
      </c>
      <c r="N436" s="5" t="n">
        <v>0.66</v>
      </c>
    </row>
    <row r="437">
      <c r="A437" t="n">
        <v>436</v>
      </c>
      <c r="B437" t="n">
        <v>2015</v>
      </c>
      <c r="C437" t="inlineStr">
        <is>
          <t>Mia Pan</t>
        </is>
      </c>
      <c r="D437">
        <f>HYPERLINK("https://ota.tournamentsoftware.com/player-profile/AC58096C-5119-4221-95E0-C06E89FC8EFF", "Link")</f>
        <v/>
      </c>
      <c r="E437" s="3" t="n">
        <v>116.37</v>
      </c>
      <c r="F437" s="4" t="n">
        <v>17</v>
      </c>
      <c r="G437" t="inlineStr">
        <is>
          <t>British Columbia</t>
        </is>
      </c>
      <c r="H437" t="inlineStr">
        <is>
          <t>Vanguard Tennis Academy</t>
        </is>
      </c>
      <c r="I437" t="inlineStr">
        <is>
          <t>unavailable</t>
        </is>
      </c>
      <c r="J437" s="4" t="n">
        <v>123</v>
      </c>
      <c r="K437" t="inlineStr">
        <is>
          <t>70 / 53</t>
        </is>
      </c>
      <c r="L437" t="inlineStr">
        <is>
          <t>26 / 19</t>
        </is>
      </c>
      <c r="M437" s="5" t="n">
        <v>0.57</v>
      </c>
      <c r="N437" s="5" t="n">
        <v>0.58</v>
      </c>
    </row>
    <row r="438">
      <c r="A438" t="n">
        <v>437</v>
      </c>
      <c r="B438" t="n">
        <v>2015</v>
      </c>
      <c r="C438" t="inlineStr">
        <is>
          <t>Sofia Bulynko</t>
        </is>
      </c>
      <c r="D438">
        <f>HYPERLINK("https://ota.tournamentsoftware.com/player-profile/88C213E0-0960-44DC-B9B0-66B1ADEE699B", "Link")</f>
        <v/>
      </c>
      <c r="E438" s="3" t="n">
        <v>116.274</v>
      </c>
      <c r="F438" s="4" t="n">
        <v>11</v>
      </c>
      <c r="G438" t="inlineStr">
        <is>
          <t>Ontario Tennis Association</t>
        </is>
      </c>
      <c r="H438" t="inlineStr">
        <is>
          <t>National Tennis School</t>
        </is>
      </c>
      <c r="I438" t="n">
        <v>35.8</v>
      </c>
      <c r="J438" s="4" t="n">
        <v>54</v>
      </c>
      <c r="K438" t="inlineStr">
        <is>
          <t>27 / 27</t>
        </is>
      </c>
      <c r="L438" t="inlineStr">
        <is>
          <t>10 / 10</t>
        </is>
      </c>
      <c r="M438" s="5" t="n">
        <v>0.5</v>
      </c>
      <c r="N438" s="5" t="n">
        <v>0.5</v>
      </c>
    </row>
    <row r="439">
      <c r="A439" t="n">
        <v>438</v>
      </c>
      <c r="B439" t="n">
        <v>2015</v>
      </c>
      <c r="C439" t="inlineStr">
        <is>
          <t>Namasya Nakul</t>
        </is>
      </c>
      <c r="D439">
        <f>HYPERLINK("https://ota.tournamentsoftware.com/player-profile/30AB6566-4805-4DA5-90A9-E6D59F3D0D64", "Link")</f>
        <v/>
      </c>
      <c r="E439" s="3" t="n">
        <v>116.243</v>
      </c>
      <c r="F439" s="4" t="n">
        <v>19</v>
      </c>
      <c r="G439" t="inlineStr">
        <is>
          <t>British Columbia</t>
        </is>
      </c>
      <c r="H439" t="inlineStr">
        <is>
          <t>Richmond Country Club</t>
        </is>
      </c>
      <c r="I439" t="n">
        <v>32.9</v>
      </c>
      <c r="J439" s="4" t="n">
        <v>120</v>
      </c>
      <c r="K439" t="inlineStr">
        <is>
          <t>65 / 55</t>
        </is>
      </c>
      <c r="L439" t="inlineStr">
        <is>
          <t>25 / 19</t>
        </is>
      </c>
      <c r="M439" s="5" t="n">
        <v>0.54</v>
      </c>
      <c r="N439" s="5" t="n">
        <v>0.57</v>
      </c>
    </row>
    <row r="440">
      <c r="A440" t="n">
        <v>439</v>
      </c>
      <c r="B440" t="n">
        <v>2013</v>
      </c>
      <c r="C440" t="inlineStr">
        <is>
          <t>Sofia Anne Brunetto</t>
        </is>
      </c>
      <c r="D440">
        <f>HYPERLINK("https://ota.tournamentsoftware.com/player-profile/C2843F1F-C701-4853-A79C-051450F19D77", "Link")</f>
        <v/>
      </c>
      <c r="E440" s="3" t="n">
        <v>116.084</v>
      </c>
      <c r="F440" s="4" t="n">
        <v>8</v>
      </c>
      <c r="G440" t="inlineStr">
        <is>
          <t>Ontario Tennis Association</t>
        </is>
      </c>
      <c r="H440" t="inlineStr">
        <is>
          <t>Zekelman Tennis Centre</t>
        </is>
      </c>
      <c r="I440" t="n">
        <v>33.8</v>
      </c>
      <c r="J440" s="4" t="n">
        <v>20</v>
      </c>
      <c r="K440" t="inlineStr">
        <is>
          <t>8 / 12</t>
        </is>
      </c>
      <c r="L440" t="inlineStr">
        <is>
          <t>3 / 7</t>
        </is>
      </c>
      <c r="M440" s="5" t="n">
        <v>0.4</v>
      </c>
      <c r="N440" s="5" t="n">
        <v>0.3</v>
      </c>
    </row>
    <row r="441">
      <c r="A441" t="n">
        <v>440</v>
      </c>
      <c r="B441" t="n">
        <v>2013</v>
      </c>
      <c r="C441" t="inlineStr">
        <is>
          <t>LEAH SHOJAIE</t>
        </is>
      </c>
      <c r="D441">
        <f>HYPERLINK("https://ota.tournamentsoftware.com/player-profile/A1DEEE7E-F9FE-4AA1-9DCF-5A3FDD2E189E", "Link")</f>
        <v/>
      </c>
      <c r="E441" s="3" t="n">
        <v>114.984</v>
      </c>
      <c r="F441" s="4" t="n">
        <v>11</v>
      </c>
      <c r="G441" t="inlineStr">
        <is>
          <t>Ontario Tennis Association</t>
        </is>
      </c>
      <c r="H441" t="inlineStr">
        <is>
          <t>Valan Tennis Academy</t>
        </is>
      </c>
      <c r="I441" t="n">
        <v>36.5</v>
      </c>
      <c r="J441" s="4" t="n">
        <v>16</v>
      </c>
      <c r="K441" t="inlineStr">
        <is>
          <t>4 / 12</t>
        </is>
      </c>
      <c r="L441" t="inlineStr">
        <is>
          <t>4 / 12</t>
        </is>
      </c>
      <c r="M441" s="5" t="n">
        <v>0.25</v>
      </c>
      <c r="N441" s="5" t="n">
        <v>0.25</v>
      </c>
    </row>
    <row r="442">
      <c r="A442" t="n">
        <v>441</v>
      </c>
      <c r="B442" t="n">
        <v>2015</v>
      </c>
      <c r="C442" t="inlineStr">
        <is>
          <t>Juliet Lauture</t>
        </is>
      </c>
      <c r="D442">
        <f>HYPERLINK("https://ota.tournamentsoftware.com/player-profile/70FC879C-9BB0-4123-BE70-BCB588C22C80", "Link")</f>
        <v/>
      </c>
      <c r="E442" s="3" t="n">
        <v>114.508</v>
      </c>
      <c r="F442" s="4" t="n">
        <v>23</v>
      </c>
      <c r="G442" t="inlineStr">
        <is>
          <t>Tennis Québec</t>
        </is>
      </c>
      <c r="H442" t="inlineStr">
        <is>
          <t>Club Sportif Côte-de-Liesse</t>
        </is>
      </c>
      <c r="I442" t="n">
        <v>35.5</v>
      </c>
      <c r="J442" s="4" t="n">
        <v>107</v>
      </c>
      <c r="K442" t="inlineStr">
        <is>
          <t>59 / 48</t>
        </is>
      </c>
      <c r="L442" t="inlineStr">
        <is>
          <t>20 / 20</t>
        </is>
      </c>
      <c r="M442" s="5" t="n">
        <v>0.55</v>
      </c>
      <c r="N442" s="5" t="n">
        <v>0.5</v>
      </c>
    </row>
    <row r="443">
      <c r="A443" t="n">
        <v>442</v>
      </c>
      <c r="B443" t="n">
        <v>2012</v>
      </c>
      <c r="C443" t="inlineStr">
        <is>
          <t>Zeyu (Anne) Xu</t>
        </is>
      </c>
      <c r="D443">
        <f>HYPERLINK("https://ota.tournamentsoftware.com/player-profile/7D4E0E2F-DC2C-4911-BF16-A07E84364BB7", "Link")</f>
        <v/>
      </c>
      <c r="E443" s="3" t="n">
        <v>113.598</v>
      </c>
      <c r="F443" s="4" t="n">
        <v>9</v>
      </c>
      <c r="G443" t="inlineStr">
        <is>
          <t>British Columbia</t>
        </is>
      </c>
      <c r="H443" t="inlineStr">
        <is>
          <t>Tennis BC Hub @ Richmond</t>
        </is>
      </c>
      <c r="I443" t="n">
        <v>34.7</v>
      </c>
      <c r="J443" s="4" t="n">
        <v>109</v>
      </c>
      <c r="K443" t="inlineStr">
        <is>
          <t>26 / 83</t>
        </is>
      </c>
      <c r="L443" t="inlineStr">
        <is>
          <t>4 / 13</t>
        </is>
      </c>
      <c r="M443" s="5" t="n">
        <v>0.24</v>
      </c>
      <c r="N443" s="5" t="n">
        <v>0.24</v>
      </c>
    </row>
    <row r="444">
      <c r="A444" t="n">
        <v>443</v>
      </c>
      <c r="B444" t="n">
        <v>2015</v>
      </c>
      <c r="C444" t="inlineStr">
        <is>
          <t>Misia Ania Pietras</t>
        </is>
      </c>
      <c r="D444">
        <f>HYPERLINK("https://ota.tournamentsoftware.com/player-profile/81A2D044-B79D-4C29-B0B3-9E7AF48F2811", "Link")</f>
        <v/>
      </c>
      <c r="E444" s="3" t="n">
        <v>113.264</v>
      </c>
      <c r="F444" s="4" t="n">
        <v>16</v>
      </c>
      <c r="G444" t="inlineStr">
        <is>
          <t>Ontario Tennis Association</t>
        </is>
      </c>
      <c r="H444" t="inlineStr">
        <is>
          <t>The Tennis School</t>
        </is>
      </c>
      <c r="I444" t="n">
        <v>35.4</v>
      </c>
      <c r="J444" s="4" t="n">
        <v>57</v>
      </c>
      <c r="K444" t="inlineStr">
        <is>
          <t>32 / 25</t>
        </is>
      </c>
      <c r="L444" t="inlineStr">
        <is>
          <t>15 / 10</t>
        </is>
      </c>
      <c r="M444" s="5" t="n">
        <v>0.5600000000000001</v>
      </c>
      <c r="N444" s="5" t="n">
        <v>0.6</v>
      </c>
    </row>
    <row r="445">
      <c r="A445" t="n">
        <v>444</v>
      </c>
      <c r="B445" t="n">
        <v>2013</v>
      </c>
      <c r="C445" t="inlineStr">
        <is>
          <t>Stella Marion Thoms</t>
        </is>
      </c>
      <c r="D445">
        <f>HYPERLINK("https://ota.tournamentsoftware.com/player-profile/26731833-04E0-4736-BC60-733715112E5E", "Link")</f>
        <v/>
      </c>
      <c r="E445" s="3" t="n">
        <v>113.237</v>
      </c>
      <c r="F445" s="4" t="n">
        <v>7</v>
      </c>
      <c r="G445" t="inlineStr">
        <is>
          <t>Tennis Newfoundland &amp; Labrador</t>
        </is>
      </c>
      <c r="H445" t="inlineStr">
        <is>
          <t>Riverdale Tennis Club</t>
        </is>
      </c>
      <c r="I445" t="n">
        <v>34</v>
      </c>
      <c r="J445" s="4" t="n">
        <v>48</v>
      </c>
      <c r="K445" t="inlineStr">
        <is>
          <t>28 / 20</t>
        </is>
      </c>
      <c r="L445" t="inlineStr">
        <is>
          <t>8 / 8</t>
        </is>
      </c>
      <c r="M445" s="5" t="n">
        <v>0.58</v>
      </c>
      <c r="N445" s="5" t="n">
        <v>0.5</v>
      </c>
    </row>
    <row r="446">
      <c r="A446" t="n">
        <v>445</v>
      </c>
      <c r="B446" t="n">
        <v>2014</v>
      </c>
      <c r="C446" t="inlineStr">
        <is>
          <t>Maxine Andrea Subsuban</t>
        </is>
      </c>
      <c r="D446">
        <f>HYPERLINK("https://ota.tournamentsoftware.com/player-profile/330D8089-39D5-4A22-8596-8BAAF8D4E02E", "Link")</f>
        <v/>
      </c>
      <c r="E446" s="3" t="n">
        <v>112.585</v>
      </c>
      <c r="F446" s="4" t="n">
        <v>10</v>
      </c>
      <c r="G446" t="inlineStr">
        <is>
          <t>Tennis Alberta</t>
        </is>
      </c>
      <c r="H446" t="inlineStr">
        <is>
          <t>Osten &amp; Victor Alberta Tennis Centre</t>
        </is>
      </c>
      <c r="I446" t="inlineStr">
        <is>
          <t>unavailable</t>
        </is>
      </c>
      <c r="J446" s="4" t="n">
        <v>103</v>
      </c>
      <c r="K446" t="inlineStr">
        <is>
          <t>42 / 61</t>
        </is>
      </c>
      <c r="L446" t="inlineStr">
        <is>
          <t>8 / 10</t>
        </is>
      </c>
      <c r="M446" s="5" t="n">
        <v>0.41</v>
      </c>
      <c r="N446" s="5" t="n">
        <v>0.44</v>
      </c>
    </row>
    <row r="447">
      <c r="A447" t="n">
        <v>446</v>
      </c>
      <c r="B447" t="n">
        <v>2015</v>
      </c>
      <c r="C447" t="inlineStr">
        <is>
          <t>Arianna Marquez</t>
        </is>
      </c>
      <c r="D447">
        <f>HYPERLINK("https://ota.tournamentsoftware.com/player-profile/ABB23AE3-6EC2-498B-AA4D-BB89BCBF0088", "Link")</f>
        <v/>
      </c>
      <c r="E447" s="3" t="n">
        <v>112.229</v>
      </c>
      <c r="F447" s="4" t="n">
        <v>16</v>
      </c>
      <c r="G447" t="inlineStr">
        <is>
          <t>Tennis Alberta</t>
        </is>
      </c>
      <c r="H447" t="inlineStr">
        <is>
          <t>Saville Community Sports Centre</t>
        </is>
      </c>
      <c r="I447" t="n">
        <v>33.6</v>
      </c>
      <c r="J447" s="4" t="n">
        <v>141</v>
      </c>
      <c r="K447" t="inlineStr">
        <is>
          <t>90 / 51</t>
        </is>
      </c>
      <c r="L447" t="inlineStr">
        <is>
          <t>14 / 17</t>
        </is>
      </c>
      <c r="M447" s="5" t="n">
        <v>0.64</v>
      </c>
      <c r="N447" s="5" t="n">
        <v>0.45</v>
      </c>
    </row>
    <row r="448">
      <c r="A448" t="n">
        <v>447</v>
      </c>
      <c r="B448" t="n">
        <v>2012</v>
      </c>
      <c r="C448" t="inlineStr">
        <is>
          <t>Isabella Sofia Zrnic</t>
        </is>
      </c>
      <c r="D448">
        <f>HYPERLINK("https://ota.tournamentsoftware.com/player-profile/C8963CF4-1E95-43AF-B92C-08778B2BA616", "Link")</f>
        <v/>
      </c>
      <c r="E448" s="3" t="n">
        <v>112.046</v>
      </c>
      <c r="F448" s="4" t="n">
        <v>12</v>
      </c>
      <c r="G448" t="inlineStr">
        <is>
          <t>Ontario Tennis Association</t>
        </is>
      </c>
      <c r="H448" t="inlineStr">
        <is>
          <t>Lawrence Park Tennis Club</t>
        </is>
      </c>
      <c r="I448" t="n">
        <v>35.5</v>
      </c>
      <c r="J448" s="4" t="n">
        <v>66</v>
      </c>
      <c r="K448" t="inlineStr">
        <is>
          <t>27 / 39</t>
        </is>
      </c>
      <c r="L448" t="inlineStr">
        <is>
          <t>6 / 9</t>
        </is>
      </c>
      <c r="M448" s="5" t="n">
        <v>0.41</v>
      </c>
      <c r="N448" s="5" t="n">
        <v>0.4</v>
      </c>
    </row>
    <row r="449">
      <c r="A449" t="n">
        <v>448</v>
      </c>
      <c r="B449" t="n">
        <v>2013</v>
      </c>
      <c r="C449" t="inlineStr">
        <is>
          <t>Darcia Rabezandriny</t>
        </is>
      </c>
      <c r="D449">
        <f>HYPERLINK("https://ota.tournamentsoftware.com/player-profile/52069260-9644-4FA6-A8E4-10B4E037765E", "Link")</f>
        <v/>
      </c>
      <c r="E449" s="3" t="n">
        <v>110.988</v>
      </c>
      <c r="F449" s="4" t="n">
        <v>9</v>
      </c>
      <c r="G449" t="inlineStr">
        <is>
          <t>Tennis Québec</t>
        </is>
      </c>
      <c r="H449" t="inlineStr">
        <is>
          <t>AA Autre club</t>
        </is>
      </c>
      <c r="I449" t="n">
        <v>34.6</v>
      </c>
      <c r="J449" s="4" t="n">
        <v>157</v>
      </c>
      <c r="K449" t="inlineStr">
        <is>
          <t>82 / 75</t>
        </is>
      </c>
      <c r="L449" t="inlineStr">
        <is>
          <t>7 / 8</t>
        </is>
      </c>
      <c r="M449" s="5" t="n">
        <v>0.52</v>
      </c>
      <c r="N449" s="5" t="n">
        <v>0.47</v>
      </c>
    </row>
    <row r="450">
      <c r="A450" t="n">
        <v>449</v>
      </c>
      <c r="B450" t="n">
        <v>2014</v>
      </c>
      <c r="C450" t="inlineStr">
        <is>
          <t>Audrey JIA</t>
        </is>
      </c>
      <c r="D450">
        <f>HYPERLINK("https://ota.tournamentsoftware.com/player-profile/3F7A519A-489C-490B-9AA2-F4FCBBCA474F", "Link")</f>
        <v/>
      </c>
      <c r="E450" s="3" t="n">
        <v>110.649</v>
      </c>
      <c r="F450" s="4" t="n">
        <v>19</v>
      </c>
      <c r="G450" t="inlineStr">
        <is>
          <t>Ontario Tennis Association</t>
        </is>
      </c>
      <c r="H450" t="inlineStr">
        <is>
          <t>Newmarket Community Tennis Club</t>
        </is>
      </c>
      <c r="I450" t="inlineStr">
        <is>
          <t>unavailable</t>
        </is>
      </c>
      <c r="J450" s="4" t="n">
        <v>94</v>
      </c>
      <c r="K450" t="inlineStr">
        <is>
          <t>51 / 43</t>
        </is>
      </c>
      <c r="L450" t="inlineStr">
        <is>
          <t>34 / 16</t>
        </is>
      </c>
      <c r="M450" s="5" t="n">
        <v>0.54</v>
      </c>
      <c r="N450" s="5" t="n">
        <v>0.68</v>
      </c>
    </row>
    <row r="451">
      <c r="A451" t="n">
        <v>450</v>
      </c>
      <c r="B451" t="n">
        <v>2013</v>
      </c>
      <c r="C451" t="inlineStr">
        <is>
          <t>LeeZann Lai</t>
        </is>
      </c>
      <c r="D451">
        <f>HYPERLINK("https://ota.tournamentsoftware.com/player-profile/F653FB3B-D606-4799-98B3-B9B8F7D1D120", "Link")</f>
        <v/>
      </c>
      <c r="E451" s="3" t="n">
        <v>110.16</v>
      </c>
      <c r="F451" s="4" t="n">
        <v>14</v>
      </c>
      <c r="G451" t="inlineStr">
        <is>
          <t>Ontario Tennis Association</t>
        </is>
      </c>
      <c r="H451" t="inlineStr">
        <is>
          <t>Don Mills Tennis Club</t>
        </is>
      </c>
      <c r="I451" t="n">
        <v>34.8</v>
      </c>
      <c r="J451" s="4" t="n">
        <v>54</v>
      </c>
      <c r="K451" t="inlineStr">
        <is>
          <t>22 / 32</t>
        </is>
      </c>
      <c r="L451" t="inlineStr">
        <is>
          <t>6 / 12</t>
        </is>
      </c>
      <c r="M451" s="5" t="n">
        <v>0.41</v>
      </c>
      <c r="N451" s="5" t="n">
        <v>0.33</v>
      </c>
    </row>
    <row r="452">
      <c r="A452" t="n">
        <v>451</v>
      </c>
      <c r="B452" t="n">
        <v>2015</v>
      </c>
      <c r="C452" t="inlineStr">
        <is>
          <t>Mila Venturelli</t>
        </is>
      </c>
      <c r="D452">
        <f>HYPERLINK("https://ota.tournamentsoftware.com/player-profile/BCA3B83C-81C0-4469-B3DA-4E3234E6CA0A", "Link")</f>
        <v/>
      </c>
      <c r="E452" s="3" t="n">
        <v>109.646</v>
      </c>
      <c r="F452" s="4" t="n">
        <v>21</v>
      </c>
      <c r="G452" t="inlineStr">
        <is>
          <t>Tennis Québec</t>
        </is>
      </c>
      <c r="H452" t="inlineStr">
        <is>
          <t>Tennis 13</t>
        </is>
      </c>
      <c r="I452" t="n">
        <v>36.8</v>
      </c>
      <c r="J452" s="4" t="n">
        <v>89</v>
      </c>
      <c r="K452" t="inlineStr">
        <is>
          <t>36 / 53</t>
        </is>
      </c>
      <c r="L452" t="inlineStr">
        <is>
          <t>8 / 16</t>
        </is>
      </c>
      <c r="M452" s="5" t="n">
        <v>0.4</v>
      </c>
      <c r="N452" s="5" t="n">
        <v>0.33</v>
      </c>
    </row>
    <row r="453">
      <c r="A453" t="n">
        <v>452</v>
      </c>
      <c r="B453" t="n">
        <v>2012</v>
      </c>
      <c r="C453" t="inlineStr">
        <is>
          <t>Rachael Qing Xu</t>
        </is>
      </c>
      <c r="D453">
        <f>HYPERLINK("https://ota.tournamentsoftware.com/player-profile/EF0FB6C4-F27A-45FB-BD75-3C3F4D9EF188", "Link")</f>
        <v/>
      </c>
      <c r="E453" s="3" t="n">
        <v>108.876</v>
      </c>
      <c r="F453" s="4" t="n">
        <v>2</v>
      </c>
      <c r="G453" t="inlineStr">
        <is>
          <t>Ontario Tennis Association</t>
        </is>
      </c>
      <c r="H453" t="inlineStr">
        <is>
          <t>Rosedale Tennis Club (Hamilton)</t>
        </is>
      </c>
      <c r="I453" t="n">
        <v>37.2</v>
      </c>
      <c r="J453" s="4" t="n">
        <v>55</v>
      </c>
      <c r="K453" t="inlineStr">
        <is>
          <t>20 / 35</t>
        </is>
      </c>
      <c r="L453" t="inlineStr">
        <is>
          <t>0 / 0</t>
        </is>
      </c>
      <c r="M453" s="5" t="n">
        <v>0.36</v>
      </c>
      <c r="N453" s="5" t="n">
        <v>0</v>
      </c>
    </row>
    <row r="454">
      <c r="A454" t="n">
        <v>453</v>
      </c>
      <c r="B454" t="n">
        <v>2014</v>
      </c>
      <c r="C454" t="inlineStr">
        <is>
          <t>SHANAYA CHAUDHARY</t>
        </is>
      </c>
      <c r="D454">
        <f>HYPERLINK("https://ota.tournamentsoftware.com/player-profile/72814258-2663-4B9E-9EB1-0A804D79578E", "Link")</f>
        <v/>
      </c>
      <c r="E454" s="3" t="n">
        <v>107.581</v>
      </c>
      <c r="F454" s="4" t="n">
        <v>11</v>
      </c>
      <c r="G454" t="inlineStr">
        <is>
          <t>Ontario Tennis Association</t>
        </is>
      </c>
      <c r="H454" t="inlineStr">
        <is>
          <t>Waterloo Tennis Club</t>
        </is>
      </c>
      <c r="I454" t="inlineStr">
        <is>
          <t>unavailable</t>
        </is>
      </c>
      <c r="J454" s="4" t="n">
        <v>26</v>
      </c>
      <c r="K454" t="inlineStr">
        <is>
          <t>16 / 10</t>
        </is>
      </c>
      <c r="L454" t="inlineStr">
        <is>
          <t>12 / 7</t>
        </is>
      </c>
      <c r="M454" s="5" t="n">
        <v>0.62</v>
      </c>
      <c r="N454" s="5" t="n">
        <v>0.63</v>
      </c>
    </row>
    <row r="455">
      <c r="A455" t="n">
        <v>454</v>
      </c>
      <c r="B455" t="n">
        <v>2013</v>
      </c>
      <c r="C455" t="inlineStr">
        <is>
          <t>Murphy Mofei Gao</t>
        </is>
      </c>
      <c r="D455">
        <f>HYPERLINK("https://ota.tournamentsoftware.com/player-profile/64A4B4DB-7753-451A-A411-16FC49084860", "Link")</f>
        <v/>
      </c>
      <c r="E455" s="3" t="n">
        <v>107.489</v>
      </c>
      <c r="F455" s="4" t="n">
        <v>17</v>
      </c>
      <c r="G455" t="inlineStr">
        <is>
          <t>British Columbia</t>
        </is>
      </c>
      <c r="H455" t="inlineStr">
        <is>
          <t>No Club</t>
        </is>
      </c>
      <c r="I455" t="n">
        <v>37.3</v>
      </c>
      <c r="J455" s="4" t="n">
        <v>141</v>
      </c>
      <c r="K455" t="inlineStr">
        <is>
          <t>19 / 122</t>
        </is>
      </c>
      <c r="L455" t="inlineStr">
        <is>
          <t>4 / 26</t>
        </is>
      </c>
      <c r="M455" s="5" t="n">
        <v>0.13</v>
      </c>
      <c r="N455" s="5" t="n">
        <v>0.13</v>
      </c>
    </row>
    <row r="456">
      <c r="A456" t="n">
        <v>455</v>
      </c>
      <c r="B456" t="n">
        <v>2014</v>
      </c>
      <c r="C456" t="inlineStr">
        <is>
          <t>Emily Ke</t>
        </is>
      </c>
      <c r="D456">
        <f>HYPERLINK("https://ota.tournamentsoftware.com/player-profile/D0843107-5FBA-4EB4-8781-B60B5E7E1319", "Link")</f>
        <v/>
      </c>
      <c r="E456" s="3" t="n">
        <v>107.414</v>
      </c>
      <c r="F456" s="4" t="n">
        <v>16</v>
      </c>
      <c r="G456" t="inlineStr">
        <is>
          <t>Ontario Tennis Association</t>
        </is>
      </c>
      <c r="H456" t="inlineStr">
        <is>
          <t>Mayfair East Racquet Club</t>
        </is>
      </c>
      <c r="I456" t="n">
        <v>35.1</v>
      </c>
      <c r="J456" s="4" t="n">
        <v>109</v>
      </c>
      <c r="K456" t="inlineStr">
        <is>
          <t>38 / 71</t>
        </is>
      </c>
      <c r="L456" t="inlineStr">
        <is>
          <t>4 / 7</t>
        </is>
      </c>
      <c r="M456" s="5" t="n">
        <v>0.35</v>
      </c>
      <c r="N456" s="5" t="n">
        <v>0.36</v>
      </c>
    </row>
    <row r="457">
      <c r="A457" t="n">
        <v>456</v>
      </c>
      <c r="B457" t="n">
        <v>2015</v>
      </c>
      <c r="C457" t="inlineStr">
        <is>
          <t>Maranata Okubazgi</t>
        </is>
      </c>
      <c r="D457">
        <f>HYPERLINK("https://ota.tournamentsoftware.com/player-profile/D41680BB-0D07-401E-A1E3-7ECB40E4830A", "Link")</f>
        <v/>
      </c>
      <c r="E457" s="3" t="n">
        <v>106.824</v>
      </c>
      <c r="F457" s="4" t="n">
        <v>16</v>
      </c>
      <c r="G457" t="inlineStr">
        <is>
          <t>Ontario Tennis Association</t>
        </is>
      </c>
      <c r="H457" t="inlineStr">
        <is>
          <t>Premier Racquet Clubs – Mississauga</t>
        </is>
      </c>
      <c r="I457" t="n">
        <v>34.8</v>
      </c>
      <c r="J457" s="4" t="n">
        <v>96</v>
      </c>
      <c r="K457" t="inlineStr">
        <is>
          <t>55 / 41</t>
        </is>
      </c>
      <c r="L457" t="inlineStr">
        <is>
          <t>16 / 13</t>
        </is>
      </c>
      <c r="M457" s="5" t="n">
        <v>0.57</v>
      </c>
      <c r="N457" s="5" t="n">
        <v>0.55</v>
      </c>
    </row>
    <row r="458">
      <c r="A458" t="n">
        <v>457</v>
      </c>
      <c r="B458" t="n">
        <v>2013</v>
      </c>
      <c r="C458" t="inlineStr">
        <is>
          <t>Khaliya Karim</t>
        </is>
      </c>
      <c r="D458">
        <f>HYPERLINK("https://ota.tournamentsoftware.com/player-profile/3982667F-BB84-4AC0-B470-E67D90581DB9", "Link")</f>
        <v/>
      </c>
      <c r="E458" s="3" t="n">
        <v>106.257</v>
      </c>
      <c r="F458" s="4" t="n">
        <v>19</v>
      </c>
      <c r="G458" t="inlineStr">
        <is>
          <t>British Columbia</t>
        </is>
      </c>
      <c r="H458" t="inlineStr">
        <is>
          <t>Arbutus Club</t>
        </is>
      </c>
      <c r="I458" t="n">
        <v>35.2</v>
      </c>
      <c r="J458" s="4" t="n">
        <v>90</v>
      </c>
      <c r="K458" t="inlineStr">
        <is>
          <t>18 / 72</t>
        </is>
      </c>
      <c r="L458" t="inlineStr">
        <is>
          <t>14 / 25</t>
        </is>
      </c>
      <c r="M458" s="5" t="n">
        <v>0.2</v>
      </c>
      <c r="N458" s="5" t="n">
        <v>0.36</v>
      </c>
    </row>
    <row r="459">
      <c r="A459" t="n">
        <v>458</v>
      </c>
      <c r="B459" t="n">
        <v>2014</v>
      </c>
      <c r="C459" t="inlineStr">
        <is>
          <t>Abigail Curilscaia</t>
        </is>
      </c>
      <c r="D459">
        <f>HYPERLINK("https://ota.tournamentsoftware.com/player-profile/275CB740-D9DB-4B51-8864-93A2F0D91A3B", "Link")</f>
        <v/>
      </c>
      <c r="E459" s="3" t="n">
        <v>105.422</v>
      </c>
      <c r="F459" s="4" t="n">
        <v>13</v>
      </c>
      <c r="G459" t="inlineStr">
        <is>
          <t>Tennis Alberta</t>
        </is>
      </c>
      <c r="H459" t="inlineStr">
        <is>
          <t>Aforza</t>
        </is>
      </c>
      <c r="I459" t="n">
        <v>32</v>
      </c>
      <c r="J459" s="4" t="n">
        <v>91</v>
      </c>
      <c r="K459" t="inlineStr">
        <is>
          <t>40 / 51</t>
        </is>
      </c>
      <c r="L459" t="inlineStr">
        <is>
          <t>17 / 10</t>
        </is>
      </c>
      <c r="M459" s="5" t="n">
        <v>0.44</v>
      </c>
      <c r="N459" s="5" t="n">
        <v>0.63</v>
      </c>
    </row>
    <row r="460">
      <c r="A460" t="n">
        <v>459</v>
      </c>
      <c r="B460" t="n">
        <v>2016</v>
      </c>
      <c r="C460" t="inlineStr">
        <is>
          <t>Paulina Mangal</t>
        </is>
      </c>
      <c r="D460">
        <f>HYPERLINK("https://ota.tournamentsoftware.com/player-profile/ADDD5986-263D-4338-B6C0-6F72A2AC55F7", "Link")</f>
        <v/>
      </c>
      <c r="E460" s="3" t="n">
        <v>103.751</v>
      </c>
      <c r="F460" s="4" t="n">
        <v>23</v>
      </c>
      <c r="G460" t="inlineStr">
        <is>
          <t>Ontario Tennis Association</t>
        </is>
      </c>
      <c r="H460" t="inlineStr">
        <is>
          <t>Premier Racquet Clubs – Mississauga</t>
        </is>
      </c>
      <c r="I460" t="n">
        <v>36.5</v>
      </c>
      <c r="J460" s="4" t="n">
        <v>179</v>
      </c>
      <c r="K460" t="inlineStr">
        <is>
          <t>75 / 104</t>
        </is>
      </c>
      <c r="L460" t="inlineStr">
        <is>
          <t>16 / 19</t>
        </is>
      </c>
      <c r="M460" s="5" t="n">
        <v>0.42</v>
      </c>
      <c r="N460" s="5" t="n">
        <v>0.46</v>
      </c>
    </row>
    <row r="461">
      <c r="A461" t="n">
        <v>460</v>
      </c>
      <c r="B461" t="n">
        <v>2015</v>
      </c>
      <c r="C461" t="inlineStr">
        <is>
          <t>Anna Guzina-McLeod</t>
        </is>
      </c>
      <c r="D461">
        <f>HYPERLINK("https://ota.tournamentsoftware.com/player-profile/55F5BC4F-092C-4C72-BFDC-3F60E618D778", "Link")</f>
        <v/>
      </c>
      <c r="E461" s="3" t="n">
        <v>103.216</v>
      </c>
      <c r="F461" s="4" t="n">
        <v>17</v>
      </c>
      <c r="G461" t="inlineStr">
        <is>
          <t>Ontario Tennis Association</t>
        </is>
      </c>
      <c r="H461" t="inlineStr">
        <is>
          <t>Rideau Sports Centre</t>
        </is>
      </c>
      <c r="I461" t="inlineStr">
        <is>
          <t>unavailable</t>
        </is>
      </c>
      <c r="J461" s="4" t="n">
        <v>114</v>
      </c>
      <c r="K461" t="inlineStr">
        <is>
          <t>66 / 48</t>
        </is>
      </c>
      <c r="L461" t="inlineStr">
        <is>
          <t>10 / 15</t>
        </is>
      </c>
      <c r="M461" s="5" t="n">
        <v>0.58</v>
      </c>
      <c r="N461" s="5" t="n">
        <v>0.4</v>
      </c>
    </row>
    <row r="462">
      <c r="A462" t="n">
        <v>461</v>
      </c>
      <c r="B462" t="n">
        <v>2015</v>
      </c>
      <c r="C462" t="inlineStr">
        <is>
          <t>Sofia Nasrallah</t>
        </is>
      </c>
      <c r="D462">
        <f>HYPERLINK("https://ota.tournamentsoftware.com/player-profile/FAA88C80-170D-40C3-8A88-6B81077D1F02", "Link")</f>
        <v/>
      </c>
      <c r="E462" s="3" t="n">
        <v>102.9</v>
      </c>
      <c r="F462" s="4" t="n">
        <v>23</v>
      </c>
      <c r="G462" t="inlineStr">
        <is>
          <t>Tennis Québec</t>
        </is>
      </c>
      <c r="H462" t="inlineStr">
        <is>
          <t>Carrefour Multisports</t>
        </is>
      </c>
      <c r="I462" t="n">
        <v>37</v>
      </c>
      <c r="J462" s="4" t="n">
        <v>155</v>
      </c>
      <c r="K462" t="inlineStr">
        <is>
          <t>52 / 103</t>
        </is>
      </c>
      <c r="L462" t="inlineStr">
        <is>
          <t>9 / 20</t>
        </is>
      </c>
      <c r="M462" s="5" t="n">
        <v>0.34</v>
      </c>
      <c r="N462" s="5" t="n">
        <v>0.31</v>
      </c>
    </row>
    <row r="463">
      <c r="A463" t="n">
        <v>462</v>
      </c>
      <c r="B463" t="n">
        <v>2014</v>
      </c>
      <c r="C463" t="inlineStr">
        <is>
          <t>Ananya Rao</t>
        </is>
      </c>
      <c r="D463">
        <f>HYPERLINK("https://ota.tournamentsoftware.com/player-profile/D12578BD-BDAF-471D-B53C-09B281C916CB", "Link")</f>
        <v/>
      </c>
      <c r="E463" s="3" t="n">
        <v>102.512</v>
      </c>
      <c r="F463" s="4" t="n">
        <v>16</v>
      </c>
      <c r="G463" t="inlineStr">
        <is>
          <t>Ontario Tennis Association</t>
        </is>
      </c>
      <c r="H463" t="inlineStr">
        <is>
          <t>Carleton Tennis Centre</t>
        </is>
      </c>
      <c r="I463" t="n">
        <v>36.8</v>
      </c>
      <c r="J463" s="4" t="n">
        <v>93</v>
      </c>
      <c r="K463" t="inlineStr">
        <is>
          <t>29 / 64</t>
        </is>
      </c>
      <c r="L463" t="inlineStr">
        <is>
          <t>6 / 9</t>
        </is>
      </c>
      <c r="M463" s="5" t="n">
        <v>0.31</v>
      </c>
      <c r="N463" s="5" t="n">
        <v>0.4</v>
      </c>
    </row>
    <row r="464">
      <c r="A464" t="n">
        <v>463</v>
      </c>
      <c r="B464" t="n">
        <v>2013</v>
      </c>
      <c r="C464" t="inlineStr">
        <is>
          <t>Isabelle Duvinage</t>
        </is>
      </c>
      <c r="D464">
        <f>HYPERLINK("https://ota.tournamentsoftware.com/player-profile/7B9DB032-AD8C-41C5-A138-CF844016B7C1", "Link")</f>
        <v/>
      </c>
      <c r="E464" s="3" t="n">
        <v>102.511</v>
      </c>
      <c r="F464" s="4" t="n">
        <v>6</v>
      </c>
      <c r="G464" t="inlineStr">
        <is>
          <t>Ontario Tennis Association</t>
        </is>
      </c>
      <c r="H464" t="inlineStr">
        <is>
          <t>Kew Gardens Tennis Club</t>
        </is>
      </c>
      <c r="I464" t="n">
        <v>38</v>
      </c>
      <c r="J464" s="4" t="n">
        <v>39</v>
      </c>
      <c r="K464" t="inlineStr">
        <is>
          <t>12 / 27</t>
        </is>
      </c>
      <c r="L464" t="inlineStr">
        <is>
          <t>1 / 7</t>
        </is>
      </c>
      <c r="M464" s="5" t="n">
        <v>0.31</v>
      </c>
      <c r="N464" s="5" t="n">
        <v>0.12</v>
      </c>
    </row>
    <row r="465">
      <c r="A465" t="n">
        <v>464</v>
      </c>
      <c r="B465" t="n">
        <v>2014</v>
      </c>
      <c r="C465" t="inlineStr">
        <is>
          <t>Scarlett Habeebkutty</t>
        </is>
      </c>
      <c r="D465">
        <f>HYPERLINK("https://ota.tournamentsoftware.com/player-profile/B3E7011D-10BF-4CEB-9D49-F24BAE1BE1A2", "Link")</f>
        <v/>
      </c>
      <c r="E465" s="3" t="n">
        <v>102.277</v>
      </c>
      <c r="F465" s="4" t="n">
        <v>5</v>
      </c>
      <c r="G465" t="inlineStr">
        <is>
          <t>Tennis Saskatchewan</t>
        </is>
      </c>
      <c r="H465" t="inlineStr">
        <is>
          <t>Lakeshore Tennis Club</t>
        </is>
      </c>
      <c r="I465" t="n">
        <v>40</v>
      </c>
      <c r="J465" s="4" t="n">
        <v>14</v>
      </c>
      <c r="K465" t="inlineStr">
        <is>
          <t>0 / 14</t>
        </is>
      </c>
      <c r="L465" t="inlineStr">
        <is>
          <t>0 / 14</t>
        </is>
      </c>
      <c r="M465" s="5" t="n">
        <v>0</v>
      </c>
      <c r="N465" s="5" t="n">
        <v>0</v>
      </c>
    </row>
    <row r="466">
      <c r="A466" t="n">
        <v>465</v>
      </c>
      <c r="B466" t="n">
        <v>2015</v>
      </c>
      <c r="C466" t="inlineStr">
        <is>
          <t>Kaliya Summer Miserre-Garrecht</t>
        </is>
      </c>
      <c r="D466">
        <f>HYPERLINK("https://ota.tournamentsoftware.com/player-profile/C178309B-9B10-4C79-99B5-DD8E37FCC1EF", "Link")</f>
        <v/>
      </c>
      <c r="E466" s="3" t="n">
        <v>101.138</v>
      </c>
      <c r="F466" s="4" t="n">
        <v>24</v>
      </c>
      <c r="G466" t="inlineStr">
        <is>
          <t>British Columbia</t>
        </is>
      </c>
      <c r="H466" t="inlineStr">
        <is>
          <t>Vanguard Tennis Academy</t>
        </is>
      </c>
      <c r="I466" t="n">
        <v>36</v>
      </c>
      <c r="J466" s="4" t="n">
        <v>140</v>
      </c>
      <c r="K466" t="inlineStr">
        <is>
          <t>61 / 79</t>
        </is>
      </c>
      <c r="L466" t="inlineStr">
        <is>
          <t>16 / 26</t>
        </is>
      </c>
      <c r="M466" s="5" t="n">
        <v>0.44</v>
      </c>
      <c r="N466" s="5" t="n">
        <v>0.38</v>
      </c>
    </row>
    <row r="467">
      <c r="A467" t="n">
        <v>466</v>
      </c>
      <c r="B467" t="n">
        <v>2012</v>
      </c>
      <c r="C467" t="inlineStr">
        <is>
          <t>aashka vishal devaiya</t>
        </is>
      </c>
      <c r="D467">
        <f>HYPERLINK("https://ota.tournamentsoftware.com/player-profile/99C1CB63-E70E-4FB5-A115-3A252251FA67", "Link")</f>
        <v/>
      </c>
      <c r="E467" s="3" t="n">
        <v>100.829</v>
      </c>
      <c r="F467" s="4" t="n">
        <v>1</v>
      </c>
      <c r="G467" t="inlineStr">
        <is>
          <t>British Columbia</t>
        </is>
      </c>
      <c r="H467" t="inlineStr">
        <is>
          <t>No Club</t>
        </is>
      </c>
      <c r="I467" t="inlineStr">
        <is>
          <t>unavailable</t>
        </is>
      </c>
      <c r="J467" s="4" t="n">
        <v>3</v>
      </c>
      <c r="K467" t="inlineStr">
        <is>
          <t>2 / 1</t>
        </is>
      </c>
      <c r="L467" t="inlineStr">
        <is>
          <t>2 / 1</t>
        </is>
      </c>
      <c r="M467" s="5" t="n">
        <v>0.67</v>
      </c>
      <c r="N467" s="5" t="n">
        <v>0.67</v>
      </c>
    </row>
    <row r="468">
      <c r="A468" t="n">
        <v>467</v>
      </c>
      <c r="B468" t="n">
        <v>2016</v>
      </c>
      <c r="C468" t="inlineStr">
        <is>
          <t>Kassidy, Chin Yau Lau</t>
        </is>
      </c>
      <c r="D468">
        <f>HYPERLINK("https://ota.tournamentsoftware.com/player-profile/725BC980-EB67-418A-9A78-144DF7D7CE7E", "Link")</f>
        <v/>
      </c>
      <c r="E468" s="3" t="n">
        <v>100.632</v>
      </c>
      <c r="F468" s="4" t="n">
        <v>21</v>
      </c>
      <c r="G468" t="inlineStr">
        <is>
          <t>Ontario Tennis Association</t>
        </is>
      </c>
      <c r="H468" t="inlineStr">
        <is>
          <t>No Club</t>
        </is>
      </c>
      <c r="I468" t="n">
        <v>34.5</v>
      </c>
      <c r="J468" s="4" t="n">
        <v>57</v>
      </c>
      <c r="K468" t="inlineStr">
        <is>
          <t>34 / 23</t>
        </is>
      </c>
      <c r="L468" t="inlineStr">
        <is>
          <t>34 / 23</t>
        </is>
      </c>
      <c r="M468" s="5" t="n">
        <v>0.6</v>
      </c>
      <c r="N468" s="5" t="n">
        <v>0.6</v>
      </c>
    </row>
    <row r="469">
      <c r="A469" t="n">
        <v>468</v>
      </c>
      <c r="B469" t="n">
        <v>2013</v>
      </c>
      <c r="C469" t="inlineStr">
        <is>
          <t>Noa Margaux Dery</t>
        </is>
      </c>
      <c r="D469">
        <f>HYPERLINK("https://ota.tournamentsoftware.com/player-profile/2BE09915-8A78-4187-839F-E3A10E233213", "Link")</f>
        <v/>
      </c>
      <c r="E469" s="3" t="n">
        <v>99.898</v>
      </c>
      <c r="F469" s="4" t="n">
        <v>8</v>
      </c>
      <c r="G469" t="inlineStr">
        <is>
          <t>Tennis Québec</t>
        </is>
      </c>
      <c r="H469" t="inlineStr">
        <is>
          <t>Club Sportif Côte-de-Liesse</t>
        </is>
      </c>
      <c r="I469" t="n">
        <v>35.6</v>
      </c>
      <c r="J469" s="4" t="n">
        <v>38</v>
      </c>
      <c r="K469" t="inlineStr">
        <is>
          <t>14 / 24</t>
        </is>
      </c>
      <c r="L469" t="inlineStr">
        <is>
          <t>7 / 5</t>
        </is>
      </c>
      <c r="M469" s="5" t="n">
        <v>0.37</v>
      </c>
      <c r="N469" s="5" t="n">
        <v>0.58</v>
      </c>
    </row>
    <row r="470">
      <c r="A470" t="n">
        <v>469</v>
      </c>
      <c r="B470" t="n">
        <v>2012</v>
      </c>
      <c r="C470" t="inlineStr">
        <is>
          <t>ONYEKACHUKWU MAGDALENE OGBATUE</t>
        </is>
      </c>
      <c r="D470">
        <f>HYPERLINK("https://ota.tournamentsoftware.com/player-profile/34FAC6AA-945B-40B3-BDE9-3F8B4198659B", "Link")</f>
        <v/>
      </c>
      <c r="E470" s="3" t="n">
        <v>99.878</v>
      </c>
      <c r="F470" s="4" t="n">
        <v>6</v>
      </c>
      <c r="G470" t="inlineStr">
        <is>
          <t>Ontario Tennis Association</t>
        </is>
      </c>
      <c r="H470" t="inlineStr">
        <is>
          <t>Matchpoint Tennis</t>
        </is>
      </c>
      <c r="I470" t="n">
        <v>35.6</v>
      </c>
      <c r="J470" s="4" t="n">
        <v>18</v>
      </c>
      <c r="K470" t="inlineStr">
        <is>
          <t>11 / 7</t>
        </is>
      </c>
      <c r="L470" t="inlineStr">
        <is>
          <t>11 / 7</t>
        </is>
      </c>
      <c r="M470" s="5" t="n">
        <v>0.61</v>
      </c>
      <c r="N470" s="5" t="n">
        <v>0.61</v>
      </c>
    </row>
    <row r="471">
      <c r="A471" t="n">
        <v>470</v>
      </c>
      <c r="B471" t="n">
        <v>2012</v>
      </c>
      <c r="C471" t="inlineStr">
        <is>
          <t>Emma Fedeyko</t>
        </is>
      </c>
      <c r="D471">
        <f>HYPERLINK("https://ota.tournamentsoftware.com/player-profile/62E06657-0480-40D7-B491-B99DA20E11DF", "Link")</f>
        <v/>
      </c>
      <c r="E471" s="3" t="n">
        <v>99.619</v>
      </c>
      <c r="F471" s="4" t="n">
        <v>8</v>
      </c>
      <c r="G471" t="inlineStr">
        <is>
          <t>Ontario Tennis Association</t>
        </is>
      </c>
      <c r="H471" t="inlineStr">
        <is>
          <t>Ontario Racquet Club</t>
        </is>
      </c>
      <c r="I471" t="n">
        <v>35.5</v>
      </c>
      <c r="J471" s="4" t="n">
        <v>52</v>
      </c>
      <c r="K471" t="inlineStr">
        <is>
          <t>19 / 33</t>
        </is>
      </c>
      <c r="L471" t="inlineStr">
        <is>
          <t>3 / 5</t>
        </is>
      </c>
      <c r="M471" s="5" t="n">
        <v>0.37</v>
      </c>
      <c r="N471" s="5" t="n">
        <v>0.38</v>
      </c>
    </row>
    <row r="472">
      <c r="A472" t="n">
        <v>471</v>
      </c>
      <c r="B472" t="n">
        <v>2014</v>
      </c>
      <c r="C472" t="inlineStr">
        <is>
          <t>Chloe Esther Yeung</t>
        </is>
      </c>
      <c r="D472">
        <f>HYPERLINK("https://ota.tournamentsoftware.com/player-profile/A0100B59-21FE-4244-87C6-16B2DE0DBB96", "Link")</f>
        <v/>
      </c>
      <c r="E472" s="3" t="n">
        <v>99.27800000000001</v>
      </c>
      <c r="F472" s="4" t="n">
        <v>12</v>
      </c>
      <c r="G472" t="inlineStr">
        <is>
          <t>Ontario Tennis Association</t>
        </is>
      </c>
      <c r="H472" t="inlineStr">
        <is>
          <t>Mayfair East Racquet Club</t>
        </is>
      </c>
      <c r="I472" t="n">
        <v>36.6</v>
      </c>
      <c r="J472" s="4" t="n">
        <v>106</v>
      </c>
      <c r="K472" t="inlineStr">
        <is>
          <t>45 / 61</t>
        </is>
      </c>
      <c r="L472" t="inlineStr">
        <is>
          <t>3 / 9</t>
        </is>
      </c>
      <c r="M472" s="5" t="n">
        <v>0.42</v>
      </c>
      <c r="N472" s="5" t="n">
        <v>0.25</v>
      </c>
    </row>
    <row r="473">
      <c r="A473" t="n">
        <v>472</v>
      </c>
      <c r="B473" t="n">
        <v>2013</v>
      </c>
      <c r="C473" t="inlineStr">
        <is>
          <t>Kaylie Kam</t>
        </is>
      </c>
      <c r="D473">
        <f>HYPERLINK("https://ota.tournamentsoftware.com/player-profile/29B7928E-12B2-4691-8B4A-1DE557B4F068", "Link")</f>
        <v/>
      </c>
      <c r="E473" s="3" t="n">
        <v>98.657</v>
      </c>
      <c r="F473" s="4" t="n">
        <v>14</v>
      </c>
      <c r="G473" t="inlineStr">
        <is>
          <t>Ontario Tennis Association</t>
        </is>
      </c>
      <c r="H473" t="inlineStr">
        <is>
          <t>Blackmore Tennis Club</t>
        </is>
      </c>
      <c r="I473" t="n">
        <v>34.1</v>
      </c>
      <c r="J473" s="4" t="n">
        <v>56</v>
      </c>
      <c r="K473" t="inlineStr">
        <is>
          <t>37 / 19</t>
        </is>
      </c>
      <c r="L473" t="inlineStr">
        <is>
          <t>11 / 11</t>
        </is>
      </c>
      <c r="M473" s="5" t="n">
        <v>0.66</v>
      </c>
      <c r="N473" s="5" t="n">
        <v>0.5</v>
      </c>
    </row>
    <row r="474">
      <c r="A474" t="n">
        <v>473</v>
      </c>
      <c r="B474" t="n">
        <v>2012</v>
      </c>
      <c r="C474" t="inlineStr">
        <is>
          <t>Emily Lyn</t>
        </is>
      </c>
      <c r="D474">
        <f>HYPERLINK("https://ota.tournamentsoftware.com/player-profile/952E408B-05E4-4A69-8AAE-E4D164512A9E", "Link")</f>
        <v/>
      </c>
      <c r="E474" s="3" t="n">
        <v>98.52</v>
      </c>
      <c r="F474" s="4" t="n">
        <v>8</v>
      </c>
      <c r="G474" t="inlineStr">
        <is>
          <t>Ontario Tennis Association</t>
        </is>
      </c>
      <c r="H474" t="inlineStr">
        <is>
          <t>Markham Tennis Club</t>
        </is>
      </c>
      <c r="I474" t="n">
        <v>36</v>
      </c>
      <c r="J474" s="4" t="n">
        <v>103</v>
      </c>
      <c r="K474" t="inlineStr">
        <is>
          <t>61 / 42</t>
        </is>
      </c>
      <c r="L474" t="inlineStr">
        <is>
          <t>5 / 6</t>
        </is>
      </c>
      <c r="M474" s="5" t="n">
        <v>0.59</v>
      </c>
      <c r="N474" s="5" t="n">
        <v>0.45</v>
      </c>
    </row>
    <row r="475">
      <c r="A475" t="n">
        <v>474</v>
      </c>
      <c r="B475" t="n">
        <v>2014</v>
      </c>
      <c r="C475" t="inlineStr">
        <is>
          <t>Avril Kymber Lin</t>
        </is>
      </c>
      <c r="D475">
        <f>HYPERLINK("https://ota.tournamentsoftware.com/player-profile/6CFCC91C-A66C-46B5-8430-D2D78CE3EE4B", "Link")</f>
        <v/>
      </c>
      <c r="E475" s="3" t="n">
        <v>98.492</v>
      </c>
      <c r="F475" s="4" t="n">
        <v>13</v>
      </c>
      <c r="G475" t="inlineStr">
        <is>
          <t>Tennis Alberta</t>
        </is>
      </c>
      <c r="H475" t="inlineStr">
        <is>
          <t>Brookside Court &amp; Wellness</t>
        </is>
      </c>
      <c r="I475" t="inlineStr">
        <is>
          <t>unavailable</t>
        </is>
      </c>
      <c r="J475" s="4" t="n">
        <v>101</v>
      </c>
      <c r="K475" t="inlineStr">
        <is>
          <t>40 / 61</t>
        </is>
      </c>
      <c r="L475" t="inlineStr">
        <is>
          <t>10 / 16</t>
        </is>
      </c>
      <c r="M475" s="5" t="n">
        <v>0.4</v>
      </c>
      <c r="N475" s="5" t="n">
        <v>0.38</v>
      </c>
    </row>
    <row r="476">
      <c r="A476" t="n">
        <v>475</v>
      </c>
      <c r="B476" t="n">
        <v>2012</v>
      </c>
      <c r="C476" t="inlineStr">
        <is>
          <t>Alice Le</t>
        </is>
      </c>
      <c r="D476">
        <f>HYPERLINK("https://ota.tournamentsoftware.com/player-profile/762C717D-CB5B-4A61-877E-C235D5E4911F", "Link")</f>
        <v/>
      </c>
      <c r="E476" s="3" t="n">
        <v>98.04000000000001</v>
      </c>
      <c r="F476" s="4" t="n">
        <v>3</v>
      </c>
      <c r="G476" t="inlineStr">
        <is>
          <t>British Columbia</t>
        </is>
      </c>
      <c r="H476" t="inlineStr">
        <is>
          <t>City of Vancouver</t>
        </is>
      </c>
      <c r="I476" t="inlineStr">
        <is>
          <t>unavailable</t>
        </is>
      </c>
      <c r="J476" s="4" t="n">
        <v>10</v>
      </c>
      <c r="K476" t="inlineStr">
        <is>
          <t>7 / 3</t>
        </is>
      </c>
      <c r="L476" t="inlineStr">
        <is>
          <t>1 / 1</t>
        </is>
      </c>
      <c r="M476" s="5" t="n">
        <v>0.7</v>
      </c>
      <c r="N476" s="5" t="n">
        <v>0.5</v>
      </c>
    </row>
    <row r="477">
      <c r="A477" t="n">
        <v>476</v>
      </c>
      <c r="B477" t="n">
        <v>2015</v>
      </c>
      <c r="C477" t="inlineStr">
        <is>
          <t>Violet Ton-That</t>
        </is>
      </c>
      <c r="D477">
        <f>HYPERLINK("https://ota.tournamentsoftware.com/player-profile/2832D590-1D78-4B7F-B573-E2D932040ADB", "Link")</f>
        <v/>
      </c>
      <c r="E477" s="3" t="n">
        <v>96.917</v>
      </c>
      <c r="F477" s="4" t="n">
        <v>11</v>
      </c>
      <c r="G477" t="inlineStr">
        <is>
          <t>Tennis Québec</t>
        </is>
      </c>
      <c r="H477" t="inlineStr">
        <is>
          <t>Tennis Montréal Excellence</t>
        </is>
      </c>
      <c r="I477" t="n">
        <v>35.7</v>
      </c>
      <c r="J477" s="4" t="n">
        <v>63</v>
      </c>
      <c r="K477" t="inlineStr">
        <is>
          <t>29 / 34</t>
        </is>
      </c>
      <c r="L477" t="inlineStr">
        <is>
          <t>8 / 10</t>
        </is>
      </c>
      <c r="M477" s="5" t="n">
        <v>0.46</v>
      </c>
      <c r="N477" s="5" t="n">
        <v>0.44</v>
      </c>
    </row>
    <row r="478">
      <c r="A478" t="n">
        <v>477</v>
      </c>
      <c r="B478" t="n">
        <v>2012</v>
      </c>
      <c r="C478" t="inlineStr">
        <is>
          <t>Emily Zhang</t>
        </is>
      </c>
      <c r="D478">
        <f>HYPERLINK("https://ota.tournamentsoftware.com/player-profile/927E8E34-8FE2-4B37-81C7-621F5326585C", "Link")</f>
        <v/>
      </c>
      <c r="E478" s="3" t="n">
        <v>96.367</v>
      </c>
      <c r="F478" s="4" t="n">
        <v>7</v>
      </c>
      <c r="G478" t="inlineStr">
        <is>
          <t>Ontario Tennis Association</t>
        </is>
      </c>
      <c r="H478" t="inlineStr">
        <is>
          <t>Blackmore Tennis Club</t>
        </is>
      </c>
      <c r="I478" t="inlineStr">
        <is>
          <t>unavailable</t>
        </is>
      </c>
      <c r="J478" s="4" t="n">
        <v>48</v>
      </c>
      <c r="K478" t="inlineStr">
        <is>
          <t>10 / 38</t>
        </is>
      </c>
      <c r="L478" t="inlineStr">
        <is>
          <t>1 / 3</t>
        </is>
      </c>
      <c r="M478" s="5" t="n">
        <v>0.21</v>
      </c>
      <c r="N478" s="5" t="n">
        <v>0.25</v>
      </c>
    </row>
    <row r="479">
      <c r="A479" t="n">
        <v>478</v>
      </c>
      <c r="B479" t="n">
        <v>2017</v>
      </c>
      <c r="C479" t="inlineStr">
        <is>
          <t>Amelia Alhakim</t>
        </is>
      </c>
      <c r="D479">
        <f>HYPERLINK("https://ota.tournamentsoftware.com/player-profile/0B954ECB-D503-4C36-BD94-6D389AF0D202", "Link")</f>
        <v/>
      </c>
      <c r="E479" s="3" t="n">
        <v>96.36</v>
      </c>
      <c r="F479" s="4" t="n">
        <v>13</v>
      </c>
      <c r="G479" t="inlineStr">
        <is>
          <t>Ontario Tennis Association</t>
        </is>
      </c>
      <c r="H479" t="inlineStr">
        <is>
          <t>Zekelman Tennis Centre</t>
        </is>
      </c>
      <c r="I479" t="n">
        <v>34.4</v>
      </c>
      <c r="J479" s="4" t="n">
        <v>40</v>
      </c>
      <c r="K479" t="inlineStr">
        <is>
          <t>23 / 17</t>
        </is>
      </c>
      <c r="L479" t="inlineStr">
        <is>
          <t>19 / 12</t>
        </is>
      </c>
      <c r="M479" s="5" t="n">
        <v>0.57</v>
      </c>
      <c r="N479" s="5" t="n">
        <v>0.61</v>
      </c>
    </row>
    <row r="480">
      <c r="A480" t="n">
        <v>479</v>
      </c>
      <c r="B480" t="n">
        <v>2014</v>
      </c>
      <c r="C480" t="inlineStr">
        <is>
          <t>Zoey Folashakin</t>
        </is>
      </c>
      <c r="D480">
        <f>HYPERLINK("https://ota.tournamentsoftware.com/player-profile/3301B942-3C8E-4FE4-9470-6F68EC47669D", "Link")</f>
        <v/>
      </c>
      <c r="E480" s="3" t="n">
        <v>95.544</v>
      </c>
      <c r="F480" s="4" t="n">
        <v>22</v>
      </c>
      <c r="G480" t="inlineStr">
        <is>
          <t>Ontario Tennis Association</t>
        </is>
      </c>
      <c r="H480" t="inlineStr">
        <is>
          <t>Joshua Creek Golf &amp; Tennis</t>
        </is>
      </c>
      <c r="I480" t="n">
        <v>36.6</v>
      </c>
      <c r="J480" s="4" t="n">
        <v>68</v>
      </c>
      <c r="K480" t="inlineStr">
        <is>
          <t>15 / 53</t>
        </is>
      </c>
      <c r="L480" t="inlineStr">
        <is>
          <t>11 / 14</t>
        </is>
      </c>
      <c r="M480" s="5" t="n">
        <v>0.22</v>
      </c>
      <c r="N480" s="5" t="n">
        <v>0.44</v>
      </c>
    </row>
    <row r="481">
      <c r="A481" t="n">
        <v>480</v>
      </c>
      <c r="B481" t="n">
        <v>2013</v>
      </c>
      <c r="C481" t="inlineStr">
        <is>
          <t>Chelsea Yuxin Lan</t>
        </is>
      </c>
      <c r="D481">
        <f>HYPERLINK("https://ota.tournamentsoftware.com/player-profile/D861FE8B-CCB2-4222-BA9C-EBD5C1FECE32", "Link")</f>
        <v/>
      </c>
      <c r="E481" s="3" t="n">
        <v>95.095</v>
      </c>
      <c r="F481" s="4" t="n">
        <v>16</v>
      </c>
      <c r="G481" t="inlineStr">
        <is>
          <t>British Columbia</t>
        </is>
      </c>
      <c r="H481" t="inlineStr">
        <is>
          <t>Hollyburn Country Club</t>
        </is>
      </c>
      <c r="I481" t="inlineStr">
        <is>
          <t>unavailable</t>
        </is>
      </c>
      <c r="J481" s="4" t="n">
        <v>117</v>
      </c>
      <c r="K481" t="inlineStr">
        <is>
          <t>34 / 83</t>
        </is>
      </c>
      <c r="L481" t="inlineStr">
        <is>
          <t>2 / 20</t>
        </is>
      </c>
      <c r="M481" s="5" t="n">
        <v>0.29</v>
      </c>
      <c r="N481" s="5" t="n">
        <v>0.09</v>
      </c>
    </row>
    <row r="482">
      <c r="A482" t="n">
        <v>481</v>
      </c>
      <c r="B482" t="n">
        <v>2012</v>
      </c>
      <c r="C482" t="inlineStr">
        <is>
          <t>Karolina Klepinin</t>
        </is>
      </c>
      <c r="D482">
        <f>HYPERLINK("https://ota.tournamentsoftware.com/player-profile/A0474BDB-A63B-423A-90FB-FAAA726E2052", "Link")</f>
        <v/>
      </c>
      <c r="E482" s="3" t="n">
        <v>94.729</v>
      </c>
      <c r="F482" s="4" t="n">
        <v>6</v>
      </c>
      <c r="G482" t="inlineStr">
        <is>
          <t>Ontario Tennis Association</t>
        </is>
      </c>
      <c r="H482" t="inlineStr">
        <is>
          <t>ON North Central No Club</t>
        </is>
      </c>
      <c r="I482" t="n">
        <v>36.4</v>
      </c>
      <c r="J482" s="4" t="n">
        <v>52</v>
      </c>
      <c r="K482" t="inlineStr">
        <is>
          <t>14 / 38</t>
        </is>
      </c>
      <c r="L482" t="inlineStr">
        <is>
          <t>3 / 7</t>
        </is>
      </c>
      <c r="M482" s="5" t="n">
        <v>0.27</v>
      </c>
      <c r="N482" s="5" t="n">
        <v>0.3</v>
      </c>
    </row>
    <row r="483">
      <c r="A483" t="n">
        <v>482</v>
      </c>
      <c r="B483" t="n">
        <v>2012</v>
      </c>
      <c r="C483" t="inlineStr">
        <is>
          <t>Alyssa Grace Clouden</t>
        </is>
      </c>
      <c r="D483">
        <f>HYPERLINK("https://ota.tournamentsoftware.com/player-profile/85FC5E76-6ACD-4520-94D0-C05BABDC2184", "Link")</f>
        <v/>
      </c>
      <c r="E483" s="3" t="n">
        <v>94.176</v>
      </c>
      <c r="F483" s="4" t="n">
        <v>12</v>
      </c>
      <c r="G483" t="inlineStr">
        <is>
          <t>Ontario Tennis Association</t>
        </is>
      </c>
      <c r="H483" t="inlineStr">
        <is>
          <t>Headwaters Racquet Club</t>
        </is>
      </c>
      <c r="I483" t="n">
        <v>36.7</v>
      </c>
      <c r="J483" s="4" t="n">
        <v>52</v>
      </c>
      <c r="K483" t="inlineStr">
        <is>
          <t>24 / 28</t>
        </is>
      </c>
      <c r="L483" t="inlineStr">
        <is>
          <t>9 / 12</t>
        </is>
      </c>
      <c r="M483" s="5" t="n">
        <v>0.46</v>
      </c>
      <c r="N483" s="5" t="n">
        <v>0.43</v>
      </c>
    </row>
    <row r="484">
      <c r="A484" t="n">
        <v>483</v>
      </c>
      <c r="B484" t="n">
        <v>2012</v>
      </c>
      <c r="C484" t="inlineStr">
        <is>
          <t>Tiana Amede-Bramwell</t>
        </is>
      </c>
      <c r="D484">
        <f>HYPERLINK("https://ota.tournamentsoftware.com/player-profile/BC31A25D-C48C-47FD-A0A3-D600EA315675", "Link")</f>
        <v/>
      </c>
      <c r="E484" s="3" t="n">
        <v>94.053</v>
      </c>
      <c r="F484" s="4" t="n">
        <v>11</v>
      </c>
      <c r="G484" t="inlineStr">
        <is>
          <t>Ontario Tennis Association</t>
        </is>
      </c>
      <c r="H484" t="inlineStr">
        <is>
          <t>Credit Valley Tennis Club</t>
        </is>
      </c>
      <c r="I484" t="n">
        <v>39.5</v>
      </c>
      <c r="J484" s="4" t="n">
        <v>40</v>
      </c>
      <c r="K484" t="inlineStr">
        <is>
          <t>8 / 32</t>
        </is>
      </c>
      <c r="L484" t="inlineStr">
        <is>
          <t>8 / 29</t>
        </is>
      </c>
      <c r="M484" s="5" t="n">
        <v>0.2</v>
      </c>
      <c r="N484" s="5" t="n">
        <v>0.22</v>
      </c>
    </row>
    <row r="485">
      <c r="A485" t="n">
        <v>484</v>
      </c>
      <c r="B485" t="n">
        <v>2014</v>
      </c>
      <c r="C485" t="inlineStr">
        <is>
          <t>Gabriella Geronimo</t>
        </is>
      </c>
      <c r="D485">
        <f>HYPERLINK("https://ota.tournamentsoftware.com/player-profile/E075895A-C22F-4FDB-9A95-CCD353169906", "Link")</f>
        <v/>
      </c>
      <c r="E485" s="3" t="n">
        <v>93.63200000000001</v>
      </c>
      <c r="F485" s="4" t="n">
        <v>7</v>
      </c>
      <c r="G485" t="inlineStr">
        <is>
          <t>Ontario Tennis Association</t>
        </is>
      </c>
      <c r="H485" t="inlineStr">
        <is>
          <t>Albion Gardens Tennis Club</t>
        </is>
      </c>
      <c r="I485" t="n">
        <v>33.9</v>
      </c>
      <c r="J485" s="4" t="n">
        <v>200</v>
      </c>
      <c r="K485" t="inlineStr">
        <is>
          <t>113 / 87</t>
        </is>
      </c>
      <c r="L485" t="inlineStr">
        <is>
          <t>5 / 1</t>
        </is>
      </c>
      <c r="M485" s="5" t="n">
        <v>0.5600000000000001</v>
      </c>
      <c r="N485" s="5" t="n">
        <v>0.83</v>
      </c>
    </row>
    <row r="486">
      <c r="A486" t="n">
        <v>485</v>
      </c>
      <c r="B486" t="n">
        <v>2016</v>
      </c>
      <c r="C486" t="inlineStr">
        <is>
          <t>Chenlin Wang</t>
        </is>
      </c>
      <c r="D486">
        <f>HYPERLINK("https://ota.tournamentsoftware.com/player-profile/9F8A5A74-B5B7-41F1-A513-DA87D68CAFFE", "Link")</f>
        <v/>
      </c>
      <c r="E486" s="3" t="n">
        <v>93.539</v>
      </c>
      <c r="F486" s="4" t="n">
        <v>31</v>
      </c>
      <c r="G486" t="inlineStr">
        <is>
          <t>British Columbia</t>
        </is>
      </c>
      <c r="H486" t="inlineStr">
        <is>
          <t>Aura Tennis Academy</t>
        </is>
      </c>
      <c r="I486" t="inlineStr">
        <is>
          <t>unavailable</t>
        </is>
      </c>
      <c r="J486" s="4" t="n">
        <v>161</v>
      </c>
      <c r="K486" t="inlineStr">
        <is>
          <t>88 / 73</t>
        </is>
      </c>
      <c r="L486" t="inlineStr">
        <is>
          <t>36 / 24</t>
        </is>
      </c>
      <c r="M486" s="5" t="n">
        <v>0.55</v>
      </c>
      <c r="N486" s="5" t="n">
        <v>0.6</v>
      </c>
    </row>
    <row r="487">
      <c r="A487" t="n">
        <v>486</v>
      </c>
      <c r="B487" t="n">
        <v>2015</v>
      </c>
      <c r="C487" t="inlineStr">
        <is>
          <t>Joey Wu</t>
        </is>
      </c>
      <c r="D487">
        <f>HYPERLINK("https://ota.tournamentsoftware.com/player-profile/5271198B-7814-4938-9A9E-61E10CC7CCA6", "Link")</f>
        <v/>
      </c>
      <c r="E487" s="3" t="n">
        <v>92.84</v>
      </c>
      <c r="F487" s="4" t="n">
        <v>26</v>
      </c>
      <c r="G487" t="inlineStr">
        <is>
          <t>British Columbia</t>
        </is>
      </c>
      <c r="H487" t="inlineStr">
        <is>
          <t>City of Richmond</t>
        </is>
      </c>
      <c r="I487" t="inlineStr">
        <is>
          <t>unavailable</t>
        </is>
      </c>
      <c r="J487" s="4" t="n">
        <v>123</v>
      </c>
      <c r="K487" t="inlineStr">
        <is>
          <t>73 / 50</t>
        </is>
      </c>
      <c r="L487" t="inlineStr">
        <is>
          <t>18 / 26</t>
        </is>
      </c>
      <c r="M487" s="5" t="n">
        <v>0.59</v>
      </c>
      <c r="N487" s="5" t="n">
        <v>0.41</v>
      </c>
    </row>
    <row r="488">
      <c r="A488" t="n">
        <v>487</v>
      </c>
      <c r="B488" t="n">
        <v>2014</v>
      </c>
      <c r="C488" t="inlineStr">
        <is>
          <t>cataleya florina zadarojnea</t>
        </is>
      </c>
      <c r="D488">
        <f>HYPERLINK("https://ota.tournamentsoftware.com/player-profile/EAEB7B00-5E1C-47F6-8FF3-1537E07A8B59", "Link")</f>
        <v/>
      </c>
      <c r="E488" s="3" t="n">
        <v>92.57599999999999</v>
      </c>
      <c r="F488" s="4" t="n">
        <v>25</v>
      </c>
      <c r="G488" t="inlineStr">
        <is>
          <t>Ontario Tennis Association</t>
        </is>
      </c>
      <c r="H488" t="inlineStr">
        <is>
          <t>Premier Racquet Clubs – Mississauga</t>
        </is>
      </c>
      <c r="I488" t="n">
        <v>37.3</v>
      </c>
      <c r="J488" s="4" t="n">
        <v>39</v>
      </c>
      <c r="K488" t="inlineStr">
        <is>
          <t>13 / 26</t>
        </is>
      </c>
      <c r="L488" t="inlineStr">
        <is>
          <t>9 / 19</t>
        </is>
      </c>
      <c r="M488" s="5" t="n">
        <v>0.33</v>
      </c>
      <c r="N488" s="5" t="n">
        <v>0.32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91.819</v>
      </c>
      <c r="F489" s="4" t="n">
        <v>4</v>
      </c>
      <c r="G489" t="inlineStr">
        <is>
          <t>Tennis Nova Scotia</t>
        </is>
      </c>
      <c r="H489" t="inlineStr">
        <is>
          <t>HEADSTART</t>
        </is>
      </c>
      <c r="I489" t="n">
        <v>37.6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2016</v>
      </c>
      <c r="C490" t="inlineStr">
        <is>
          <t>Lydia Yinuo Xu</t>
        </is>
      </c>
      <c r="D490">
        <f>HYPERLINK("https://ota.tournamentsoftware.com/player-profile/515F94D6-B979-4BBE-98E6-48CFEF4CE395", "Link")</f>
        <v/>
      </c>
      <c r="E490" s="3" t="n">
        <v>91.8</v>
      </c>
      <c r="F490" s="4" t="n">
        <v>11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35.3</v>
      </c>
      <c r="J490" s="4" t="n">
        <v>157</v>
      </c>
      <c r="K490" t="inlineStr">
        <is>
          <t>74 / 83</t>
        </is>
      </c>
      <c r="L490" t="inlineStr">
        <is>
          <t>28 / 13</t>
        </is>
      </c>
      <c r="M490" s="5" t="n">
        <v>0.47</v>
      </c>
      <c r="N490" s="5" t="n">
        <v>0.68</v>
      </c>
    </row>
    <row r="491">
      <c r="A491" t="n">
        <v>490</v>
      </c>
      <c r="B491" t="n">
        <v>2015</v>
      </c>
      <c r="C491" t="inlineStr">
        <is>
          <t>zhiyi li</t>
        </is>
      </c>
      <c r="D491">
        <f>HYPERLINK("https://ota.tournamentsoftware.com/player-profile/262E56E9-3220-45C2-961D-ACE763C5C345", "Link")</f>
        <v/>
      </c>
      <c r="E491" s="3" t="n">
        <v>91.584</v>
      </c>
      <c r="F491" s="4" t="n">
        <v>11</v>
      </c>
      <c r="G491" t="inlineStr">
        <is>
          <t>Ontario Tennis Association</t>
        </is>
      </c>
      <c r="H491" t="inlineStr">
        <is>
          <t>Rideau Sports Centre</t>
        </is>
      </c>
      <c r="I491" t="n">
        <v>35</v>
      </c>
      <c r="J491" s="4" t="n">
        <v>85</v>
      </c>
      <c r="K491" t="inlineStr">
        <is>
          <t>45 / 40</t>
        </is>
      </c>
      <c r="L491" t="inlineStr">
        <is>
          <t>9 / 10</t>
        </is>
      </c>
      <c r="M491" s="5" t="n">
        <v>0.53</v>
      </c>
      <c r="N491" s="5" t="n">
        <v>0.47</v>
      </c>
    </row>
    <row r="492">
      <c r="A492" t="n">
        <v>491</v>
      </c>
      <c r="B492" t="n">
        <v>2013</v>
      </c>
      <c r="C492" t="inlineStr">
        <is>
          <t>Aditi Varma</t>
        </is>
      </c>
      <c r="D492">
        <f>HYPERLINK("https://ota.tournamentsoftware.com/player-profile/EE1E4950-6BCE-4CAA-921A-C5201D737DFF", "Link")</f>
        <v/>
      </c>
      <c r="E492" s="3" t="n">
        <v>91.402</v>
      </c>
      <c r="F492" s="4" t="n">
        <v>8</v>
      </c>
      <c r="G492" t="inlineStr">
        <is>
          <t>Ontario Tennis Association</t>
        </is>
      </c>
      <c r="H492" t="inlineStr">
        <is>
          <t>Ontario Racquet Club</t>
        </is>
      </c>
      <c r="I492" t="n">
        <v>34.9</v>
      </c>
      <c r="J492" s="4" t="n">
        <v>87</v>
      </c>
      <c r="K492" t="inlineStr">
        <is>
          <t>26 / 61</t>
        </is>
      </c>
      <c r="L492" t="inlineStr">
        <is>
          <t>2 / 5</t>
        </is>
      </c>
      <c r="M492" s="5" t="n">
        <v>0.3</v>
      </c>
      <c r="N492" s="5" t="n">
        <v>0.29</v>
      </c>
    </row>
    <row r="493">
      <c r="A493" t="n">
        <v>492</v>
      </c>
      <c r="B493" t="n">
        <v>2014</v>
      </c>
      <c r="C493" t="inlineStr">
        <is>
          <t>Olivia Hesse</t>
        </is>
      </c>
      <c r="D493">
        <f>HYPERLINK("https://ota.tournamentsoftware.com/player-profile/18AF6D11-FB26-470D-81A9-00DC98F16884", "Link")</f>
        <v/>
      </c>
      <c r="E493" s="3" t="n">
        <v>91.059</v>
      </c>
      <c r="F493" s="4" t="n">
        <v>12</v>
      </c>
      <c r="G493" t="inlineStr">
        <is>
          <t>Ontario Tennis Association</t>
        </is>
      </c>
      <c r="H493" t="inlineStr">
        <is>
          <t>Boulevard Club</t>
        </is>
      </c>
      <c r="I493" t="n">
        <v>36.3</v>
      </c>
      <c r="J493" s="4" t="n">
        <v>66</v>
      </c>
      <c r="K493" t="inlineStr">
        <is>
          <t>26 / 40</t>
        </is>
      </c>
      <c r="L493" t="inlineStr">
        <is>
          <t>8 / 11</t>
        </is>
      </c>
      <c r="M493" s="5" t="n">
        <v>0.39</v>
      </c>
      <c r="N493" s="5" t="n">
        <v>0.42</v>
      </c>
    </row>
    <row r="494">
      <c r="A494" t="n">
        <v>493</v>
      </c>
      <c r="B494" t="n">
        <v>2014</v>
      </c>
      <c r="C494" t="inlineStr">
        <is>
          <t>Maylis Ilmane</t>
        </is>
      </c>
      <c r="D494">
        <f>HYPERLINK("https://ota.tournamentsoftware.com/player-profile/8AD3E1E2-82F0-490F-B772-6E9AA24959CC", "Link")</f>
        <v/>
      </c>
      <c r="E494" s="3" t="n">
        <v>90.08799999999999</v>
      </c>
      <c r="F494" s="4" t="n">
        <v>10</v>
      </c>
      <c r="G494" t="inlineStr">
        <is>
          <t>Tennis Québec</t>
        </is>
      </c>
      <c r="H494" t="inlineStr">
        <is>
          <t>Centre récréatif de Repentigny / Académie Tennis Momentum</t>
        </is>
      </c>
      <c r="I494" t="n">
        <v>35.4</v>
      </c>
      <c r="J494" s="4" t="n">
        <v>60</v>
      </c>
      <c r="K494" t="inlineStr">
        <is>
          <t>25 / 35</t>
        </is>
      </c>
      <c r="L494" t="inlineStr">
        <is>
          <t>7 / 6</t>
        </is>
      </c>
      <c r="M494" s="5" t="n">
        <v>0.42</v>
      </c>
      <c r="N494" s="5" t="n">
        <v>0.54</v>
      </c>
    </row>
    <row r="495">
      <c r="A495" t="n">
        <v>494</v>
      </c>
      <c r="B495" t="n">
        <v>2015</v>
      </c>
      <c r="C495" t="inlineStr">
        <is>
          <t>Larissa Bulynko</t>
        </is>
      </c>
      <c r="D495">
        <f>HYPERLINK("https://ota.tournamentsoftware.com/player-profile/387B3C19-006B-446B-A1CE-226F349C0C24", "Link")</f>
        <v/>
      </c>
      <c r="E495" s="3" t="n">
        <v>89.874</v>
      </c>
      <c r="F495" s="4" t="n">
        <v>12</v>
      </c>
      <c r="G495" t="inlineStr">
        <is>
          <t>Ontario Tennis Association</t>
        </is>
      </c>
      <c r="H495" t="inlineStr">
        <is>
          <t>National Tennis School</t>
        </is>
      </c>
      <c r="I495" t="n">
        <v>37.3</v>
      </c>
      <c r="J495" s="4" t="n">
        <v>55</v>
      </c>
      <c r="K495" t="inlineStr">
        <is>
          <t>21 / 34</t>
        </is>
      </c>
      <c r="L495" t="inlineStr">
        <is>
          <t>6 / 11</t>
        </is>
      </c>
      <c r="M495" s="5" t="n">
        <v>0.38</v>
      </c>
      <c r="N495" s="5" t="n">
        <v>0.35</v>
      </c>
    </row>
    <row r="496">
      <c r="A496" t="n">
        <v>495</v>
      </c>
      <c r="B496" t="n">
        <v>2012</v>
      </c>
      <c r="C496" t="inlineStr">
        <is>
          <t>Aaisha Rathod</t>
        </is>
      </c>
      <c r="D496">
        <f>HYPERLINK("https://ota.tournamentsoftware.com/player-profile/3CFF2AC0-C5A1-461F-91D3-0CD8EAFC5609", "Link")</f>
        <v/>
      </c>
      <c r="E496" s="3" t="n">
        <v>88.89700000000001</v>
      </c>
      <c r="F496" s="4" t="n">
        <v>12</v>
      </c>
      <c r="G496" t="inlineStr">
        <is>
          <t>Ontario Tennis Association</t>
        </is>
      </c>
      <c r="H496" t="inlineStr">
        <is>
          <t>Premier Racquet Clubs – Mississauga</t>
        </is>
      </c>
      <c r="I496" t="n">
        <v>38.6</v>
      </c>
      <c r="J496" s="4" t="n">
        <v>76</v>
      </c>
      <c r="K496" t="inlineStr">
        <is>
          <t>4 / 72</t>
        </is>
      </c>
      <c r="L496" t="inlineStr">
        <is>
          <t>2 / 9</t>
        </is>
      </c>
      <c r="M496" s="5" t="n">
        <v>0.05</v>
      </c>
      <c r="N496" s="5" t="n">
        <v>0.18</v>
      </c>
    </row>
    <row r="497">
      <c r="A497" t="n">
        <v>496</v>
      </c>
      <c r="B497" t="n">
        <v>2013</v>
      </c>
      <c r="C497" t="inlineStr">
        <is>
          <t>Hengxi Celine Du</t>
        </is>
      </c>
      <c r="D497">
        <f>HYPERLINK("https://ota.tournamentsoftware.com/player-profile/7011B5E4-06D4-4830-95A3-18CF46BE4ED0", "Link")</f>
        <v/>
      </c>
      <c r="E497" s="3" t="n">
        <v>88.03</v>
      </c>
      <c r="F497" s="4" t="n">
        <v>3</v>
      </c>
      <c r="G497" t="inlineStr">
        <is>
          <t>Ontario Tennis Association</t>
        </is>
      </c>
      <c r="H497" t="inlineStr">
        <is>
          <t>Premier Racquet Clubs – Mississauga</t>
        </is>
      </c>
      <c r="I497" t="inlineStr">
        <is>
          <t>unavailable</t>
        </is>
      </c>
      <c r="J497" s="4" t="n">
        <v>23</v>
      </c>
      <c r="K497" t="inlineStr">
        <is>
          <t>8 / 15</t>
        </is>
      </c>
      <c r="L497" t="inlineStr">
        <is>
          <t>7 / 8</t>
        </is>
      </c>
      <c r="M497" s="5" t="n">
        <v>0.35</v>
      </c>
      <c r="N497" s="5" t="n">
        <v>0.47</v>
      </c>
    </row>
    <row r="498">
      <c r="A498" t="n">
        <v>497</v>
      </c>
      <c r="B498" t="n">
        <v>2016</v>
      </c>
      <c r="C498" t="inlineStr">
        <is>
          <t>LUXI YANG</t>
        </is>
      </c>
      <c r="D498">
        <f>HYPERLINK("https://ota.tournamentsoftware.com/player-profile/00CB777C-F17D-4A37-8393-1F4E5A4F3C39", "Link")</f>
        <v/>
      </c>
      <c r="E498" s="3" t="n">
        <v>86.93600000000001</v>
      </c>
      <c r="F498" s="4" t="n">
        <v>10</v>
      </c>
      <c r="G498" t="inlineStr">
        <is>
          <t>British Columbia</t>
        </is>
      </c>
      <c r="H498" t="inlineStr">
        <is>
          <t>The Tennis Centre</t>
        </is>
      </c>
      <c r="I498" t="n">
        <v>32.6</v>
      </c>
      <c r="J498" s="4" t="n">
        <v>80</v>
      </c>
      <c r="K498" t="inlineStr">
        <is>
          <t>63 / 17</t>
        </is>
      </c>
      <c r="L498" t="inlineStr">
        <is>
          <t>26 / 7</t>
        </is>
      </c>
      <c r="M498" s="5" t="n">
        <v>0.79</v>
      </c>
      <c r="N498" s="5" t="n">
        <v>0.79</v>
      </c>
    </row>
    <row r="499">
      <c r="A499" t="n">
        <v>498</v>
      </c>
      <c r="B499" t="n">
        <v>2015</v>
      </c>
      <c r="C499" t="inlineStr">
        <is>
          <t>Olivia An Yi Ta</t>
        </is>
      </c>
      <c r="D499">
        <f>HYPERLINK("https://ota.tournamentsoftware.com/player-profile/F718058C-465B-4AEB-BACA-80FE5B3917B6", "Link")</f>
        <v/>
      </c>
      <c r="E499" s="3" t="n">
        <v>85.59099999999999</v>
      </c>
      <c r="F499" s="4" t="n">
        <v>13</v>
      </c>
      <c r="G499" t="inlineStr">
        <is>
          <t>Ontario Tennis Association</t>
        </is>
      </c>
      <c r="H499" t="inlineStr">
        <is>
          <t>Lambton Golf &amp; Country Club</t>
        </is>
      </c>
      <c r="I499" t="inlineStr">
        <is>
          <t>unavailable</t>
        </is>
      </c>
      <c r="J499" s="4" t="n">
        <v>67</v>
      </c>
      <c r="K499" t="inlineStr">
        <is>
          <t>18 / 49</t>
        </is>
      </c>
      <c r="L499" t="inlineStr">
        <is>
          <t>9 / 11</t>
        </is>
      </c>
      <c r="M499" s="5" t="n">
        <v>0.27</v>
      </c>
      <c r="N499" s="5" t="n">
        <v>0.45</v>
      </c>
    </row>
    <row r="500">
      <c r="A500" t="n">
        <v>499</v>
      </c>
      <c r="B500" t="n">
        <v>2012</v>
      </c>
      <c r="C500" t="inlineStr">
        <is>
          <t>Daniella Maria SAUCEDO</t>
        </is>
      </c>
      <c r="D500">
        <f>HYPERLINK("https://ota.tournamentsoftware.com/player-profile/45A852A0-99BB-4449-9FC4-8CAEBA4B404C", "Link")</f>
        <v/>
      </c>
      <c r="E500" s="3" t="n">
        <v>84.456</v>
      </c>
      <c r="F500" s="4" t="n">
        <v>4</v>
      </c>
      <c r="G500" t="inlineStr">
        <is>
          <t>Ontario Tennis Association</t>
        </is>
      </c>
      <c r="H500" t="inlineStr">
        <is>
          <t>City of Oakville</t>
        </is>
      </c>
      <c r="I500" t="inlineStr">
        <is>
          <t>unavailable</t>
        </is>
      </c>
      <c r="J500" s="4" t="n">
        <v>137</v>
      </c>
      <c r="K500" t="inlineStr">
        <is>
          <t>72 / 65</t>
        </is>
      </c>
      <c r="L500" t="inlineStr">
        <is>
          <t>0 / 0</t>
        </is>
      </c>
      <c r="M500" s="5" t="n">
        <v>0.53</v>
      </c>
      <c r="N500" s="5" t="n">
        <v>0</v>
      </c>
    </row>
    <row r="501">
      <c r="A501" t="n">
        <v>500</v>
      </c>
      <c r="B501" t="n">
        <v>2013</v>
      </c>
      <c r="C501" t="inlineStr">
        <is>
          <t>Quinn Pfaff</t>
        </is>
      </c>
      <c r="D501">
        <f>HYPERLINK("https://ota.tournamentsoftware.com/player-profile/4EE4E18D-7D9C-41F4-B172-783EBB13EF00", "Link")</f>
        <v/>
      </c>
      <c r="E501" s="3" t="n">
        <v>83.955</v>
      </c>
      <c r="F501" s="4" t="n">
        <v>4</v>
      </c>
      <c r="G501" t="inlineStr">
        <is>
          <t>Ontario Tennis Association</t>
        </is>
      </c>
      <c r="H501" t="inlineStr">
        <is>
          <t>Maitland Country Club</t>
        </is>
      </c>
      <c r="I501" t="n">
        <v>38</v>
      </c>
      <c r="J501" s="4" t="n">
        <v>4</v>
      </c>
      <c r="K501" t="inlineStr">
        <is>
          <t>0 / 4</t>
        </is>
      </c>
      <c r="L501" t="inlineStr">
        <is>
          <t>0 / 3</t>
        </is>
      </c>
      <c r="M501" s="5" t="n">
        <v>0</v>
      </c>
      <c r="N501" s="5" t="n">
        <v>0</v>
      </c>
    </row>
    <row r="502">
      <c r="A502" t="n">
        <v>501</v>
      </c>
      <c r="B502" t="n">
        <v>2013</v>
      </c>
      <c r="C502" t="inlineStr">
        <is>
          <t>Avonlyn Long</t>
        </is>
      </c>
      <c r="D502">
        <f>HYPERLINK("https://ota.tournamentsoftware.com/player-profile/750061EB-6049-44F3-9B6E-4DE9428D7158", "Link")</f>
        <v/>
      </c>
      <c r="E502" s="3" t="n">
        <v>83.592</v>
      </c>
      <c r="F502" s="4" t="n">
        <v>3</v>
      </c>
      <c r="G502" t="inlineStr">
        <is>
          <t>Ontario Tennis Association</t>
        </is>
      </c>
      <c r="H502" t="inlineStr">
        <is>
          <t>Carleton Tennis Centre</t>
        </is>
      </c>
      <c r="I502" t="n">
        <v>39</v>
      </c>
      <c r="J502" s="4" t="n">
        <v>12</v>
      </c>
      <c r="K502" t="inlineStr">
        <is>
          <t>1 / 11</t>
        </is>
      </c>
      <c r="L502" t="inlineStr">
        <is>
          <t>1 / 3</t>
        </is>
      </c>
      <c r="M502" s="5" t="n">
        <v>0.08</v>
      </c>
      <c r="N502" s="5" t="n">
        <v>0.25</v>
      </c>
    </row>
    <row r="503">
      <c r="A503" t="n">
        <v>502</v>
      </c>
      <c r="B503" t="n">
        <v>2014</v>
      </c>
      <c r="C503" t="inlineStr">
        <is>
          <t>Aditri Mundhra</t>
        </is>
      </c>
      <c r="D503">
        <f>HYPERLINK("https://ota.tournamentsoftware.com/player-profile/C7A9A9F1-2DF6-42CD-AA71-F15C9BFFA6EB", "Link")</f>
        <v/>
      </c>
      <c r="E503" s="3" t="n">
        <v>82.485</v>
      </c>
      <c r="F503" s="4" t="n">
        <v>17</v>
      </c>
      <c r="G503" t="inlineStr">
        <is>
          <t>British Columbia</t>
        </is>
      </c>
      <c r="H503" t="inlineStr">
        <is>
          <t>The Tennis Centre</t>
        </is>
      </c>
      <c r="I503" t="n">
        <v>35.2</v>
      </c>
      <c r="J503" s="4" t="n">
        <v>49</v>
      </c>
      <c r="K503" t="inlineStr">
        <is>
          <t>18 / 31</t>
        </is>
      </c>
      <c r="L503" t="inlineStr">
        <is>
          <t>14 / 18</t>
        </is>
      </c>
      <c r="M503" s="5" t="n">
        <v>0.37</v>
      </c>
      <c r="N503" s="5" t="n">
        <v>0.44</v>
      </c>
    </row>
    <row r="504">
      <c r="A504" t="n">
        <v>503</v>
      </c>
      <c r="B504" t="n">
        <v>2013</v>
      </c>
      <c r="C504" t="inlineStr">
        <is>
          <t>Emilia Sofia Urkedal</t>
        </is>
      </c>
      <c r="D504">
        <f>HYPERLINK("https://ota.tournamentsoftware.com/player-profile/381713CB-202F-43FD-B96F-4B364BE2EE52", "Link")</f>
        <v/>
      </c>
      <c r="E504" s="3" t="n">
        <v>81.57299999999999</v>
      </c>
      <c r="F504" s="4" t="n">
        <v>7</v>
      </c>
      <c r="G504" t="inlineStr">
        <is>
          <t>Ontario Tennis Association</t>
        </is>
      </c>
      <c r="H504" t="inlineStr">
        <is>
          <t>Greenhills Golf Club</t>
        </is>
      </c>
      <c r="I504" t="n">
        <v>37</v>
      </c>
      <c r="J504" s="4" t="n">
        <v>69</v>
      </c>
      <c r="K504" t="inlineStr">
        <is>
          <t>17 / 52</t>
        </is>
      </c>
      <c r="L504" t="inlineStr">
        <is>
          <t>4 / 7</t>
        </is>
      </c>
      <c r="M504" s="5" t="n">
        <v>0.25</v>
      </c>
      <c r="N504" s="5" t="n">
        <v>0.36</v>
      </c>
    </row>
    <row r="505">
      <c r="A505" t="n">
        <v>504</v>
      </c>
      <c r="B505" t="n">
        <v>2013</v>
      </c>
      <c r="C505" t="inlineStr">
        <is>
          <t>Avery Hao</t>
        </is>
      </c>
      <c r="D505">
        <f>HYPERLINK("https://ota.tournamentsoftware.com/player-profile/4D297E0A-97AD-4487-A64F-403E8B3ACA30", "Link")</f>
        <v/>
      </c>
      <c r="E505" s="3" t="n">
        <v>81.264</v>
      </c>
      <c r="F505" s="4" t="n">
        <v>4</v>
      </c>
      <c r="G505" t="inlineStr">
        <is>
          <t>Ontario Tennis Association</t>
        </is>
      </c>
      <c r="H505" t="inlineStr">
        <is>
          <t>Elmridge Tennis Club</t>
        </is>
      </c>
      <c r="I505" t="n">
        <v>39.2</v>
      </c>
      <c r="J505" s="4" t="n">
        <v>15</v>
      </c>
      <c r="K505" t="inlineStr">
        <is>
          <t>4 / 11</t>
        </is>
      </c>
      <c r="L505" t="inlineStr">
        <is>
          <t>0 / 5</t>
        </is>
      </c>
      <c r="M505" s="5" t="n">
        <v>0.27</v>
      </c>
      <c r="N505" s="5" t="n">
        <v>0</v>
      </c>
    </row>
    <row r="506">
      <c r="A506" t="n">
        <v>505</v>
      </c>
      <c r="B506" t="n">
        <v>2015</v>
      </c>
      <c r="C506" t="inlineStr">
        <is>
          <t>Ellieann Jean Baker</t>
        </is>
      </c>
      <c r="D506">
        <f>HYPERLINK("https://ota.tournamentsoftware.com/player-profile/059CF7FD-B4FA-4522-AF55-9B2138153D9C", "Link")</f>
        <v/>
      </c>
      <c r="E506" s="3" t="n">
        <v>81.10299999999999</v>
      </c>
      <c r="F506" s="4" t="n">
        <v>9</v>
      </c>
      <c r="G506" t="inlineStr">
        <is>
          <t>Tennis Alberta</t>
        </is>
      </c>
      <c r="H506" t="inlineStr">
        <is>
          <t>Aforza</t>
        </is>
      </c>
      <c r="I506" t="n">
        <v>36.8</v>
      </c>
      <c r="J506" s="4" t="n">
        <v>109</v>
      </c>
      <c r="K506" t="inlineStr">
        <is>
          <t>45 / 64</t>
        </is>
      </c>
      <c r="L506" t="inlineStr">
        <is>
          <t>4 / 11</t>
        </is>
      </c>
      <c r="M506" s="5" t="n">
        <v>0.41</v>
      </c>
      <c r="N506" s="5" t="n">
        <v>0.27</v>
      </c>
    </row>
    <row r="507">
      <c r="A507" t="n">
        <v>506</v>
      </c>
      <c r="B507" t="n">
        <v>2013</v>
      </c>
      <c r="C507" t="inlineStr">
        <is>
          <t>Victoria maya Carinci</t>
        </is>
      </c>
      <c r="D507">
        <f>HYPERLINK("https://ota.tournamentsoftware.com/player-profile/767AAF86-8D36-4699-8113-86AA6DA60CE4", "Link")</f>
        <v/>
      </c>
      <c r="E507" s="3" t="n">
        <v>80.878</v>
      </c>
      <c r="F507" s="4" t="n">
        <v>11</v>
      </c>
      <c r="G507" t="inlineStr">
        <is>
          <t>Ontario Tennis Association</t>
        </is>
      </c>
      <c r="H507" t="inlineStr">
        <is>
          <t>Concord Tennis Academy</t>
        </is>
      </c>
      <c r="I507" t="n">
        <v>39.5</v>
      </c>
      <c r="J507" s="4" t="n">
        <v>38</v>
      </c>
      <c r="K507" t="inlineStr">
        <is>
          <t>8 / 30</t>
        </is>
      </c>
      <c r="L507" t="inlineStr">
        <is>
          <t>0 / 9</t>
        </is>
      </c>
      <c r="M507" s="5" t="n">
        <v>0.21</v>
      </c>
      <c r="N507" s="5" t="n">
        <v>0</v>
      </c>
    </row>
    <row r="508">
      <c r="A508" t="n">
        <v>507</v>
      </c>
      <c r="B508" t="n">
        <v>2015</v>
      </c>
      <c r="C508" t="inlineStr">
        <is>
          <t>Doreen Bowen Mao</t>
        </is>
      </c>
      <c r="D508">
        <f>HYPERLINK("https://ota.tournamentsoftware.com/player-profile/24478EB2-203F-4DE3-92C9-B16D9A60F77F", "Link")</f>
        <v/>
      </c>
      <c r="E508" s="3" t="n">
        <v>80.43600000000001</v>
      </c>
      <c r="F508" s="4" t="n">
        <v>16</v>
      </c>
      <c r="G508" t="inlineStr">
        <is>
          <t>Ontario Tennis Association</t>
        </is>
      </c>
      <c r="H508" t="inlineStr">
        <is>
          <t>Joshua Creek Golf &amp; Tennis</t>
        </is>
      </c>
      <c r="I508" t="n">
        <v>37.3</v>
      </c>
      <c r="J508" s="4" t="n">
        <v>80</v>
      </c>
      <c r="K508" t="inlineStr">
        <is>
          <t>33 / 47</t>
        </is>
      </c>
      <c r="L508" t="inlineStr">
        <is>
          <t>18 / 22</t>
        </is>
      </c>
      <c r="M508" s="5" t="n">
        <v>0.41</v>
      </c>
      <c r="N508" s="5" t="n">
        <v>0.45</v>
      </c>
    </row>
    <row r="509">
      <c r="A509" t="n">
        <v>508</v>
      </c>
      <c r="B509" t="n">
        <v>2015</v>
      </c>
      <c r="C509" t="inlineStr">
        <is>
          <t>Savannah Billings</t>
        </is>
      </c>
      <c r="D509">
        <f>HYPERLINK("https://ota.tournamentsoftware.com/player-profile/3C86C2A1-7881-4E07-A889-C842F4C67652", "Link")</f>
        <v/>
      </c>
      <c r="E509" s="3" t="n">
        <v>79.464</v>
      </c>
      <c r="F509" s="4" t="n">
        <v>5</v>
      </c>
      <c r="G509" t="inlineStr">
        <is>
          <t>Tennis Québec</t>
        </is>
      </c>
      <c r="H509" t="inlineStr">
        <is>
          <t>Club Avantage Multi-sports / Académie de tennis Hérisset Bordeleau</t>
        </is>
      </c>
      <c r="I509" t="n">
        <v>30.4</v>
      </c>
      <c r="J509" s="4" t="n">
        <v>13</v>
      </c>
      <c r="K509" t="inlineStr">
        <is>
          <t>8 / 5</t>
        </is>
      </c>
      <c r="L509" t="inlineStr">
        <is>
          <t>8 / 3</t>
        </is>
      </c>
      <c r="M509" s="5" t="n">
        <v>0.62</v>
      </c>
      <c r="N509" s="5" t="n">
        <v>0.73</v>
      </c>
    </row>
    <row r="510">
      <c r="A510" t="n">
        <v>509</v>
      </c>
      <c r="B510" t="n">
        <v>2015</v>
      </c>
      <c r="C510" t="inlineStr">
        <is>
          <t>Mia Gidaro</t>
        </is>
      </c>
      <c r="D510">
        <f>HYPERLINK("https://ota.tournamentsoftware.com/player-profile/17357D82-FEBE-483D-8054-F1F6B85AD8A5", "Link")</f>
        <v/>
      </c>
      <c r="E510" s="3" t="n">
        <v>79.46299999999999</v>
      </c>
      <c r="F510" s="4" t="n">
        <v>12</v>
      </c>
      <c r="G510" t="inlineStr">
        <is>
          <t>Ontario Tennis Association</t>
        </is>
      </c>
      <c r="H510" t="inlineStr">
        <is>
          <t>Baby Point Tennis Club</t>
        </is>
      </c>
      <c r="I510" t="n">
        <v>37.1</v>
      </c>
      <c r="J510" s="4" t="n">
        <v>61</v>
      </c>
      <c r="K510" t="inlineStr">
        <is>
          <t>24 / 37</t>
        </is>
      </c>
      <c r="L510" t="inlineStr">
        <is>
          <t>3 / 7</t>
        </is>
      </c>
      <c r="M510" s="5" t="n">
        <v>0.39</v>
      </c>
      <c r="N510" s="5" t="n">
        <v>0.3</v>
      </c>
    </row>
    <row r="511">
      <c r="A511" t="n">
        <v>510</v>
      </c>
      <c r="B511" t="n">
        <v>2014</v>
      </c>
      <c r="C511" t="inlineStr">
        <is>
          <t>Clarice de Azevedo Guedes</t>
        </is>
      </c>
      <c r="D511">
        <f>HYPERLINK("https://ota.tournamentsoftware.com/player-profile/027DF0F1-69E8-4220-8263-B26C4D1AFC70", "Link")</f>
        <v/>
      </c>
      <c r="E511" s="3" t="n">
        <v>79.407</v>
      </c>
      <c r="F511" s="4" t="n">
        <v>14</v>
      </c>
      <c r="G511" t="inlineStr">
        <is>
          <t>Tennis Québec</t>
        </is>
      </c>
      <c r="H511" t="inlineStr">
        <is>
          <t>Tennis 13</t>
        </is>
      </c>
      <c r="I511" t="inlineStr">
        <is>
          <t>unavailable</t>
        </is>
      </c>
      <c r="J511" s="4" t="n">
        <v>64</v>
      </c>
      <c r="K511" t="inlineStr">
        <is>
          <t>26 / 38</t>
        </is>
      </c>
      <c r="L511" t="inlineStr">
        <is>
          <t>12 / 12</t>
        </is>
      </c>
      <c r="M511" s="5" t="n">
        <v>0.41</v>
      </c>
      <c r="N511" s="5" t="n">
        <v>0.5</v>
      </c>
    </row>
    <row r="512">
      <c r="A512" t="n">
        <v>511</v>
      </c>
      <c r="B512" t="n">
        <v>2015</v>
      </c>
      <c r="C512" t="inlineStr">
        <is>
          <t>Abigail Csima</t>
        </is>
      </c>
      <c r="D512">
        <f>HYPERLINK("https://ota.tournamentsoftware.com/player-profile/6F3C1A53-8070-482F-B046-BE875C66F4B8", "Link")</f>
        <v/>
      </c>
      <c r="E512" s="3" t="n">
        <v>79.28700000000001</v>
      </c>
      <c r="F512" s="4" t="n">
        <v>15</v>
      </c>
      <c r="G512" t="inlineStr">
        <is>
          <t>Ontario Tennis Association</t>
        </is>
      </c>
      <c r="H512" t="inlineStr">
        <is>
          <t>Waterloo Tennis Club</t>
        </is>
      </c>
      <c r="I512" t="n">
        <v>38.5</v>
      </c>
      <c r="J512" s="4" t="n">
        <v>60</v>
      </c>
      <c r="K512" t="inlineStr">
        <is>
          <t>12 / 48</t>
        </is>
      </c>
      <c r="L512" t="inlineStr">
        <is>
          <t>3 / 14</t>
        </is>
      </c>
      <c r="M512" s="5" t="n">
        <v>0.2</v>
      </c>
      <c r="N512" s="5" t="n">
        <v>0.18</v>
      </c>
    </row>
    <row r="513">
      <c r="A513" t="n">
        <v>512</v>
      </c>
      <c r="B513" t="n">
        <v>2014</v>
      </c>
      <c r="C513" t="inlineStr">
        <is>
          <t>Sarah Huang</t>
        </is>
      </c>
      <c r="D513">
        <f>HYPERLINK("https://ota.tournamentsoftware.com/player-profile/535A9ABE-481C-45C4-9357-B8FD9305232E", "Link")</f>
        <v/>
      </c>
      <c r="E513" s="3" t="n">
        <v>77.562</v>
      </c>
      <c r="F513" s="4" t="n">
        <v>14</v>
      </c>
      <c r="G513" t="inlineStr">
        <is>
          <t>Ontario Tennis Association</t>
        </is>
      </c>
      <c r="H513" t="inlineStr">
        <is>
          <t>Premier Racquet Club</t>
        </is>
      </c>
      <c r="I513" t="n">
        <v>35.4</v>
      </c>
      <c r="J513" s="4" t="n">
        <v>113</v>
      </c>
      <c r="K513" t="inlineStr">
        <is>
          <t>39 / 74</t>
        </is>
      </c>
      <c r="L513" t="inlineStr">
        <is>
          <t>5 / 7</t>
        </is>
      </c>
      <c r="M513" s="5" t="n">
        <v>0.35</v>
      </c>
      <c r="N513" s="5" t="n">
        <v>0.42</v>
      </c>
    </row>
    <row r="514">
      <c r="A514" t="n">
        <v>513</v>
      </c>
      <c r="B514" t="n">
        <v>2013</v>
      </c>
      <c r="C514" t="inlineStr">
        <is>
          <t>Julia Anne Kennedy</t>
        </is>
      </c>
      <c r="D514">
        <f>HYPERLINK("https://ota.tournamentsoftware.com/player-profile/82DF6D3D-A382-4764-B57C-0EA44A762022", "Link")</f>
        <v/>
      </c>
      <c r="E514" s="3" t="n">
        <v>77</v>
      </c>
      <c r="F514" s="4" t="n">
        <v>2</v>
      </c>
      <c r="G514" t="inlineStr">
        <is>
          <t>Ontario Tennis Association</t>
        </is>
      </c>
      <c r="H514" t="inlineStr">
        <is>
          <t>SmartVMC Racquetsports by ACE</t>
        </is>
      </c>
      <c r="I514" t="n">
        <v>31.6</v>
      </c>
      <c r="J514" s="4" t="n">
        <v>145</v>
      </c>
      <c r="K514" t="inlineStr">
        <is>
          <t>70 / 75</t>
        </is>
      </c>
      <c r="L514" t="inlineStr">
        <is>
          <t>4 / 0</t>
        </is>
      </c>
      <c r="M514" s="5" t="n">
        <v>0.48</v>
      </c>
      <c r="N514" s="5" t="n">
        <v>1</v>
      </c>
    </row>
    <row r="515">
      <c r="A515" t="n">
        <v>514</v>
      </c>
      <c r="B515" t="n">
        <v>2014</v>
      </c>
      <c r="C515" t="inlineStr">
        <is>
          <t>Yue Zhang</t>
        </is>
      </c>
      <c r="D515">
        <f>HYPERLINK("https://ota.tournamentsoftware.com/player-profile/85239D79-7080-4052-A527-EE7F087184E4", "Link")</f>
        <v/>
      </c>
      <c r="E515" s="3" t="n">
        <v>76.623</v>
      </c>
      <c r="F515" s="4" t="n">
        <v>6</v>
      </c>
      <c r="G515" t="inlineStr">
        <is>
          <t>Tennis Nova Scotia</t>
        </is>
      </c>
      <c r="H515" t="inlineStr">
        <is>
          <t>Atlantic Tennis Centre</t>
        </is>
      </c>
      <c r="I515" t="n">
        <v>37.8</v>
      </c>
      <c r="J515" s="4" t="n">
        <v>38</v>
      </c>
      <c r="K515" t="inlineStr">
        <is>
          <t>15 / 23</t>
        </is>
      </c>
      <c r="L515" t="inlineStr">
        <is>
          <t>6 / 12</t>
        </is>
      </c>
      <c r="M515" s="5" t="n">
        <v>0.39</v>
      </c>
      <c r="N515" s="5" t="n">
        <v>0.33</v>
      </c>
    </row>
    <row r="516">
      <c r="A516" t="n">
        <v>515</v>
      </c>
      <c r="B516" t="n">
        <v>2014</v>
      </c>
      <c r="C516" t="inlineStr">
        <is>
          <t>Ava Amiripour</t>
        </is>
      </c>
      <c r="D516">
        <f>HYPERLINK("https://ota.tournamentsoftware.com/player-profile/C08AB363-A302-4023-8D6D-B732D837DADF", "Link")</f>
        <v/>
      </c>
      <c r="E516" s="3" t="n">
        <v>74.288</v>
      </c>
      <c r="F516" s="4" t="n">
        <v>4</v>
      </c>
      <c r="G516" t="inlineStr">
        <is>
          <t>Ontario Tennis Association</t>
        </is>
      </c>
      <c r="H516" t="inlineStr">
        <is>
          <t>No Club</t>
        </is>
      </c>
      <c r="I516" t="n">
        <v>37.7</v>
      </c>
      <c r="J516" s="4" t="n">
        <v>7</v>
      </c>
      <c r="K516" t="inlineStr">
        <is>
          <t>1 / 6</t>
        </is>
      </c>
      <c r="L516" t="inlineStr">
        <is>
          <t>1 / 5</t>
        </is>
      </c>
      <c r="M516" s="5" t="n">
        <v>0.14</v>
      </c>
      <c r="N516" s="5" t="n">
        <v>0.17</v>
      </c>
    </row>
    <row r="517">
      <c r="A517" t="n">
        <v>516</v>
      </c>
      <c r="B517" t="n">
        <v>2013</v>
      </c>
      <c r="C517" t="inlineStr">
        <is>
          <t>Emma Victoria Chan</t>
        </is>
      </c>
      <c r="D517">
        <f>HYPERLINK("https://ota.tournamentsoftware.com/player-profile/29822B25-6004-4E31-822F-CF8FF1CD9AB7", "Link")</f>
        <v/>
      </c>
      <c r="E517" s="3" t="n">
        <v>74.184</v>
      </c>
      <c r="F517" s="4" t="n">
        <v>8</v>
      </c>
      <c r="G517" t="inlineStr">
        <is>
          <t>Ontario Tennis Association</t>
        </is>
      </c>
      <c r="H517" t="inlineStr">
        <is>
          <t>Joshua Creek Golf &amp; Tennis</t>
        </is>
      </c>
      <c r="I517" t="n">
        <v>36.4</v>
      </c>
      <c r="J517" s="4" t="n">
        <v>64</v>
      </c>
      <c r="K517" t="inlineStr">
        <is>
          <t>40 / 24</t>
        </is>
      </c>
      <c r="L517" t="inlineStr">
        <is>
          <t>12 / 4</t>
        </is>
      </c>
      <c r="M517" s="5" t="n">
        <v>0.62</v>
      </c>
      <c r="N517" s="5" t="n">
        <v>0.75</v>
      </c>
    </row>
    <row r="518">
      <c r="A518" t="n">
        <v>517</v>
      </c>
      <c r="B518" t="n">
        <v>2015</v>
      </c>
      <c r="C518" t="inlineStr">
        <is>
          <t>Cara Tereza Nyakahuma</t>
        </is>
      </c>
      <c r="D518">
        <f>HYPERLINK("https://ota.tournamentsoftware.com/player-profile/AFC2100D-E6CB-4B13-AD01-0EBC56083397", "Link")</f>
        <v/>
      </c>
      <c r="E518" s="3" t="n">
        <v>74.08</v>
      </c>
      <c r="F518" s="4" t="n">
        <v>8</v>
      </c>
      <c r="G518" t="inlineStr">
        <is>
          <t>Ontario Tennis Association</t>
        </is>
      </c>
      <c r="H518" t="inlineStr">
        <is>
          <t>Intercounty Tennis Association</t>
        </is>
      </c>
      <c r="I518" t="inlineStr">
        <is>
          <t>unavailable</t>
        </is>
      </c>
      <c r="J518" s="4" t="n">
        <v>143</v>
      </c>
      <c r="K518" t="inlineStr">
        <is>
          <t>90 / 53</t>
        </is>
      </c>
      <c r="L518" t="inlineStr">
        <is>
          <t>7 / 4</t>
        </is>
      </c>
      <c r="M518" s="5" t="n">
        <v>0.63</v>
      </c>
      <c r="N518" s="5" t="n">
        <v>0.64</v>
      </c>
    </row>
    <row r="519">
      <c r="A519" t="n">
        <v>518</v>
      </c>
      <c r="B519" t="n">
        <v>2017</v>
      </c>
      <c r="C519" t="inlineStr">
        <is>
          <t>Chen Xi Zhou Kong</t>
        </is>
      </c>
      <c r="D519">
        <f>HYPERLINK("https://ota.tournamentsoftware.com/player-profile/E5CD94C9-63F9-419B-A6E9-CCB6DEF8B502", "Link")</f>
        <v/>
      </c>
      <c r="E519" s="3" t="n">
        <v>73.2</v>
      </c>
      <c r="F519" s="4" t="n">
        <v>22</v>
      </c>
      <c r="G519" t="inlineStr">
        <is>
          <t>Tennis Québec</t>
        </is>
      </c>
      <c r="H519" t="inlineStr">
        <is>
          <t>Centre récréatif de Repentigny / Académie Tennis Momentum</t>
        </is>
      </c>
      <c r="I519" t="inlineStr">
        <is>
          <t>unavailable</t>
        </is>
      </c>
      <c r="J519" s="4" t="n">
        <v>120</v>
      </c>
      <c r="K519" t="inlineStr">
        <is>
          <t>57 / 63</t>
        </is>
      </c>
      <c r="L519" t="inlineStr">
        <is>
          <t>40 / 36</t>
        </is>
      </c>
      <c r="M519" s="5" t="n">
        <v>0.47</v>
      </c>
      <c r="N519" s="5" t="n">
        <v>0.53</v>
      </c>
    </row>
    <row r="520">
      <c r="A520" t="n">
        <v>519</v>
      </c>
      <c r="B520" t="n">
        <v>2013</v>
      </c>
      <c r="C520" t="inlineStr">
        <is>
          <t>Lolia Abdrabou</t>
        </is>
      </c>
      <c r="D520">
        <f>HYPERLINK("https://ota.tournamentsoftware.com/player-profile/02101E1E-CCDA-437A-A3E7-8CBDBA76F674", "Link")</f>
        <v/>
      </c>
      <c r="E520" s="3" t="n">
        <v>72.959</v>
      </c>
      <c r="F520" s="4" t="n">
        <v>4</v>
      </c>
      <c r="G520" t="inlineStr">
        <is>
          <t>Tennis Nova Scotia</t>
        </is>
      </c>
      <c r="H520" t="inlineStr">
        <is>
          <t>HEADSTART</t>
        </is>
      </c>
      <c r="I520" t="n">
        <v>35.6</v>
      </c>
      <c r="J520" s="4" t="n">
        <v>22</v>
      </c>
      <c r="K520" t="inlineStr">
        <is>
          <t>13 / 9</t>
        </is>
      </c>
      <c r="L520" t="inlineStr">
        <is>
          <t>2 / 4</t>
        </is>
      </c>
      <c r="M520" s="5" t="n">
        <v>0.59</v>
      </c>
      <c r="N520" s="5" t="n">
        <v>0.33</v>
      </c>
    </row>
    <row r="521">
      <c r="A521" t="n">
        <v>520</v>
      </c>
      <c r="B521" t="n">
        <v>2016</v>
      </c>
      <c r="C521" t="inlineStr">
        <is>
          <t>Grace SHI</t>
        </is>
      </c>
      <c r="D521">
        <f>HYPERLINK("https://ota.tournamentsoftware.com/player-profile/71A1D6E1-33D1-46A0-AF21-F397AE1BA314", "Link")</f>
        <v/>
      </c>
      <c r="E521" s="3" t="n">
        <v>70.416</v>
      </c>
      <c r="F521" s="4" t="n">
        <v>10</v>
      </c>
      <c r="G521" t="inlineStr">
        <is>
          <t>British Columbia</t>
        </is>
      </c>
      <c r="H521" t="inlineStr">
        <is>
          <t>No Club</t>
        </is>
      </c>
      <c r="I521" t="n">
        <v>38.4</v>
      </c>
      <c r="J521" s="4" t="n">
        <v>48</v>
      </c>
      <c r="K521" t="inlineStr">
        <is>
          <t>16 / 32</t>
        </is>
      </c>
      <c r="L521" t="inlineStr">
        <is>
          <t>9 / 13</t>
        </is>
      </c>
      <c r="M521" s="5" t="n">
        <v>0.33</v>
      </c>
      <c r="N521" s="5" t="n">
        <v>0.41</v>
      </c>
    </row>
    <row r="522">
      <c r="A522" t="n">
        <v>521</v>
      </c>
      <c r="B522" t="n">
        <v>2015</v>
      </c>
      <c r="C522" t="inlineStr">
        <is>
          <t>Myra Shukla</t>
        </is>
      </c>
      <c r="D522">
        <f>HYPERLINK("https://ota.tournamentsoftware.com/player-profile/2F4B1A1D-35AC-45A0-9F5D-6D5533376D9A", "Link")</f>
        <v/>
      </c>
      <c r="E522" s="3" t="n">
        <v>70.126</v>
      </c>
      <c r="F522" s="4" t="n">
        <v>8</v>
      </c>
      <c r="G522" t="inlineStr">
        <is>
          <t>Ontario Tennis Association</t>
        </is>
      </c>
      <c r="H522" t="inlineStr">
        <is>
          <t>Veneto Tennis Club</t>
        </is>
      </c>
      <c r="I522" t="n">
        <v>38</v>
      </c>
      <c r="J522" s="4" t="n">
        <v>83</v>
      </c>
      <c r="K522" t="inlineStr">
        <is>
          <t>34 / 49</t>
        </is>
      </c>
      <c r="L522" t="inlineStr">
        <is>
          <t>1 / 6</t>
        </is>
      </c>
      <c r="M522" s="5" t="n">
        <v>0.41</v>
      </c>
      <c r="N522" s="5" t="n">
        <v>0.14</v>
      </c>
    </row>
    <row r="523">
      <c r="A523" t="n">
        <v>522</v>
      </c>
      <c r="B523" t="n">
        <v>2013</v>
      </c>
      <c r="C523" t="inlineStr">
        <is>
          <t>Zean Whyte Omayan Gerongco</t>
        </is>
      </c>
      <c r="D523">
        <f>HYPERLINK("https://ota.tournamentsoftware.com/player-profile/95E8FC8D-AC41-4C9F-8192-23788254309B", "Link")</f>
        <v/>
      </c>
      <c r="E523" s="3" t="n">
        <v>70.09099999999999</v>
      </c>
      <c r="F523" s="4" t="n">
        <v>4</v>
      </c>
      <c r="G523" t="inlineStr">
        <is>
          <t>Ontario Tennis Association</t>
        </is>
      </c>
      <c r="H523" t="inlineStr">
        <is>
          <t>Fountainhead Tennis Club</t>
        </is>
      </c>
      <c r="I523" t="n">
        <v>32.8</v>
      </c>
      <c r="J523" s="4" t="n">
        <v>167</v>
      </c>
      <c r="K523" t="inlineStr">
        <is>
          <t>95 / 72</t>
        </is>
      </c>
      <c r="L523" t="inlineStr">
        <is>
          <t>0 / 0</t>
        </is>
      </c>
      <c r="M523" s="5" t="n">
        <v>0.57</v>
      </c>
      <c r="N523" s="5" t="n">
        <v>0</v>
      </c>
    </row>
    <row r="524">
      <c r="A524" t="n">
        <v>523</v>
      </c>
      <c r="B524" t="n">
        <v>2013</v>
      </c>
      <c r="C524" t="inlineStr">
        <is>
          <t>Lydia Squires-Sturge</t>
        </is>
      </c>
      <c r="D524">
        <f>HYPERLINK("https://ota.tournamentsoftware.com/player-profile/AD6D5BEF-6293-4DE8-BF13-52E1A33EF28B", "Link")</f>
        <v/>
      </c>
      <c r="E524" s="3" t="n">
        <v>69.855</v>
      </c>
      <c r="F524" s="4" t="n">
        <v>5</v>
      </c>
      <c r="G524" t="inlineStr">
        <is>
          <t>Tennis Newfoundland &amp; Labrador</t>
        </is>
      </c>
      <c r="H524" t="inlineStr">
        <is>
          <t>Mount Pearl Tennis Club</t>
        </is>
      </c>
      <c r="I524" t="inlineStr">
        <is>
          <t>unavailable</t>
        </is>
      </c>
      <c r="J524" s="4" t="n">
        <v>25</v>
      </c>
      <c r="K524" t="inlineStr">
        <is>
          <t>8 / 17</t>
        </is>
      </c>
      <c r="L524" t="inlineStr">
        <is>
          <t>1 / 5</t>
        </is>
      </c>
      <c r="M524" s="5" t="n">
        <v>0.32</v>
      </c>
      <c r="N524" s="5" t="n">
        <v>0.17</v>
      </c>
    </row>
    <row r="525">
      <c r="A525" t="n">
        <v>524</v>
      </c>
      <c r="B525" t="n">
        <v>2013</v>
      </c>
      <c r="C525" t="inlineStr">
        <is>
          <t>Lilya Youssef</t>
        </is>
      </c>
      <c r="D525">
        <f>HYPERLINK("https://ota.tournamentsoftware.com/player-profile/E4A52F0A-7400-4236-ACEF-6680D7FB1262", "Link")</f>
        <v/>
      </c>
      <c r="E525" s="3" t="n">
        <v>69.61</v>
      </c>
      <c r="F525" s="4" t="n">
        <v>3</v>
      </c>
      <c r="G525" t="inlineStr">
        <is>
          <t>Tennis Québec</t>
        </is>
      </c>
      <c r="H525" t="inlineStr">
        <is>
          <t>Tennis 13</t>
        </is>
      </c>
      <c r="I525" t="inlineStr">
        <is>
          <t>unavailable</t>
        </is>
      </c>
      <c r="J525" s="4" t="n">
        <v>10</v>
      </c>
      <c r="K525" t="inlineStr">
        <is>
          <t>5 / 5</t>
        </is>
      </c>
      <c r="L525" t="inlineStr">
        <is>
          <t>5 / 5</t>
        </is>
      </c>
      <c r="M525" s="5" t="n">
        <v>0.5</v>
      </c>
      <c r="N525" s="5" t="n">
        <v>0.5</v>
      </c>
    </row>
    <row r="526">
      <c r="A526" t="n">
        <v>525</v>
      </c>
      <c r="B526" t="n">
        <v>2012</v>
      </c>
      <c r="C526" t="inlineStr">
        <is>
          <t>Stefaniia Petrova</t>
        </is>
      </c>
      <c r="D526">
        <f>HYPERLINK("https://ota.tournamentsoftware.com/player-profile/23727B96-731B-4DBB-9789-81399E2B9950", "Link")</f>
        <v/>
      </c>
      <c r="E526" s="3" t="n">
        <v>69.48</v>
      </c>
      <c r="F526" s="4" t="n">
        <v>2</v>
      </c>
      <c r="G526" t="inlineStr">
        <is>
          <t>Ontario Tennis Association</t>
        </is>
      </c>
      <c r="H526" t="inlineStr">
        <is>
          <t>No Club</t>
        </is>
      </c>
      <c r="I526" t="n">
        <v>29</v>
      </c>
      <c r="J526" s="4" t="n">
        <v>301</v>
      </c>
      <c r="K526" t="inlineStr">
        <is>
          <t>177 / 124</t>
        </is>
      </c>
      <c r="L526" t="inlineStr">
        <is>
          <t>0 / 0</t>
        </is>
      </c>
      <c r="M526" s="5" t="n">
        <v>0.59</v>
      </c>
      <c r="N526" s="5" t="n">
        <v>0</v>
      </c>
    </row>
    <row r="527">
      <c r="A527" t="n">
        <v>526</v>
      </c>
      <c r="B527" t="n">
        <v>2015</v>
      </c>
      <c r="C527" t="inlineStr">
        <is>
          <t>Mataya Victoria Jan</t>
        </is>
      </c>
      <c r="D527">
        <f>HYPERLINK("https://ota.tournamentsoftware.com/player-profile/52A288CA-2524-4398-A498-9546CE531A78", "Link")</f>
        <v/>
      </c>
      <c r="E527" s="3" t="n">
        <v>69.43600000000001</v>
      </c>
      <c r="F527" s="4" t="n">
        <v>8</v>
      </c>
      <c r="G527" t="inlineStr">
        <is>
          <t>Ontario Tennis Association</t>
        </is>
      </c>
      <c r="H527" t="inlineStr">
        <is>
          <t>Tennis Centre West Ottawa</t>
        </is>
      </c>
      <c r="I527" t="n">
        <v>39.8</v>
      </c>
      <c r="J527" s="4" t="n">
        <v>13</v>
      </c>
      <c r="K527" t="inlineStr">
        <is>
          <t>0 / 13</t>
        </is>
      </c>
      <c r="L527" t="inlineStr">
        <is>
          <t>0 / 8</t>
        </is>
      </c>
      <c r="M527" s="5" t="n">
        <v>0</v>
      </c>
      <c r="N527" s="5" t="n">
        <v>0</v>
      </c>
    </row>
    <row r="528">
      <c r="A528" t="n">
        <v>527</v>
      </c>
      <c r="B528" t="n">
        <v>2015</v>
      </c>
      <c r="C528" t="inlineStr">
        <is>
          <t>Emilia Ho</t>
        </is>
      </c>
      <c r="D528">
        <f>HYPERLINK("https://ota.tournamentsoftware.com/player-profile/91D4EC27-5C11-4119-B45C-F3809BFF1CF1", "Link")</f>
        <v/>
      </c>
      <c r="E528" s="3" t="n">
        <v>69.21299999999999</v>
      </c>
      <c r="F528" s="4" t="n">
        <v>17</v>
      </c>
      <c r="G528" t="inlineStr">
        <is>
          <t>Tennis Alberta</t>
        </is>
      </c>
      <c r="H528" t="inlineStr">
        <is>
          <t>Osten &amp; Victor Alberta Tennis Centre</t>
        </is>
      </c>
      <c r="I528" t="n">
        <v>34.6</v>
      </c>
      <c r="J528" s="4" t="n">
        <v>135</v>
      </c>
      <c r="K528" t="inlineStr">
        <is>
          <t>70 / 65</t>
        </is>
      </c>
      <c r="L528" t="inlineStr">
        <is>
          <t>16 / 17</t>
        </is>
      </c>
      <c r="M528" s="5" t="n">
        <v>0.52</v>
      </c>
      <c r="N528" s="5" t="n">
        <v>0.48</v>
      </c>
    </row>
    <row r="529">
      <c r="A529" t="n">
        <v>528</v>
      </c>
      <c r="B529" t="n">
        <v>2014</v>
      </c>
      <c r="C529" t="inlineStr">
        <is>
          <t>Alexis Sokol</t>
        </is>
      </c>
      <c r="D529">
        <f>HYPERLINK("https://ota.tournamentsoftware.com/player-profile/8337D953-FBB9-45F2-B72A-FF18B572FA6A", "Link")</f>
        <v/>
      </c>
      <c r="E529" s="3" t="n">
        <v>68.806</v>
      </c>
      <c r="F529" s="4" t="n">
        <v>9</v>
      </c>
      <c r="G529" t="inlineStr">
        <is>
          <t>Tennis Alberta</t>
        </is>
      </c>
      <c r="H529" t="inlineStr">
        <is>
          <t>Saville Community Sports Centre</t>
        </is>
      </c>
      <c r="I529" t="n">
        <v>36.5</v>
      </c>
      <c r="J529" s="4" t="n">
        <v>21</v>
      </c>
      <c r="K529" t="inlineStr">
        <is>
          <t>8 / 13</t>
        </is>
      </c>
      <c r="L529" t="inlineStr">
        <is>
          <t>6 / 9</t>
        </is>
      </c>
      <c r="M529" s="5" t="n">
        <v>0.38</v>
      </c>
      <c r="N529" s="5" t="n">
        <v>0.4</v>
      </c>
    </row>
    <row r="530">
      <c r="A530" t="n">
        <v>529</v>
      </c>
      <c r="B530" t="n">
        <v>2014</v>
      </c>
      <c r="C530" t="inlineStr">
        <is>
          <t>Kaitlynn Xie</t>
        </is>
      </c>
      <c r="D530">
        <f>HYPERLINK("https://ota.tournamentsoftware.com/player-profile/25655CF4-99DC-4E1E-BE40-C11FF6785117", "Link")</f>
        <v/>
      </c>
      <c r="E530" s="3" t="n">
        <v>68.715</v>
      </c>
      <c r="F530" s="4" t="n">
        <v>8</v>
      </c>
      <c r="G530" t="inlineStr">
        <is>
          <t>Tennis Alberta</t>
        </is>
      </c>
      <c r="H530" t="inlineStr">
        <is>
          <t>Saville Community Sports Centre</t>
        </is>
      </c>
      <c r="I530" t="n">
        <v>34.2</v>
      </c>
      <c r="J530" s="4" t="n">
        <v>57</v>
      </c>
      <c r="K530" t="inlineStr">
        <is>
          <t>19 / 38</t>
        </is>
      </c>
      <c r="L530" t="inlineStr">
        <is>
          <t>7 / 12</t>
        </is>
      </c>
      <c r="M530" s="5" t="n">
        <v>0.33</v>
      </c>
      <c r="N530" s="5" t="n">
        <v>0.37</v>
      </c>
    </row>
    <row r="531">
      <c r="A531" t="n">
        <v>530</v>
      </c>
      <c r="B531" t="n">
        <v>2014</v>
      </c>
      <c r="C531" t="inlineStr">
        <is>
          <t>Hui-Xin Chen</t>
        </is>
      </c>
      <c r="D531">
        <f>HYPERLINK("https://ota.tournamentsoftware.com/player-profile/755E1358-E624-498A-A129-DA058D259A1E", "Link")</f>
        <v/>
      </c>
      <c r="E531" s="3" t="n">
        <v>67.884</v>
      </c>
      <c r="F531" s="4" t="n">
        <v>12</v>
      </c>
      <c r="G531" t="inlineStr">
        <is>
          <t>British Columbia</t>
        </is>
      </c>
      <c r="H531" t="inlineStr">
        <is>
          <t>No Club</t>
        </is>
      </c>
      <c r="I531" t="inlineStr">
        <is>
          <t>unavailable</t>
        </is>
      </c>
      <c r="J531" s="4" t="n">
        <v>108</v>
      </c>
      <c r="K531" t="inlineStr">
        <is>
          <t>37 / 71</t>
        </is>
      </c>
      <c r="L531" t="inlineStr">
        <is>
          <t>14 / 14</t>
        </is>
      </c>
      <c r="M531" s="5" t="n">
        <v>0.34</v>
      </c>
      <c r="N531" s="5" t="n">
        <v>0.5</v>
      </c>
    </row>
    <row r="532">
      <c r="A532" t="n">
        <v>531</v>
      </c>
      <c r="B532" t="n">
        <v>2015</v>
      </c>
      <c r="C532" t="inlineStr">
        <is>
          <t>Ella Bloom Chulak</t>
        </is>
      </c>
      <c r="D532">
        <f>HYPERLINK("https://ota.tournamentsoftware.com/player-profile/3DBBE08D-DBAA-43E3-BCD3-2820667C7A24", "Link")</f>
        <v/>
      </c>
      <c r="E532" s="3" t="n">
        <v>67.48</v>
      </c>
      <c r="F532" s="4" t="n">
        <v>11</v>
      </c>
      <c r="G532" t="inlineStr">
        <is>
          <t>Ontario Tennis Association</t>
        </is>
      </c>
      <c r="H532" t="inlineStr">
        <is>
          <t>Richmondhill Golf &amp; Country Club</t>
        </is>
      </c>
      <c r="I532" t="n">
        <v>35.8</v>
      </c>
      <c r="J532" s="4" t="n">
        <v>85</v>
      </c>
      <c r="K532" t="inlineStr">
        <is>
          <t>35 / 50</t>
        </is>
      </c>
      <c r="L532" t="inlineStr">
        <is>
          <t>11 / 8</t>
        </is>
      </c>
      <c r="M532" s="5" t="n">
        <v>0.41</v>
      </c>
      <c r="N532" s="5" t="n">
        <v>0.58</v>
      </c>
    </row>
    <row r="533">
      <c r="A533" t="n">
        <v>532</v>
      </c>
      <c r="B533" t="n">
        <v>2014</v>
      </c>
      <c r="C533" t="inlineStr">
        <is>
          <t>Mioara Oulima Bouyela</t>
        </is>
      </c>
      <c r="D533">
        <f>HYPERLINK("https://ota.tournamentsoftware.com/player-profile/44DDF62F-2675-4E36-B215-8515347ABD9E", "Link")</f>
        <v/>
      </c>
      <c r="E533" s="3" t="n">
        <v>67.357</v>
      </c>
      <c r="F533" s="4" t="n">
        <v>12</v>
      </c>
      <c r="G533" t="inlineStr">
        <is>
          <t>Tennis Québec</t>
        </is>
      </c>
      <c r="H533" t="inlineStr">
        <is>
          <t>Tennis 13</t>
        </is>
      </c>
      <c r="I533" t="n">
        <v>38</v>
      </c>
      <c r="J533" s="4" t="n">
        <v>81</v>
      </c>
      <c r="K533" t="inlineStr">
        <is>
          <t>33 / 48</t>
        </is>
      </c>
      <c r="L533" t="inlineStr">
        <is>
          <t>9 / 12</t>
        </is>
      </c>
      <c r="M533" s="5" t="n">
        <v>0.41</v>
      </c>
      <c r="N533" s="5" t="n">
        <v>0.43</v>
      </c>
    </row>
    <row r="534">
      <c r="A534" t="n">
        <v>533</v>
      </c>
      <c r="B534" t="n">
        <v>2014</v>
      </c>
      <c r="C534" t="inlineStr">
        <is>
          <t>Melissa Elena Rusu</t>
        </is>
      </c>
      <c r="D534">
        <f>HYPERLINK("https://ota.tournamentsoftware.com/player-profile/9F55033D-1DF5-465D-A3A2-401E58DF9FEB", "Link")</f>
        <v/>
      </c>
      <c r="E534" s="3" t="n">
        <v>67.018</v>
      </c>
      <c r="F534" s="4" t="n">
        <v>16</v>
      </c>
      <c r="G534" t="inlineStr">
        <is>
          <t>Tennis Québec</t>
        </is>
      </c>
      <c r="H534" t="inlineStr">
        <is>
          <t>Carrefour Multisports - Haute Performance</t>
        </is>
      </c>
      <c r="I534" t="n">
        <v>37.4</v>
      </c>
      <c r="J534" s="4" t="n">
        <v>57</v>
      </c>
      <c r="K534" t="inlineStr">
        <is>
          <t>19 / 38</t>
        </is>
      </c>
      <c r="L534" t="inlineStr">
        <is>
          <t>4 / 15</t>
        </is>
      </c>
      <c r="M534" s="5" t="n">
        <v>0.33</v>
      </c>
      <c r="N534" s="5" t="n">
        <v>0.21</v>
      </c>
    </row>
    <row r="535">
      <c r="A535" t="n">
        <v>534</v>
      </c>
      <c r="B535" t="n">
        <v>2017</v>
      </c>
      <c r="C535" t="inlineStr">
        <is>
          <t>Siena Yang-frome</t>
        </is>
      </c>
      <c r="D535">
        <f>HYPERLINK("https://ota.tournamentsoftware.com/player-profile/07E78FFD-E9BB-462A-8A5B-4456E8FEB96D", "Link")</f>
        <v/>
      </c>
      <c r="E535" s="3" t="n">
        <v>66.974</v>
      </c>
      <c r="F535" s="4" t="n">
        <v>11</v>
      </c>
      <c r="G535" t="inlineStr">
        <is>
          <t>Ontario Tennis Association</t>
        </is>
      </c>
      <c r="H535" t="inlineStr">
        <is>
          <t>ACE Tennis - Burlington</t>
        </is>
      </c>
      <c r="I535" t="n">
        <v>36.1</v>
      </c>
      <c r="J535" s="4" t="n">
        <v>83</v>
      </c>
      <c r="K535" t="inlineStr">
        <is>
          <t>48 / 35</t>
        </is>
      </c>
      <c r="L535" t="inlineStr">
        <is>
          <t>10 / 12</t>
        </is>
      </c>
      <c r="M535" s="5" t="n">
        <v>0.58</v>
      </c>
      <c r="N535" s="5" t="n">
        <v>0.45</v>
      </c>
    </row>
    <row r="536">
      <c r="A536" t="n">
        <v>535</v>
      </c>
      <c r="B536" t="n">
        <v>2012</v>
      </c>
      <c r="C536" t="inlineStr">
        <is>
          <t>Daisy Brown</t>
        </is>
      </c>
      <c r="D536">
        <f>HYPERLINK("https://ota.tournamentsoftware.com/player-profile/9CF1A8A4-6BA5-46C8-92F4-3E802A738811", "Link")</f>
        <v/>
      </c>
      <c r="E536" s="3" t="n">
        <v>66.79900000000001</v>
      </c>
      <c r="F536" s="4" t="n">
        <v>6</v>
      </c>
      <c r="G536" t="inlineStr">
        <is>
          <t>British Columbia</t>
        </is>
      </c>
      <c r="H536" t="inlineStr">
        <is>
          <t>Oak Bay Recreation Centre</t>
        </is>
      </c>
      <c r="I536" t="n">
        <v>35.7</v>
      </c>
      <c r="J536" s="4" t="n">
        <v>62</v>
      </c>
      <c r="K536" t="inlineStr">
        <is>
          <t>34 / 28</t>
        </is>
      </c>
      <c r="L536" t="inlineStr">
        <is>
          <t>4 / 6</t>
        </is>
      </c>
      <c r="M536" s="5" t="n">
        <v>0.55</v>
      </c>
      <c r="N536" s="5" t="n">
        <v>0.4</v>
      </c>
    </row>
    <row r="537">
      <c r="A537" t="n">
        <v>536</v>
      </c>
      <c r="B537" t="n">
        <v>2016</v>
      </c>
      <c r="C537" t="inlineStr">
        <is>
          <t>Lily Chen</t>
        </is>
      </c>
      <c r="D537">
        <f>HYPERLINK("https://ota.tournamentsoftware.com/player-profile/A6A0EB19-7DDD-4B25-B81C-FCA911081AB5", "Link")</f>
        <v/>
      </c>
      <c r="E537" s="3" t="n">
        <v>66.55200000000001</v>
      </c>
      <c r="F537" s="4" t="n">
        <v>17</v>
      </c>
      <c r="G537" t="inlineStr">
        <is>
          <t>British Columbia</t>
        </is>
      </c>
      <c r="H537" t="inlineStr">
        <is>
          <t>No Club</t>
        </is>
      </c>
      <c r="I537" t="n">
        <v>35.5</v>
      </c>
      <c r="J537" s="4" t="n">
        <v>105</v>
      </c>
      <c r="K537" t="inlineStr">
        <is>
          <t>41 / 64</t>
        </is>
      </c>
      <c r="L537" t="inlineStr">
        <is>
          <t>14 / 21</t>
        </is>
      </c>
      <c r="M537" s="5" t="n">
        <v>0.39</v>
      </c>
      <c r="N537" s="5" t="n">
        <v>0.4</v>
      </c>
    </row>
    <row r="538">
      <c r="A538" t="n">
        <v>537</v>
      </c>
      <c r="B538" t="n">
        <v>2015</v>
      </c>
      <c r="C538" t="inlineStr">
        <is>
          <t>Brielle Ramirez Balos</t>
        </is>
      </c>
      <c r="D538">
        <f>HYPERLINK("https://ota.tournamentsoftware.com/player-profile/2F36BC35-A108-44F9-B705-6F2246749033", "Link")</f>
        <v/>
      </c>
      <c r="E538" s="3" t="n">
        <v>66.29000000000001</v>
      </c>
      <c r="F538" s="4" t="n">
        <v>9</v>
      </c>
      <c r="G538" t="inlineStr">
        <is>
          <t>Tennis Alberta</t>
        </is>
      </c>
      <c r="H538" t="inlineStr">
        <is>
          <t>Saville Community Sports Centre</t>
        </is>
      </c>
      <c r="I538" t="inlineStr">
        <is>
          <t>unavailable</t>
        </is>
      </c>
      <c r="J538" s="4" t="n">
        <v>65</v>
      </c>
      <c r="K538" t="inlineStr">
        <is>
          <t>37 / 28</t>
        </is>
      </c>
      <c r="L538" t="inlineStr">
        <is>
          <t>15 / 9</t>
        </is>
      </c>
      <c r="M538" s="5" t="n">
        <v>0.57</v>
      </c>
      <c r="N538" s="5" t="n">
        <v>0.62</v>
      </c>
    </row>
    <row r="539">
      <c r="A539" t="n">
        <v>538</v>
      </c>
      <c r="B539" t="n">
        <v>2014</v>
      </c>
      <c r="C539" t="inlineStr">
        <is>
          <t>Sareen Kaur Hehar</t>
        </is>
      </c>
      <c r="D539">
        <f>HYPERLINK("https://ota.tournamentsoftware.com/player-profile/07D185FB-AE5B-444B-BAE8-058B536108E2", "Link")</f>
        <v/>
      </c>
      <c r="E539" s="3" t="n">
        <v>66.22499999999999</v>
      </c>
      <c r="F539" s="4" t="n">
        <v>12</v>
      </c>
      <c r="G539" t="inlineStr">
        <is>
          <t>British Columbia</t>
        </is>
      </c>
      <c r="H539" t="inlineStr">
        <is>
          <t>No Club</t>
        </is>
      </c>
      <c r="I539" t="n">
        <v>35.7</v>
      </c>
      <c r="J539" s="4" t="n">
        <v>197</v>
      </c>
      <c r="K539" t="inlineStr">
        <is>
          <t>75 / 122</t>
        </is>
      </c>
      <c r="L539" t="inlineStr">
        <is>
          <t>5 / 10</t>
        </is>
      </c>
      <c r="M539" s="5" t="n">
        <v>0.38</v>
      </c>
      <c r="N539" s="5" t="n">
        <v>0.33</v>
      </c>
    </row>
    <row r="540">
      <c r="A540" t="n">
        <v>539</v>
      </c>
      <c r="B540" t="n">
        <v>2016</v>
      </c>
      <c r="C540" t="inlineStr">
        <is>
          <t>Evelyn May</t>
        </is>
      </c>
      <c r="D540">
        <f>HYPERLINK("https://ota.tournamentsoftware.com/player-profile/ABFB9C06-ABE9-4B21-BF57-67179CC1CD5D", "Link")</f>
        <v/>
      </c>
      <c r="E540" s="3" t="n">
        <v>65.914</v>
      </c>
      <c r="F540" s="4" t="n">
        <v>13</v>
      </c>
      <c r="G540" t="inlineStr">
        <is>
          <t>Tennis Québec</t>
        </is>
      </c>
      <c r="H540" t="inlineStr">
        <is>
          <t>Tennis 13 / Académie Ménard et associé</t>
        </is>
      </c>
      <c r="I540" t="n">
        <v>33.6</v>
      </c>
      <c r="J540" s="4" t="n">
        <v>181</v>
      </c>
      <c r="K540" t="inlineStr">
        <is>
          <t>112 / 69</t>
        </is>
      </c>
      <c r="L540" t="inlineStr">
        <is>
          <t>15 / 13</t>
        </is>
      </c>
      <c r="M540" s="5" t="n">
        <v>0.62</v>
      </c>
      <c r="N540" s="5" t="n">
        <v>0.54</v>
      </c>
    </row>
    <row r="541">
      <c r="A541" t="n">
        <v>540</v>
      </c>
      <c r="B541" t="n">
        <v>2013</v>
      </c>
      <c r="C541" t="inlineStr">
        <is>
          <t>Daniella Adekoya</t>
        </is>
      </c>
      <c r="D541">
        <f>HYPERLINK("https://ota.tournamentsoftware.com/player-profile/1AE7E627-3ED1-4E93-9C7E-52183DBA7410", "Link")</f>
        <v/>
      </c>
      <c r="E541" s="3" t="n">
        <v>65.88</v>
      </c>
      <c r="F541" s="4" t="n">
        <v>3</v>
      </c>
      <c r="G541" t="inlineStr">
        <is>
          <t>Ontario Tennis Association</t>
        </is>
      </c>
      <c r="H541" t="inlineStr">
        <is>
          <t>Rideau Sports Centre</t>
        </is>
      </c>
      <c r="I541" t="n">
        <v>35.5</v>
      </c>
      <c r="J541" s="4" t="n">
        <v>27</v>
      </c>
      <c r="K541" t="inlineStr">
        <is>
          <t>8 / 19</t>
        </is>
      </c>
      <c r="L541" t="inlineStr">
        <is>
          <t>1 / 2</t>
        </is>
      </c>
      <c r="M541" s="5" t="n">
        <v>0.3</v>
      </c>
      <c r="N541" s="5" t="n">
        <v>0.33</v>
      </c>
    </row>
    <row r="542">
      <c r="A542" t="n">
        <v>541</v>
      </c>
      <c r="B542" t="n">
        <v>2012</v>
      </c>
      <c r="C542" t="inlineStr">
        <is>
          <t>Diya Anand</t>
        </is>
      </c>
      <c r="D542">
        <f>HYPERLINK("https://ota.tournamentsoftware.com/player-profile/3939C1EF-E95B-4DD4-9208-81F6E4D5387F", "Link")</f>
        <v/>
      </c>
      <c r="E542" s="3" t="n">
        <v>65.70999999999999</v>
      </c>
      <c r="F542" s="4" t="n">
        <v>5</v>
      </c>
      <c r="G542" t="inlineStr">
        <is>
          <t>Ontario Tennis Association</t>
        </is>
      </c>
      <c r="H542" t="inlineStr">
        <is>
          <t>Rosedale Tennis Club (Hamilton)</t>
        </is>
      </c>
      <c r="I542" t="inlineStr">
        <is>
          <t>unavailable</t>
        </is>
      </c>
      <c r="J542" s="4" t="n">
        <v>20</v>
      </c>
      <c r="K542" t="inlineStr">
        <is>
          <t>4 / 16</t>
        </is>
      </c>
      <c r="L542" t="inlineStr">
        <is>
          <t>1 / 6</t>
        </is>
      </c>
      <c r="M542" s="5" t="n">
        <v>0.2</v>
      </c>
      <c r="N542" s="5" t="n">
        <v>0.14</v>
      </c>
    </row>
    <row r="543">
      <c r="A543" t="n">
        <v>542</v>
      </c>
      <c r="B543" t="n">
        <v>2014</v>
      </c>
      <c r="C543" t="inlineStr">
        <is>
          <t>Victoria Guiral</t>
        </is>
      </c>
      <c r="D543">
        <f>HYPERLINK("https://ota.tournamentsoftware.com/player-profile/1DC3BD6C-A3EA-46CB-A6B3-CB5D3D2F1E7D", "Link")</f>
        <v/>
      </c>
      <c r="E543" s="3" t="n">
        <v>65.601</v>
      </c>
      <c r="F543" s="4" t="n">
        <v>5</v>
      </c>
      <c r="G543" t="inlineStr">
        <is>
          <t>Tennis Québec</t>
        </is>
      </c>
      <c r="H543" t="inlineStr">
        <is>
          <t>Tennis Interclub Piedmont</t>
        </is>
      </c>
      <c r="I543" t="n">
        <v>38.7</v>
      </c>
      <c r="J543" s="4" t="n">
        <v>21</v>
      </c>
      <c r="K543" t="inlineStr">
        <is>
          <t>6 / 15</t>
        </is>
      </c>
      <c r="L543" t="inlineStr">
        <is>
          <t>1 / 8</t>
        </is>
      </c>
      <c r="M543" s="5" t="n">
        <v>0.29</v>
      </c>
      <c r="N543" s="5" t="n">
        <v>0.11</v>
      </c>
    </row>
    <row r="544">
      <c r="A544" t="n">
        <v>543</v>
      </c>
      <c r="B544" t="n">
        <v>2013</v>
      </c>
      <c r="C544" t="inlineStr">
        <is>
          <t>Robyn Abigail Allen</t>
        </is>
      </c>
      <c r="D544">
        <f>HYPERLINK("https://ota.tournamentsoftware.com/player-profile/248A3F67-26CE-43CB-A1BB-A426F8AC9211", "Link")</f>
        <v/>
      </c>
      <c r="E544" s="3" t="n">
        <v>65.42700000000001</v>
      </c>
      <c r="F544" s="4" t="n">
        <v>4</v>
      </c>
      <c r="G544" t="inlineStr">
        <is>
          <t>Ontario Tennis Association</t>
        </is>
      </c>
      <c r="H544" t="inlineStr">
        <is>
          <t>Waterloo Tennis Club</t>
        </is>
      </c>
      <c r="I544" t="inlineStr">
        <is>
          <t>unavailable</t>
        </is>
      </c>
      <c r="J544" s="4" t="n">
        <v>24</v>
      </c>
      <c r="K544" t="inlineStr">
        <is>
          <t>5 / 19</t>
        </is>
      </c>
      <c r="L544" t="inlineStr">
        <is>
          <t>2 / 12</t>
        </is>
      </c>
      <c r="M544" s="5" t="n">
        <v>0.21</v>
      </c>
      <c r="N544" s="5" t="n">
        <v>0.14</v>
      </c>
    </row>
    <row r="545">
      <c r="A545" t="n">
        <v>544</v>
      </c>
      <c r="B545" t="n">
        <v>2015</v>
      </c>
      <c r="C545" t="inlineStr">
        <is>
          <t>Alexandria Gianvito</t>
        </is>
      </c>
      <c r="D545">
        <f>HYPERLINK("https://ota.tournamentsoftware.com/player-profile/4A4D327B-3019-4349-8F36-0769D584A4FA", "Link")</f>
        <v/>
      </c>
      <c r="E545" s="3" t="n">
        <v>64.84999999999999</v>
      </c>
      <c r="F545" s="4" t="n">
        <v>6</v>
      </c>
      <c r="G545" t="inlineStr">
        <is>
          <t>Tennis Québec</t>
        </is>
      </c>
      <c r="H545" t="inlineStr">
        <is>
          <t>No Club</t>
        </is>
      </c>
      <c r="I545" t="inlineStr">
        <is>
          <t>unavailable</t>
        </is>
      </c>
      <c r="J545" s="4" t="n">
        <v>50</v>
      </c>
      <c r="K545" t="inlineStr">
        <is>
          <t>13 / 37</t>
        </is>
      </c>
      <c r="L545" t="inlineStr">
        <is>
          <t>1 / 5</t>
        </is>
      </c>
      <c r="M545" s="5" t="n">
        <v>0.26</v>
      </c>
      <c r="N545" s="5" t="n">
        <v>0.17</v>
      </c>
    </row>
    <row r="546">
      <c r="A546" t="n">
        <v>545</v>
      </c>
      <c r="B546" t="n">
        <v>2012</v>
      </c>
      <c r="C546" t="inlineStr">
        <is>
          <t>Jemima Edwards</t>
        </is>
      </c>
      <c r="D546">
        <f>HYPERLINK("https://ota.tournamentsoftware.com/player-profile/89C8AA4C-1698-4049-8B88-9B77FC5C4B9B", "Link")</f>
        <v/>
      </c>
      <c r="E546" s="3" t="n">
        <v>64</v>
      </c>
      <c r="F546" s="4" t="n">
        <v>2</v>
      </c>
      <c r="G546" t="inlineStr">
        <is>
          <t>Ontario Tennis Association</t>
        </is>
      </c>
      <c r="H546" t="inlineStr">
        <is>
          <t>Rideau Sports Centre</t>
        </is>
      </c>
      <c r="I546" t="n">
        <v>32.5</v>
      </c>
      <c r="J546" s="4" t="n">
        <v>77</v>
      </c>
      <c r="K546" t="inlineStr">
        <is>
          <t>39 / 38</t>
        </is>
      </c>
      <c r="L546" t="inlineStr">
        <is>
          <t>3 / 1</t>
        </is>
      </c>
      <c r="M546" s="5" t="n">
        <v>0.51</v>
      </c>
      <c r="N546" s="5" t="n">
        <v>0.75</v>
      </c>
    </row>
    <row r="547">
      <c r="A547" t="n">
        <v>546</v>
      </c>
      <c r="B547" t="n">
        <v>2013</v>
      </c>
      <c r="C547" t="inlineStr">
        <is>
          <t>Audrey Humeniuk</t>
        </is>
      </c>
      <c r="D547">
        <f>HYPERLINK("https://ota.tournamentsoftware.com/player-profile/468D56FB-0ABD-4840-82FB-F2B1EB075075", "Link")</f>
        <v/>
      </c>
      <c r="E547" s="3" t="n">
        <v>63.86</v>
      </c>
      <c r="F547" s="4" t="n">
        <v>4</v>
      </c>
      <c r="G547" t="inlineStr">
        <is>
          <t>Ontario Tennis Association</t>
        </is>
      </c>
      <c r="H547" t="inlineStr">
        <is>
          <t>Tennis Centre West Ottawa</t>
        </is>
      </c>
      <c r="I547" t="n">
        <v>39.9</v>
      </c>
      <c r="J547" s="4" t="n">
        <v>8</v>
      </c>
      <c r="K547" t="inlineStr">
        <is>
          <t>1 / 7</t>
        </is>
      </c>
      <c r="L547" t="inlineStr">
        <is>
          <t>0 / 3</t>
        </is>
      </c>
      <c r="M547" s="5" t="n">
        <v>0.12</v>
      </c>
      <c r="N547" s="5" t="n">
        <v>0</v>
      </c>
    </row>
    <row r="548">
      <c r="A548" t="n">
        <v>547</v>
      </c>
      <c r="B548" t="n">
        <v>2013</v>
      </c>
      <c r="C548" t="inlineStr">
        <is>
          <t>Camélia Duong</t>
        </is>
      </c>
      <c r="D548">
        <f>HYPERLINK("https://ota.tournamentsoftware.com/player-profile/86B52BC3-1BF6-4334-8E35-8F6D2AF1C95B", "Link")</f>
        <v/>
      </c>
      <c r="E548" s="3" t="n">
        <v>63.787</v>
      </c>
      <c r="F548" s="4" t="n">
        <v>10</v>
      </c>
      <c r="G548" t="inlineStr">
        <is>
          <t>Tennis Québec</t>
        </is>
      </c>
      <c r="H548" t="inlineStr">
        <is>
          <t>Tennis Ile- des- Soeurs</t>
        </is>
      </c>
      <c r="I548" t="n">
        <v>38.3</v>
      </c>
      <c r="J548" s="4" t="n">
        <v>58</v>
      </c>
      <c r="K548" t="inlineStr">
        <is>
          <t>9 / 49</t>
        </is>
      </c>
      <c r="L548" t="inlineStr">
        <is>
          <t>1 / 6</t>
        </is>
      </c>
      <c r="M548" s="5" t="n">
        <v>0.16</v>
      </c>
      <c r="N548" s="5" t="n">
        <v>0.14</v>
      </c>
    </row>
    <row r="549">
      <c r="A549" t="n">
        <v>548</v>
      </c>
      <c r="B549" t="n">
        <v>2013</v>
      </c>
      <c r="C549" t="inlineStr">
        <is>
          <t>Deborah Zhao</t>
        </is>
      </c>
      <c r="D549">
        <f>HYPERLINK("https://ota.tournamentsoftware.com/player-profile/F6904719-B024-412B-8805-0CEB145651FD", "Link")</f>
        <v/>
      </c>
      <c r="E549" s="3" t="n">
        <v>63.288</v>
      </c>
      <c r="F549" s="4" t="n">
        <v>3</v>
      </c>
      <c r="G549" t="inlineStr">
        <is>
          <t>Tennis Prince Edward Island</t>
        </is>
      </c>
      <c r="H549" t="inlineStr">
        <is>
          <t>Charlottetown Recreation Tennis Group</t>
        </is>
      </c>
      <c r="I549" t="n">
        <v>35.5</v>
      </c>
      <c r="J549" s="4" t="n">
        <v>139</v>
      </c>
      <c r="K549" t="inlineStr">
        <is>
          <t>67 / 72</t>
        </is>
      </c>
      <c r="L549" t="inlineStr">
        <is>
          <t>5 / 8</t>
        </is>
      </c>
      <c r="M549" s="5" t="n">
        <v>0.48</v>
      </c>
      <c r="N549" s="5" t="n">
        <v>0.38</v>
      </c>
    </row>
    <row r="550">
      <c r="A550" t="n">
        <v>549</v>
      </c>
      <c r="B550" t="n">
        <v>2015</v>
      </c>
      <c r="C550" t="inlineStr">
        <is>
          <t>Aayushi Gautam</t>
        </is>
      </c>
      <c r="D550">
        <f>HYPERLINK("https://ota.tournamentsoftware.com/player-profile/A24CEE26-7629-46B9-89B0-12B054D2DFB9", "Link")</f>
        <v/>
      </c>
      <c r="E550" s="3" t="n">
        <v>63.275</v>
      </c>
      <c r="F550" s="4" t="n">
        <v>13</v>
      </c>
      <c r="G550" t="inlineStr">
        <is>
          <t>Tennis Alberta</t>
        </is>
      </c>
      <c r="H550" t="inlineStr">
        <is>
          <t>Saville Community Sports Centre</t>
        </is>
      </c>
      <c r="I550" t="n">
        <v>33.6</v>
      </c>
      <c r="J550" s="4" t="n">
        <v>152</v>
      </c>
      <c r="K550" t="inlineStr">
        <is>
          <t>90 / 62</t>
        </is>
      </c>
      <c r="L550" t="inlineStr">
        <is>
          <t>16 / 8</t>
        </is>
      </c>
      <c r="M550" s="5" t="n">
        <v>0.59</v>
      </c>
      <c r="N550" s="5" t="n">
        <v>0.67</v>
      </c>
    </row>
    <row r="551">
      <c r="A551" t="n">
        <v>550</v>
      </c>
      <c r="B551" t="n">
        <v>2012</v>
      </c>
      <c r="C551" t="inlineStr">
        <is>
          <t>kate zixi ye</t>
        </is>
      </c>
      <c r="D551">
        <f>HYPERLINK("https://ota.tournamentsoftware.com/player-profile/0A8F7797-88F4-49C6-8F3D-6079B8242406", "Link")</f>
        <v/>
      </c>
      <c r="E551" s="3" t="n">
        <v>62.909</v>
      </c>
      <c r="F551" s="4" t="n">
        <v>5</v>
      </c>
      <c r="G551" t="inlineStr">
        <is>
          <t>Ontario Tennis Association</t>
        </is>
      </c>
      <c r="H551" t="inlineStr">
        <is>
          <t>No Club</t>
        </is>
      </c>
      <c r="I551" t="n">
        <v>38</v>
      </c>
      <c r="J551" s="4" t="n">
        <v>11</v>
      </c>
      <c r="K551" t="inlineStr">
        <is>
          <t>2 / 9</t>
        </is>
      </c>
      <c r="L551" t="inlineStr">
        <is>
          <t>1 / 4</t>
        </is>
      </c>
      <c r="M551" s="5" t="n">
        <v>0.18</v>
      </c>
      <c r="N551" s="5" t="n">
        <v>0.2</v>
      </c>
    </row>
    <row r="552">
      <c r="A552" t="n">
        <v>551</v>
      </c>
      <c r="B552" t="n">
        <v>2015</v>
      </c>
      <c r="C552" t="inlineStr">
        <is>
          <t>Karina Lee Griffin</t>
        </is>
      </c>
      <c r="D552">
        <f>HYPERLINK("https://ota.tournamentsoftware.com/player-profile/51794C7A-992F-4A4D-9983-0483174644A1", "Link")</f>
        <v/>
      </c>
      <c r="E552" s="3" t="n">
        <v>62.799</v>
      </c>
      <c r="F552" s="4" t="n">
        <v>19</v>
      </c>
      <c r="G552" t="inlineStr">
        <is>
          <t>British Columbia</t>
        </is>
      </c>
      <c r="H552" t="inlineStr">
        <is>
          <t>North Vancouver Tennis Centre</t>
        </is>
      </c>
      <c r="I552" t="n">
        <v>35</v>
      </c>
      <c r="J552" s="4" t="n">
        <v>155</v>
      </c>
      <c r="K552" t="inlineStr">
        <is>
          <t>73 / 82</t>
        </is>
      </c>
      <c r="L552" t="inlineStr">
        <is>
          <t>12 / 20</t>
        </is>
      </c>
      <c r="M552" s="5" t="n">
        <v>0.47</v>
      </c>
      <c r="N552" s="5" t="n">
        <v>0.38</v>
      </c>
    </row>
    <row r="553">
      <c r="A553" t="n">
        <v>552</v>
      </c>
      <c r="B553" t="n">
        <v>2013</v>
      </c>
      <c r="C553" t="inlineStr">
        <is>
          <t>Vina BLANCHARD</t>
        </is>
      </c>
      <c r="D553">
        <f>HYPERLINK("https://ota.tournamentsoftware.com/player-profile/B5AD0E2A-4843-4177-AD96-5A3203B5C718", "Link")</f>
        <v/>
      </c>
      <c r="E553" s="3" t="n">
        <v>62.695</v>
      </c>
      <c r="F553" s="4" t="n">
        <v>6</v>
      </c>
      <c r="G553" t="inlineStr">
        <is>
          <t>Ontario Tennis Association</t>
        </is>
      </c>
      <c r="H553" t="inlineStr">
        <is>
          <t>Ontario Racquet Club</t>
        </is>
      </c>
      <c r="I553" t="inlineStr">
        <is>
          <t>unavailable</t>
        </is>
      </c>
      <c r="J553" s="4" t="n">
        <v>25</v>
      </c>
      <c r="K553" t="inlineStr">
        <is>
          <t>11 / 14</t>
        </is>
      </c>
      <c r="L553" t="inlineStr">
        <is>
          <t>2 / 8</t>
        </is>
      </c>
      <c r="M553" s="5" t="n">
        <v>0.44</v>
      </c>
      <c r="N553" s="5" t="n">
        <v>0.2</v>
      </c>
    </row>
    <row r="554">
      <c r="A554" t="n">
        <v>553</v>
      </c>
      <c r="B554" t="n">
        <v>2012</v>
      </c>
      <c r="C554" t="inlineStr">
        <is>
          <t>Hannah Ines Fischer-Kandelas</t>
        </is>
      </c>
      <c r="D554">
        <f>HYPERLINK("https://ota.tournamentsoftware.com/player-profile/672C977E-EE19-4DD0-AE73-F6FCDD2EE1E1", "Link")</f>
        <v/>
      </c>
      <c r="E554" s="3" t="n">
        <v>62.453</v>
      </c>
      <c r="F554" s="4" t="n">
        <v>4</v>
      </c>
      <c r="G554" t="inlineStr">
        <is>
          <t>Ontario Tennis Association</t>
        </is>
      </c>
      <c r="H554" t="inlineStr">
        <is>
          <t>Wychwood Tennis Club</t>
        </is>
      </c>
      <c r="I554" t="n">
        <v>39.1</v>
      </c>
      <c r="J554" s="4" t="n">
        <v>22</v>
      </c>
      <c r="K554" t="inlineStr">
        <is>
          <t>9 / 13</t>
        </is>
      </c>
      <c r="L554" t="inlineStr">
        <is>
          <t>2 / 7</t>
        </is>
      </c>
      <c r="M554" s="5" t="n">
        <v>0.41</v>
      </c>
      <c r="N554" s="5" t="n">
        <v>0.22</v>
      </c>
    </row>
    <row r="555">
      <c r="A555" t="n">
        <v>554</v>
      </c>
      <c r="B555" t="n">
        <v>2016</v>
      </c>
      <c r="C555" t="inlineStr">
        <is>
          <t>Hayley Bryce</t>
        </is>
      </c>
      <c r="D555">
        <f>HYPERLINK("https://ota.tournamentsoftware.com/player-profile/B433F420-A779-4270-B32A-8DE5FF43BD05", "Link")</f>
        <v/>
      </c>
      <c r="E555" s="3" t="n">
        <v>62.412</v>
      </c>
      <c r="F555" s="4" t="n">
        <v>12</v>
      </c>
      <c r="G555" t="inlineStr">
        <is>
          <t>Ontario Tennis Association</t>
        </is>
      </c>
      <c r="H555" t="inlineStr">
        <is>
          <t>SmartVMC Racquetsports by ACE</t>
        </is>
      </c>
      <c r="I555" t="inlineStr">
        <is>
          <t>unavailable</t>
        </is>
      </c>
      <c r="J555" s="4" t="n">
        <v>78</v>
      </c>
      <c r="K555" t="inlineStr">
        <is>
          <t>35 / 43</t>
        </is>
      </c>
      <c r="L555" t="inlineStr">
        <is>
          <t>18 / 21</t>
        </is>
      </c>
      <c r="M555" s="5" t="n">
        <v>0.45</v>
      </c>
      <c r="N555" s="5" t="n">
        <v>0.46</v>
      </c>
    </row>
    <row r="556">
      <c r="A556" t="n">
        <v>555</v>
      </c>
      <c r="B556" t="n">
        <v>2014</v>
      </c>
      <c r="C556" t="inlineStr">
        <is>
          <t>Chloe Huang</t>
        </is>
      </c>
      <c r="D556">
        <f>HYPERLINK("https://ota.tournamentsoftware.com/player-profile/F00195EB-06BF-48AD-9E24-7FA037871F13", "Link")</f>
        <v/>
      </c>
      <c r="E556" s="3" t="n">
        <v>62.111</v>
      </c>
      <c r="F556" s="4" t="n">
        <v>3</v>
      </c>
      <c r="G556" t="inlineStr">
        <is>
          <t>Ontario Tennis Association</t>
        </is>
      </c>
      <c r="H556" t="inlineStr">
        <is>
          <t>Richmond Hill Country Club</t>
        </is>
      </c>
      <c r="I556" t="n">
        <v>38.8</v>
      </c>
      <c r="J556" s="4" t="n">
        <v>54</v>
      </c>
      <c r="K556" t="inlineStr">
        <is>
          <t>20 / 34</t>
        </is>
      </c>
      <c r="L556" t="inlineStr">
        <is>
          <t>0 / 3</t>
        </is>
      </c>
      <c r="M556" s="5" t="n">
        <v>0.37</v>
      </c>
      <c r="N556" s="5" t="n">
        <v>0</v>
      </c>
    </row>
    <row r="557">
      <c r="A557" t="n">
        <v>556</v>
      </c>
      <c r="B557" t="n">
        <v>2012</v>
      </c>
      <c r="C557" t="inlineStr">
        <is>
          <t>Alice Zhang</t>
        </is>
      </c>
      <c r="D557">
        <f>HYPERLINK("https://ota.tournamentsoftware.com/player-profile/D65C72B6-843B-48BF-A073-AE5080F1EA2D", "Link")</f>
        <v/>
      </c>
      <c r="E557" s="3" t="n">
        <v>61.807</v>
      </c>
      <c r="F557" s="4" t="n">
        <v>4</v>
      </c>
      <c r="G557" t="inlineStr">
        <is>
          <t>Ontario Tennis Association</t>
        </is>
      </c>
      <c r="H557" t="inlineStr">
        <is>
          <t>ACE Tennis - Burlington</t>
        </is>
      </c>
      <c r="I557" t="n">
        <v>37.2</v>
      </c>
      <c r="J557" s="4" t="n">
        <v>10</v>
      </c>
      <c r="K557" t="inlineStr">
        <is>
          <t>2 / 8</t>
        </is>
      </c>
      <c r="L557" t="inlineStr">
        <is>
          <t>2 / 6</t>
        </is>
      </c>
      <c r="M557" s="5" t="n">
        <v>0.2</v>
      </c>
      <c r="N557" s="5" t="n">
        <v>0.25</v>
      </c>
    </row>
    <row r="558">
      <c r="A558" t="n">
        <v>557</v>
      </c>
      <c r="B558" t="n">
        <v>2015</v>
      </c>
      <c r="C558" t="inlineStr">
        <is>
          <t>Clara Surprenant</t>
        </is>
      </c>
      <c r="D558">
        <f>HYPERLINK("https://ota.tournamentsoftware.com/player-profile/82684D26-C7AE-41C6-893D-5E94585A41D7", "Link")</f>
        <v/>
      </c>
      <c r="E558" s="3" t="n">
        <v>60.705</v>
      </c>
      <c r="F558" s="4" t="n">
        <v>6</v>
      </c>
      <c r="G558" t="inlineStr">
        <is>
          <t>Tennis Québec</t>
        </is>
      </c>
      <c r="H558" t="inlineStr">
        <is>
          <t>SANI Sport</t>
        </is>
      </c>
      <c r="I558" t="n">
        <v>36.6</v>
      </c>
      <c r="J558" s="4" t="n">
        <v>85</v>
      </c>
      <c r="K558" t="inlineStr">
        <is>
          <t>40 / 45</t>
        </is>
      </c>
      <c r="L558" t="inlineStr">
        <is>
          <t>2 / 4</t>
        </is>
      </c>
      <c r="M558" s="5" t="n">
        <v>0.47</v>
      </c>
      <c r="N558" s="5" t="n">
        <v>0.33</v>
      </c>
    </row>
    <row r="559">
      <c r="A559" t="n">
        <v>558</v>
      </c>
      <c r="B559" t="n">
        <v>2014</v>
      </c>
      <c r="C559" t="inlineStr">
        <is>
          <t>Minnie Jinwen Xu</t>
        </is>
      </c>
      <c r="D559">
        <f>HYPERLINK("https://ota.tournamentsoftware.com/player-profile/617AABE9-B600-4656-9194-77743DDDC351", "Link")</f>
        <v/>
      </c>
      <c r="E559" s="3" t="n">
        <v>60.695</v>
      </c>
      <c r="F559" s="4" t="n">
        <v>12</v>
      </c>
      <c r="G559" t="inlineStr">
        <is>
          <t>British Columbia</t>
        </is>
      </c>
      <c r="H559" t="inlineStr">
        <is>
          <t>The Tennis Centre</t>
        </is>
      </c>
      <c r="I559" t="n">
        <v>35.4</v>
      </c>
      <c r="J559" s="4" t="n">
        <v>128</v>
      </c>
      <c r="K559" t="inlineStr">
        <is>
          <t>67 / 61</t>
        </is>
      </c>
      <c r="L559" t="inlineStr">
        <is>
          <t>13 / 12</t>
        </is>
      </c>
      <c r="M559" s="5" t="n">
        <v>0.52</v>
      </c>
      <c r="N559" s="5" t="n">
        <v>0.52</v>
      </c>
    </row>
    <row r="560">
      <c r="A560" t="n">
        <v>559</v>
      </c>
      <c r="B560" t="n">
        <v>2016</v>
      </c>
      <c r="C560" t="inlineStr">
        <is>
          <t>Anne Cherednychenko</t>
        </is>
      </c>
      <c r="D560">
        <f>HYPERLINK("https://ota.tournamentsoftware.com/player-profile/8FB2FF81-D0FE-4491-B99E-18BAAFE1E3CD", "Link")</f>
        <v/>
      </c>
      <c r="E560" s="3" t="n">
        <v>60.335</v>
      </c>
      <c r="F560" s="4" t="n">
        <v>9</v>
      </c>
      <c r="G560" t="inlineStr">
        <is>
          <t>Tennis Québec</t>
        </is>
      </c>
      <c r="H560" t="inlineStr">
        <is>
          <t>No Club</t>
        </is>
      </c>
      <c r="I560" t="n">
        <v>35.1</v>
      </c>
      <c r="J560" s="4" t="n">
        <v>64</v>
      </c>
      <c r="K560" t="inlineStr">
        <is>
          <t>39 / 25</t>
        </is>
      </c>
      <c r="L560" t="inlineStr">
        <is>
          <t>15 / 11</t>
        </is>
      </c>
      <c r="M560" s="5" t="n">
        <v>0.61</v>
      </c>
      <c r="N560" s="5" t="n">
        <v>0.58</v>
      </c>
    </row>
    <row r="561">
      <c r="A561" t="n">
        <v>560</v>
      </c>
      <c r="B561" t="n">
        <v>2016</v>
      </c>
      <c r="C561" t="inlineStr">
        <is>
          <t>Abigail Jianing Zhou</t>
        </is>
      </c>
      <c r="D561">
        <f>HYPERLINK("https://ota.tournamentsoftware.com/player-profile/E53B2389-2E47-459E-9543-5DBB506C324A", "Link")</f>
        <v/>
      </c>
      <c r="E561" s="3" t="n">
        <v>60.24</v>
      </c>
      <c r="F561" s="4" t="n">
        <v>15</v>
      </c>
      <c r="G561" t="inlineStr">
        <is>
          <t>Ontario Tennis Association</t>
        </is>
      </c>
      <c r="H561" t="inlineStr">
        <is>
          <t>Joshua Creek Golf &amp; Tennis</t>
        </is>
      </c>
      <c r="I561" t="n">
        <v>36.9</v>
      </c>
      <c r="J561" s="4" t="n">
        <v>154</v>
      </c>
      <c r="K561" t="inlineStr">
        <is>
          <t>64 / 90</t>
        </is>
      </c>
      <c r="L561" t="inlineStr">
        <is>
          <t>26 / 25</t>
        </is>
      </c>
      <c r="M561" s="5" t="n">
        <v>0.42</v>
      </c>
      <c r="N561" s="5" t="n">
        <v>0.51</v>
      </c>
    </row>
    <row r="562">
      <c r="A562" t="n">
        <v>561</v>
      </c>
      <c r="B562" t="n">
        <v>2016</v>
      </c>
      <c r="C562" t="inlineStr">
        <is>
          <t>Vianna Mostashari</t>
        </is>
      </c>
      <c r="D562">
        <f>HYPERLINK("https://ota.tournamentsoftware.com/player-profile/670B74EC-3F81-45DD-8F9B-AEE768B61639", "Link")</f>
        <v/>
      </c>
      <c r="E562" s="3" t="n">
        <v>60.235</v>
      </c>
      <c r="F562" s="4" t="n">
        <v>11</v>
      </c>
      <c r="G562" t="inlineStr">
        <is>
          <t>British Columbia</t>
        </is>
      </c>
      <c r="H562" t="inlineStr">
        <is>
          <t>North Vancouver Tennis Centre</t>
        </is>
      </c>
      <c r="I562" t="n">
        <v>35.9</v>
      </c>
      <c r="J562" s="4" t="n">
        <v>157</v>
      </c>
      <c r="K562" t="inlineStr">
        <is>
          <t>88 / 69</t>
        </is>
      </c>
      <c r="L562" t="inlineStr">
        <is>
          <t>8 / 16</t>
        </is>
      </c>
      <c r="M562" s="5" t="n">
        <v>0.5600000000000001</v>
      </c>
      <c r="N562" s="5" t="n">
        <v>0.33</v>
      </c>
    </row>
    <row r="563">
      <c r="A563" t="n">
        <v>562</v>
      </c>
      <c r="B563" t="n">
        <v>2015</v>
      </c>
      <c r="C563" t="inlineStr">
        <is>
          <t>Ava Gracia Hurley</t>
        </is>
      </c>
      <c r="D563">
        <f>HYPERLINK("https://ota.tournamentsoftware.com/player-profile/DC3D1043-9FBA-467F-8103-AE9D0DEEF066", "Link")</f>
        <v/>
      </c>
      <c r="E563" s="3" t="n">
        <v>58.941</v>
      </c>
      <c r="F563" s="4" t="n">
        <v>11</v>
      </c>
      <c r="G563" t="inlineStr">
        <is>
          <t>Ontario Tennis Association</t>
        </is>
      </c>
      <c r="H563" t="inlineStr">
        <is>
          <t>Manotick Tennis Club</t>
        </is>
      </c>
      <c r="I563" t="inlineStr">
        <is>
          <t>unavailable</t>
        </is>
      </c>
      <c r="J563" s="4" t="n">
        <v>33</v>
      </c>
      <c r="K563" t="inlineStr">
        <is>
          <t>13 / 20</t>
        </is>
      </c>
      <c r="L563" t="inlineStr">
        <is>
          <t>5 / 9</t>
        </is>
      </c>
      <c r="M563" s="5" t="n">
        <v>0.39</v>
      </c>
      <c r="N563" s="5" t="n">
        <v>0.36</v>
      </c>
    </row>
    <row r="564">
      <c r="A564" t="n">
        <v>563</v>
      </c>
      <c r="B564" t="n">
        <v>2013</v>
      </c>
      <c r="C564" t="inlineStr">
        <is>
          <t>Presley Pellegrino</t>
        </is>
      </c>
      <c r="D564">
        <f>HYPERLINK("https://ota.tournamentsoftware.com/player-profile/A7978533-179E-4FC4-8D48-C160FA6FF2E3", "Link")</f>
        <v/>
      </c>
      <c r="E564" s="3" t="n">
        <v>58.878</v>
      </c>
      <c r="F564" s="4" t="n">
        <v>3</v>
      </c>
      <c r="G564" t="inlineStr">
        <is>
          <t>Ontario Tennis Association</t>
        </is>
      </c>
      <c r="H564" t="inlineStr">
        <is>
          <t>No Club</t>
        </is>
      </c>
      <c r="I564" t="n">
        <v>35.1</v>
      </c>
      <c r="J564" s="4" t="n">
        <v>97</v>
      </c>
      <c r="K564" t="inlineStr">
        <is>
          <t>40 / 57</t>
        </is>
      </c>
      <c r="L564" t="inlineStr">
        <is>
          <t>2 / 2</t>
        </is>
      </c>
      <c r="M564" s="5" t="n">
        <v>0.41</v>
      </c>
      <c r="N564" s="5" t="n">
        <v>0.5</v>
      </c>
    </row>
    <row r="565">
      <c r="A565" t="n">
        <v>564</v>
      </c>
      <c r="B565" t="n">
        <v>2015</v>
      </c>
      <c r="C565" t="inlineStr">
        <is>
          <t>Aria MARTIN</t>
        </is>
      </c>
      <c r="D565">
        <f>HYPERLINK("https://ota.tournamentsoftware.com/player-profile/220708AF-B049-4C3B-83FA-C1AAC60269C5", "Link")</f>
        <v/>
      </c>
      <c r="E565" s="3" t="n">
        <v>58.434</v>
      </c>
      <c r="F565" s="4" t="n">
        <v>16</v>
      </c>
      <c r="G565" t="inlineStr">
        <is>
          <t>British Columbia</t>
        </is>
      </c>
      <c r="H565" t="inlineStr">
        <is>
          <t>Vancouver Lawn Tennis and Badminton Club</t>
        </is>
      </c>
      <c r="I565" t="n">
        <v>35.2</v>
      </c>
      <c r="J565" s="4" t="n">
        <v>133</v>
      </c>
      <c r="K565" t="inlineStr">
        <is>
          <t>53 / 80</t>
        </is>
      </c>
      <c r="L565" t="inlineStr">
        <is>
          <t>24 / 17</t>
        </is>
      </c>
      <c r="M565" s="5" t="n">
        <v>0.4</v>
      </c>
      <c r="N565" s="5" t="n">
        <v>0.59</v>
      </c>
    </row>
    <row r="566">
      <c r="A566" t="n">
        <v>565</v>
      </c>
      <c r="B566" t="n">
        <v>2015</v>
      </c>
      <c r="C566" t="inlineStr">
        <is>
          <t>Maeva Kaur Dhillon</t>
        </is>
      </c>
      <c r="D566">
        <f>HYPERLINK("https://ota.tournamentsoftware.com/player-profile/1E3A662C-1993-423F-99BB-0CD2F93CC62A", "Link")</f>
        <v/>
      </c>
      <c r="E566" s="3" t="n">
        <v>58.125</v>
      </c>
      <c r="F566" s="4" t="n">
        <v>11</v>
      </c>
      <c r="G566" t="inlineStr">
        <is>
          <t>Tennis Alberta</t>
        </is>
      </c>
      <c r="H566" t="inlineStr">
        <is>
          <t>Saville Community Sports Centre</t>
        </is>
      </c>
      <c r="I566" t="n">
        <v>37.4</v>
      </c>
      <c r="J566" s="4" t="n">
        <v>74</v>
      </c>
      <c r="K566" t="inlineStr">
        <is>
          <t>22 / 52</t>
        </is>
      </c>
      <c r="L566" t="inlineStr">
        <is>
          <t>5 / 9</t>
        </is>
      </c>
      <c r="M566" s="5" t="n">
        <v>0.3</v>
      </c>
      <c r="N566" s="5" t="n">
        <v>0.36</v>
      </c>
    </row>
    <row r="567">
      <c r="A567" t="n">
        <v>566</v>
      </c>
      <c r="B567" t="n">
        <v>2012</v>
      </c>
      <c r="C567" t="inlineStr">
        <is>
          <t>Chloe Teng</t>
        </is>
      </c>
      <c r="D567">
        <f>HYPERLINK("https://ota.tournamentsoftware.com/player-profile/F5AC5875-4E89-4D3E-BF17-24986F702240", "Link")</f>
        <v/>
      </c>
      <c r="E567" s="3" t="n">
        <v>57.902</v>
      </c>
      <c r="F567" s="4" t="n">
        <v>11</v>
      </c>
      <c r="G567" t="inlineStr">
        <is>
          <t>Ontario Tennis Association</t>
        </is>
      </c>
      <c r="H567" t="inlineStr">
        <is>
          <t>Tennis Clubs of Canada</t>
        </is>
      </c>
      <c r="I567" t="n">
        <v>38.2</v>
      </c>
      <c r="J567" s="4" t="n">
        <v>43</v>
      </c>
      <c r="K567" t="inlineStr">
        <is>
          <t>11 / 32</t>
        </is>
      </c>
      <c r="L567" t="inlineStr">
        <is>
          <t>8 / 21</t>
        </is>
      </c>
      <c r="M567" s="5" t="n">
        <v>0.26</v>
      </c>
      <c r="N567" s="5" t="n">
        <v>0.28</v>
      </c>
    </row>
    <row r="568">
      <c r="A568" t="n">
        <v>567</v>
      </c>
      <c r="B568" t="n">
        <v>2013</v>
      </c>
      <c r="C568" t="inlineStr">
        <is>
          <t>Gabrielle Galgay</t>
        </is>
      </c>
      <c r="D568">
        <f>HYPERLINK("https://ota.tournamentsoftware.com/player-profile/1A26365B-FAA0-4130-8F92-B67D497E82D9", "Link")</f>
        <v/>
      </c>
      <c r="E568" s="3" t="n">
        <v>57.069</v>
      </c>
      <c r="F568" s="4" t="n">
        <v>4</v>
      </c>
      <c r="G568" t="inlineStr">
        <is>
          <t>Ontario Tennis Association</t>
        </is>
      </c>
      <c r="H568" t="inlineStr">
        <is>
          <t>No Club</t>
        </is>
      </c>
      <c r="I568" t="n">
        <v>34.3</v>
      </c>
      <c r="J568" s="4" t="n">
        <v>10</v>
      </c>
      <c r="K568" t="inlineStr">
        <is>
          <t>4 / 6</t>
        </is>
      </c>
      <c r="L568" t="inlineStr">
        <is>
          <t>1 / 3</t>
        </is>
      </c>
      <c r="M568" s="5" t="n">
        <v>0.4</v>
      </c>
      <c r="N568" s="5" t="n">
        <v>0.25</v>
      </c>
    </row>
    <row r="569">
      <c r="A569" t="n">
        <v>568</v>
      </c>
      <c r="B569" t="n">
        <v>2013</v>
      </c>
      <c r="C569" t="inlineStr">
        <is>
          <t>Noa Anne Broere</t>
        </is>
      </c>
      <c r="D569">
        <f>HYPERLINK("https://ota.tournamentsoftware.com/player-profile/A5724AD9-99FF-4D46-A565-ED1BBCAE83F4", "Link")</f>
        <v/>
      </c>
      <c r="E569" s="3" t="n">
        <v>57.045</v>
      </c>
      <c r="F569" s="4" t="n">
        <v>16</v>
      </c>
      <c r="G569" t="inlineStr">
        <is>
          <t>British Columbia</t>
        </is>
      </c>
      <c r="H569" t="inlineStr">
        <is>
          <t>Vancouver Lawn Tennis and Badminton Club</t>
        </is>
      </c>
      <c r="I569" t="n">
        <v>35</v>
      </c>
      <c r="J569" s="4" t="n">
        <v>75</v>
      </c>
      <c r="K569" t="inlineStr">
        <is>
          <t>30 / 45</t>
        </is>
      </c>
      <c r="L569" t="inlineStr">
        <is>
          <t>9 / 14</t>
        </is>
      </c>
      <c r="M569" s="5" t="n">
        <v>0.4</v>
      </c>
      <c r="N569" s="5" t="n">
        <v>0.39</v>
      </c>
    </row>
    <row r="570">
      <c r="A570" t="n">
        <v>569</v>
      </c>
      <c r="B570" t="n">
        <v>2013</v>
      </c>
      <c r="C570" t="inlineStr">
        <is>
          <t>Grace Christina Lawrence</t>
        </is>
      </c>
      <c r="D570">
        <f>HYPERLINK("https://ota.tournamentsoftware.com/player-profile/9FEF2F9B-F202-41CF-8B36-42B1520055E0", "Link")</f>
        <v/>
      </c>
      <c r="E570" s="3" t="n">
        <v>57.027</v>
      </c>
      <c r="F570" s="4" t="n">
        <v>9</v>
      </c>
      <c r="G570" t="inlineStr">
        <is>
          <t>Ontario Tennis Association</t>
        </is>
      </c>
      <c r="H570" t="inlineStr">
        <is>
          <t>Toronto Lawn Tennis Club</t>
        </is>
      </c>
      <c r="I570" t="n">
        <v>35.9</v>
      </c>
      <c r="J570" s="4" t="n">
        <v>107</v>
      </c>
      <c r="K570" t="inlineStr">
        <is>
          <t>48 / 59</t>
        </is>
      </c>
      <c r="L570" t="inlineStr">
        <is>
          <t>4 / 4</t>
        </is>
      </c>
      <c r="M570" s="5" t="n">
        <v>0.45</v>
      </c>
      <c r="N570" s="5" t="n">
        <v>0.5</v>
      </c>
    </row>
    <row r="571">
      <c r="A571" t="n">
        <v>570</v>
      </c>
      <c r="B571" t="n">
        <v>2014</v>
      </c>
      <c r="C571" t="inlineStr">
        <is>
          <t>Bo Brisson</t>
        </is>
      </c>
      <c r="D571">
        <f>HYPERLINK("https://ota.tournamentsoftware.com/player-profile/836F9923-C4A5-42E1-8BF0-0788DAB02146", "Link")</f>
        <v/>
      </c>
      <c r="E571" s="3" t="n">
        <v>55.504</v>
      </c>
      <c r="F571" s="4" t="n">
        <v>5</v>
      </c>
      <c r="G571" t="inlineStr">
        <is>
          <t>Ontario Tennis Association</t>
        </is>
      </c>
      <c r="H571" t="inlineStr">
        <is>
          <t>GSM Tennis Club</t>
        </is>
      </c>
      <c r="I571" t="inlineStr">
        <is>
          <t>unavailable</t>
        </is>
      </c>
      <c r="J571" s="4" t="n">
        <v>117</v>
      </c>
      <c r="K571" t="inlineStr">
        <is>
          <t>38 / 79</t>
        </is>
      </c>
      <c r="L571" t="inlineStr">
        <is>
          <t>4 / 3</t>
        </is>
      </c>
      <c r="M571" s="5" t="n">
        <v>0.32</v>
      </c>
      <c r="N571" s="5" t="n">
        <v>0.57</v>
      </c>
    </row>
    <row r="572">
      <c r="A572" t="n">
        <v>571</v>
      </c>
      <c r="B572" t="n">
        <v>2015</v>
      </c>
      <c r="C572" t="inlineStr">
        <is>
          <t>Madeleine Penelope Haun</t>
        </is>
      </c>
      <c r="D572">
        <f>HYPERLINK("https://ota.tournamentsoftware.com/player-profile/6F8A0525-0D8F-4263-8F76-0B8CF4B34D42", "Link")</f>
        <v/>
      </c>
      <c r="E572" s="3" t="n">
        <v>55.31</v>
      </c>
      <c r="F572" s="4" t="n">
        <v>10</v>
      </c>
      <c r="G572" t="inlineStr">
        <is>
          <t>Tennis Alberta</t>
        </is>
      </c>
      <c r="H572" t="inlineStr">
        <is>
          <t>Osten &amp; Victor Alberta Tennis Centre</t>
        </is>
      </c>
      <c r="I572" t="n">
        <v>37.3</v>
      </c>
      <c r="J572" s="4" t="n">
        <v>152</v>
      </c>
      <c r="K572" t="inlineStr">
        <is>
          <t>82 / 70</t>
        </is>
      </c>
      <c r="L572" t="inlineStr">
        <is>
          <t>5 / 8</t>
        </is>
      </c>
      <c r="M572" s="5" t="n">
        <v>0.54</v>
      </c>
      <c r="N572" s="5" t="n">
        <v>0.38</v>
      </c>
    </row>
    <row r="573">
      <c r="A573" t="n">
        <v>572</v>
      </c>
      <c r="B573" t="n">
        <v>2015</v>
      </c>
      <c r="C573" t="inlineStr">
        <is>
          <t>Ziba Forooghian</t>
        </is>
      </c>
      <c r="D573">
        <f>HYPERLINK("https://ota.tournamentsoftware.com/player-profile/F7878057-CB20-46E1-B220-553040C8AC48", "Link")</f>
        <v/>
      </c>
      <c r="E573" s="3" t="n">
        <v>55.163</v>
      </c>
      <c r="F573" s="4" t="n">
        <v>19</v>
      </c>
      <c r="G573" t="inlineStr">
        <is>
          <t>British Columbia</t>
        </is>
      </c>
      <c r="H573" t="inlineStr">
        <is>
          <t>Aura Tennis Academy</t>
        </is>
      </c>
      <c r="I573" t="n">
        <v>36.7</v>
      </c>
      <c r="J573" s="4" t="n">
        <v>81</v>
      </c>
      <c r="K573" t="inlineStr">
        <is>
          <t>27 / 54</t>
        </is>
      </c>
      <c r="L573" t="inlineStr">
        <is>
          <t>14 / 31</t>
        </is>
      </c>
      <c r="M573" s="5" t="n">
        <v>0.33</v>
      </c>
      <c r="N573" s="5" t="n">
        <v>0.31</v>
      </c>
    </row>
    <row r="574">
      <c r="A574" t="n">
        <v>573</v>
      </c>
      <c r="B574" t="n">
        <v>2013</v>
      </c>
      <c r="C574" t="inlineStr">
        <is>
          <t>Helena Nastic</t>
        </is>
      </c>
      <c r="D574">
        <f>HYPERLINK("https://ota.tournamentsoftware.com/player-profile/384CD39C-50E9-4DF1-B1AD-85571147C1F9", "Link")</f>
        <v/>
      </c>
      <c r="E574" s="3" t="n">
        <v>54.864</v>
      </c>
      <c r="F574" s="4" t="n">
        <v>7</v>
      </c>
      <c r="G574" t="inlineStr">
        <is>
          <t>Ontario Tennis Association</t>
        </is>
      </c>
      <c r="H574" t="inlineStr">
        <is>
          <t>Royal City Tennis Club</t>
        </is>
      </c>
      <c r="I574" t="inlineStr">
        <is>
          <t>unavailable</t>
        </is>
      </c>
      <c r="J574" s="4" t="n">
        <v>38</v>
      </c>
      <c r="K574" t="inlineStr">
        <is>
          <t>19 / 19</t>
        </is>
      </c>
      <c r="L574" t="inlineStr">
        <is>
          <t>0 / 5</t>
        </is>
      </c>
      <c r="M574" s="5" t="n">
        <v>0.5</v>
      </c>
      <c r="N574" s="5" t="n">
        <v>0</v>
      </c>
    </row>
    <row r="575">
      <c r="A575" t="n">
        <v>574</v>
      </c>
      <c r="B575" t="n">
        <v>2012</v>
      </c>
      <c r="C575" t="inlineStr">
        <is>
          <t>Karmi Singh</t>
        </is>
      </c>
      <c r="D575">
        <f>HYPERLINK("https://ota.tournamentsoftware.com/player-profile/B68DC1C1-BC37-443E-AB03-601E1E7E72A2", "Link")</f>
        <v/>
      </c>
      <c r="E575" s="3" t="n">
        <v>54.499</v>
      </c>
      <c r="F575" s="4" t="n">
        <v>4</v>
      </c>
      <c r="G575" t="inlineStr">
        <is>
          <t>Ontario Tennis Association</t>
        </is>
      </c>
      <c r="H575" t="inlineStr">
        <is>
          <t>Ontario Racquet Club</t>
        </is>
      </c>
      <c r="I575" t="inlineStr">
        <is>
          <t>unavailable</t>
        </is>
      </c>
      <c r="J575" s="4" t="n">
        <v>59</v>
      </c>
      <c r="K575" t="inlineStr">
        <is>
          <t>26 / 33</t>
        </is>
      </c>
      <c r="L575" t="inlineStr">
        <is>
          <t>1 / 5</t>
        </is>
      </c>
      <c r="M575" s="5" t="n">
        <v>0.44</v>
      </c>
      <c r="N575" s="5" t="n">
        <v>0.17</v>
      </c>
    </row>
    <row r="576">
      <c r="A576" t="n">
        <v>575</v>
      </c>
      <c r="B576" t="n">
        <v>2016</v>
      </c>
      <c r="C576" t="inlineStr">
        <is>
          <t>Xirui Ding</t>
        </is>
      </c>
      <c r="D576">
        <f>HYPERLINK("https://ota.tournamentsoftware.com/player-profile/6DC46DF7-2964-4ED2-9C01-D39C773C942F", "Link")</f>
        <v/>
      </c>
      <c r="E576" s="3" t="n">
        <v>54.085</v>
      </c>
      <c r="F576" s="4" t="n">
        <v>7</v>
      </c>
      <c r="G576" t="inlineStr">
        <is>
          <t>Ontario Tennis Association</t>
        </is>
      </c>
      <c r="H576" t="inlineStr">
        <is>
          <t>Valan Tennis Academy</t>
        </is>
      </c>
      <c r="I576" t="n">
        <v>37.5</v>
      </c>
      <c r="J576" s="4" t="n">
        <v>107</v>
      </c>
      <c r="K576" t="inlineStr">
        <is>
          <t>68 / 39</t>
        </is>
      </c>
      <c r="L576" t="inlineStr">
        <is>
          <t>63 / 30</t>
        </is>
      </c>
      <c r="M576" s="5" t="n">
        <v>0.64</v>
      </c>
      <c r="N576" s="5" t="n">
        <v>0.68</v>
      </c>
    </row>
    <row r="577">
      <c r="A577" t="n">
        <v>576</v>
      </c>
      <c r="B577" t="n">
        <v>2015</v>
      </c>
      <c r="C577" t="inlineStr">
        <is>
          <t>Miadel Flores</t>
        </is>
      </c>
      <c r="D577">
        <f>HYPERLINK("https://ota.tournamentsoftware.com/player-profile/19F5DCB9-D4C1-477E-9443-DA276E9A30BC", "Link")</f>
        <v/>
      </c>
      <c r="E577" s="3" t="n">
        <v>53.935</v>
      </c>
      <c r="F577" s="4" t="n">
        <v>5</v>
      </c>
      <c r="G577" t="inlineStr">
        <is>
          <t>Tennis Québec</t>
        </is>
      </c>
      <c r="H577" t="inlineStr">
        <is>
          <t>No Club</t>
        </is>
      </c>
      <c r="I577" t="n">
        <v>40</v>
      </c>
      <c r="J577" s="4" t="n">
        <v>8</v>
      </c>
      <c r="K577" t="inlineStr">
        <is>
          <t>1 / 7</t>
        </is>
      </c>
      <c r="L577" t="inlineStr">
        <is>
          <t>1 / 7</t>
        </is>
      </c>
      <c r="M577" s="5" t="n">
        <v>0.12</v>
      </c>
      <c r="N577" s="5" t="n">
        <v>0.12</v>
      </c>
    </row>
    <row r="578">
      <c r="A578" t="n">
        <v>577</v>
      </c>
      <c r="B578" t="n">
        <v>2016</v>
      </c>
      <c r="C578" t="inlineStr">
        <is>
          <t>Saanvi Sharma</t>
        </is>
      </c>
      <c r="D578">
        <f>HYPERLINK("https://ota.tournamentsoftware.com/player-profile/CE1D7CD8-1C3C-4F68-B568-48AC24E75437", "Link")</f>
        <v/>
      </c>
      <c r="E578" s="3" t="n">
        <v>53.28</v>
      </c>
      <c r="F578" s="4" t="n">
        <v>4</v>
      </c>
      <c r="G578" t="inlineStr">
        <is>
          <t>Tennis Québec</t>
        </is>
      </c>
      <c r="H578" t="inlineStr">
        <is>
          <t>Tennis Ile- des- Soeurs</t>
        </is>
      </c>
      <c r="I578" t="n">
        <v>37</v>
      </c>
      <c r="J578" s="4" t="n">
        <v>88</v>
      </c>
      <c r="K578" t="inlineStr">
        <is>
          <t>43 / 45</t>
        </is>
      </c>
      <c r="L578" t="inlineStr">
        <is>
          <t>12 / 8</t>
        </is>
      </c>
      <c r="M578" s="5" t="n">
        <v>0.49</v>
      </c>
      <c r="N578" s="5" t="n">
        <v>0.6</v>
      </c>
    </row>
    <row r="579">
      <c r="A579" t="n">
        <v>578</v>
      </c>
      <c r="B579" t="n">
        <v>2013</v>
      </c>
      <c r="C579" t="inlineStr">
        <is>
          <t>Julia Soldatov</t>
        </is>
      </c>
      <c r="D579">
        <f>HYPERLINK("https://ota.tournamentsoftware.com/player-profile/9CDD8F0E-2B06-4818-8B32-A0ED95A9E6DF", "Link")</f>
        <v/>
      </c>
      <c r="E579" s="3" t="n">
        <v>53.274</v>
      </c>
      <c r="F579" s="4" t="n">
        <v>5</v>
      </c>
      <c r="G579" t="inlineStr">
        <is>
          <t>Ontario Tennis Association</t>
        </is>
      </c>
      <c r="H579" t="inlineStr">
        <is>
          <t>Newmarket Community Tennis Club</t>
        </is>
      </c>
      <c r="I579" t="n">
        <v>38.7</v>
      </c>
      <c r="J579" s="4" t="n">
        <v>19</v>
      </c>
      <c r="K579" t="inlineStr">
        <is>
          <t>6 / 13</t>
        </is>
      </c>
      <c r="L579" t="inlineStr">
        <is>
          <t>6 / 13</t>
        </is>
      </c>
      <c r="M579" s="5" t="n">
        <v>0.32</v>
      </c>
      <c r="N579" s="5" t="n">
        <v>0.32</v>
      </c>
    </row>
    <row r="580">
      <c r="A580" t="n">
        <v>579</v>
      </c>
      <c r="B580" t="n">
        <v>2015</v>
      </c>
      <c r="C580" t="inlineStr">
        <is>
          <t>Dania Ahmed</t>
        </is>
      </c>
      <c r="D580">
        <f>HYPERLINK("https://ota.tournamentsoftware.com/player-profile/3A4EF5D7-2C40-4E2A-A979-D3231C03A93C", "Link")</f>
        <v/>
      </c>
      <c r="E580" s="3" t="n">
        <v>53.149</v>
      </c>
      <c r="F580" s="4" t="n">
        <v>12</v>
      </c>
      <c r="G580" t="inlineStr">
        <is>
          <t>Ontario Tennis Association</t>
        </is>
      </c>
      <c r="H580" t="inlineStr">
        <is>
          <t>Waterloo Tennis Club</t>
        </is>
      </c>
      <c r="I580" t="n">
        <v>37.1</v>
      </c>
      <c r="J580" s="4" t="n">
        <v>84</v>
      </c>
      <c r="K580" t="inlineStr">
        <is>
          <t>50 / 34</t>
        </is>
      </c>
      <c r="L580" t="inlineStr">
        <is>
          <t>3 / 9</t>
        </is>
      </c>
      <c r="M580" s="5" t="n">
        <v>0.6</v>
      </c>
      <c r="N580" s="5" t="n">
        <v>0.25</v>
      </c>
    </row>
    <row r="581">
      <c r="A581" t="n">
        <v>580</v>
      </c>
      <c r="B581" t="n">
        <v>2014</v>
      </c>
      <c r="C581" t="inlineStr">
        <is>
          <t>Julia Jzmati</t>
        </is>
      </c>
      <c r="D581">
        <f>HYPERLINK("https://ota.tournamentsoftware.com/player-profile/2AADF196-C892-43B1-9128-5338F8D87E95", "Link")</f>
        <v/>
      </c>
      <c r="E581" s="3" t="n">
        <v>52.454</v>
      </c>
      <c r="F581" s="4" t="n">
        <v>11</v>
      </c>
      <c r="G581" t="inlineStr">
        <is>
          <t>Ontario Tennis Association</t>
        </is>
      </c>
      <c r="H581" t="inlineStr">
        <is>
          <t>Rideau Sports Centre</t>
        </is>
      </c>
      <c r="I581" t="n">
        <v>39.5</v>
      </c>
      <c r="J581" s="4" t="n">
        <v>29</v>
      </c>
      <c r="K581" t="inlineStr">
        <is>
          <t>5 / 24</t>
        </is>
      </c>
      <c r="L581" t="inlineStr">
        <is>
          <t>1 / 9</t>
        </is>
      </c>
      <c r="M581" s="5" t="n">
        <v>0.17</v>
      </c>
      <c r="N581" s="5" t="n">
        <v>0.1</v>
      </c>
    </row>
    <row r="582">
      <c r="A582" t="n">
        <v>581</v>
      </c>
      <c r="B582" t="n">
        <v>2014</v>
      </c>
      <c r="C582" t="inlineStr">
        <is>
          <t>Shaghun Dhillon</t>
        </is>
      </c>
      <c r="D582">
        <f>HYPERLINK("https://ota.tournamentsoftware.com/player-profile/97B5DEDE-AA93-468B-902A-462AB9B42432", "Link")</f>
        <v/>
      </c>
      <c r="E582" s="3" t="n">
        <v>52.409</v>
      </c>
      <c r="F582" s="4" t="n">
        <v>11</v>
      </c>
      <c r="G582" t="inlineStr">
        <is>
          <t>Ontario Tennis Association</t>
        </is>
      </c>
      <c r="H582" t="inlineStr">
        <is>
          <t>Premier Racquet Club</t>
        </is>
      </c>
      <c r="I582" t="inlineStr">
        <is>
          <t>unavailable</t>
        </is>
      </c>
      <c r="J582" s="4" t="n">
        <v>57</v>
      </c>
      <c r="K582" t="inlineStr">
        <is>
          <t>32 / 25</t>
        </is>
      </c>
      <c r="L582" t="inlineStr">
        <is>
          <t>26 / 19</t>
        </is>
      </c>
      <c r="M582" s="5" t="n">
        <v>0.5600000000000001</v>
      </c>
      <c r="N582" s="5" t="n">
        <v>0.58</v>
      </c>
    </row>
    <row r="583">
      <c r="A583" t="n">
        <v>582</v>
      </c>
      <c r="B583" t="n">
        <v>2014</v>
      </c>
      <c r="C583" t="inlineStr">
        <is>
          <t>Ann Ha</t>
        </is>
      </c>
      <c r="D583">
        <f>HYPERLINK("https://ota.tournamentsoftware.com/player-profile/139E73DD-882F-4509-9B0C-BB790DA8399D", "Link")</f>
        <v/>
      </c>
      <c r="E583" s="3" t="n">
        <v>50.846</v>
      </c>
      <c r="F583" s="4" t="n">
        <v>3</v>
      </c>
      <c r="G583" t="inlineStr">
        <is>
          <t>Tennis Saskatchewan</t>
        </is>
      </c>
      <c r="H583" t="inlineStr">
        <is>
          <t>Lakewood Indoor Tennis Centre</t>
        </is>
      </c>
      <c r="I583" t="inlineStr">
        <is>
          <t>unavailable</t>
        </is>
      </c>
      <c r="J583" s="4" t="n">
        <v>9</v>
      </c>
      <c r="K583" t="inlineStr">
        <is>
          <t>1 / 8</t>
        </is>
      </c>
      <c r="L583" t="inlineStr">
        <is>
          <t>1 / 8</t>
        </is>
      </c>
      <c r="M583" s="5" t="n">
        <v>0.11</v>
      </c>
      <c r="N583" s="5" t="n">
        <v>0.11</v>
      </c>
    </row>
    <row r="584">
      <c r="A584" t="n">
        <v>583</v>
      </c>
      <c r="B584" t="n">
        <v>2014</v>
      </c>
      <c r="C584" t="inlineStr">
        <is>
          <t>Tara Nastic</t>
        </is>
      </c>
      <c r="D584">
        <f>HYPERLINK("https://ota.tournamentsoftware.com/player-profile/43FF8AFD-A54E-4011-88C7-132B60B568E8", "Link")</f>
        <v/>
      </c>
      <c r="E584" s="3" t="n">
        <v>50.76</v>
      </c>
      <c r="F584" s="4" t="n">
        <v>4</v>
      </c>
      <c r="G584" t="inlineStr">
        <is>
          <t>Ontario Tennis Association</t>
        </is>
      </c>
      <c r="H584" t="inlineStr">
        <is>
          <t>Royal City Tennis Club</t>
        </is>
      </c>
      <c r="I584" t="inlineStr">
        <is>
          <t>unavailable</t>
        </is>
      </c>
      <c r="J584" s="4" t="n">
        <v>19</v>
      </c>
      <c r="K584" t="inlineStr">
        <is>
          <t>4 / 15</t>
        </is>
      </c>
      <c r="L584" t="inlineStr">
        <is>
          <t>1 / 3</t>
        </is>
      </c>
      <c r="M584" s="5" t="n">
        <v>0.21</v>
      </c>
      <c r="N584" s="5" t="n">
        <v>0.25</v>
      </c>
    </row>
    <row r="585">
      <c r="A585" t="n">
        <v>584</v>
      </c>
      <c r="B585" t="n">
        <v>2012</v>
      </c>
      <c r="C585" t="inlineStr">
        <is>
          <t>Elise Chan</t>
        </is>
      </c>
      <c r="D585">
        <f>HYPERLINK("https://ota.tournamentsoftware.com/player-profile/74C14A51-A560-4368-85E6-96F13264726F", "Link")</f>
        <v/>
      </c>
      <c r="E585" s="3" t="n">
        <v>50.266</v>
      </c>
      <c r="F585" s="4" t="n">
        <v>4</v>
      </c>
      <c r="G585" t="inlineStr">
        <is>
          <t>Ontario Tennis Association</t>
        </is>
      </c>
      <c r="H585" t="inlineStr">
        <is>
          <t>Rideau Sports Centre</t>
        </is>
      </c>
      <c r="I585" t="n">
        <v>38.4</v>
      </c>
      <c r="J585" s="4" t="n">
        <v>3</v>
      </c>
      <c r="K585" t="inlineStr">
        <is>
          <t>0 / 3</t>
        </is>
      </c>
      <c r="L585" t="inlineStr">
        <is>
          <t>0 / 3</t>
        </is>
      </c>
      <c r="M585" s="5" t="n">
        <v>0</v>
      </c>
      <c r="N585" s="5" t="n">
        <v>0</v>
      </c>
    </row>
    <row r="586">
      <c r="A586" t="n">
        <v>585</v>
      </c>
      <c r="B586" t="n">
        <v>2014</v>
      </c>
      <c r="C586" t="inlineStr">
        <is>
          <t>Sofia Morisette</t>
        </is>
      </c>
      <c r="D586">
        <f>HYPERLINK("https://ota.tournamentsoftware.com/player-profile/F99611AC-3485-4574-897D-68151916B40D", "Link")</f>
        <v/>
      </c>
      <c r="E586" s="3" t="n">
        <v>50.011</v>
      </c>
      <c r="F586" s="4" t="n">
        <v>4</v>
      </c>
      <c r="G586" t="inlineStr">
        <is>
          <t>British Columbia</t>
        </is>
      </c>
      <c r="H586" t="inlineStr">
        <is>
          <t>Tennis BC Hub @ Richmond</t>
        </is>
      </c>
      <c r="I586" t="n">
        <v>35.8</v>
      </c>
      <c r="J586" s="4" t="n">
        <v>128</v>
      </c>
      <c r="K586" t="inlineStr">
        <is>
          <t>51 / 77</t>
        </is>
      </c>
      <c r="L586" t="inlineStr">
        <is>
          <t>2 / 6</t>
        </is>
      </c>
      <c r="M586" s="5" t="n">
        <v>0.4</v>
      </c>
      <c r="N586" s="5" t="n">
        <v>0.25</v>
      </c>
    </row>
    <row r="587">
      <c r="A587" t="n">
        <v>586</v>
      </c>
      <c r="B587" t="n">
        <v>2014</v>
      </c>
      <c r="C587" t="inlineStr">
        <is>
          <t>Charlotte Adeline Ratchford</t>
        </is>
      </c>
      <c r="D587">
        <f>HYPERLINK("https://ota.tournamentsoftware.com/player-profile/552DF1FC-65F6-48FE-8B31-884C1DC273DB", "Link")</f>
        <v/>
      </c>
      <c r="E587" s="3" t="n">
        <v>49.765</v>
      </c>
      <c r="F587" s="4" t="n">
        <v>17</v>
      </c>
      <c r="G587" t="inlineStr">
        <is>
          <t>British Columbia</t>
        </is>
      </c>
      <c r="H587" t="inlineStr">
        <is>
          <t>Jericho Tennis Club</t>
        </is>
      </c>
      <c r="I587" t="n">
        <v>36.9</v>
      </c>
      <c r="J587" s="4" t="n">
        <v>45</v>
      </c>
      <c r="K587" t="inlineStr">
        <is>
          <t>14 / 31</t>
        </is>
      </c>
      <c r="L587" t="inlineStr">
        <is>
          <t>12 / 26</t>
        </is>
      </c>
      <c r="M587" s="5" t="n">
        <v>0.31</v>
      </c>
      <c r="N587" s="5" t="n">
        <v>0.32</v>
      </c>
    </row>
    <row r="588">
      <c r="A588" t="n">
        <v>587</v>
      </c>
      <c r="B588" t="n">
        <v>2014</v>
      </c>
      <c r="C588" t="inlineStr">
        <is>
          <t>Emma Ghantous</t>
        </is>
      </c>
      <c r="D588">
        <f>HYPERLINK("https://ota.tournamentsoftware.com/player-profile/0EA6BF71-F3BF-4EA7-95F6-B80CD551F4FB", "Link")</f>
        <v/>
      </c>
      <c r="E588" s="3" t="n">
        <v>49.68</v>
      </c>
      <c r="F588" s="4" t="n">
        <v>2</v>
      </c>
      <c r="G588" t="inlineStr">
        <is>
          <t>Tennis Québec</t>
        </is>
      </c>
      <c r="H588" t="inlineStr">
        <is>
          <t>Tennis 13</t>
        </is>
      </c>
      <c r="I588" t="n">
        <v>33.4</v>
      </c>
      <c r="J588" s="4" t="n">
        <v>126</v>
      </c>
      <c r="K588" t="inlineStr">
        <is>
          <t>77 / 49</t>
        </is>
      </c>
      <c r="L588" t="inlineStr">
        <is>
          <t>0 / 0</t>
        </is>
      </c>
      <c r="M588" s="5" t="n">
        <v>0.61</v>
      </c>
      <c r="N588" s="5" t="n">
        <v>0</v>
      </c>
    </row>
    <row r="589">
      <c r="A589" t="n">
        <v>588</v>
      </c>
      <c r="B589" t="n">
        <v>2015</v>
      </c>
      <c r="C589" t="inlineStr">
        <is>
          <t>Sofia Kiselenko</t>
        </is>
      </c>
      <c r="D589">
        <f>HYPERLINK("https://ota.tournamentsoftware.com/player-profile/8164E8EB-17A8-4270-A12B-31EFF18C9343", "Link")</f>
        <v/>
      </c>
      <c r="E589" s="3" t="n">
        <v>49.342</v>
      </c>
      <c r="F589" s="4" t="n">
        <v>16</v>
      </c>
      <c r="G589" t="inlineStr">
        <is>
          <t>Tennis Alberta</t>
        </is>
      </c>
      <c r="H589" t="inlineStr">
        <is>
          <t>Osten &amp; Victor Alberta Tennis Centre</t>
        </is>
      </c>
      <c r="I589" t="n">
        <v>37</v>
      </c>
      <c r="J589" s="4" t="n">
        <v>133</v>
      </c>
      <c r="K589" t="inlineStr">
        <is>
          <t>44 / 89</t>
        </is>
      </c>
      <c r="L589" t="inlineStr">
        <is>
          <t>12 / 15</t>
        </is>
      </c>
      <c r="M589" s="5" t="n">
        <v>0.33</v>
      </c>
      <c r="N589" s="5" t="n">
        <v>0.44</v>
      </c>
    </row>
    <row r="590">
      <c r="A590" t="n">
        <v>589</v>
      </c>
      <c r="B590" t="n">
        <v>2016</v>
      </c>
      <c r="C590" t="inlineStr">
        <is>
          <t>Olivia Yueer Hao</t>
        </is>
      </c>
      <c r="D590">
        <f>HYPERLINK("https://ota.tournamentsoftware.com/player-profile/61C0E090-4E32-499F-86FE-FFD674DD6128", "Link")</f>
        <v/>
      </c>
      <c r="E590" s="3" t="n">
        <v>49.177</v>
      </c>
      <c r="F590" s="4" t="n">
        <v>8</v>
      </c>
      <c r="G590" t="inlineStr">
        <is>
          <t>Ontario Tennis Association</t>
        </is>
      </c>
      <c r="H590" t="inlineStr">
        <is>
          <t>Valan Tennis Academy</t>
        </is>
      </c>
      <c r="I590" t="n">
        <v>38.1</v>
      </c>
      <c r="J590" s="4" t="n">
        <v>73</v>
      </c>
      <c r="K590" t="inlineStr">
        <is>
          <t>33 / 40</t>
        </is>
      </c>
      <c r="L590" t="inlineStr">
        <is>
          <t>29 / 25</t>
        </is>
      </c>
      <c r="M590" s="5" t="n">
        <v>0.45</v>
      </c>
      <c r="N590" s="5" t="n">
        <v>0.54</v>
      </c>
    </row>
    <row r="591">
      <c r="A591" t="n">
        <v>590</v>
      </c>
      <c r="B591" t="n">
        <v>2017</v>
      </c>
      <c r="C591" t="inlineStr">
        <is>
          <t>Vivian Spurrell</t>
        </is>
      </c>
      <c r="D591">
        <f>HYPERLINK("https://ota.tournamentsoftware.com/player-profile/9CFE670B-9D8C-4BC2-8DDB-1C78F17AE1FF", "Link")</f>
        <v/>
      </c>
      <c r="E591" s="3" t="n">
        <v>49.126</v>
      </c>
      <c r="F591" s="4" t="n">
        <v>3</v>
      </c>
      <c r="G591" t="inlineStr">
        <is>
          <t>Tennis Newfoundland &amp; Labrador</t>
        </is>
      </c>
      <c r="H591" t="inlineStr">
        <is>
          <t>Greenbelt Tennis Club</t>
        </is>
      </c>
      <c r="I591" t="inlineStr">
        <is>
          <t>unavailable</t>
        </is>
      </c>
      <c r="J591" s="4" t="n">
        <v>20</v>
      </c>
      <c r="K591" t="inlineStr">
        <is>
          <t>15 / 5</t>
        </is>
      </c>
      <c r="L591" t="inlineStr">
        <is>
          <t>11 / 3</t>
        </is>
      </c>
      <c r="M591" s="5" t="n">
        <v>0.75</v>
      </c>
      <c r="N591" s="5" t="n">
        <v>0.79</v>
      </c>
    </row>
    <row r="592">
      <c r="A592" t="n">
        <v>591</v>
      </c>
      <c r="B592" t="n">
        <v>2016</v>
      </c>
      <c r="C592" t="inlineStr">
        <is>
          <t>Ziqi Yu</t>
        </is>
      </c>
      <c r="D592">
        <f>HYPERLINK("https://ota.tournamentsoftware.com/player-profile/89FEB2A7-669B-4D40-A67D-54016F42DA82", "Link")</f>
        <v/>
      </c>
      <c r="E592" s="3" t="n">
        <v>48.859</v>
      </c>
      <c r="F592" s="4" t="n">
        <v>16</v>
      </c>
      <c r="G592" t="inlineStr">
        <is>
          <t>Ontario Tennis Association</t>
        </is>
      </c>
      <c r="H592" t="inlineStr">
        <is>
          <t>Blackmore Tennis Club</t>
        </is>
      </c>
      <c r="I592" t="n">
        <v>34</v>
      </c>
      <c r="J592" s="4" t="n">
        <v>99</v>
      </c>
      <c r="K592" t="inlineStr">
        <is>
          <t>64 / 35</t>
        </is>
      </c>
      <c r="L592" t="inlineStr">
        <is>
          <t>28 / 16</t>
        </is>
      </c>
      <c r="M592" s="5" t="n">
        <v>0.65</v>
      </c>
      <c r="N592" s="5" t="n">
        <v>0.64</v>
      </c>
    </row>
    <row r="593">
      <c r="A593" t="n">
        <v>592</v>
      </c>
      <c r="B593" t="n">
        <v>2014</v>
      </c>
      <c r="C593" t="inlineStr">
        <is>
          <t>Mathilde Langis</t>
        </is>
      </c>
      <c r="D593">
        <f>HYPERLINK("https://ota.tournamentsoftware.com/player-profile/39929D79-FF7E-4461-9561-38C5D88AE666", "Link")</f>
        <v/>
      </c>
      <c r="E593" s="3" t="n">
        <v>48.716</v>
      </c>
      <c r="F593" s="4" t="n">
        <v>5</v>
      </c>
      <c r="G593" t="inlineStr">
        <is>
          <t>Tennis Québec</t>
        </is>
      </c>
      <c r="H593" t="inlineStr">
        <is>
          <t>Académie de tennis UNI(T)</t>
        </is>
      </c>
      <c r="I593" t="n">
        <v>36.2</v>
      </c>
      <c r="J593" s="4" t="n">
        <v>72</v>
      </c>
      <c r="K593" t="inlineStr">
        <is>
          <t>31 / 41</t>
        </is>
      </c>
      <c r="L593" t="inlineStr">
        <is>
          <t>1 / 2</t>
        </is>
      </c>
      <c r="M593" s="5" t="n">
        <v>0.43</v>
      </c>
      <c r="N593" s="5" t="n">
        <v>0.33</v>
      </c>
    </row>
    <row r="594">
      <c r="A594" t="n">
        <v>593</v>
      </c>
      <c r="B594" t="n">
        <v>2015</v>
      </c>
      <c r="C594" t="inlineStr">
        <is>
          <t>Scarlett Chan</t>
        </is>
      </c>
      <c r="D594">
        <f>HYPERLINK("https://ota.tournamentsoftware.com/player-profile/FC173056-E1A0-4194-9722-D15B8524262F", "Link")</f>
        <v/>
      </c>
      <c r="E594" s="3" t="n">
        <v>48.556</v>
      </c>
      <c r="F594" s="4" t="n">
        <v>6</v>
      </c>
      <c r="G594" t="inlineStr">
        <is>
          <t>Ontario Tennis Association</t>
        </is>
      </c>
      <c r="H594" t="inlineStr">
        <is>
          <t>Mayfair East Racquet Club</t>
        </is>
      </c>
      <c r="I594" t="n">
        <v>36.7</v>
      </c>
      <c r="J594" s="4" t="n">
        <v>81</v>
      </c>
      <c r="K594" t="inlineStr">
        <is>
          <t>48 / 33</t>
        </is>
      </c>
      <c r="L594" t="inlineStr">
        <is>
          <t>4 / 7</t>
        </is>
      </c>
      <c r="M594" s="5" t="n">
        <v>0.59</v>
      </c>
      <c r="N594" s="5" t="n">
        <v>0.36</v>
      </c>
    </row>
    <row r="595">
      <c r="A595" t="n">
        <v>594</v>
      </c>
      <c r="B595" t="n">
        <v>2015</v>
      </c>
      <c r="C595" t="inlineStr">
        <is>
          <t>Aubrey Baldinelli</t>
        </is>
      </c>
      <c r="D595">
        <f>HYPERLINK("https://ota.tournamentsoftware.com/player-profile/4C52D449-95CA-49A9-B524-B01117EAD86C", "Link")</f>
        <v/>
      </c>
      <c r="E595" s="3" t="n">
        <v>48.55</v>
      </c>
      <c r="F595" s="4" t="n">
        <v>10</v>
      </c>
      <c r="G595" t="inlineStr">
        <is>
          <t>Ontario Tennis Association</t>
        </is>
      </c>
      <c r="H595" t="inlineStr">
        <is>
          <t>Youngs Sportsplex</t>
        </is>
      </c>
      <c r="I595" t="n">
        <v>37.3</v>
      </c>
      <c r="J595" s="4" t="n">
        <v>43</v>
      </c>
      <c r="K595" t="inlineStr">
        <is>
          <t>22 / 21</t>
        </is>
      </c>
      <c r="L595" t="inlineStr">
        <is>
          <t>5 / 13</t>
        </is>
      </c>
      <c r="M595" s="5" t="n">
        <v>0.51</v>
      </c>
      <c r="N595" s="5" t="n">
        <v>0.28</v>
      </c>
    </row>
    <row r="596">
      <c r="A596" t="n">
        <v>595</v>
      </c>
      <c r="B596" t="n">
        <v>2014</v>
      </c>
      <c r="C596" t="inlineStr">
        <is>
          <t>Tess Marie Trenholm</t>
        </is>
      </c>
      <c r="D596">
        <f>HYPERLINK("https://ota.tournamentsoftware.com/player-profile/37DD9223-BE00-45F7-9DE9-3EA92F74CD7B", "Link")</f>
        <v/>
      </c>
      <c r="E596" s="3" t="n">
        <v>48.421</v>
      </c>
      <c r="F596" s="4" t="n">
        <v>15</v>
      </c>
      <c r="G596" t="inlineStr">
        <is>
          <t>Ontario Tennis Association</t>
        </is>
      </c>
      <c r="H596" t="inlineStr">
        <is>
          <t>Ontario Racquet Club</t>
        </is>
      </c>
      <c r="I596" t="n">
        <v>38.3</v>
      </c>
      <c r="J596" s="4" t="n">
        <v>94</v>
      </c>
      <c r="K596" t="inlineStr">
        <is>
          <t>26 / 68</t>
        </is>
      </c>
      <c r="L596" t="inlineStr">
        <is>
          <t>7 / 13</t>
        </is>
      </c>
      <c r="M596" s="5" t="n">
        <v>0.28</v>
      </c>
      <c r="N596" s="5" t="n">
        <v>0.35</v>
      </c>
    </row>
    <row r="597">
      <c r="A597" t="n">
        <v>596</v>
      </c>
      <c r="B597" t="n">
        <v>2013</v>
      </c>
      <c r="C597" t="inlineStr">
        <is>
          <t>Gloria Yang</t>
        </is>
      </c>
      <c r="D597">
        <f>HYPERLINK("https://ota.tournamentsoftware.com/player-profile/93D03535-4A4B-4898-A531-8F0DB9BA8BD8", "Link")</f>
        <v/>
      </c>
      <c r="E597" s="3" t="n">
        <v>48.153</v>
      </c>
      <c r="F597" s="4" t="n">
        <v>2</v>
      </c>
      <c r="G597" t="inlineStr">
        <is>
          <t>Tennis Prince Edward Island</t>
        </is>
      </c>
      <c r="H597" t="inlineStr">
        <is>
          <t>Royalty Racquet Centre</t>
        </is>
      </c>
      <c r="I597" t="inlineStr">
        <is>
          <t>unavailable</t>
        </is>
      </c>
      <c r="J597" s="4" t="n">
        <v>24</v>
      </c>
      <c r="K597" t="inlineStr">
        <is>
          <t>11 / 13</t>
        </is>
      </c>
      <c r="L597" t="inlineStr">
        <is>
          <t>7 / 9</t>
        </is>
      </c>
      <c r="M597" s="5" t="n">
        <v>0.46</v>
      </c>
      <c r="N597" s="5" t="n">
        <v>0.44</v>
      </c>
    </row>
    <row r="598">
      <c r="A598" t="n">
        <v>597</v>
      </c>
      <c r="B598" t="n">
        <v>2016</v>
      </c>
      <c r="C598" t="inlineStr">
        <is>
          <t>Chloe Garikimukkula</t>
        </is>
      </c>
      <c r="D598">
        <f>HYPERLINK("https://ota.tournamentsoftware.com/player-profile/8B630DA5-F61E-4159-9316-7EA463790908", "Link")</f>
        <v/>
      </c>
      <c r="E598" s="3" t="n">
        <v>47.448</v>
      </c>
      <c r="F598" s="4" t="n">
        <v>10</v>
      </c>
      <c r="G598" t="inlineStr">
        <is>
          <t>Ontario Tennis Association</t>
        </is>
      </c>
      <c r="H598" t="inlineStr">
        <is>
          <t>Burlington Tennis Club</t>
        </is>
      </c>
      <c r="I598" t="n">
        <v>36.8</v>
      </c>
      <c r="J598" s="4" t="n">
        <v>101</v>
      </c>
      <c r="K598" t="inlineStr">
        <is>
          <t>58 / 43</t>
        </is>
      </c>
      <c r="L598" t="inlineStr">
        <is>
          <t>39 / 28</t>
        </is>
      </c>
      <c r="M598" s="5" t="n">
        <v>0.57</v>
      </c>
      <c r="N598" s="5" t="n">
        <v>0.58</v>
      </c>
    </row>
    <row r="599">
      <c r="A599" t="n">
        <v>598</v>
      </c>
      <c r="B599" t="n">
        <v>2013</v>
      </c>
      <c r="C599" t="inlineStr">
        <is>
          <t>Naia Luke</t>
        </is>
      </c>
      <c r="D599">
        <f>HYPERLINK("https://ota.tournamentsoftware.com/player-profile/E8620DEC-5B72-4D85-9171-1F914B105E62", "Link")</f>
        <v/>
      </c>
      <c r="E599" s="3" t="n">
        <v>47.109</v>
      </c>
      <c r="F599" s="4" t="n">
        <v>5</v>
      </c>
      <c r="G599" t="inlineStr">
        <is>
          <t>British Columbia</t>
        </is>
      </c>
      <c r="H599" t="inlineStr">
        <is>
          <t>Jericho Tennis Club</t>
        </is>
      </c>
      <c r="I599" t="n">
        <v>39.7</v>
      </c>
      <c r="J599" s="4" t="n">
        <v>43</v>
      </c>
      <c r="K599" t="inlineStr">
        <is>
          <t>9 / 34</t>
        </is>
      </c>
      <c r="L599" t="inlineStr">
        <is>
          <t>0 / 9</t>
        </is>
      </c>
      <c r="M599" s="5" t="n">
        <v>0.21</v>
      </c>
      <c r="N599" s="5" t="n">
        <v>0</v>
      </c>
    </row>
    <row r="600">
      <c r="A600" t="n">
        <v>599</v>
      </c>
      <c r="B600" t="n">
        <v>2013</v>
      </c>
      <c r="C600" t="inlineStr">
        <is>
          <t>Mengge(Maya) Xu</t>
        </is>
      </c>
      <c r="D600">
        <f>HYPERLINK("https://ota.tournamentsoftware.com/player-profile/9CD6D408-1A72-4E0B-A9C9-DD675B785873", "Link")</f>
        <v/>
      </c>
      <c r="E600" s="3" t="n">
        <v>46.678</v>
      </c>
      <c r="F600" s="4" t="n">
        <v>7</v>
      </c>
      <c r="G600" t="inlineStr">
        <is>
          <t>Ontario Tennis Association</t>
        </is>
      </c>
      <c r="H600" t="inlineStr">
        <is>
          <t>Markham Tennis Club</t>
        </is>
      </c>
      <c r="I600" t="n">
        <v>39.2</v>
      </c>
      <c r="J600" s="4" t="n">
        <v>29</v>
      </c>
      <c r="K600" t="inlineStr">
        <is>
          <t>10 / 19</t>
        </is>
      </c>
      <c r="L600" t="inlineStr">
        <is>
          <t>5 / 7</t>
        </is>
      </c>
      <c r="M600" s="5" t="n">
        <v>0.34</v>
      </c>
      <c r="N600" s="5" t="n">
        <v>0.42</v>
      </c>
    </row>
    <row r="601">
      <c r="A601" t="n">
        <v>600</v>
      </c>
      <c r="B601" t="n">
        <v>2017</v>
      </c>
      <c r="C601" t="inlineStr">
        <is>
          <t>Arianna Fernanda Chacon</t>
        </is>
      </c>
      <c r="D601">
        <f>HYPERLINK("https://ota.tournamentsoftware.com/player-profile/3B36D99D-C9E7-48A2-BC06-6AD3725AC12E", "Link")</f>
        <v/>
      </c>
      <c r="E601" s="3" t="n">
        <v>45.016</v>
      </c>
      <c r="F601" s="4" t="n">
        <v>15</v>
      </c>
      <c r="G601" t="inlineStr">
        <is>
          <t>Tennis Alberta</t>
        </is>
      </c>
      <c r="H601" t="inlineStr">
        <is>
          <t>Aforza</t>
        </is>
      </c>
      <c r="I601" t="n">
        <v>34.8</v>
      </c>
      <c r="J601" s="4" t="n">
        <v>201</v>
      </c>
      <c r="K601" t="inlineStr">
        <is>
          <t>106 / 95</t>
        </is>
      </c>
      <c r="L601" t="inlineStr">
        <is>
          <t>33 / 19</t>
        </is>
      </c>
      <c r="M601" s="5" t="n">
        <v>0.53</v>
      </c>
      <c r="N601" s="5" t="n">
        <v>0.63</v>
      </c>
    </row>
    <row r="602">
      <c r="A602" t="n">
        <v>601</v>
      </c>
      <c r="B602" t="n">
        <v>2012</v>
      </c>
      <c r="C602" t="inlineStr">
        <is>
          <t>Selena Wazelle</t>
        </is>
      </c>
      <c r="D602">
        <f>HYPERLINK("https://ota.tournamentsoftware.com/player-profile/B596341F-BD27-43AF-8888-AAD072F39AFB", "Link")</f>
        <v/>
      </c>
      <c r="E602" s="3" t="n">
        <v>45</v>
      </c>
      <c r="F602" s="4" t="n">
        <v>1</v>
      </c>
      <c r="G602" t="inlineStr">
        <is>
          <t>British Columbia</t>
        </is>
      </c>
      <c r="H602" t="inlineStr">
        <is>
          <t>No Club</t>
        </is>
      </c>
      <c r="I602" t="n">
        <v>30.1</v>
      </c>
      <c r="J602" s="4" t="n">
        <v>159</v>
      </c>
      <c r="K602" t="inlineStr">
        <is>
          <t>89 / 70</t>
        </is>
      </c>
      <c r="L602" t="inlineStr">
        <is>
          <t>0 / 0</t>
        </is>
      </c>
      <c r="M602" s="5" t="n">
        <v>0.5600000000000001</v>
      </c>
      <c r="N602" s="5" t="n">
        <v>0</v>
      </c>
    </row>
    <row r="603">
      <c r="A603" t="n">
        <v>602</v>
      </c>
      <c r="B603" t="n">
        <v>2015</v>
      </c>
      <c r="C603" t="inlineStr">
        <is>
          <t>Kinsley Jade Lin</t>
        </is>
      </c>
      <c r="D603">
        <f>HYPERLINK("https://ota.tournamentsoftware.com/player-profile/1FF4FA2D-412B-4E4A-AE72-948C7BC68D73", "Link")</f>
        <v/>
      </c>
      <c r="E603" s="3" t="n">
        <v>44.956</v>
      </c>
      <c r="F603" s="4" t="n">
        <v>11</v>
      </c>
      <c r="G603" t="inlineStr">
        <is>
          <t>Ontario Tennis Association</t>
        </is>
      </c>
      <c r="H603" t="inlineStr">
        <is>
          <t>The Tennis School</t>
        </is>
      </c>
      <c r="I603" t="n">
        <v>37.5</v>
      </c>
      <c r="J603" s="4" t="n">
        <v>94</v>
      </c>
      <c r="K603" t="inlineStr">
        <is>
          <t>40 / 54</t>
        </is>
      </c>
      <c r="L603" t="inlineStr">
        <is>
          <t>5 / 11</t>
        </is>
      </c>
      <c r="M603" s="5" t="n">
        <v>0.43</v>
      </c>
      <c r="N603" s="5" t="n">
        <v>0.31</v>
      </c>
    </row>
    <row r="604">
      <c r="A604" t="n">
        <v>603</v>
      </c>
      <c r="B604" t="n">
        <v>2015</v>
      </c>
      <c r="C604" t="inlineStr">
        <is>
          <t>LILLIAN LI</t>
        </is>
      </c>
      <c r="D604">
        <f>HYPERLINK("https://ota.tournamentsoftware.com/player-profile/6381808D-332A-4694-9A60-DD4214A2A2F0", "Link")</f>
        <v/>
      </c>
      <c r="E604" s="3" t="n">
        <v>44.713</v>
      </c>
      <c r="F604" s="4" t="n">
        <v>8</v>
      </c>
      <c r="G604" t="inlineStr">
        <is>
          <t>Ontario Tennis Association</t>
        </is>
      </c>
      <c r="H604" t="inlineStr">
        <is>
          <t>Rideau Sports Centre</t>
        </is>
      </c>
      <c r="I604" t="n">
        <v>39.7</v>
      </c>
      <c r="J604" s="4" t="n">
        <v>19</v>
      </c>
      <c r="K604" t="inlineStr">
        <is>
          <t>4 / 15</t>
        </is>
      </c>
      <c r="L604" t="inlineStr">
        <is>
          <t>0 / 8</t>
        </is>
      </c>
      <c r="M604" s="5" t="n">
        <v>0.21</v>
      </c>
      <c r="N604" s="5" t="n">
        <v>0</v>
      </c>
    </row>
    <row r="605">
      <c r="A605" t="n">
        <v>604</v>
      </c>
      <c r="B605" t="n">
        <v>2015</v>
      </c>
      <c r="C605" t="inlineStr">
        <is>
          <t>Alexia Lionis</t>
        </is>
      </c>
      <c r="D605">
        <f>HYPERLINK("https://ota.tournamentsoftware.com/player-profile/C2079715-4A8A-4F16-A5F2-10633FCB08AA", "Link")</f>
        <v/>
      </c>
      <c r="E605" s="3" t="n">
        <v>44.665</v>
      </c>
      <c r="F605" s="4" t="n">
        <v>5</v>
      </c>
      <c r="G605" t="inlineStr">
        <is>
          <t>Ontario Tennis Association</t>
        </is>
      </c>
      <c r="H605" t="inlineStr">
        <is>
          <t>Ontario Racquet Club</t>
        </is>
      </c>
      <c r="I605" t="inlineStr">
        <is>
          <t>unavailable</t>
        </is>
      </c>
      <c r="J605" s="4" t="n">
        <v>76</v>
      </c>
      <c r="K605" t="inlineStr">
        <is>
          <t>34 / 42</t>
        </is>
      </c>
      <c r="L605" t="inlineStr">
        <is>
          <t>5 / 8</t>
        </is>
      </c>
      <c r="M605" s="5" t="n">
        <v>0.45</v>
      </c>
      <c r="N605" s="5" t="n">
        <v>0.38</v>
      </c>
    </row>
    <row r="606">
      <c r="A606" t="n">
        <v>605</v>
      </c>
      <c r="B606" t="n">
        <v>2015</v>
      </c>
      <c r="C606" t="inlineStr">
        <is>
          <t>Anna Bella Grozdanovski</t>
        </is>
      </c>
      <c r="D606">
        <f>HYPERLINK("https://ota.tournamentsoftware.com/player-profile/C1BD78E7-5BB0-4BD0-9D53-DA02A232F8A0", "Link")</f>
        <v/>
      </c>
      <c r="E606" s="3" t="n">
        <v>44.028</v>
      </c>
      <c r="F606" s="4" t="n">
        <v>5</v>
      </c>
      <c r="G606" t="inlineStr">
        <is>
          <t>Ontario Tennis Association</t>
        </is>
      </c>
      <c r="H606" t="inlineStr">
        <is>
          <t>No Club</t>
        </is>
      </c>
      <c r="I606" t="n">
        <v>36.9</v>
      </c>
      <c r="J606" s="4" t="n">
        <v>38</v>
      </c>
      <c r="K606" t="inlineStr">
        <is>
          <t>18 / 20</t>
        </is>
      </c>
      <c r="L606" t="inlineStr">
        <is>
          <t>9 / 5</t>
        </is>
      </c>
      <c r="M606" s="5" t="n">
        <v>0.47</v>
      </c>
      <c r="N606" s="5" t="n">
        <v>0.64</v>
      </c>
    </row>
    <row r="607">
      <c r="A607" t="n">
        <v>606</v>
      </c>
      <c r="B607" t="n">
        <v>2014</v>
      </c>
      <c r="C607" t="inlineStr">
        <is>
          <t>Victoria Kycia Block</t>
        </is>
      </c>
      <c r="D607">
        <f>HYPERLINK("https://ota.tournamentsoftware.com/player-profile/1F978CA6-97AC-4A84-BBEB-B431DDD9A28B", "Link")</f>
        <v/>
      </c>
      <c r="E607" s="3" t="n">
        <v>43.73</v>
      </c>
      <c r="F607" s="4" t="n">
        <v>11</v>
      </c>
      <c r="G607" t="inlineStr">
        <is>
          <t>Tennis Alberta</t>
        </is>
      </c>
      <c r="H607" t="inlineStr">
        <is>
          <t>Saville Community Sports Centre</t>
        </is>
      </c>
      <c r="I607" t="n">
        <v>35.3</v>
      </c>
      <c r="J607" s="4" t="n">
        <v>45</v>
      </c>
      <c r="K607" t="inlineStr">
        <is>
          <t>13 / 32</t>
        </is>
      </c>
      <c r="L607" t="inlineStr">
        <is>
          <t>6 / 9</t>
        </is>
      </c>
      <c r="M607" s="5" t="n">
        <v>0.29</v>
      </c>
      <c r="N607" s="5" t="n">
        <v>0.4</v>
      </c>
    </row>
    <row r="608">
      <c r="A608" t="n">
        <v>607</v>
      </c>
      <c r="B608" t="n">
        <v>2014</v>
      </c>
      <c r="C608" t="inlineStr">
        <is>
          <t>Sophie Vivienne Ma</t>
        </is>
      </c>
      <c r="D608">
        <f>HYPERLINK("https://ota.tournamentsoftware.com/player-profile/5BFCC3E7-799D-4957-B35C-26164F771CAB", "Link")</f>
        <v/>
      </c>
      <c r="E608" s="3" t="n">
        <v>43.381</v>
      </c>
      <c r="F608" s="4" t="n">
        <v>8</v>
      </c>
      <c r="G608" t="inlineStr">
        <is>
          <t>Ontario Tennis Association</t>
        </is>
      </c>
      <c r="H608" t="inlineStr">
        <is>
          <t>NYTA Winter Tennis Club</t>
        </is>
      </c>
      <c r="I608" t="n">
        <v>37.5</v>
      </c>
      <c r="J608" s="4" t="n">
        <v>58</v>
      </c>
      <c r="K608" t="inlineStr">
        <is>
          <t>20 / 38</t>
        </is>
      </c>
      <c r="L608" t="inlineStr">
        <is>
          <t>5 / 11</t>
        </is>
      </c>
      <c r="M608" s="5" t="n">
        <v>0.34</v>
      </c>
      <c r="N608" s="5" t="n">
        <v>0.31</v>
      </c>
    </row>
    <row r="609">
      <c r="A609" t="n">
        <v>608</v>
      </c>
      <c r="B609" t="n">
        <v>2013</v>
      </c>
      <c r="C609" t="inlineStr">
        <is>
          <t>Emma Isabella Lamacchia</t>
        </is>
      </c>
      <c r="D609">
        <f>HYPERLINK("https://ota.tournamentsoftware.com/player-profile/13408327-82EC-4D4E-B3D1-9FA084C53782", "Link")</f>
        <v/>
      </c>
      <c r="E609" s="3" t="n">
        <v>43.33</v>
      </c>
      <c r="F609" s="4" t="n">
        <v>3</v>
      </c>
      <c r="G609" t="inlineStr">
        <is>
          <t>Ontario Tennis Association</t>
        </is>
      </c>
      <c r="H609" t="inlineStr">
        <is>
          <t>Advantage Tennis International at Veneto</t>
        </is>
      </c>
      <c r="I609" t="n">
        <v>39.9</v>
      </c>
      <c r="J609" s="4" t="n">
        <v>19</v>
      </c>
      <c r="K609" t="inlineStr">
        <is>
          <t>2 / 17</t>
        </is>
      </c>
      <c r="L609" t="inlineStr">
        <is>
          <t>2 / 17</t>
        </is>
      </c>
      <c r="M609" s="5" t="n">
        <v>0.11</v>
      </c>
      <c r="N609" s="5" t="n">
        <v>0.11</v>
      </c>
    </row>
    <row r="610">
      <c r="A610" t="n">
        <v>609</v>
      </c>
      <c r="B610" t="n">
        <v>2012</v>
      </c>
      <c r="C610" t="inlineStr">
        <is>
          <t>Valeria Taborda - Valverde</t>
        </is>
      </c>
      <c r="D610">
        <f>HYPERLINK("https://ota.tournamentsoftware.com/player-profile/E0201B38-AEE1-4BAC-B0FB-FA389A1FFEA8", "Link")</f>
        <v/>
      </c>
      <c r="E610" s="3" t="n">
        <v>43.272</v>
      </c>
      <c r="F610" s="4" t="n">
        <v>2</v>
      </c>
      <c r="G610" t="inlineStr">
        <is>
          <t>Ontario Tennis Association</t>
        </is>
      </c>
      <c r="H610" t="inlineStr">
        <is>
          <t>Port Hope Racquet Club</t>
        </is>
      </c>
      <c r="I610" t="inlineStr">
        <is>
          <t>unavailable</t>
        </is>
      </c>
      <c r="J610" s="4" t="n">
        <v>35</v>
      </c>
      <c r="K610" t="inlineStr">
        <is>
          <t>13 / 22</t>
        </is>
      </c>
      <c r="L610" t="inlineStr">
        <is>
          <t>1 / 1</t>
        </is>
      </c>
      <c r="M610" s="5" t="n">
        <v>0.37</v>
      </c>
      <c r="N610" s="5" t="n">
        <v>0.5</v>
      </c>
    </row>
    <row r="611">
      <c r="A611" t="n">
        <v>610</v>
      </c>
      <c r="B611" t="n">
        <v>2015</v>
      </c>
      <c r="C611" t="inlineStr">
        <is>
          <t>Charlotte Harvey</t>
        </is>
      </c>
      <c r="D611">
        <f>HYPERLINK("https://ota.tournamentsoftware.com/player-profile/222A5F1C-DAD0-4E2A-B035-6A15561C1E0A", "Link")</f>
        <v/>
      </c>
      <c r="E611" s="3" t="n">
        <v>43.248</v>
      </c>
      <c r="F611" s="4" t="n">
        <v>4</v>
      </c>
      <c r="G611" t="inlineStr">
        <is>
          <t>Tennis Québec</t>
        </is>
      </c>
      <c r="H611" t="inlineStr">
        <is>
          <t>Les Tennis de Rimouski (intérieur)</t>
        </is>
      </c>
      <c r="I611" t="n">
        <v>36.1</v>
      </c>
      <c r="J611" s="4" t="n">
        <v>14</v>
      </c>
      <c r="K611" t="inlineStr">
        <is>
          <t>8 / 6</t>
        </is>
      </c>
      <c r="L611" t="inlineStr">
        <is>
          <t>6 / 5</t>
        </is>
      </c>
      <c r="M611" s="5" t="n">
        <v>0.57</v>
      </c>
      <c r="N611" s="5" t="n">
        <v>0.55</v>
      </c>
    </row>
    <row r="612">
      <c r="A612" t="n">
        <v>611</v>
      </c>
      <c r="B612" t="n">
        <v>2012</v>
      </c>
      <c r="C612" t="inlineStr">
        <is>
          <t>Aurélie Houde</t>
        </is>
      </c>
      <c r="D612">
        <f>HYPERLINK("https://ota.tournamentsoftware.com/player-profile/F697AB49-11E9-42EF-B0E6-5DF0E77AF99C", "Link")</f>
        <v/>
      </c>
      <c r="E612" s="3" t="n">
        <v>43.226</v>
      </c>
      <c r="F612" s="4" t="n">
        <v>5</v>
      </c>
      <c r="G612" t="inlineStr">
        <is>
          <t>Tennis Québec</t>
        </is>
      </c>
      <c r="H612" t="inlineStr">
        <is>
          <t>Association de tennis de Drummondville</t>
        </is>
      </c>
      <c r="I612" t="n">
        <v>39.7</v>
      </c>
      <c r="J612" s="4" t="n">
        <v>22</v>
      </c>
      <c r="K612" t="inlineStr">
        <is>
          <t>1 / 21</t>
        </is>
      </c>
      <c r="L612" t="inlineStr">
        <is>
          <t>0 / 3</t>
        </is>
      </c>
      <c r="M612" s="5" t="n">
        <v>0.05</v>
      </c>
      <c r="N612" s="5" t="n">
        <v>0</v>
      </c>
    </row>
    <row r="613">
      <c r="A613" t="n">
        <v>612</v>
      </c>
      <c r="B613" t="n">
        <v>2013</v>
      </c>
      <c r="C613" t="inlineStr">
        <is>
          <t>Anika Surtani</t>
        </is>
      </c>
      <c r="D613">
        <f>HYPERLINK("https://ota.tournamentsoftware.com/player-profile/8434E356-BD3E-4FDA-9513-46F335FD471C", "Link")</f>
        <v/>
      </c>
      <c r="E613" s="3" t="n">
        <v>42.618</v>
      </c>
      <c r="F613" s="4" t="n">
        <v>6</v>
      </c>
      <c r="G613" t="inlineStr">
        <is>
          <t>Ontario Tennis Association</t>
        </is>
      </c>
      <c r="H613" t="inlineStr">
        <is>
          <t>Boulevard Club</t>
        </is>
      </c>
      <c r="I613" t="inlineStr">
        <is>
          <t>unavailable</t>
        </is>
      </c>
      <c r="J613" s="4" t="n">
        <v>18</v>
      </c>
      <c r="K613" t="inlineStr">
        <is>
          <t>4 / 14</t>
        </is>
      </c>
      <c r="L613" t="inlineStr">
        <is>
          <t>2 / 6</t>
        </is>
      </c>
      <c r="M613" s="5" t="n">
        <v>0.22</v>
      </c>
      <c r="N613" s="5" t="n">
        <v>0.25</v>
      </c>
    </row>
    <row r="614">
      <c r="A614" t="n">
        <v>613</v>
      </c>
      <c r="B614" t="n">
        <v>2014</v>
      </c>
      <c r="C614" t="inlineStr">
        <is>
          <t>Ann-Mayelle Veillard</t>
        </is>
      </c>
      <c r="D614">
        <f>HYPERLINK("https://ota.tournamentsoftware.com/player-profile/C734CB2A-2E7E-46C5-B1F0-69D754EF8527", "Link")</f>
        <v/>
      </c>
      <c r="E614" s="3" t="n">
        <v>42.328</v>
      </c>
      <c r="F614" s="4" t="n">
        <v>11</v>
      </c>
      <c r="G614" t="inlineStr">
        <is>
          <t>Tennis Québec</t>
        </is>
      </c>
      <c r="H614" t="inlineStr">
        <is>
          <t>No Club</t>
        </is>
      </c>
      <c r="I614" t="inlineStr">
        <is>
          <t>unavailable</t>
        </is>
      </c>
      <c r="J614" s="4" t="n">
        <v>22</v>
      </c>
      <c r="K614" t="inlineStr">
        <is>
          <t>10 / 12</t>
        </is>
      </c>
      <c r="L614" t="inlineStr">
        <is>
          <t>10 / 12</t>
        </is>
      </c>
      <c r="M614" s="5" t="n">
        <v>0.45</v>
      </c>
      <c r="N614" s="5" t="n">
        <v>0.45</v>
      </c>
    </row>
    <row r="615">
      <c r="A615" t="n">
        <v>614</v>
      </c>
      <c r="B615" t="n">
        <v>2012</v>
      </c>
      <c r="C615" t="inlineStr">
        <is>
          <t>Mackenzie Quek</t>
        </is>
      </c>
      <c r="D615">
        <f>HYPERLINK("https://ota.tournamentsoftware.com/player-profile/51407A91-7051-4BC3-B583-F0DC1E06E113", "Link")</f>
        <v/>
      </c>
      <c r="E615" s="3" t="n">
        <v>42.274</v>
      </c>
      <c r="F615" s="4" t="n">
        <v>4</v>
      </c>
      <c r="G615" t="inlineStr">
        <is>
          <t>Ontario Tennis Association</t>
        </is>
      </c>
      <c r="H615" t="inlineStr">
        <is>
          <t>Concord Tennis Academy</t>
        </is>
      </c>
      <c r="I615" t="inlineStr">
        <is>
          <t>unavailable</t>
        </is>
      </c>
      <c r="J615" s="4" t="n">
        <v>13</v>
      </c>
      <c r="K615" t="inlineStr">
        <is>
          <t>3 / 10</t>
        </is>
      </c>
      <c r="L615" t="inlineStr">
        <is>
          <t>3 / 10</t>
        </is>
      </c>
      <c r="M615" s="5" t="n">
        <v>0.23</v>
      </c>
      <c r="N615" s="5" t="n">
        <v>0.23</v>
      </c>
    </row>
    <row r="616">
      <c r="A616" t="n">
        <v>615</v>
      </c>
      <c r="B616" t="n">
        <v>2015</v>
      </c>
      <c r="C616" t="inlineStr">
        <is>
          <t>Mia Kojic</t>
        </is>
      </c>
      <c r="D616">
        <f>HYPERLINK("https://ota.tournamentsoftware.com/player-profile/1573DFB3-8189-4CE9-AAAC-9ADF1738AD9C", "Link")</f>
        <v/>
      </c>
      <c r="E616" s="3" t="n">
        <v>41.917</v>
      </c>
      <c r="F616" s="4" t="n">
        <v>8</v>
      </c>
      <c r="G616" t="inlineStr">
        <is>
          <t>Ontario Tennis Association</t>
        </is>
      </c>
      <c r="H616" t="inlineStr">
        <is>
          <t>Ontario Racquet Club</t>
        </is>
      </c>
      <c r="I616" t="n">
        <v>36.7</v>
      </c>
      <c r="J616" s="4" t="n">
        <v>95</v>
      </c>
      <c r="K616" t="inlineStr">
        <is>
          <t>41 / 54</t>
        </is>
      </c>
      <c r="L616" t="inlineStr">
        <is>
          <t>5 / 9</t>
        </is>
      </c>
      <c r="M616" s="5" t="n">
        <v>0.43</v>
      </c>
      <c r="N616" s="5" t="n">
        <v>0.36</v>
      </c>
    </row>
    <row r="617">
      <c r="A617" t="n">
        <v>616</v>
      </c>
      <c r="B617" t="n">
        <v>2014</v>
      </c>
      <c r="C617" t="inlineStr">
        <is>
          <t>Chloe Leblond</t>
        </is>
      </c>
      <c r="D617">
        <f>HYPERLINK("https://ota.tournamentsoftware.com/player-profile/B25C8E1B-DD5B-45CB-A94E-27B9E436CCF5", "Link")</f>
        <v/>
      </c>
      <c r="E617" s="3" t="n">
        <v>41.903</v>
      </c>
      <c r="F617" s="4" t="n">
        <v>5</v>
      </c>
      <c r="G617" t="inlineStr">
        <is>
          <t>Ontario Tennis Association</t>
        </is>
      </c>
      <c r="H617" t="inlineStr">
        <is>
          <t>Tam Heather Tennis Club</t>
        </is>
      </c>
      <c r="I617" t="inlineStr">
        <is>
          <t>unavailable</t>
        </is>
      </c>
      <c r="J617" s="4" t="n">
        <v>59</v>
      </c>
      <c r="K617" t="inlineStr">
        <is>
          <t>31 / 28</t>
        </is>
      </c>
      <c r="L617" t="inlineStr">
        <is>
          <t>6 / 4</t>
        </is>
      </c>
      <c r="M617" s="5" t="n">
        <v>0.53</v>
      </c>
      <c r="N617" s="5" t="n">
        <v>0.6</v>
      </c>
    </row>
    <row r="618">
      <c r="A618" t="n">
        <v>617</v>
      </c>
      <c r="B618" t="n">
        <v>2014</v>
      </c>
      <c r="C618" t="inlineStr">
        <is>
          <t>Melina Ioannidis</t>
        </is>
      </c>
      <c r="D618">
        <f>HYPERLINK("https://ota.tournamentsoftware.com/player-profile/7105A5E6-611D-4531-9016-F7FBEE3F6368", "Link")</f>
        <v/>
      </c>
      <c r="E618" s="3" t="n">
        <v>41.56</v>
      </c>
      <c r="F618" s="4" t="n">
        <v>6</v>
      </c>
      <c r="G618" t="inlineStr">
        <is>
          <t>Ontario Tennis Association</t>
        </is>
      </c>
      <c r="H618" t="inlineStr">
        <is>
          <t>Aurora Community Tennis Club</t>
        </is>
      </c>
      <c r="I618" t="n">
        <v>37</v>
      </c>
      <c r="J618" s="4" t="n">
        <v>61</v>
      </c>
      <c r="K618" t="inlineStr">
        <is>
          <t>34 / 27</t>
        </is>
      </c>
      <c r="L618" t="inlineStr">
        <is>
          <t>4 / 5</t>
        </is>
      </c>
      <c r="M618" s="5" t="n">
        <v>0.5600000000000001</v>
      </c>
      <c r="N618" s="5" t="n">
        <v>0.44</v>
      </c>
    </row>
    <row r="619">
      <c r="A619" t="n">
        <v>618</v>
      </c>
      <c r="B619" t="n">
        <v>2017</v>
      </c>
      <c r="C619" t="inlineStr">
        <is>
          <t>Aria Bloom</t>
        </is>
      </c>
      <c r="D619">
        <f>HYPERLINK("https://ota.tournamentsoftware.com/player-profile/7C30BE00-7F15-42B9-BA96-B3B2895898A0", "Link")</f>
        <v/>
      </c>
      <c r="E619" s="3" t="n">
        <v>41.346</v>
      </c>
      <c r="F619" s="4" t="n">
        <v>8</v>
      </c>
      <c r="G619" t="inlineStr">
        <is>
          <t>Tennis Alberta</t>
        </is>
      </c>
      <c r="H619" t="inlineStr">
        <is>
          <t>Osten &amp; Victor Alberta Tennis Centre</t>
        </is>
      </c>
      <c r="I619" t="n">
        <v>33.5</v>
      </c>
      <c r="J619" s="4" t="n">
        <v>123</v>
      </c>
      <c r="K619" t="inlineStr">
        <is>
          <t>94 / 29</t>
        </is>
      </c>
      <c r="L619" t="inlineStr">
        <is>
          <t>40 / 6</t>
        </is>
      </c>
      <c r="M619" s="5" t="n">
        <v>0.76</v>
      </c>
      <c r="N619" s="5" t="n">
        <v>0.87</v>
      </c>
    </row>
    <row r="620">
      <c r="A620" t="n">
        <v>619</v>
      </c>
      <c r="B620" t="n">
        <v>2015</v>
      </c>
      <c r="C620" t="inlineStr">
        <is>
          <t>Juliette Tremblay</t>
        </is>
      </c>
      <c r="D620">
        <f>HYPERLINK("https://ota.tournamentsoftware.com/player-profile/94E82DA2-01EF-471F-BB0F-8CEAA1C42076", "Link")</f>
        <v/>
      </c>
      <c r="E620" s="3" t="n">
        <v>41.328</v>
      </c>
      <c r="F620" s="4" t="n">
        <v>9</v>
      </c>
      <c r="G620" t="inlineStr">
        <is>
          <t>Tennis Québec</t>
        </is>
      </c>
      <c r="H620" t="inlineStr">
        <is>
          <t>Tennis Outaouais Performance (TOP)</t>
        </is>
      </c>
      <c r="I620" t="n">
        <v>37.6</v>
      </c>
      <c r="J620" s="4" t="n">
        <v>52</v>
      </c>
      <c r="K620" t="inlineStr">
        <is>
          <t>16 / 36</t>
        </is>
      </c>
      <c r="L620" t="inlineStr">
        <is>
          <t>5 / 11</t>
        </is>
      </c>
      <c r="M620" s="5" t="n">
        <v>0.31</v>
      </c>
      <c r="N620" s="5" t="n">
        <v>0.31</v>
      </c>
    </row>
    <row r="621">
      <c r="A621" t="n">
        <v>620</v>
      </c>
      <c r="B621" t="n">
        <v>2014</v>
      </c>
      <c r="C621" t="inlineStr">
        <is>
          <t>Alena Sui</t>
        </is>
      </c>
      <c r="D621">
        <f>HYPERLINK("https://ota.tournamentsoftware.com/player-profile/92B690E9-D6C6-410C-A457-5AC3927E933A", "Link")</f>
        <v/>
      </c>
      <c r="E621" s="3" t="n">
        <v>41.268</v>
      </c>
      <c r="F621" s="4" t="n">
        <v>11</v>
      </c>
      <c r="G621" t="inlineStr">
        <is>
          <t>British Columbia</t>
        </is>
      </c>
      <c r="H621" t="inlineStr">
        <is>
          <t>No Club</t>
        </is>
      </c>
      <c r="I621" t="n">
        <v>38.4</v>
      </c>
      <c r="J621" s="4" t="n">
        <v>77</v>
      </c>
      <c r="K621" t="inlineStr">
        <is>
          <t>35 / 42</t>
        </is>
      </c>
      <c r="L621" t="inlineStr">
        <is>
          <t>15 / 20</t>
        </is>
      </c>
      <c r="M621" s="5" t="n">
        <v>0.45</v>
      </c>
      <c r="N621" s="5" t="n">
        <v>0.43</v>
      </c>
    </row>
    <row r="622">
      <c r="A622" t="n">
        <v>621</v>
      </c>
      <c r="B622" t="n">
        <v>2015</v>
      </c>
      <c r="C622" t="inlineStr">
        <is>
          <t>Lillian Tooryani</t>
        </is>
      </c>
      <c r="D622">
        <f>HYPERLINK("https://ota.tournamentsoftware.com/player-profile/B149ED5D-E26B-4577-8AAB-620DB4A7A85F", "Link")</f>
        <v/>
      </c>
      <c r="E622" s="3" t="n">
        <v>41.04</v>
      </c>
      <c r="F622" s="4" t="n">
        <v>12</v>
      </c>
      <c r="G622" t="inlineStr">
        <is>
          <t>Ontario Tennis Association</t>
        </is>
      </c>
      <c r="H622" t="inlineStr">
        <is>
          <t>Mayfair West Fitness &amp; Racquet Club</t>
        </is>
      </c>
      <c r="I622" t="n">
        <v>37.5</v>
      </c>
      <c r="J622" s="4" t="n">
        <v>44</v>
      </c>
      <c r="K622" t="inlineStr">
        <is>
          <t>17 / 27</t>
        </is>
      </c>
      <c r="L622" t="inlineStr">
        <is>
          <t>14 / 14</t>
        </is>
      </c>
      <c r="M622" s="5" t="n">
        <v>0.39</v>
      </c>
      <c r="N622" s="5" t="n">
        <v>0.5</v>
      </c>
    </row>
    <row r="623">
      <c r="A623" t="n">
        <v>621</v>
      </c>
      <c r="B623" t="n">
        <v>2016</v>
      </c>
      <c r="C623" t="inlineStr">
        <is>
          <t>Kiara Krishnan</t>
        </is>
      </c>
      <c r="D623">
        <f>HYPERLINK("https://ota.tournamentsoftware.com/player-profile/50D3305E-63D5-4EFB-B53F-B64E463DE26E", "Link")</f>
        <v/>
      </c>
      <c r="E623" s="3" t="n">
        <v>41.04</v>
      </c>
      <c r="F623" s="4" t="n">
        <v>28</v>
      </c>
      <c r="G623" t="inlineStr">
        <is>
          <t>Ontario Tennis Association</t>
        </is>
      </c>
      <c r="H623" t="inlineStr">
        <is>
          <t>Toronto Tennis Academy</t>
        </is>
      </c>
      <c r="I623" t="n">
        <v>37.8</v>
      </c>
      <c r="J623" s="4" t="n">
        <v>247</v>
      </c>
      <c r="K623" t="inlineStr">
        <is>
          <t>98 / 149</t>
        </is>
      </c>
      <c r="L623" t="inlineStr">
        <is>
          <t>11 / 32</t>
        </is>
      </c>
      <c r="M623" s="5" t="n">
        <v>0.4</v>
      </c>
      <c r="N623" s="5" t="n">
        <v>0.26</v>
      </c>
    </row>
    <row r="624">
      <c r="A624" t="n">
        <v>623</v>
      </c>
      <c r="B624" t="n">
        <v>2016</v>
      </c>
      <c r="C624" t="inlineStr">
        <is>
          <t>Melinna Yu Nuo Yang</t>
        </is>
      </c>
      <c r="D624">
        <f>HYPERLINK("https://ota.tournamentsoftware.com/player-profile/6BCCA5B4-7059-414C-A06D-D2936B6A3CC2", "Link")</f>
        <v/>
      </c>
      <c r="E624" s="3" t="n">
        <v>40.8</v>
      </c>
      <c r="F624" s="4" t="n">
        <v>5</v>
      </c>
      <c r="G624" t="inlineStr">
        <is>
          <t>Tennis Québec</t>
        </is>
      </c>
      <c r="H624" t="inlineStr">
        <is>
          <t>Club Sportif Côte-de-Liesse</t>
        </is>
      </c>
      <c r="I624" t="inlineStr">
        <is>
          <t>unavailable</t>
        </is>
      </c>
      <c r="J624" s="4" t="n">
        <v>90</v>
      </c>
      <c r="K624" t="inlineStr">
        <is>
          <t>36 / 54</t>
        </is>
      </c>
      <c r="L624" t="inlineStr">
        <is>
          <t>15 / 12</t>
        </is>
      </c>
      <c r="M624" s="5" t="n">
        <v>0.4</v>
      </c>
      <c r="N624" s="5" t="n">
        <v>0.5600000000000001</v>
      </c>
    </row>
    <row r="625">
      <c r="A625" t="n">
        <v>624</v>
      </c>
      <c r="B625" t="n">
        <v>2015</v>
      </c>
      <c r="C625" t="inlineStr">
        <is>
          <t>ALICE Wan yee Wong</t>
        </is>
      </c>
      <c r="D625">
        <f>HYPERLINK("https://ota.tournamentsoftware.com/player-profile/1B8AB01B-692B-4E5E-B513-A24155329374", "Link")</f>
        <v/>
      </c>
      <c r="E625" s="3" t="n">
        <v>40.564</v>
      </c>
      <c r="F625" s="4" t="n">
        <v>12</v>
      </c>
      <c r="G625" t="inlineStr">
        <is>
          <t>British Columbia</t>
        </is>
      </c>
      <c r="H625" t="inlineStr">
        <is>
          <t>The Tennis Centre</t>
        </is>
      </c>
      <c r="I625" t="n">
        <v>35</v>
      </c>
      <c r="J625" s="4" t="n">
        <v>118</v>
      </c>
      <c r="K625" t="inlineStr">
        <is>
          <t>56 / 62</t>
        </is>
      </c>
      <c r="L625" t="inlineStr">
        <is>
          <t>16 / 13</t>
        </is>
      </c>
      <c r="M625" s="5" t="n">
        <v>0.47</v>
      </c>
      <c r="N625" s="5" t="n">
        <v>0.55</v>
      </c>
    </row>
    <row r="626">
      <c r="A626" t="n">
        <v>625</v>
      </c>
      <c r="B626" t="n">
        <v>2015</v>
      </c>
      <c r="C626" t="inlineStr">
        <is>
          <t>Mila Anglade</t>
        </is>
      </c>
      <c r="D626">
        <f>HYPERLINK("https://ota.tournamentsoftware.com/player-profile/05635752-0D80-4827-BA70-1CECB2BE0528", "Link")</f>
        <v/>
      </c>
      <c r="E626" s="3" t="n">
        <v>40.12</v>
      </c>
      <c r="F626" s="4" t="n">
        <v>5</v>
      </c>
      <c r="G626" t="inlineStr">
        <is>
          <t>Tennis Québec</t>
        </is>
      </c>
      <c r="H626" t="inlineStr">
        <is>
          <t>Carrefour Multisports</t>
        </is>
      </c>
      <c r="I626" t="inlineStr">
        <is>
          <t>unavailable</t>
        </is>
      </c>
      <c r="J626" s="4" t="n">
        <v>64</v>
      </c>
      <c r="K626" t="inlineStr">
        <is>
          <t>39 / 25</t>
        </is>
      </c>
      <c r="L626" t="inlineStr">
        <is>
          <t>8 / 2</t>
        </is>
      </c>
      <c r="M626" s="5" t="n">
        <v>0.61</v>
      </c>
      <c r="N626" s="5" t="n">
        <v>0.8</v>
      </c>
    </row>
    <row r="627">
      <c r="A627" t="n">
        <v>626</v>
      </c>
      <c r="B627" t="n">
        <v>2014</v>
      </c>
      <c r="C627" t="inlineStr">
        <is>
          <t>Laura Gyori</t>
        </is>
      </c>
      <c r="D627">
        <f>HYPERLINK("https://ota.tournamentsoftware.com/player-profile/5A55107A-8C3C-4255-8453-79017D4120E3", "Link")</f>
        <v/>
      </c>
      <c r="E627" s="3" t="n">
        <v>39.952</v>
      </c>
      <c r="F627" s="4" t="n">
        <v>4</v>
      </c>
      <c r="G627" t="inlineStr">
        <is>
          <t>Ontario Tennis Association</t>
        </is>
      </c>
      <c r="H627" t="inlineStr">
        <is>
          <t>Rideau Sports Centre</t>
        </is>
      </c>
      <c r="I627" t="inlineStr">
        <is>
          <t>unavailable</t>
        </is>
      </c>
      <c r="J627" s="4" t="n">
        <v>17</v>
      </c>
      <c r="K627" t="inlineStr">
        <is>
          <t>6 / 11</t>
        </is>
      </c>
      <c r="L627" t="inlineStr">
        <is>
          <t>2 / 4</t>
        </is>
      </c>
      <c r="M627" s="5" t="n">
        <v>0.35</v>
      </c>
      <c r="N627" s="5" t="n">
        <v>0.33</v>
      </c>
    </row>
    <row r="628">
      <c r="A628" t="n">
        <v>627</v>
      </c>
      <c r="B628" t="n">
        <v>2014</v>
      </c>
      <c r="C628" t="inlineStr">
        <is>
          <t>Juliette Viel</t>
        </is>
      </c>
      <c r="D628">
        <f>HYPERLINK("https://ota.tournamentsoftware.com/player-profile/3C42B108-2BA4-41D7-8AE2-19A52170601F", "Link")</f>
        <v/>
      </c>
      <c r="E628" s="3" t="n">
        <v>38.555</v>
      </c>
      <c r="F628" s="4" t="n">
        <v>3</v>
      </c>
      <c r="G628" t="inlineStr">
        <is>
          <t>Tennis Québec</t>
        </is>
      </c>
      <c r="H628" t="inlineStr">
        <is>
          <t>Club de tennis de Rivière-du-Loup</t>
        </is>
      </c>
      <c r="I628" t="n">
        <v>33.7</v>
      </c>
      <c r="J628" s="4" t="n">
        <v>23</v>
      </c>
      <c r="K628" t="inlineStr">
        <is>
          <t>11 / 12</t>
        </is>
      </c>
      <c r="L628" t="inlineStr">
        <is>
          <t>4 / 2</t>
        </is>
      </c>
      <c r="M628" s="5" t="n">
        <v>0.48</v>
      </c>
      <c r="N628" s="5" t="n">
        <v>0.67</v>
      </c>
    </row>
    <row r="629">
      <c r="A629" t="n">
        <v>628</v>
      </c>
      <c r="B629" t="n">
        <v>2013</v>
      </c>
      <c r="C629" t="inlineStr">
        <is>
          <t>Yu Nohara</t>
        </is>
      </c>
      <c r="D629">
        <f>HYPERLINK("https://ota.tournamentsoftware.com/player-profile/4AB57DE3-C832-4B9F-8F8F-AECBF5EE5A81", "Link")</f>
        <v/>
      </c>
      <c r="E629" s="3" t="n">
        <v>38.216</v>
      </c>
      <c r="F629" s="4" t="n">
        <v>4</v>
      </c>
      <c r="G629" t="inlineStr">
        <is>
          <t>British Columbia</t>
        </is>
      </c>
      <c r="H629" t="inlineStr">
        <is>
          <t>Tennis for Life</t>
        </is>
      </c>
      <c r="I629" t="n">
        <v>37.6</v>
      </c>
      <c r="J629" s="4" t="n">
        <v>20</v>
      </c>
      <c r="K629" t="inlineStr">
        <is>
          <t>9 / 11</t>
        </is>
      </c>
      <c r="L629" t="inlineStr">
        <is>
          <t>1 / 3</t>
        </is>
      </c>
      <c r="M629" s="5" t="n">
        <v>0.45</v>
      </c>
      <c r="N629" s="5" t="n">
        <v>0.25</v>
      </c>
    </row>
    <row r="630">
      <c r="A630" t="n">
        <v>629</v>
      </c>
      <c r="B630" t="n">
        <v>2013</v>
      </c>
      <c r="C630" t="inlineStr">
        <is>
          <t>Alexa Ardeleanu</t>
        </is>
      </c>
      <c r="D630">
        <f>HYPERLINK("https://ota.tournamentsoftware.com/player-profile/109D0444-3430-4CBD-A2CA-522592228926", "Link")</f>
        <v/>
      </c>
      <c r="E630" s="3" t="n">
        <v>37.397</v>
      </c>
      <c r="F630" s="4" t="n">
        <v>3</v>
      </c>
      <c r="G630" t="inlineStr">
        <is>
          <t>Ontario Tennis Association</t>
        </is>
      </c>
      <c r="H630" t="inlineStr">
        <is>
          <t>No Club</t>
        </is>
      </c>
      <c r="I630" t="n">
        <v>37.8</v>
      </c>
      <c r="J630" s="4" t="n">
        <v>5</v>
      </c>
      <c r="K630" t="inlineStr">
        <is>
          <t>1 / 4</t>
        </is>
      </c>
      <c r="L630" t="inlineStr">
        <is>
          <t>1 / 4</t>
        </is>
      </c>
      <c r="M630" s="5" t="n">
        <v>0.2</v>
      </c>
      <c r="N630" s="5" t="n">
        <v>0.2</v>
      </c>
    </row>
    <row r="631">
      <c r="A631" t="n">
        <v>630</v>
      </c>
      <c r="B631" t="n">
        <v>2015</v>
      </c>
      <c r="C631" t="inlineStr">
        <is>
          <t>Sloane Burdick</t>
        </is>
      </c>
      <c r="D631">
        <f>HYPERLINK("https://ota.tournamentsoftware.com/player-profile/B4ED1890-6E53-4FCC-9711-828BDD90CD1F", "Link")</f>
        <v/>
      </c>
      <c r="E631" s="3" t="n">
        <v>36.168</v>
      </c>
      <c r="F631" s="4" t="n">
        <v>8</v>
      </c>
      <c r="G631" t="inlineStr">
        <is>
          <t>British Columbia</t>
        </is>
      </c>
      <c r="H631" t="inlineStr">
        <is>
          <t>Vanguard Tennis Academy</t>
        </is>
      </c>
      <c r="I631" t="n">
        <v>36.8</v>
      </c>
      <c r="J631" s="4" t="n">
        <v>71</v>
      </c>
      <c r="K631" t="inlineStr">
        <is>
          <t>35 / 36</t>
        </is>
      </c>
      <c r="L631" t="inlineStr">
        <is>
          <t>8 / 9</t>
        </is>
      </c>
      <c r="M631" s="5" t="n">
        <v>0.49</v>
      </c>
      <c r="N631" s="5" t="n">
        <v>0.47</v>
      </c>
    </row>
    <row r="632">
      <c r="A632" t="n">
        <v>631</v>
      </c>
      <c r="B632" t="n">
        <v>2014</v>
      </c>
      <c r="C632" t="inlineStr">
        <is>
          <t>Mila Phoebe Madrid</t>
        </is>
      </c>
      <c r="D632">
        <f>HYPERLINK("https://ota.tournamentsoftware.com/player-profile/3994748B-2ED2-4F57-8907-B1AE9B874F9B", "Link")</f>
        <v/>
      </c>
      <c r="E632" s="3" t="n">
        <v>35.857</v>
      </c>
      <c r="F632" s="4" t="n">
        <v>4</v>
      </c>
      <c r="G632" t="inlineStr">
        <is>
          <t>Ontario Tennis Association</t>
        </is>
      </c>
      <c r="H632" t="inlineStr">
        <is>
          <t>Newmarket Winter Tennis Club</t>
        </is>
      </c>
      <c r="I632" t="n">
        <v>37.4</v>
      </c>
      <c r="J632" s="4" t="n">
        <v>49</v>
      </c>
      <c r="K632" t="inlineStr">
        <is>
          <t>18 / 31</t>
        </is>
      </c>
      <c r="L632" t="inlineStr">
        <is>
          <t>11 / 5</t>
        </is>
      </c>
      <c r="M632" s="5" t="n">
        <v>0.37</v>
      </c>
      <c r="N632" s="5" t="n">
        <v>0.6899999999999999</v>
      </c>
    </row>
    <row r="633">
      <c r="A633" t="n">
        <v>632</v>
      </c>
      <c r="B633" t="n">
        <v>2013</v>
      </c>
      <c r="C633" t="inlineStr">
        <is>
          <t>Mariya Fedchyshyna</t>
        </is>
      </c>
      <c r="D633">
        <f>HYPERLINK("https://ota.tournamentsoftware.com/player-profile/5A64317A-A412-4DEB-A68D-94CE45EAE2DD", "Link")</f>
        <v/>
      </c>
      <c r="E633" s="3" t="n">
        <v>35.767</v>
      </c>
      <c r="F633" s="4" t="n">
        <v>3</v>
      </c>
      <c r="G633" t="inlineStr">
        <is>
          <t>British Columbia</t>
        </is>
      </c>
      <c r="H633" t="inlineStr">
        <is>
          <t>Oak Bay Recreation Centre</t>
        </is>
      </c>
      <c r="I633" t="inlineStr">
        <is>
          <t>unavailable</t>
        </is>
      </c>
      <c r="J633" s="4" t="n">
        <v>9</v>
      </c>
      <c r="K633" t="inlineStr">
        <is>
          <t>1 / 8</t>
        </is>
      </c>
      <c r="L633" t="inlineStr">
        <is>
          <t>1 / 6</t>
        </is>
      </c>
      <c r="M633" s="5" t="n">
        <v>0.11</v>
      </c>
      <c r="N633" s="5" t="n">
        <v>0.14</v>
      </c>
    </row>
    <row r="634">
      <c r="A634" t="n">
        <v>633</v>
      </c>
      <c r="B634" t="n">
        <v>2015</v>
      </c>
      <c r="C634" t="inlineStr">
        <is>
          <t>Allegra Gill</t>
        </is>
      </c>
      <c r="D634">
        <f>HYPERLINK("https://ota.tournamentsoftware.com/player-profile/74E5B02E-036C-4D6F-B122-5C8FEF79A927", "Link")</f>
        <v/>
      </c>
      <c r="E634" s="3" t="n">
        <v>35.726</v>
      </c>
      <c r="F634" s="4" t="n">
        <v>5</v>
      </c>
      <c r="G634" t="inlineStr">
        <is>
          <t>Ontario Tennis Association</t>
        </is>
      </c>
      <c r="H634" t="inlineStr">
        <is>
          <t>Zekelman Tennis Centre</t>
        </is>
      </c>
      <c r="I634" t="n">
        <v>39.9</v>
      </c>
      <c r="J634" s="4" t="n">
        <v>98</v>
      </c>
      <c r="K634" t="inlineStr">
        <is>
          <t>18 / 80</t>
        </is>
      </c>
      <c r="L634" t="inlineStr">
        <is>
          <t>11 / 18</t>
        </is>
      </c>
      <c r="M634" s="5" t="n">
        <v>0.18</v>
      </c>
      <c r="N634" s="5" t="n">
        <v>0.38</v>
      </c>
    </row>
    <row r="635">
      <c r="A635" t="n">
        <v>634</v>
      </c>
      <c r="B635" t="n">
        <v>2015</v>
      </c>
      <c r="C635" t="inlineStr">
        <is>
          <t>Victoria Guo</t>
        </is>
      </c>
      <c r="D635">
        <f>HYPERLINK("https://ota.tournamentsoftware.com/player-profile/54FA7561-0327-4A42-A5FE-A5519116069C", "Link")</f>
        <v/>
      </c>
      <c r="E635" s="3" t="n">
        <v>35.632</v>
      </c>
      <c r="F635" s="4" t="n">
        <v>4</v>
      </c>
      <c r="G635" t="inlineStr">
        <is>
          <t>Ontario Tennis Association</t>
        </is>
      </c>
      <c r="H635" t="inlineStr">
        <is>
          <t>Craig Henry</t>
        </is>
      </c>
      <c r="I635" t="n">
        <v>39.3</v>
      </c>
      <c r="J635" s="4" t="n">
        <v>27</v>
      </c>
      <c r="K635" t="inlineStr">
        <is>
          <t>10 / 17</t>
        </is>
      </c>
      <c r="L635" t="inlineStr">
        <is>
          <t>1 / 4</t>
        </is>
      </c>
      <c r="M635" s="5" t="n">
        <v>0.37</v>
      </c>
      <c r="N635" s="5" t="n">
        <v>0.2</v>
      </c>
    </row>
    <row r="636">
      <c r="A636" t="n">
        <v>635</v>
      </c>
      <c r="B636" t="n">
        <v>2013</v>
      </c>
      <c r="C636" t="inlineStr">
        <is>
          <t>Mehak Garg</t>
        </is>
      </c>
      <c r="D636">
        <f>HYPERLINK("https://ota.tournamentsoftware.com/player-profile/2FA47597-FC2B-4F26-80C4-912C2FC70064", "Link")</f>
        <v/>
      </c>
      <c r="E636" s="3" t="n">
        <v>35.51</v>
      </c>
      <c r="F636" s="4" t="n">
        <v>1</v>
      </c>
      <c r="G636" t="inlineStr">
        <is>
          <t>Tennis Saskatchewan</t>
        </is>
      </c>
      <c r="H636" t="inlineStr">
        <is>
          <t>Lakewood Indoor Tennis Centre</t>
        </is>
      </c>
      <c r="I636" t="n">
        <v>35.1</v>
      </c>
      <c r="J636" s="4" t="n">
        <v>13</v>
      </c>
      <c r="K636" t="inlineStr">
        <is>
          <t>5 / 8</t>
        </is>
      </c>
      <c r="L636" t="inlineStr">
        <is>
          <t>5 / 8</t>
        </is>
      </c>
      <c r="M636" s="5" t="n">
        <v>0.38</v>
      </c>
      <c r="N636" s="5" t="n">
        <v>0.38</v>
      </c>
    </row>
    <row r="637">
      <c r="A637" t="n">
        <v>636</v>
      </c>
      <c r="B637" t="n">
        <v>2014</v>
      </c>
      <c r="C637" t="inlineStr">
        <is>
          <t>Violette Hébert</t>
        </is>
      </c>
      <c r="D637">
        <f>HYPERLINK("https://ota.tournamentsoftware.com/player-profile/53615BF8-C3DB-4C99-8745-F5A7E4DC7C2E", "Link")</f>
        <v/>
      </c>
      <c r="E637" s="3" t="n">
        <v>35.466</v>
      </c>
      <c r="F637" s="4" t="n">
        <v>10</v>
      </c>
      <c r="G637" t="inlineStr">
        <is>
          <t>Tennis Québec</t>
        </is>
      </c>
      <c r="H637" t="inlineStr">
        <is>
          <t>EB Tennis inc.</t>
        </is>
      </c>
      <c r="I637" t="n">
        <v>39.2</v>
      </c>
      <c r="J637" s="4" t="n">
        <v>49</v>
      </c>
      <c r="K637" t="inlineStr">
        <is>
          <t>14 / 35</t>
        </is>
      </c>
      <c r="L637" t="inlineStr">
        <is>
          <t>4 / 13</t>
        </is>
      </c>
      <c r="M637" s="5" t="n">
        <v>0.29</v>
      </c>
      <c r="N637" s="5" t="n">
        <v>0.24</v>
      </c>
    </row>
    <row r="638">
      <c r="A638" t="n">
        <v>637</v>
      </c>
      <c r="B638" t="n">
        <v>2016</v>
      </c>
      <c r="C638" t="inlineStr">
        <is>
          <t>Stella Somerville</t>
        </is>
      </c>
      <c r="D638">
        <f>HYPERLINK("https://ota.tournamentsoftware.com/player-profile/87C92774-21A4-4A46-97F9-D656FA91A212", "Link")</f>
        <v/>
      </c>
      <c r="E638" s="3" t="n">
        <v>35.28</v>
      </c>
      <c r="F638" s="4" t="n">
        <v>6</v>
      </c>
      <c r="G638" t="inlineStr">
        <is>
          <t>Ontario Tennis Association</t>
        </is>
      </c>
      <c r="H638" t="inlineStr">
        <is>
          <t>Advantage Tennis International at Veneto</t>
        </is>
      </c>
      <c r="I638" t="n">
        <v>37</v>
      </c>
      <c r="J638" s="4" t="n">
        <v>87</v>
      </c>
      <c r="K638" t="inlineStr">
        <is>
          <t>40 / 47</t>
        </is>
      </c>
      <c r="L638" t="inlineStr">
        <is>
          <t>9 / 9</t>
        </is>
      </c>
      <c r="M638" s="5" t="n">
        <v>0.46</v>
      </c>
      <c r="N638" s="5" t="n">
        <v>0.5</v>
      </c>
    </row>
    <row r="639">
      <c r="A639" t="n">
        <v>638</v>
      </c>
      <c r="B639" t="n">
        <v>2013</v>
      </c>
      <c r="C639" t="inlineStr">
        <is>
          <t>Mathilda Adaline Manning</t>
        </is>
      </c>
      <c r="D639">
        <f>HYPERLINK("https://ota.tournamentsoftware.com/player-profile/68249616-27A6-4807-9978-802C0CDC784E", "Link")</f>
        <v/>
      </c>
      <c r="E639" s="3" t="n">
        <v>35</v>
      </c>
      <c r="F639" s="4" t="n">
        <v>4</v>
      </c>
      <c r="G639" t="inlineStr">
        <is>
          <t>Ontario Tennis Association</t>
        </is>
      </c>
      <c r="H639" t="inlineStr">
        <is>
          <t>Niagara Academy of Tennis</t>
        </is>
      </c>
      <c r="I639" t="n">
        <v>29.1</v>
      </c>
      <c r="J639" s="4" t="n">
        <v>12</v>
      </c>
      <c r="K639" t="inlineStr">
        <is>
          <t>8 / 4</t>
        </is>
      </c>
      <c r="L639" t="inlineStr">
        <is>
          <t>0 / 0</t>
        </is>
      </c>
      <c r="M639" s="5" t="n">
        <v>0.67</v>
      </c>
      <c r="N639" s="5" t="n">
        <v>0</v>
      </c>
    </row>
    <row r="640">
      <c r="A640" t="n">
        <v>639</v>
      </c>
      <c r="B640" t="n">
        <v>2015</v>
      </c>
      <c r="C640" t="inlineStr">
        <is>
          <t>Nya BLANCHARD</t>
        </is>
      </c>
      <c r="D640">
        <f>HYPERLINK("https://ota.tournamentsoftware.com/player-profile/E8E00722-2274-4657-BCF4-B20EEBB0EB21", "Link")</f>
        <v/>
      </c>
      <c r="E640" s="3" t="n">
        <v>34.903</v>
      </c>
      <c r="F640" s="4" t="n">
        <v>6</v>
      </c>
      <c r="G640" t="inlineStr">
        <is>
          <t>Ontario Tennis Association</t>
        </is>
      </c>
      <c r="H640" t="inlineStr">
        <is>
          <t>Ontario Racquet Club</t>
        </is>
      </c>
      <c r="I640" t="n">
        <v>35.7</v>
      </c>
      <c r="J640" s="4" t="n">
        <v>41</v>
      </c>
      <c r="K640" t="inlineStr">
        <is>
          <t>23 / 18</t>
        </is>
      </c>
      <c r="L640" t="inlineStr">
        <is>
          <t>8 / 7</t>
        </is>
      </c>
      <c r="M640" s="5" t="n">
        <v>0.5600000000000001</v>
      </c>
      <c r="N640" s="5" t="n">
        <v>0.53</v>
      </c>
    </row>
    <row r="641">
      <c r="A641" t="n">
        <v>640</v>
      </c>
      <c r="B641" t="n">
        <v>2012</v>
      </c>
      <c r="C641" t="inlineStr">
        <is>
          <t>Capri Metelitsa</t>
        </is>
      </c>
      <c r="D641">
        <f>HYPERLINK("https://ota.tournamentsoftware.com/player-profile/AD54A68E-D415-4925-B832-8287172FB727", "Link")</f>
        <v/>
      </c>
      <c r="E641" s="3" t="n">
        <v>34.735</v>
      </c>
      <c r="F641" s="4" t="n">
        <v>10</v>
      </c>
      <c r="G641" t="inlineStr">
        <is>
          <t>Tennis Alberta</t>
        </is>
      </c>
      <c r="H641" t="inlineStr">
        <is>
          <t>Aforza</t>
        </is>
      </c>
      <c r="I641" t="n">
        <v>36.4</v>
      </c>
      <c r="J641" s="4" t="n">
        <v>50</v>
      </c>
      <c r="K641" t="inlineStr">
        <is>
          <t>23 / 27</t>
        </is>
      </c>
      <c r="L641" t="inlineStr">
        <is>
          <t>2 / 8</t>
        </is>
      </c>
      <c r="M641" s="5" t="n">
        <v>0.46</v>
      </c>
      <c r="N641" s="5" t="n">
        <v>0.2</v>
      </c>
    </row>
    <row r="642">
      <c r="A642" t="n">
        <v>641</v>
      </c>
      <c r="B642" t="n">
        <v>2016</v>
      </c>
      <c r="C642" t="inlineStr">
        <is>
          <t>Eliana Gamboa Puentevella</t>
        </is>
      </c>
      <c r="D642">
        <f>HYPERLINK("https://ota.tournamentsoftware.com/player-profile/F092EBD2-5997-4E03-AED5-C7E2E614192B", "Link")</f>
        <v/>
      </c>
      <c r="E642" s="3" t="n">
        <v>34.342</v>
      </c>
      <c r="F642" s="4" t="n">
        <v>11</v>
      </c>
      <c r="G642" t="inlineStr">
        <is>
          <t>British Columbia</t>
        </is>
      </c>
      <c r="H642" t="inlineStr">
        <is>
          <t>Suncoast Racquet Club</t>
        </is>
      </c>
      <c r="I642" t="n">
        <v>36.6</v>
      </c>
      <c r="J642" s="4" t="n">
        <v>125</v>
      </c>
      <c r="K642" t="inlineStr">
        <is>
          <t>60 / 65</t>
        </is>
      </c>
      <c r="L642" t="inlineStr">
        <is>
          <t>30 / 21</t>
        </is>
      </c>
      <c r="M642" s="5" t="n">
        <v>0.48</v>
      </c>
      <c r="N642" s="5" t="n">
        <v>0.59</v>
      </c>
    </row>
    <row r="643">
      <c r="A643" t="n">
        <v>642</v>
      </c>
      <c r="B643" t="n">
        <v>2013</v>
      </c>
      <c r="C643" t="inlineStr">
        <is>
          <t>Caroline Chuyi Wang</t>
        </is>
      </c>
      <c r="D643">
        <f>HYPERLINK("https://ota.tournamentsoftware.com/player-profile/3F052198-DCE4-4852-8FA0-B0793E67B6FC", "Link")</f>
        <v/>
      </c>
      <c r="E643" s="3" t="n">
        <v>34.166</v>
      </c>
      <c r="F643" s="4" t="n">
        <v>4</v>
      </c>
      <c r="G643" t="inlineStr">
        <is>
          <t>British Columbia</t>
        </is>
      </c>
      <c r="H643" t="inlineStr">
        <is>
          <t>Richmond Country Club</t>
        </is>
      </c>
      <c r="I643" t="n">
        <v>37.9</v>
      </c>
      <c r="J643" s="4" t="n">
        <v>26</v>
      </c>
      <c r="K643" t="inlineStr">
        <is>
          <t>11 / 15</t>
        </is>
      </c>
      <c r="L643" t="inlineStr">
        <is>
          <t>11 / 15</t>
        </is>
      </c>
      <c r="M643" s="5" t="n">
        <v>0.42</v>
      </c>
      <c r="N643" s="5" t="n">
        <v>0.42</v>
      </c>
    </row>
    <row r="644">
      <c r="A644" t="n">
        <v>643</v>
      </c>
      <c r="B644" t="n">
        <v>2015</v>
      </c>
      <c r="C644" t="inlineStr">
        <is>
          <t>Olivia Mary Hipwell</t>
        </is>
      </c>
      <c r="D644">
        <f>HYPERLINK("https://ota.tournamentsoftware.com/player-profile/1595D3E6-D4CF-4ADE-B136-FD5AC473C7F7", "Link")</f>
        <v/>
      </c>
      <c r="E644" s="3" t="n">
        <v>33.917</v>
      </c>
      <c r="F644" s="4" t="n">
        <v>7</v>
      </c>
      <c r="G644" t="inlineStr">
        <is>
          <t>Ontario Tennis Association</t>
        </is>
      </c>
      <c r="H644" t="inlineStr">
        <is>
          <t>Ontario Racquet Club</t>
        </is>
      </c>
      <c r="I644" t="inlineStr">
        <is>
          <t>unavailable</t>
        </is>
      </c>
      <c r="J644" s="4" t="n">
        <v>80</v>
      </c>
      <c r="K644" t="inlineStr">
        <is>
          <t>28 / 52</t>
        </is>
      </c>
      <c r="L644" t="inlineStr">
        <is>
          <t>4 / 10</t>
        </is>
      </c>
      <c r="M644" s="5" t="n">
        <v>0.35</v>
      </c>
      <c r="N644" s="5" t="n">
        <v>0.29</v>
      </c>
    </row>
    <row r="645">
      <c r="A645" t="n">
        <v>644</v>
      </c>
      <c r="B645" t="n">
        <v>2014</v>
      </c>
      <c r="C645" t="inlineStr">
        <is>
          <t>Georgena Banquicio</t>
        </is>
      </c>
      <c r="D645">
        <f>HYPERLINK("https://ota.tournamentsoftware.com/player-profile/AB3893CF-B68D-4258-893E-E7C3FB601465", "Link")</f>
        <v/>
      </c>
      <c r="E645" s="3" t="n">
        <v>33.663</v>
      </c>
      <c r="F645" s="4" t="n">
        <v>5</v>
      </c>
      <c r="G645" t="inlineStr">
        <is>
          <t>Tennis New Brunswick</t>
        </is>
      </c>
      <c r="H645" t="inlineStr">
        <is>
          <t>Abony Family Tennis Center</t>
        </is>
      </c>
      <c r="I645" t="n">
        <v>37.4</v>
      </c>
      <c r="J645" s="4" t="n">
        <v>72</v>
      </c>
      <c r="K645" t="inlineStr">
        <is>
          <t>34 / 38</t>
        </is>
      </c>
      <c r="L645" t="inlineStr">
        <is>
          <t>2 / 6</t>
        </is>
      </c>
      <c r="M645" s="5" t="n">
        <v>0.47</v>
      </c>
      <c r="N645" s="5" t="n">
        <v>0.25</v>
      </c>
    </row>
    <row r="646">
      <c r="A646" t="n">
        <v>645</v>
      </c>
      <c r="B646" t="n">
        <v>2013</v>
      </c>
      <c r="C646" t="inlineStr">
        <is>
          <t>SOPHIA MARIA TRULESCU</t>
        </is>
      </c>
      <c r="D646">
        <f>HYPERLINK("https://ota.tournamentsoftware.com/player-profile/A41CCD9F-8BEB-4085-842F-8E5A7DA612FF", "Link")</f>
        <v/>
      </c>
      <c r="E646" s="3" t="n">
        <v>33.35</v>
      </c>
      <c r="F646" s="4" t="n">
        <v>2</v>
      </c>
      <c r="G646" t="inlineStr">
        <is>
          <t>Ontario Tennis Association</t>
        </is>
      </c>
      <c r="H646" t="inlineStr">
        <is>
          <t>Rosedale Tennis Club (Hamilton)</t>
        </is>
      </c>
      <c r="I646" t="n">
        <v>34.4</v>
      </c>
      <c r="J646" s="4" t="n">
        <v>55</v>
      </c>
      <c r="K646" t="inlineStr">
        <is>
          <t>41 / 14</t>
        </is>
      </c>
      <c r="L646" t="inlineStr">
        <is>
          <t>4 / 2</t>
        </is>
      </c>
      <c r="M646" s="5" t="n">
        <v>0.75</v>
      </c>
      <c r="N646" s="5" t="n">
        <v>0.67</v>
      </c>
    </row>
    <row r="647">
      <c r="A647" t="n">
        <v>646</v>
      </c>
      <c r="B647" t="n">
        <v>2014</v>
      </c>
      <c r="C647" t="inlineStr">
        <is>
          <t>Victoria Dorvius</t>
        </is>
      </c>
      <c r="D647">
        <f>HYPERLINK("https://ota.tournamentsoftware.com/player-profile/0742AD15-E29E-4761-9ABC-EF929E7499C5", "Link")</f>
        <v/>
      </c>
      <c r="E647" s="3" t="n">
        <v>33.305</v>
      </c>
      <c r="F647" s="4" t="n">
        <v>3</v>
      </c>
      <c r="G647" t="inlineStr">
        <is>
          <t>Tennis Québec</t>
        </is>
      </c>
      <c r="H647" t="inlineStr">
        <is>
          <t>No Club</t>
        </is>
      </c>
      <c r="I647" t="n">
        <v>40</v>
      </c>
      <c r="J647" s="4" t="n">
        <v>8</v>
      </c>
      <c r="K647" t="inlineStr">
        <is>
          <t>0 / 8</t>
        </is>
      </c>
      <c r="L647" t="inlineStr">
        <is>
          <t>0 / 3</t>
        </is>
      </c>
      <c r="M647" s="5" t="n">
        <v>0</v>
      </c>
      <c r="N647" s="5" t="n">
        <v>0</v>
      </c>
    </row>
    <row r="648">
      <c r="A648" t="n">
        <v>647</v>
      </c>
      <c r="B648" t="n">
        <v>2012</v>
      </c>
      <c r="C648" t="inlineStr">
        <is>
          <t>Elise Weaser</t>
        </is>
      </c>
      <c r="D648">
        <f>HYPERLINK("https://ota.tournamentsoftware.com/player-profile/DA22DB71-D6D8-4605-B329-E9AEA5B14695", "Link")</f>
        <v/>
      </c>
      <c r="E648" s="3" t="n">
        <v>33.264</v>
      </c>
      <c r="F648" s="4" t="n">
        <v>2</v>
      </c>
      <c r="G648" t="inlineStr">
        <is>
          <t>Ontario Tennis Association</t>
        </is>
      </c>
      <c r="H648" t="inlineStr">
        <is>
          <t>Ontario Racquet Club</t>
        </is>
      </c>
      <c r="I648" t="n">
        <v>37.6</v>
      </c>
      <c r="J648" s="4" t="n">
        <v>30</v>
      </c>
      <c r="K648" t="inlineStr">
        <is>
          <t>7 / 23</t>
        </is>
      </c>
      <c r="L648" t="inlineStr">
        <is>
          <t>2 / 2</t>
        </is>
      </c>
      <c r="M648" s="5" t="n">
        <v>0.23</v>
      </c>
      <c r="N648" s="5" t="n">
        <v>0.5</v>
      </c>
    </row>
    <row r="649">
      <c r="A649" t="n">
        <v>648</v>
      </c>
      <c r="B649" t="n">
        <v>2015</v>
      </c>
      <c r="C649" t="inlineStr">
        <is>
          <t>Enlin Fan</t>
        </is>
      </c>
      <c r="D649">
        <f>HYPERLINK("https://ota.tournamentsoftware.com/player-profile/0F38D490-CA76-4A12-BE87-0BAC308EDC74", "Link")</f>
        <v/>
      </c>
      <c r="E649" s="3" t="n">
        <v>32.538</v>
      </c>
      <c r="F649" s="4" t="n">
        <v>6</v>
      </c>
      <c r="G649" t="inlineStr">
        <is>
          <t>British Columbia</t>
        </is>
      </c>
      <c r="H649" t="inlineStr">
        <is>
          <t>The Tennis Centre</t>
        </is>
      </c>
      <c r="I649" t="inlineStr">
        <is>
          <t>unavailable</t>
        </is>
      </c>
      <c r="J649" s="4" t="n">
        <v>93</v>
      </c>
      <c r="K649" t="inlineStr">
        <is>
          <t>42 / 51</t>
        </is>
      </c>
      <c r="L649" t="inlineStr">
        <is>
          <t>7 / 6</t>
        </is>
      </c>
      <c r="M649" s="5" t="n">
        <v>0.45</v>
      </c>
      <c r="N649" s="5" t="n">
        <v>0.54</v>
      </c>
    </row>
    <row r="650">
      <c r="A650" t="n">
        <v>649</v>
      </c>
      <c r="B650" t="n">
        <v>2015</v>
      </c>
      <c r="C650" t="inlineStr">
        <is>
          <t>GAURI BHARDWAJ</t>
        </is>
      </c>
      <c r="D650">
        <f>HYPERLINK("https://ota.tournamentsoftware.com/player-profile/7D0915D9-E26B-4DD0-AA8A-90DD2833C0F8", "Link")</f>
        <v/>
      </c>
      <c r="E650" s="3" t="n">
        <v>32.49</v>
      </c>
      <c r="F650" s="4" t="n">
        <v>6</v>
      </c>
      <c r="G650" t="inlineStr">
        <is>
          <t>Ontario Tennis Association</t>
        </is>
      </c>
      <c r="H650" t="inlineStr">
        <is>
          <t>Premier Racquet Clubs – Mississauga</t>
        </is>
      </c>
      <c r="I650" t="n">
        <v>37.6</v>
      </c>
      <c r="J650" s="4" t="n">
        <v>105</v>
      </c>
      <c r="K650" t="inlineStr">
        <is>
          <t>38 / 67</t>
        </is>
      </c>
      <c r="L650" t="inlineStr">
        <is>
          <t>3 / 3</t>
        </is>
      </c>
      <c r="M650" s="5" t="n">
        <v>0.36</v>
      </c>
      <c r="N650" s="5" t="n">
        <v>0.5</v>
      </c>
    </row>
    <row r="651">
      <c r="A651" t="n">
        <v>650</v>
      </c>
      <c r="B651" t="n">
        <v>2015</v>
      </c>
      <c r="C651" t="inlineStr">
        <is>
          <t>Piper Harrison</t>
        </is>
      </c>
      <c r="D651">
        <f>HYPERLINK("https://ota.tournamentsoftware.com/player-profile/8FD01254-4DB3-4BFF-A784-65DB87717C42", "Link")</f>
        <v/>
      </c>
      <c r="E651" s="3" t="n">
        <v>31.992</v>
      </c>
      <c r="F651" s="4" t="n">
        <v>7</v>
      </c>
      <c r="G651" t="inlineStr">
        <is>
          <t>Ontario Tennis Association</t>
        </is>
      </c>
      <c r="H651" t="inlineStr">
        <is>
          <t>Boulevard Club</t>
        </is>
      </c>
      <c r="I651" t="n">
        <v>38.6</v>
      </c>
      <c r="J651" s="4" t="n">
        <v>56</v>
      </c>
      <c r="K651" t="inlineStr">
        <is>
          <t>18 / 38</t>
        </is>
      </c>
      <c r="L651" t="inlineStr">
        <is>
          <t>6 / 10</t>
        </is>
      </c>
      <c r="M651" s="5" t="n">
        <v>0.32</v>
      </c>
      <c r="N651" s="5" t="n">
        <v>0.38</v>
      </c>
    </row>
    <row r="652">
      <c r="A652" t="n">
        <v>651</v>
      </c>
      <c r="B652" t="n">
        <v>2012</v>
      </c>
      <c r="C652" t="inlineStr">
        <is>
          <t>Rosalie Lanthier</t>
        </is>
      </c>
      <c r="D652">
        <f>HYPERLINK("https://ota.tournamentsoftware.com/player-profile/7853B67E-AF4D-4FFF-9839-6455ACC0C941", "Link")</f>
        <v/>
      </c>
      <c r="E652" s="3" t="n">
        <v>31.759</v>
      </c>
      <c r="F652" s="4" t="n">
        <v>5</v>
      </c>
      <c r="G652" t="inlineStr">
        <is>
          <t>Tennis Québec</t>
        </is>
      </c>
      <c r="H652" t="inlineStr">
        <is>
          <t>EB Tennis inc.</t>
        </is>
      </c>
      <c r="I652" t="n">
        <v>40</v>
      </c>
      <c r="J652" s="4" t="n">
        <v>15</v>
      </c>
      <c r="K652" t="inlineStr">
        <is>
          <t>1 / 14</t>
        </is>
      </c>
      <c r="L652" t="inlineStr">
        <is>
          <t>0 / 4</t>
        </is>
      </c>
      <c r="M652" s="5" t="n">
        <v>0.07000000000000001</v>
      </c>
      <c r="N652" s="5" t="n">
        <v>0</v>
      </c>
    </row>
    <row r="653">
      <c r="A653" t="n">
        <v>652</v>
      </c>
      <c r="B653" t="n">
        <v>2012</v>
      </c>
      <c r="C653" t="inlineStr">
        <is>
          <t>Belen Aldana</t>
        </is>
      </c>
      <c r="D653">
        <f>HYPERLINK("https://ota.tournamentsoftware.com/player-profile/403664F3-E594-4FFF-BEC0-1AF63F2F73E4", "Link")</f>
        <v/>
      </c>
      <c r="E653" s="3" t="n">
        <v>31.724</v>
      </c>
      <c r="F653" s="4" t="n">
        <v>6</v>
      </c>
      <c r="G653" t="inlineStr">
        <is>
          <t>Tennis Québec</t>
        </is>
      </c>
      <c r="H653" t="inlineStr">
        <is>
          <t>SANI Sport</t>
        </is>
      </c>
      <c r="I653" t="n">
        <v>37.9</v>
      </c>
      <c r="J653" s="4" t="n">
        <v>11</v>
      </c>
      <c r="K653" t="inlineStr">
        <is>
          <t>1 / 10</t>
        </is>
      </c>
      <c r="L653" t="inlineStr">
        <is>
          <t>1 / 10</t>
        </is>
      </c>
      <c r="M653" s="5" t="n">
        <v>0.09</v>
      </c>
      <c r="N653" s="5" t="n">
        <v>0.09</v>
      </c>
    </row>
    <row r="654">
      <c r="A654" t="n">
        <v>653</v>
      </c>
      <c r="B654" t="n">
        <v>2016</v>
      </c>
      <c r="C654" t="inlineStr">
        <is>
          <t>Talia Petrovski</t>
        </is>
      </c>
      <c r="D654">
        <f>HYPERLINK("https://ota.tournamentsoftware.com/player-profile/85787F1F-708B-4576-AEFA-F82C6105B16E", "Link")</f>
        <v/>
      </c>
      <c r="E654" s="3" t="n">
        <v>31.234</v>
      </c>
      <c r="F654" s="4" t="n">
        <v>18</v>
      </c>
      <c r="G654" t="inlineStr">
        <is>
          <t>British Columbia</t>
        </is>
      </c>
      <c r="H654" t="inlineStr">
        <is>
          <t>Tennis for Life</t>
        </is>
      </c>
      <c r="I654" t="n">
        <v>35.5</v>
      </c>
      <c r="J654" s="4" t="n">
        <v>143</v>
      </c>
      <c r="K654" t="inlineStr">
        <is>
          <t>81 / 62</t>
        </is>
      </c>
      <c r="L654" t="inlineStr">
        <is>
          <t>51 / 24</t>
        </is>
      </c>
      <c r="M654" s="5" t="n">
        <v>0.57</v>
      </c>
      <c r="N654" s="5" t="n">
        <v>0.68</v>
      </c>
    </row>
    <row r="655">
      <c r="A655" t="n">
        <v>654</v>
      </c>
      <c r="B655" t="n">
        <v>2014</v>
      </c>
      <c r="C655" t="inlineStr">
        <is>
          <t>Ignatia Walsh</t>
        </is>
      </c>
      <c r="D655">
        <f>HYPERLINK("https://ota.tournamentsoftware.com/player-profile/AEC8F080-693E-4608-867A-22E590A9E567", "Link")</f>
        <v/>
      </c>
      <c r="E655" s="3" t="n">
        <v>30.526</v>
      </c>
      <c r="F655" s="4" t="n">
        <v>14</v>
      </c>
      <c r="G655" t="inlineStr">
        <is>
          <t>Ontario Tennis Association</t>
        </is>
      </c>
      <c r="H655" t="inlineStr">
        <is>
          <t>Premier Racquet Clubs – Mississauga</t>
        </is>
      </c>
      <c r="I655" t="inlineStr">
        <is>
          <t>unavailable</t>
        </is>
      </c>
      <c r="J655" s="4" t="n">
        <v>53</v>
      </c>
      <c r="K655" t="inlineStr">
        <is>
          <t>13 / 40</t>
        </is>
      </c>
      <c r="L655" t="inlineStr">
        <is>
          <t>6 / 16</t>
        </is>
      </c>
      <c r="M655" s="5" t="n">
        <v>0.25</v>
      </c>
      <c r="N655" s="5" t="n">
        <v>0.27</v>
      </c>
    </row>
    <row r="656">
      <c r="A656" t="n">
        <v>655</v>
      </c>
      <c r="B656" t="n">
        <v>2012</v>
      </c>
      <c r="C656" t="inlineStr">
        <is>
          <t>Remy Quinn Durocher</t>
        </is>
      </c>
      <c r="D656">
        <f>HYPERLINK("https://ota.tournamentsoftware.com/player-profile/64BF8C80-3EDB-464A-896D-5D47CC387451", "Link")</f>
        <v/>
      </c>
      <c r="E656" s="3" t="n">
        <v>29.376</v>
      </c>
      <c r="F656" s="4" t="n">
        <v>1</v>
      </c>
      <c r="G656" t="inlineStr">
        <is>
          <t>Tennis Prince Edward Island</t>
        </is>
      </c>
      <c r="H656" t="inlineStr">
        <is>
          <t>Stratford Tennis Club</t>
        </is>
      </c>
      <c r="I656" t="n">
        <v>39.4</v>
      </c>
      <c r="J656" s="4" t="n">
        <v>13</v>
      </c>
      <c r="K656" t="inlineStr">
        <is>
          <t>2 / 11</t>
        </is>
      </c>
      <c r="L656" t="inlineStr">
        <is>
          <t>1 / 6</t>
        </is>
      </c>
      <c r="M656" s="5" t="n">
        <v>0.15</v>
      </c>
      <c r="N656" s="5" t="n">
        <v>0.14</v>
      </c>
    </row>
    <row r="657">
      <c r="A657" t="n">
        <v>656</v>
      </c>
      <c r="B657" t="n">
        <v>2014</v>
      </c>
      <c r="C657" t="inlineStr">
        <is>
          <t>Mila Levac</t>
        </is>
      </c>
      <c r="D657">
        <f>HYPERLINK("https://ota.tournamentsoftware.com/player-profile/7F793D8E-41D7-4B70-87B7-9D30B32ED35F", "Link")</f>
        <v/>
      </c>
      <c r="E657" s="3" t="n">
        <v>29.368</v>
      </c>
      <c r="F657" s="4" t="n">
        <v>4</v>
      </c>
      <c r="G657" t="inlineStr">
        <is>
          <t>Ontario Tennis Association</t>
        </is>
      </c>
      <c r="H657" t="inlineStr">
        <is>
          <t>Rideau Sports Centre</t>
        </is>
      </c>
      <c r="I657" t="n">
        <v>39.6</v>
      </c>
      <c r="J657" s="4" t="n">
        <v>76</v>
      </c>
      <c r="K657" t="inlineStr">
        <is>
          <t>13 / 63</t>
        </is>
      </c>
      <c r="L657" t="inlineStr">
        <is>
          <t>0 / 4</t>
        </is>
      </c>
      <c r="M657" s="5" t="n">
        <v>0.17</v>
      </c>
      <c r="N657" s="5" t="n">
        <v>0</v>
      </c>
    </row>
    <row r="658">
      <c r="A658" t="n">
        <v>657</v>
      </c>
      <c r="B658" t="n">
        <v>2013</v>
      </c>
      <c r="C658" t="inlineStr">
        <is>
          <t>Brooklyn Desjardins</t>
        </is>
      </c>
      <c r="D658">
        <f>HYPERLINK("https://ota.tournamentsoftware.com/player-profile/EDCAF363-81B5-4378-83DC-E36CD3ACC539", "Link")</f>
        <v/>
      </c>
      <c r="E658" s="3" t="n">
        <v>29.163</v>
      </c>
      <c r="F658" s="4" t="n">
        <v>4</v>
      </c>
      <c r="G658" t="inlineStr">
        <is>
          <t>Tennis Québec</t>
        </is>
      </c>
      <c r="H658" t="inlineStr">
        <is>
          <t>Club Sportif Côte-de-Liesse</t>
        </is>
      </c>
      <c r="I658" t="n">
        <v>37.7</v>
      </c>
      <c r="J658" s="4" t="n">
        <v>49</v>
      </c>
      <c r="K658" t="inlineStr">
        <is>
          <t>19 / 30</t>
        </is>
      </c>
      <c r="L658" t="inlineStr">
        <is>
          <t>0 / 0</t>
        </is>
      </c>
      <c r="M658" s="5" t="n">
        <v>0.39</v>
      </c>
      <c r="N658" s="5" t="n">
        <v>0</v>
      </c>
    </row>
    <row r="659">
      <c r="A659" t="n">
        <v>658</v>
      </c>
      <c r="B659" t="n">
        <v>2016</v>
      </c>
      <c r="C659" t="inlineStr">
        <is>
          <t>Madison Dionne</t>
        </is>
      </c>
      <c r="D659">
        <f>HYPERLINK("https://ota.tournamentsoftware.com/player-profile/E7A43ABD-96E4-46C3-84A5-BAF14D846E4C", "Link")</f>
        <v/>
      </c>
      <c r="E659" s="3" t="n">
        <v>29.157</v>
      </c>
      <c r="F659" s="4" t="n">
        <v>8</v>
      </c>
      <c r="G659" t="inlineStr">
        <is>
          <t>Ontario Tennis Association</t>
        </is>
      </c>
      <c r="H659" t="inlineStr">
        <is>
          <t>Ontario Racquet Club</t>
        </is>
      </c>
      <c r="I659" t="n">
        <v>37.3</v>
      </c>
      <c r="J659" s="4" t="n">
        <v>98</v>
      </c>
      <c r="K659" t="inlineStr">
        <is>
          <t>31 / 67</t>
        </is>
      </c>
      <c r="L659" t="inlineStr">
        <is>
          <t>15 / 13</t>
        </is>
      </c>
      <c r="M659" s="5" t="n">
        <v>0.32</v>
      </c>
      <c r="N659" s="5" t="n">
        <v>0.54</v>
      </c>
    </row>
    <row r="660">
      <c r="A660" t="n">
        <v>659</v>
      </c>
      <c r="B660" t="n">
        <v>2015</v>
      </c>
      <c r="C660" t="inlineStr">
        <is>
          <t>Iris RuiYing Cen</t>
        </is>
      </c>
      <c r="D660">
        <f>HYPERLINK("https://ota.tournamentsoftware.com/player-profile/D53FD847-C5AE-41A6-BFB8-EE8B251EDFBF", "Link")</f>
        <v/>
      </c>
      <c r="E660" s="3" t="n">
        <v>29.111</v>
      </c>
      <c r="F660" s="4" t="n">
        <v>7</v>
      </c>
      <c r="G660" t="inlineStr">
        <is>
          <t>Ontario Tennis Association</t>
        </is>
      </c>
      <c r="H660" t="inlineStr">
        <is>
          <t>Meadowvale West Tennis Club</t>
        </is>
      </c>
      <c r="I660" t="n">
        <v>38.1</v>
      </c>
      <c r="J660" s="4" t="n">
        <v>77</v>
      </c>
      <c r="K660" t="inlineStr">
        <is>
          <t>20 / 57</t>
        </is>
      </c>
      <c r="L660" t="inlineStr">
        <is>
          <t>2 / 4</t>
        </is>
      </c>
      <c r="M660" s="5" t="n">
        <v>0.26</v>
      </c>
      <c r="N660" s="5" t="n">
        <v>0.33</v>
      </c>
    </row>
    <row r="661">
      <c r="A661" t="n">
        <v>660</v>
      </c>
      <c r="B661" t="n">
        <v>2014</v>
      </c>
      <c r="C661" t="inlineStr">
        <is>
          <t>Mila Khayretdinova</t>
        </is>
      </c>
      <c r="D661">
        <f>HYPERLINK("https://ota.tournamentsoftware.com/player-profile/04DE0A72-CDB6-4637-88E8-378348327654", "Link")</f>
        <v/>
      </c>
      <c r="E661" s="3" t="n">
        <v>28.855</v>
      </c>
      <c r="F661" s="4" t="n">
        <v>6</v>
      </c>
      <c r="G661" t="inlineStr">
        <is>
          <t>Tennis Québec</t>
        </is>
      </c>
      <c r="H661" t="inlineStr">
        <is>
          <t>No Club</t>
        </is>
      </c>
      <c r="I661" t="n">
        <v>39.1</v>
      </c>
      <c r="J661" s="4" t="n">
        <v>41</v>
      </c>
      <c r="K661" t="inlineStr">
        <is>
          <t>3 / 38</t>
        </is>
      </c>
      <c r="L661" t="inlineStr">
        <is>
          <t>3 / 6</t>
        </is>
      </c>
      <c r="M661" s="5" t="n">
        <v>0.07000000000000001</v>
      </c>
      <c r="N661" s="5" t="n">
        <v>0.33</v>
      </c>
    </row>
    <row r="662">
      <c r="A662" t="n">
        <v>661</v>
      </c>
      <c r="B662" t="n">
        <v>2015</v>
      </c>
      <c r="C662" t="inlineStr">
        <is>
          <t>Asena Kiamil</t>
        </is>
      </c>
      <c r="D662">
        <f>HYPERLINK("https://ota.tournamentsoftware.com/player-profile/E9A72281-6B76-4B36-9040-E802436447FA", "Link")</f>
        <v/>
      </c>
      <c r="E662" s="3" t="n">
        <v>28.824</v>
      </c>
      <c r="F662" s="4" t="n">
        <v>6</v>
      </c>
      <c r="G662" t="inlineStr">
        <is>
          <t>Ontario Tennis Association</t>
        </is>
      </c>
      <c r="H662" t="inlineStr">
        <is>
          <t>Royal City Tennis Club</t>
        </is>
      </c>
      <c r="I662" t="n">
        <v>37.8</v>
      </c>
      <c r="J662" s="4" t="n">
        <v>86</v>
      </c>
      <c r="K662" t="inlineStr">
        <is>
          <t>46 / 40</t>
        </is>
      </c>
      <c r="L662" t="inlineStr">
        <is>
          <t>4 / 6</t>
        </is>
      </c>
      <c r="M662" s="5" t="n">
        <v>0.53</v>
      </c>
      <c r="N662" s="5" t="n">
        <v>0.4</v>
      </c>
    </row>
    <row r="663">
      <c r="A663" t="n">
        <v>662</v>
      </c>
      <c r="B663" t="n">
        <v>2013</v>
      </c>
      <c r="C663" t="inlineStr">
        <is>
          <t>TIFFANY ZHENG</t>
        </is>
      </c>
      <c r="D663">
        <f>HYPERLINK("https://ota.tournamentsoftware.com/player-profile/59B34621-D499-450A-BDB3-B38C363BEAD1", "Link")</f>
        <v/>
      </c>
      <c r="E663" s="3" t="n">
        <v>28.481</v>
      </c>
      <c r="F663" s="4" t="n">
        <v>1</v>
      </c>
      <c r="G663" t="inlineStr">
        <is>
          <t>Ontario Tennis Association</t>
        </is>
      </c>
      <c r="H663" t="inlineStr">
        <is>
          <t>Carleton Tennis Centre</t>
        </is>
      </c>
      <c r="I663" t="n">
        <v>34</v>
      </c>
      <c r="J663" s="4" t="n">
        <v>1</v>
      </c>
      <c r="K663" t="inlineStr">
        <is>
          <t>1 / 0</t>
        </is>
      </c>
      <c r="L663" t="inlineStr">
        <is>
          <t>1 / 0</t>
        </is>
      </c>
      <c r="M663" s="5" t="n">
        <v>1</v>
      </c>
      <c r="N663" s="5" t="n">
        <v>1</v>
      </c>
    </row>
    <row r="664">
      <c r="A664" t="n">
        <v>663</v>
      </c>
      <c r="B664" t="n">
        <v>2013</v>
      </c>
      <c r="C664" t="inlineStr">
        <is>
          <t>Meryem Besri Besri</t>
        </is>
      </c>
      <c r="D664">
        <f>HYPERLINK("https://ota.tournamentsoftware.com/player-profile/24E638E5-93ED-46F3-95E6-F944EA4EAAE7", "Link")</f>
        <v/>
      </c>
      <c r="E664" s="3" t="n">
        <v>28.425</v>
      </c>
      <c r="F664" s="4" t="n">
        <v>3</v>
      </c>
      <c r="G664" t="inlineStr">
        <is>
          <t>Tennis Alberta</t>
        </is>
      </c>
      <c r="H664" t="inlineStr">
        <is>
          <t>Calgary - Public</t>
        </is>
      </c>
      <c r="I664" t="n">
        <v>31.9</v>
      </c>
      <c r="J664" s="4" t="n">
        <v>6</v>
      </c>
      <c r="K664" t="inlineStr">
        <is>
          <t>3 / 3</t>
        </is>
      </c>
      <c r="L664" t="inlineStr">
        <is>
          <t>3 / 3</t>
        </is>
      </c>
      <c r="M664" s="5" t="n">
        <v>0.5</v>
      </c>
      <c r="N664" s="5" t="n">
        <v>0.5</v>
      </c>
    </row>
    <row r="665">
      <c r="A665" t="n">
        <v>664</v>
      </c>
      <c r="B665" t="n">
        <v>2016</v>
      </c>
      <c r="C665" t="inlineStr">
        <is>
          <t>Flora Ziyue Wang</t>
        </is>
      </c>
      <c r="D665">
        <f>HYPERLINK("https://ota.tournamentsoftware.com/player-profile/65435931-BBD0-46BD-839E-4188787640BE", "Link")</f>
        <v/>
      </c>
      <c r="E665" s="3" t="n">
        <v>28.368</v>
      </c>
      <c r="F665" s="4" t="n">
        <v>6</v>
      </c>
      <c r="G665" t="inlineStr">
        <is>
          <t>Ontario Tennis Association</t>
        </is>
      </c>
      <c r="H665" t="inlineStr">
        <is>
          <t>Unionville Tennis Club</t>
        </is>
      </c>
      <c r="I665" t="n">
        <v>35.4</v>
      </c>
      <c r="J665" s="4" t="n">
        <v>82</v>
      </c>
      <c r="K665" t="inlineStr">
        <is>
          <t>42 / 40</t>
        </is>
      </c>
      <c r="L665" t="inlineStr">
        <is>
          <t>15 / 9</t>
        </is>
      </c>
      <c r="M665" s="5" t="n">
        <v>0.51</v>
      </c>
      <c r="N665" s="5" t="n">
        <v>0.62</v>
      </c>
    </row>
    <row r="666">
      <c r="A666" t="n">
        <v>665</v>
      </c>
      <c r="B666" t="n">
        <v>2013</v>
      </c>
      <c r="C666" t="inlineStr">
        <is>
          <t>Phoebe Xu</t>
        </is>
      </c>
      <c r="D666">
        <f>HYPERLINK("https://ota.tournamentsoftware.com/player-profile/278C7B40-F6F9-4402-A8BF-F8069FAF9612", "Link")</f>
        <v/>
      </c>
      <c r="E666" s="3" t="n">
        <v>27.864</v>
      </c>
      <c r="F666" s="4" t="n">
        <v>2</v>
      </c>
      <c r="G666" t="inlineStr">
        <is>
          <t>Ontario Tennis Association</t>
        </is>
      </c>
      <c r="H666" t="inlineStr">
        <is>
          <t>Sandy Beach Tennis Club</t>
        </is>
      </c>
      <c r="I666" t="n">
        <v>32</v>
      </c>
      <c r="J666" s="4" t="n">
        <v>89</v>
      </c>
      <c r="K666" t="inlineStr">
        <is>
          <t>50 / 39</t>
        </is>
      </c>
      <c r="L666" t="inlineStr">
        <is>
          <t>1 / 1</t>
        </is>
      </c>
      <c r="M666" s="5" t="n">
        <v>0.5600000000000001</v>
      </c>
      <c r="N666" s="5" t="n">
        <v>0.5</v>
      </c>
    </row>
    <row r="667">
      <c r="A667" t="n">
        <v>666</v>
      </c>
      <c r="B667" t="n">
        <v>2015</v>
      </c>
      <c r="C667" t="inlineStr">
        <is>
          <t>Parine Jani</t>
        </is>
      </c>
      <c r="D667">
        <f>HYPERLINK("https://ota.tournamentsoftware.com/player-profile/DEF6C92A-14C0-4DEB-A4E3-22B40C75E14A", "Link")</f>
        <v/>
      </c>
      <c r="E667" s="3" t="n">
        <v>27.46</v>
      </c>
      <c r="F667" s="4" t="n">
        <v>4</v>
      </c>
      <c r="G667" t="inlineStr">
        <is>
          <t>Ontario Tennis Association</t>
        </is>
      </c>
      <c r="H667" t="inlineStr">
        <is>
          <t>Premier Racquet Club</t>
        </is>
      </c>
      <c r="I667" t="n">
        <v>40</v>
      </c>
      <c r="J667" s="4" t="n">
        <v>42</v>
      </c>
      <c r="K667" t="inlineStr">
        <is>
          <t>7 / 35</t>
        </is>
      </c>
      <c r="L667" t="inlineStr">
        <is>
          <t>1 / 10</t>
        </is>
      </c>
      <c r="M667" s="5" t="n">
        <v>0.17</v>
      </c>
      <c r="N667" s="5" t="n">
        <v>0.09</v>
      </c>
    </row>
    <row r="668">
      <c r="A668" t="n">
        <v>667</v>
      </c>
      <c r="B668" t="n">
        <v>2012</v>
      </c>
      <c r="C668" t="inlineStr">
        <is>
          <t>Emma Gao</t>
        </is>
      </c>
      <c r="D668">
        <f>HYPERLINK("https://ota.tournamentsoftware.com/player-profile/C88BC343-3DFB-493C-85F2-14F8A90F6D68", "Link")</f>
        <v/>
      </c>
      <c r="E668" s="3" t="n">
        <v>27.439</v>
      </c>
      <c r="F668" s="4" t="n">
        <v>3</v>
      </c>
      <c r="G668" t="inlineStr">
        <is>
          <t>British Columbia</t>
        </is>
      </c>
      <c r="H668" t="inlineStr">
        <is>
          <t>Tennis for Life</t>
        </is>
      </c>
      <c r="I668" t="inlineStr">
        <is>
          <t>unavailable</t>
        </is>
      </c>
      <c r="J668" s="4" t="n">
        <v>33</v>
      </c>
      <c r="K668" t="inlineStr">
        <is>
          <t>9 / 24</t>
        </is>
      </c>
      <c r="L668" t="inlineStr">
        <is>
          <t>0 / 5</t>
        </is>
      </c>
      <c r="M668" s="5" t="n">
        <v>0.27</v>
      </c>
      <c r="N668" s="5" t="n">
        <v>0</v>
      </c>
    </row>
    <row r="669">
      <c r="A669" t="n">
        <v>668</v>
      </c>
      <c r="B669" t="n">
        <v>2016</v>
      </c>
      <c r="C669" t="inlineStr">
        <is>
          <t>Yuetian Caroline Guo</t>
        </is>
      </c>
      <c r="D669">
        <f>HYPERLINK("https://ota.tournamentsoftware.com/player-profile/D9EEB088-31A0-4FD1-A91B-A82319998935", "Link")</f>
        <v/>
      </c>
      <c r="E669" s="3" t="n">
        <v>27.299</v>
      </c>
      <c r="F669" s="4" t="n">
        <v>11</v>
      </c>
      <c r="G669" t="inlineStr">
        <is>
          <t>British Columbia</t>
        </is>
      </c>
      <c r="H669" t="inlineStr">
        <is>
          <t>The Tennis Centre</t>
        </is>
      </c>
      <c r="I669" t="n">
        <v>37.2</v>
      </c>
      <c r="J669" s="4" t="n">
        <v>105</v>
      </c>
      <c r="K669" t="inlineStr">
        <is>
          <t>59 / 46</t>
        </is>
      </c>
      <c r="L669" t="inlineStr">
        <is>
          <t>29 / 20</t>
        </is>
      </c>
      <c r="M669" s="5" t="n">
        <v>0.5600000000000001</v>
      </c>
      <c r="N669" s="5" t="n">
        <v>0.59</v>
      </c>
    </row>
    <row r="670">
      <c r="A670" t="n">
        <v>669</v>
      </c>
      <c r="B670" t="n">
        <v>2012</v>
      </c>
      <c r="C670" t="inlineStr">
        <is>
          <t>Adelaide Morgan</t>
        </is>
      </c>
      <c r="D670">
        <f>HYPERLINK("https://ota.tournamentsoftware.com/player-profile/349677AB-87B2-407B-BDFF-04EE8550EE87", "Link")</f>
        <v/>
      </c>
      <c r="E670" s="3" t="n">
        <v>27.259</v>
      </c>
      <c r="F670" s="4" t="n">
        <v>2</v>
      </c>
      <c r="G670" t="inlineStr">
        <is>
          <t>Ontario Tennis Association</t>
        </is>
      </c>
      <c r="H670" t="inlineStr">
        <is>
          <t>Eglinton Flats Winter Tennis Club</t>
        </is>
      </c>
      <c r="I670" t="inlineStr">
        <is>
          <t>unavailable</t>
        </is>
      </c>
      <c r="J670" s="4" t="n">
        <v>15</v>
      </c>
      <c r="K670" t="inlineStr">
        <is>
          <t>5 / 10</t>
        </is>
      </c>
      <c r="L670" t="inlineStr">
        <is>
          <t>0 / 4</t>
        </is>
      </c>
      <c r="M670" s="5" t="n">
        <v>0.33</v>
      </c>
      <c r="N670" s="5" t="n">
        <v>0</v>
      </c>
    </row>
    <row r="671">
      <c r="A671" t="n">
        <v>670</v>
      </c>
      <c r="B671" t="n">
        <v>2012</v>
      </c>
      <c r="C671" t="inlineStr">
        <is>
          <t>Tallulah Oakes</t>
        </is>
      </c>
      <c r="D671">
        <f>HYPERLINK("https://ota.tournamentsoftware.com/player-profile/B5372F0A-C15A-4DDD-A97C-9E3BACE4A05E", "Link")</f>
        <v/>
      </c>
      <c r="E671" s="3" t="n">
        <v>26.613</v>
      </c>
      <c r="F671" s="4" t="n">
        <v>2</v>
      </c>
      <c r="G671" t="inlineStr">
        <is>
          <t>British Columbia</t>
        </is>
      </c>
      <c r="H671" t="inlineStr">
        <is>
          <t>Hollyburn Country Club</t>
        </is>
      </c>
      <c r="I671" t="n">
        <v>35.3</v>
      </c>
      <c r="J671" s="4" t="n">
        <v>72</v>
      </c>
      <c r="K671" t="inlineStr">
        <is>
          <t>27 / 45</t>
        </is>
      </c>
      <c r="L671" t="inlineStr">
        <is>
          <t>1 / 2</t>
        </is>
      </c>
      <c r="M671" s="5" t="n">
        <v>0.38</v>
      </c>
      <c r="N671" s="5" t="n">
        <v>0.33</v>
      </c>
    </row>
    <row r="672">
      <c r="A672" t="n">
        <v>671</v>
      </c>
      <c r="B672" t="n">
        <v>2012</v>
      </c>
      <c r="C672" t="inlineStr">
        <is>
          <t>Kira Karstoff</t>
        </is>
      </c>
      <c r="D672">
        <f>HYPERLINK("https://ota.tournamentsoftware.com/player-profile/1755679B-A50B-4F8F-B603-0578043F7638", "Link")</f>
        <v/>
      </c>
      <c r="E672" s="3" t="n">
        <v>26.611</v>
      </c>
      <c r="F672" s="4" t="n">
        <v>2</v>
      </c>
      <c r="G672" t="inlineStr">
        <is>
          <t>Ontario Tennis Association</t>
        </is>
      </c>
      <c r="H672" t="inlineStr">
        <is>
          <t>Toronto Cricket Skating &amp; Curling</t>
        </is>
      </c>
      <c r="I672" t="inlineStr">
        <is>
          <t>unavailable</t>
        </is>
      </c>
      <c r="J672" s="4" t="n">
        <v>48</v>
      </c>
      <c r="K672" t="inlineStr">
        <is>
          <t>21 / 27</t>
        </is>
      </c>
      <c r="L672" t="inlineStr">
        <is>
          <t>2 / 4</t>
        </is>
      </c>
      <c r="M672" s="5" t="n">
        <v>0.44</v>
      </c>
      <c r="N672" s="5" t="n">
        <v>0.33</v>
      </c>
    </row>
    <row r="673">
      <c r="A673" t="n">
        <v>672</v>
      </c>
      <c r="B673" t="n">
        <v>2013</v>
      </c>
      <c r="C673" t="inlineStr">
        <is>
          <t>Mayssa Maddouri</t>
        </is>
      </c>
      <c r="D673">
        <f>HYPERLINK("https://ota.tournamentsoftware.com/player-profile/911D4DB6-C985-4A43-8264-359A0386F2C5", "Link")</f>
        <v/>
      </c>
      <c r="E673" s="3" t="n">
        <v>26.568</v>
      </c>
      <c r="F673" s="4" t="n">
        <v>2</v>
      </c>
      <c r="G673" t="inlineStr">
        <is>
          <t>Tennis Québec</t>
        </is>
      </c>
      <c r="H673" t="inlineStr">
        <is>
          <t>EB Tennis inc.</t>
        </is>
      </c>
      <c r="I673" t="inlineStr">
        <is>
          <t>unavailable</t>
        </is>
      </c>
      <c r="J673" s="4" t="n">
        <v>3</v>
      </c>
      <c r="K673" t="inlineStr">
        <is>
          <t>0 / 3</t>
        </is>
      </c>
      <c r="L673" t="inlineStr">
        <is>
          <t>0 / 3</t>
        </is>
      </c>
      <c r="M673" s="5" t="n">
        <v>0</v>
      </c>
      <c r="N673" s="5" t="n">
        <v>0</v>
      </c>
    </row>
    <row r="674">
      <c r="A674" t="n">
        <v>672</v>
      </c>
      <c r="B674" t="n">
        <v>2013</v>
      </c>
      <c r="C674" t="inlineStr">
        <is>
          <t>Soély Expérience</t>
        </is>
      </c>
      <c r="D674">
        <f>HYPERLINK("https://ota.tournamentsoftware.com/player-profile/91892DC4-7E0E-400F-96DB-9DFFCE855771", "Link")</f>
        <v/>
      </c>
      <c r="E674" s="3" t="n">
        <v>26.568</v>
      </c>
      <c r="F674" s="4" t="n">
        <v>1</v>
      </c>
      <c r="G674" t="inlineStr">
        <is>
          <t>Tennis Québec</t>
        </is>
      </c>
      <c r="H674" t="inlineStr">
        <is>
          <t>Tennis Montréal Excellence</t>
        </is>
      </c>
      <c r="I674" t="n">
        <v>32.8</v>
      </c>
      <c r="J674" s="4" t="n">
        <v>163</v>
      </c>
      <c r="K674" t="inlineStr">
        <is>
          <t>95 / 68</t>
        </is>
      </c>
      <c r="L674" t="inlineStr">
        <is>
          <t>0 / 1</t>
        </is>
      </c>
      <c r="M674" s="5" t="n">
        <v>0.58</v>
      </c>
      <c r="N674" s="5" t="n">
        <v>0</v>
      </c>
    </row>
    <row r="675">
      <c r="A675" t="n">
        <v>674</v>
      </c>
      <c r="B675" t="n">
        <v>2012</v>
      </c>
      <c r="C675" t="inlineStr">
        <is>
          <t>Juanita Valeria Ruiz</t>
        </is>
      </c>
      <c r="D675">
        <f>HYPERLINK("https://ota.tournamentsoftware.com/player-profile/60CB93B1-F620-4737-8F49-B06F794F4103", "Link")</f>
        <v/>
      </c>
      <c r="E675" s="3" t="n">
        <v>26.426</v>
      </c>
      <c r="F675" s="4" t="n">
        <v>2</v>
      </c>
      <c r="G675" t="inlineStr">
        <is>
          <t>Ontario Tennis Association</t>
        </is>
      </c>
      <c r="H675" t="inlineStr">
        <is>
          <t>No Club</t>
        </is>
      </c>
      <c r="I675" t="inlineStr">
        <is>
          <t>unavailable</t>
        </is>
      </c>
      <c r="J675" s="4" t="n">
        <v>69</v>
      </c>
      <c r="K675" t="inlineStr">
        <is>
          <t>26 / 43</t>
        </is>
      </c>
      <c r="L675" t="inlineStr">
        <is>
          <t>0 / 0</t>
        </is>
      </c>
      <c r="M675" s="5" t="n">
        <v>0.38</v>
      </c>
      <c r="N675" s="5" t="n">
        <v>0</v>
      </c>
    </row>
    <row r="676">
      <c r="A676" t="n">
        <v>675</v>
      </c>
      <c r="B676" t="n">
        <v>2012</v>
      </c>
      <c r="C676" t="inlineStr">
        <is>
          <t>Erica Amy Els</t>
        </is>
      </c>
      <c r="D676">
        <f>HYPERLINK("https://ota.tournamentsoftware.com/player-profile/2D6CC49A-BAE5-4768-9244-8FB4F1D2CABC", "Link")</f>
        <v/>
      </c>
      <c r="E676" s="3" t="n">
        <v>26.417</v>
      </c>
      <c r="F676" s="4" t="n">
        <v>5</v>
      </c>
      <c r="G676" t="inlineStr">
        <is>
          <t>Tennis Alberta</t>
        </is>
      </c>
      <c r="H676" t="inlineStr">
        <is>
          <t>No Club</t>
        </is>
      </c>
      <c r="I676" t="n">
        <v>39.2</v>
      </c>
      <c r="J676" s="4" t="n">
        <v>9</v>
      </c>
      <c r="K676" t="inlineStr">
        <is>
          <t>1 / 8</t>
        </is>
      </c>
      <c r="L676" t="inlineStr">
        <is>
          <t>1 / 8</t>
        </is>
      </c>
      <c r="M676" s="5" t="n">
        <v>0.11</v>
      </c>
      <c r="N676" s="5" t="n">
        <v>0.11</v>
      </c>
    </row>
    <row r="677">
      <c r="A677" t="n">
        <v>676</v>
      </c>
      <c r="B677" t="n">
        <v>2013</v>
      </c>
      <c r="C677" t="inlineStr">
        <is>
          <t>Kate Lalli</t>
        </is>
      </c>
      <c r="D677">
        <f>HYPERLINK("https://ota.tournamentsoftware.com/player-profile/37A0CF8B-C4DF-49F1-946F-E349A3E42015", "Link")</f>
        <v/>
      </c>
      <c r="E677" s="3" t="n">
        <v>26.327</v>
      </c>
      <c r="F677" s="4" t="n">
        <v>3</v>
      </c>
      <c r="G677" t="inlineStr">
        <is>
          <t>Tennis Québec</t>
        </is>
      </c>
      <c r="H677" t="inlineStr">
        <is>
          <t>No Club</t>
        </is>
      </c>
      <c r="I677" t="n">
        <v>37.6</v>
      </c>
      <c r="J677" s="4" t="n">
        <v>15</v>
      </c>
      <c r="K677" t="inlineStr">
        <is>
          <t>4 / 11</t>
        </is>
      </c>
      <c r="L677" t="inlineStr">
        <is>
          <t>1 / 6</t>
        </is>
      </c>
      <c r="M677" s="5" t="n">
        <v>0.27</v>
      </c>
      <c r="N677" s="5" t="n">
        <v>0.14</v>
      </c>
    </row>
    <row r="678">
      <c r="A678" t="n">
        <v>677</v>
      </c>
      <c r="B678" t="n">
        <v>2014</v>
      </c>
      <c r="C678" t="inlineStr">
        <is>
          <t>Audrey Lu</t>
        </is>
      </c>
      <c r="D678">
        <f>HYPERLINK("https://ota.tournamentsoftware.com/player-profile/01588371-7322-467B-AA75-DDD8230D1899", "Link")</f>
        <v/>
      </c>
      <c r="E678" s="3" t="n">
        <v>26.154</v>
      </c>
      <c r="F678" s="4" t="n">
        <v>6</v>
      </c>
      <c r="G678" t="inlineStr">
        <is>
          <t>Ontario Tennis Association</t>
        </is>
      </c>
      <c r="H678" t="inlineStr">
        <is>
          <t>Toronto Cricket Skating &amp; Curling</t>
        </is>
      </c>
      <c r="I678" t="inlineStr">
        <is>
          <t>unavailable</t>
        </is>
      </c>
      <c r="J678" s="4" t="n">
        <v>24</v>
      </c>
      <c r="K678" t="inlineStr">
        <is>
          <t>10 / 14</t>
        </is>
      </c>
      <c r="L678" t="inlineStr">
        <is>
          <t>10 / 11</t>
        </is>
      </c>
      <c r="M678" s="5" t="n">
        <v>0.42</v>
      </c>
      <c r="N678" s="5" t="n">
        <v>0.48</v>
      </c>
    </row>
    <row r="679">
      <c r="A679" t="n">
        <v>678</v>
      </c>
      <c r="B679" t="n">
        <v>2017</v>
      </c>
      <c r="C679" t="inlineStr">
        <is>
          <t>Anastasia Savtchenko</t>
        </is>
      </c>
      <c r="D679">
        <f>HYPERLINK("https://ota.tournamentsoftware.com/player-profile/FF881545-63C4-4D7F-B9E4-0A8D65FB9607", "Link")</f>
        <v/>
      </c>
      <c r="E679" s="3" t="n">
        <v>25.92</v>
      </c>
      <c r="F679" s="4" t="n">
        <v>5</v>
      </c>
      <c r="G679" t="inlineStr">
        <is>
          <t>Ontario Tennis Association</t>
        </is>
      </c>
      <c r="H679" t="inlineStr">
        <is>
          <t>Valan Tennis Academy</t>
        </is>
      </c>
      <c r="I679" t="inlineStr">
        <is>
          <t>unavailable</t>
        </is>
      </c>
      <c r="J679" s="4" t="n">
        <v>93</v>
      </c>
      <c r="K679" t="inlineStr">
        <is>
          <t>52 / 41</t>
        </is>
      </c>
      <c r="L679" t="inlineStr">
        <is>
          <t>16 / 12</t>
        </is>
      </c>
      <c r="M679" s="5" t="n">
        <v>0.5600000000000001</v>
      </c>
      <c r="N679" s="5" t="n">
        <v>0.57</v>
      </c>
    </row>
    <row r="680">
      <c r="A680" t="n">
        <v>679</v>
      </c>
      <c r="B680" t="n">
        <v>2015</v>
      </c>
      <c r="C680" t="inlineStr">
        <is>
          <t>Isadora Xu</t>
        </is>
      </c>
      <c r="D680">
        <f>HYPERLINK("https://ota.tournamentsoftware.com/player-profile/78173253-32AB-4E0D-8618-AEF874C973EC", "Link")</f>
        <v/>
      </c>
      <c r="E680" s="3" t="n">
        <v>25.746</v>
      </c>
      <c r="F680" s="4" t="n">
        <v>11</v>
      </c>
      <c r="G680" t="inlineStr">
        <is>
          <t>British Columbia</t>
        </is>
      </c>
      <c r="H680" t="inlineStr">
        <is>
          <t>Arbutus Club</t>
        </is>
      </c>
      <c r="I680" t="n">
        <v>39.3</v>
      </c>
      <c r="J680" s="4" t="n">
        <v>46</v>
      </c>
      <c r="K680" t="inlineStr">
        <is>
          <t>19 / 27</t>
        </is>
      </c>
      <c r="L680" t="inlineStr">
        <is>
          <t>15 / 21</t>
        </is>
      </c>
      <c r="M680" s="5" t="n">
        <v>0.41</v>
      </c>
      <c r="N680" s="5" t="n">
        <v>0.42</v>
      </c>
    </row>
    <row r="681">
      <c r="A681" t="n">
        <v>680</v>
      </c>
      <c r="B681" t="n">
        <v>2012</v>
      </c>
      <c r="C681" t="inlineStr">
        <is>
          <t>Harper Van Beveren</t>
        </is>
      </c>
      <c r="D681">
        <f>HYPERLINK("https://ota.tournamentsoftware.com/player-profile/5981FBA6-1FF9-4CF8-8DE2-DDB8BFEA4094", "Link")</f>
        <v/>
      </c>
      <c r="E681" s="3" t="n">
        <v>25.531</v>
      </c>
      <c r="F681" s="4" t="n">
        <v>2</v>
      </c>
      <c r="G681" t="inlineStr">
        <is>
          <t>Ontario Tennis Association</t>
        </is>
      </c>
      <c r="H681" t="inlineStr">
        <is>
          <t>Rosedale Tennis Club (Hamilton)</t>
        </is>
      </c>
      <c r="I681" t="inlineStr">
        <is>
          <t>unavailable</t>
        </is>
      </c>
      <c r="J681" s="4" t="n">
        <v>16</v>
      </c>
      <c r="K681" t="inlineStr">
        <is>
          <t>5 / 11</t>
        </is>
      </c>
      <c r="L681" t="inlineStr">
        <is>
          <t>1 / 1</t>
        </is>
      </c>
      <c r="M681" s="5" t="n">
        <v>0.31</v>
      </c>
      <c r="N681" s="5" t="n">
        <v>0.5</v>
      </c>
    </row>
    <row r="682">
      <c r="A682" t="n">
        <v>681</v>
      </c>
      <c r="B682" t="n">
        <v>2014</v>
      </c>
      <c r="C682" t="inlineStr">
        <is>
          <t>kunyou Guan</t>
        </is>
      </c>
      <c r="D682">
        <f>HYPERLINK("https://ota.tournamentsoftware.com/player-profile/1F3E9C6C-8AD9-4B0B-B88C-410B372DBAF5", "Link")</f>
        <v/>
      </c>
      <c r="E682" s="3" t="n">
        <v>25.267</v>
      </c>
      <c r="F682" s="4" t="n">
        <v>6</v>
      </c>
      <c r="G682" t="inlineStr">
        <is>
          <t>Ontario Tennis Association</t>
        </is>
      </c>
      <c r="H682" t="inlineStr">
        <is>
          <t>Mayfair West Fitness &amp; Racquet Club</t>
        </is>
      </c>
      <c r="I682" t="n">
        <v>37.6</v>
      </c>
      <c r="J682" s="4" t="n">
        <v>36</v>
      </c>
      <c r="K682" t="inlineStr">
        <is>
          <t>18 / 18</t>
        </is>
      </c>
      <c r="L682" t="inlineStr">
        <is>
          <t>5 / 7</t>
        </is>
      </c>
      <c r="M682" s="5" t="n">
        <v>0.5</v>
      </c>
      <c r="N682" s="5" t="n">
        <v>0.42</v>
      </c>
    </row>
    <row r="683">
      <c r="A683" t="n">
        <v>682</v>
      </c>
      <c r="B683" t="n">
        <v>2014</v>
      </c>
      <c r="C683" t="inlineStr">
        <is>
          <t>Mia Krusarovski</t>
        </is>
      </c>
      <c r="D683">
        <f>HYPERLINK("https://ota.tournamentsoftware.com/player-profile/BE8F67EB-3C85-4EE8-8915-58C34DCD86C7", "Link")</f>
        <v/>
      </c>
      <c r="E683" s="3" t="n">
        <v>25.17</v>
      </c>
      <c r="F683" s="4" t="n">
        <v>3</v>
      </c>
      <c r="G683" t="inlineStr">
        <is>
          <t>Ontario Tennis Association</t>
        </is>
      </c>
      <c r="H683" t="inlineStr">
        <is>
          <t>Zekelman Tennis Centre</t>
        </is>
      </c>
      <c r="I683" t="n">
        <v>34.8</v>
      </c>
      <c r="J683" s="4" t="n">
        <v>16</v>
      </c>
      <c r="K683" t="inlineStr">
        <is>
          <t>5 / 11</t>
        </is>
      </c>
      <c r="L683" t="inlineStr">
        <is>
          <t>4 / 2</t>
        </is>
      </c>
      <c r="M683" s="5" t="n">
        <v>0.31</v>
      </c>
      <c r="N683" s="5" t="n">
        <v>0.67</v>
      </c>
    </row>
    <row r="684">
      <c r="A684" t="n">
        <v>683</v>
      </c>
      <c r="B684" t="n">
        <v>2014</v>
      </c>
      <c r="C684" t="inlineStr">
        <is>
          <t>Adrianna Rajchel</t>
        </is>
      </c>
      <c r="D684">
        <f>HYPERLINK("https://ota.tournamentsoftware.com/player-profile/CF345FA9-9F2F-4BDB-8B66-131A15D8B231", "Link")</f>
        <v/>
      </c>
      <c r="E684" s="3" t="n">
        <v>24.832</v>
      </c>
      <c r="F684" s="4" t="n">
        <v>3</v>
      </c>
      <c r="G684" t="inlineStr">
        <is>
          <t>Ontario Tennis Association</t>
        </is>
      </c>
      <c r="H684" t="inlineStr">
        <is>
          <t>Carleton Tennis Centre</t>
        </is>
      </c>
      <c r="I684" t="n">
        <v>38.5</v>
      </c>
      <c r="J684" s="4" t="n">
        <v>15</v>
      </c>
      <c r="K684" t="inlineStr">
        <is>
          <t>4 / 11</t>
        </is>
      </c>
      <c r="L684" t="inlineStr">
        <is>
          <t>1 / 3</t>
        </is>
      </c>
      <c r="M684" s="5" t="n">
        <v>0.27</v>
      </c>
      <c r="N684" s="5" t="n">
        <v>0.25</v>
      </c>
    </row>
    <row r="685">
      <c r="A685" t="n">
        <v>684</v>
      </c>
      <c r="B685" t="n">
        <v>2016</v>
      </c>
      <c r="C685" t="inlineStr">
        <is>
          <t>Jessie DONG</t>
        </is>
      </c>
      <c r="D685">
        <f>HYPERLINK("https://ota.tournamentsoftware.com/player-profile/DD46DDC2-A0FA-4A57-9C2B-207D02D3DFB6", "Link")</f>
        <v/>
      </c>
      <c r="E685" s="3" t="n">
        <v>24.6</v>
      </c>
      <c r="F685" s="4" t="n">
        <v>6</v>
      </c>
      <c r="G685" t="inlineStr">
        <is>
          <t>Ontario Tennis Association</t>
        </is>
      </c>
      <c r="H685" t="inlineStr">
        <is>
          <t>Premier Racquet Clubs – Mississauga</t>
        </is>
      </c>
      <c r="I685" t="n">
        <v>37.5</v>
      </c>
      <c r="J685" s="4" t="n">
        <v>58</v>
      </c>
      <c r="K685" t="inlineStr">
        <is>
          <t>24 / 34</t>
        </is>
      </c>
      <c r="L685" t="inlineStr">
        <is>
          <t>24 / 34</t>
        </is>
      </c>
      <c r="M685" s="5" t="n">
        <v>0.41</v>
      </c>
      <c r="N685" s="5" t="n">
        <v>0.41</v>
      </c>
    </row>
    <row r="686">
      <c r="A686" t="n">
        <v>685</v>
      </c>
      <c r="B686" t="n">
        <v>2013</v>
      </c>
      <c r="C686" t="inlineStr">
        <is>
          <t>Seher Sharma</t>
        </is>
      </c>
      <c r="D686">
        <f>HYPERLINK("https://ota.tournamentsoftware.com/player-profile/383B0843-9E5F-4A01-8304-C01EA147B7A2", "Link")</f>
        <v/>
      </c>
      <c r="E686" s="3" t="n">
        <v>24.524</v>
      </c>
      <c r="F686" s="4" t="n">
        <v>2</v>
      </c>
      <c r="G686" t="inlineStr">
        <is>
          <t>Ontario Tennis Association</t>
        </is>
      </c>
      <c r="H686" t="inlineStr">
        <is>
          <t>Glendale Tennis Club</t>
        </is>
      </c>
      <c r="I686" t="inlineStr">
        <is>
          <t>unavailable</t>
        </is>
      </c>
      <c r="J686" s="4" t="n">
        <v>17</v>
      </c>
      <c r="K686" t="inlineStr">
        <is>
          <t>4 / 13</t>
        </is>
      </c>
      <c r="L686" t="inlineStr">
        <is>
          <t>0 / 4</t>
        </is>
      </c>
      <c r="M686" s="5" t="n">
        <v>0.24</v>
      </c>
      <c r="N686" s="5" t="n">
        <v>0</v>
      </c>
    </row>
    <row r="687">
      <c r="A687" t="n">
        <v>686</v>
      </c>
      <c r="B687" t="n">
        <v>2015</v>
      </c>
      <c r="C687" t="inlineStr">
        <is>
          <t>Milana Maor</t>
        </is>
      </c>
      <c r="D687">
        <f>HYPERLINK("https://ota.tournamentsoftware.com/player-profile/EFC2E194-22E1-4017-A2E8-0B41E7DB9101", "Link")</f>
        <v/>
      </c>
      <c r="E687" s="3" t="n">
        <v>24.284</v>
      </c>
      <c r="F687" s="4" t="n">
        <v>6</v>
      </c>
      <c r="G687" t="inlineStr">
        <is>
          <t>Ontario Tennis Association</t>
        </is>
      </c>
      <c r="H687" t="inlineStr">
        <is>
          <t>No Club</t>
        </is>
      </c>
      <c r="I687" t="n">
        <v>37.2</v>
      </c>
      <c r="J687" s="4" t="n">
        <v>54</v>
      </c>
      <c r="K687" t="inlineStr">
        <is>
          <t>22 / 32</t>
        </is>
      </c>
      <c r="L687" t="inlineStr">
        <is>
          <t>5 / 13</t>
        </is>
      </c>
      <c r="M687" s="5" t="n">
        <v>0.41</v>
      </c>
      <c r="N687" s="5" t="n">
        <v>0.28</v>
      </c>
    </row>
    <row r="688">
      <c r="A688" t="n">
        <v>687</v>
      </c>
      <c r="B688" t="n">
        <v>2016</v>
      </c>
      <c r="C688" t="inlineStr">
        <is>
          <t>Ama Marie Elvira Kouadio</t>
        </is>
      </c>
      <c r="D688">
        <f>HYPERLINK("https://ota.tournamentsoftware.com/player-profile/25362040-6649-44FF-A97B-DDFA8FFF0B73", "Link")</f>
        <v/>
      </c>
      <c r="E688" s="3" t="n">
        <v>24.103</v>
      </c>
      <c r="F688" s="4" t="n">
        <v>2</v>
      </c>
      <c r="G688" t="inlineStr">
        <is>
          <t>Tennis Québec</t>
        </is>
      </c>
      <c r="H688" t="inlineStr">
        <is>
          <t>Carrefour Multisports</t>
        </is>
      </c>
      <c r="I688" t="n">
        <v>34.4</v>
      </c>
      <c r="J688" s="4" t="n">
        <v>65</v>
      </c>
      <c r="K688" t="inlineStr">
        <is>
          <t>41 / 24</t>
        </is>
      </c>
      <c r="L688" t="inlineStr">
        <is>
          <t>5 / 4</t>
        </is>
      </c>
      <c r="M688" s="5" t="n">
        <v>0.63</v>
      </c>
      <c r="N688" s="5" t="n">
        <v>0.5600000000000001</v>
      </c>
    </row>
    <row r="689">
      <c r="A689" t="n">
        <v>688</v>
      </c>
      <c r="B689" t="n">
        <v>2012</v>
      </c>
      <c r="C689" t="inlineStr">
        <is>
          <t>Naomi Lau</t>
        </is>
      </c>
      <c r="D689">
        <f>HYPERLINK("https://ota.tournamentsoftware.com/player-profile/0A97F4BF-4260-46FD-AB50-BFA06A31A239", "Link")</f>
        <v/>
      </c>
      <c r="E689" s="3" t="n">
        <v>24.089</v>
      </c>
      <c r="F689" s="4" t="n">
        <v>2</v>
      </c>
      <c r="G689" t="inlineStr">
        <is>
          <t>Ontario Tennis Association</t>
        </is>
      </c>
      <c r="H689" t="inlineStr">
        <is>
          <t>Central Tennis Club</t>
        </is>
      </c>
      <c r="I689" t="n">
        <v>37.2</v>
      </c>
      <c r="J689" s="4" t="n">
        <v>32</v>
      </c>
      <c r="K689" t="inlineStr">
        <is>
          <t>12 / 20</t>
        </is>
      </c>
      <c r="L689" t="inlineStr">
        <is>
          <t>6 / 6</t>
        </is>
      </c>
      <c r="M689" s="5" t="n">
        <v>0.38</v>
      </c>
      <c r="N689" s="5" t="n">
        <v>0.5</v>
      </c>
    </row>
    <row r="690">
      <c r="A690" t="n">
        <v>689</v>
      </c>
      <c r="B690" t="n">
        <v>2015</v>
      </c>
      <c r="C690" t="inlineStr">
        <is>
          <t>Diana Troitska</t>
        </is>
      </c>
      <c r="D690">
        <f>HYPERLINK("https://ota.tournamentsoftware.com/player-profile/6F22C01B-A1B6-4624-8606-C4D0FEB24026", "Link")</f>
        <v/>
      </c>
      <c r="E690" s="3" t="n">
        <v>23.546</v>
      </c>
      <c r="F690" s="4" t="n">
        <v>2</v>
      </c>
      <c r="G690" t="inlineStr">
        <is>
          <t>Tennis Québec</t>
        </is>
      </c>
      <c r="H690" t="inlineStr">
        <is>
          <t>No Club</t>
        </is>
      </c>
      <c r="I690" t="inlineStr">
        <is>
          <t>unavailable</t>
        </is>
      </c>
      <c r="J690" s="4" t="n">
        <v>13</v>
      </c>
      <c r="K690" t="inlineStr">
        <is>
          <t>2 / 11</t>
        </is>
      </c>
      <c r="L690" t="inlineStr">
        <is>
          <t>0 / 1</t>
        </is>
      </c>
      <c r="M690" s="5" t="n">
        <v>0.15</v>
      </c>
      <c r="N690" s="5" t="n">
        <v>0</v>
      </c>
    </row>
    <row r="691">
      <c r="A691" t="n">
        <v>690</v>
      </c>
      <c r="B691" t="n">
        <v>2012</v>
      </c>
      <c r="C691" t="inlineStr">
        <is>
          <t>Nika Yaghoubi</t>
        </is>
      </c>
      <c r="D691">
        <f>HYPERLINK("https://ota.tournamentsoftware.com/player-profile/D6970753-702D-4123-8798-708EAC6B7E32", "Link")</f>
        <v/>
      </c>
      <c r="E691" s="3" t="n">
        <v>23.448</v>
      </c>
      <c r="F691" s="4" t="n">
        <v>2</v>
      </c>
      <c r="G691" t="inlineStr">
        <is>
          <t>Tennis Alberta</t>
        </is>
      </c>
      <c r="H691" t="inlineStr">
        <is>
          <t>Saville Community Sports Centre</t>
        </is>
      </c>
      <c r="I691" t="n">
        <v>35.1</v>
      </c>
      <c r="J691" s="4" t="n">
        <v>12</v>
      </c>
      <c r="K691" t="inlineStr">
        <is>
          <t>6 / 6</t>
        </is>
      </c>
      <c r="L691" t="inlineStr">
        <is>
          <t>6 / 6</t>
        </is>
      </c>
      <c r="M691" s="5" t="n">
        <v>0.5</v>
      </c>
      <c r="N691" s="5" t="n">
        <v>0.5</v>
      </c>
    </row>
    <row r="692">
      <c r="A692" t="n">
        <v>691</v>
      </c>
      <c r="B692" t="n">
        <v>2015</v>
      </c>
      <c r="C692" t="inlineStr">
        <is>
          <t>Cassia Contreras</t>
        </is>
      </c>
      <c r="D692">
        <f>HYPERLINK("https://ota.tournamentsoftware.com/player-profile/84692E6B-274F-4FC9-9179-D4BC6F34FCEE", "Link")</f>
        <v/>
      </c>
      <c r="E692" s="3" t="n">
        <v>23.208</v>
      </c>
      <c r="F692" s="4" t="n">
        <v>4</v>
      </c>
      <c r="G692" t="inlineStr">
        <is>
          <t>Ontario Tennis Association</t>
        </is>
      </c>
      <c r="H692" t="inlineStr">
        <is>
          <t>Toronto Tennis Academy</t>
        </is>
      </c>
      <c r="I692" t="inlineStr">
        <is>
          <t>unavailable</t>
        </is>
      </c>
      <c r="J692" s="4" t="n">
        <v>50</v>
      </c>
      <c r="K692" t="inlineStr">
        <is>
          <t>18 / 32</t>
        </is>
      </c>
      <c r="L692" t="inlineStr">
        <is>
          <t>5 / 7</t>
        </is>
      </c>
      <c r="M692" s="5" t="n">
        <v>0.36</v>
      </c>
      <c r="N692" s="5" t="n">
        <v>0.42</v>
      </c>
    </row>
    <row r="693">
      <c r="A693" t="n">
        <v>692</v>
      </c>
      <c r="B693" t="n">
        <v>2015</v>
      </c>
      <c r="C693" t="inlineStr">
        <is>
          <t>Margot Couture</t>
        </is>
      </c>
      <c r="D693">
        <f>HYPERLINK("https://ota.tournamentsoftware.com/player-profile/7DE265DB-E3E6-4C4E-90BD-199DB99DCAEB", "Link")</f>
        <v/>
      </c>
      <c r="E693" s="3" t="n">
        <v>23.186</v>
      </c>
      <c r="F693" s="4" t="n">
        <v>5</v>
      </c>
      <c r="G693" t="inlineStr">
        <is>
          <t>Tennis Québec</t>
        </is>
      </c>
      <c r="H693" t="inlineStr">
        <is>
          <t>SANI Sport</t>
        </is>
      </c>
      <c r="I693" t="n">
        <v>38.1</v>
      </c>
      <c r="J693" s="4" t="n">
        <v>27</v>
      </c>
      <c r="K693" t="inlineStr">
        <is>
          <t>7 / 20</t>
        </is>
      </c>
      <c r="L693" t="inlineStr">
        <is>
          <t>2 / 5</t>
        </is>
      </c>
      <c r="M693" s="5" t="n">
        <v>0.26</v>
      </c>
      <c r="N693" s="5" t="n">
        <v>0.29</v>
      </c>
    </row>
    <row r="694">
      <c r="A694" t="n">
        <v>693</v>
      </c>
      <c r="B694" t="n">
        <v>2015</v>
      </c>
      <c r="C694" t="inlineStr">
        <is>
          <t>Eliana Green</t>
        </is>
      </c>
      <c r="D694">
        <f>HYPERLINK("https://ota.tournamentsoftware.com/player-profile/6AF8FC12-BD58-4E7C-B446-1CAAB9ADE85D", "Link")</f>
        <v/>
      </c>
      <c r="E694" s="3" t="n">
        <v>23.112</v>
      </c>
      <c r="F694" s="4" t="n">
        <v>1</v>
      </c>
      <c r="G694" t="inlineStr">
        <is>
          <t>Tennis Saskatchewan</t>
        </is>
      </c>
      <c r="H694" t="inlineStr">
        <is>
          <t>Lakeshore Tennis Club</t>
        </is>
      </c>
      <c r="I694" t="n">
        <v>38.1</v>
      </c>
      <c r="J694" s="4" t="n">
        <v>32</v>
      </c>
      <c r="K694" t="inlineStr">
        <is>
          <t>5 / 27</t>
        </is>
      </c>
      <c r="L694" t="inlineStr">
        <is>
          <t>2 / 4</t>
        </is>
      </c>
      <c r="M694" s="5" t="n">
        <v>0.16</v>
      </c>
      <c r="N694" s="5" t="n">
        <v>0.33</v>
      </c>
    </row>
    <row r="695">
      <c r="A695" t="n">
        <v>694</v>
      </c>
      <c r="B695" t="n">
        <v>2014</v>
      </c>
      <c r="C695" t="inlineStr">
        <is>
          <t>Dina Chakri</t>
        </is>
      </c>
      <c r="D695">
        <f>HYPERLINK("https://ota.tournamentsoftware.com/player-profile/8824FD85-93E3-4F7D-8968-FC836D77769D", "Link")</f>
        <v/>
      </c>
      <c r="E695" s="3" t="n">
        <v>22.953</v>
      </c>
      <c r="F695" s="4" t="n">
        <v>7</v>
      </c>
      <c r="G695" t="inlineStr">
        <is>
          <t>Tennis Québec</t>
        </is>
      </c>
      <c r="H695" t="inlineStr">
        <is>
          <t>Tennis 13</t>
        </is>
      </c>
      <c r="I695" t="n">
        <v>38.9</v>
      </c>
      <c r="J695" s="4" t="n">
        <v>10</v>
      </c>
      <c r="K695" t="inlineStr">
        <is>
          <t>2 / 8</t>
        </is>
      </c>
      <c r="L695" t="inlineStr">
        <is>
          <t>2 / 8</t>
        </is>
      </c>
      <c r="M695" s="5" t="n">
        <v>0.2</v>
      </c>
      <c r="N695" s="5" t="n">
        <v>0.2</v>
      </c>
    </row>
    <row r="696">
      <c r="A696" t="n">
        <v>695</v>
      </c>
      <c r="B696" t="n">
        <v>2014</v>
      </c>
      <c r="C696" t="inlineStr">
        <is>
          <t>Jasmine El Ouadi</t>
        </is>
      </c>
      <c r="D696">
        <f>HYPERLINK("https://ota.tournamentsoftware.com/player-profile/FBECFAB6-3ABF-4F1B-AD1C-230CB79A1119", "Link")</f>
        <v/>
      </c>
      <c r="E696" s="3" t="n">
        <v>22.903</v>
      </c>
      <c r="F696" s="4" t="n">
        <v>6</v>
      </c>
      <c r="G696" t="inlineStr">
        <is>
          <t>Tennis Alberta</t>
        </is>
      </c>
      <c r="H696" t="inlineStr">
        <is>
          <t>Calgary - Public</t>
        </is>
      </c>
      <c r="I696" t="n">
        <v>40</v>
      </c>
      <c r="J696" s="4" t="n">
        <v>11</v>
      </c>
      <c r="K696" t="inlineStr">
        <is>
          <t>0 / 11</t>
        </is>
      </c>
      <c r="L696" t="inlineStr">
        <is>
          <t>0 / 3</t>
        </is>
      </c>
      <c r="M696" s="5" t="n">
        <v>0</v>
      </c>
      <c r="N696" s="5" t="n">
        <v>0</v>
      </c>
    </row>
    <row r="697">
      <c r="A697" t="n">
        <v>696</v>
      </c>
      <c r="B697" t="n">
        <v>2016</v>
      </c>
      <c r="C697" t="inlineStr">
        <is>
          <t>Emma Yu</t>
        </is>
      </c>
      <c r="D697">
        <f>HYPERLINK("https://ota.tournamentsoftware.com/player-profile/08E91FF6-D5E8-42FC-9B0D-2002B0263706", "Link")</f>
        <v/>
      </c>
      <c r="E697" s="3" t="n">
        <v>22.896</v>
      </c>
      <c r="F697" s="4" t="n">
        <v>4</v>
      </c>
      <c r="G697" t="inlineStr">
        <is>
          <t>Tennis Nova Scotia</t>
        </is>
      </c>
      <c r="H697" t="inlineStr">
        <is>
          <t>Atlantic Tennis Centre</t>
        </is>
      </c>
      <c r="I697" t="n">
        <v>36</v>
      </c>
      <c r="J697" s="4" t="n">
        <v>41</v>
      </c>
      <c r="K697" t="inlineStr">
        <is>
          <t>24 / 17</t>
        </is>
      </c>
      <c r="L697" t="inlineStr">
        <is>
          <t>16 / 6</t>
        </is>
      </c>
      <c r="M697" s="5" t="n">
        <v>0.59</v>
      </c>
      <c r="N697" s="5" t="n">
        <v>0.73</v>
      </c>
    </row>
    <row r="698">
      <c r="A698" t="n">
        <v>697</v>
      </c>
      <c r="B698" t="n">
        <v>2015</v>
      </c>
      <c r="C698" t="inlineStr">
        <is>
          <t>Laila Hilmi</t>
        </is>
      </c>
      <c r="D698">
        <f>HYPERLINK("https://ota.tournamentsoftware.com/player-profile/73A707F1-78B1-45FE-A608-D2E6AA82EA8F", "Link")</f>
        <v/>
      </c>
      <c r="E698" s="3" t="n">
        <v>22.595</v>
      </c>
      <c r="F698" s="4" t="n">
        <v>3</v>
      </c>
      <c r="G698" t="inlineStr">
        <is>
          <t>Tennis Québec</t>
        </is>
      </c>
      <c r="H698" t="inlineStr">
        <is>
          <t>Tennis Montréal Excellence</t>
        </is>
      </c>
      <c r="I698" t="inlineStr">
        <is>
          <t>unavailable</t>
        </is>
      </c>
      <c r="J698" s="4" t="n">
        <v>46</v>
      </c>
      <c r="K698" t="inlineStr">
        <is>
          <t>13 / 33</t>
        </is>
      </c>
      <c r="L698" t="inlineStr">
        <is>
          <t>4 / 3</t>
        </is>
      </c>
      <c r="M698" s="5" t="n">
        <v>0.28</v>
      </c>
      <c r="N698" s="5" t="n">
        <v>0.57</v>
      </c>
    </row>
    <row r="699">
      <c r="A699" t="n">
        <v>698</v>
      </c>
      <c r="B699" t="n">
        <v>2012</v>
      </c>
      <c r="C699" t="inlineStr">
        <is>
          <t>Ruike Ni</t>
        </is>
      </c>
      <c r="D699">
        <f>HYPERLINK("https://ota.tournamentsoftware.com/player-profile/862000EB-CE8E-4CA2-BA1E-5441407CA2E5", "Link")</f>
        <v/>
      </c>
      <c r="E699" s="3" t="n">
        <v>22.464</v>
      </c>
      <c r="F699" s="4" t="n">
        <v>2</v>
      </c>
      <c r="G699" t="inlineStr">
        <is>
          <t>British Columbia</t>
        </is>
      </c>
      <c r="H699" t="inlineStr">
        <is>
          <t>Tennis for Life</t>
        </is>
      </c>
      <c r="I699" t="n">
        <v>38.5</v>
      </c>
      <c r="J699" s="4" t="n">
        <v>7</v>
      </c>
      <c r="K699" t="inlineStr">
        <is>
          <t>2 / 5</t>
        </is>
      </c>
      <c r="L699" t="inlineStr">
        <is>
          <t>0 / 2</t>
        </is>
      </c>
      <c r="M699" s="5" t="n">
        <v>0.29</v>
      </c>
      <c r="N699" s="5" t="n">
        <v>0</v>
      </c>
    </row>
    <row r="700">
      <c r="A700" t="n">
        <v>699</v>
      </c>
      <c r="B700" t="n">
        <v>2014</v>
      </c>
      <c r="C700" t="inlineStr">
        <is>
          <t>Ariella Naomi Shegelman</t>
        </is>
      </c>
      <c r="D700">
        <f>HYPERLINK("https://ota.tournamentsoftware.com/player-profile/F4A076BF-B4C6-4301-B22A-3E13FD483AD5", "Link")</f>
        <v/>
      </c>
      <c r="E700" s="3" t="n">
        <v>22.405</v>
      </c>
      <c r="F700" s="4" t="n">
        <v>3</v>
      </c>
      <c r="G700" t="inlineStr">
        <is>
          <t>Ontario Tennis Association</t>
        </is>
      </c>
      <c r="H700" t="inlineStr">
        <is>
          <t>Concord Tennis Academy</t>
        </is>
      </c>
      <c r="I700" t="n">
        <v>35.9</v>
      </c>
      <c r="J700" s="4" t="n">
        <v>28</v>
      </c>
      <c r="K700" t="inlineStr">
        <is>
          <t>14 / 14</t>
        </is>
      </c>
      <c r="L700" t="inlineStr">
        <is>
          <t>4 / 4</t>
        </is>
      </c>
      <c r="M700" s="5" t="n">
        <v>0.5</v>
      </c>
      <c r="N700" s="5" t="n">
        <v>0.5</v>
      </c>
    </row>
    <row r="701">
      <c r="A701" t="n">
        <v>700</v>
      </c>
      <c r="B701" t="n">
        <v>2015</v>
      </c>
      <c r="C701" t="inlineStr">
        <is>
          <t>Nalla Isabella Lteif</t>
        </is>
      </c>
      <c r="D701">
        <f>HYPERLINK("https://ota.tournamentsoftware.com/player-profile/B0DC1A2D-B87B-4E66-A5EE-9C9F6EC668D4", "Link")</f>
        <v/>
      </c>
      <c r="E701" s="3" t="n">
        <v>21.849</v>
      </c>
      <c r="F701" s="4" t="n">
        <v>4</v>
      </c>
      <c r="G701" t="inlineStr">
        <is>
          <t>Tennis Québec</t>
        </is>
      </c>
      <c r="H701" t="inlineStr">
        <is>
          <t>Carrefour Multisports</t>
        </is>
      </c>
      <c r="I701" t="n">
        <v>37.9</v>
      </c>
      <c r="J701" s="4" t="n">
        <v>12</v>
      </c>
      <c r="K701" t="inlineStr">
        <is>
          <t>5 / 7</t>
        </is>
      </c>
      <c r="L701" t="inlineStr">
        <is>
          <t>3 / 4</t>
        </is>
      </c>
      <c r="M701" s="5" t="n">
        <v>0.42</v>
      </c>
      <c r="N701" s="5" t="n">
        <v>0.43</v>
      </c>
    </row>
    <row r="702">
      <c r="A702" t="n">
        <v>701</v>
      </c>
      <c r="B702" t="n">
        <v>2015</v>
      </c>
      <c r="C702" t="inlineStr">
        <is>
          <t>Hannah Lewis</t>
        </is>
      </c>
      <c r="D702">
        <f>HYPERLINK("https://ota.tournamentsoftware.com/player-profile/B25290C5-DB82-4ED0-843D-33516AFF301F", "Link")</f>
        <v/>
      </c>
      <c r="E702" s="3" t="n">
        <v>21.645</v>
      </c>
      <c r="F702" s="4" t="n">
        <v>4</v>
      </c>
      <c r="G702" t="inlineStr">
        <is>
          <t>Ontario Tennis Association</t>
        </is>
      </c>
      <c r="H702" t="inlineStr">
        <is>
          <t>Tam Heather Tennis Club</t>
        </is>
      </c>
      <c r="I702" t="n">
        <v>38.3</v>
      </c>
      <c r="J702" s="4" t="n">
        <v>43</v>
      </c>
      <c r="K702" t="inlineStr">
        <is>
          <t>13 / 30</t>
        </is>
      </c>
      <c r="L702" t="inlineStr">
        <is>
          <t>12 / 13</t>
        </is>
      </c>
      <c r="M702" s="5" t="n">
        <v>0.3</v>
      </c>
      <c r="N702" s="5" t="n">
        <v>0.48</v>
      </c>
    </row>
    <row r="703">
      <c r="A703" t="n">
        <v>702</v>
      </c>
      <c r="B703" t="n">
        <v>2014</v>
      </c>
      <c r="C703" t="inlineStr">
        <is>
          <t>Camila Danielle Arias</t>
        </is>
      </c>
      <c r="D703">
        <f>HYPERLINK("https://ota.tournamentsoftware.com/player-profile/7E2B5B8F-95C7-4374-8F7F-D60E81CAB657", "Link")</f>
        <v/>
      </c>
      <c r="E703" s="3" t="n">
        <v>21.537</v>
      </c>
      <c r="F703" s="4" t="n">
        <v>6</v>
      </c>
      <c r="G703" t="inlineStr">
        <is>
          <t>Tennis Québec</t>
        </is>
      </c>
      <c r="H703" t="inlineStr">
        <is>
          <t>SANI Sport</t>
        </is>
      </c>
      <c r="I703" t="inlineStr">
        <is>
          <t>unavailable</t>
        </is>
      </c>
      <c r="J703" s="4" t="n">
        <v>40</v>
      </c>
      <c r="K703" t="inlineStr">
        <is>
          <t>13 / 27</t>
        </is>
      </c>
      <c r="L703" t="inlineStr">
        <is>
          <t>4 / 4</t>
        </is>
      </c>
      <c r="M703" s="5" t="n">
        <v>0.33</v>
      </c>
      <c r="N703" s="5" t="n">
        <v>0.5</v>
      </c>
    </row>
    <row r="704">
      <c r="A704" t="n">
        <v>703</v>
      </c>
      <c r="B704" t="n">
        <v>2016</v>
      </c>
      <c r="C704" t="inlineStr">
        <is>
          <t>Brielle Han</t>
        </is>
      </c>
      <c r="D704">
        <f>HYPERLINK("https://ota.tournamentsoftware.com/player-profile/76F58D78-6F14-462B-9C79-943F718FD16A", "Link")</f>
        <v/>
      </c>
      <c r="E704" s="3" t="n">
        <v>21.501</v>
      </c>
      <c r="F704" s="4" t="n">
        <v>9</v>
      </c>
      <c r="G704" t="inlineStr">
        <is>
          <t>British Columbia</t>
        </is>
      </c>
      <c r="H704" t="inlineStr">
        <is>
          <t>North Vancouver Tennis Centre</t>
        </is>
      </c>
      <c r="I704" t="inlineStr">
        <is>
          <t>unavailable</t>
        </is>
      </c>
      <c r="J704" s="4" t="n">
        <v>200</v>
      </c>
      <c r="K704" t="inlineStr">
        <is>
          <t>69 / 131</t>
        </is>
      </c>
      <c r="L704" t="inlineStr">
        <is>
          <t>21 / 19</t>
        </is>
      </c>
      <c r="M704" s="5" t="n">
        <v>0.34</v>
      </c>
      <c r="N704" s="5" t="n">
        <v>0.53</v>
      </c>
    </row>
    <row r="705">
      <c r="A705" t="n">
        <v>704</v>
      </c>
      <c r="B705" t="n">
        <v>2015</v>
      </c>
      <c r="C705" t="inlineStr">
        <is>
          <t>Élisa Deschatelets</t>
        </is>
      </c>
      <c r="D705">
        <f>HYPERLINK("https://ota.tournamentsoftware.com/player-profile/C5ECD0AF-5510-44E4-897A-6A3A4D73CDEF", "Link")</f>
        <v/>
      </c>
      <c r="E705" s="3" t="n">
        <v>21.501</v>
      </c>
      <c r="F705" s="4" t="n">
        <v>4</v>
      </c>
      <c r="G705" t="inlineStr">
        <is>
          <t>Tennis Québec</t>
        </is>
      </c>
      <c r="H705" t="inlineStr">
        <is>
          <t>Centre Récréatif Rock Forest / École Tennestrie</t>
        </is>
      </c>
      <c r="I705" t="n">
        <v>40</v>
      </c>
      <c r="J705" s="4" t="n">
        <v>25</v>
      </c>
      <c r="K705" t="inlineStr">
        <is>
          <t>4 / 21</t>
        </is>
      </c>
      <c r="L705" t="inlineStr">
        <is>
          <t>0 / 7</t>
        </is>
      </c>
      <c r="M705" s="5" t="n">
        <v>0.16</v>
      </c>
      <c r="N705" s="5" t="n">
        <v>0</v>
      </c>
    </row>
    <row r="706">
      <c r="A706" t="n">
        <v>705</v>
      </c>
      <c r="B706" t="n">
        <v>2015</v>
      </c>
      <c r="C706" t="inlineStr">
        <is>
          <t>Tara Sepahsalari</t>
        </is>
      </c>
      <c r="D706">
        <f>HYPERLINK("https://ota.tournamentsoftware.com/player-profile/EB26731B-07C8-4C3E-8214-7DD265D4A843", "Link")</f>
        <v/>
      </c>
      <c r="E706" s="3" t="n">
        <v>21.226</v>
      </c>
      <c r="F706" s="4" t="n">
        <v>5</v>
      </c>
      <c r="G706" t="inlineStr">
        <is>
          <t>Tennis Québec</t>
        </is>
      </c>
      <c r="H706" t="inlineStr">
        <is>
          <t>EB Tennis inc.</t>
        </is>
      </c>
      <c r="I706" t="n">
        <v>40</v>
      </c>
      <c r="J706" s="4" t="n">
        <v>33</v>
      </c>
      <c r="K706" t="inlineStr">
        <is>
          <t>5 / 28</t>
        </is>
      </c>
      <c r="L706" t="inlineStr">
        <is>
          <t>1 / 8</t>
        </is>
      </c>
      <c r="M706" s="5" t="n">
        <v>0.15</v>
      </c>
      <c r="N706" s="5" t="n">
        <v>0.11</v>
      </c>
    </row>
    <row r="707">
      <c r="A707" t="n">
        <v>706</v>
      </c>
      <c r="B707" t="n">
        <v>2012</v>
      </c>
      <c r="C707" t="inlineStr">
        <is>
          <t>Elise Landry</t>
        </is>
      </c>
      <c r="D707">
        <f>HYPERLINK("https://ota.tournamentsoftware.com/player-profile/E61A7837-F4EB-4DDA-B26F-2D7CE7910B80", "Link")</f>
        <v/>
      </c>
      <c r="E707" s="3" t="n">
        <v>20.99</v>
      </c>
      <c r="F707" s="4" t="n">
        <v>2</v>
      </c>
      <c r="G707" t="inlineStr">
        <is>
          <t>Ontario Tennis Association</t>
        </is>
      </c>
      <c r="H707" t="inlineStr">
        <is>
          <t>Toronto Tennis City</t>
        </is>
      </c>
      <c r="I707" t="inlineStr">
        <is>
          <t>unavailable</t>
        </is>
      </c>
      <c r="J707" s="4" t="n">
        <v>7</v>
      </c>
      <c r="K707" t="inlineStr">
        <is>
          <t>5 / 2</t>
        </is>
      </c>
      <c r="L707" t="inlineStr">
        <is>
          <t>5 / 2</t>
        </is>
      </c>
      <c r="M707" s="5" t="n">
        <v>0.71</v>
      </c>
      <c r="N707" s="5" t="n">
        <v>0.71</v>
      </c>
    </row>
    <row r="708">
      <c r="A708" t="n">
        <v>707</v>
      </c>
      <c r="B708" t="n">
        <v>2013</v>
      </c>
      <c r="C708" t="inlineStr">
        <is>
          <t>Robin Lee</t>
        </is>
      </c>
      <c r="D708">
        <f>HYPERLINK("https://ota.tournamentsoftware.com/player-profile/0DB12770-F2FF-469C-87ED-5B5A242C6A08", "Link")</f>
        <v/>
      </c>
      <c r="E708" s="3" t="n">
        <v>20.946</v>
      </c>
      <c r="F708" s="4" t="n">
        <v>4</v>
      </c>
      <c r="G708" t="inlineStr">
        <is>
          <t>Ontario Tennis Association</t>
        </is>
      </c>
      <c r="H708" t="inlineStr">
        <is>
          <t>No Club</t>
        </is>
      </c>
      <c r="I708" t="n">
        <v>39.2</v>
      </c>
      <c r="J708" s="4" t="n">
        <v>58</v>
      </c>
      <c r="K708" t="inlineStr">
        <is>
          <t>11 / 47</t>
        </is>
      </c>
      <c r="L708" t="inlineStr">
        <is>
          <t>0 / 0</t>
        </is>
      </c>
      <c r="M708" s="5" t="n">
        <v>0.19</v>
      </c>
      <c r="N708" s="5" t="n">
        <v>0</v>
      </c>
    </row>
    <row r="709">
      <c r="A709" t="n">
        <v>708</v>
      </c>
      <c r="B709" t="n">
        <v>2014</v>
      </c>
      <c r="C709" t="inlineStr">
        <is>
          <t>Marie Renaud</t>
        </is>
      </c>
      <c r="D709">
        <f>HYPERLINK("https://ota.tournamentsoftware.com/player-profile/9538BC58-3E12-400B-B7A6-AA4E495D60F5", "Link")</f>
        <v/>
      </c>
      <c r="E709" s="3" t="n">
        <v>20.916</v>
      </c>
      <c r="F709" s="4" t="n">
        <v>2</v>
      </c>
      <c r="G709" t="inlineStr">
        <is>
          <t>Tennis Québec</t>
        </is>
      </c>
      <c r="H709" t="inlineStr">
        <is>
          <t>Les Tennis de Rimouski (intérieur)</t>
        </is>
      </c>
      <c r="I709" t="inlineStr">
        <is>
          <t>unavailable</t>
        </is>
      </c>
      <c r="J709" s="4" t="n">
        <v>6</v>
      </c>
      <c r="K709" t="inlineStr">
        <is>
          <t>2 / 4</t>
        </is>
      </c>
      <c r="L709" t="inlineStr">
        <is>
          <t>2 / 4</t>
        </is>
      </c>
      <c r="M709" s="5" t="n">
        <v>0.33</v>
      </c>
      <c r="N709" s="5" t="n">
        <v>0.33</v>
      </c>
    </row>
    <row r="710">
      <c r="A710" t="n">
        <v>709</v>
      </c>
      <c r="B710" t="n">
        <v>2013</v>
      </c>
      <c r="C710" t="inlineStr">
        <is>
          <t>Vedika P Sant</t>
        </is>
      </c>
      <c r="D710">
        <f>HYPERLINK("https://ota.tournamentsoftware.com/player-profile/37441797-5F95-4518-997F-3F1602AC6E85", "Link")</f>
        <v/>
      </c>
      <c r="E710" s="3" t="n">
        <v>20.667</v>
      </c>
      <c r="F710" s="4" t="n">
        <v>1</v>
      </c>
      <c r="G710" t="inlineStr">
        <is>
          <t>Ontario Tennis Association</t>
        </is>
      </c>
      <c r="H710" t="inlineStr">
        <is>
          <t>Martingrove Tennis Club</t>
        </is>
      </c>
      <c r="I710" t="inlineStr">
        <is>
          <t>unavailable</t>
        </is>
      </c>
      <c r="J710" s="4" t="n">
        <v>8</v>
      </c>
      <c r="K710" t="inlineStr">
        <is>
          <t>2 / 6</t>
        </is>
      </c>
      <c r="L710" t="inlineStr">
        <is>
          <t>0 / 1</t>
        </is>
      </c>
      <c r="M710" s="5" t="n">
        <v>0.25</v>
      </c>
      <c r="N710" s="5" t="n">
        <v>0</v>
      </c>
    </row>
    <row r="711">
      <c r="A711" t="n">
        <v>710</v>
      </c>
      <c r="B711" t="n">
        <v>2016</v>
      </c>
      <c r="C711" t="inlineStr">
        <is>
          <t>Hazel Geng</t>
        </is>
      </c>
      <c r="D711">
        <f>HYPERLINK("https://ota.tournamentsoftware.com/player-profile/00BB4A74-B4FB-4FAC-B874-79D9E778FAAE", "Link")</f>
        <v/>
      </c>
      <c r="E711" s="3" t="n">
        <v>20.417</v>
      </c>
      <c r="F711" s="4" t="n">
        <v>4</v>
      </c>
      <c r="G711" t="inlineStr">
        <is>
          <t>British Columbia</t>
        </is>
      </c>
      <c r="H711" t="inlineStr">
        <is>
          <t>Vancouver Lawn Tennis and Badminton Club</t>
        </is>
      </c>
      <c r="I711" t="n">
        <v>36.1</v>
      </c>
      <c r="J711" s="4" t="n">
        <v>48</v>
      </c>
      <c r="K711" t="inlineStr">
        <is>
          <t>15 / 33</t>
        </is>
      </c>
      <c r="L711" t="inlineStr">
        <is>
          <t>8 / 5</t>
        </is>
      </c>
      <c r="M711" s="5" t="n">
        <v>0.31</v>
      </c>
      <c r="N711" s="5" t="n">
        <v>0.62</v>
      </c>
    </row>
    <row r="712">
      <c r="A712" t="n">
        <v>711</v>
      </c>
      <c r="B712" t="n">
        <v>2013</v>
      </c>
      <c r="C712" t="inlineStr">
        <is>
          <t>Rebecca Maria Marcu</t>
        </is>
      </c>
      <c r="D712">
        <f>HYPERLINK("https://ota.tournamentsoftware.com/player-profile/1A9DB997-6193-4975-8534-F68D4F83BF32", "Link")</f>
        <v/>
      </c>
      <c r="E712" s="3" t="n">
        <v>20.131</v>
      </c>
      <c r="F712" s="4" t="n">
        <v>2</v>
      </c>
      <c r="G712" t="inlineStr">
        <is>
          <t>Ontario Tennis Association</t>
        </is>
      </c>
      <c r="H712" t="inlineStr">
        <is>
          <t>National Capital Tennis Association</t>
        </is>
      </c>
      <c r="I712" t="inlineStr">
        <is>
          <t>unavailable</t>
        </is>
      </c>
      <c r="J712" s="4" t="n">
        <v>4</v>
      </c>
      <c r="K712" t="inlineStr">
        <is>
          <t>1 / 3</t>
        </is>
      </c>
      <c r="L712" t="inlineStr">
        <is>
          <t>0 / 2</t>
        </is>
      </c>
      <c r="M712" s="5" t="n">
        <v>0.25</v>
      </c>
      <c r="N712" s="5" t="n">
        <v>0</v>
      </c>
    </row>
    <row r="713">
      <c r="A713" t="n">
        <v>712</v>
      </c>
      <c r="B713" t="n">
        <v>2014</v>
      </c>
      <c r="C713" t="inlineStr">
        <is>
          <t>Cheryl Elizabeth Ong</t>
        </is>
      </c>
      <c r="D713">
        <f>HYPERLINK("https://ota.tournamentsoftware.com/player-profile/11AC4E6A-0B03-4BB4-ACB7-333E7FD9064F", "Link")</f>
        <v/>
      </c>
      <c r="E713" s="3" t="n">
        <v>20.052</v>
      </c>
      <c r="F713" s="4" t="n">
        <v>9</v>
      </c>
      <c r="G713" t="inlineStr">
        <is>
          <t>British Columbia</t>
        </is>
      </c>
      <c r="H713" t="inlineStr">
        <is>
          <t>Tennis for Life</t>
        </is>
      </c>
      <c r="I713" t="inlineStr">
        <is>
          <t>unavailable</t>
        </is>
      </c>
      <c r="J713" s="4" t="n">
        <v>38</v>
      </c>
      <c r="K713" t="inlineStr">
        <is>
          <t>11 / 27</t>
        </is>
      </c>
      <c r="L713" t="inlineStr">
        <is>
          <t>7 / 11</t>
        </is>
      </c>
      <c r="M713" s="5" t="n">
        <v>0.29</v>
      </c>
      <c r="N713" s="5" t="n">
        <v>0.39</v>
      </c>
    </row>
    <row r="714">
      <c r="A714" t="n">
        <v>713</v>
      </c>
      <c r="B714" t="n">
        <v>2012</v>
      </c>
      <c r="C714" t="inlineStr">
        <is>
          <t>Emily Chai</t>
        </is>
      </c>
      <c r="D714">
        <f>HYPERLINK("https://ota.tournamentsoftware.com/player-profile/0DE38792-F237-4087-A5C1-369B6A3E0088", "Link")</f>
        <v/>
      </c>
      <c r="E714" s="3" t="n">
        <v>19.958</v>
      </c>
      <c r="F714" s="4" t="n">
        <v>2</v>
      </c>
      <c r="G714" t="inlineStr">
        <is>
          <t>Ontario Tennis Association</t>
        </is>
      </c>
      <c r="H714" t="inlineStr">
        <is>
          <t>ON Tennis Toronto No Club</t>
        </is>
      </c>
      <c r="I714" t="n">
        <v>38.4</v>
      </c>
      <c r="J714" s="4" t="n">
        <v>7</v>
      </c>
      <c r="K714" t="inlineStr">
        <is>
          <t>1 / 6</t>
        </is>
      </c>
      <c r="L714" t="inlineStr">
        <is>
          <t>1 / 6</t>
        </is>
      </c>
      <c r="M714" s="5" t="n">
        <v>0.14</v>
      </c>
      <c r="N714" s="5" t="n">
        <v>0.14</v>
      </c>
    </row>
    <row r="715">
      <c r="A715" t="n">
        <v>714</v>
      </c>
      <c r="B715" t="n">
        <v>2012</v>
      </c>
      <c r="C715" t="inlineStr">
        <is>
          <t>Yulli Anne Tsang</t>
        </is>
      </c>
      <c r="D715">
        <f>HYPERLINK("https://ota.tournamentsoftware.com/player-profile/E8CCFA74-9017-45A2-B403-724A9977CD1E", "Link")</f>
        <v/>
      </c>
      <c r="E715" s="3" t="n">
        <v>19.768</v>
      </c>
      <c r="F715" s="4" t="n">
        <v>5</v>
      </c>
      <c r="G715" t="inlineStr">
        <is>
          <t>Tennis Alberta</t>
        </is>
      </c>
      <c r="H715" t="inlineStr">
        <is>
          <t>Derrick Golf &amp; Winter Club</t>
        </is>
      </c>
      <c r="I715" t="n">
        <v>35.9</v>
      </c>
      <c r="J715" s="4" t="n">
        <v>28</v>
      </c>
      <c r="K715" t="inlineStr">
        <is>
          <t>9 / 19</t>
        </is>
      </c>
      <c r="L715" t="inlineStr">
        <is>
          <t>4 / 8</t>
        </is>
      </c>
      <c r="M715" s="5" t="n">
        <v>0.32</v>
      </c>
      <c r="N715" s="5" t="n">
        <v>0.33</v>
      </c>
    </row>
    <row r="716">
      <c r="A716" t="n">
        <v>715</v>
      </c>
      <c r="B716" t="n">
        <v>2016</v>
      </c>
      <c r="C716" t="inlineStr">
        <is>
          <t>Heidi Liu</t>
        </is>
      </c>
      <c r="D716">
        <f>HYPERLINK("https://ota.tournamentsoftware.com/player-profile/E3F0466B-50E4-4105-A35A-1BB6B1C1C09C", "Link")</f>
        <v/>
      </c>
      <c r="E716" s="3" t="n">
        <v>19.65</v>
      </c>
      <c r="F716" s="4" t="n">
        <v>7</v>
      </c>
      <c r="G716" t="inlineStr">
        <is>
          <t>British Columbia</t>
        </is>
      </c>
      <c r="H716" t="inlineStr">
        <is>
          <t>UBC Tennis Centre</t>
        </is>
      </c>
      <c r="I716" t="n">
        <v>38</v>
      </c>
      <c r="J716" s="4" t="n">
        <v>79</v>
      </c>
      <c r="K716" t="inlineStr">
        <is>
          <t>45 / 34</t>
        </is>
      </c>
      <c r="L716" t="inlineStr">
        <is>
          <t>22 / 21</t>
        </is>
      </c>
      <c r="M716" s="5" t="n">
        <v>0.57</v>
      </c>
      <c r="N716" s="5" t="n">
        <v>0.51</v>
      </c>
    </row>
    <row r="717">
      <c r="A717" t="n">
        <v>716</v>
      </c>
      <c r="B717" t="n">
        <v>2015</v>
      </c>
      <c r="C717" t="inlineStr">
        <is>
          <t>Isla Cowper</t>
        </is>
      </c>
      <c r="D717">
        <f>HYPERLINK("https://ota.tournamentsoftware.com/player-profile/B4F82BC2-5552-446F-89FC-C5F7C7A674B7", "Link")</f>
        <v/>
      </c>
      <c r="E717" s="3" t="n">
        <v>19.629</v>
      </c>
      <c r="F717" s="4" t="n">
        <v>6</v>
      </c>
      <c r="G717" t="inlineStr">
        <is>
          <t>Ontario Tennis Association</t>
        </is>
      </c>
      <c r="H717" t="inlineStr">
        <is>
          <t>Tam Heather Tennis Club</t>
        </is>
      </c>
      <c r="I717" t="n">
        <v>39.4</v>
      </c>
      <c r="J717" s="4" t="n">
        <v>71</v>
      </c>
      <c r="K717" t="inlineStr">
        <is>
          <t>31 / 40</t>
        </is>
      </c>
      <c r="L717" t="inlineStr">
        <is>
          <t>11 / 16</t>
        </is>
      </c>
      <c r="M717" s="5" t="n">
        <v>0.44</v>
      </c>
      <c r="N717" s="5" t="n">
        <v>0.41</v>
      </c>
    </row>
    <row r="718">
      <c r="A718" t="n">
        <v>717</v>
      </c>
      <c r="B718" t="n">
        <v>2014</v>
      </c>
      <c r="C718" t="inlineStr">
        <is>
          <t>Mia Mengchen Sun</t>
        </is>
      </c>
      <c r="D718">
        <f>HYPERLINK("https://ota.tournamentsoftware.com/player-profile/BFD3D157-D2B6-45BF-BE92-CACB69CCC59C", "Link")</f>
        <v/>
      </c>
      <c r="E718" s="3" t="n">
        <v>19.626</v>
      </c>
      <c r="F718" s="4" t="n">
        <v>5</v>
      </c>
      <c r="G718" t="inlineStr">
        <is>
          <t>Ontario Tennis Association</t>
        </is>
      </c>
      <c r="H718" t="inlineStr">
        <is>
          <t>Markham Tennis Club</t>
        </is>
      </c>
      <c r="I718" t="n">
        <v>37.9</v>
      </c>
      <c r="J718" s="4" t="n">
        <v>51</v>
      </c>
      <c r="K718" t="inlineStr">
        <is>
          <t>32 / 19</t>
        </is>
      </c>
      <c r="L718" t="inlineStr">
        <is>
          <t>0 / 0</t>
        </is>
      </c>
      <c r="M718" s="5" t="n">
        <v>0.63</v>
      </c>
      <c r="N718" s="5" t="n">
        <v>0</v>
      </c>
    </row>
    <row r="719">
      <c r="A719" t="n">
        <v>718</v>
      </c>
      <c r="B719" t="n">
        <v>2014</v>
      </c>
      <c r="C719" t="inlineStr">
        <is>
          <t>Mia Baker</t>
        </is>
      </c>
      <c r="D719">
        <f>HYPERLINK("https://ota.tournamentsoftware.com/player-profile/ABFF2DBE-5CD7-451A-B77E-526F2DB67DA2", "Link")</f>
        <v/>
      </c>
      <c r="E719" s="3" t="n">
        <v>19.588</v>
      </c>
      <c r="F719" s="4" t="n">
        <v>9</v>
      </c>
      <c r="G719" t="inlineStr">
        <is>
          <t>Tennis Québec</t>
        </is>
      </c>
      <c r="H719" t="inlineStr">
        <is>
          <t>SANI Sport</t>
        </is>
      </c>
      <c r="I719" t="n">
        <v>40</v>
      </c>
      <c r="J719" s="4" t="n">
        <v>59</v>
      </c>
      <c r="K719" t="inlineStr">
        <is>
          <t>2 / 57</t>
        </is>
      </c>
      <c r="L719" t="inlineStr">
        <is>
          <t>0 / 12</t>
        </is>
      </c>
      <c r="M719" s="5" t="n">
        <v>0.03</v>
      </c>
      <c r="N719" s="5" t="n">
        <v>0</v>
      </c>
    </row>
    <row r="720">
      <c r="A720" t="n">
        <v>719</v>
      </c>
      <c r="B720" t="n">
        <v>2017</v>
      </c>
      <c r="C720" t="inlineStr">
        <is>
          <t>Mackenzie Alexandra Greer</t>
        </is>
      </c>
      <c r="D720">
        <f>HYPERLINK("https://ota.tournamentsoftware.com/player-profile/E975EEBE-CD33-46CE-BFFF-1BB5A6FB8672", "Link")</f>
        <v/>
      </c>
      <c r="E720" s="3" t="n">
        <v>19.44</v>
      </c>
      <c r="F720" s="4" t="n">
        <v>3</v>
      </c>
      <c r="G720" t="inlineStr">
        <is>
          <t>Ontario Tennis Association</t>
        </is>
      </c>
      <c r="H720" t="inlineStr">
        <is>
          <t>Stefanovic Tennis Academy</t>
        </is>
      </c>
      <c r="I720" t="n">
        <v>37.2</v>
      </c>
      <c r="J720" s="4" t="n">
        <v>152</v>
      </c>
      <c r="K720" t="inlineStr">
        <is>
          <t>122 / 30</t>
        </is>
      </c>
      <c r="L720" t="inlineStr">
        <is>
          <t>78 / 12</t>
        </is>
      </c>
      <c r="M720" s="5" t="n">
        <v>0.8</v>
      </c>
      <c r="N720" s="5" t="n">
        <v>0.87</v>
      </c>
    </row>
    <row r="721">
      <c r="A721" t="n">
        <v>720</v>
      </c>
      <c r="B721" t="n">
        <v>2014</v>
      </c>
      <c r="C721" t="inlineStr">
        <is>
          <t>Adele Cui</t>
        </is>
      </c>
      <c r="D721">
        <f>HYPERLINK("https://ota.tournamentsoftware.com/player-profile/E096F094-0386-4439-807E-E147F97C754F", "Link")</f>
        <v/>
      </c>
      <c r="E721" s="3" t="n">
        <v>19.024</v>
      </c>
      <c r="F721" s="4" t="n">
        <v>5</v>
      </c>
      <c r="G721" t="inlineStr">
        <is>
          <t>British Columbia</t>
        </is>
      </c>
      <c r="H721" t="inlineStr">
        <is>
          <t>UBC Tennis Centre</t>
        </is>
      </c>
      <c r="I721" t="n">
        <v>35.8</v>
      </c>
      <c r="J721" s="4" t="n">
        <v>80</v>
      </c>
      <c r="K721" t="inlineStr">
        <is>
          <t>46 / 34</t>
        </is>
      </c>
      <c r="L721" t="inlineStr">
        <is>
          <t>1 / 4</t>
        </is>
      </c>
      <c r="M721" s="5" t="n">
        <v>0.57</v>
      </c>
      <c r="N721" s="5" t="n">
        <v>0.2</v>
      </c>
    </row>
    <row r="722">
      <c r="A722" t="n">
        <v>721</v>
      </c>
      <c r="B722" t="n">
        <v>2014</v>
      </c>
      <c r="C722" t="inlineStr">
        <is>
          <t>Camilia Aroub</t>
        </is>
      </c>
      <c r="D722">
        <f>HYPERLINK("https://ota.tournamentsoftware.com/player-profile/7CE0472D-53F2-438D-B060-8BB037C14F01", "Link")</f>
        <v/>
      </c>
      <c r="E722" s="3" t="n">
        <v>18.866</v>
      </c>
      <c r="F722" s="4" t="n">
        <v>8</v>
      </c>
      <c r="G722" t="inlineStr">
        <is>
          <t>Tennis Québec</t>
        </is>
      </c>
      <c r="H722" t="inlineStr">
        <is>
          <t>Club Sportif Côte-de-Liesse</t>
        </is>
      </c>
      <c r="I722" t="n">
        <v>40</v>
      </c>
      <c r="J722" s="4" t="n">
        <v>16</v>
      </c>
      <c r="K722" t="inlineStr">
        <is>
          <t>2 / 14</t>
        </is>
      </c>
      <c r="L722" t="inlineStr">
        <is>
          <t>2 / 11</t>
        </is>
      </c>
      <c r="M722" s="5" t="n">
        <v>0.12</v>
      </c>
      <c r="N722" s="5" t="n">
        <v>0.15</v>
      </c>
    </row>
    <row r="723">
      <c r="A723" t="n">
        <v>722</v>
      </c>
      <c r="B723" t="n">
        <v>2014</v>
      </c>
      <c r="C723" t="inlineStr">
        <is>
          <t>Olivia V. Jin</t>
        </is>
      </c>
      <c r="D723">
        <f>HYPERLINK("https://ota.tournamentsoftware.com/player-profile/88713252-C9AF-4DC4-B40D-11479A26EE47", "Link")</f>
        <v/>
      </c>
      <c r="E723" s="3" t="n">
        <v>18.821</v>
      </c>
      <c r="F723" s="4" t="n">
        <v>8</v>
      </c>
      <c r="G723" t="inlineStr">
        <is>
          <t>British Columbia</t>
        </is>
      </c>
      <c r="H723" t="inlineStr">
        <is>
          <t>Hollyburn Country Club</t>
        </is>
      </c>
      <c r="I723" t="n">
        <v>35.6</v>
      </c>
      <c r="J723" s="4" t="n">
        <v>85</v>
      </c>
      <c r="K723" t="inlineStr">
        <is>
          <t>26 / 59</t>
        </is>
      </c>
      <c r="L723" t="inlineStr">
        <is>
          <t>6 / 2</t>
        </is>
      </c>
      <c r="M723" s="5" t="n">
        <v>0.31</v>
      </c>
      <c r="N723" s="5" t="n">
        <v>0.75</v>
      </c>
    </row>
    <row r="724">
      <c r="A724" t="n">
        <v>723</v>
      </c>
      <c r="B724" t="n">
        <v>2012</v>
      </c>
      <c r="C724" t="inlineStr">
        <is>
          <t>Maddy Frances Hughes</t>
        </is>
      </c>
      <c r="D724">
        <f>HYPERLINK("https://ota.tournamentsoftware.com/player-profile/78566C46-653E-4667-ADCE-638FA56C318F", "Link")</f>
        <v/>
      </c>
      <c r="E724" s="3" t="n">
        <v>18.771</v>
      </c>
      <c r="F724" s="4" t="n">
        <v>2</v>
      </c>
      <c r="G724" t="inlineStr">
        <is>
          <t>Ontario Tennis Association</t>
        </is>
      </c>
      <c r="H724" t="inlineStr">
        <is>
          <t>Boulevard Club</t>
        </is>
      </c>
      <c r="I724" t="n">
        <v>37.7</v>
      </c>
      <c r="J724" s="4" t="n">
        <v>41</v>
      </c>
      <c r="K724" t="inlineStr">
        <is>
          <t>16 / 25</t>
        </is>
      </c>
      <c r="L724" t="inlineStr">
        <is>
          <t>4 / 7</t>
        </is>
      </c>
      <c r="M724" s="5" t="n">
        <v>0.39</v>
      </c>
      <c r="N724" s="5" t="n">
        <v>0.36</v>
      </c>
    </row>
    <row r="725">
      <c r="A725" t="n">
        <v>724</v>
      </c>
      <c r="B725" t="n">
        <v>2012</v>
      </c>
      <c r="C725" t="inlineStr">
        <is>
          <t>Diya Parkash</t>
        </is>
      </c>
      <c r="D725">
        <f>HYPERLINK("https://ota.tournamentsoftware.com/player-profile/73A3C93B-23D0-4FC2-9B92-CA5DFE4335FD", "Link")</f>
        <v/>
      </c>
      <c r="E725" s="3" t="n">
        <v>18.484</v>
      </c>
      <c r="F725" s="4" t="n">
        <v>1</v>
      </c>
      <c r="G725" t="inlineStr">
        <is>
          <t>Tennis Nova Scotia</t>
        </is>
      </c>
      <c r="H725" t="inlineStr">
        <is>
          <t>HEADSTART</t>
        </is>
      </c>
      <c r="I725" t="n">
        <v>36.8</v>
      </c>
      <c r="J725" s="4" t="n">
        <v>6</v>
      </c>
      <c r="K725" t="inlineStr">
        <is>
          <t>3 / 3</t>
        </is>
      </c>
      <c r="L725" t="inlineStr">
        <is>
          <t>3 / 3</t>
        </is>
      </c>
      <c r="M725" s="5" t="n">
        <v>0.5</v>
      </c>
      <c r="N725" s="5" t="n">
        <v>0.5</v>
      </c>
    </row>
    <row r="726">
      <c r="A726" t="n">
        <v>725</v>
      </c>
      <c r="B726" t="n">
        <v>2013</v>
      </c>
      <c r="C726" t="inlineStr">
        <is>
          <t>Eve Fuemana</t>
        </is>
      </c>
      <c r="D726">
        <f>HYPERLINK("https://ota.tournamentsoftware.com/player-profile/C6B89948-0347-4A82-9588-926B794A08CE", "Link")</f>
        <v/>
      </c>
      <c r="E726" s="3" t="n">
        <v>18.447</v>
      </c>
      <c r="F726" s="4" t="n">
        <v>1</v>
      </c>
      <c r="G726" t="inlineStr">
        <is>
          <t>Ontario Tennis Association</t>
        </is>
      </c>
      <c r="H726" t="inlineStr">
        <is>
          <t>Toronto Tennis City</t>
        </is>
      </c>
      <c r="I726" t="n">
        <v>27.7</v>
      </c>
      <c r="J726" s="4" t="n">
        <v>3</v>
      </c>
      <c r="K726" t="inlineStr">
        <is>
          <t>0 / 3</t>
        </is>
      </c>
      <c r="L726" t="inlineStr">
        <is>
          <t>0 / 1</t>
        </is>
      </c>
      <c r="M726" s="5" t="n">
        <v>0</v>
      </c>
      <c r="N726" s="5" t="n">
        <v>0</v>
      </c>
    </row>
    <row r="727">
      <c r="A727" t="n">
        <v>726</v>
      </c>
      <c r="B727" t="n">
        <v>2014</v>
      </c>
      <c r="C727" t="inlineStr">
        <is>
          <t>Éloïse Renaud</t>
        </is>
      </c>
      <c r="D727">
        <f>HYPERLINK("https://ota.tournamentsoftware.com/player-profile/B18DE2B4-0E8A-4263-8136-FCC7F7A61D01", "Link")</f>
        <v/>
      </c>
      <c r="E727" s="3" t="n">
        <v>18.36</v>
      </c>
      <c r="F727" s="4" t="n">
        <v>4</v>
      </c>
      <c r="G727" t="inlineStr">
        <is>
          <t>Tennis Québec</t>
        </is>
      </c>
      <c r="H727" t="inlineStr">
        <is>
          <t>Tennis 13</t>
        </is>
      </c>
      <c r="I727" t="inlineStr">
        <is>
          <t>unavailable</t>
        </is>
      </c>
      <c r="J727" s="4" t="n">
        <v>8</v>
      </c>
      <c r="K727" t="inlineStr">
        <is>
          <t>4 / 4</t>
        </is>
      </c>
      <c r="L727" t="inlineStr">
        <is>
          <t>1 / 2</t>
        </is>
      </c>
      <c r="M727" s="5" t="n">
        <v>0.5</v>
      </c>
      <c r="N727" s="5" t="n">
        <v>0.33</v>
      </c>
    </row>
    <row r="728">
      <c r="A728" t="n">
        <v>727</v>
      </c>
      <c r="B728" t="n">
        <v>2015</v>
      </c>
      <c r="C728" t="inlineStr">
        <is>
          <t>Simone Tremblay-Roy</t>
        </is>
      </c>
      <c r="D728">
        <f>HYPERLINK("https://ota.tournamentsoftware.com/player-profile/E7E1A20D-ED12-47F1-913D-3022C4BE6070", "Link")</f>
        <v/>
      </c>
      <c r="E728" s="3" t="n">
        <v>18.332</v>
      </c>
      <c r="F728" s="4" t="n">
        <v>2</v>
      </c>
      <c r="G728" t="inlineStr">
        <is>
          <t>Tennis Québec</t>
        </is>
      </c>
      <c r="H728" t="inlineStr">
        <is>
          <t>Club de tennis intérieur Saguenay</t>
        </is>
      </c>
      <c r="I728" t="n">
        <v>37.4</v>
      </c>
      <c r="J728" s="4" t="n">
        <v>7</v>
      </c>
      <c r="K728" t="inlineStr">
        <is>
          <t>4 / 3</t>
        </is>
      </c>
      <c r="L728" t="inlineStr">
        <is>
          <t>1 / 3</t>
        </is>
      </c>
      <c r="M728" s="5" t="n">
        <v>0.57</v>
      </c>
      <c r="N728" s="5" t="n">
        <v>0.25</v>
      </c>
    </row>
    <row r="729">
      <c r="A729" t="n">
        <v>728</v>
      </c>
      <c r="B729" t="n">
        <v>2013</v>
      </c>
      <c r="C729" t="inlineStr">
        <is>
          <t>Blake Beck Sadler</t>
        </is>
      </c>
      <c r="D729">
        <f>HYPERLINK("https://ota.tournamentsoftware.com/player-profile/B44D5381-342B-4AF0-8200-EA0CEE1E54B7", "Link")</f>
        <v/>
      </c>
      <c r="E729" s="3" t="n">
        <v>17.916</v>
      </c>
      <c r="F729" s="4" t="n">
        <v>2</v>
      </c>
      <c r="G729" t="inlineStr">
        <is>
          <t>Ontario Tennis Association</t>
        </is>
      </c>
      <c r="H729" t="inlineStr">
        <is>
          <t>Ontario Racquet Club</t>
        </is>
      </c>
      <c r="I729" t="n">
        <v>35.9</v>
      </c>
      <c r="J729" s="4" t="n">
        <v>22</v>
      </c>
      <c r="K729" t="inlineStr">
        <is>
          <t>12 / 10</t>
        </is>
      </c>
      <c r="L729" t="inlineStr">
        <is>
          <t>1 / 1</t>
        </is>
      </c>
      <c r="M729" s="5" t="n">
        <v>0.55</v>
      </c>
      <c r="N729" s="5" t="n">
        <v>0.5</v>
      </c>
    </row>
    <row r="730">
      <c r="A730" t="n">
        <v>729</v>
      </c>
      <c r="B730" t="n">
        <v>2014</v>
      </c>
      <c r="C730" t="inlineStr">
        <is>
          <t>Sophia Marietta Dee</t>
        </is>
      </c>
      <c r="D730">
        <f>HYPERLINK("https://ota.tournamentsoftware.com/player-profile/C69F5ADB-3749-4D97-A809-250A73BB30C1", "Link")</f>
        <v/>
      </c>
      <c r="E730" s="3" t="n">
        <v>17.903</v>
      </c>
      <c r="F730" s="4" t="n">
        <v>6</v>
      </c>
      <c r="G730" t="inlineStr">
        <is>
          <t>British Columbia</t>
        </is>
      </c>
      <c r="H730" t="inlineStr">
        <is>
          <t>Arbutus Club</t>
        </is>
      </c>
      <c r="I730" t="n">
        <v>36.8</v>
      </c>
      <c r="J730" s="4" t="n">
        <v>40</v>
      </c>
      <c r="K730" t="inlineStr">
        <is>
          <t>14 / 26</t>
        </is>
      </c>
      <c r="L730" t="inlineStr">
        <is>
          <t>5 / 7</t>
        </is>
      </c>
      <c r="M730" s="5" t="n">
        <v>0.35</v>
      </c>
      <c r="N730" s="5" t="n">
        <v>0.42</v>
      </c>
    </row>
    <row r="731">
      <c r="A731" t="n">
        <v>730</v>
      </c>
      <c r="B731" t="n">
        <v>2013</v>
      </c>
      <c r="C731" t="inlineStr">
        <is>
          <t>Lingxi Sun</t>
        </is>
      </c>
      <c r="D731">
        <f>HYPERLINK("https://ota.tournamentsoftware.com/player-profile/09E8E557-02B1-46EF-87E8-A28C42A56E9D", "Link")</f>
        <v/>
      </c>
      <c r="E731" s="3" t="n">
        <v>17.8</v>
      </c>
      <c r="F731" s="4" t="n">
        <v>2</v>
      </c>
      <c r="G731" t="inlineStr">
        <is>
          <t>British Columbia</t>
        </is>
      </c>
      <c r="H731" t="inlineStr">
        <is>
          <t>UBC Tennis Centre</t>
        </is>
      </c>
      <c r="I731" t="n">
        <v>32.4</v>
      </c>
      <c r="J731" s="4" t="n">
        <v>39</v>
      </c>
      <c r="K731" t="inlineStr">
        <is>
          <t>23 / 16</t>
        </is>
      </c>
      <c r="L731" t="inlineStr">
        <is>
          <t>0 / 0</t>
        </is>
      </c>
      <c r="M731" s="5" t="n">
        <v>0.59</v>
      </c>
      <c r="N731" s="5" t="n">
        <v>0</v>
      </c>
    </row>
    <row r="732">
      <c r="A732" t="n">
        <v>731</v>
      </c>
      <c r="B732" t="n">
        <v>2017</v>
      </c>
      <c r="C732" t="inlineStr">
        <is>
          <t>Safiatou Ntentie Nchange</t>
        </is>
      </c>
      <c r="D732">
        <f>HYPERLINK("https://ota.tournamentsoftware.com/player-profile/5B1E15AE-3503-449A-B482-B98077F40A43", "Link")</f>
        <v/>
      </c>
      <c r="E732" s="3" t="n">
        <v>17.41</v>
      </c>
      <c r="F732" s="4" t="n">
        <v>7</v>
      </c>
      <c r="G732" t="inlineStr">
        <is>
          <t>Tennis Alberta</t>
        </is>
      </c>
      <c r="H732" t="inlineStr">
        <is>
          <t>No Club</t>
        </is>
      </c>
      <c r="I732" t="n">
        <v>35.8</v>
      </c>
      <c r="J732" s="4" t="n">
        <v>39</v>
      </c>
      <c r="K732" t="inlineStr">
        <is>
          <t>27 / 12</t>
        </is>
      </c>
      <c r="L732" t="inlineStr">
        <is>
          <t>23 / 11</t>
        </is>
      </c>
      <c r="M732" s="5" t="n">
        <v>0.6899999999999999</v>
      </c>
      <c r="N732" s="5" t="n">
        <v>0.68</v>
      </c>
    </row>
    <row r="733">
      <c r="A733" t="n">
        <v>732</v>
      </c>
      <c r="B733" t="n">
        <v>2014</v>
      </c>
      <c r="C733" t="inlineStr">
        <is>
          <t>Emma Jingya Xi</t>
        </is>
      </c>
      <c r="D733">
        <f>HYPERLINK("https://ota.tournamentsoftware.com/player-profile/540C86FB-2BC4-4357-8C94-AA0A3EEBDC22", "Link")</f>
        <v/>
      </c>
      <c r="E733" s="3" t="n">
        <v>17.4</v>
      </c>
      <c r="F733" s="4" t="n">
        <v>2</v>
      </c>
      <c r="G733" t="inlineStr">
        <is>
          <t>Ontario Tennis Association</t>
        </is>
      </c>
      <c r="H733" t="inlineStr">
        <is>
          <t>ACE Tennis - Burlington</t>
        </is>
      </c>
      <c r="I733" t="inlineStr">
        <is>
          <t>unavailable</t>
        </is>
      </c>
      <c r="J733" s="4" t="n">
        <v>40</v>
      </c>
      <c r="K733" t="inlineStr">
        <is>
          <t>14 / 26</t>
        </is>
      </c>
      <c r="L733" t="inlineStr">
        <is>
          <t>1 / 4</t>
        </is>
      </c>
      <c r="M733" s="5" t="n">
        <v>0.35</v>
      </c>
      <c r="N733" s="5" t="n">
        <v>0.2</v>
      </c>
    </row>
    <row r="734">
      <c r="A734" t="n">
        <v>733</v>
      </c>
      <c r="B734" t="n">
        <v>2013</v>
      </c>
      <c r="C734" t="inlineStr">
        <is>
          <t>Lily Pilipowicz</t>
        </is>
      </c>
      <c r="D734">
        <f>HYPERLINK("https://ota.tournamentsoftware.com/player-profile/B42CFB1E-4A07-4108-A904-8512C36C48D8", "Link")</f>
        <v/>
      </c>
      <c r="E734" s="3" t="n">
        <v>17.313</v>
      </c>
      <c r="F734" s="4" t="n">
        <v>4</v>
      </c>
      <c r="G734" t="inlineStr">
        <is>
          <t>Tennis Alberta</t>
        </is>
      </c>
      <c r="H734" t="inlineStr">
        <is>
          <t>Aforza</t>
        </is>
      </c>
      <c r="I734" t="n">
        <v>34</v>
      </c>
      <c r="J734" s="4" t="n">
        <v>40</v>
      </c>
      <c r="K734" t="inlineStr">
        <is>
          <t>19 / 21</t>
        </is>
      </c>
      <c r="L734" t="inlineStr">
        <is>
          <t>0 / 1</t>
        </is>
      </c>
      <c r="M734" s="5" t="n">
        <v>0.47</v>
      </c>
      <c r="N734" s="5" t="n">
        <v>0</v>
      </c>
    </row>
    <row r="735">
      <c r="A735" t="n">
        <v>734</v>
      </c>
      <c r="B735" t="n">
        <v>2016</v>
      </c>
      <c r="C735" t="inlineStr">
        <is>
          <t>Nourine Chebitou</t>
        </is>
      </c>
      <c r="D735">
        <f>HYPERLINK("https://ota.tournamentsoftware.com/player-profile/7B847012-F77E-40EE-A816-39ABE1031DA9", "Link")</f>
        <v/>
      </c>
      <c r="E735" s="3" t="n">
        <v>17.28</v>
      </c>
      <c r="F735" s="4" t="n">
        <v>1</v>
      </c>
      <c r="G735" t="inlineStr">
        <is>
          <t>Tennis Québec</t>
        </is>
      </c>
      <c r="H735" t="inlineStr">
        <is>
          <t>SANI Sport</t>
        </is>
      </c>
      <c r="I735" t="n">
        <v>37.3</v>
      </c>
      <c r="J735" s="4" t="n">
        <v>5</v>
      </c>
      <c r="K735" t="inlineStr">
        <is>
          <t>1 / 4</t>
        </is>
      </c>
      <c r="L735" t="inlineStr">
        <is>
          <t>1 / 1</t>
        </is>
      </c>
      <c r="M735" s="5" t="n">
        <v>0.2</v>
      </c>
      <c r="N735" s="5" t="n">
        <v>0.5</v>
      </c>
    </row>
    <row r="736">
      <c r="A736" t="n">
        <v>734</v>
      </c>
      <c r="B736" t="n">
        <v>2014</v>
      </c>
      <c r="C736" t="inlineStr">
        <is>
          <t>Rehmat Kaur Sandhar</t>
        </is>
      </c>
      <c r="D736">
        <f>HYPERLINK("https://ota.tournamentsoftware.com/player-profile/F8357E3D-210F-40E0-BA8A-8FFDBD0DC17E", "Link")</f>
        <v/>
      </c>
      <c r="E736" s="3" t="n">
        <v>17.28</v>
      </c>
      <c r="F736" s="4" t="n">
        <v>2</v>
      </c>
      <c r="G736" t="inlineStr">
        <is>
          <t>Ontario Tennis Association</t>
        </is>
      </c>
      <c r="H736" t="inlineStr">
        <is>
          <t>ON Tennis Toronto No Club</t>
        </is>
      </c>
      <c r="I736" t="n">
        <v>36.7</v>
      </c>
      <c r="J736" s="4" t="n">
        <v>32</v>
      </c>
      <c r="K736" t="inlineStr">
        <is>
          <t>15 / 17</t>
        </is>
      </c>
      <c r="L736" t="inlineStr">
        <is>
          <t>15 / 14</t>
        </is>
      </c>
      <c r="M736" s="5" t="n">
        <v>0.47</v>
      </c>
      <c r="N736" s="5" t="n">
        <v>0.52</v>
      </c>
    </row>
    <row r="737">
      <c r="A737" t="n">
        <v>736</v>
      </c>
      <c r="B737" t="n">
        <v>2012</v>
      </c>
      <c r="C737" t="inlineStr">
        <is>
          <t>Emily Solc</t>
        </is>
      </c>
      <c r="D737">
        <f>HYPERLINK("https://ota.tournamentsoftware.com/player-profile/0117F9E7-8DFA-459F-859A-F7CFC440388D", "Link")</f>
        <v/>
      </c>
      <c r="E737" s="3" t="n">
        <v>17.16</v>
      </c>
      <c r="F737" s="4" t="n">
        <v>1</v>
      </c>
      <c r="G737" t="inlineStr">
        <is>
          <t>Ontario Tennis Association</t>
        </is>
      </c>
      <c r="H737" t="inlineStr">
        <is>
          <t>Ajax Tennis Club</t>
        </is>
      </c>
      <c r="I737" t="n">
        <v>35.7</v>
      </c>
      <c r="J737" s="4" t="n">
        <v>15</v>
      </c>
      <c r="K737" t="inlineStr">
        <is>
          <t>6 / 9</t>
        </is>
      </c>
      <c r="L737" t="inlineStr">
        <is>
          <t>0 / 0</t>
        </is>
      </c>
      <c r="M737" s="5" t="n">
        <v>0.4</v>
      </c>
      <c r="N737" s="5" t="n">
        <v>0</v>
      </c>
    </row>
    <row r="738">
      <c r="A738" t="n">
        <v>737</v>
      </c>
      <c r="B738" t="n">
        <v>2015</v>
      </c>
      <c r="C738" t="inlineStr">
        <is>
          <t>Maggie Yang</t>
        </is>
      </c>
      <c r="D738">
        <f>HYPERLINK("https://ota.tournamentsoftware.com/player-profile/1188855E-2EBD-473C-B3CD-74B3CDDF9042", "Link")</f>
        <v/>
      </c>
      <c r="E738" s="3" t="n">
        <v>17.037</v>
      </c>
      <c r="F738" s="4" t="n">
        <v>3</v>
      </c>
      <c r="G738" t="inlineStr">
        <is>
          <t>Ontario Tennis Association</t>
        </is>
      </c>
      <c r="H738" t="inlineStr">
        <is>
          <t>Royal City Tennis Club</t>
        </is>
      </c>
      <c r="I738" t="n">
        <v>35.7</v>
      </c>
      <c r="J738" s="4" t="n">
        <v>29</v>
      </c>
      <c r="K738" t="inlineStr">
        <is>
          <t>11 / 18</t>
        </is>
      </c>
      <c r="L738" t="inlineStr">
        <is>
          <t>2 / 3</t>
        </is>
      </c>
      <c r="M738" s="5" t="n">
        <v>0.38</v>
      </c>
      <c r="N738" s="5" t="n">
        <v>0.4</v>
      </c>
    </row>
    <row r="739">
      <c r="A739" t="n">
        <v>738</v>
      </c>
      <c r="B739" t="n">
        <v>2016</v>
      </c>
      <c r="C739" t="inlineStr">
        <is>
          <t>Madison Prsa</t>
        </is>
      </c>
      <c r="D739">
        <f>HYPERLINK("https://ota.tournamentsoftware.com/player-profile/E90BB9E9-F58B-415B-8202-1B024EFB9E36", "Link")</f>
        <v/>
      </c>
      <c r="E739" s="3" t="n">
        <v>16.848</v>
      </c>
      <c r="F739" s="4" t="n">
        <v>5</v>
      </c>
      <c r="G739" t="inlineStr">
        <is>
          <t>Ontario Tennis Association</t>
        </is>
      </c>
      <c r="H739" t="inlineStr">
        <is>
          <t>Advantage Tennis International at Veneto</t>
        </is>
      </c>
      <c r="I739" t="n">
        <v>37.3</v>
      </c>
      <c r="J739" s="4" t="n">
        <v>142</v>
      </c>
      <c r="K739" t="inlineStr">
        <is>
          <t>54 / 88</t>
        </is>
      </c>
      <c r="L739" t="inlineStr">
        <is>
          <t>13 / 20</t>
        </is>
      </c>
      <c r="M739" s="5" t="n">
        <v>0.38</v>
      </c>
      <c r="N739" s="5" t="n">
        <v>0.39</v>
      </c>
    </row>
    <row r="740">
      <c r="A740" t="n">
        <v>739</v>
      </c>
      <c r="B740" t="n">
        <v>2013</v>
      </c>
      <c r="C740" t="inlineStr">
        <is>
          <t>Vasta Keshavarz</t>
        </is>
      </c>
      <c r="D740">
        <f>HYPERLINK("https://ota.tournamentsoftware.com/player-profile/601A80FC-EABC-4AF6-9B13-BEBCF22814BA", "Link")</f>
        <v/>
      </c>
      <c r="E740" s="3" t="n">
        <v>16.603</v>
      </c>
      <c r="F740" s="4" t="n">
        <v>4</v>
      </c>
      <c r="G740" t="inlineStr">
        <is>
          <t>British Columbia</t>
        </is>
      </c>
      <c r="H740" t="inlineStr">
        <is>
          <t>North Vancouver Tennis Centre</t>
        </is>
      </c>
      <c r="I740" t="inlineStr">
        <is>
          <t>unavailable</t>
        </is>
      </c>
      <c r="J740" s="4" t="n">
        <v>40</v>
      </c>
      <c r="K740" t="inlineStr">
        <is>
          <t>14 / 26</t>
        </is>
      </c>
      <c r="L740" t="inlineStr">
        <is>
          <t>6 / 19</t>
        </is>
      </c>
      <c r="M740" s="5" t="n">
        <v>0.35</v>
      </c>
      <c r="N740" s="5" t="n">
        <v>0.24</v>
      </c>
    </row>
    <row r="741">
      <c r="A741" t="n">
        <v>740</v>
      </c>
      <c r="B741" t="n">
        <v>2015</v>
      </c>
      <c r="C741" t="inlineStr">
        <is>
          <t>Léa Anténor</t>
        </is>
      </c>
      <c r="D741">
        <f>HYPERLINK("https://ota.tournamentsoftware.com/player-profile/C5888674-E1AF-487D-88CD-4864B4B9365E", "Link")</f>
        <v/>
      </c>
      <c r="E741" s="3" t="n">
        <v>16.489</v>
      </c>
      <c r="F741" s="4" t="n">
        <v>3</v>
      </c>
      <c r="G741" t="inlineStr">
        <is>
          <t>Tennis Québec</t>
        </is>
      </c>
      <c r="H741" t="inlineStr">
        <is>
          <t>No Club</t>
        </is>
      </c>
      <c r="I741" t="inlineStr">
        <is>
          <t>unavailable</t>
        </is>
      </c>
      <c r="J741" s="4" t="n">
        <v>2</v>
      </c>
      <c r="K741" t="inlineStr">
        <is>
          <t>0 / 2</t>
        </is>
      </c>
      <c r="L741" t="inlineStr">
        <is>
          <t>0 / 2</t>
        </is>
      </c>
      <c r="M741" s="5" t="n">
        <v>0</v>
      </c>
      <c r="N741" s="5" t="n">
        <v>0</v>
      </c>
    </row>
    <row r="742">
      <c r="A742" t="n">
        <v>741</v>
      </c>
      <c r="B742" t="n">
        <v>2014</v>
      </c>
      <c r="C742" t="inlineStr">
        <is>
          <t>Livia Hu</t>
        </is>
      </c>
      <c r="D742">
        <f>HYPERLINK("https://ota.tournamentsoftware.com/player-profile/F0626954-59DE-45D2-AE30-FCA903A00699", "Link")</f>
        <v/>
      </c>
      <c r="E742" s="3" t="n">
        <v>16.459</v>
      </c>
      <c r="F742" s="4" t="n">
        <v>2</v>
      </c>
      <c r="G742" t="inlineStr">
        <is>
          <t>Tennis Saskatchewan</t>
        </is>
      </c>
      <c r="H742" t="inlineStr">
        <is>
          <t>No Club</t>
        </is>
      </c>
      <c r="I742" t="n">
        <v>29.5</v>
      </c>
      <c r="J742" s="4" t="n">
        <v>41</v>
      </c>
      <c r="K742" t="inlineStr">
        <is>
          <t>25 / 16</t>
        </is>
      </c>
      <c r="L742" t="inlineStr">
        <is>
          <t>7 / 4</t>
        </is>
      </c>
      <c r="M742" s="5" t="n">
        <v>0.61</v>
      </c>
      <c r="N742" s="5" t="n">
        <v>0.64</v>
      </c>
    </row>
    <row r="743">
      <c r="A743" t="n">
        <v>742</v>
      </c>
      <c r="B743" t="n">
        <v>2015</v>
      </c>
      <c r="C743" t="inlineStr">
        <is>
          <t>Margaux Eile</t>
        </is>
      </c>
      <c r="D743">
        <f>HYPERLINK("https://ota.tournamentsoftware.com/player-profile/9023DCCB-FDAB-4759-A4C9-E99C2FD3C6AD", "Link")</f>
        <v/>
      </c>
      <c r="E743" s="3" t="n">
        <v>16.313</v>
      </c>
      <c r="F743" s="4" t="n">
        <v>6</v>
      </c>
      <c r="G743" t="inlineStr">
        <is>
          <t>Tennis Québec</t>
        </is>
      </c>
      <c r="H743" t="inlineStr">
        <is>
          <t>Midtown Le Sporting Club Sanctuaire</t>
        </is>
      </c>
      <c r="I743" t="inlineStr">
        <is>
          <t>unavailable</t>
        </is>
      </c>
      <c r="J743" s="4" t="n">
        <v>25</v>
      </c>
      <c r="K743" t="inlineStr">
        <is>
          <t>2 / 23</t>
        </is>
      </c>
      <c r="L743" t="inlineStr">
        <is>
          <t>0 / 6</t>
        </is>
      </c>
      <c r="M743" s="5" t="n">
        <v>0.08</v>
      </c>
      <c r="N743" s="5" t="n">
        <v>0</v>
      </c>
    </row>
    <row r="744">
      <c r="A744" t="n">
        <v>743</v>
      </c>
      <c r="B744" t="n">
        <v>2012</v>
      </c>
      <c r="C744" t="inlineStr">
        <is>
          <t>Allison Wu</t>
        </is>
      </c>
      <c r="D744">
        <f>HYPERLINK("https://ota.tournamentsoftware.com/player-profile/5B6A5CCB-4E85-427C-99E0-E2078ED2493C", "Link")</f>
        <v/>
      </c>
      <c r="E744" s="3" t="n">
        <v>15.968</v>
      </c>
      <c r="F744" s="4" t="n">
        <v>3</v>
      </c>
      <c r="G744" t="inlineStr">
        <is>
          <t>British Columbia</t>
        </is>
      </c>
      <c r="H744" t="inlineStr">
        <is>
          <t>Coquitlam Tennis Club</t>
        </is>
      </c>
      <c r="I744" t="n">
        <v>39.4</v>
      </c>
      <c r="J744" s="4" t="n">
        <v>54</v>
      </c>
      <c r="K744" t="inlineStr">
        <is>
          <t>9 / 45</t>
        </is>
      </c>
      <c r="L744" t="inlineStr">
        <is>
          <t>0 / 4</t>
        </is>
      </c>
      <c r="M744" s="5" t="n">
        <v>0.17</v>
      </c>
      <c r="N744" s="5" t="n">
        <v>0</v>
      </c>
    </row>
    <row r="745">
      <c r="A745" t="n">
        <v>744</v>
      </c>
      <c r="B745" t="n">
        <v>2014</v>
      </c>
      <c r="C745" t="inlineStr">
        <is>
          <t>Anabelle Duchesne</t>
        </is>
      </c>
      <c r="D745">
        <f>HYPERLINK("https://ota.tournamentsoftware.com/player-profile/3D9B7A28-72A0-4133-925D-142C95DC7FA9", "Link")</f>
        <v/>
      </c>
      <c r="E745" s="3" t="n">
        <v>15.937</v>
      </c>
      <c r="F745" s="4" t="n">
        <v>2</v>
      </c>
      <c r="G745" t="inlineStr">
        <is>
          <t>Tennis Québec</t>
        </is>
      </c>
      <c r="H745" t="inlineStr">
        <is>
          <t>Les Tennis de Rimouski (intérieur)</t>
        </is>
      </c>
      <c r="I745" t="n">
        <v>40</v>
      </c>
      <c r="J745" s="4" t="n">
        <v>6</v>
      </c>
      <c r="K745" t="inlineStr">
        <is>
          <t>0 / 6</t>
        </is>
      </c>
      <c r="L745" t="inlineStr">
        <is>
          <t>0 / 6</t>
        </is>
      </c>
      <c r="M745" s="5" t="n">
        <v>0</v>
      </c>
      <c r="N745" s="5" t="n">
        <v>0</v>
      </c>
    </row>
    <row r="746">
      <c r="A746" t="n">
        <v>745</v>
      </c>
      <c r="B746" t="n">
        <v>2014</v>
      </c>
      <c r="C746" t="inlineStr">
        <is>
          <t>Saisha Sharma</t>
        </is>
      </c>
      <c r="D746">
        <f>HYPERLINK("https://ota.tournamentsoftware.com/player-profile/4141EEE9-8372-4477-B6C4-DE0E9616249B", "Link")</f>
        <v/>
      </c>
      <c r="E746" s="3" t="n">
        <v>15.817</v>
      </c>
      <c r="F746" s="4" t="n">
        <v>3</v>
      </c>
      <c r="G746" t="inlineStr">
        <is>
          <t>Ontario Tennis Association</t>
        </is>
      </c>
      <c r="H746" t="inlineStr">
        <is>
          <t>Premier Racquet Clubs – Brampton</t>
        </is>
      </c>
      <c r="I746" t="n">
        <v>38.9</v>
      </c>
      <c r="J746" s="4" t="n">
        <v>20</v>
      </c>
      <c r="K746" t="inlineStr">
        <is>
          <t>11 / 9</t>
        </is>
      </c>
      <c r="L746" t="inlineStr">
        <is>
          <t>11 / 9</t>
        </is>
      </c>
      <c r="M746" s="5" t="n">
        <v>0.55</v>
      </c>
      <c r="N746" s="5" t="n">
        <v>0.55</v>
      </c>
    </row>
    <row r="747">
      <c r="A747" t="n">
        <v>746</v>
      </c>
      <c r="B747" t="n">
        <v>2014</v>
      </c>
      <c r="C747" t="inlineStr">
        <is>
          <t>Precious J. Mutiku</t>
        </is>
      </c>
      <c r="D747">
        <f>HYPERLINK("https://ota.tournamentsoftware.com/player-profile/60A61325-C72A-4622-B3AF-5291E7A5657A", "Link")</f>
        <v/>
      </c>
      <c r="E747" s="3" t="n">
        <v>15.059</v>
      </c>
      <c r="F747" s="4" t="n">
        <v>1</v>
      </c>
      <c r="G747" t="inlineStr">
        <is>
          <t>Tennis Manitoba</t>
        </is>
      </c>
      <c r="H747" t="inlineStr">
        <is>
          <t>Taylor Tennis</t>
        </is>
      </c>
      <c r="I747" t="n">
        <v>37</v>
      </c>
      <c r="J747" s="4" t="n">
        <v>3</v>
      </c>
      <c r="K747" t="inlineStr">
        <is>
          <t>1 / 2</t>
        </is>
      </c>
      <c r="L747" t="inlineStr">
        <is>
          <t>0 / 1</t>
        </is>
      </c>
      <c r="M747" s="5" t="n">
        <v>0.33</v>
      </c>
      <c r="N747" s="5" t="n">
        <v>0</v>
      </c>
    </row>
    <row r="748">
      <c r="A748" t="n">
        <v>747</v>
      </c>
      <c r="B748" t="n">
        <v>2013</v>
      </c>
      <c r="C748" t="inlineStr">
        <is>
          <t>Kensington Gavin</t>
        </is>
      </c>
      <c r="D748">
        <f>HYPERLINK("https://ota.tournamentsoftware.com/player-profile/A4C08F5F-BDB2-4714-9F20-18E924F0B20C", "Link")</f>
        <v/>
      </c>
      <c r="E748" s="3" t="n">
        <v>15</v>
      </c>
      <c r="F748" s="4" t="n">
        <v>1</v>
      </c>
      <c r="G748" t="inlineStr">
        <is>
          <t>British Columbia</t>
        </is>
      </c>
      <c r="H748" t="inlineStr">
        <is>
          <t>No Club</t>
        </is>
      </c>
      <c r="I748" t="n">
        <v>33.1</v>
      </c>
      <c r="J748" s="4" t="n">
        <v>121</v>
      </c>
      <c r="K748" t="inlineStr">
        <is>
          <t>70 / 51</t>
        </is>
      </c>
      <c r="L748" t="inlineStr">
        <is>
          <t>0 / 0</t>
        </is>
      </c>
      <c r="M748" s="5" t="n">
        <v>0.58</v>
      </c>
      <c r="N748" s="5" t="n">
        <v>0</v>
      </c>
    </row>
    <row r="749">
      <c r="A749" t="n">
        <v>748</v>
      </c>
      <c r="B749" t="n">
        <v>2012</v>
      </c>
      <c r="C749" t="inlineStr">
        <is>
          <t>Saaya Isabella Thompson</t>
        </is>
      </c>
      <c r="D749">
        <f>HYPERLINK("https://ota.tournamentsoftware.com/player-profile/E9B78A0F-EA3C-42B6-B795-AA591E989391", "Link")</f>
        <v/>
      </c>
      <c r="E749" s="3" t="n">
        <v>14.686</v>
      </c>
      <c r="F749" s="4" t="n">
        <v>2</v>
      </c>
      <c r="G749" t="inlineStr">
        <is>
          <t>British Columbia</t>
        </is>
      </c>
      <c r="H749" t="inlineStr">
        <is>
          <t>UBC Tennis Centre</t>
        </is>
      </c>
      <c r="I749" t="n">
        <v>38.8</v>
      </c>
      <c r="J749" s="4" t="n">
        <v>7</v>
      </c>
      <c r="K749" t="inlineStr">
        <is>
          <t>1 / 6</t>
        </is>
      </c>
      <c r="L749" t="inlineStr">
        <is>
          <t>0 / 3</t>
        </is>
      </c>
      <c r="M749" s="5" t="n">
        <v>0.14</v>
      </c>
      <c r="N749" s="5" t="n">
        <v>0</v>
      </c>
    </row>
    <row r="750">
      <c r="A750" t="n">
        <v>749</v>
      </c>
      <c r="B750" t="n">
        <v>2012</v>
      </c>
      <c r="C750" t="inlineStr">
        <is>
          <t>Navia Kaylynn Barlow</t>
        </is>
      </c>
      <c r="D750">
        <f>HYPERLINK("https://ota.tournamentsoftware.com/player-profile/44A25362-E73B-4E09-954B-7A375954482B", "Link")</f>
        <v/>
      </c>
      <c r="E750" s="3" t="n">
        <v>14.647</v>
      </c>
      <c r="F750" s="4" t="n">
        <v>3</v>
      </c>
      <c r="G750" t="inlineStr">
        <is>
          <t>Tennis Alberta</t>
        </is>
      </c>
      <c r="H750" t="inlineStr">
        <is>
          <t>Derrick Golf &amp; Winter Club</t>
        </is>
      </c>
      <c r="I750" t="inlineStr">
        <is>
          <t>unavailable</t>
        </is>
      </c>
      <c r="J750" s="4" t="n">
        <v>6</v>
      </c>
      <c r="K750" t="inlineStr">
        <is>
          <t>2 / 4</t>
        </is>
      </c>
      <c r="L750" t="inlineStr">
        <is>
          <t>2 / 4</t>
        </is>
      </c>
      <c r="M750" s="5" t="n">
        <v>0.33</v>
      </c>
      <c r="N750" s="5" t="n">
        <v>0.33</v>
      </c>
    </row>
    <row r="751">
      <c r="A751" t="n">
        <v>750</v>
      </c>
      <c r="B751" t="n">
        <v>2015</v>
      </c>
      <c r="C751" t="inlineStr">
        <is>
          <t>Mira Akhoundova</t>
        </is>
      </c>
      <c r="D751">
        <f>HYPERLINK("https://ota.tournamentsoftware.com/player-profile/DFAA2C12-ED04-42F9-9711-F91A6745B43A", "Link")</f>
        <v/>
      </c>
      <c r="E751" s="3" t="n">
        <v>14.585</v>
      </c>
      <c r="F751" s="4" t="n">
        <v>3</v>
      </c>
      <c r="G751" t="inlineStr">
        <is>
          <t>Ontario Tennis Association</t>
        </is>
      </c>
      <c r="H751" t="inlineStr">
        <is>
          <t>Marilyn Redvers Tennis Club</t>
        </is>
      </c>
      <c r="I751" t="n">
        <v>40</v>
      </c>
      <c r="J751" s="4" t="n">
        <v>28</v>
      </c>
      <c r="K751" t="inlineStr">
        <is>
          <t>14 / 14</t>
        </is>
      </c>
      <c r="L751" t="inlineStr">
        <is>
          <t>5 / 9</t>
        </is>
      </c>
      <c r="M751" s="5" t="n">
        <v>0.5</v>
      </c>
      <c r="N751" s="5" t="n">
        <v>0.36</v>
      </c>
    </row>
    <row r="752">
      <c r="A752" t="n">
        <v>751</v>
      </c>
      <c r="B752" t="n">
        <v>2017</v>
      </c>
      <c r="C752" t="inlineStr">
        <is>
          <t>Erika ko</t>
        </is>
      </c>
      <c r="D752">
        <f>HYPERLINK("https://ota.tournamentsoftware.com/player-profile/63E3DB95-CFC7-47F5-8461-E32C50FD6342", "Link")</f>
        <v/>
      </c>
      <c r="E752" s="3" t="n">
        <v>14.4</v>
      </c>
      <c r="F752" s="4" t="n">
        <v>6</v>
      </c>
      <c r="G752" t="inlineStr">
        <is>
          <t>British Columbia</t>
        </is>
      </c>
      <c r="H752" t="inlineStr">
        <is>
          <t>Richmond Country Club</t>
        </is>
      </c>
      <c r="I752" t="n">
        <v>37.9</v>
      </c>
      <c r="J752" s="4" t="n">
        <v>135</v>
      </c>
      <c r="K752" t="inlineStr">
        <is>
          <t>61 / 74</t>
        </is>
      </c>
      <c r="L752" t="inlineStr">
        <is>
          <t>4 / 8</t>
        </is>
      </c>
      <c r="M752" s="5" t="n">
        <v>0.45</v>
      </c>
      <c r="N752" s="5" t="n">
        <v>0.33</v>
      </c>
    </row>
    <row r="753">
      <c r="A753" t="n">
        <v>752</v>
      </c>
      <c r="B753" t="n">
        <v>2015</v>
      </c>
      <c r="C753" t="inlineStr">
        <is>
          <t>Nadia Mnyusiwalla</t>
        </is>
      </c>
      <c r="D753">
        <f>HYPERLINK("https://ota.tournamentsoftware.com/player-profile/0DB52458-FB00-472A-BE89-03A77FEBF08E", "Link")</f>
        <v/>
      </c>
      <c r="E753" s="3" t="n">
        <v>14.381</v>
      </c>
      <c r="F753" s="4" t="n">
        <v>3</v>
      </c>
      <c r="G753" t="inlineStr">
        <is>
          <t>Ontario Tennis Association</t>
        </is>
      </c>
      <c r="H753" t="inlineStr">
        <is>
          <t>Waterloo Tennis Club</t>
        </is>
      </c>
      <c r="I753" t="inlineStr">
        <is>
          <t>unavailable</t>
        </is>
      </c>
      <c r="J753" s="4" t="n">
        <v>54</v>
      </c>
      <c r="K753" t="inlineStr">
        <is>
          <t>15 / 39</t>
        </is>
      </c>
      <c r="L753" t="inlineStr">
        <is>
          <t>2 / 14</t>
        </is>
      </c>
      <c r="M753" s="5" t="n">
        <v>0.28</v>
      </c>
      <c r="N753" s="5" t="n">
        <v>0.12</v>
      </c>
    </row>
    <row r="754">
      <c r="A754" t="n">
        <v>753</v>
      </c>
      <c r="B754" t="n">
        <v>2014</v>
      </c>
      <c r="C754" t="inlineStr">
        <is>
          <t>Yuxin Bella Cao</t>
        </is>
      </c>
      <c r="D754">
        <f>HYPERLINK("https://ota.tournamentsoftware.com/player-profile/ECABBEB5-67C3-48F1-8CC6-A7628D8721E8", "Link")</f>
        <v/>
      </c>
      <c r="E754" s="3" t="n">
        <v>14.292</v>
      </c>
      <c r="F754" s="4" t="n">
        <v>3</v>
      </c>
      <c r="G754" t="inlineStr">
        <is>
          <t>Ontario Tennis Association</t>
        </is>
      </c>
      <c r="H754" t="inlineStr">
        <is>
          <t>ACE Tennis - Burlington</t>
        </is>
      </c>
      <c r="I754" t="n">
        <v>38.2</v>
      </c>
      <c r="J754" s="4" t="n">
        <v>40</v>
      </c>
      <c r="K754" t="inlineStr">
        <is>
          <t>12 / 28</t>
        </is>
      </c>
      <c r="L754" t="inlineStr">
        <is>
          <t>2 / 2</t>
        </is>
      </c>
      <c r="M754" s="5" t="n">
        <v>0.3</v>
      </c>
      <c r="N754" s="5" t="n">
        <v>0.5</v>
      </c>
    </row>
    <row r="755">
      <c r="A755" t="n">
        <v>754</v>
      </c>
      <c r="B755" t="n">
        <v>2014</v>
      </c>
      <c r="C755" t="inlineStr">
        <is>
          <t>Elise Hiu-Wing Lin</t>
        </is>
      </c>
      <c r="D755">
        <f>HYPERLINK("https://ota.tournamentsoftware.com/player-profile/6079C290-F004-492F-BD70-120B06A08264", "Link")</f>
        <v/>
      </c>
      <c r="E755" s="3" t="n">
        <v>14.283</v>
      </c>
      <c r="F755" s="4" t="n">
        <v>4</v>
      </c>
      <c r="G755" t="inlineStr">
        <is>
          <t>British Columbia</t>
        </is>
      </c>
      <c r="H755" t="inlineStr">
        <is>
          <t>No Club</t>
        </is>
      </c>
      <c r="I755" t="n">
        <v>36.3</v>
      </c>
      <c r="J755" s="4" t="n">
        <v>47</v>
      </c>
      <c r="K755" t="inlineStr">
        <is>
          <t>17 / 30</t>
        </is>
      </c>
      <c r="L755" t="inlineStr">
        <is>
          <t>4 / 5</t>
        </is>
      </c>
      <c r="M755" s="5" t="n">
        <v>0.36</v>
      </c>
      <c r="N755" s="5" t="n">
        <v>0.44</v>
      </c>
    </row>
    <row r="756">
      <c r="A756" t="n">
        <v>755</v>
      </c>
      <c r="B756" t="n">
        <v>2012</v>
      </c>
      <c r="C756" t="inlineStr">
        <is>
          <t>Nora Skogen</t>
        </is>
      </c>
      <c r="D756">
        <f>HYPERLINK("https://ota.tournamentsoftware.com/player-profile/84E488EE-ABCE-4936-AC77-DCF33DA7BE52", "Link")</f>
        <v/>
      </c>
      <c r="E756" s="3" t="n">
        <v>14.256</v>
      </c>
      <c r="F756" s="4" t="n">
        <v>1</v>
      </c>
      <c r="G756" t="inlineStr">
        <is>
          <t>British Columbia</t>
        </is>
      </c>
      <c r="H756" t="inlineStr">
        <is>
          <t>Hollyburn Country Club</t>
        </is>
      </c>
      <c r="I756" t="n">
        <v>32.3</v>
      </c>
      <c r="J756" s="4" t="n">
        <v>164</v>
      </c>
      <c r="K756" t="inlineStr">
        <is>
          <t>79 / 85</t>
        </is>
      </c>
      <c r="L756" t="inlineStr">
        <is>
          <t>1 / 1</t>
        </is>
      </c>
      <c r="M756" s="5" t="n">
        <v>0.48</v>
      </c>
      <c r="N756" s="5" t="n">
        <v>0.5</v>
      </c>
    </row>
    <row r="757">
      <c r="A757" t="n">
        <v>756</v>
      </c>
      <c r="B757" t="n">
        <v>2013</v>
      </c>
      <c r="C757" t="inlineStr">
        <is>
          <t>Aylin Iskenderova</t>
        </is>
      </c>
      <c r="D757">
        <f>HYPERLINK("https://ota.tournamentsoftware.com/player-profile/07B240E6-A596-4F2A-90A6-63993B9F2568", "Link")</f>
        <v/>
      </c>
      <c r="E757" s="3" t="n">
        <v>14.11</v>
      </c>
      <c r="F757" s="4" t="n">
        <v>1</v>
      </c>
      <c r="G757" t="inlineStr">
        <is>
          <t>Ontario Tennis Association</t>
        </is>
      </c>
      <c r="H757" t="inlineStr">
        <is>
          <t>Concord Tennis Academy</t>
        </is>
      </c>
      <c r="I757" t="n">
        <v>39.8</v>
      </c>
      <c r="J757" s="4" t="n">
        <v>14</v>
      </c>
      <c r="K757" t="inlineStr">
        <is>
          <t>6 / 8</t>
        </is>
      </c>
      <c r="L757" t="inlineStr">
        <is>
          <t>0 / 2</t>
        </is>
      </c>
      <c r="M757" s="5" t="n">
        <v>0.43</v>
      </c>
      <c r="N757" s="5" t="n">
        <v>0</v>
      </c>
    </row>
    <row r="758">
      <c r="A758" t="n">
        <v>756</v>
      </c>
      <c r="B758" t="n">
        <v>2012</v>
      </c>
      <c r="C758" t="inlineStr">
        <is>
          <t>Renee Burton</t>
        </is>
      </c>
      <c r="D758">
        <f>HYPERLINK("https://ota.tournamentsoftware.com/player-profile/88D51E75-4EAF-4390-8A85-9E01D5A7B97C", "Link")</f>
        <v/>
      </c>
      <c r="E758" s="3" t="n">
        <v>14.11</v>
      </c>
      <c r="F758" s="4" t="n">
        <v>1</v>
      </c>
      <c r="G758" t="inlineStr">
        <is>
          <t>Ontario Tennis Association</t>
        </is>
      </c>
      <c r="H758" t="inlineStr">
        <is>
          <t>ACE Tennis - Burlington</t>
        </is>
      </c>
      <c r="I758" t="n">
        <v>35.9</v>
      </c>
      <c r="J758" s="4" t="n">
        <v>13</v>
      </c>
      <c r="K758" t="inlineStr">
        <is>
          <t>9 / 4</t>
        </is>
      </c>
      <c r="L758" t="inlineStr">
        <is>
          <t>9 / 4</t>
        </is>
      </c>
      <c r="M758" s="5" t="n">
        <v>0.6899999999999999</v>
      </c>
      <c r="N758" s="5" t="n">
        <v>0.6899999999999999</v>
      </c>
    </row>
    <row r="759">
      <c r="A759" t="n">
        <v>758</v>
      </c>
      <c r="B759" t="n">
        <v>2012</v>
      </c>
      <c r="C759" t="inlineStr">
        <is>
          <t>Julia Michelle Cipriano</t>
        </is>
      </c>
      <c r="D759">
        <f>HYPERLINK("https://ota.tournamentsoftware.com/player-profile/EC29FADF-ECEA-4CC3-AE9B-2987D1E47266", "Link")</f>
        <v/>
      </c>
      <c r="E759" s="3" t="n">
        <v>13.725</v>
      </c>
      <c r="F759" s="4" t="n">
        <v>2</v>
      </c>
      <c r="G759" t="inlineStr">
        <is>
          <t>British Columbia</t>
        </is>
      </c>
      <c r="H759" t="inlineStr">
        <is>
          <t>West Vancouver Tennis Club</t>
        </is>
      </c>
      <c r="I759" t="n">
        <v>37</v>
      </c>
      <c r="J759" s="4" t="n">
        <v>18</v>
      </c>
      <c r="K759" t="inlineStr">
        <is>
          <t>8 / 10</t>
        </is>
      </c>
      <c r="L759" t="inlineStr">
        <is>
          <t>6 / 6</t>
        </is>
      </c>
      <c r="M759" s="5" t="n">
        <v>0.44</v>
      </c>
      <c r="N759" s="5" t="n">
        <v>0.5</v>
      </c>
    </row>
    <row r="760">
      <c r="A760" t="n">
        <v>759</v>
      </c>
      <c r="B760" t="n">
        <v>2016</v>
      </c>
      <c r="C760" t="inlineStr">
        <is>
          <t>Joud Marmash</t>
        </is>
      </c>
      <c r="D760">
        <f>HYPERLINK("https://ota.tournamentsoftware.com/player-profile/7F8FB01C-3EB1-48B9-B051-119BB01F4118", "Link")</f>
        <v/>
      </c>
      <c r="E760" s="3" t="n">
        <v>13.68</v>
      </c>
      <c r="F760" s="4" t="n">
        <v>6</v>
      </c>
      <c r="G760" t="inlineStr">
        <is>
          <t>Ontario Tennis Association</t>
        </is>
      </c>
      <c r="H760" t="inlineStr">
        <is>
          <t>Zekelman Tennis Centre</t>
        </is>
      </c>
      <c r="I760" t="n">
        <v>38.2</v>
      </c>
      <c r="J760" s="4" t="n">
        <v>18</v>
      </c>
      <c r="K760" t="inlineStr">
        <is>
          <t>5 / 13</t>
        </is>
      </c>
      <c r="L760" t="inlineStr">
        <is>
          <t>5 / 13</t>
        </is>
      </c>
      <c r="M760" s="5" t="n">
        <v>0.28</v>
      </c>
      <c r="N760" s="5" t="n">
        <v>0.28</v>
      </c>
    </row>
    <row r="761">
      <c r="A761" t="n">
        <v>760</v>
      </c>
      <c r="B761" t="n">
        <v>2013</v>
      </c>
      <c r="C761" t="inlineStr">
        <is>
          <t>Nitya Myneni</t>
        </is>
      </c>
      <c r="D761">
        <f>HYPERLINK("https://ota.tournamentsoftware.com/player-profile/482EDD14-11AD-4221-B031-4CDB8348AC62", "Link")</f>
        <v/>
      </c>
      <c r="E761" s="3" t="n">
        <v>13.478</v>
      </c>
      <c r="F761" s="4" t="n">
        <v>2</v>
      </c>
      <c r="G761" t="inlineStr">
        <is>
          <t>British Columbia</t>
        </is>
      </c>
      <c r="H761" t="inlineStr">
        <is>
          <t>The Tennis Centre</t>
        </is>
      </c>
      <c r="I761" t="n">
        <v>40</v>
      </c>
      <c r="J761" s="4" t="n">
        <v>26</v>
      </c>
      <c r="K761" t="inlineStr">
        <is>
          <t>8 / 18</t>
        </is>
      </c>
      <c r="L761" t="inlineStr">
        <is>
          <t>0 / 4</t>
        </is>
      </c>
      <c r="M761" s="5" t="n">
        <v>0.31</v>
      </c>
      <c r="N761" s="5" t="n">
        <v>0</v>
      </c>
    </row>
    <row r="762">
      <c r="A762" t="n">
        <v>761</v>
      </c>
      <c r="B762" t="n">
        <v>2013</v>
      </c>
      <c r="C762" t="inlineStr">
        <is>
          <t>Hailey Johnson</t>
        </is>
      </c>
      <c r="D762">
        <f>HYPERLINK("https://ota.tournamentsoftware.com/player-profile/D4247C6C-DBD8-41D1-867E-D35290341BA8", "Link")</f>
        <v/>
      </c>
      <c r="E762" s="3" t="n">
        <v>13.23</v>
      </c>
      <c r="F762" s="4" t="n">
        <v>2</v>
      </c>
      <c r="G762" t="inlineStr">
        <is>
          <t>British Columbia</t>
        </is>
      </c>
      <c r="H762" t="inlineStr">
        <is>
          <t>Tennis for Life</t>
        </is>
      </c>
      <c r="I762" t="inlineStr">
        <is>
          <t>unavailable</t>
        </is>
      </c>
      <c r="J762" s="4" t="n">
        <v>49</v>
      </c>
      <c r="K762" t="inlineStr">
        <is>
          <t>28 / 21</t>
        </is>
      </c>
      <c r="L762" t="inlineStr">
        <is>
          <t>1 / 1</t>
        </is>
      </c>
      <c r="M762" s="5" t="n">
        <v>0.57</v>
      </c>
      <c r="N762" s="5" t="n">
        <v>0.5</v>
      </c>
    </row>
    <row r="763">
      <c r="A763" t="n">
        <v>762</v>
      </c>
      <c r="B763" t="n">
        <v>2014</v>
      </c>
      <c r="C763" t="inlineStr">
        <is>
          <t>Olivia Duthoit</t>
        </is>
      </c>
      <c r="D763">
        <f>HYPERLINK("https://ota.tournamentsoftware.com/player-profile/7ADA0A6D-C257-4896-AEB0-8E053AAA4B48", "Link")</f>
        <v/>
      </c>
      <c r="E763" s="3" t="n">
        <v>13.092</v>
      </c>
      <c r="F763" s="4" t="n">
        <v>2</v>
      </c>
      <c r="G763" t="inlineStr">
        <is>
          <t>Tennis Québec</t>
        </is>
      </c>
      <c r="H763" t="inlineStr">
        <is>
          <t>Club Avantage Multi-sports / Académie de tennis Hérisset Bordeleau</t>
        </is>
      </c>
      <c r="I763" t="n">
        <v>36.6</v>
      </c>
      <c r="J763" s="4" t="n">
        <v>18</v>
      </c>
      <c r="K763" t="inlineStr">
        <is>
          <t>3 / 15</t>
        </is>
      </c>
      <c r="L763" t="inlineStr">
        <is>
          <t>2 / 3</t>
        </is>
      </c>
      <c r="M763" s="5" t="n">
        <v>0.17</v>
      </c>
      <c r="N763" s="5" t="n">
        <v>0.4</v>
      </c>
    </row>
    <row r="764">
      <c r="A764" t="n">
        <v>763</v>
      </c>
      <c r="B764" t="n">
        <v>2013</v>
      </c>
      <c r="C764" t="inlineStr">
        <is>
          <t>caitlin wong</t>
        </is>
      </c>
      <c r="D764">
        <f>HYPERLINK("https://ota.tournamentsoftware.com/player-profile/A6697051-116D-4981-AA23-11E1BF963FD3", "Link")</f>
        <v/>
      </c>
      <c r="E764" s="3" t="n">
        <v>13</v>
      </c>
      <c r="F764" s="4" t="n">
        <v>1</v>
      </c>
      <c r="G764" t="inlineStr">
        <is>
          <t>Ontario Tennis Association</t>
        </is>
      </c>
      <c r="H764" t="inlineStr">
        <is>
          <t>Blackmore Tennis Club</t>
        </is>
      </c>
      <c r="I764" t="n">
        <v>37.2</v>
      </c>
      <c r="J764" s="4" t="n">
        <v>56</v>
      </c>
      <c r="K764" t="inlineStr">
        <is>
          <t>29 / 27</t>
        </is>
      </c>
      <c r="L764" t="inlineStr">
        <is>
          <t>0 / 0</t>
        </is>
      </c>
      <c r="M764" s="5" t="n">
        <v>0.52</v>
      </c>
      <c r="N764" s="5" t="n">
        <v>0</v>
      </c>
    </row>
    <row r="765">
      <c r="A765" t="n">
        <v>764</v>
      </c>
      <c r="B765" t="n">
        <v>2012</v>
      </c>
      <c r="C765" t="inlineStr">
        <is>
          <t>Ai-Ni Amelia Cheng</t>
        </is>
      </c>
      <c r="D765">
        <f>HYPERLINK("https://ota.tournamentsoftware.com/player-profile/040F8D36-CAF3-4E90-85FB-8F17F2F92E8F", "Link")</f>
        <v/>
      </c>
      <c r="E765" s="3" t="n">
        <v>12.906</v>
      </c>
      <c r="F765" s="4" t="n">
        <v>1</v>
      </c>
      <c r="G765" t="inlineStr">
        <is>
          <t>Ontario Tennis Association</t>
        </is>
      </c>
      <c r="H765" t="inlineStr">
        <is>
          <t>ON West Central No Club</t>
        </is>
      </c>
      <c r="I765" t="inlineStr">
        <is>
          <t>unavailable</t>
        </is>
      </c>
      <c r="J765" s="4" t="inlineStr"/>
      <c r="K765" t="inlineStr">
        <is>
          <t>unavailable</t>
        </is>
      </c>
      <c r="L765" t="inlineStr">
        <is>
          <t>unavailable</t>
        </is>
      </c>
      <c r="M765" s="5" t="inlineStr"/>
      <c r="N765" s="5" t="inlineStr"/>
    </row>
    <row r="766">
      <c r="A766" t="n">
        <v>765</v>
      </c>
      <c r="B766" t="n">
        <v>2016</v>
      </c>
      <c r="C766" t="inlineStr">
        <is>
          <t>Delia Stoian</t>
        </is>
      </c>
      <c r="D766">
        <f>HYPERLINK("https://ota.tournamentsoftware.com/player-profile/97BF71BC-EF3B-40A8-B2A8-4211E6570024", "Link")</f>
        <v/>
      </c>
      <c r="E766" s="3" t="n">
        <v>12.871</v>
      </c>
      <c r="F766" s="4" t="n">
        <v>2</v>
      </c>
      <c r="G766" t="inlineStr">
        <is>
          <t>Tennis Québec</t>
        </is>
      </c>
      <c r="H766" t="inlineStr">
        <is>
          <t>SANI Sport</t>
        </is>
      </c>
      <c r="I766" t="n">
        <v>37.1</v>
      </c>
      <c r="J766" s="4" t="n">
        <v>84</v>
      </c>
      <c r="K766" t="inlineStr">
        <is>
          <t>48 / 36</t>
        </is>
      </c>
      <c r="L766" t="inlineStr">
        <is>
          <t>20 / 15</t>
        </is>
      </c>
      <c r="M766" s="5" t="n">
        <v>0.57</v>
      </c>
      <c r="N766" s="5" t="n">
        <v>0.57</v>
      </c>
    </row>
    <row r="767">
      <c r="A767" t="n">
        <v>766</v>
      </c>
      <c r="B767" t="n">
        <v>2015</v>
      </c>
      <c r="C767" t="inlineStr">
        <is>
          <t>Juliette Merino</t>
        </is>
      </c>
      <c r="D767">
        <f>HYPERLINK("https://ota.tournamentsoftware.com/player-profile/E3FBD49F-6297-464B-AD97-8C82D2E93FB7", "Link")</f>
        <v/>
      </c>
      <c r="E767" s="3" t="n">
        <v>12.817</v>
      </c>
      <c r="F767" s="4" t="n">
        <v>2</v>
      </c>
      <c r="G767" t="inlineStr">
        <is>
          <t>Ontario Tennis Association</t>
        </is>
      </c>
      <c r="H767" t="inlineStr">
        <is>
          <t>Ontario Racquet Club</t>
        </is>
      </c>
      <c r="I767" t="inlineStr">
        <is>
          <t>unavailable</t>
        </is>
      </c>
      <c r="J767" s="4" t="n">
        <v>33</v>
      </c>
      <c r="K767" t="inlineStr">
        <is>
          <t>12 / 21</t>
        </is>
      </c>
      <c r="L767" t="inlineStr">
        <is>
          <t>3 / 7</t>
        </is>
      </c>
      <c r="M767" s="5" t="n">
        <v>0.36</v>
      </c>
      <c r="N767" s="5" t="n">
        <v>0.3</v>
      </c>
    </row>
    <row r="768">
      <c r="A768" t="n">
        <v>767</v>
      </c>
      <c r="B768" t="n">
        <v>2013</v>
      </c>
      <c r="C768" t="inlineStr">
        <is>
          <t>Addison Gilbertson</t>
        </is>
      </c>
      <c r="D768">
        <f>HYPERLINK("https://ota.tournamentsoftware.com/player-profile/C50AF072-EF16-4516-9D5D-42DF1D345F44", "Link")</f>
        <v/>
      </c>
      <c r="E768" s="3" t="n">
        <v>12.687</v>
      </c>
      <c r="F768" s="4" t="n">
        <v>5</v>
      </c>
      <c r="G768" t="inlineStr">
        <is>
          <t>Tennis Alberta</t>
        </is>
      </c>
      <c r="H768" t="inlineStr">
        <is>
          <t>Royal Glenora Club</t>
        </is>
      </c>
      <c r="I768" t="n">
        <v>38.1</v>
      </c>
      <c r="J768" s="4" t="n">
        <v>48</v>
      </c>
      <c r="K768" t="inlineStr">
        <is>
          <t>18 / 30</t>
        </is>
      </c>
      <c r="L768" t="inlineStr">
        <is>
          <t>1 / 4</t>
        </is>
      </c>
      <c r="M768" s="5" t="n">
        <v>0.38</v>
      </c>
      <c r="N768" s="5" t="n">
        <v>0.2</v>
      </c>
    </row>
    <row r="769">
      <c r="A769" t="n">
        <v>768</v>
      </c>
      <c r="B769" t="n">
        <v>2015</v>
      </c>
      <c r="C769" t="inlineStr">
        <is>
          <t>Mirra Tverskaia</t>
        </is>
      </c>
      <c r="D769">
        <f>HYPERLINK("https://ota.tournamentsoftware.com/player-profile/A09D283B-5C23-4F54-A304-0C0125F7637B", "Link")</f>
        <v/>
      </c>
      <c r="E769" s="3" t="n">
        <v>12.632</v>
      </c>
      <c r="F769" s="4" t="n">
        <v>3</v>
      </c>
      <c r="G769" t="inlineStr">
        <is>
          <t>Tennis Prince Edward Island</t>
        </is>
      </c>
      <c r="H769" t="inlineStr">
        <is>
          <t>Royalty Racquet Centre</t>
        </is>
      </c>
      <c r="I769" t="inlineStr">
        <is>
          <t>unavailable</t>
        </is>
      </c>
      <c r="J769" s="4" t="n">
        <v>39</v>
      </c>
      <c r="K769" t="inlineStr">
        <is>
          <t>14 / 25</t>
        </is>
      </c>
      <c r="L769" t="inlineStr">
        <is>
          <t>0 / 1</t>
        </is>
      </c>
      <c r="M769" s="5" t="n">
        <v>0.36</v>
      </c>
      <c r="N769" s="5" t="n">
        <v>0</v>
      </c>
    </row>
    <row r="770">
      <c r="A770" t="n">
        <v>769</v>
      </c>
      <c r="B770" t="n">
        <v>2015</v>
      </c>
      <c r="C770" t="inlineStr">
        <is>
          <t>Amelia Alexei</t>
        </is>
      </c>
      <c r="D770">
        <f>HYPERLINK("https://ota.tournamentsoftware.com/player-profile/7C4A6760-7216-46E2-B5F7-A7F51935EA6B", "Link")</f>
        <v/>
      </c>
      <c r="E770" s="3" t="n">
        <v>12.6</v>
      </c>
      <c r="F770" s="4" t="n">
        <v>1</v>
      </c>
      <c r="G770" t="inlineStr">
        <is>
          <t>Ontario Tennis Association</t>
        </is>
      </c>
      <c r="H770" t="inlineStr">
        <is>
          <t>Toronto Tennis Academy</t>
        </is>
      </c>
      <c r="I770" t="n">
        <v>37.3</v>
      </c>
      <c r="J770" s="4" t="n">
        <v>95</v>
      </c>
      <c r="K770" t="inlineStr">
        <is>
          <t>63 / 32</t>
        </is>
      </c>
      <c r="L770" t="inlineStr">
        <is>
          <t>0 / 0</t>
        </is>
      </c>
      <c r="M770" s="5" t="n">
        <v>0.66</v>
      </c>
      <c r="N770" s="5" t="n">
        <v>0</v>
      </c>
    </row>
    <row r="771">
      <c r="A771" t="n">
        <v>770</v>
      </c>
      <c r="B771" t="n">
        <v>2015</v>
      </c>
      <c r="C771" t="inlineStr">
        <is>
          <t>Charlotte Huiyan Li</t>
        </is>
      </c>
      <c r="D771">
        <f>HYPERLINK("https://ota.tournamentsoftware.com/player-profile/150EC5E4-980E-4649-9619-E10B11D9BA5E", "Link")</f>
        <v/>
      </c>
      <c r="E771" s="3" t="n">
        <v>12.528</v>
      </c>
      <c r="F771" s="4" t="n">
        <v>3</v>
      </c>
      <c r="G771" t="inlineStr">
        <is>
          <t>British Columbia</t>
        </is>
      </c>
      <c r="H771" t="inlineStr">
        <is>
          <t>Tennis for Life</t>
        </is>
      </c>
      <c r="I771" t="n">
        <v>36.2</v>
      </c>
      <c r="J771" s="4" t="n">
        <v>39</v>
      </c>
      <c r="K771" t="inlineStr">
        <is>
          <t>15 / 24</t>
        </is>
      </c>
      <c r="L771" t="inlineStr">
        <is>
          <t>2 / 2</t>
        </is>
      </c>
      <c r="M771" s="5" t="n">
        <v>0.38</v>
      </c>
      <c r="N771" s="5" t="n">
        <v>0.5</v>
      </c>
    </row>
    <row r="772">
      <c r="A772" t="n">
        <v>771</v>
      </c>
      <c r="B772" t="n">
        <v>2013</v>
      </c>
      <c r="C772" t="inlineStr">
        <is>
          <t>Kashvi Chaudhary</t>
        </is>
      </c>
      <c r="D772">
        <f>HYPERLINK("https://ota.tournamentsoftware.com/player-profile/0597AAB7-43E9-42CF-B00B-4928F8A2A1CD", "Link")</f>
        <v/>
      </c>
      <c r="E772" s="3" t="n">
        <v>12.479</v>
      </c>
      <c r="F772" s="4" t="n">
        <v>3</v>
      </c>
      <c r="G772" t="inlineStr">
        <is>
          <t>Ontario Tennis Association</t>
        </is>
      </c>
      <c r="H772" t="inlineStr">
        <is>
          <t>Brampton Tennis Club</t>
        </is>
      </c>
      <c r="I772" t="n">
        <v>39.9</v>
      </c>
      <c r="J772" s="4" t="n">
        <v>14</v>
      </c>
      <c r="K772" t="inlineStr">
        <is>
          <t>2 / 12</t>
        </is>
      </c>
      <c r="L772" t="inlineStr">
        <is>
          <t>0 / 0</t>
        </is>
      </c>
      <c r="M772" s="5" t="n">
        <v>0.14</v>
      </c>
      <c r="N772" s="5" t="n">
        <v>0</v>
      </c>
    </row>
    <row r="773">
      <c r="A773" t="n">
        <v>772</v>
      </c>
      <c r="B773" t="n">
        <v>2013</v>
      </c>
      <c r="C773" t="inlineStr">
        <is>
          <t>Felicia Mingfei Li</t>
        </is>
      </c>
      <c r="D773">
        <f>HYPERLINK("https://ota.tournamentsoftware.com/player-profile/32F60D7D-3E57-4800-9C5C-282147021863", "Link")</f>
        <v/>
      </c>
      <c r="E773" s="3" t="n">
        <v>12.378</v>
      </c>
      <c r="F773" s="4" t="n">
        <v>2</v>
      </c>
      <c r="G773" t="inlineStr">
        <is>
          <t>Ontario Tennis Association</t>
        </is>
      </c>
      <c r="H773" t="inlineStr">
        <is>
          <t>Marilyn Redvers Tennis Club</t>
        </is>
      </c>
      <c r="I773" t="n">
        <v>39.7</v>
      </c>
      <c r="J773" s="4" t="n">
        <v>31</v>
      </c>
      <c r="K773" t="inlineStr">
        <is>
          <t>9 / 22</t>
        </is>
      </c>
      <c r="L773" t="inlineStr">
        <is>
          <t>0 / 2</t>
        </is>
      </c>
      <c r="M773" s="5" t="n">
        <v>0.29</v>
      </c>
      <c r="N773" s="5" t="n">
        <v>0</v>
      </c>
    </row>
    <row r="774">
      <c r="A774" t="n">
        <v>773</v>
      </c>
      <c r="B774" t="n">
        <v>2012</v>
      </c>
      <c r="C774" t="inlineStr">
        <is>
          <t>Anzhuo Yi</t>
        </is>
      </c>
      <c r="D774">
        <f>HYPERLINK("https://ota.tournamentsoftware.com/player-profile/60444867-D5FF-4226-8841-4058D520099B", "Link")</f>
        <v/>
      </c>
      <c r="E774" s="3" t="n">
        <v>12.336</v>
      </c>
      <c r="F774" s="4" t="n">
        <v>1</v>
      </c>
      <c r="G774" t="inlineStr">
        <is>
          <t>Ontario Tennis Association</t>
        </is>
      </c>
      <c r="H774" t="inlineStr">
        <is>
          <t>Premier Racquet Clubs – Mississauga</t>
        </is>
      </c>
      <c r="I774" t="n">
        <v>37.7</v>
      </c>
      <c r="J774" s="4" t="n">
        <v>8</v>
      </c>
      <c r="K774" t="inlineStr">
        <is>
          <t>2 / 6</t>
        </is>
      </c>
      <c r="L774" t="inlineStr">
        <is>
          <t>2 / 6</t>
        </is>
      </c>
      <c r="M774" s="5" t="n">
        <v>0.25</v>
      </c>
      <c r="N774" s="5" t="n">
        <v>0.25</v>
      </c>
    </row>
    <row r="775">
      <c r="A775" t="n">
        <v>774</v>
      </c>
      <c r="B775" t="n">
        <v>2013</v>
      </c>
      <c r="C775" t="inlineStr">
        <is>
          <t>Aura Hayer</t>
        </is>
      </c>
      <c r="D775">
        <f>HYPERLINK("https://ota.tournamentsoftware.com/player-profile/969F22DA-6980-4E13-BAE2-6BD2D0C08F88", "Link")</f>
        <v/>
      </c>
      <c r="E775" s="3" t="n">
        <v>12.138</v>
      </c>
      <c r="F775" s="4" t="n">
        <v>2</v>
      </c>
      <c r="G775" t="inlineStr">
        <is>
          <t>British Columbia</t>
        </is>
      </c>
      <c r="H775" t="inlineStr">
        <is>
          <t>Sunshine Hills Tennis Club</t>
        </is>
      </c>
      <c r="I775" t="n">
        <v>38.5</v>
      </c>
      <c r="J775" s="4" t="n">
        <v>103</v>
      </c>
      <c r="K775" t="inlineStr">
        <is>
          <t>32 / 71</t>
        </is>
      </c>
      <c r="L775" t="inlineStr">
        <is>
          <t>2 / 5</t>
        </is>
      </c>
      <c r="M775" s="5" t="n">
        <v>0.31</v>
      </c>
      <c r="N775" s="5" t="n">
        <v>0.29</v>
      </c>
    </row>
    <row r="776">
      <c r="A776" t="n">
        <v>775</v>
      </c>
      <c r="B776" t="n">
        <v>2016</v>
      </c>
      <c r="C776" t="inlineStr">
        <is>
          <t>Eiman Javaid Khan</t>
        </is>
      </c>
      <c r="D776">
        <f>HYPERLINK("https://ota.tournamentsoftware.com/player-profile/417EBA88-24AB-42AB-9421-1764C4FCA777", "Link")</f>
        <v/>
      </c>
      <c r="E776" s="3" t="n">
        <v>12</v>
      </c>
      <c r="F776" s="4" t="n">
        <v>2</v>
      </c>
      <c r="G776" t="inlineStr">
        <is>
          <t>Tennis Newfoundland &amp; Labrador</t>
        </is>
      </c>
      <c r="H776" t="inlineStr">
        <is>
          <t>Greenbelt Tennis Club</t>
        </is>
      </c>
      <c r="I776" t="inlineStr">
        <is>
          <t>unavailable</t>
        </is>
      </c>
      <c r="J776" s="4" t="n">
        <v>16</v>
      </c>
      <c r="K776" t="inlineStr">
        <is>
          <t>5 / 11</t>
        </is>
      </c>
      <c r="L776" t="inlineStr">
        <is>
          <t>4 / 7</t>
        </is>
      </c>
      <c r="M776" s="5" t="n">
        <v>0.31</v>
      </c>
      <c r="N776" s="5" t="n">
        <v>0.36</v>
      </c>
    </row>
    <row r="777">
      <c r="A777" t="n">
        <v>776</v>
      </c>
      <c r="B777" t="n">
        <v>2014</v>
      </c>
      <c r="C777" t="inlineStr">
        <is>
          <t>Kayla Caden</t>
        </is>
      </c>
      <c r="D777">
        <f>HYPERLINK("https://ota.tournamentsoftware.com/player-profile/EB31E71A-90E6-4B10-9538-33BC7B66EA6E", "Link")</f>
        <v/>
      </c>
      <c r="E777" s="3" t="n">
        <v>11.809</v>
      </c>
      <c r="F777" s="4" t="n">
        <v>3</v>
      </c>
      <c r="G777" t="inlineStr">
        <is>
          <t>Tennis Québec</t>
        </is>
      </c>
      <c r="H777" t="inlineStr">
        <is>
          <t>Club de tennis St-Lambert</t>
        </is>
      </c>
      <c r="I777" t="n">
        <v>38.1</v>
      </c>
      <c r="J777" s="4" t="n">
        <v>11</v>
      </c>
      <c r="K777" t="inlineStr">
        <is>
          <t>4 / 7</t>
        </is>
      </c>
      <c r="L777" t="inlineStr">
        <is>
          <t>2 / 3</t>
        </is>
      </c>
      <c r="M777" s="5" t="n">
        <v>0.36</v>
      </c>
      <c r="N777" s="5" t="n">
        <v>0.4</v>
      </c>
    </row>
    <row r="778">
      <c r="A778" t="n">
        <v>777</v>
      </c>
      <c r="B778" t="n">
        <v>2012</v>
      </c>
      <c r="C778" t="inlineStr">
        <is>
          <t>Angel Wen</t>
        </is>
      </c>
      <c r="D778">
        <f>HYPERLINK("https://ota.tournamentsoftware.com/player-profile/2BF37F0F-B2BA-4533-859D-5AFB82154AAC", "Link")</f>
        <v/>
      </c>
      <c r="E778" s="3" t="n">
        <v>11.664</v>
      </c>
      <c r="F778" s="4" t="n">
        <v>1</v>
      </c>
      <c r="G778" t="inlineStr">
        <is>
          <t>Tennis Nova Scotia</t>
        </is>
      </c>
      <c r="H778" t="inlineStr">
        <is>
          <t>Atlantic Tennis Centre</t>
        </is>
      </c>
      <c r="I778" t="n">
        <v>36.8</v>
      </c>
      <c r="J778" s="4" t="n">
        <v>2</v>
      </c>
      <c r="K778" t="inlineStr">
        <is>
          <t>0 / 2</t>
        </is>
      </c>
      <c r="L778" t="inlineStr">
        <is>
          <t>0 / 0</t>
        </is>
      </c>
      <c r="M778" s="5" t="n">
        <v>0</v>
      </c>
      <c r="N778" s="5" t="n">
        <v>0</v>
      </c>
    </row>
    <row r="779">
      <c r="A779" t="n">
        <v>778</v>
      </c>
      <c r="B779" t="n">
        <v>2013</v>
      </c>
      <c r="C779" t="inlineStr">
        <is>
          <t>Giselle Christine Lambert</t>
        </is>
      </c>
      <c r="D779">
        <f>HYPERLINK("https://ota.tournamentsoftware.com/player-profile/2E2CA1C3-86CC-418F-BF1B-9B9E4D99F292", "Link")</f>
        <v/>
      </c>
      <c r="E779" s="3" t="n">
        <v>11.48</v>
      </c>
      <c r="F779" s="4" t="n">
        <v>2</v>
      </c>
      <c r="G779" t="inlineStr">
        <is>
          <t>British Columbia</t>
        </is>
      </c>
      <c r="H779" t="inlineStr">
        <is>
          <t>Hollyburn Country Club</t>
        </is>
      </c>
      <c r="I779" t="n">
        <v>36.9</v>
      </c>
      <c r="J779" s="4" t="n">
        <v>44</v>
      </c>
      <c r="K779" t="inlineStr">
        <is>
          <t>10 / 34</t>
        </is>
      </c>
      <c r="L779" t="inlineStr">
        <is>
          <t>0 / 0</t>
        </is>
      </c>
      <c r="M779" s="5" t="n">
        <v>0.23</v>
      </c>
      <c r="N779" s="5" t="n">
        <v>0</v>
      </c>
    </row>
    <row r="780">
      <c r="A780" t="n">
        <v>779</v>
      </c>
      <c r="B780" t="n">
        <v>2015</v>
      </c>
      <c r="C780" t="inlineStr">
        <is>
          <t>Daisy Dai</t>
        </is>
      </c>
      <c r="D780">
        <f>HYPERLINK("https://ota.tournamentsoftware.com/player-profile/C64DEFB9-4BBC-4AA1-8CC8-9020440935AB", "Link")</f>
        <v/>
      </c>
      <c r="E780" s="3" t="n">
        <v>11.448</v>
      </c>
      <c r="F780" s="4" t="n">
        <v>1</v>
      </c>
      <c r="G780" t="inlineStr">
        <is>
          <t>Tennis Nova Scotia</t>
        </is>
      </c>
      <c r="H780" t="inlineStr">
        <is>
          <t>Atlantic Tennis Centre</t>
        </is>
      </c>
      <c r="I780" t="n">
        <v>33.3</v>
      </c>
      <c r="J780" s="4" t="n">
        <v>23</v>
      </c>
      <c r="K780" t="inlineStr">
        <is>
          <t>16 / 7</t>
        </is>
      </c>
      <c r="L780" t="inlineStr">
        <is>
          <t>4 / 2</t>
        </is>
      </c>
      <c r="M780" s="5" t="n">
        <v>0.7</v>
      </c>
      <c r="N780" s="5" t="n">
        <v>0.67</v>
      </c>
    </row>
    <row r="781">
      <c r="A781" t="n">
        <v>779</v>
      </c>
      <c r="B781" t="n">
        <v>2016</v>
      </c>
      <c r="C781" t="inlineStr">
        <is>
          <t>Harper Whitehead</t>
        </is>
      </c>
      <c r="D781">
        <f>HYPERLINK("https://ota.tournamentsoftware.com/player-profile/11F4D113-D7D4-48BC-9EC5-3040B116C96D", "Link")</f>
        <v/>
      </c>
      <c r="E781" s="3" t="n">
        <v>11.448</v>
      </c>
      <c r="F781" s="4" t="n">
        <v>8</v>
      </c>
      <c r="G781" t="inlineStr">
        <is>
          <t>Tennis Nova Scotia</t>
        </is>
      </c>
      <c r="H781" t="inlineStr">
        <is>
          <t>Atlantic Tennis Centre</t>
        </is>
      </c>
      <c r="I781" t="n">
        <v>38.2</v>
      </c>
      <c r="J781" s="4" t="n">
        <v>80</v>
      </c>
      <c r="K781" t="inlineStr">
        <is>
          <t>35 / 45</t>
        </is>
      </c>
      <c r="L781" t="inlineStr">
        <is>
          <t>10 / 15</t>
        </is>
      </c>
      <c r="M781" s="5" t="n">
        <v>0.44</v>
      </c>
      <c r="N781" s="5" t="n">
        <v>0.4</v>
      </c>
    </row>
    <row r="782">
      <c r="A782" t="n">
        <v>781</v>
      </c>
      <c r="B782" t="n">
        <v>2015</v>
      </c>
      <c r="C782" t="inlineStr">
        <is>
          <t>Cléony Le</t>
        </is>
      </c>
      <c r="D782">
        <f>HYPERLINK("https://ota.tournamentsoftware.com/player-profile/D1C4971B-CB54-436E-9303-C69424DC84AC", "Link")</f>
        <v/>
      </c>
      <c r="E782" s="3" t="n">
        <v>11.429</v>
      </c>
      <c r="F782" s="4" t="n">
        <v>1</v>
      </c>
      <c r="G782" t="inlineStr">
        <is>
          <t>Tennis Québec</t>
        </is>
      </c>
      <c r="H782" t="inlineStr">
        <is>
          <t>Centre récréatif de Repentigny / Académie Tennis Momentum</t>
        </is>
      </c>
      <c r="I782" t="n">
        <v>37</v>
      </c>
      <c r="J782" s="4" t="n">
        <v>32</v>
      </c>
      <c r="K782" t="inlineStr">
        <is>
          <t>15 / 17</t>
        </is>
      </c>
      <c r="L782" t="inlineStr">
        <is>
          <t>0 / 1</t>
        </is>
      </c>
      <c r="M782" s="5" t="n">
        <v>0.47</v>
      </c>
      <c r="N782" s="5" t="n">
        <v>0</v>
      </c>
    </row>
    <row r="783">
      <c r="A783" t="n">
        <v>782</v>
      </c>
      <c r="B783" t="n">
        <v>2012</v>
      </c>
      <c r="C783" t="inlineStr">
        <is>
          <t>Charley Burgess</t>
        </is>
      </c>
      <c r="D783">
        <f>HYPERLINK("https://ota.tournamentsoftware.com/player-profile/F7818ED5-A370-4D5D-9CAE-03309F03D5FD", "Link")</f>
        <v/>
      </c>
      <c r="E783" s="3" t="n">
        <v>11.301</v>
      </c>
      <c r="F783" s="4" t="n">
        <v>3</v>
      </c>
      <c r="G783" t="inlineStr">
        <is>
          <t>Tennis Alberta</t>
        </is>
      </c>
      <c r="H783" t="inlineStr">
        <is>
          <t>The Glencoe Club</t>
        </is>
      </c>
      <c r="I783" t="inlineStr">
        <is>
          <t>unavailable</t>
        </is>
      </c>
      <c r="J783" s="4" t="n">
        <v>52</v>
      </c>
      <c r="K783" t="inlineStr">
        <is>
          <t>23 / 29</t>
        </is>
      </c>
      <c r="L783" t="inlineStr">
        <is>
          <t>0 / 0</t>
        </is>
      </c>
      <c r="M783" s="5" t="n">
        <v>0.44</v>
      </c>
      <c r="N783" s="5" t="n">
        <v>0</v>
      </c>
    </row>
    <row r="784">
      <c r="A784" t="n">
        <v>783</v>
      </c>
      <c r="B784" t="n">
        <v>2014</v>
      </c>
      <c r="C784" t="inlineStr">
        <is>
          <t>Neiva George</t>
        </is>
      </c>
      <c r="D784">
        <f>HYPERLINK("https://ota.tournamentsoftware.com/player-profile/1A9BA311-0F1E-40A7-9341-ECED97AEEBBD", "Link")</f>
        <v/>
      </c>
      <c r="E784" s="3" t="n">
        <v>11.286</v>
      </c>
      <c r="F784" s="4" t="n">
        <v>2</v>
      </c>
      <c r="G784" t="inlineStr">
        <is>
          <t>Ontario Tennis Association</t>
        </is>
      </c>
      <c r="H784" t="inlineStr">
        <is>
          <t>Headwaters Racquet Club</t>
        </is>
      </c>
      <c r="I784" t="n">
        <v>36.8</v>
      </c>
      <c r="J784" s="4" t="n">
        <v>45</v>
      </c>
      <c r="K784" t="inlineStr">
        <is>
          <t>23 / 22</t>
        </is>
      </c>
      <c r="L784" t="inlineStr">
        <is>
          <t>7 / 4</t>
        </is>
      </c>
      <c r="M784" s="5" t="n">
        <v>0.51</v>
      </c>
      <c r="N784" s="5" t="n">
        <v>0.64</v>
      </c>
    </row>
    <row r="785">
      <c r="A785" t="n">
        <v>784</v>
      </c>
      <c r="B785" t="n">
        <v>2016</v>
      </c>
      <c r="C785" t="inlineStr">
        <is>
          <t>Emma Hao</t>
        </is>
      </c>
      <c r="D785">
        <f>HYPERLINK("https://ota.tournamentsoftware.com/player-profile/144D222A-CD06-4355-817D-B27D5DB62B85", "Link")</f>
        <v/>
      </c>
      <c r="E785" s="3" t="n">
        <v>11.141</v>
      </c>
      <c r="F785" s="4" t="n">
        <v>3</v>
      </c>
      <c r="G785" t="inlineStr">
        <is>
          <t>Ontario Tennis Association</t>
        </is>
      </c>
      <c r="H785" t="inlineStr">
        <is>
          <t>Toronto Tennis City</t>
        </is>
      </c>
      <c r="I785" t="n">
        <v>38</v>
      </c>
      <c r="J785" s="4" t="n">
        <v>69</v>
      </c>
      <c r="K785" t="inlineStr">
        <is>
          <t>36 / 33</t>
        </is>
      </c>
      <c r="L785" t="inlineStr">
        <is>
          <t>16 / 9</t>
        </is>
      </c>
      <c r="M785" s="5" t="n">
        <v>0.52</v>
      </c>
      <c r="N785" s="5" t="n">
        <v>0.64</v>
      </c>
    </row>
    <row r="786">
      <c r="A786" t="n">
        <v>785</v>
      </c>
      <c r="B786" t="n">
        <v>2015</v>
      </c>
      <c r="C786" t="inlineStr">
        <is>
          <t>Marissa Grisedale</t>
        </is>
      </c>
      <c r="D786">
        <f>HYPERLINK("https://ota.tournamentsoftware.com/player-profile/FACB5C24-4DB7-463B-A373-69C70E1AC8E4", "Link")</f>
        <v/>
      </c>
      <c r="E786" s="3" t="n">
        <v>11.043</v>
      </c>
      <c r="F786" s="4" t="n">
        <v>3</v>
      </c>
      <c r="G786" t="inlineStr">
        <is>
          <t>British Columbia</t>
        </is>
      </c>
      <c r="H786" t="inlineStr">
        <is>
          <t>Commons Racquet Club at Predator Ridge</t>
        </is>
      </c>
      <c r="I786" t="n">
        <v>37.2</v>
      </c>
      <c r="J786" s="4" t="n">
        <v>40</v>
      </c>
      <c r="K786" t="inlineStr">
        <is>
          <t>20 / 20</t>
        </is>
      </c>
      <c r="L786" t="inlineStr">
        <is>
          <t>3 / 5</t>
        </is>
      </c>
      <c r="M786" s="5" t="n">
        <v>0.5</v>
      </c>
      <c r="N786" s="5" t="n">
        <v>0.38</v>
      </c>
    </row>
    <row r="787">
      <c r="A787" t="n">
        <v>786</v>
      </c>
      <c r="B787" t="n">
        <v>2012</v>
      </c>
      <c r="C787" t="inlineStr">
        <is>
          <t>Maya Chow</t>
        </is>
      </c>
      <c r="D787">
        <f>HYPERLINK("https://ota.tournamentsoftware.com/player-profile/FE33DD51-BEAF-4E17-BDBB-2558B4A2AFE6", "Link")</f>
        <v/>
      </c>
      <c r="E787" s="3" t="n">
        <v>11.011</v>
      </c>
      <c r="F787" s="4" t="n">
        <v>1</v>
      </c>
      <c r="G787" t="inlineStr">
        <is>
          <t>Ontario Tennis Association</t>
        </is>
      </c>
      <c r="H787" t="inlineStr">
        <is>
          <t>ACE Tennis - Toronto Tennis City</t>
        </is>
      </c>
      <c r="I787" t="n">
        <v>34.6</v>
      </c>
      <c r="J787" s="4" t="n">
        <v>16</v>
      </c>
      <c r="K787" t="inlineStr">
        <is>
          <t>10 / 6</t>
        </is>
      </c>
      <c r="L787" t="inlineStr">
        <is>
          <t>10 / 6</t>
        </is>
      </c>
      <c r="M787" s="5" t="n">
        <v>0.62</v>
      </c>
      <c r="N787" s="5" t="n">
        <v>0.62</v>
      </c>
    </row>
    <row r="788">
      <c r="A788" t="n">
        <v>787</v>
      </c>
      <c r="B788" t="n">
        <v>2015</v>
      </c>
      <c r="C788" t="inlineStr">
        <is>
          <t>Fabiola Antonella Sanchez Ferreyra</t>
        </is>
      </c>
      <c r="D788">
        <f>HYPERLINK("https://ota.tournamentsoftware.com/player-profile/B37A6388-D965-4303-A37E-1111875A98DF", "Link")</f>
        <v/>
      </c>
      <c r="E788" s="3" t="n">
        <v>10.873</v>
      </c>
      <c r="F788" s="4" t="n">
        <v>1</v>
      </c>
      <c r="G788" t="inlineStr">
        <is>
          <t>Tennis Québec</t>
        </is>
      </c>
      <c r="H788" t="inlineStr">
        <is>
          <t>SANI Sport</t>
        </is>
      </c>
      <c r="I788" t="n">
        <v>39.4</v>
      </c>
      <c r="J788" s="4" t="n">
        <v>12</v>
      </c>
      <c r="K788" t="inlineStr">
        <is>
          <t>7 / 5</t>
        </is>
      </c>
      <c r="L788" t="inlineStr">
        <is>
          <t>0 / 1</t>
        </is>
      </c>
      <c r="M788" s="5" t="n">
        <v>0.58</v>
      </c>
      <c r="N788" s="5" t="n">
        <v>0</v>
      </c>
    </row>
    <row r="789">
      <c r="A789" t="n">
        <v>788</v>
      </c>
      <c r="B789" t="n">
        <v>2015</v>
      </c>
      <c r="C789" t="inlineStr">
        <is>
          <t>Tamara Amad</t>
        </is>
      </c>
      <c r="D789">
        <f>HYPERLINK("https://ota.tournamentsoftware.com/player-profile/4DB13A7D-F9F2-45DD-AAD4-FA9987D24AC9", "Link")</f>
        <v/>
      </c>
      <c r="E789" s="3" t="n">
        <v>10.8</v>
      </c>
      <c r="F789" s="4" t="n">
        <v>1</v>
      </c>
      <c r="G789" t="inlineStr">
        <is>
          <t>Ontario Tennis Association</t>
        </is>
      </c>
      <c r="H789" t="inlineStr">
        <is>
          <t>Ontario Racquet Club</t>
        </is>
      </c>
      <c r="I789" t="inlineStr">
        <is>
          <t>unavailable</t>
        </is>
      </c>
      <c r="J789" s="4" t="n">
        <v>20</v>
      </c>
      <c r="K789" t="inlineStr">
        <is>
          <t>12 / 8</t>
        </is>
      </c>
      <c r="L789" t="inlineStr">
        <is>
          <t>3 / 3</t>
        </is>
      </c>
      <c r="M789" s="5" t="n">
        <v>0.6</v>
      </c>
      <c r="N789" s="5" t="n">
        <v>0.5</v>
      </c>
    </row>
    <row r="790">
      <c r="A790" t="n">
        <v>788</v>
      </c>
      <c r="B790" t="n">
        <v>2016</v>
      </c>
      <c r="C790" t="inlineStr">
        <is>
          <t>Archini Bera</t>
        </is>
      </c>
      <c r="D790">
        <f>HYPERLINK("https://ota.tournamentsoftware.com/player-profile/6FA68B83-6E0E-4A78-81A0-6004576A8E6E", "Link")</f>
        <v/>
      </c>
      <c r="E790" s="3" t="n">
        <v>10.8</v>
      </c>
      <c r="F790" s="4" t="n">
        <v>3</v>
      </c>
      <c r="G790" t="inlineStr">
        <is>
          <t>Ontario Tennis Association</t>
        </is>
      </c>
      <c r="H790" t="inlineStr">
        <is>
          <t>Rideau Sports Centre</t>
        </is>
      </c>
      <c r="I790" t="inlineStr">
        <is>
          <t>unavailable</t>
        </is>
      </c>
      <c r="J790" s="4" t="n">
        <v>50</v>
      </c>
      <c r="K790" t="inlineStr">
        <is>
          <t>30 / 20</t>
        </is>
      </c>
      <c r="L790" t="inlineStr">
        <is>
          <t>27 / 11</t>
        </is>
      </c>
      <c r="M790" s="5" t="n">
        <v>0.6</v>
      </c>
      <c r="N790" s="5" t="n">
        <v>0.71</v>
      </c>
    </row>
    <row r="791">
      <c r="A791" t="n">
        <v>788</v>
      </c>
      <c r="B791" t="n">
        <v>2016</v>
      </c>
      <c r="C791" t="inlineStr">
        <is>
          <t>Yanya Zhao</t>
        </is>
      </c>
      <c r="D791">
        <f>HYPERLINK("https://ota.tournamentsoftware.com/player-profile/60E4C9B4-B466-467C-B9D3-335A318BE74C", "Link")</f>
        <v/>
      </c>
      <c r="E791" s="3" t="n">
        <v>10.8</v>
      </c>
      <c r="F791" s="4" t="n">
        <v>2</v>
      </c>
      <c r="G791" t="inlineStr">
        <is>
          <t>Ontario Tennis Association</t>
        </is>
      </c>
      <c r="H791" t="inlineStr">
        <is>
          <t>Valan Tennis Academy</t>
        </is>
      </c>
      <c r="I791" t="n">
        <v>36.5</v>
      </c>
      <c r="J791" s="4" t="n">
        <v>85</v>
      </c>
      <c r="K791" t="inlineStr">
        <is>
          <t>53 / 32</t>
        </is>
      </c>
      <c r="L791" t="inlineStr">
        <is>
          <t>53 / 32</t>
        </is>
      </c>
      <c r="M791" s="5" t="n">
        <v>0.62</v>
      </c>
      <c r="N791" s="5" t="n">
        <v>0.62</v>
      </c>
    </row>
    <row r="792">
      <c r="A792" t="n">
        <v>788</v>
      </c>
      <c r="B792" t="n">
        <v>2015</v>
      </c>
      <c r="C792" t="inlineStr">
        <is>
          <t>Meera Ramanathan</t>
        </is>
      </c>
      <c r="D792">
        <f>HYPERLINK("https://ota.tournamentsoftware.com/player-profile/4BFD1C94-F572-47D9-8892-3117B37D58A1", "Link")</f>
        <v/>
      </c>
      <c r="E792" s="3" t="n">
        <v>10.8</v>
      </c>
      <c r="F792" s="4" t="n">
        <v>1</v>
      </c>
      <c r="G792" t="inlineStr">
        <is>
          <t>Ontario Tennis Association</t>
        </is>
      </c>
      <c r="H792" t="inlineStr">
        <is>
          <t>Rideau Sports Centre</t>
        </is>
      </c>
      <c r="I792" t="n">
        <v>38.1</v>
      </c>
      <c r="J792" s="4" t="n">
        <v>5</v>
      </c>
      <c r="K792" t="inlineStr">
        <is>
          <t>3 / 2</t>
        </is>
      </c>
      <c r="L792" t="inlineStr">
        <is>
          <t>3 / 2</t>
        </is>
      </c>
      <c r="M792" s="5" t="n">
        <v>0.6</v>
      </c>
      <c r="N792" s="5" t="n">
        <v>0.6</v>
      </c>
    </row>
    <row r="793">
      <c r="A793" t="n">
        <v>788</v>
      </c>
      <c r="B793" t="n">
        <v>2012</v>
      </c>
      <c r="C793" t="inlineStr">
        <is>
          <t>Jiayi Emma Wang</t>
        </is>
      </c>
      <c r="D793">
        <f>HYPERLINK("https://ota.tournamentsoftware.com/player-profile/C6ED9D5C-83AD-4AC9-9DCE-1D21A2304573", "Link")</f>
        <v/>
      </c>
      <c r="E793" s="3" t="n">
        <v>10.8</v>
      </c>
      <c r="F793" s="4" t="n">
        <v>1</v>
      </c>
      <c r="G793" t="inlineStr">
        <is>
          <t>British Columbia</t>
        </is>
      </c>
      <c r="H793" t="inlineStr">
        <is>
          <t>No Club</t>
        </is>
      </c>
      <c r="I793" t="inlineStr">
        <is>
          <t>unavailable</t>
        </is>
      </c>
      <c r="J793" s="4" t="n">
        <v>12</v>
      </c>
      <c r="K793" t="inlineStr">
        <is>
          <t>2 / 10</t>
        </is>
      </c>
      <c r="L793" t="inlineStr">
        <is>
          <t>1 / 1</t>
        </is>
      </c>
      <c r="M793" s="5" t="n">
        <v>0.17</v>
      </c>
      <c r="N793" s="5" t="n">
        <v>0.5</v>
      </c>
    </row>
    <row r="794">
      <c r="A794" t="n">
        <v>788</v>
      </c>
      <c r="B794" t="n">
        <v>2016</v>
      </c>
      <c r="C794" t="inlineStr">
        <is>
          <t>Christina Chen</t>
        </is>
      </c>
      <c r="D794">
        <f>HYPERLINK("https://ota.tournamentsoftware.com/player-profile/77F19A45-EF05-4CCE-896B-44A6BEF594C7", "Link")</f>
        <v/>
      </c>
      <c r="E794" s="3" t="n">
        <v>10.8</v>
      </c>
      <c r="F794" s="4" t="n">
        <v>2</v>
      </c>
      <c r="G794" t="inlineStr">
        <is>
          <t>Ontario Tennis Association</t>
        </is>
      </c>
      <c r="H794" t="inlineStr">
        <is>
          <t>No Club</t>
        </is>
      </c>
      <c r="I794" t="n">
        <v>39.6</v>
      </c>
      <c r="J794" s="4" t="n">
        <v>73</v>
      </c>
      <c r="K794" t="inlineStr">
        <is>
          <t>7 / 66</t>
        </is>
      </c>
      <c r="L794" t="inlineStr">
        <is>
          <t>3 / 13</t>
        </is>
      </c>
      <c r="M794" s="5" t="n">
        <v>0.1</v>
      </c>
      <c r="N794" s="5" t="n">
        <v>0.19</v>
      </c>
    </row>
    <row r="795">
      <c r="A795" t="n">
        <v>794</v>
      </c>
      <c r="B795" t="n">
        <v>2012</v>
      </c>
      <c r="C795" t="inlineStr">
        <is>
          <t>Sofia Kalchenko</t>
        </is>
      </c>
      <c r="D795">
        <f>HYPERLINK("https://ota.tournamentsoftware.com/player-profile/95371403-EC89-475C-B20A-60F935026FFA", "Link")</f>
        <v/>
      </c>
      <c r="E795" s="3" t="n">
        <v>10.627</v>
      </c>
      <c r="F795" s="4" t="n">
        <v>4</v>
      </c>
      <c r="G795" t="inlineStr">
        <is>
          <t>Tennis Alberta</t>
        </is>
      </c>
      <c r="H795" t="inlineStr">
        <is>
          <t>Aforza</t>
        </is>
      </c>
      <c r="I795" t="inlineStr">
        <is>
          <t>unavailable</t>
        </is>
      </c>
      <c r="J795" s="4" t="n">
        <v>41</v>
      </c>
      <c r="K795" t="inlineStr">
        <is>
          <t>20 / 21</t>
        </is>
      </c>
      <c r="L795" t="inlineStr">
        <is>
          <t>3 / 1</t>
        </is>
      </c>
      <c r="M795" s="5" t="n">
        <v>0.49</v>
      </c>
      <c r="N795" s="5" t="n">
        <v>0.75</v>
      </c>
    </row>
    <row r="796">
      <c r="A796" t="n">
        <v>795</v>
      </c>
      <c r="B796" t="n">
        <v>2014</v>
      </c>
      <c r="C796" t="inlineStr">
        <is>
          <t>Madelyn Palsat</t>
        </is>
      </c>
      <c r="D796">
        <f>HYPERLINK("https://ota.tournamentsoftware.com/player-profile/B7A28D92-CC5D-460E-A752-75C63DAB2E9F", "Link")</f>
        <v/>
      </c>
      <c r="E796" s="3" t="n">
        <v>10.44</v>
      </c>
      <c r="F796" s="4" t="n">
        <v>7</v>
      </c>
      <c r="G796" t="inlineStr">
        <is>
          <t>Tennis Alberta</t>
        </is>
      </c>
      <c r="H796" t="inlineStr">
        <is>
          <t>Royal Glenora Club</t>
        </is>
      </c>
      <c r="I796" t="n">
        <v>37.1</v>
      </c>
      <c r="J796" s="4" t="n">
        <v>19</v>
      </c>
      <c r="K796" t="inlineStr">
        <is>
          <t>9 / 10</t>
        </is>
      </c>
      <c r="L796" t="inlineStr">
        <is>
          <t>9 / 10</t>
        </is>
      </c>
      <c r="M796" s="5" t="n">
        <v>0.47</v>
      </c>
      <c r="N796" s="5" t="n">
        <v>0.47</v>
      </c>
    </row>
    <row r="797">
      <c r="A797" t="n">
        <v>796</v>
      </c>
      <c r="B797" t="n">
        <v>2016</v>
      </c>
      <c r="C797" t="inlineStr">
        <is>
          <t>Alice Trépanier</t>
        </is>
      </c>
      <c r="D797">
        <f>HYPERLINK("https://ota.tournamentsoftware.com/player-profile/005FD3B5-057F-4BFE-B6D1-1D3CC87FBA27", "Link")</f>
        <v/>
      </c>
      <c r="E797" s="3" t="n">
        <v>10.368</v>
      </c>
      <c r="F797" s="4" t="n">
        <v>1</v>
      </c>
      <c r="G797" t="inlineStr">
        <is>
          <t>Tennis Québec</t>
        </is>
      </c>
      <c r="H797" t="inlineStr">
        <is>
          <t>Centre Récréatif Rock Forest</t>
        </is>
      </c>
      <c r="I797" t="inlineStr">
        <is>
          <t>unavailable</t>
        </is>
      </c>
      <c r="J797" s="4" t="n">
        <v>33</v>
      </c>
      <c r="K797" t="inlineStr">
        <is>
          <t>14 / 19</t>
        </is>
      </c>
      <c r="L797" t="inlineStr">
        <is>
          <t>10 / 11</t>
        </is>
      </c>
      <c r="M797" s="5" t="n">
        <v>0.42</v>
      </c>
      <c r="N797" s="5" t="n">
        <v>0.48</v>
      </c>
    </row>
    <row r="798">
      <c r="A798" t="n">
        <v>796</v>
      </c>
      <c r="B798" t="n">
        <v>2015</v>
      </c>
      <c r="C798" t="inlineStr">
        <is>
          <t>ALYSSA MA</t>
        </is>
      </c>
      <c r="D798">
        <f>HYPERLINK("https://ota.tournamentsoftware.com/player-profile/7C80CDC4-31A2-4667-A2A3-AE7AD2699300", "Link")</f>
        <v/>
      </c>
      <c r="E798" s="3" t="n">
        <v>10.368</v>
      </c>
      <c r="F798" s="4" t="n">
        <v>2</v>
      </c>
      <c r="G798" t="inlineStr">
        <is>
          <t>Ontario Tennis Association</t>
        </is>
      </c>
      <c r="H798" t="inlineStr">
        <is>
          <t>Blackmore Tennis Club</t>
        </is>
      </c>
      <c r="I798" t="n">
        <v>36.4</v>
      </c>
      <c r="J798" s="4" t="n">
        <v>13</v>
      </c>
      <c r="K798" t="inlineStr">
        <is>
          <t>7 / 6</t>
        </is>
      </c>
      <c r="L798" t="inlineStr">
        <is>
          <t>1 / 3</t>
        </is>
      </c>
      <c r="M798" s="5" t="n">
        <v>0.54</v>
      </c>
      <c r="N798" s="5" t="n">
        <v>0.25</v>
      </c>
    </row>
    <row r="799">
      <c r="A799" t="n">
        <v>796</v>
      </c>
      <c r="B799" t="n">
        <v>2015</v>
      </c>
      <c r="C799" t="inlineStr">
        <is>
          <t>Emmanuelle Farah Kwin Onana</t>
        </is>
      </c>
      <c r="D799">
        <f>HYPERLINK("https://ota.tournamentsoftware.com/player-profile/7931DDBA-D7CA-40E8-97CF-DF1CA8113B24", "Link")</f>
        <v/>
      </c>
      <c r="E799" s="3" t="n">
        <v>10.368</v>
      </c>
      <c r="F799" s="4" t="n">
        <v>1</v>
      </c>
      <c r="G799" t="inlineStr">
        <is>
          <t>Tennis Québec</t>
        </is>
      </c>
      <c r="H799" t="inlineStr">
        <is>
          <t>Club de tennis de Gatineau</t>
        </is>
      </c>
      <c r="I799" t="inlineStr">
        <is>
          <t>unavailable</t>
        </is>
      </c>
      <c r="J799" s="4" t="n">
        <v>13</v>
      </c>
      <c r="K799" t="inlineStr">
        <is>
          <t>6 / 7</t>
        </is>
      </c>
      <c r="L799" t="inlineStr">
        <is>
          <t>0 / 1</t>
        </is>
      </c>
      <c r="M799" s="5" t="n">
        <v>0.46</v>
      </c>
      <c r="N799" s="5" t="n">
        <v>0</v>
      </c>
    </row>
    <row r="800">
      <c r="A800" t="n">
        <v>799</v>
      </c>
      <c r="B800" t="n">
        <v>2014</v>
      </c>
      <c r="C800" t="inlineStr">
        <is>
          <t>Flore Laferrière</t>
        </is>
      </c>
      <c r="D800">
        <f>HYPERLINK("https://ota.tournamentsoftware.com/player-profile/14AB607F-E600-4113-85A8-3FA78DC9A248", "Link")</f>
        <v/>
      </c>
      <c r="E800" s="3" t="n">
        <v>10.149</v>
      </c>
      <c r="F800" s="4" t="n">
        <v>3</v>
      </c>
      <c r="G800" t="inlineStr">
        <is>
          <t>Tennis Québec</t>
        </is>
      </c>
      <c r="H800" t="inlineStr">
        <is>
          <t>Tennis 3R- l’Academie l’échange</t>
        </is>
      </c>
      <c r="I800" t="n">
        <v>39.6</v>
      </c>
      <c r="J800" s="4" t="n">
        <v>8</v>
      </c>
      <c r="K800" t="inlineStr">
        <is>
          <t>1 / 7</t>
        </is>
      </c>
      <c r="L800" t="inlineStr">
        <is>
          <t>0 / 3</t>
        </is>
      </c>
      <c r="M800" s="5" t="n">
        <v>0.12</v>
      </c>
      <c r="N800" s="5" t="n">
        <v>0</v>
      </c>
    </row>
    <row r="801">
      <c r="A801" t="n">
        <v>800</v>
      </c>
      <c r="B801" t="n">
        <v>2015</v>
      </c>
      <c r="C801" t="inlineStr">
        <is>
          <t>Autumn VandeCoevering</t>
        </is>
      </c>
      <c r="D801">
        <f>HYPERLINK("https://ota.tournamentsoftware.com/player-profile/1CD9DDAD-A036-4365-A97E-F88D56D4B94B", "Link")</f>
        <v/>
      </c>
      <c r="E801" s="3" t="n">
        <v>10.146</v>
      </c>
      <c r="F801" s="4" t="n">
        <v>2</v>
      </c>
      <c r="G801" t="inlineStr">
        <is>
          <t>Ontario Tennis Association</t>
        </is>
      </c>
      <c r="H801" t="inlineStr">
        <is>
          <t>Greenhills Golf Club</t>
        </is>
      </c>
      <c r="I801" t="inlineStr">
        <is>
          <t>unavailable</t>
        </is>
      </c>
      <c r="J801" s="4" t="n">
        <v>6</v>
      </c>
      <c r="K801" t="inlineStr">
        <is>
          <t>2 / 4</t>
        </is>
      </c>
      <c r="L801" t="inlineStr">
        <is>
          <t>2 / 4</t>
        </is>
      </c>
      <c r="M801" s="5" t="n">
        <v>0.33</v>
      </c>
      <c r="N801" s="5" t="n">
        <v>0.33</v>
      </c>
    </row>
    <row r="802">
      <c r="A802" t="n">
        <v>801</v>
      </c>
      <c r="B802" t="n">
        <v>2015</v>
      </c>
      <c r="C802" t="inlineStr">
        <is>
          <t>Jaelynn Lumandas</t>
        </is>
      </c>
      <c r="D802">
        <f>HYPERLINK("https://ota.tournamentsoftware.com/player-profile/586CE1E5-E974-4A42-B919-DE1FC94F6144", "Link")</f>
        <v/>
      </c>
      <c r="E802" s="3" t="n">
        <v>10.137</v>
      </c>
      <c r="F802" s="4" t="n">
        <v>3</v>
      </c>
      <c r="G802" t="inlineStr">
        <is>
          <t>Tennis Alberta</t>
        </is>
      </c>
      <c r="H802" t="inlineStr">
        <is>
          <t>Saville Community Sports Centre</t>
        </is>
      </c>
      <c r="I802" t="n">
        <v>40</v>
      </c>
      <c r="J802" s="4" t="n">
        <v>25</v>
      </c>
      <c r="K802" t="inlineStr">
        <is>
          <t>1 / 24</t>
        </is>
      </c>
      <c r="L802" t="inlineStr">
        <is>
          <t>0 / 4</t>
        </is>
      </c>
      <c r="M802" s="5" t="n">
        <v>0.04</v>
      </c>
      <c r="N802" s="5" t="n">
        <v>0</v>
      </c>
    </row>
    <row r="803">
      <c r="A803" t="n">
        <v>802</v>
      </c>
      <c r="B803" t="n">
        <v>2013</v>
      </c>
      <c r="C803" t="inlineStr">
        <is>
          <t>Kate Sumner</t>
        </is>
      </c>
      <c r="D803">
        <f>HYPERLINK("https://ota.tournamentsoftware.com/player-profile/42BF9410-8926-4C81-9B50-F1262CEF0360", "Link")</f>
        <v/>
      </c>
      <c r="E803" s="3" t="n">
        <v>9.978999999999999</v>
      </c>
      <c r="F803" s="4" t="n">
        <v>2</v>
      </c>
      <c r="G803" t="inlineStr">
        <is>
          <t>Ontario Tennis Association</t>
        </is>
      </c>
      <c r="H803" t="inlineStr">
        <is>
          <t>Toronto Cricket Skating &amp; Curling</t>
        </is>
      </c>
      <c r="I803" t="inlineStr">
        <is>
          <t>unavailable</t>
        </is>
      </c>
      <c r="J803" s="4" t="n">
        <v>33</v>
      </c>
      <c r="K803" t="inlineStr">
        <is>
          <t>11 / 22</t>
        </is>
      </c>
      <c r="L803" t="inlineStr">
        <is>
          <t>1 / 1</t>
        </is>
      </c>
      <c r="M803" s="5" t="n">
        <v>0.33</v>
      </c>
      <c r="N803" s="5" t="n">
        <v>0.5</v>
      </c>
    </row>
    <row r="804">
      <c r="A804" t="n">
        <v>803</v>
      </c>
      <c r="B804" t="n">
        <v>2013</v>
      </c>
      <c r="C804" t="inlineStr">
        <is>
          <t>Anastasia Gorceac</t>
        </is>
      </c>
      <c r="D804">
        <f>HYPERLINK("https://ota.tournamentsoftware.com/player-profile/34DB6E68-DC2D-46A3-9FCF-82A58A1EDBE3", "Link")</f>
        <v/>
      </c>
      <c r="E804" s="3" t="n">
        <v>9.612</v>
      </c>
      <c r="F804" s="4" t="n">
        <v>2</v>
      </c>
      <c r="G804" t="inlineStr">
        <is>
          <t>Tennis Québec</t>
        </is>
      </c>
      <c r="H804" t="inlineStr">
        <is>
          <t>No Club</t>
        </is>
      </c>
      <c r="I804" t="n">
        <v>37.9</v>
      </c>
      <c r="J804" s="4" t="n">
        <v>8</v>
      </c>
      <c r="K804" t="inlineStr">
        <is>
          <t>4 / 4</t>
        </is>
      </c>
      <c r="L804" t="inlineStr">
        <is>
          <t>0 / 0</t>
        </is>
      </c>
      <c r="M804" s="5" t="n">
        <v>0.5</v>
      </c>
      <c r="N804" s="5" t="n">
        <v>0</v>
      </c>
    </row>
    <row r="805">
      <c r="A805" t="n">
        <v>804</v>
      </c>
      <c r="B805" t="n">
        <v>2015</v>
      </c>
      <c r="C805" t="inlineStr">
        <is>
          <t>Violet Rose Divell</t>
        </is>
      </c>
      <c r="D805">
        <f>HYPERLINK("https://ota.tournamentsoftware.com/player-profile/264EFCE5-2D5B-4014-A1E4-CF0F958237B9", "Link")</f>
        <v/>
      </c>
      <c r="E805" s="3" t="n">
        <v>9.598000000000001</v>
      </c>
      <c r="F805" s="4" t="n">
        <v>3</v>
      </c>
      <c r="G805" t="inlineStr">
        <is>
          <t>Tennis Québec</t>
        </is>
      </c>
      <c r="H805" t="inlineStr">
        <is>
          <t>Académie de tennis UNI(T)</t>
        </is>
      </c>
      <c r="I805" t="n">
        <v>39.4</v>
      </c>
      <c r="J805" s="4" t="n">
        <v>6</v>
      </c>
      <c r="K805" t="inlineStr">
        <is>
          <t>1 / 5</t>
        </is>
      </c>
      <c r="L805" t="inlineStr">
        <is>
          <t>1 / 5</t>
        </is>
      </c>
      <c r="M805" s="5" t="n">
        <v>0.17</v>
      </c>
      <c r="N805" s="5" t="n">
        <v>0.17</v>
      </c>
    </row>
    <row r="806">
      <c r="A806" t="n">
        <v>805</v>
      </c>
      <c r="B806" t="n">
        <v>2013</v>
      </c>
      <c r="C806" t="inlineStr">
        <is>
          <t>Yujin Cao</t>
        </is>
      </c>
      <c r="D806">
        <f>HYPERLINK("https://ota.tournamentsoftware.com/player-profile/8260D181-2742-4015-AD52-73D66B6FD70A", "Link")</f>
        <v/>
      </c>
      <c r="E806" s="3" t="n">
        <v>9.59</v>
      </c>
      <c r="F806" s="4" t="n">
        <v>2</v>
      </c>
      <c r="G806" t="inlineStr">
        <is>
          <t>Tennis Québec</t>
        </is>
      </c>
      <c r="H806" t="inlineStr">
        <is>
          <t>Tennis 13</t>
        </is>
      </c>
      <c r="I806" t="inlineStr">
        <is>
          <t>unavailable</t>
        </is>
      </c>
      <c r="J806" s="4" t="n">
        <v>5</v>
      </c>
      <c r="K806" t="inlineStr">
        <is>
          <t>2 / 3</t>
        </is>
      </c>
      <c r="L806" t="inlineStr">
        <is>
          <t>0 / 1</t>
        </is>
      </c>
      <c r="M806" s="5" t="n">
        <v>0.4</v>
      </c>
      <c r="N806" s="5" t="n">
        <v>0</v>
      </c>
    </row>
    <row r="807">
      <c r="A807" t="n">
        <v>806</v>
      </c>
      <c r="B807" t="n">
        <v>2012</v>
      </c>
      <c r="C807" t="inlineStr">
        <is>
          <t>Eya Louati</t>
        </is>
      </c>
      <c r="D807">
        <f>HYPERLINK("https://ota.tournamentsoftware.com/player-profile/679317D4-2CCC-4345-A8E0-4E4AB637C148", "Link")</f>
        <v/>
      </c>
      <c r="E807" s="3" t="n">
        <v>9.504</v>
      </c>
      <c r="F807" s="4" t="n">
        <v>1</v>
      </c>
      <c r="G807" t="inlineStr">
        <is>
          <t>Tennis Québec</t>
        </is>
      </c>
      <c r="H807" t="inlineStr">
        <is>
          <t>SANI Sport</t>
        </is>
      </c>
      <c r="I807" t="inlineStr">
        <is>
          <t>unavailable</t>
        </is>
      </c>
      <c r="J807" s="4" t="n">
        <v>90</v>
      </c>
      <c r="K807" t="inlineStr">
        <is>
          <t>28 / 62</t>
        </is>
      </c>
      <c r="L807" t="inlineStr">
        <is>
          <t>1 / 2</t>
        </is>
      </c>
      <c r="M807" s="5" t="n">
        <v>0.31</v>
      </c>
      <c r="N807" s="5" t="n">
        <v>0.33</v>
      </c>
    </row>
    <row r="808">
      <c r="A808" t="n">
        <v>807</v>
      </c>
      <c r="B808" t="n">
        <v>2014</v>
      </c>
      <c r="C808" t="inlineStr">
        <is>
          <t>Yingshan Zoey Chen</t>
        </is>
      </c>
      <c r="D808">
        <f>HYPERLINK("https://ota.tournamentsoftware.com/player-profile/A4F9AF2C-7FB4-474F-BA3A-0E1AB32672E3", "Link")</f>
        <v/>
      </c>
      <c r="E808" s="3" t="n">
        <v>9.414999999999999</v>
      </c>
      <c r="F808" s="4" t="n">
        <v>3</v>
      </c>
      <c r="G808" t="inlineStr">
        <is>
          <t>Ontario Tennis Association</t>
        </is>
      </c>
      <c r="H808" t="inlineStr">
        <is>
          <t>Thornhill Country Club</t>
        </is>
      </c>
      <c r="I808" t="n">
        <v>38.5</v>
      </c>
      <c r="J808" s="4" t="n">
        <v>24</v>
      </c>
      <c r="K808" t="inlineStr">
        <is>
          <t>5 / 19</t>
        </is>
      </c>
      <c r="L808" t="inlineStr">
        <is>
          <t>2 / 4</t>
        </is>
      </c>
      <c r="M808" s="5" t="n">
        <v>0.21</v>
      </c>
      <c r="N808" s="5" t="n">
        <v>0.33</v>
      </c>
    </row>
    <row r="809">
      <c r="A809" t="n">
        <v>808</v>
      </c>
      <c r="B809" t="n">
        <v>2013</v>
      </c>
      <c r="C809" t="inlineStr">
        <is>
          <t>Harper Thompson</t>
        </is>
      </c>
      <c r="D809">
        <f>HYPERLINK("https://ota.tournamentsoftware.com/player-profile/D930EA05-6917-4BB8-9AD8-DE7F29C99324", "Link")</f>
        <v/>
      </c>
      <c r="E809" s="3" t="n">
        <v>8.938000000000001</v>
      </c>
      <c r="F809" s="4" t="n">
        <v>3</v>
      </c>
      <c r="G809" t="inlineStr">
        <is>
          <t>Tennis Alberta</t>
        </is>
      </c>
      <c r="H809" t="inlineStr">
        <is>
          <t>The Glencoe Club</t>
        </is>
      </c>
      <c r="I809" t="inlineStr">
        <is>
          <t>unavailable</t>
        </is>
      </c>
      <c r="J809" s="4" t="n">
        <v>44</v>
      </c>
      <c r="K809" t="inlineStr">
        <is>
          <t>2 / 42</t>
        </is>
      </c>
      <c r="L809" t="inlineStr">
        <is>
          <t>0 / 2</t>
        </is>
      </c>
      <c r="M809" s="5" t="n">
        <v>0.05</v>
      </c>
      <c r="N809" s="5" t="n">
        <v>0</v>
      </c>
    </row>
    <row r="810">
      <c r="A810" t="n">
        <v>809</v>
      </c>
      <c r="B810" t="n">
        <v>2014</v>
      </c>
      <c r="C810" t="inlineStr">
        <is>
          <t>Avery Rose Kon</t>
        </is>
      </c>
      <c r="D810">
        <f>HYPERLINK("https://ota.tournamentsoftware.com/player-profile/3F621439-578C-4BDD-A8A2-880ECC795615", "Link")</f>
        <v/>
      </c>
      <c r="E810" s="3" t="n">
        <v>8.888</v>
      </c>
      <c r="F810" s="4" t="n">
        <v>2</v>
      </c>
      <c r="G810" t="inlineStr">
        <is>
          <t>Ontario Tennis Association</t>
        </is>
      </c>
      <c r="H810" t="inlineStr">
        <is>
          <t>Toronto Lawn Tennis Club</t>
        </is>
      </c>
      <c r="I810" t="n">
        <v>36.6</v>
      </c>
      <c r="J810" s="4" t="n">
        <v>8</v>
      </c>
      <c r="K810" t="inlineStr">
        <is>
          <t>1 / 7</t>
        </is>
      </c>
      <c r="L810" t="inlineStr">
        <is>
          <t>0 / 2</t>
        </is>
      </c>
      <c r="M810" s="5" t="n">
        <v>0.12</v>
      </c>
      <c r="N810" s="5" t="n">
        <v>0</v>
      </c>
    </row>
    <row r="811">
      <c r="A811" t="n">
        <v>810</v>
      </c>
      <c r="B811" t="n">
        <v>2014</v>
      </c>
      <c r="C811" t="inlineStr">
        <is>
          <t>Annabelle Zhao</t>
        </is>
      </c>
      <c r="D811">
        <f>HYPERLINK("https://ota.tournamentsoftware.com/player-profile/F9367D16-E3B7-41BB-810F-85E4C6371542", "Link")</f>
        <v/>
      </c>
      <c r="E811" s="3" t="n">
        <v>8.882999999999999</v>
      </c>
      <c r="F811" s="4" t="n">
        <v>3</v>
      </c>
      <c r="G811" t="inlineStr">
        <is>
          <t>British Columbia</t>
        </is>
      </c>
      <c r="H811" t="inlineStr">
        <is>
          <t>The Tennis Centre</t>
        </is>
      </c>
      <c r="I811" t="n">
        <v>39</v>
      </c>
      <c r="J811" s="4" t="n">
        <v>61</v>
      </c>
      <c r="K811" t="inlineStr">
        <is>
          <t>30 / 31</t>
        </is>
      </c>
      <c r="L811" t="inlineStr">
        <is>
          <t>10 / 8</t>
        </is>
      </c>
      <c r="M811" s="5" t="n">
        <v>0.49</v>
      </c>
      <c r="N811" s="5" t="n">
        <v>0.5600000000000001</v>
      </c>
    </row>
    <row r="812">
      <c r="A812" t="n">
        <v>811</v>
      </c>
      <c r="B812" t="n">
        <v>2014</v>
      </c>
      <c r="C812" t="inlineStr">
        <is>
          <t>Jylian May II Mauricio Luces</t>
        </is>
      </c>
      <c r="D812">
        <f>HYPERLINK("https://ota.tournamentsoftware.com/player-profile/EE4C1547-2DEF-4E96-BA65-F8069863F09D", "Link")</f>
        <v/>
      </c>
      <c r="E812" s="3" t="n">
        <v>8.861000000000001</v>
      </c>
      <c r="F812" s="4" t="n">
        <v>7</v>
      </c>
      <c r="G812" t="inlineStr">
        <is>
          <t>Tennis Alberta</t>
        </is>
      </c>
      <c r="H812" t="inlineStr">
        <is>
          <t>Osten &amp; Victor Alberta Tennis Centre</t>
        </is>
      </c>
      <c r="I812" t="inlineStr">
        <is>
          <t>unavailable</t>
        </is>
      </c>
      <c r="J812" s="4" t="n">
        <v>33</v>
      </c>
      <c r="K812" t="inlineStr">
        <is>
          <t>6 / 27</t>
        </is>
      </c>
      <c r="L812" t="inlineStr">
        <is>
          <t>2 / 8</t>
        </is>
      </c>
      <c r="M812" s="5" t="n">
        <v>0.18</v>
      </c>
      <c r="N812" s="5" t="n">
        <v>0.2</v>
      </c>
    </row>
    <row r="813">
      <c r="A813" t="n">
        <v>812</v>
      </c>
      <c r="B813" t="n">
        <v>2015</v>
      </c>
      <c r="C813" t="inlineStr">
        <is>
          <t>Olive Allen</t>
        </is>
      </c>
      <c r="D813">
        <f>HYPERLINK("https://ota.tournamentsoftware.com/player-profile/B0709DF4-F657-4BE5-870B-1467DB919D18", "Link")</f>
        <v/>
      </c>
      <c r="E813" s="3" t="n">
        <v>8.744999999999999</v>
      </c>
      <c r="F813" s="4" t="n">
        <v>3</v>
      </c>
      <c r="G813" t="inlineStr">
        <is>
          <t>British Columbia</t>
        </is>
      </c>
      <c r="H813" t="inlineStr">
        <is>
          <t>Hollyburn Country Club</t>
        </is>
      </c>
      <c r="I813" t="n">
        <v>40</v>
      </c>
      <c r="J813" s="4" t="n">
        <v>38</v>
      </c>
      <c r="K813" t="inlineStr">
        <is>
          <t>13 / 25</t>
        </is>
      </c>
      <c r="L813" t="inlineStr">
        <is>
          <t>4 / 9</t>
        </is>
      </c>
      <c r="M813" s="5" t="n">
        <v>0.34</v>
      </c>
      <c r="N813" s="5" t="n">
        <v>0.31</v>
      </c>
    </row>
    <row r="814">
      <c r="A814" t="n">
        <v>813</v>
      </c>
      <c r="B814" t="n">
        <v>2015</v>
      </c>
      <c r="C814" t="inlineStr">
        <is>
          <t>Isabella Maria Galati</t>
        </is>
      </c>
      <c r="D814">
        <f>HYPERLINK("https://ota.tournamentsoftware.com/player-profile/401ED85D-9EDD-4DED-B064-33902C7F4DF4", "Link")</f>
        <v/>
      </c>
      <c r="E814" s="3" t="n">
        <v>8.694000000000001</v>
      </c>
      <c r="F814" s="4" t="n">
        <v>2</v>
      </c>
      <c r="G814" t="inlineStr">
        <is>
          <t>Ontario Tennis Association</t>
        </is>
      </c>
      <c r="H814" t="inlineStr">
        <is>
          <t>Pickering Tennis Academy</t>
        </is>
      </c>
      <c r="I814" t="n">
        <v>37.7</v>
      </c>
      <c r="J814" s="4" t="n">
        <v>24</v>
      </c>
      <c r="K814" t="inlineStr">
        <is>
          <t>11 / 13</t>
        </is>
      </c>
      <c r="L814" t="inlineStr">
        <is>
          <t>5 / 2</t>
        </is>
      </c>
      <c r="M814" s="5" t="n">
        <v>0.46</v>
      </c>
      <c r="N814" s="5" t="n">
        <v>0.71</v>
      </c>
    </row>
    <row r="815">
      <c r="A815" t="n">
        <v>814</v>
      </c>
      <c r="B815" t="n">
        <v>2015</v>
      </c>
      <c r="C815" t="inlineStr">
        <is>
          <t>Chloe Brown</t>
        </is>
      </c>
      <c r="D815">
        <f>HYPERLINK("https://ota.tournamentsoftware.com/player-profile/E3B2C995-F41E-4C95-81DE-7B219EF03CBD", "Link")</f>
        <v/>
      </c>
      <c r="E815" s="3" t="n">
        <v>8.640000000000001</v>
      </c>
      <c r="F815" s="4" t="n">
        <v>4</v>
      </c>
      <c r="G815" t="inlineStr">
        <is>
          <t>British Columbia</t>
        </is>
      </c>
      <c r="H815" t="inlineStr">
        <is>
          <t>Commons Racquet Club at Predator Ridge</t>
        </is>
      </c>
      <c r="I815" t="n">
        <v>38.5</v>
      </c>
      <c r="J815" s="4" t="n">
        <v>25</v>
      </c>
      <c r="K815" t="inlineStr">
        <is>
          <t>10 / 15</t>
        </is>
      </c>
      <c r="L815" t="inlineStr">
        <is>
          <t>7 / 5</t>
        </is>
      </c>
      <c r="M815" s="5" t="n">
        <v>0.4</v>
      </c>
      <c r="N815" s="5" t="n">
        <v>0.58</v>
      </c>
    </row>
    <row r="816">
      <c r="A816" t="n">
        <v>814</v>
      </c>
      <c r="B816" t="n">
        <v>2014</v>
      </c>
      <c r="C816" t="inlineStr">
        <is>
          <t>Candice Cui</t>
        </is>
      </c>
      <c r="D816">
        <f>HYPERLINK("https://ota.tournamentsoftware.com/player-profile/389A79F0-4AEE-4BAD-A33E-98A21CD35738", "Link")</f>
        <v/>
      </c>
      <c r="E816" s="3" t="n">
        <v>8.640000000000001</v>
      </c>
      <c r="F816" s="4" t="n">
        <v>2</v>
      </c>
      <c r="G816" t="inlineStr">
        <is>
          <t>British Columbia</t>
        </is>
      </c>
      <c r="H816" t="inlineStr">
        <is>
          <t>Okanagan Mission Tennis Club Kelowna</t>
        </is>
      </c>
      <c r="I816" t="inlineStr">
        <is>
          <t>unavailable</t>
        </is>
      </c>
      <c r="J816" s="4" t="n">
        <v>30</v>
      </c>
      <c r="K816" t="inlineStr">
        <is>
          <t>11 / 19</t>
        </is>
      </c>
      <c r="L816" t="inlineStr">
        <is>
          <t>2 / 2</t>
        </is>
      </c>
      <c r="M816" s="5" t="n">
        <v>0.37</v>
      </c>
      <c r="N816" s="5" t="n">
        <v>0.5</v>
      </c>
    </row>
    <row r="817">
      <c r="A817" t="n">
        <v>816</v>
      </c>
      <c r="B817" t="n">
        <v>2013</v>
      </c>
      <c r="C817" t="inlineStr">
        <is>
          <t>Nya Robinson</t>
        </is>
      </c>
      <c r="D817">
        <f>HYPERLINK("https://ota.tournamentsoftware.com/player-profile/FCE45E04-6DF1-4A68-89D1-ACB65286BF31", "Link")</f>
        <v/>
      </c>
      <c r="E817" s="3" t="n">
        <v>8.449999999999999</v>
      </c>
      <c r="F817" s="4" t="n">
        <v>5</v>
      </c>
      <c r="G817" t="inlineStr">
        <is>
          <t>Tennis Alberta</t>
        </is>
      </c>
      <c r="H817" t="inlineStr">
        <is>
          <t>Osten &amp; Victor Alberta Tennis Centre</t>
        </is>
      </c>
      <c r="I817" t="n">
        <v>38.1</v>
      </c>
      <c r="J817" s="4" t="n">
        <v>17</v>
      </c>
      <c r="K817" t="inlineStr">
        <is>
          <t>7 / 10</t>
        </is>
      </c>
      <c r="L817" t="inlineStr">
        <is>
          <t>2 / 1</t>
        </is>
      </c>
      <c r="M817" s="5" t="n">
        <v>0.41</v>
      </c>
      <c r="N817" s="5" t="n">
        <v>0.67</v>
      </c>
    </row>
    <row r="818">
      <c r="A818" t="n">
        <v>817</v>
      </c>
      <c r="B818" t="n">
        <v>2012</v>
      </c>
      <c r="C818" t="inlineStr">
        <is>
          <t>Elisha Lee</t>
        </is>
      </c>
      <c r="D818">
        <f>HYPERLINK("https://ota.tournamentsoftware.com/player-profile/0D8F1552-F5AE-4BBB-B462-7DFD495EA5D1", "Link")</f>
        <v/>
      </c>
      <c r="E818" s="3" t="n">
        <v>8.423999999999999</v>
      </c>
      <c r="F818" s="4" t="n">
        <v>1</v>
      </c>
      <c r="G818" t="inlineStr">
        <is>
          <t>British Columbia</t>
        </is>
      </c>
      <c r="H818" t="inlineStr">
        <is>
          <t>Great West Fitness and Racquets Club</t>
        </is>
      </c>
      <c r="I818" t="n">
        <v>37.8</v>
      </c>
      <c r="J818" s="4" t="n">
        <v>52</v>
      </c>
      <c r="K818" t="inlineStr">
        <is>
          <t>21 / 31</t>
        </is>
      </c>
      <c r="L818" t="inlineStr">
        <is>
          <t>11 / 14</t>
        </is>
      </c>
      <c r="M818" s="5" t="n">
        <v>0.4</v>
      </c>
      <c r="N818" s="5" t="n">
        <v>0.44</v>
      </c>
    </row>
    <row r="819">
      <c r="A819" t="n">
        <v>817</v>
      </c>
      <c r="B819" t="n">
        <v>2013</v>
      </c>
      <c r="C819" t="inlineStr">
        <is>
          <t>KIanna Jia Christianson</t>
        </is>
      </c>
      <c r="D819">
        <f>HYPERLINK("https://ota.tournamentsoftware.com/player-profile/A76E75A0-5CAF-4017-8B3C-2D69366CF0FB", "Link")</f>
        <v/>
      </c>
      <c r="E819" s="3" t="n">
        <v>8.423999999999999</v>
      </c>
      <c r="F819" s="4" t="n">
        <v>1</v>
      </c>
      <c r="G819" t="inlineStr">
        <is>
          <t>British Columbia</t>
        </is>
      </c>
      <c r="H819" t="inlineStr">
        <is>
          <t>City of Burnaby</t>
        </is>
      </c>
      <c r="I819" t="n">
        <v>40</v>
      </c>
      <c r="J819" s="4" t="n">
        <v>10</v>
      </c>
      <c r="K819" t="inlineStr">
        <is>
          <t>5 / 5</t>
        </is>
      </c>
      <c r="L819" t="inlineStr">
        <is>
          <t>2 / 3</t>
        </is>
      </c>
      <c r="M819" s="5" t="n">
        <v>0.5</v>
      </c>
      <c r="N819" s="5" t="n">
        <v>0.4</v>
      </c>
    </row>
    <row r="820">
      <c r="A820" t="n">
        <v>817</v>
      </c>
      <c r="B820" t="n">
        <v>2012</v>
      </c>
      <c r="C820" t="inlineStr">
        <is>
          <t>LUCY HA</t>
        </is>
      </c>
      <c r="D820">
        <f>HYPERLINK("https://ota.tournamentsoftware.com/player-profile/5289FB1D-8B94-446A-83C5-187068CE2F5D", "Link")</f>
        <v/>
      </c>
      <c r="E820" s="3" t="n">
        <v>8.423999999999999</v>
      </c>
      <c r="F820" s="4" t="n">
        <v>2</v>
      </c>
      <c r="G820" t="inlineStr">
        <is>
          <t>British Columbia</t>
        </is>
      </c>
      <c r="H820" t="inlineStr">
        <is>
          <t>Tennis BC Hub @ Richmond</t>
        </is>
      </c>
      <c r="I820" t="n">
        <v>37.7</v>
      </c>
      <c r="J820" s="4" t="n">
        <v>28</v>
      </c>
      <c r="K820" t="inlineStr">
        <is>
          <t>4 / 24</t>
        </is>
      </c>
      <c r="L820" t="inlineStr">
        <is>
          <t>0 / 2</t>
        </is>
      </c>
      <c r="M820" s="5" t="n">
        <v>0.14</v>
      </c>
      <c r="N820" s="5" t="n">
        <v>0</v>
      </c>
    </row>
    <row r="821">
      <c r="A821" t="n">
        <v>820</v>
      </c>
      <c r="B821" t="n">
        <v>2016</v>
      </c>
      <c r="C821" t="inlineStr">
        <is>
          <t>Samantha Bronwyn Daniell</t>
        </is>
      </c>
      <c r="D821">
        <f>HYPERLINK("https://ota.tournamentsoftware.com/player-profile/7D796AB4-F8DD-43AD-8451-41C0A3E3949A", "Link")</f>
        <v/>
      </c>
      <c r="E821" s="3" t="n">
        <v>8.371</v>
      </c>
      <c r="F821" s="4" t="n">
        <v>8</v>
      </c>
      <c r="G821" t="inlineStr">
        <is>
          <t>British Columbia</t>
        </is>
      </c>
      <c r="H821" t="inlineStr">
        <is>
          <t>The Tennis Centre</t>
        </is>
      </c>
      <c r="I821" t="n">
        <v>37.7</v>
      </c>
      <c r="J821" s="4" t="n">
        <v>124</v>
      </c>
      <c r="K821" t="inlineStr">
        <is>
          <t>62 / 62</t>
        </is>
      </c>
      <c r="L821" t="inlineStr">
        <is>
          <t>30 / 24</t>
        </is>
      </c>
      <c r="M821" s="5" t="n">
        <v>0.5</v>
      </c>
      <c r="N821" s="5" t="n">
        <v>0.5600000000000001</v>
      </c>
    </row>
    <row r="822">
      <c r="A822" t="n">
        <v>821</v>
      </c>
      <c r="B822" t="n">
        <v>2015</v>
      </c>
      <c r="C822" t="inlineStr">
        <is>
          <t>Mila Sofia Galvez Bourgeois-Charbonneau</t>
        </is>
      </c>
      <c r="D822">
        <f>HYPERLINK("https://ota.tournamentsoftware.com/player-profile/4F9CCD8C-A7BD-4FA0-B17A-3689BD230A0C", "Link")</f>
        <v/>
      </c>
      <c r="E822" s="3" t="n">
        <v>8.298</v>
      </c>
      <c r="F822" s="4" t="n">
        <v>2</v>
      </c>
      <c r="G822" t="inlineStr">
        <is>
          <t>Tennis Québec</t>
        </is>
      </c>
      <c r="H822" t="inlineStr">
        <is>
          <t>AA Autre club</t>
        </is>
      </c>
      <c r="I822" t="n">
        <v>37.3</v>
      </c>
      <c r="J822" s="4" t="n">
        <v>10</v>
      </c>
      <c r="K822" t="inlineStr">
        <is>
          <t>5 / 5</t>
        </is>
      </c>
      <c r="L822" t="inlineStr">
        <is>
          <t>5 / 2</t>
        </is>
      </c>
      <c r="M822" s="5" t="n">
        <v>0.5</v>
      </c>
      <c r="N822" s="5" t="n">
        <v>0.71</v>
      </c>
    </row>
    <row r="823">
      <c r="A823" t="n">
        <v>822</v>
      </c>
      <c r="B823" t="n">
        <v>2016</v>
      </c>
      <c r="C823" t="inlineStr">
        <is>
          <t>Scarlett Prsa</t>
        </is>
      </c>
      <c r="D823">
        <f>HYPERLINK("https://ota.tournamentsoftware.com/player-profile/CDBDFDF5-0DDE-4F1C-B33B-F163CF134B52", "Link")</f>
        <v/>
      </c>
      <c r="E823" s="3" t="n">
        <v>8.105</v>
      </c>
      <c r="F823" s="4" t="n">
        <v>5</v>
      </c>
      <c r="G823" t="inlineStr">
        <is>
          <t>Ontario Tennis Association</t>
        </is>
      </c>
      <c r="H823" t="inlineStr">
        <is>
          <t>Advantage Tennis International at Veneto</t>
        </is>
      </c>
      <c r="I823" t="n">
        <v>38.5</v>
      </c>
      <c r="J823" s="4" t="n">
        <v>137</v>
      </c>
      <c r="K823" t="inlineStr">
        <is>
          <t>52 / 85</t>
        </is>
      </c>
      <c r="L823" t="inlineStr">
        <is>
          <t>16 / 19</t>
        </is>
      </c>
      <c r="M823" s="5" t="n">
        <v>0.38</v>
      </c>
      <c r="N823" s="5" t="n">
        <v>0.46</v>
      </c>
    </row>
    <row r="824">
      <c r="A824" t="n">
        <v>823</v>
      </c>
      <c r="B824" t="n">
        <v>2015</v>
      </c>
      <c r="C824" t="inlineStr">
        <is>
          <t>Sofia Belyavskaya</t>
        </is>
      </c>
      <c r="D824">
        <f>HYPERLINK("https://ota.tournamentsoftware.com/player-profile/103C1284-54D3-4E14-8B3B-D860AD353A8C", "Link")</f>
        <v/>
      </c>
      <c r="E824" s="3" t="n">
        <v>8.045999999999999</v>
      </c>
      <c r="F824" s="4" t="n">
        <v>3</v>
      </c>
      <c r="G824" t="inlineStr">
        <is>
          <t>British Columbia</t>
        </is>
      </c>
      <c r="H824" t="inlineStr">
        <is>
          <t>The Tennis Centre</t>
        </is>
      </c>
      <c r="I824" t="n">
        <v>37.2</v>
      </c>
      <c r="J824" s="4" t="n">
        <v>88</v>
      </c>
      <c r="K824" t="inlineStr">
        <is>
          <t>35 / 53</t>
        </is>
      </c>
      <c r="L824" t="inlineStr">
        <is>
          <t>2 / 5</t>
        </is>
      </c>
      <c r="M824" s="5" t="n">
        <v>0.4</v>
      </c>
      <c r="N824" s="5" t="n">
        <v>0.29</v>
      </c>
    </row>
    <row r="825">
      <c r="A825" t="n">
        <v>824</v>
      </c>
      <c r="B825" t="n">
        <v>2013</v>
      </c>
      <c r="C825" t="inlineStr">
        <is>
          <t>Anaya Mohammed Shurrab</t>
        </is>
      </c>
      <c r="D825">
        <f>HYPERLINK("https://ota.tournamentsoftware.com/player-profile/A4BA7F79-3B20-4355-B83D-7B81774D6C97", "Link")</f>
        <v/>
      </c>
      <c r="E825" s="3" t="n">
        <v>8.01</v>
      </c>
      <c r="F825" s="4" t="n">
        <v>1</v>
      </c>
      <c r="G825" t="inlineStr">
        <is>
          <t>Ontario Tennis Association</t>
        </is>
      </c>
      <c r="H825" t="inlineStr">
        <is>
          <t>Sudbury Indoor Tennis Centre</t>
        </is>
      </c>
      <c r="I825" t="n">
        <v>38.8</v>
      </c>
      <c r="J825" s="4" t="n">
        <v>2</v>
      </c>
      <c r="K825" t="inlineStr">
        <is>
          <t>0 / 2</t>
        </is>
      </c>
      <c r="L825" t="inlineStr">
        <is>
          <t>0 / 0</t>
        </is>
      </c>
      <c r="M825" s="5" t="n">
        <v>0</v>
      </c>
      <c r="N825" s="5" t="n">
        <v>0</v>
      </c>
    </row>
    <row r="826">
      <c r="A826" t="n">
        <v>825</v>
      </c>
      <c r="B826" t="n">
        <v>2015</v>
      </c>
      <c r="C826" t="inlineStr">
        <is>
          <t>Lyskha Ann Louis</t>
        </is>
      </c>
      <c r="D826">
        <f>HYPERLINK("https://ota.tournamentsoftware.com/player-profile/E63460EF-56D0-4F3C-845C-D047E7B9C366", "Link")</f>
        <v/>
      </c>
      <c r="E826" s="3" t="n">
        <v>7.906</v>
      </c>
      <c r="F826" s="4" t="n">
        <v>2</v>
      </c>
      <c r="G826" t="inlineStr">
        <is>
          <t>Tennis Québec</t>
        </is>
      </c>
      <c r="H826" t="inlineStr">
        <is>
          <t>Tennis 13</t>
        </is>
      </c>
      <c r="I826" t="n">
        <v>36.4</v>
      </c>
      <c r="J826" s="4" t="n">
        <v>9</v>
      </c>
      <c r="K826" t="inlineStr">
        <is>
          <t>4 / 5</t>
        </is>
      </c>
      <c r="L826" t="inlineStr">
        <is>
          <t>4 / 2</t>
        </is>
      </c>
      <c r="M826" s="5" t="n">
        <v>0.44</v>
      </c>
      <c r="N826" s="5" t="n">
        <v>0.67</v>
      </c>
    </row>
    <row r="827">
      <c r="A827" t="n">
        <v>826</v>
      </c>
      <c r="B827" t="n">
        <v>2014</v>
      </c>
      <c r="C827" t="inlineStr">
        <is>
          <t>Gloriana Shiqi Zhang</t>
        </is>
      </c>
      <c r="D827">
        <f>HYPERLINK("https://ota.tournamentsoftware.com/player-profile/2717E828-0882-43B7-ADDB-D078FFA580CF", "Link")</f>
        <v/>
      </c>
      <c r="E827" s="3" t="n">
        <v>7.776</v>
      </c>
      <c r="F827" s="4" t="n">
        <v>2</v>
      </c>
      <c r="G827" t="inlineStr">
        <is>
          <t>British Columbia</t>
        </is>
      </c>
      <c r="H827" t="inlineStr">
        <is>
          <t>Hollyburn Country Club</t>
        </is>
      </c>
      <c r="I827" t="inlineStr">
        <is>
          <t>unavailable</t>
        </is>
      </c>
      <c r="J827" s="4" t="n">
        <v>32</v>
      </c>
      <c r="K827" t="inlineStr">
        <is>
          <t>5 / 27</t>
        </is>
      </c>
      <c r="L827" t="inlineStr">
        <is>
          <t>0 / 0</t>
        </is>
      </c>
      <c r="M827" s="5" t="n">
        <v>0.16</v>
      </c>
      <c r="N827" s="5" t="n">
        <v>0</v>
      </c>
    </row>
    <row r="828">
      <c r="A828" t="n">
        <v>827</v>
      </c>
      <c r="B828" t="n">
        <v>2015</v>
      </c>
      <c r="C828" t="inlineStr">
        <is>
          <t>Dani Banquicio</t>
        </is>
      </c>
      <c r="D828">
        <f>HYPERLINK("https://ota.tournamentsoftware.com/player-profile/46430071-90F3-4471-A44B-9BE4F31E2D72", "Link")</f>
        <v/>
      </c>
      <c r="E828" s="3" t="n">
        <v>7.652</v>
      </c>
      <c r="F828" s="4" t="n">
        <v>2</v>
      </c>
      <c r="G828" t="inlineStr">
        <is>
          <t>Tennis New Brunswick</t>
        </is>
      </c>
      <c r="H828" t="inlineStr">
        <is>
          <t>Abony Family Tennis Center</t>
        </is>
      </c>
      <c r="I828" t="n">
        <v>40</v>
      </c>
      <c r="J828" s="4" t="n">
        <v>54</v>
      </c>
      <c r="K828" t="inlineStr">
        <is>
          <t>17 / 37</t>
        </is>
      </c>
      <c r="L828" t="inlineStr">
        <is>
          <t>3 / 7</t>
        </is>
      </c>
      <c r="M828" s="5" t="n">
        <v>0.31</v>
      </c>
      <c r="N828" s="5" t="n">
        <v>0.3</v>
      </c>
    </row>
    <row r="829">
      <c r="A829" t="n">
        <v>828</v>
      </c>
      <c r="B829" t="n">
        <v>2014</v>
      </c>
      <c r="C829" t="inlineStr">
        <is>
          <t>Audrey Dionne-Chen</t>
        </is>
      </c>
      <c r="D829">
        <f>HYPERLINK("https://ota.tournamentsoftware.com/player-profile/7AE565BD-506E-4133-AA69-F89B361E38C0", "Link")</f>
        <v/>
      </c>
      <c r="E829" s="3" t="n">
        <v>7.552</v>
      </c>
      <c r="F829" s="4" t="n">
        <v>1</v>
      </c>
      <c r="G829" t="inlineStr">
        <is>
          <t>Ontario Tennis Association</t>
        </is>
      </c>
      <c r="H829" t="inlineStr">
        <is>
          <t>Rideau Sports Centre</t>
        </is>
      </c>
      <c r="I829" t="n">
        <v>39.4</v>
      </c>
      <c r="J829" s="4" t="n">
        <v>14</v>
      </c>
      <c r="K829" t="inlineStr">
        <is>
          <t>4 / 10</t>
        </is>
      </c>
      <c r="L829" t="inlineStr">
        <is>
          <t>0 / 1</t>
        </is>
      </c>
      <c r="M829" s="5" t="n">
        <v>0.29</v>
      </c>
      <c r="N829" s="5" t="n">
        <v>0</v>
      </c>
    </row>
    <row r="830">
      <c r="A830" t="n">
        <v>829</v>
      </c>
      <c r="B830" t="n">
        <v>2015</v>
      </c>
      <c r="C830" t="inlineStr">
        <is>
          <t>Ivana Novatus Nguma</t>
        </is>
      </c>
      <c r="D830">
        <f>HYPERLINK("https://ota.tournamentsoftware.com/player-profile/152EACD1-B447-4FFD-B45D-419526079F6E", "Link")</f>
        <v/>
      </c>
      <c r="E830" s="3" t="n">
        <v>7.507</v>
      </c>
      <c r="F830" s="4" t="n">
        <v>2</v>
      </c>
      <c r="G830" t="inlineStr">
        <is>
          <t>Tennis Alberta</t>
        </is>
      </c>
      <c r="H830" t="inlineStr">
        <is>
          <t>Calgary Tennis Society</t>
        </is>
      </c>
      <c r="I830" t="n">
        <v>37.7</v>
      </c>
      <c r="J830" s="4" t="n">
        <v>24</v>
      </c>
      <c r="K830" t="inlineStr">
        <is>
          <t>12 / 12</t>
        </is>
      </c>
      <c r="L830" t="inlineStr">
        <is>
          <t>8 / 4</t>
        </is>
      </c>
      <c r="M830" s="5" t="n">
        <v>0.5</v>
      </c>
      <c r="N830" s="5" t="n">
        <v>0.67</v>
      </c>
    </row>
    <row r="831">
      <c r="A831" t="n">
        <v>830</v>
      </c>
      <c r="B831" t="n">
        <v>2014</v>
      </c>
      <c r="C831" t="inlineStr">
        <is>
          <t>Abigale Julia Dioszeghy Beatty</t>
        </is>
      </c>
      <c r="D831">
        <f>HYPERLINK("https://ota.tournamentsoftware.com/player-profile/3376BA08-B4B7-40B5-A81E-8F995772526B", "Link")</f>
        <v/>
      </c>
      <c r="E831" s="3" t="n">
        <v>7.222</v>
      </c>
      <c r="F831" s="4" t="n">
        <v>6</v>
      </c>
      <c r="G831" t="inlineStr">
        <is>
          <t>Tennis Alberta</t>
        </is>
      </c>
      <c r="H831" t="inlineStr">
        <is>
          <t>Royal Glenora Club</t>
        </is>
      </c>
      <c r="I831" t="n">
        <v>37.3</v>
      </c>
      <c r="J831" s="4" t="n">
        <v>16</v>
      </c>
      <c r="K831" t="inlineStr">
        <is>
          <t>8 / 8</t>
        </is>
      </c>
      <c r="L831" t="inlineStr">
        <is>
          <t>8 / 8</t>
        </is>
      </c>
      <c r="M831" s="5" t="n">
        <v>0.5</v>
      </c>
      <c r="N831" s="5" t="n">
        <v>0.5</v>
      </c>
    </row>
    <row r="832">
      <c r="A832" t="n">
        <v>831</v>
      </c>
      <c r="B832" t="n">
        <v>2017</v>
      </c>
      <c r="C832" t="inlineStr">
        <is>
          <t>Kaja Gacanin</t>
        </is>
      </c>
      <c r="D832">
        <f>HYPERLINK("https://ota.tournamentsoftware.com/player-profile/51158AF8-F463-4974-AE1F-B1924D114B2F", "Link")</f>
        <v/>
      </c>
      <c r="E832" s="3" t="n">
        <v>6.84</v>
      </c>
      <c r="F832" s="4" t="n">
        <v>2</v>
      </c>
      <c r="G832" t="inlineStr">
        <is>
          <t>Ontario Tennis Association</t>
        </is>
      </c>
      <c r="H832" t="inlineStr">
        <is>
          <t>Zekelman Tennis Centre</t>
        </is>
      </c>
      <c r="I832" t="n">
        <v>38.6</v>
      </c>
      <c r="J832" s="4" t="n">
        <v>7</v>
      </c>
      <c r="K832" t="inlineStr">
        <is>
          <t>2 / 5</t>
        </is>
      </c>
      <c r="L832" t="inlineStr">
        <is>
          <t>2 / 5</t>
        </is>
      </c>
      <c r="M832" s="5" t="n">
        <v>0.29</v>
      </c>
      <c r="N832" s="5" t="n">
        <v>0.29</v>
      </c>
    </row>
    <row r="833">
      <c r="A833" t="n">
        <v>832</v>
      </c>
      <c r="B833" t="n">
        <v>2014</v>
      </c>
      <c r="C833" t="inlineStr">
        <is>
          <t>Mantian Ellie Ni</t>
        </is>
      </c>
      <c r="D833">
        <f>HYPERLINK("https://ota.tournamentsoftware.com/player-profile/7FD8D72E-3679-4613-A482-A282508BEA32", "Link")</f>
        <v/>
      </c>
      <c r="E833" s="3" t="n">
        <v>6.607</v>
      </c>
      <c r="F833" s="4" t="n">
        <v>2</v>
      </c>
      <c r="G833" t="inlineStr">
        <is>
          <t>Ontario Tennis Association</t>
        </is>
      </c>
      <c r="H833" t="inlineStr">
        <is>
          <t>Premier Racquet Club</t>
        </is>
      </c>
      <c r="I833" t="n">
        <v>39.5</v>
      </c>
      <c r="J833" s="4" t="n">
        <v>23</v>
      </c>
      <c r="K833" t="inlineStr">
        <is>
          <t>7 / 16</t>
        </is>
      </c>
      <c r="L833" t="inlineStr">
        <is>
          <t>3 / 4</t>
        </is>
      </c>
      <c r="M833" s="5" t="n">
        <v>0.3</v>
      </c>
      <c r="N833" s="5" t="n">
        <v>0.43</v>
      </c>
    </row>
    <row r="834">
      <c r="A834" t="n">
        <v>832</v>
      </c>
      <c r="B834" t="n">
        <v>2015</v>
      </c>
      <c r="C834" t="inlineStr">
        <is>
          <t>Ruby Mika Szakacs</t>
        </is>
      </c>
      <c r="D834">
        <f>HYPERLINK("https://ota.tournamentsoftware.com/player-profile/200B8C95-20A4-4F60-90C6-7E30A84EAEA7", "Link")</f>
        <v/>
      </c>
      <c r="E834" s="3" t="n">
        <v>6.607</v>
      </c>
      <c r="F834" s="4" t="n">
        <v>2</v>
      </c>
      <c r="G834" t="inlineStr">
        <is>
          <t>Ontario Tennis Association</t>
        </is>
      </c>
      <c r="H834" t="inlineStr">
        <is>
          <t>No Club</t>
        </is>
      </c>
      <c r="I834" t="n">
        <v>39.4</v>
      </c>
      <c r="J834" s="4" t="n">
        <v>55</v>
      </c>
      <c r="K834" t="inlineStr">
        <is>
          <t>28 / 27</t>
        </is>
      </c>
      <c r="L834" t="inlineStr">
        <is>
          <t>0 / 4</t>
        </is>
      </c>
      <c r="M834" s="5" t="n">
        <v>0.51</v>
      </c>
      <c r="N834" s="5" t="n">
        <v>0</v>
      </c>
    </row>
    <row r="835">
      <c r="A835" t="n">
        <v>834</v>
      </c>
      <c r="B835" t="n">
        <v>2014</v>
      </c>
      <c r="C835" t="inlineStr">
        <is>
          <t>Elina Chai</t>
        </is>
      </c>
      <c r="D835">
        <f>HYPERLINK("https://ota.tournamentsoftware.com/player-profile/93EB3F3A-118C-460C-AB18-42D8F042E5A9", "Link")</f>
        <v/>
      </c>
      <c r="E835" s="3" t="n">
        <v>6.48</v>
      </c>
      <c r="F835" s="4" t="n">
        <v>1</v>
      </c>
      <c r="G835" t="inlineStr">
        <is>
          <t>Ontario Tennis Association</t>
        </is>
      </c>
      <c r="H835" t="inlineStr">
        <is>
          <t>ACE Tennis - Toronto Tennis City</t>
        </is>
      </c>
      <c r="I835" t="n">
        <v>38.5</v>
      </c>
      <c r="J835" s="4" t="n">
        <v>6</v>
      </c>
      <c r="K835" t="inlineStr">
        <is>
          <t>4 / 2</t>
        </is>
      </c>
      <c r="L835" t="inlineStr">
        <is>
          <t>4 / 2</t>
        </is>
      </c>
      <c r="M835" s="5" t="n">
        <v>0.67</v>
      </c>
      <c r="N835" s="5" t="n">
        <v>0.67</v>
      </c>
    </row>
    <row r="836">
      <c r="A836" t="n">
        <v>834</v>
      </c>
      <c r="B836" t="n">
        <v>2016</v>
      </c>
      <c r="C836" t="inlineStr">
        <is>
          <t>Charlotte Gordovin</t>
        </is>
      </c>
      <c r="D836">
        <f>HYPERLINK("https://ota.tournamentsoftware.com/player-profile/961D5F8B-09E8-477B-A5D4-F4815570D913", "Link")</f>
        <v/>
      </c>
      <c r="E836" s="3" t="n">
        <v>6.48</v>
      </c>
      <c r="F836" s="4" t="n">
        <v>3</v>
      </c>
      <c r="G836" t="inlineStr">
        <is>
          <t>Ontario Tennis Association</t>
        </is>
      </c>
      <c r="H836" t="inlineStr">
        <is>
          <t>ON Tennis Toronto No Club</t>
        </is>
      </c>
      <c r="I836" t="inlineStr">
        <is>
          <t>unavailable</t>
        </is>
      </c>
      <c r="J836" s="4" t="n">
        <v>84</v>
      </c>
      <c r="K836" t="inlineStr">
        <is>
          <t>41 / 43</t>
        </is>
      </c>
      <c r="L836" t="inlineStr">
        <is>
          <t>14 / 16</t>
        </is>
      </c>
      <c r="M836" s="5" t="n">
        <v>0.49</v>
      </c>
      <c r="N836" s="5" t="n">
        <v>0.47</v>
      </c>
    </row>
    <row r="837">
      <c r="A837" t="n">
        <v>834</v>
      </c>
      <c r="B837" t="n">
        <v>2014</v>
      </c>
      <c r="C837" t="inlineStr">
        <is>
          <t>Vira Beskupska</t>
        </is>
      </c>
      <c r="D837">
        <f>HYPERLINK("https://ota.tournamentsoftware.com/player-profile/116FA89C-68A6-4FE9-ADC6-34260809351C", "Link")</f>
        <v/>
      </c>
      <c r="E837" s="3" t="n">
        <v>6.48</v>
      </c>
      <c r="F837" s="4" t="n">
        <v>1</v>
      </c>
      <c r="G837" t="inlineStr">
        <is>
          <t>Ontario Tennis Association</t>
        </is>
      </c>
      <c r="H837" t="inlineStr">
        <is>
          <t>Tennis Centre West Ottawa</t>
        </is>
      </c>
      <c r="I837" t="n">
        <v>38.6</v>
      </c>
      <c r="J837" s="4" t="n">
        <v>1</v>
      </c>
      <c r="K837" t="inlineStr">
        <is>
          <t>0 / 1</t>
        </is>
      </c>
      <c r="L837" t="inlineStr">
        <is>
          <t>0 / 1</t>
        </is>
      </c>
      <c r="M837" s="5" t="n">
        <v>0</v>
      </c>
      <c r="N837" s="5" t="n">
        <v>0</v>
      </c>
    </row>
    <row r="838">
      <c r="A838" t="n">
        <v>834</v>
      </c>
      <c r="B838" t="n">
        <v>2014</v>
      </c>
      <c r="C838" t="inlineStr">
        <is>
          <t>Mila Isaeva</t>
        </is>
      </c>
      <c r="D838">
        <f>HYPERLINK("https://ota.tournamentsoftware.com/player-profile/318B72C3-8E32-46E5-B532-524E3B59755C", "Link")</f>
        <v/>
      </c>
      <c r="E838" s="3" t="n">
        <v>6.48</v>
      </c>
      <c r="F838" s="4" t="n">
        <v>1</v>
      </c>
      <c r="G838" t="inlineStr">
        <is>
          <t>Ontario Tennis Association</t>
        </is>
      </c>
      <c r="H838" t="inlineStr">
        <is>
          <t>Tam Heather Tennis Club</t>
        </is>
      </c>
      <c r="I838" t="n">
        <v>38.3</v>
      </c>
      <c r="J838" s="4" t="n">
        <v>18</v>
      </c>
      <c r="K838" t="inlineStr">
        <is>
          <t>10 / 8</t>
        </is>
      </c>
      <c r="L838" t="inlineStr">
        <is>
          <t>8 / 5</t>
        </is>
      </c>
      <c r="M838" s="5" t="n">
        <v>0.5600000000000001</v>
      </c>
      <c r="N838" s="5" t="n">
        <v>0.62</v>
      </c>
    </row>
    <row r="839">
      <c r="A839" t="n">
        <v>834</v>
      </c>
      <c r="B839" t="n">
        <v>2013</v>
      </c>
      <c r="C839" t="inlineStr">
        <is>
          <t>Juliana Pena</t>
        </is>
      </c>
      <c r="D839">
        <f>HYPERLINK("https://ota.tournamentsoftware.com/player-profile/8F1CA811-953C-4FAC-980B-55D7FE7A6E50", "Link")</f>
        <v/>
      </c>
      <c r="E839" s="3" t="n">
        <v>6.48</v>
      </c>
      <c r="F839" s="4" t="n">
        <v>1</v>
      </c>
      <c r="G839" t="inlineStr">
        <is>
          <t>Tennis Québec</t>
        </is>
      </c>
      <c r="H839" t="inlineStr">
        <is>
          <t>Tennis Québec (région Montréal Ouest)</t>
        </is>
      </c>
      <c r="I839" t="inlineStr">
        <is>
          <t>unavailable</t>
        </is>
      </c>
      <c r="J839" s="4" t="n">
        <v>10</v>
      </c>
      <c r="K839" t="inlineStr">
        <is>
          <t>3 / 7</t>
        </is>
      </c>
      <c r="L839" t="inlineStr">
        <is>
          <t>0 / 0</t>
        </is>
      </c>
      <c r="M839" s="5" t="n">
        <v>0.3</v>
      </c>
      <c r="N839" s="5" t="n">
        <v>0</v>
      </c>
    </row>
    <row r="840">
      <c r="A840" t="n">
        <v>834</v>
      </c>
      <c r="B840" t="n">
        <v>2015</v>
      </c>
      <c r="C840" t="inlineStr">
        <is>
          <t>Catherine Qu</t>
        </is>
      </c>
      <c r="D840">
        <f>HYPERLINK("https://ota.tournamentsoftware.com/player-profile/6BFBAA24-1779-441C-B7FC-7EF81219D270", "Link")</f>
        <v/>
      </c>
      <c r="E840" s="3" t="n">
        <v>6.48</v>
      </c>
      <c r="F840" s="4" t="n">
        <v>1</v>
      </c>
      <c r="G840" t="inlineStr">
        <is>
          <t>Ontario Tennis Association</t>
        </is>
      </c>
      <c r="H840" t="inlineStr">
        <is>
          <t>Royal City Tennis Club</t>
        </is>
      </c>
      <c r="I840" t="n">
        <v>36.4</v>
      </c>
      <c r="J840" s="4" t="n">
        <v>19</v>
      </c>
      <c r="K840" t="inlineStr">
        <is>
          <t>3 / 16</t>
        </is>
      </c>
      <c r="L840" t="inlineStr">
        <is>
          <t>1 / 1</t>
        </is>
      </c>
      <c r="M840" s="5" t="n">
        <v>0.16</v>
      </c>
      <c r="N840" s="5" t="n">
        <v>0.5</v>
      </c>
    </row>
    <row r="841">
      <c r="A841" t="n">
        <v>834</v>
      </c>
      <c r="B841" t="n">
        <v>2017</v>
      </c>
      <c r="C841" t="inlineStr">
        <is>
          <t>Riley Yang</t>
        </is>
      </c>
      <c r="D841">
        <f>HYPERLINK("https://ota.tournamentsoftware.com/player-profile/26AD4F6A-B4DE-4D98-85C5-1F82427AD36B", "Link")</f>
        <v/>
      </c>
      <c r="E841" s="3" t="n">
        <v>6.48</v>
      </c>
      <c r="F841" s="4" t="n">
        <v>1</v>
      </c>
      <c r="G841" t="inlineStr">
        <is>
          <t>Ontario Tennis Association</t>
        </is>
      </c>
      <c r="H841" t="inlineStr">
        <is>
          <t>Mayfair West Fitness &amp; Racquet Club</t>
        </is>
      </c>
      <c r="I841" t="inlineStr">
        <is>
          <t>unavailable</t>
        </is>
      </c>
      <c r="J841" s="4" t="n">
        <v>171</v>
      </c>
      <c r="K841" t="inlineStr">
        <is>
          <t>90 / 81</t>
        </is>
      </c>
      <c r="L841" t="inlineStr">
        <is>
          <t>54 / 37</t>
        </is>
      </c>
      <c r="M841" s="5" t="n">
        <v>0.53</v>
      </c>
      <c r="N841" s="5" t="n">
        <v>0.59</v>
      </c>
    </row>
    <row r="842">
      <c r="A842" t="n">
        <v>841</v>
      </c>
      <c r="B842" t="n">
        <v>2015</v>
      </c>
      <c r="C842" t="inlineStr">
        <is>
          <t>Rowan Ferris</t>
        </is>
      </c>
      <c r="D842">
        <f>HYPERLINK("https://ota.tournamentsoftware.com/player-profile/48292DD6-1A8C-41C7-997E-9A5C5BD68EFF", "Link")</f>
        <v/>
      </c>
      <c r="E842" s="3" t="n">
        <v>6.478</v>
      </c>
      <c r="F842" s="4" t="n">
        <v>2</v>
      </c>
      <c r="G842" t="inlineStr">
        <is>
          <t>Tennis Alberta</t>
        </is>
      </c>
      <c r="H842" t="inlineStr">
        <is>
          <t>Medicine Hat Tennis Club</t>
        </is>
      </c>
      <c r="I842" t="n">
        <v>39.3</v>
      </c>
      <c r="J842" s="4" t="n">
        <v>10</v>
      </c>
      <c r="K842" t="inlineStr">
        <is>
          <t>3 / 7</t>
        </is>
      </c>
      <c r="L842" t="inlineStr">
        <is>
          <t>1 / 3</t>
        </is>
      </c>
      <c r="M842" s="5" t="n">
        <v>0.3</v>
      </c>
      <c r="N842" s="5" t="n">
        <v>0.25</v>
      </c>
    </row>
    <row r="843">
      <c r="A843" t="n">
        <v>842</v>
      </c>
      <c r="B843" t="n">
        <v>2015</v>
      </c>
      <c r="C843" t="inlineStr">
        <is>
          <t>Niveah Watt-Shelton</t>
        </is>
      </c>
      <c r="D843">
        <f>HYPERLINK("https://ota.tournamentsoftware.com/player-profile/2142B288-43FF-46B4-8037-BD18E957E823", "Link")</f>
        <v/>
      </c>
      <c r="E843" s="3" t="n">
        <v>6.33</v>
      </c>
      <c r="F843" s="4" t="n">
        <v>2</v>
      </c>
      <c r="G843" t="inlineStr">
        <is>
          <t>British Columbia</t>
        </is>
      </c>
      <c r="H843" t="inlineStr">
        <is>
          <t>UBC Tennis Centre</t>
        </is>
      </c>
      <c r="I843" t="inlineStr">
        <is>
          <t>unavailable</t>
        </is>
      </c>
      <c r="J843" s="4" t="n">
        <v>58</v>
      </c>
      <c r="K843" t="inlineStr">
        <is>
          <t>28 / 30</t>
        </is>
      </c>
      <c r="L843" t="inlineStr">
        <is>
          <t>8 / 8</t>
        </is>
      </c>
      <c r="M843" s="5" t="n">
        <v>0.48</v>
      </c>
      <c r="N843" s="5" t="n">
        <v>0.5</v>
      </c>
    </row>
    <row r="844">
      <c r="A844" t="n">
        <v>843</v>
      </c>
      <c r="B844" t="n">
        <v>2012</v>
      </c>
      <c r="C844" t="inlineStr">
        <is>
          <t>Huiran Zhang</t>
        </is>
      </c>
      <c r="D844">
        <f>HYPERLINK("https://ota.tournamentsoftware.com/player-profile/1E917C5C-2B33-48E2-908B-A812DD532CD4", "Link")</f>
        <v/>
      </c>
      <c r="E844" s="3" t="n">
        <v>6.248</v>
      </c>
      <c r="F844" s="4" t="n">
        <v>1</v>
      </c>
      <c r="G844" t="inlineStr">
        <is>
          <t>British Columbia</t>
        </is>
      </c>
      <c r="H844" t="inlineStr">
        <is>
          <t>No Club</t>
        </is>
      </c>
      <c r="I844" t="n">
        <v>37.6</v>
      </c>
      <c r="J844" s="4" t="n">
        <v>13</v>
      </c>
      <c r="K844" t="inlineStr">
        <is>
          <t>2 / 11</t>
        </is>
      </c>
      <c r="L844" t="inlineStr">
        <is>
          <t>1 / 4</t>
        </is>
      </c>
      <c r="M844" s="5" t="n">
        <v>0.15</v>
      </c>
      <c r="N844" s="5" t="n">
        <v>0.2</v>
      </c>
    </row>
    <row r="845">
      <c r="A845" t="n">
        <v>843</v>
      </c>
      <c r="B845" t="n">
        <v>2012</v>
      </c>
      <c r="C845" t="inlineStr">
        <is>
          <t>Feiran Zhang</t>
        </is>
      </c>
      <c r="D845">
        <f>HYPERLINK("https://ota.tournamentsoftware.com/player-profile/8FFC114F-FEF3-40BF-AF97-E338D1EA4209", "Link")</f>
        <v/>
      </c>
      <c r="E845" s="3" t="n">
        <v>6.248</v>
      </c>
      <c r="F845" s="4" t="n">
        <v>1</v>
      </c>
      <c r="G845" t="inlineStr">
        <is>
          <t>British Columbia</t>
        </is>
      </c>
      <c r="H845" t="inlineStr">
        <is>
          <t>No Club</t>
        </is>
      </c>
      <c r="I845" t="n">
        <v>38.1</v>
      </c>
      <c r="J845" s="4" t="n">
        <v>14</v>
      </c>
      <c r="K845" t="inlineStr">
        <is>
          <t>5 / 9</t>
        </is>
      </c>
      <c r="L845" t="inlineStr">
        <is>
          <t>2 / 3</t>
        </is>
      </c>
      <c r="M845" s="5" t="n">
        <v>0.36</v>
      </c>
      <c r="N845" s="5" t="n">
        <v>0.4</v>
      </c>
    </row>
    <row r="846">
      <c r="A846" t="n">
        <v>845</v>
      </c>
      <c r="B846" t="n">
        <v>2015</v>
      </c>
      <c r="C846" t="inlineStr">
        <is>
          <t>Lydia Hilborn</t>
        </is>
      </c>
      <c r="D846">
        <f>HYPERLINK("https://ota.tournamentsoftware.com/player-profile/30626EFD-AB33-4307-B2FA-1CF205F3C271", "Link")</f>
        <v/>
      </c>
      <c r="E846" s="3" t="n">
        <v>6.23</v>
      </c>
      <c r="F846" s="4" t="n">
        <v>1</v>
      </c>
      <c r="G846" t="inlineStr">
        <is>
          <t>Ontario Tennis Association</t>
        </is>
      </c>
      <c r="H846" t="inlineStr">
        <is>
          <t>Cutten Fields</t>
        </is>
      </c>
      <c r="I846" t="n">
        <v>37.5</v>
      </c>
      <c r="J846" s="4" t="n">
        <v>50</v>
      </c>
      <c r="K846" t="inlineStr">
        <is>
          <t>23 / 27</t>
        </is>
      </c>
      <c r="L846" t="inlineStr">
        <is>
          <t>0 / 0</t>
        </is>
      </c>
      <c r="M846" s="5" t="n">
        <v>0.46</v>
      </c>
      <c r="N846" s="5" t="n">
        <v>0</v>
      </c>
    </row>
    <row r="847">
      <c r="A847" t="n">
        <v>846</v>
      </c>
      <c r="B847" t="n">
        <v>2015</v>
      </c>
      <c r="C847" t="inlineStr">
        <is>
          <t>Allison Zhang</t>
        </is>
      </c>
      <c r="D847">
        <f>HYPERLINK("https://ota.tournamentsoftware.com/player-profile/7EED065B-4139-4D18-B6C0-4800BB20D171", "Link")</f>
        <v/>
      </c>
      <c r="E847" s="3" t="n">
        <v>6</v>
      </c>
      <c r="F847" s="4" t="n">
        <v>1</v>
      </c>
      <c r="G847" t="inlineStr">
        <is>
          <t>Ontario Tennis Association</t>
        </is>
      </c>
      <c r="H847" t="inlineStr">
        <is>
          <t>No Club</t>
        </is>
      </c>
      <c r="I847" t="inlineStr">
        <is>
          <t>unavailable</t>
        </is>
      </c>
      <c r="J847" s="4" t="n">
        <v>23</v>
      </c>
      <c r="K847" t="inlineStr">
        <is>
          <t>4 / 19</t>
        </is>
      </c>
      <c r="L847" t="inlineStr">
        <is>
          <t>0 / 0</t>
        </is>
      </c>
      <c r="M847" s="5" t="n">
        <v>0.17</v>
      </c>
      <c r="N847" s="5" t="n">
        <v>0</v>
      </c>
    </row>
    <row r="848">
      <c r="A848" t="n">
        <v>846</v>
      </c>
      <c r="B848" t="n">
        <v>2014</v>
      </c>
      <c r="C848" t="inlineStr">
        <is>
          <t>Dina Karahotzitis</t>
        </is>
      </c>
      <c r="D848">
        <f>HYPERLINK("https://ota.tournamentsoftware.com/player-profile/741C9055-B842-4064-A339-E591B8FD72C4", "Link")</f>
        <v/>
      </c>
      <c r="E848" s="3" t="n">
        <v>6</v>
      </c>
      <c r="F848" s="4" t="n">
        <v>1</v>
      </c>
      <c r="G848" t="inlineStr">
        <is>
          <t>Ontario Tennis Association</t>
        </is>
      </c>
      <c r="H848" t="inlineStr">
        <is>
          <t>Mayfair West Fitness &amp; Racquet Club</t>
        </is>
      </c>
      <c r="I848" t="n">
        <v>34.9</v>
      </c>
      <c r="J848" s="4" t="n">
        <v>19</v>
      </c>
      <c r="K848" t="inlineStr">
        <is>
          <t>0 / 19</t>
        </is>
      </c>
      <c r="L848" t="inlineStr">
        <is>
          <t>0 / 0</t>
        </is>
      </c>
      <c r="M848" s="5" t="n">
        <v>0</v>
      </c>
      <c r="N848" s="5" t="n">
        <v>0</v>
      </c>
    </row>
    <row r="849">
      <c r="A849" t="n">
        <v>848</v>
      </c>
      <c r="B849" t="n">
        <v>2015</v>
      </c>
      <c r="C849" t="inlineStr">
        <is>
          <t>Vera Nino</t>
        </is>
      </c>
      <c r="D849">
        <f>HYPERLINK("https://ota.tournamentsoftware.com/player-profile/081EF9A9-B991-431D-B2FC-AC8426BD2711", "Link")</f>
        <v/>
      </c>
      <c r="E849" s="3" t="n">
        <v>5.803</v>
      </c>
      <c r="F849" s="4" t="n">
        <v>1</v>
      </c>
      <c r="G849" t="inlineStr">
        <is>
          <t>Ontario Tennis Association</t>
        </is>
      </c>
      <c r="H849" t="inlineStr">
        <is>
          <t>Zekelman Tennis Centre</t>
        </is>
      </c>
      <c r="I849" t="inlineStr">
        <is>
          <t>unavailable</t>
        </is>
      </c>
      <c r="J849" s="4" t="n">
        <v>6</v>
      </c>
      <c r="K849" t="inlineStr">
        <is>
          <t>0 / 6</t>
        </is>
      </c>
      <c r="L849" t="inlineStr">
        <is>
          <t>0 / 6</t>
        </is>
      </c>
      <c r="M849" s="5" t="n">
        <v>0</v>
      </c>
      <c r="N849" s="5" t="n">
        <v>0</v>
      </c>
    </row>
    <row r="850">
      <c r="A850" t="n">
        <v>849</v>
      </c>
      <c r="B850" t="n">
        <v>2012</v>
      </c>
      <c r="C850" t="inlineStr">
        <is>
          <t>Emma Thomson</t>
        </is>
      </c>
      <c r="D850">
        <f>HYPERLINK("https://ota.tournamentsoftware.com/player-profile/EE28DE8E-EE8A-4FBB-885B-733BCB8A08C4", "Link")</f>
        <v/>
      </c>
      <c r="E850" s="3" t="n">
        <v>5.404</v>
      </c>
      <c r="F850" s="4" t="n">
        <v>3</v>
      </c>
      <c r="G850" t="inlineStr">
        <is>
          <t>Tennis Alberta</t>
        </is>
      </c>
      <c r="H850" t="inlineStr">
        <is>
          <t>Osten &amp; Victor Alberta Tennis Centre</t>
        </is>
      </c>
      <c r="I850" t="inlineStr">
        <is>
          <t>unavailable</t>
        </is>
      </c>
      <c r="J850" s="4" t="n">
        <v>6</v>
      </c>
      <c r="K850" t="inlineStr">
        <is>
          <t>1 / 5</t>
        </is>
      </c>
      <c r="L850" t="inlineStr">
        <is>
          <t>1 / 1</t>
        </is>
      </c>
      <c r="M850" s="5" t="n">
        <v>0.17</v>
      </c>
      <c r="N850" s="5" t="n">
        <v>0.5</v>
      </c>
    </row>
    <row r="851">
      <c r="A851" t="n">
        <v>850</v>
      </c>
      <c r="B851" t="n">
        <v>2016</v>
      </c>
      <c r="C851" t="inlineStr">
        <is>
          <t>Marusya Bakaeva</t>
        </is>
      </c>
      <c r="D851">
        <f>HYPERLINK("https://ota.tournamentsoftware.com/player-profile/B7C51186-F387-4E99-B849-E8275BB7C0E9", "Link")</f>
        <v/>
      </c>
      <c r="E851" s="3" t="n">
        <v>5.125</v>
      </c>
      <c r="F851" s="4" t="n">
        <v>1</v>
      </c>
      <c r="G851" t="inlineStr">
        <is>
          <t>Ontario Tennis Association</t>
        </is>
      </c>
      <c r="H851" t="inlineStr">
        <is>
          <t>Toronto Tennis City</t>
        </is>
      </c>
      <c r="I851" t="n">
        <v>37.3</v>
      </c>
      <c r="J851" s="4" t="n">
        <v>16</v>
      </c>
      <c r="K851" t="inlineStr">
        <is>
          <t>6 / 10</t>
        </is>
      </c>
      <c r="L851" t="inlineStr">
        <is>
          <t>3 / 6</t>
        </is>
      </c>
      <c r="M851" s="5" t="n">
        <v>0.38</v>
      </c>
      <c r="N851" s="5" t="n">
        <v>0.33</v>
      </c>
    </row>
    <row r="852">
      <c r="A852" t="n">
        <v>850</v>
      </c>
      <c r="B852" t="n">
        <v>2014</v>
      </c>
      <c r="C852" t="inlineStr">
        <is>
          <t>Alexandra Ciacoi-Pop</t>
        </is>
      </c>
      <c r="D852">
        <f>HYPERLINK("https://ota.tournamentsoftware.com/player-profile/4F87B1A1-F52A-4C8C-8C6B-776A59CC6D03", "Link")</f>
        <v/>
      </c>
      <c r="E852" s="3" t="n">
        <v>5.125</v>
      </c>
      <c r="F852" s="4" t="n">
        <v>1</v>
      </c>
      <c r="G852" t="inlineStr">
        <is>
          <t>Ontario Tennis Association</t>
        </is>
      </c>
      <c r="H852" t="inlineStr">
        <is>
          <t>Parkway Valley Tennis Club</t>
        </is>
      </c>
      <c r="I852" t="n">
        <v>38.8</v>
      </c>
      <c r="J852" s="4" t="n">
        <v>28</v>
      </c>
      <c r="K852" t="inlineStr">
        <is>
          <t>11 / 17</t>
        </is>
      </c>
      <c r="L852" t="inlineStr">
        <is>
          <t>7 / 12</t>
        </is>
      </c>
      <c r="M852" s="5" t="n">
        <v>0.39</v>
      </c>
      <c r="N852" s="5" t="n">
        <v>0.37</v>
      </c>
    </row>
    <row r="853">
      <c r="A853" t="n">
        <v>852</v>
      </c>
      <c r="B853" t="n">
        <v>2012</v>
      </c>
      <c r="C853" t="inlineStr">
        <is>
          <t>Frankie Hunsberger</t>
        </is>
      </c>
      <c r="D853">
        <f>HYPERLINK("https://ota.tournamentsoftware.com/player-profile/288F03A3-20CB-46BE-B35D-7428B5B7FA35", "Link")</f>
        <v/>
      </c>
      <c r="E853" s="3" t="n">
        <v>5.054</v>
      </c>
      <c r="F853" s="4" t="n">
        <v>2</v>
      </c>
      <c r="G853" t="inlineStr">
        <is>
          <t>British Columbia</t>
        </is>
      </c>
      <c r="H853" t="inlineStr">
        <is>
          <t>North Shore Winter Club</t>
        </is>
      </c>
      <c r="I853" t="n">
        <v>38.6</v>
      </c>
      <c r="J853" s="4" t="n">
        <v>18</v>
      </c>
      <c r="K853" t="inlineStr">
        <is>
          <t>10 / 8</t>
        </is>
      </c>
      <c r="L853" t="inlineStr">
        <is>
          <t>3 / 2</t>
        </is>
      </c>
      <c r="M853" s="5" t="n">
        <v>0.5600000000000001</v>
      </c>
      <c r="N853" s="5" t="n">
        <v>0.6</v>
      </c>
    </row>
    <row r="854">
      <c r="A854" t="n">
        <v>853</v>
      </c>
      <c r="B854" t="n">
        <v>2014</v>
      </c>
      <c r="C854" t="inlineStr">
        <is>
          <t>Mackenzie Lee</t>
        </is>
      </c>
      <c r="D854">
        <f>HYPERLINK("https://ota.tournamentsoftware.com/player-profile/7734E749-B5B7-4067-9AE1-B5CB58EFDC1A", "Link")</f>
        <v/>
      </c>
      <c r="E854" s="3" t="n">
        <v>5</v>
      </c>
      <c r="F854" s="4" t="n">
        <v>1</v>
      </c>
      <c r="G854" t="inlineStr">
        <is>
          <t>Ontario Tennis Association</t>
        </is>
      </c>
      <c r="H854" t="inlineStr">
        <is>
          <t>Toronto Lawn Tennis Club</t>
        </is>
      </c>
      <c r="I854" t="inlineStr">
        <is>
          <t>unavailable</t>
        </is>
      </c>
      <c r="J854" s="4" t="n">
        <v>13</v>
      </c>
      <c r="K854" t="inlineStr">
        <is>
          <t>5 / 8</t>
        </is>
      </c>
      <c r="L854" t="inlineStr">
        <is>
          <t>4 / 3</t>
        </is>
      </c>
      <c r="M854" s="5" t="n">
        <v>0.38</v>
      </c>
      <c r="N854" s="5" t="n">
        <v>0.57</v>
      </c>
    </row>
    <row r="855">
      <c r="A855" t="n">
        <v>853</v>
      </c>
      <c r="B855" t="n">
        <v>2015</v>
      </c>
      <c r="C855" t="inlineStr">
        <is>
          <t>Cynthia Wang</t>
        </is>
      </c>
      <c r="D855">
        <f>HYPERLINK("https://ota.tournamentsoftware.com/player-profile/C8736B80-1071-4F4F-86B0-CA7FB630F618", "Link")</f>
        <v/>
      </c>
      <c r="E855" s="3" t="n">
        <v>5</v>
      </c>
      <c r="F855" s="4" t="n">
        <v>1</v>
      </c>
      <c r="G855" t="inlineStr">
        <is>
          <t>Ontario Tennis Association</t>
        </is>
      </c>
      <c r="H855" t="inlineStr">
        <is>
          <t>SmartVMC Racquetsports by ACE</t>
        </is>
      </c>
      <c r="I855" t="n">
        <v>37.3</v>
      </c>
      <c r="J855" s="4" t="n">
        <v>3</v>
      </c>
      <c r="K855" t="inlineStr">
        <is>
          <t>0 / 3</t>
        </is>
      </c>
      <c r="L855" t="inlineStr">
        <is>
          <t>0 / 0</t>
        </is>
      </c>
      <c r="M855" s="5" t="n">
        <v>0</v>
      </c>
      <c r="N855" s="5" t="n">
        <v>0</v>
      </c>
    </row>
    <row r="856">
      <c r="A856" t="n">
        <v>853</v>
      </c>
      <c r="B856" t="n">
        <v>2013</v>
      </c>
      <c r="C856" t="inlineStr">
        <is>
          <t>Barbara Li</t>
        </is>
      </c>
      <c r="D856">
        <f>HYPERLINK("https://ota.tournamentsoftware.com/player-profile/FFEAFA99-A203-4A57-A5C8-1E0592A53A81", "Link")</f>
        <v/>
      </c>
      <c r="E856" s="3" t="n">
        <v>5</v>
      </c>
      <c r="F856" s="4" t="n">
        <v>1</v>
      </c>
      <c r="G856" t="inlineStr">
        <is>
          <t>British Columbia</t>
        </is>
      </c>
      <c r="H856" t="inlineStr">
        <is>
          <t>Hollyburn Country Club</t>
        </is>
      </c>
      <c r="I856" t="n">
        <v>39.7</v>
      </c>
      <c r="J856" s="4" t="n">
        <v>13</v>
      </c>
      <c r="K856" t="inlineStr">
        <is>
          <t>3 / 10</t>
        </is>
      </c>
      <c r="L856" t="inlineStr">
        <is>
          <t>0 / 0</t>
        </is>
      </c>
      <c r="M856" s="5" t="n">
        <v>0.23</v>
      </c>
      <c r="N856" s="5" t="n">
        <v>0</v>
      </c>
    </row>
    <row r="857">
      <c r="A857" t="n">
        <v>853</v>
      </c>
      <c r="B857" t="n">
        <v>2014</v>
      </c>
      <c r="C857" t="inlineStr">
        <is>
          <t>Freya Run Rutledge</t>
        </is>
      </c>
      <c r="D857">
        <f>HYPERLINK("https://ota.tournamentsoftware.com/player-profile/76B60137-7272-4F42-A455-109E20840062", "Link")</f>
        <v/>
      </c>
      <c r="E857" s="3" t="n">
        <v>5</v>
      </c>
      <c r="F857" s="4" t="n">
        <v>1</v>
      </c>
      <c r="G857" t="inlineStr">
        <is>
          <t>Ontario Tennis Association</t>
        </is>
      </c>
      <c r="H857" t="inlineStr">
        <is>
          <t>Boulevard Club</t>
        </is>
      </c>
      <c r="I857" t="n">
        <v>34.9</v>
      </c>
      <c r="J857" s="4" t="n">
        <v>14</v>
      </c>
      <c r="K857" t="inlineStr">
        <is>
          <t>0 / 14</t>
        </is>
      </c>
      <c r="L857" t="inlineStr">
        <is>
          <t>0 / 1</t>
        </is>
      </c>
      <c r="M857" s="5" t="n">
        <v>0</v>
      </c>
      <c r="N857" s="5" t="n">
        <v>0</v>
      </c>
    </row>
    <row r="858">
      <c r="A858" t="n">
        <v>857</v>
      </c>
      <c r="B858" t="n">
        <v>2014</v>
      </c>
      <c r="C858" t="inlineStr">
        <is>
          <t>Alicia Januario</t>
        </is>
      </c>
      <c r="D858">
        <f>HYPERLINK("https://ota.tournamentsoftware.com/player-profile/C042725A-21A9-463F-848F-04CEA3B56FE5", "Link")</f>
        <v/>
      </c>
      <c r="E858" s="3" t="n">
        <v>4.927</v>
      </c>
      <c r="F858" s="4" t="n">
        <v>2</v>
      </c>
      <c r="G858" t="inlineStr">
        <is>
          <t>Tennis Québec</t>
        </is>
      </c>
      <c r="H858" t="inlineStr">
        <is>
          <t>No Club</t>
        </is>
      </c>
      <c r="I858" t="n">
        <v>37.7</v>
      </c>
      <c r="J858" s="4" t="n">
        <v>6</v>
      </c>
      <c r="K858" t="inlineStr">
        <is>
          <t>1 / 5</t>
        </is>
      </c>
      <c r="L858" t="inlineStr">
        <is>
          <t>1 / 5</t>
        </is>
      </c>
      <c r="M858" s="5" t="n">
        <v>0.17</v>
      </c>
      <c r="N858" s="5" t="n">
        <v>0.17</v>
      </c>
    </row>
    <row r="859">
      <c r="A859" t="n">
        <v>858</v>
      </c>
      <c r="B859" t="n">
        <v>2014</v>
      </c>
      <c r="C859" t="inlineStr">
        <is>
          <t>Emma Sun</t>
        </is>
      </c>
      <c r="D859">
        <f>HYPERLINK("https://ota.tournamentsoftware.com/player-profile/872E410F-742F-4F80-9387-6C15C73FE92E", "Link")</f>
        <v/>
      </c>
      <c r="E859" s="3" t="n">
        <v>4.806</v>
      </c>
      <c r="F859" s="4" t="n">
        <v>1</v>
      </c>
      <c r="G859" t="inlineStr">
        <is>
          <t>Ontario Tennis Association</t>
        </is>
      </c>
      <c r="H859" t="inlineStr">
        <is>
          <t>Valan Tennis Academy</t>
        </is>
      </c>
      <c r="I859" t="n">
        <v>38.5</v>
      </c>
      <c r="J859" s="4" t="n">
        <v>18</v>
      </c>
      <c r="K859" t="inlineStr">
        <is>
          <t>10 / 8</t>
        </is>
      </c>
      <c r="L859" t="inlineStr">
        <is>
          <t>1 / 1</t>
        </is>
      </c>
      <c r="M859" s="5" t="n">
        <v>0.5600000000000001</v>
      </c>
      <c r="N859" s="5" t="n">
        <v>0.5</v>
      </c>
    </row>
    <row r="860">
      <c r="A860" t="n">
        <v>858</v>
      </c>
      <c r="B860" t="n">
        <v>2013</v>
      </c>
      <c r="C860" t="inlineStr">
        <is>
          <t>Grâce-David Adzo TRAORÉ</t>
        </is>
      </c>
      <c r="D860">
        <f>HYPERLINK("https://ota.tournamentsoftware.com/player-profile/2A96F5BB-709B-450E-A0CA-0442985A8D03", "Link")</f>
        <v/>
      </c>
      <c r="E860" s="3" t="n">
        <v>4.806</v>
      </c>
      <c r="F860" s="4" t="n">
        <v>1</v>
      </c>
      <c r="G860" t="inlineStr">
        <is>
          <t>Tennis Québec</t>
        </is>
      </c>
      <c r="H860" t="inlineStr">
        <is>
          <t>QC AutreClub</t>
        </is>
      </c>
      <c r="I860" t="inlineStr">
        <is>
          <t>unavailable</t>
        </is>
      </c>
      <c r="J860" s="4" t="n">
        <v>1</v>
      </c>
      <c r="K860" t="inlineStr">
        <is>
          <t>0 / 1</t>
        </is>
      </c>
      <c r="L860" t="inlineStr">
        <is>
          <t>0 / 0</t>
        </is>
      </c>
      <c r="M860" s="5" t="n">
        <v>0</v>
      </c>
      <c r="N860" s="5" t="n">
        <v>0</v>
      </c>
    </row>
    <row r="861">
      <c r="A861" t="n">
        <v>858</v>
      </c>
      <c r="B861" t="n">
        <v>2014</v>
      </c>
      <c r="C861" t="inlineStr">
        <is>
          <t>Hannah Kucherawy</t>
        </is>
      </c>
      <c r="D861">
        <f>HYPERLINK("https://ota.tournamentsoftware.com/player-profile/E2ACD595-E7E5-40E3-935D-57DCECB8E04C", "Link")</f>
        <v/>
      </c>
      <c r="E861" s="3" t="n">
        <v>4.806</v>
      </c>
      <c r="F861" s="4" t="n">
        <v>1</v>
      </c>
      <c r="G861" t="inlineStr">
        <is>
          <t>Ontario Tennis Association</t>
        </is>
      </c>
      <c r="H861" t="inlineStr">
        <is>
          <t>Simcoe Tennis</t>
        </is>
      </c>
      <c r="I861" t="n">
        <v>35.6</v>
      </c>
      <c r="J861" s="4" t="n">
        <v>23</v>
      </c>
      <c r="K861" t="inlineStr">
        <is>
          <t>3 / 20</t>
        </is>
      </c>
      <c r="L861" t="inlineStr">
        <is>
          <t>1 / 1</t>
        </is>
      </c>
      <c r="M861" s="5" t="n">
        <v>0.13</v>
      </c>
      <c r="N861" s="5" t="n">
        <v>0.5</v>
      </c>
    </row>
    <row r="862">
      <c r="A862" t="n">
        <v>858</v>
      </c>
      <c r="B862" t="n">
        <v>2014</v>
      </c>
      <c r="C862" t="inlineStr">
        <is>
          <t>Iris Li</t>
        </is>
      </c>
      <c r="D862">
        <f>HYPERLINK("https://ota.tournamentsoftware.com/player-profile/CC36F5CC-203F-4A28-B27C-068A0E15610C", "Link")</f>
        <v/>
      </c>
      <c r="E862" s="3" t="n">
        <v>4.806</v>
      </c>
      <c r="F862" s="4" t="n">
        <v>2</v>
      </c>
      <c r="G862" t="inlineStr">
        <is>
          <t>British Columbia</t>
        </is>
      </c>
      <c r="H862" t="inlineStr">
        <is>
          <t>Tennis for Life</t>
        </is>
      </c>
      <c r="I862" t="n">
        <v>39.6</v>
      </c>
      <c r="J862" s="4" t="n">
        <v>43</v>
      </c>
      <c r="K862" t="inlineStr">
        <is>
          <t>17 / 26</t>
        </is>
      </c>
      <c r="L862" t="inlineStr">
        <is>
          <t>8 / 4</t>
        </is>
      </c>
      <c r="M862" s="5" t="n">
        <v>0.4</v>
      </c>
      <c r="N862" s="5" t="n">
        <v>0.67</v>
      </c>
    </row>
    <row r="863">
      <c r="A863" t="n">
        <v>862</v>
      </c>
      <c r="B863" t="n">
        <v>2012</v>
      </c>
      <c r="C863" t="inlineStr">
        <is>
          <t>Katie Elizabeth Furlan</t>
        </is>
      </c>
      <c r="D863">
        <f>HYPERLINK("https://ota.tournamentsoftware.com/player-profile/CB36C2DA-0DAF-44E4-AE44-0A925ED0DFC0", "Link")</f>
        <v/>
      </c>
      <c r="E863" s="3" t="n">
        <v>4.538</v>
      </c>
      <c r="F863" s="4" t="n">
        <v>4</v>
      </c>
      <c r="G863" t="inlineStr">
        <is>
          <t>Tennis Alberta</t>
        </is>
      </c>
      <c r="H863" t="inlineStr">
        <is>
          <t>The Glencoe Club</t>
        </is>
      </c>
      <c r="I863" t="n">
        <v>38.4</v>
      </c>
      <c r="J863" s="4" t="n">
        <v>25</v>
      </c>
      <c r="K863" t="inlineStr">
        <is>
          <t>6 / 19</t>
        </is>
      </c>
      <c r="L863" t="inlineStr">
        <is>
          <t>0 / 2</t>
        </is>
      </c>
      <c r="M863" s="5" t="n">
        <v>0.24</v>
      </c>
      <c r="N863" s="5" t="n">
        <v>0</v>
      </c>
    </row>
    <row r="864">
      <c r="A864" t="n">
        <v>863</v>
      </c>
      <c r="B864" t="n">
        <v>2016</v>
      </c>
      <c r="C864" t="inlineStr">
        <is>
          <t>Michelle Hiu Tung Law</t>
        </is>
      </c>
      <c r="D864">
        <f>HYPERLINK("https://ota.tournamentsoftware.com/player-profile/6B7246D7-C656-43B4-A93A-54E15E04D73D", "Link")</f>
        <v/>
      </c>
      <c r="E864" s="3" t="n">
        <v>4.536</v>
      </c>
      <c r="F864" s="4" t="n">
        <v>9</v>
      </c>
      <c r="G864" t="inlineStr">
        <is>
          <t>Tennis Alberta</t>
        </is>
      </c>
      <c r="H864" t="inlineStr">
        <is>
          <t>Saville Community Sports Centre</t>
        </is>
      </c>
      <c r="I864" t="n">
        <v>38.4</v>
      </c>
      <c r="J864" s="4" t="n">
        <v>77</v>
      </c>
      <c r="K864" t="inlineStr">
        <is>
          <t>31 / 46</t>
        </is>
      </c>
      <c r="L864" t="inlineStr">
        <is>
          <t>12 / 18</t>
        </is>
      </c>
      <c r="M864" s="5" t="n">
        <v>0.4</v>
      </c>
      <c r="N864" s="5" t="n">
        <v>0.4</v>
      </c>
    </row>
    <row r="865">
      <c r="A865" t="n">
        <v>864</v>
      </c>
      <c r="B865" t="n">
        <v>2013</v>
      </c>
      <c r="C865" t="inlineStr">
        <is>
          <t>rafaela pena</t>
        </is>
      </c>
      <c r="D865">
        <f>HYPERLINK("https://ota.tournamentsoftware.com/player-profile/A4EAF82E-5402-4B2B-B03B-0E790D9A9F99", "Link")</f>
        <v/>
      </c>
      <c r="E865" s="3" t="n">
        <v>4.29</v>
      </c>
      <c r="F865" s="4" t="n">
        <v>1</v>
      </c>
      <c r="G865" t="inlineStr">
        <is>
          <t>Tennis Québec</t>
        </is>
      </c>
      <c r="H865" t="inlineStr">
        <is>
          <t>Tennis Québec (région Montréal Ouest)</t>
        </is>
      </c>
      <c r="I865" t="inlineStr">
        <is>
          <t>unavailable</t>
        </is>
      </c>
      <c r="J865" s="4" t="n">
        <v>10</v>
      </c>
      <c r="K865" t="inlineStr">
        <is>
          <t>4 / 6</t>
        </is>
      </c>
      <c r="L865" t="inlineStr">
        <is>
          <t>0 / 0</t>
        </is>
      </c>
      <c r="M865" s="5" t="n">
        <v>0.4</v>
      </c>
      <c r="N865" s="5" t="n">
        <v>0</v>
      </c>
    </row>
    <row r="866">
      <c r="A866" t="n">
        <v>865</v>
      </c>
      <c r="B866" t="n">
        <v>2012</v>
      </c>
      <c r="C866" t="inlineStr">
        <is>
          <t>Lucia Racquel Deagle</t>
        </is>
      </c>
      <c r="D866">
        <f>HYPERLINK("https://ota.tournamentsoftware.com/player-profile/9262B9F2-035F-451E-8B86-6E98C95AB597", "Link")</f>
        <v/>
      </c>
      <c r="E866" s="3" t="n">
        <v>4.173</v>
      </c>
      <c r="F866" s="4" t="n">
        <v>2</v>
      </c>
      <c r="G866" t="inlineStr">
        <is>
          <t>Tennis Alberta</t>
        </is>
      </c>
      <c r="H866" t="inlineStr">
        <is>
          <t>Aforza</t>
        </is>
      </c>
      <c r="I866" t="n">
        <v>39.2</v>
      </c>
      <c r="J866" s="4" t="n">
        <v>17</v>
      </c>
      <c r="K866" t="inlineStr">
        <is>
          <t>1 / 16</t>
        </is>
      </c>
      <c r="L866" t="inlineStr">
        <is>
          <t>0 / 0</t>
        </is>
      </c>
      <c r="M866" s="5" t="n">
        <v>0.06</v>
      </c>
      <c r="N866" s="5" t="n">
        <v>0</v>
      </c>
    </row>
    <row r="867">
      <c r="A867" t="n">
        <v>866</v>
      </c>
      <c r="B867" t="n">
        <v>2015</v>
      </c>
      <c r="C867" t="inlineStr">
        <is>
          <t>Ruhi Juneja</t>
        </is>
      </c>
      <c r="D867">
        <f>HYPERLINK("https://ota.tournamentsoftware.com/player-profile/E7A03006-4960-4A35-8B80-22CB122EB413", "Link")</f>
        <v/>
      </c>
      <c r="E867" s="3" t="n">
        <v>4.166</v>
      </c>
      <c r="F867" s="4" t="n">
        <v>5</v>
      </c>
      <c r="G867" t="inlineStr">
        <is>
          <t>Tennis Alberta</t>
        </is>
      </c>
      <c r="H867" t="inlineStr">
        <is>
          <t>IQ Tennis and Pickleball Centre</t>
        </is>
      </c>
      <c r="I867" t="n">
        <v>40</v>
      </c>
      <c r="J867" s="4" t="n">
        <v>8</v>
      </c>
      <c r="K867" t="inlineStr">
        <is>
          <t>1 / 7</t>
        </is>
      </c>
      <c r="L867" t="inlineStr">
        <is>
          <t>1 / 7</t>
        </is>
      </c>
      <c r="M867" s="5" t="n">
        <v>0.12</v>
      </c>
      <c r="N867" s="5" t="n">
        <v>0.12</v>
      </c>
    </row>
    <row r="868">
      <c r="A868" t="n">
        <v>867</v>
      </c>
      <c r="B868" t="n">
        <v>2015</v>
      </c>
      <c r="C868" t="inlineStr">
        <is>
          <t>Emmy Judge</t>
        </is>
      </c>
      <c r="D868">
        <f>HYPERLINK("https://ota.tournamentsoftware.com/player-profile/553284DE-2D65-4837-B86A-2230DB300AC5", "Link")</f>
        <v/>
      </c>
      <c r="E868" s="3" t="n">
        <v>4.077</v>
      </c>
      <c r="F868" s="4" t="n">
        <v>1</v>
      </c>
      <c r="G868" t="inlineStr">
        <is>
          <t>Ontario Tennis Association</t>
        </is>
      </c>
      <c r="H868" t="inlineStr">
        <is>
          <t>No Club</t>
        </is>
      </c>
      <c r="I868" t="inlineStr">
        <is>
          <t>unavailable</t>
        </is>
      </c>
      <c r="J868" s="4" t="n">
        <v>4</v>
      </c>
      <c r="K868" t="inlineStr">
        <is>
          <t>0 / 4</t>
        </is>
      </c>
      <c r="L868" t="inlineStr">
        <is>
          <t>0 / 4</t>
        </is>
      </c>
      <c r="M868" s="5" t="n">
        <v>0</v>
      </c>
      <c r="N868" s="5" t="n">
        <v>0</v>
      </c>
    </row>
    <row r="869">
      <c r="A869" t="n">
        <v>868</v>
      </c>
      <c r="B869" t="n">
        <v>2016</v>
      </c>
      <c r="C869" t="inlineStr">
        <is>
          <t>Peiyu(Cici) Li</t>
        </is>
      </c>
      <c r="D869">
        <f>HYPERLINK("https://ota.tournamentsoftware.com/player-profile/C4571297-B444-4579-A011-D24753628021", "Link")</f>
        <v/>
      </c>
      <c r="E869" s="3" t="n">
        <v>4.052</v>
      </c>
      <c r="F869" s="4" t="n">
        <v>6</v>
      </c>
      <c r="G869" t="inlineStr">
        <is>
          <t>Tennis Nova Scotia</t>
        </is>
      </c>
      <c r="H869" t="inlineStr">
        <is>
          <t>Atlantic Tennis Centre</t>
        </is>
      </c>
      <c r="I869" t="n">
        <v>39.2</v>
      </c>
      <c r="J869" s="4" t="n">
        <v>50</v>
      </c>
      <c r="K869" t="inlineStr">
        <is>
          <t>18 / 32</t>
        </is>
      </c>
      <c r="L869" t="inlineStr">
        <is>
          <t>10 / 22</t>
        </is>
      </c>
      <c r="M869" s="5" t="n">
        <v>0.36</v>
      </c>
      <c r="N869" s="5" t="n">
        <v>0.31</v>
      </c>
    </row>
    <row r="870">
      <c r="A870" t="n">
        <v>869</v>
      </c>
      <c r="B870" t="n">
        <v>2014</v>
      </c>
      <c r="C870" t="inlineStr">
        <is>
          <t>Sophia Zhao</t>
        </is>
      </c>
      <c r="D870">
        <f>HYPERLINK("https://ota.tournamentsoftware.com/player-profile/388D9D37-AB69-4888-AB07-C709FC6BB450", "Link")</f>
        <v/>
      </c>
      <c r="E870" s="3" t="n">
        <v>4</v>
      </c>
      <c r="F870" s="4" t="n">
        <v>1</v>
      </c>
      <c r="G870" t="inlineStr">
        <is>
          <t>British Columbia</t>
        </is>
      </c>
      <c r="H870" t="inlineStr">
        <is>
          <t>Hollyburn Country Club</t>
        </is>
      </c>
      <c r="I870" t="inlineStr">
        <is>
          <t>unavailable</t>
        </is>
      </c>
      <c r="J870" s="4" t="n">
        <v>3</v>
      </c>
      <c r="K870" t="inlineStr">
        <is>
          <t>0 / 3</t>
        </is>
      </c>
      <c r="L870" t="inlineStr">
        <is>
          <t>0 / 0</t>
        </is>
      </c>
      <c r="M870" s="5" t="n">
        <v>0</v>
      </c>
      <c r="N870" s="5" t="n">
        <v>0</v>
      </c>
    </row>
    <row r="871">
      <c r="A871" t="n">
        <v>869</v>
      </c>
      <c r="B871" t="n">
        <v>2014</v>
      </c>
      <c r="C871" t="inlineStr">
        <is>
          <t>Sophia Jaffer</t>
        </is>
      </c>
      <c r="D871">
        <f>HYPERLINK("https://ota.tournamentsoftware.com/player-profile/264F2E7F-0F8D-4B4E-875F-FAAFDB4E9D43", "Link")</f>
        <v/>
      </c>
      <c r="E871" s="3" t="n">
        <v>4</v>
      </c>
      <c r="F871" s="4" t="n">
        <v>1</v>
      </c>
      <c r="G871" t="inlineStr">
        <is>
          <t>British Columbia</t>
        </is>
      </c>
      <c r="H871" t="inlineStr">
        <is>
          <t>Hollyburn Country Club</t>
        </is>
      </c>
      <c r="I871" t="n">
        <v>38.6</v>
      </c>
      <c r="J871" s="4" t="n">
        <v>17</v>
      </c>
      <c r="K871" t="inlineStr">
        <is>
          <t>6 / 11</t>
        </is>
      </c>
      <c r="L871" t="inlineStr">
        <is>
          <t>6 / 6</t>
        </is>
      </c>
      <c r="M871" s="5" t="n">
        <v>0.35</v>
      </c>
      <c r="N871" s="5" t="n">
        <v>0.5</v>
      </c>
    </row>
    <row r="872">
      <c r="A872" t="n">
        <v>869</v>
      </c>
      <c r="B872" t="n">
        <v>2013</v>
      </c>
      <c r="C872" t="inlineStr">
        <is>
          <t>Xi Niu</t>
        </is>
      </c>
      <c r="D872">
        <f>HYPERLINK("https://ota.tournamentsoftware.com/player-profile/B2759B21-5521-4528-9454-D7FF201653DE", "Link")</f>
        <v/>
      </c>
      <c r="E872" s="3" t="n">
        <v>4</v>
      </c>
      <c r="F872" s="4" t="n">
        <v>1</v>
      </c>
      <c r="G872" t="inlineStr">
        <is>
          <t>British Columbia</t>
        </is>
      </c>
      <c r="H872" t="inlineStr">
        <is>
          <t>No Club</t>
        </is>
      </c>
      <c r="I872" t="inlineStr">
        <is>
          <t>unavailable</t>
        </is>
      </c>
      <c r="J872" s="4" t="n">
        <v>3</v>
      </c>
      <c r="K872" t="inlineStr">
        <is>
          <t>0 / 3</t>
        </is>
      </c>
      <c r="L872" t="inlineStr">
        <is>
          <t>0 / 0</t>
        </is>
      </c>
      <c r="M872" s="5" t="n">
        <v>0</v>
      </c>
      <c r="N872" s="5" t="n">
        <v>0</v>
      </c>
    </row>
    <row r="873">
      <c r="A873" t="n">
        <v>872</v>
      </c>
      <c r="B873" t="n">
        <v>2016</v>
      </c>
      <c r="C873" t="inlineStr">
        <is>
          <t>Ella Luo</t>
        </is>
      </c>
      <c r="D873">
        <f>HYPERLINK("https://ota.tournamentsoftware.com/player-profile/3031CAE1-D7FD-42C8-B04F-2247B30476FE", "Link")</f>
        <v/>
      </c>
      <c r="E873" s="3" t="n">
        <v>3.931</v>
      </c>
      <c r="F873" s="4" t="n">
        <v>3</v>
      </c>
      <c r="G873" t="inlineStr">
        <is>
          <t>Tennis Alberta</t>
        </is>
      </c>
      <c r="H873" t="inlineStr">
        <is>
          <t>Saville Community Sports Centre</t>
        </is>
      </c>
      <c r="I873" t="n">
        <v>38.3</v>
      </c>
      <c r="J873" s="4" t="n">
        <v>30</v>
      </c>
      <c r="K873" t="inlineStr">
        <is>
          <t>12 / 18</t>
        </is>
      </c>
      <c r="L873" t="inlineStr">
        <is>
          <t>12 / 14</t>
        </is>
      </c>
      <c r="M873" s="5" t="n">
        <v>0.4</v>
      </c>
      <c r="N873" s="5" t="n">
        <v>0.46</v>
      </c>
    </row>
    <row r="874">
      <c r="A874" t="n">
        <v>873</v>
      </c>
      <c r="B874" t="n">
        <v>2013</v>
      </c>
      <c r="C874" t="inlineStr">
        <is>
          <t>Vittoria Veronica Noce</t>
        </is>
      </c>
      <c r="D874">
        <f>HYPERLINK("https://ota.tournamentsoftware.com/player-profile/00D388D4-0B24-4339-9B51-BDB96207A30D", "Link")</f>
        <v/>
      </c>
      <c r="E874" s="3" t="n">
        <v>3.889</v>
      </c>
      <c r="F874" s="4" t="n">
        <v>3</v>
      </c>
      <c r="G874" t="inlineStr">
        <is>
          <t>Tennis Alberta</t>
        </is>
      </c>
      <c r="H874" t="inlineStr">
        <is>
          <t>Derrick Golf &amp; Winter Club</t>
        </is>
      </c>
      <c r="I874" t="n">
        <v>37.1</v>
      </c>
      <c r="J874" s="4" t="n">
        <v>51</v>
      </c>
      <c r="K874" t="inlineStr">
        <is>
          <t>13 / 38</t>
        </is>
      </c>
      <c r="L874" t="inlineStr">
        <is>
          <t>3 / 5</t>
        </is>
      </c>
      <c r="M874" s="5" t="n">
        <v>0.25</v>
      </c>
      <c r="N874" s="5" t="n">
        <v>0.38</v>
      </c>
    </row>
    <row r="875">
      <c r="A875" t="n">
        <v>874</v>
      </c>
      <c r="B875" t="n">
        <v>2015</v>
      </c>
      <c r="C875" t="inlineStr">
        <is>
          <t>JIAYI LIN</t>
        </is>
      </c>
      <c r="D875">
        <f>HYPERLINK("https://ota.tournamentsoftware.com/player-profile/9025A036-DFDA-4A69-B03F-EEE43D14A3C3", "Link")</f>
        <v/>
      </c>
      <c r="E875" s="3" t="n">
        <v>3.888</v>
      </c>
      <c r="F875" s="4" t="n">
        <v>1</v>
      </c>
      <c r="G875" t="inlineStr">
        <is>
          <t>Ontario Tennis Association</t>
        </is>
      </c>
      <c r="H875" t="inlineStr">
        <is>
          <t>Mayfair Parkway Racquet Club</t>
        </is>
      </c>
      <c r="I875" t="n">
        <v>38.6</v>
      </c>
      <c r="J875" s="4" t="n">
        <v>2</v>
      </c>
      <c r="K875" t="inlineStr">
        <is>
          <t>0 / 2</t>
        </is>
      </c>
      <c r="L875" t="inlineStr">
        <is>
          <t>0 / 2</t>
        </is>
      </c>
      <c r="M875" s="5" t="n">
        <v>0</v>
      </c>
      <c r="N875" s="5" t="n">
        <v>0</v>
      </c>
    </row>
    <row r="876">
      <c r="A876" t="n">
        <v>874</v>
      </c>
      <c r="B876" t="n">
        <v>2016</v>
      </c>
      <c r="C876" t="inlineStr">
        <is>
          <t>Yuxuan Niu</t>
        </is>
      </c>
      <c r="D876">
        <f>HYPERLINK("https://ota.tournamentsoftware.com/player-profile/49C2723D-DBBA-48CA-B20D-69A550E45FB4", "Link")</f>
        <v/>
      </c>
      <c r="E876" s="3" t="n">
        <v>3.888</v>
      </c>
      <c r="F876" s="4" t="n">
        <v>2</v>
      </c>
      <c r="G876" t="inlineStr">
        <is>
          <t>Ontario Tennis Association</t>
        </is>
      </c>
      <c r="H876" t="inlineStr">
        <is>
          <t>Premier Racquet Clubs – Mississauga</t>
        </is>
      </c>
      <c r="I876" t="inlineStr">
        <is>
          <t>unavailable</t>
        </is>
      </c>
      <c r="J876" s="4" t="n">
        <v>19</v>
      </c>
      <c r="K876" t="inlineStr">
        <is>
          <t>13 / 6</t>
        </is>
      </c>
      <c r="L876" t="inlineStr">
        <is>
          <t>13 / 6</t>
        </is>
      </c>
      <c r="M876" s="5" t="n">
        <v>0.68</v>
      </c>
      <c r="N876" s="5" t="n">
        <v>0.68</v>
      </c>
    </row>
    <row r="877">
      <c r="A877" t="n">
        <v>874</v>
      </c>
      <c r="B877" t="n">
        <v>2015</v>
      </c>
      <c r="C877" t="inlineStr">
        <is>
          <t>Olivia Franchi</t>
        </is>
      </c>
      <c r="D877">
        <f>HYPERLINK("https://ota.tournamentsoftware.com/player-profile/71DEE53D-92D1-4C5D-A9AE-0F02860DD189", "Link")</f>
        <v/>
      </c>
      <c r="E877" s="3" t="n">
        <v>3.888</v>
      </c>
      <c r="F877" s="4" t="n">
        <v>1</v>
      </c>
      <c r="G877" t="inlineStr">
        <is>
          <t>Ontario Tennis Association</t>
        </is>
      </c>
      <c r="H877" t="inlineStr">
        <is>
          <t>Barrie North Winter Tennis</t>
        </is>
      </c>
      <c r="I877" t="n">
        <v>37.6</v>
      </c>
      <c r="J877" s="4" t="n">
        <v>14</v>
      </c>
      <c r="K877" t="inlineStr">
        <is>
          <t>0 / 14</t>
        </is>
      </c>
      <c r="L877" t="inlineStr">
        <is>
          <t>0 / 2</t>
        </is>
      </c>
      <c r="M877" s="5" t="n">
        <v>0</v>
      </c>
      <c r="N877" s="5" t="n">
        <v>0</v>
      </c>
    </row>
    <row r="878">
      <c r="A878" t="n">
        <v>874</v>
      </c>
      <c r="B878" t="n">
        <v>2017</v>
      </c>
      <c r="C878" t="inlineStr">
        <is>
          <t>Nysa Iyer</t>
        </is>
      </c>
      <c r="D878">
        <f>HYPERLINK("https://ota.tournamentsoftware.com/player-profile/7133F3A1-6724-4B35-BBF9-2DFB20E0D933", "Link")</f>
        <v/>
      </c>
      <c r="E878" s="3" t="n">
        <v>3.888</v>
      </c>
      <c r="F878" s="4" t="n">
        <v>3</v>
      </c>
      <c r="G878" t="inlineStr">
        <is>
          <t>Tennis Alberta</t>
        </is>
      </c>
      <c r="H878" t="inlineStr">
        <is>
          <t>No Club</t>
        </is>
      </c>
      <c r="I878" t="n">
        <v>38.1</v>
      </c>
      <c r="J878" s="4" t="n">
        <v>65</v>
      </c>
      <c r="K878" t="inlineStr">
        <is>
          <t>32 / 33</t>
        </is>
      </c>
      <c r="L878" t="inlineStr">
        <is>
          <t>15 / 12</t>
        </is>
      </c>
      <c r="M878" s="5" t="n">
        <v>0.49</v>
      </c>
      <c r="N878" s="5" t="n">
        <v>0.5600000000000001</v>
      </c>
    </row>
    <row r="879">
      <c r="A879" t="n">
        <v>874</v>
      </c>
      <c r="B879" t="n">
        <v>2013</v>
      </c>
      <c r="C879" t="inlineStr">
        <is>
          <t>Amy Duo</t>
        </is>
      </c>
      <c r="D879">
        <f>HYPERLINK("https://ota.tournamentsoftware.com/player-profile/71495656-F9AD-402C-B368-62609F5D70B9", "Link")</f>
        <v/>
      </c>
      <c r="E879" s="3" t="n">
        <v>3.888</v>
      </c>
      <c r="F879" s="4" t="n">
        <v>1</v>
      </c>
      <c r="G879" t="inlineStr">
        <is>
          <t>British Columbia</t>
        </is>
      </c>
      <c r="H879" t="inlineStr">
        <is>
          <t>North Shore Winter Club</t>
        </is>
      </c>
      <c r="I879" t="inlineStr">
        <is>
          <t>unavailable</t>
        </is>
      </c>
      <c r="J879" s="4" t="n">
        <v>29</v>
      </c>
      <c r="K879" t="inlineStr">
        <is>
          <t>10 / 19</t>
        </is>
      </c>
      <c r="L879" t="inlineStr">
        <is>
          <t>2 / 2</t>
        </is>
      </c>
      <c r="M879" s="5" t="n">
        <v>0.34</v>
      </c>
      <c r="N879" s="5" t="n">
        <v>0.5</v>
      </c>
    </row>
    <row r="880">
      <c r="A880" t="n">
        <v>874</v>
      </c>
      <c r="B880" t="n">
        <v>2014</v>
      </c>
      <c r="C880" t="inlineStr">
        <is>
          <t>Yanxi Chen</t>
        </is>
      </c>
      <c r="D880">
        <f>HYPERLINK("https://ota.tournamentsoftware.com/player-profile/E6571B14-6651-4CD3-A420-8263947DBA1E", "Link")</f>
        <v/>
      </c>
      <c r="E880" s="3" t="n">
        <v>3.888</v>
      </c>
      <c r="F880" s="4" t="n">
        <v>1</v>
      </c>
      <c r="G880" t="inlineStr">
        <is>
          <t>British Columbia</t>
        </is>
      </c>
      <c r="H880" t="inlineStr">
        <is>
          <t>West Vancouver Tennis Club</t>
        </is>
      </c>
      <c r="I880" t="n">
        <v>38.6</v>
      </c>
      <c r="J880" s="4" t="n">
        <v>10</v>
      </c>
      <c r="K880" t="inlineStr">
        <is>
          <t>5 / 5</t>
        </is>
      </c>
      <c r="L880" t="inlineStr">
        <is>
          <t>3 / 3</t>
        </is>
      </c>
      <c r="M880" s="5" t="n">
        <v>0.5</v>
      </c>
      <c r="N880" s="5" t="n">
        <v>0.5</v>
      </c>
    </row>
    <row r="881">
      <c r="A881" t="n">
        <v>874</v>
      </c>
      <c r="B881" t="n">
        <v>2015</v>
      </c>
      <c r="C881" t="inlineStr">
        <is>
          <t>Maya Clara Shakra</t>
        </is>
      </c>
      <c r="D881">
        <f>HYPERLINK("https://ota.tournamentsoftware.com/player-profile/50FA5A17-1808-42C0-B8C3-34766E9151A2", "Link")</f>
        <v/>
      </c>
      <c r="E881" s="3" t="n">
        <v>3.888</v>
      </c>
      <c r="F881" s="4" t="n">
        <v>1</v>
      </c>
      <c r="G881" t="inlineStr">
        <is>
          <t>Ontario Tennis Association</t>
        </is>
      </c>
      <c r="H881" t="inlineStr">
        <is>
          <t>Toronto Tennis Academy</t>
        </is>
      </c>
      <c r="I881" t="inlineStr">
        <is>
          <t>unavailable</t>
        </is>
      </c>
      <c r="J881" s="4" t="inlineStr"/>
      <c r="K881" t="inlineStr">
        <is>
          <t>unavailable</t>
        </is>
      </c>
      <c r="L881" t="inlineStr">
        <is>
          <t>unavailable</t>
        </is>
      </c>
      <c r="M881" s="5" t="inlineStr"/>
      <c r="N881" s="5" t="inlineStr"/>
    </row>
    <row r="882">
      <c r="A882" t="n">
        <v>881</v>
      </c>
      <c r="B882" t="n">
        <v>2014</v>
      </c>
      <c r="C882" t="inlineStr">
        <is>
          <t>Tillya Villeneuve</t>
        </is>
      </c>
      <c r="D882">
        <f>HYPERLINK("https://ota.tournamentsoftware.com/player-profile/B96926BC-0825-4914-B6C7-E7906E4AC960", "Link")</f>
        <v/>
      </c>
      <c r="E882" s="3" t="n">
        <v>3.845</v>
      </c>
      <c r="F882" s="4" t="n">
        <v>5</v>
      </c>
      <c r="G882" t="inlineStr">
        <is>
          <t>Tennis Alberta</t>
        </is>
      </c>
      <c r="H882" t="inlineStr">
        <is>
          <t>Aforza</t>
        </is>
      </c>
      <c r="I882" t="inlineStr">
        <is>
          <t>unavailable</t>
        </is>
      </c>
      <c r="J882" s="4" t="n">
        <v>11</v>
      </c>
      <c r="K882" t="inlineStr">
        <is>
          <t>4 / 7</t>
        </is>
      </c>
      <c r="L882" t="inlineStr">
        <is>
          <t>4 / 7</t>
        </is>
      </c>
      <c r="M882" s="5" t="n">
        <v>0.36</v>
      </c>
      <c r="N882" s="5" t="n">
        <v>0.36</v>
      </c>
    </row>
    <row r="883">
      <c r="A883" t="n">
        <v>882</v>
      </c>
      <c r="B883" t="n">
        <v>2014</v>
      </c>
      <c r="C883" t="inlineStr">
        <is>
          <t>Baani Kaur Saini</t>
        </is>
      </c>
      <c r="D883">
        <f>HYPERLINK("https://ota.tournamentsoftware.com/player-profile/F8A85050-87CB-4D78-BB4D-4D11F0D18229", "Link")</f>
        <v/>
      </c>
      <c r="E883" s="3" t="n">
        <v>3.806</v>
      </c>
      <c r="F883" s="4" t="n">
        <v>1</v>
      </c>
      <c r="G883" t="inlineStr">
        <is>
          <t>Ontario Tennis Association</t>
        </is>
      </c>
      <c r="H883" t="inlineStr">
        <is>
          <t>Bramalea Tennis Club</t>
        </is>
      </c>
      <c r="I883" t="n">
        <v>39.3</v>
      </c>
      <c r="J883" s="4" t="n">
        <v>5</v>
      </c>
      <c r="K883" t="inlineStr">
        <is>
          <t>0 / 5</t>
        </is>
      </c>
      <c r="L883" t="inlineStr">
        <is>
          <t>0 / 0</t>
        </is>
      </c>
      <c r="M883" s="5" t="n">
        <v>0</v>
      </c>
      <c r="N883" s="5" t="n">
        <v>0</v>
      </c>
    </row>
    <row r="884">
      <c r="A884" t="n">
        <v>883</v>
      </c>
      <c r="B884" t="n">
        <v>2015</v>
      </c>
      <c r="C884" t="inlineStr">
        <is>
          <t>Tamara Skayem</t>
        </is>
      </c>
      <c r="D884">
        <f>HYPERLINK("https://ota.tournamentsoftware.com/player-profile/C90206C3-DC6E-4BE3-938F-C8608F20CDD6", "Link")</f>
        <v/>
      </c>
      <c r="E884" s="3" t="n">
        <v>3.758</v>
      </c>
      <c r="F884" s="4" t="n">
        <v>1</v>
      </c>
      <c r="G884" t="inlineStr">
        <is>
          <t>Tennis Québec</t>
        </is>
      </c>
      <c r="H884" t="inlineStr">
        <is>
          <t>Club Sportif Côte-de-Liesse</t>
        </is>
      </c>
      <c r="I884" t="inlineStr">
        <is>
          <t>unavailable</t>
        </is>
      </c>
      <c r="J884" s="4" t="n">
        <v>3</v>
      </c>
      <c r="K884" t="inlineStr">
        <is>
          <t>1 / 2</t>
        </is>
      </c>
      <c r="L884" t="inlineStr">
        <is>
          <t>1 / 2</t>
        </is>
      </c>
      <c r="M884" s="5" t="n">
        <v>0.33</v>
      </c>
      <c r="N884" s="5" t="n">
        <v>0.33</v>
      </c>
    </row>
    <row r="885">
      <c r="A885" t="n">
        <v>883</v>
      </c>
      <c r="B885" t="n">
        <v>2014</v>
      </c>
      <c r="C885" t="inlineStr">
        <is>
          <t>Charlotte Lanthier</t>
        </is>
      </c>
      <c r="D885">
        <f>HYPERLINK("https://ota.tournamentsoftware.com/player-profile/930A92EC-BBE2-40FD-8684-CB6F18EAD19A", "Link")</f>
        <v/>
      </c>
      <c r="E885" s="3" t="n">
        <v>3.758</v>
      </c>
      <c r="F885" s="4" t="n">
        <v>5</v>
      </c>
      <c r="G885" t="inlineStr">
        <is>
          <t>Tennis Québec</t>
        </is>
      </c>
      <c r="H885" t="inlineStr">
        <is>
          <t>EB Tennis inc.</t>
        </is>
      </c>
      <c r="I885" t="n">
        <v>39.6</v>
      </c>
      <c r="J885" s="4" t="n">
        <v>6</v>
      </c>
      <c r="K885" t="inlineStr">
        <is>
          <t>0 / 6</t>
        </is>
      </c>
      <c r="L885" t="inlineStr">
        <is>
          <t>0 / 4</t>
        </is>
      </c>
      <c r="M885" s="5" t="n">
        <v>0</v>
      </c>
      <c r="N885" s="5" t="n">
        <v>0</v>
      </c>
    </row>
    <row r="886">
      <c r="A886" t="n">
        <v>885</v>
      </c>
      <c r="B886" t="n">
        <v>2014</v>
      </c>
      <c r="C886" t="inlineStr">
        <is>
          <t>Kaira Ankit Arora</t>
        </is>
      </c>
      <c r="D886">
        <f>HYPERLINK("https://ota.tournamentsoftware.com/player-profile/48CDC473-6B50-4781-BB3F-2B72F12C6320", "Link")</f>
        <v/>
      </c>
      <c r="E886" s="3" t="n">
        <v>3.629</v>
      </c>
      <c r="F886" s="4" t="n">
        <v>1</v>
      </c>
      <c r="G886" t="inlineStr">
        <is>
          <t>Ontario Tennis Association</t>
        </is>
      </c>
      <c r="H886" t="inlineStr">
        <is>
          <t>Mohawk Tennis Club</t>
        </is>
      </c>
      <c r="I886" t="inlineStr">
        <is>
          <t>unavailable</t>
        </is>
      </c>
      <c r="J886" s="4" t="inlineStr"/>
      <c r="K886" t="inlineStr">
        <is>
          <t>unavailable</t>
        </is>
      </c>
      <c r="L886" t="inlineStr">
        <is>
          <t>unavailable</t>
        </is>
      </c>
      <c r="M886" s="5" t="inlineStr"/>
      <c r="N886" s="5" t="inlineStr"/>
    </row>
    <row r="887">
      <c r="A887" t="n">
        <v>885</v>
      </c>
      <c r="B887" t="n">
        <v>2014</v>
      </c>
      <c r="C887" t="inlineStr">
        <is>
          <t>Cindy Chai</t>
        </is>
      </c>
      <c r="D887">
        <f>HYPERLINK("https://ota.tournamentsoftware.com/player-profile/1777FA49-1C9D-4D7D-AF29-8B5B024F1F30", "Link")</f>
        <v/>
      </c>
      <c r="E887" s="3" t="n">
        <v>3.629</v>
      </c>
      <c r="F887" s="4" t="n">
        <v>1</v>
      </c>
      <c r="G887" t="inlineStr">
        <is>
          <t>Ontario Tennis Association</t>
        </is>
      </c>
      <c r="H887" t="inlineStr">
        <is>
          <t>Ontario Racquet Club</t>
        </is>
      </c>
      <c r="I887" t="inlineStr">
        <is>
          <t>unavailable</t>
        </is>
      </c>
      <c r="J887" s="4" t="n">
        <v>8</v>
      </c>
      <c r="K887" t="inlineStr">
        <is>
          <t>3 / 5</t>
        </is>
      </c>
      <c r="L887" t="inlineStr">
        <is>
          <t>3 / 3</t>
        </is>
      </c>
      <c r="M887" s="5" t="n">
        <v>0.38</v>
      </c>
      <c r="N887" s="5" t="n">
        <v>0.5</v>
      </c>
    </row>
    <row r="888">
      <c r="A888" t="n">
        <v>885</v>
      </c>
      <c r="B888" t="n">
        <v>2013</v>
      </c>
      <c r="C888" t="inlineStr">
        <is>
          <t>Apphia Anderson</t>
        </is>
      </c>
      <c r="D888">
        <f>HYPERLINK("https://ota.tournamentsoftware.com/player-profile/557E4D67-D9E9-47B3-800F-DB2194C8FCA3", "Link")</f>
        <v/>
      </c>
      <c r="E888" s="3" t="n">
        <v>3.629</v>
      </c>
      <c r="F888" s="4" t="n">
        <v>2</v>
      </c>
      <c r="G888" t="inlineStr">
        <is>
          <t>Tennis Alberta</t>
        </is>
      </c>
      <c r="H888" t="inlineStr">
        <is>
          <t>No Club</t>
        </is>
      </c>
      <c r="I888" t="inlineStr">
        <is>
          <t>unavailable</t>
        </is>
      </c>
      <c r="J888" s="4" t="n">
        <v>3</v>
      </c>
      <c r="K888" t="inlineStr">
        <is>
          <t>0 / 3</t>
        </is>
      </c>
      <c r="L888" t="inlineStr">
        <is>
          <t>0 / 3</t>
        </is>
      </c>
      <c r="M888" s="5" t="n">
        <v>0</v>
      </c>
      <c r="N888" s="5" t="n">
        <v>0</v>
      </c>
    </row>
    <row r="889">
      <c r="A889" t="n">
        <v>888</v>
      </c>
      <c r="B889" t="n">
        <v>2015</v>
      </c>
      <c r="C889" t="inlineStr">
        <is>
          <t>Lea Youssef</t>
        </is>
      </c>
      <c r="D889">
        <f>HYPERLINK("https://ota.tournamentsoftware.com/player-profile/DC3DBF03-8EF5-4959-B08E-EE226DB25DE6", "Link")</f>
        <v/>
      </c>
      <c r="E889" s="3" t="n">
        <v>3.471</v>
      </c>
      <c r="F889" s="4" t="n">
        <v>1</v>
      </c>
      <c r="G889" t="inlineStr">
        <is>
          <t>Tennis Québec</t>
        </is>
      </c>
      <c r="H889" t="inlineStr">
        <is>
          <t>Tennis 13</t>
        </is>
      </c>
      <c r="I889" t="inlineStr">
        <is>
          <t>unavailable</t>
        </is>
      </c>
      <c r="J889" s="4" t="n">
        <v>2</v>
      </c>
      <c r="K889" t="inlineStr">
        <is>
          <t>0 / 2</t>
        </is>
      </c>
      <c r="L889" t="inlineStr">
        <is>
          <t>0 / 2</t>
        </is>
      </c>
      <c r="M889" s="5" t="n">
        <v>0</v>
      </c>
      <c r="N889" s="5" t="n">
        <v>0</v>
      </c>
    </row>
    <row r="890">
      <c r="A890" t="n">
        <v>889</v>
      </c>
      <c r="B890" t="n">
        <v>2012</v>
      </c>
      <c r="C890" t="inlineStr">
        <is>
          <t>Hannah Grace Burrows</t>
        </is>
      </c>
      <c r="D890">
        <f>HYPERLINK("https://ota.tournamentsoftware.com/player-profile/A4FFA0A4-EAE7-43E6-AF92-E22114BE5D8B", "Link")</f>
        <v/>
      </c>
      <c r="E890" s="3" t="n">
        <v>3.421</v>
      </c>
      <c r="F890" s="4" t="n">
        <v>2</v>
      </c>
      <c r="G890" t="inlineStr">
        <is>
          <t>Tennis Alberta</t>
        </is>
      </c>
      <c r="H890" t="inlineStr">
        <is>
          <t>The Glencoe Club</t>
        </is>
      </c>
      <c r="I890" t="n">
        <v>38.8</v>
      </c>
      <c r="J890" s="4" t="n">
        <v>28</v>
      </c>
      <c r="K890" t="inlineStr">
        <is>
          <t>6 / 22</t>
        </is>
      </c>
      <c r="L890" t="inlineStr">
        <is>
          <t>0 / 2</t>
        </is>
      </c>
      <c r="M890" s="5" t="n">
        <v>0.21</v>
      </c>
      <c r="N890" s="5" t="n">
        <v>0</v>
      </c>
    </row>
    <row r="891">
      <c r="A891" t="n">
        <v>890</v>
      </c>
      <c r="B891" t="n">
        <v>2015</v>
      </c>
      <c r="C891" t="inlineStr">
        <is>
          <t>Jade Adepetu</t>
        </is>
      </c>
      <c r="D891">
        <f>HYPERLINK("https://ota.tournamentsoftware.com/player-profile/44B25337-8306-4D62-BB4F-8BAB0C726BA7", "Link")</f>
        <v/>
      </c>
      <c r="E891" s="3" t="n">
        <v>3.326</v>
      </c>
      <c r="F891" s="4" t="n">
        <v>4</v>
      </c>
      <c r="G891" t="inlineStr">
        <is>
          <t>Tennis Alberta</t>
        </is>
      </c>
      <c r="H891" t="inlineStr">
        <is>
          <t>Osten &amp; Victor Alberta Tennis Centre</t>
        </is>
      </c>
      <c r="I891" t="inlineStr">
        <is>
          <t>unavailable</t>
        </is>
      </c>
      <c r="J891" s="4" t="n">
        <v>25</v>
      </c>
      <c r="K891" t="inlineStr">
        <is>
          <t>6 / 19</t>
        </is>
      </c>
      <c r="L891" t="inlineStr">
        <is>
          <t>5 / 9</t>
        </is>
      </c>
      <c r="M891" s="5" t="n">
        <v>0.24</v>
      </c>
      <c r="N891" s="5" t="n">
        <v>0.36</v>
      </c>
    </row>
    <row r="892">
      <c r="A892" t="n">
        <v>891</v>
      </c>
      <c r="B892" t="n">
        <v>2015</v>
      </c>
      <c r="C892" t="inlineStr">
        <is>
          <t>Alison Kao</t>
        </is>
      </c>
      <c r="D892">
        <f>HYPERLINK("https://ota.tournamentsoftware.com/player-profile/BAEC89E7-F54C-49F7-AA56-227606797D02", "Link")</f>
        <v/>
      </c>
      <c r="E892" s="3" t="n">
        <v>3.24</v>
      </c>
      <c r="F892" s="4" t="n">
        <v>3</v>
      </c>
      <c r="G892" t="inlineStr">
        <is>
          <t>Tennis Alberta</t>
        </is>
      </c>
      <c r="H892" t="inlineStr">
        <is>
          <t>Osten &amp; Victor Alberta Tennis Centre</t>
        </is>
      </c>
      <c r="I892" t="n">
        <v>40</v>
      </c>
      <c r="J892" s="4" t="n">
        <v>40</v>
      </c>
      <c r="K892" t="inlineStr">
        <is>
          <t>18 / 22</t>
        </is>
      </c>
      <c r="L892" t="inlineStr">
        <is>
          <t>8 / 7</t>
        </is>
      </c>
      <c r="M892" s="5" t="n">
        <v>0.45</v>
      </c>
      <c r="N892" s="5" t="n">
        <v>0.53</v>
      </c>
    </row>
    <row r="893">
      <c r="A893" t="n">
        <v>891</v>
      </c>
      <c r="B893" t="n">
        <v>2016</v>
      </c>
      <c r="C893" t="inlineStr">
        <is>
          <t>Jaclyn Zhang</t>
        </is>
      </c>
      <c r="D893">
        <f>HYPERLINK("https://ota.tournamentsoftware.com/player-profile/E6E9780C-ACDE-4CFD-B134-4984C266BCEB", "Link")</f>
        <v/>
      </c>
      <c r="E893" s="3" t="n">
        <v>3.24</v>
      </c>
      <c r="F893" s="4" t="n">
        <v>4</v>
      </c>
      <c r="G893" t="inlineStr">
        <is>
          <t>British Columbia</t>
        </is>
      </c>
      <c r="H893" t="inlineStr">
        <is>
          <t>UBC Tennis Centre</t>
        </is>
      </c>
      <c r="I893" t="n">
        <v>40</v>
      </c>
      <c r="J893" s="4" t="n">
        <v>73</v>
      </c>
      <c r="K893" t="inlineStr">
        <is>
          <t>42 / 31</t>
        </is>
      </c>
      <c r="L893" t="inlineStr">
        <is>
          <t>16 / 19</t>
        </is>
      </c>
      <c r="M893" s="5" t="n">
        <v>0.58</v>
      </c>
      <c r="N893" s="5" t="n">
        <v>0.46</v>
      </c>
    </row>
    <row r="894">
      <c r="A894" t="n">
        <v>891</v>
      </c>
      <c r="B894" t="n">
        <v>2016</v>
      </c>
      <c r="C894" t="inlineStr">
        <is>
          <t>Bella Huang</t>
        </is>
      </c>
      <c r="D894">
        <f>HYPERLINK("https://ota.tournamentsoftware.com/player-profile/468B6432-F842-48F8-9A02-3A80761D962B", "Link")</f>
        <v/>
      </c>
      <c r="E894" s="3" t="n">
        <v>3.24</v>
      </c>
      <c r="F894" s="4" t="n">
        <v>1</v>
      </c>
      <c r="G894" t="inlineStr">
        <is>
          <t>British Columbia</t>
        </is>
      </c>
      <c r="H894" t="inlineStr">
        <is>
          <t>Richmond Country Club</t>
        </is>
      </c>
      <c r="I894" t="n">
        <v>38.1</v>
      </c>
      <c r="J894" s="4" t="n">
        <v>33</v>
      </c>
      <c r="K894" t="inlineStr">
        <is>
          <t>10 / 23</t>
        </is>
      </c>
      <c r="L894" t="inlineStr">
        <is>
          <t>2 / 3</t>
        </is>
      </c>
      <c r="M894" s="5" t="n">
        <v>0.3</v>
      </c>
      <c r="N894" s="5" t="n">
        <v>0.4</v>
      </c>
    </row>
    <row r="895">
      <c r="A895" t="n">
        <v>894</v>
      </c>
      <c r="B895" t="n">
        <v>2014</v>
      </c>
      <c r="C895" t="inlineStr">
        <is>
          <t>Arya Thompson</t>
        </is>
      </c>
      <c r="D895">
        <f>HYPERLINK("https://ota.tournamentsoftware.com/player-profile/89293F3A-9DD8-44F1-B165-EB1978E7BEF9", "Link")</f>
        <v/>
      </c>
      <c r="E895" s="3" t="n">
        <v>3.098</v>
      </c>
      <c r="F895" s="4" t="n">
        <v>2</v>
      </c>
      <c r="G895" t="inlineStr">
        <is>
          <t>British Columbia</t>
        </is>
      </c>
      <c r="H895" t="inlineStr">
        <is>
          <t>UBC Tennis Centre</t>
        </is>
      </c>
      <c r="I895" t="n">
        <v>39.5</v>
      </c>
      <c r="J895" s="4" t="n">
        <v>10</v>
      </c>
      <c r="K895" t="inlineStr">
        <is>
          <t>1 / 9</t>
        </is>
      </c>
      <c r="L895" t="inlineStr">
        <is>
          <t>0 / 4</t>
        </is>
      </c>
      <c r="M895" s="5" t="n">
        <v>0.1</v>
      </c>
      <c r="N895" s="5" t="n">
        <v>0</v>
      </c>
    </row>
    <row r="896">
      <c r="A896" t="n">
        <v>894</v>
      </c>
      <c r="B896" t="n">
        <v>2014</v>
      </c>
      <c r="C896" t="inlineStr">
        <is>
          <t>Amaara Bhardwaj</t>
        </is>
      </c>
      <c r="D896">
        <f>HYPERLINK("https://ota.tournamentsoftware.com/player-profile/5E30A7A6-4E75-4094-9C50-E36BC2D57510", "Link")</f>
        <v/>
      </c>
      <c r="E896" s="3" t="n">
        <v>3.098</v>
      </c>
      <c r="F896" s="4" t="n">
        <v>1</v>
      </c>
      <c r="G896" t="inlineStr">
        <is>
          <t>British Columbia</t>
        </is>
      </c>
      <c r="H896" t="inlineStr">
        <is>
          <t>No Club</t>
        </is>
      </c>
      <c r="I896" t="n">
        <v>39.7</v>
      </c>
      <c r="J896" s="4" t="n">
        <v>15</v>
      </c>
      <c r="K896" t="inlineStr">
        <is>
          <t>7 / 8</t>
        </is>
      </c>
      <c r="L896" t="inlineStr">
        <is>
          <t>0 / 2</t>
        </is>
      </c>
      <c r="M896" s="5" t="n">
        <v>0.47</v>
      </c>
      <c r="N896" s="5" t="n">
        <v>0</v>
      </c>
    </row>
    <row r="897">
      <c r="A897" t="n">
        <v>896</v>
      </c>
      <c r="B897" t="n">
        <v>2014</v>
      </c>
      <c r="C897" t="inlineStr">
        <is>
          <t>Arianna Shiyong Zhang</t>
        </is>
      </c>
      <c r="D897">
        <f>HYPERLINK("https://ota.tournamentsoftware.com/player-profile/534D64C5-0604-4070-B56D-0E5A49B9F850", "Link")</f>
        <v/>
      </c>
      <c r="E897" s="3" t="n">
        <v>3.075</v>
      </c>
      <c r="F897" s="4" t="n">
        <v>1</v>
      </c>
      <c r="G897" t="inlineStr">
        <is>
          <t>British Columbia</t>
        </is>
      </c>
      <c r="H897" t="inlineStr">
        <is>
          <t>Hollyburn Country Club</t>
        </is>
      </c>
      <c r="I897" t="inlineStr">
        <is>
          <t>unavailable</t>
        </is>
      </c>
      <c r="J897" s="4" t="n">
        <v>34</v>
      </c>
      <c r="K897" t="inlineStr">
        <is>
          <t>13 / 21</t>
        </is>
      </c>
      <c r="L897" t="inlineStr">
        <is>
          <t>0 / 0</t>
        </is>
      </c>
      <c r="M897" s="5" t="n">
        <v>0.38</v>
      </c>
      <c r="N897" s="5" t="n">
        <v>0</v>
      </c>
    </row>
    <row r="898">
      <c r="A898" t="n">
        <v>896</v>
      </c>
      <c r="B898" t="n">
        <v>2013</v>
      </c>
      <c r="C898" t="inlineStr">
        <is>
          <t>Eve Bussière</t>
        </is>
      </c>
      <c r="D898">
        <f>HYPERLINK("https://ota.tournamentsoftware.com/player-profile/01D291A9-D1EC-4A34-907D-E221D9B25023", "Link")</f>
        <v/>
      </c>
      <c r="E898" s="3" t="n">
        <v>3.075</v>
      </c>
      <c r="F898" s="4" t="n">
        <v>1</v>
      </c>
      <c r="G898" t="inlineStr">
        <is>
          <t>Tennis Québec</t>
        </is>
      </c>
      <c r="H898" t="inlineStr">
        <is>
          <t>No Club</t>
        </is>
      </c>
      <c r="I898" t="inlineStr">
        <is>
          <t>unavailable</t>
        </is>
      </c>
      <c r="J898" s="4" t="n">
        <v>10</v>
      </c>
      <c r="K898" t="inlineStr">
        <is>
          <t>2 / 8</t>
        </is>
      </c>
      <c r="L898" t="inlineStr">
        <is>
          <t>0 / 0</t>
        </is>
      </c>
      <c r="M898" s="5" t="n">
        <v>0.2</v>
      </c>
      <c r="N898" s="5" t="n">
        <v>0</v>
      </c>
    </row>
    <row r="899">
      <c r="A899" t="n">
        <v>898</v>
      </c>
      <c r="B899" t="n">
        <v>2014</v>
      </c>
      <c r="C899" t="inlineStr">
        <is>
          <t>Evelyn Jewell Rautenbach</t>
        </is>
      </c>
      <c r="D899">
        <f>HYPERLINK("https://ota.tournamentsoftware.com/player-profile/867F5D6A-BB9A-4FEB-A95E-565609563C13", "Link")</f>
        <v/>
      </c>
      <c r="E899" s="3" t="n">
        <v>2.618</v>
      </c>
      <c r="F899" s="4" t="n">
        <v>2</v>
      </c>
      <c r="G899" t="inlineStr">
        <is>
          <t>Tennis Alberta</t>
        </is>
      </c>
      <c r="H899" t="inlineStr">
        <is>
          <t>The Glencoe Club</t>
        </is>
      </c>
      <c r="I899" t="n">
        <v>36.6</v>
      </c>
      <c r="J899" s="4" t="n">
        <v>34</v>
      </c>
      <c r="K899" t="inlineStr">
        <is>
          <t>14 / 20</t>
        </is>
      </c>
      <c r="L899" t="inlineStr">
        <is>
          <t>1 / 1</t>
        </is>
      </c>
      <c r="M899" s="5" t="n">
        <v>0.41</v>
      </c>
      <c r="N899" s="5" t="n">
        <v>0.5</v>
      </c>
    </row>
    <row r="900">
      <c r="A900" t="n">
        <v>899</v>
      </c>
      <c r="B900" t="n">
        <v>2014</v>
      </c>
      <c r="C900" t="inlineStr">
        <is>
          <t>Frances Fletcher</t>
        </is>
      </c>
      <c r="D900">
        <f>HYPERLINK("https://ota.tournamentsoftware.com/player-profile/67CBECB7-306E-4C07-AB72-7C9F967F74F1", "Link")</f>
        <v/>
      </c>
      <c r="E900" s="3" t="n">
        <v>2.431</v>
      </c>
      <c r="F900" s="4" t="n">
        <v>2</v>
      </c>
      <c r="G900" t="inlineStr">
        <is>
          <t>Tennis Québec</t>
        </is>
      </c>
      <c r="H900" t="inlineStr">
        <is>
          <t>Club Sportif Côte-de-Liesse</t>
        </is>
      </c>
      <c r="I900" t="n">
        <v>37.8</v>
      </c>
      <c r="J900" s="4" t="n">
        <v>3</v>
      </c>
      <c r="K900" t="inlineStr">
        <is>
          <t>1 / 2</t>
        </is>
      </c>
      <c r="L900" t="inlineStr">
        <is>
          <t>1 / 2</t>
        </is>
      </c>
      <c r="M900" s="5" t="n">
        <v>0.33</v>
      </c>
      <c r="N900" s="5" t="n">
        <v>0.33</v>
      </c>
    </row>
    <row r="901">
      <c r="A901" t="n">
        <v>900</v>
      </c>
      <c r="B901" t="n">
        <v>2015</v>
      </c>
      <c r="C901" t="inlineStr">
        <is>
          <t>Claire Sattar</t>
        </is>
      </c>
      <c r="D901">
        <f>HYPERLINK("https://ota.tournamentsoftware.com/player-profile/F9E336C7-A13D-430E-A056-C66EFFC2A0D5", "Link")</f>
        <v/>
      </c>
      <c r="E901" s="3" t="n">
        <v>2.403</v>
      </c>
      <c r="F901" s="4" t="n">
        <v>3</v>
      </c>
      <c r="G901" t="inlineStr">
        <is>
          <t>British Columbia</t>
        </is>
      </c>
      <c r="H901" t="inlineStr">
        <is>
          <t>Great West Fitness and Racquets Club</t>
        </is>
      </c>
      <c r="I901" t="inlineStr">
        <is>
          <t>unavailable</t>
        </is>
      </c>
      <c r="J901" s="4" t="inlineStr"/>
      <c r="K901" t="inlineStr">
        <is>
          <t>unavailable</t>
        </is>
      </c>
      <c r="L901" t="inlineStr">
        <is>
          <t>unavailable</t>
        </is>
      </c>
      <c r="M901" s="5" t="inlineStr"/>
      <c r="N901" s="5" t="inlineStr"/>
    </row>
  </sheetData>
  <autoFilter ref="A1:N9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19.9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Brielle Amey</t>
        </is>
      </c>
      <c r="D4">
        <f>HYPERLINK("https://ota.tournamentsoftware.com/player-profile/11C037E9-F5E8-42BC-A8A0-6F4982B8329D", "Link")</f>
        <v/>
      </c>
      <c r="E4" s="3" t="n">
        <v>10198.4</v>
      </c>
      <c r="F4" s="4" t="n">
        <v>13</v>
      </c>
      <c r="G4" t="inlineStr">
        <is>
          <t>Ontario Tennis Association</t>
        </is>
      </c>
      <c r="H4" t="inlineStr">
        <is>
          <t>City of Kitchener</t>
        </is>
      </c>
      <c r="I4" t="n">
        <v>18.1</v>
      </c>
      <c r="J4" s="4" t="n">
        <v>31</v>
      </c>
      <c r="K4" t="inlineStr">
        <is>
          <t>23 / 8</t>
        </is>
      </c>
      <c r="L4" t="inlineStr">
        <is>
          <t>0 / 0</t>
        </is>
      </c>
      <c r="M4" s="5" t="n">
        <v>0.74</v>
      </c>
      <c r="N4" s="5" t="n">
        <v>0</v>
      </c>
    </row>
    <row r="5">
      <c r="A5" t="n">
        <v>4</v>
      </c>
      <c r="B5" t="n">
        <v>2012</v>
      </c>
      <c r="C5" t="inlineStr">
        <is>
          <t>Emma Cuirassier</t>
        </is>
      </c>
      <c r="D5">
        <f>HYPERLINK("https://ota.tournamentsoftware.com/player-profile/88442A27-D4CA-4614-86BE-89F6BAFA4C36", "Link")</f>
        <v/>
      </c>
      <c r="E5" s="3" t="n">
        <v>9585.811</v>
      </c>
      <c r="F5" s="4" t="n">
        <v>11</v>
      </c>
      <c r="G5" t="inlineStr">
        <is>
          <t>Tennis Québec</t>
        </is>
      </c>
      <c r="H5" t="inlineStr">
        <is>
          <t>Tennis Montréal Excellence</t>
        </is>
      </c>
      <c r="I5" t="n">
        <v>19.2</v>
      </c>
      <c r="J5" s="4" t="n">
        <v>304</v>
      </c>
      <c r="K5" t="inlineStr">
        <is>
          <t>198 / 106</t>
        </is>
      </c>
      <c r="L5" t="inlineStr">
        <is>
          <t>10 / 4</t>
        </is>
      </c>
      <c r="M5" s="5" t="n">
        <v>0.65</v>
      </c>
      <c r="N5" s="5" t="n">
        <v>0.71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21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17.8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Emma Ciobanu</t>
        </is>
      </c>
      <c r="D7">
        <f>HYPERLINK("https://ota.tournamentsoftware.com/player-profile/3FF64A25-D930-4C5E-8E36-3F04D7602157", "Link")</f>
        <v/>
      </c>
      <c r="E7" s="3" t="n">
        <v>8554.24</v>
      </c>
      <c r="F7" s="4" t="n">
        <v>18</v>
      </c>
      <c r="G7" t="inlineStr">
        <is>
          <t>Tennis Québec</t>
        </is>
      </c>
      <c r="H7" t="inlineStr">
        <is>
          <t>No Club</t>
        </is>
      </c>
      <c r="I7" t="n">
        <v>21.6</v>
      </c>
      <c r="J7" s="4" t="n">
        <v>445</v>
      </c>
      <c r="K7" t="inlineStr">
        <is>
          <t>254 / 191</t>
        </is>
      </c>
      <c r="L7" t="inlineStr">
        <is>
          <t>12 / 9</t>
        </is>
      </c>
      <c r="M7" s="5" t="n">
        <v>0.57</v>
      </c>
      <c r="N7" s="5" t="n">
        <v>0.57</v>
      </c>
    </row>
    <row r="8">
      <c r="A8" t="n">
        <v>7</v>
      </c>
      <c r="B8" t="n">
        <v>2012</v>
      </c>
      <c r="C8" t="inlineStr">
        <is>
          <t>Victoria Koniouchine</t>
        </is>
      </c>
      <c r="D8">
        <f>HYPERLINK("https://ota.tournamentsoftware.com/player-profile/4F2575CB-84B4-4072-ABEF-7652A7E74DBA", "Link")</f>
        <v/>
      </c>
      <c r="E8" s="3" t="n">
        <v>8177</v>
      </c>
      <c r="F8" s="4" t="n">
        <v>14</v>
      </c>
      <c r="G8" t="inlineStr">
        <is>
          <t>Tennis Québec</t>
        </is>
      </c>
      <c r="H8" t="inlineStr">
        <is>
          <t>Tennis Montréal Excellence</t>
        </is>
      </c>
      <c r="I8" t="n">
        <v>20.8</v>
      </c>
      <c r="J8" s="4" t="n">
        <v>380</v>
      </c>
      <c r="K8" t="inlineStr">
        <is>
          <t>244 / 136</t>
        </is>
      </c>
      <c r="L8" t="inlineStr">
        <is>
          <t>22 / 6</t>
        </is>
      </c>
      <c r="M8" s="5" t="n">
        <v>0.64</v>
      </c>
      <c r="N8" s="5" t="n">
        <v>0.79</v>
      </c>
    </row>
    <row r="9">
      <c r="A9" t="n">
        <v>8</v>
      </c>
      <c r="B9" t="n">
        <v>2012</v>
      </c>
      <c r="C9" t="inlineStr">
        <is>
          <t>Ruijing Chen</t>
        </is>
      </c>
      <c r="D9">
        <f>HYPERLINK("https://ota.tournamentsoftware.com/player-profile/CF3F9020-5B8A-4448-8412-B206DFD70D34", "Link")</f>
        <v/>
      </c>
      <c r="E9" s="3" t="n">
        <v>8026.067</v>
      </c>
      <c r="F9" s="4" t="n">
        <v>20</v>
      </c>
      <c r="G9" t="inlineStr">
        <is>
          <t>British Columbia</t>
        </is>
      </c>
      <c r="H9" t="inlineStr">
        <is>
          <t>North Vancouver Tennis Centre</t>
        </is>
      </c>
      <c r="I9" t="n">
        <v>20.5</v>
      </c>
      <c r="J9" s="4" t="n">
        <v>272</v>
      </c>
      <c r="K9" t="inlineStr">
        <is>
          <t>158 / 114</t>
        </is>
      </c>
      <c r="L9" t="inlineStr">
        <is>
          <t>40 / 19</t>
        </is>
      </c>
      <c r="M9" s="5" t="n">
        <v>0.58</v>
      </c>
      <c r="N9" s="5" t="n">
        <v>0.68</v>
      </c>
    </row>
    <row r="10">
      <c r="A10" t="n">
        <v>9</v>
      </c>
      <c r="B10" t="n">
        <v>2012</v>
      </c>
      <c r="C10" t="inlineStr">
        <is>
          <t>Karina Swaminath</t>
        </is>
      </c>
      <c r="D10">
        <f>HYPERLINK("https://ota.tournamentsoftware.com/player-profile/4DB9D061-D74F-4482-87A3-9C7480D14EFD", "Link")</f>
        <v/>
      </c>
      <c r="E10" s="3" t="n">
        <v>7284.4</v>
      </c>
      <c r="F10" s="4" t="n">
        <v>20</v>
      </c>
      <c r="G10" t="inlineStr">
        <is>
          <t>Ontario Tennis Association</t>
        </is>
      </c>
      <c r="H10" t="inlineStr">
        <is>
          <t>Premier Racquet Clubs – Mississauga</t>
        </is>
      </c>
      <c r="I10" t="n">
        <v>20.7</v>
      </c>
      <c r="J10" s="4" t="n">
        <v>318</v>
      </c>
      <c r="K10" t="inlineStr">
        <is>
          <t>206 / 112</t>
        </is>
      </c>
      <c r="L10" t="inlineStr">
        <is>
          <t>43 / 19</t>
        </is>
      </c>
      <c r="M10" s="5" t="n">
        <v>0.65</v>
      </c>
      <c r="N10" s="5" t="n">
        <v>0.6899999999999999</v>
      </c>
    </row>
    <row r="11">
      <c r="A11" t="n">
        <v>10</v>
      </c>
      <c r="B11" t="n">
        <v>2013</v>
      </c>
      <c r="C11" t="inlineStr">
        <is>
          <t>Callie Raharinosy</t>
        </is>
      </c>
      <c r="D11">
        <f>HYPERLINK("https://ota.tournamentsoftware.com/player-profile/C3BB19C9-39F8-4DF4-A576-AAB3D92B85C3", "Link")</f>
        <v/>
      </c>
      <c r="E11" s="3" t="n">
        <v>7178.294</v>
      </c>
      <c r="F11" s="4" t="n">
        <v>13</v>
      </c>
      <c r="G11" t="inlineStr">
        <is>
          <t>Ontario Tennis Association</t>
        </is>
      </c>
      <c r="H11" t="inlineStr">
        <is>
          <t>Richmondhill Golf &amp; Country Club</t>
        </is>
      </c>
      <c r="I11" t="n">
        <v>20.7</v>
      </c>
      <c r="J11" s="4" t="n">
        <v>243</v>
      </c>
      <c r="K11" t="inlineStr">
        <is>
          <t>157 / 86</t>
        </is>
      </c>
      <c r="L11" t="inlineStr">
        <is>
          <t>26 / 11</t>
        </is>
      </c>
      <c r="M11" s="5" t="n">
        <v>0.65</v>
      </c>
      <c r="N11" s="5" t="n">
        <v>0.7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6870.005</v>
      </c>
      <c r="F12" s="4" t="n">
        <v>21</v>
      </c>
      <c r="G12" t="inlineStr">
        <is>
          <t>British Columbia</t>
        </is>
      </c>
      <c r="H12" t="inlineStr">
        <is>
          <t>Kamloops Tennis Centre</t>
        </is>
      </c>
      <c r="I12" t="n">
        <v>20</v>
      </c>
      <c r="J12" s="4" t="n">
        <v>240</v>
      </c>
      <c r="K12" t="inlineStr">
        <is>
          <t>161 / 79</t>
        </is>
      </c>
      <c r="L12" t="inlineStr">
        <is>
          <t>40 / 17</t>
        </is>
      </c>
      <c r="M12" s="5" t="n">
        <v>0.67</v>
      </c>
      <c r="N12" s="5" t="n">
        <v>0.7</v>
      </c>
    </row>
    <row r="13">
      <c r="A13" t="n">
        <v>12</v>
      </c>
      <c r="B13" t="n">
        <v>2012</v>
      </c>
      <c r="C13" t="inlineStr">
        <is>
          <t>Elise Chen</t>
        </is>
      </c>
      <c r="D13">
        <f>HYPERLINK("https://ota.tournamentsoftware.com/player-profile/8E8A2CD5-37E0-4690-A780-846D1895BB0A", "Link")</f>
        <v/>
      </c>
      <c r="E13" s="3" t="n">
        <v>6210.149</v>
      </c>
      <c r="F13" s="4" t="n">
        <v>18</v>
      </c>
      <c r="G13" t="inlineStr">
        <is>
          <t>Tennis Québec</t>
        </is>
      </c>
      <c r="H13" t="inlineStr">
        <is>
          <t>AA Autre club</t>
        </is>
      </c>
      <c r="I13" t="n">
        <v>20.5</v>
      </c>
      <c r="J13" s="4" t="n">
        <v>341</v>
      </c>
      <c r="K13" t="inlineStr">
        <is>
          <t>225 / 116</t>
        </is>
      </c>
      <c r="L13" t="inlineStr">
        <is>
          <t>44 / 14</t>
        </is>
      </c>
      <c r="M13" s="5" t="n">
        <v>0.66</v>
      </c>
      <c r="N13" s="5" t="n">
        <v>0.76</v>
      </c>
    </row>
    <row r="14">
      <c r="A14" t="n">
        <v>13</v>
      </c>
      <c r="B14" t="n">
        <v>2012</v>
      </c>
      <c r="C14" t="inlineStr">
        <is>
          <t>kendra zhang</t>
        </is>
      </c>
      <c r="D14">
        <f>HYPERLINK("https://ota.tournamentsoftware.com/player-profile/23508257-17E1-4A1F-A208-90A41A8C5BC8", "Link")</f>
        <v/>
      </c>
      <c r="E14" s="3" t="n">
        <v>6085.707</v>
      </c>
      <c r="F14" s="4" t="n">
        <v>16</v>
      </c>
      <c r="G14" t="inlineStr">
        <is>
          <t>Tennis Alberta</t>
        </is>
      </c>
      <c r="H14" t="inlineStr">
        <is>
          <t>Osten &amp; Victor Alberta Tennis Centre</t>
        </is>
      </c>
      <c r="I14" t="n">
        <v>20.2</v>
      </c>
      <c r="J14" s="4" t="n">
        <v>315</v>
      </c>
      <c r="K14" t="inlineStr">
        <is>
          <t>248 / 67</t>
        </is>
      </c>
      <c r="L14" t="inlineStr">
        <is>
          <t>39 / 5</t>
        </is>
      </c>
      <c r="M14" s="5" t="n">
        <v>0.79</v>
      </c>
      <c r="N14" s="5" t="n">
        <v>0.89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15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20.7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5765.184</v>
      </c>
      <c r="F16" s="4" t="n">
        <v>16</v>
      </c>
      <c r="G16" t="inlineStr">
        <is>
          <t>Ontario Tennis Association</t>
        </is>
      </c>
      <c r="H16" t="inlineStr">
        <is>
          <t>Guildwood Tennis Club</t>
        </is>
      </c>
      <c r="I16" t="n">
        <v>20.2</v>
      </c>
      <c r="J16" s="4" t="n">
        <v>257</v>
      </c>
      <c r="K16" t="inlineStr">
        <is>
          <t>160 / 97</t>
        </is>
      </c>
      <c r="L16" t="inlineStr">
        <is>
          <t>32 / 15</t>
        </is>
      </c>
      <c r="M16" s="5" t="n">
        <v>0.62</v>
      </c>
      <c r="N16" s="5" t="n">
        <v>0.68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23</v>
      </c>
      <c r="G17" t="inlineStr">
        <is>
          <t>British Columbia</t>
        </is>
      </c>
      <c r="H17" t="inlineStr">
        <is>
          <t>North Vancouver Tennis Centre</t>
        </is>
      </c>
      <c r="I17" t="n">
        <v>22.2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23</v>
      </c>
      <c r="G18" t="inlineStr">
        <is>
          <t>Ontario Tennis Association</t>
        </is>
      </c>
      <c r="H18" t="inlineStr">
        <is>
          <t>North Toronto Tennis Club</t>
        </is>
      </c>
      <c r="I18" t="n">
        <v>21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20</v>
      </c>
      <c r="G20" t="inlineStr">
        <is>
          <t>Ontario Tennis Association</t>
        </is>
      </c>
      <c r="H20" t="inlineStr">
        <is>
          <t>10XTO</t>
        </is>
      </c>
      <c r="I20" t="n">
        <v>21.6</v>
      </c>
      <c r="J20" s="4" t="n">
        <v>342</v>
      </c>
      <c r="K20" t="inlineStr">
        <is>
          <t>236 / 106</t>
        </is>
      </c>
      <c r="L20" t="inlineStr">
        <is>
          <t>44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13</v>
      </c>
      <c r="G21" t="inlineStr">
        <is>
          <t>British Columbia</t>
        </is>
      </c>
      <c r="H21" t="inlineStr">
        <is>
          <t>Jericho Tennis Club</t>
        </is>
      </c>
      <c r="I21" t="n">
        <v>21.4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13</v>
      </c>
      <c r="G22" t="inlineStr">
        <is>
          <t>British Columbia</t>
        </is>
      </c>
      <c r="H22" t="inlineStr">
        <is>
          <t>No Club</t>
        </is>
      </c>
      <c r="I22" t="n">
        <v>21.4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21</v>
      </c>
      <c r="G23" t="inlineStr">
        <is>
          <t>Tennis Québec</t>
        </is>
      </c>
      <c r="H23" t="inlineStr">
        <is>
          <t>Tennis 13</t>
        </is>
      </c>
      <c r="I23" t="n">
        <v>22.5</v>
      </c>
      <c r="J23" s="4" t="n">
        <v>312</v>
      </c>
      <c r="K23" t="inlineStr">
        <is>
          <t>196 / 116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Tennis BC Hub @ Richmond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12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21.3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16</v>
      </c>
      <c r="G26" t="inlineStr">
        <is>
          <t>Tennis Québec</t>
        </is>
      </c>
      <c r="H26" t="inlineStr">
        <is>
          <t>Tennis Ile- des- Soeurs</t>
        </is>
      </c>
      <c r="I26" t="n">
        <v>22.6</v>
      </c>
      <c r="J26" s="4" t="n">
        <v>266</v>
      </c>
      <c r="K26" t="inlineStr">
        <is>
          <t>179 / 87</t>
        </is>
      </c>
      <c r="L26" t="inlineStr">
        <is>
          <t>42 / 16</t>
        </is>
      </c>
      <c r="M26" s="5" t="n">
        <v>0.67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12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Hailey MacDonald</t>
        </is>
      </c>
      <c r="D28">
        <f>HYPERLINK("https://ota.tournamentsoftware.com/player-profile/7B752A16-6837-4A5A-AFD8-83F950F37834", "Link")</f>
        <v/>
      </c>
      <c r="E28" s="3" t="n">
        <v>3466.484</v>
      </c>
      <c r="F28" s="4" t="n">
        <v>15</v>
      </c>
      <c r="G28" t="inlineStr">
        <is>
          <t>Ontario Tennis Association</t>
        </is>
      </c>
      <c r="H28" t="inlineStr">
        <is>
          <t>Advantage Tennis International at Veneto</t>
        </is>
      </c>
      <c r="I28" t="n">
        <v>23.9</v>
      </c>
      <c r="J28" s="4" t="n">
        <v>331</v>
      </c>
      <c r="K28" t="inlineStr">
        <is>
          <t>227 / 104</t>
        </is>
      </c>
      <c r="L28" t="inlineStr">
        <is>
          <t>23 / 9</t>
        </is>
      </c>
      <c r="M28" s="5" t="n">
        <v>0.6899999999999999</v>
      </c>
      <c r="N28" s="5" t="n">
        <v>0.72</v>
      </c>
    </row>
    <row r="29">
      <c r="A29" t="n">
        <v>28</v>
      </c>
      <c r="B29" t="n">
        <v>2012</v>
      </c>
      <c r="C29" t="inlineStr">
        <is>
          <t>Victoria Cui</t>
        </is>
      </c>
      <c r="D29">
        <f>HYPERLINK("https://ota.tournamentsoftware.com/player-profile/0645977B-E01D-437B-A80F-04D3BC7B5871", "Link")</f>
        <v/>
      </c>
      <c r="E29" s="3" t="n">
        <v>3377.16</v>
      </c>
      <c r="F29" s="4" t="n">
        <v>21</v>
      </c>
      <c r="G29" t="inlineStr">
        <is>
          <t>Ontario Tennis Association</t>
        </is>
      </c>
      <c r="H29" t="inlineStr">
        <is>
          <t>Mayfair East Racquet Club</t>
        </is>
      </c>
      <c r="I29" t="n">
        <v>23.9</v>
      </c>
      <c r="J29" s="4" t="n">
        <v>251</v>
      </c>
      <c r="K29" t="inlineStr">
        <is>
          <t>160 / 91</t>
        </is>
      </c>
      <c r="L29" t="inlineStr">
        <is>
          <t>32 / 18</t>
        </is>
      </c>
      <c r="M29" s="5" t="n">
        <v>0.64</v>
      </c>
      <c r="N29" s="5" t="n">
        <v>0.64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20</v>
      </c>
      <c r="G30" t="inlineStr">
        <is>
          <t>Tennis Alberta</t>
        </is>
      </c>
      <c r="H30" t="inlineStr">
        <is>
          <t>Aforza</t>
        </is>
      </c>
      <c r="I30" t="n">
        <v>22.9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22.6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27</v>
      </c>
      <c r="G32" t="inlineStr">
        <is>
          <t>Tennis Québec</t>
        </is>
      </c>
      <c r="H32" t="inlineStr">
        <is>
          <t>SANI Sport</t>
        </is>
      </c>
      <c r="I32" t="n">
        <v>23.7</v>
      </c>
      <c r="J32" s="4" t="n">
        <v>384</v>
      </c>
      <c r="K32" t="inlineStr">
        <is>
          <t>238 / 146</t>
        </is>
      </c>
      <c r="L32" t="inlineStr">
        <is>
          <t>47 / 27</t>
        </is>
      </c>
      <c r="M32" s="5" t="n">
        <v>0.62</v>
      </c>
      <c r="N32" s="5" t="n">
        <v>0.64</v>
      </c>
    </row>
    <row r="33">
      <c r="A33" t="n">
        <v>32</v>
      </c>
      <c r="B33" t="n">
        <v>2013</v>
      </c>
      <c r="C33" t="inlineStr">
        <is>
          <t>Valesca Calabrese</t>
        </is>
      </c>
      <c r="D33">
        <f>HYPERLINK("https://ota.tournamentsoftware.com/player-profile/B0833DD4-B006-4DA5-A204-F5A1B4F3FABB", "Link")</f>
        <v/>
      </c>
      <c r="E33" s="3" t="n">
        <v>3053.02</v>
      </c>
      <c r="F33" s="4" t="n">
        <v>24</v>
      </c>
      <c r="G33" t="inlineStr">
        <is>
          <t>Ontario Tennis Association</t>
        </is>
      </c>
      <c r="H33" t="inlineStr">
        <is>
          <t>Kingston Racquet Centre</t>
        </is>
      </c>
      <c r="I33" t="n">
        <v>23.8</v>
      </c>
      <c r="J33" s="4" t="n">
        <v>269</v>
      </c>
      <c r="K33" t="inlineStr">
        <is>
          <t>180 / 89</t>
        </is>
      </c>
      <c r="L33" t="inlineStr">
        <is>
          <t>31 / 13</t>
        </is>
      </c>
      <c r="M33" s="5" t="n">
        <v>0.67</v>
      </c>
      <c r="N33" s="5" t="n">
        <v>0.7</v>
      </c>
    </row>
    <row r="34">
      <c r="A34" t="n">
        <v>33</v>
      </c>
      <c r="B34" t="n">
        <v>2012</v>
      </c>
      <c r="C34" t="inlineStr">
        <is>
          <t>Sophie Rachel Murray</t>
        </is>
      </c>
      <c r="D34">
        <f>HYPERLINK("https://ota.tournamentsoftware.com/player-profile/ADAA4094-7084-435C-80A6-9DA79EB19D3F", "Link")</f>
        <v/>
      </c>
      <c r="E34" s="3" t="n">
        <v>2878.56</v>
      </c>
      <c r="F34" s="4" t="n">
        <v>17</v>
      </c>
      <c r="G34" t="inlineStr">
        <is>
          <t>Tennis Alberta</t>
        </is>
      </c>
      <c r="H34" t="inlineStr">
        <is>
          <t>Osten &amp; Victor Alberta Tennis Centre</t>
        </is>
      </c>
      <c r="I34" t="n">
        <v>21.5</v>
      </c>
      <c r="J34" s="4" t="n">
        <v>322</v>
      </c>
      <c r="K34" t="inlineStr">
        <is>
          <t>194 / 128</t>
        </is>
      </c>
      <c r="L34" t="inlineStr">
        <is>
          <t>20 / 6</t>
        </is>
      </c>
      <c r="M34" s="5" t="n">
        <v>0.6</v>
      </c>
      <c r="N34" s="5" t="n">
        <v>0.77</v>
      </c>
    </row>
    <row r="35">
      <c r="A35" t="n">
        <v>34</v>
      </c>
      <c r="B35" t="n">
        <v>2013</v>
      </c>
      <c r="C35" t="inlineStr">
        <is>
          <t>Mia Zhou</t>
        </is>
      </c>
      <c r="D35">
        <f>HYPERLINK("https://ota.tournamentsoftware.com/player-profile/88191DA6-771E-497F-B932-CBADA674D329", "Link")</f>
        <v/>
      </c>
      <c r="E35" s="3" t="n">
        <v>2807.223</v>
      </c>
      <c r="F35" s="4" t="n">
        <v>23</v>
      </c>
      <c r="G35" t="inlineStr">
        <is>
          <t>Ontario Tennis Association</t>
        </is>
      </c>
      <c r="H35" t="inlineStr">
        <is>
          <t>Richmondhill Golf &amp; Country Club</t>
        </is>
      </c>
      <c r="I35" t="n">
        <v>23.6</v>
      </c>
      <c r="J35" s="4" t="n">
        <v>259</v>
      </c>
      <c r="K35" t="inlineStr">
        <is>
          <t>144 / 115</t>
        </is>
      </c>
      <c r="L35" t="inlineStr">
        <is>
          <t>43 / 27</t>
        </is>
      </c>
      <c r="M35" s="5" t="n">
        <v>0.5600000000000001</v>
      </c>
      <c r="N35" s="5" t="n">
        <v>0.61</v>
      </c>
    </row>
    <row r="36">
      <c r="A36" t="n">
        <v>35</v>
      </c>
      <c r="B36" t="n">
        <v>2012</v>
      </c>
      <c r="C36" t="inlineStr">
        <is>
          <t>Misaki Rukovanjski</t>
        </is>
      </c>
      <c r="D36">
        <f>HYPERLINK("https://ota.tournamentsoftware.com/player-profile/CECDBF80-C74F-40ED-B426-04CA75BF14C1", "Link")</f>
        <v/>
      </c>
      <c r="E36" s="3" t="n">
        <v>2485.998</v>
      </c>
      <c r="F36" s="4" t="n">
        <v>22</v>
      </c>
      <c r="G36" t="inlineStr">
        <is>
          <t>Ontario Tennis Association</t>
        </is>
      </c>
      <c r="H36" t="inlineStr">
        <is>
          <t>No Club</t>
        </is>
      </c>
      <c r="I36" t="n">
        <v>24.3</v>
      </c>
      <c r="J36" s="4" t="n">
        <v>273</v>
      </c>
      <c r="K36" t="inlineStr">
        <is>
          <t>173 / 100</t>
        </is>
      </c>
      <c r="L36" t="inlineStr">
        <is>
          <t>29 / 20</t>
        </is>
      </c>
      <c r="M36" s="5" t="n">
        <v>0.63</v>
      </c>
      <c r="N36" s="5" t="n">
        <v>0.59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2464.817</v>
      </c>
      <c r="F37" s="4" t="n">
        <v>16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24.2</v>
      </c>
      <c r="J37" s="4" t="n">
        <v>178</v>
      </c>
      <c r="K37" t="inlineStr">
        <is>
          <t>95 / 83</t>
        </is>
      </c>
      <c r="L37" t="inlineStr">
        <is>
          <t>25 / 17</t>
        </is>
      </c>
      <c r="M37" s="5" t="n">
        <v>0.53</v>
      </c>
      <c r="N37" s="5" t="n">
        <v>0.6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24.5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10</v>
      </c>
      <c r="G39" t="inlineStr">
        <is>
          <t>Ontario Tennis Association</t>
        </is>
      </c>
      <c r="H39" t="inlineStr">
        <is>
          <t>Carleton Tennis Centre</t>
        </is>
      </c>
      <c r="I39" t="n">
        <v>26.9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25.3</v>
      </c>
      <c r="J40" s="4" t="n">
        <v>221</v>
      </c>
      <c r="K40" t="inlineStr">
        <is>
          <t>120 / 101</t>
        </is>
      </c>
      <c r="L40" t="inlineStr">
        <is>
          <t>23 / 16</t>
        </is>
      </c>
      <c r="M40" s="5" t="n">
        <v>0.54</v>
      </c>
      <c r="N40" s="5" t="n">
        <v>0.59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2308.904</v>
      </c>
      <c r="F41" s="4" t="n">
        <v>21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22.1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2013</v>
      </c>
      <c r="C42" t="inlineStr">
        <is>
          <t>YASMINE SOUISSI</t>
        </is>
      </c>
      <c r="D42">
        <f>HYPERLINK("https://ota.tournamentsoftware.com/player-profile/1B8E66F9-8E72-48A5-A280-1ADD14488B21", "Link")</f>
        <v/>
      </c>
      <c r="E42" s="3" t="n">
        <v>2224.521</v>
      </c>
      <c r="F42" s="4" t="n">
        <v>10</v>
      </c>
      <c r="G42" t="inlineStr">
        <is>
          <t>Tennis Québec</t>
        </is>
      </c>
      <c r="H42" t="inlineStr">
        <is>
          <t>Tennis 13</t>
        </is>
      </c>
      <c r="I42" t="n">
        <v>22.3</v>
      </c>
      <c r="J42" s="4" t="n">
        <v>248</v>
      </c>
      <c r="K42" t="inlineStr">
        <is>
          <t>167 / 81</t>
        </is>
      </c>
      <c r="L42" t="inlineStr">
        <is>
          <t>24 / 13</t>
        </is>
      </c>
      <c r="M42" s="5" t="n">
        <v>0.67</v>
      </c>
      <c r="N42" s="5" t="n">
        <v>0.65</v>
      </c>
    </row>
    <row r="43">
      <c r="A43" t="n">
        <v>42</v>
      </c>
      <c r="B43" t="n">
        <v>2014</v>
      </c>
      <c r="C43" t="inlineStr">
        <is>
          <t>Adelina Tanashikova</t>
        </is>
      </c>
      <c r="D43">
        <f>HYPERLINK("https://ota.tournamentsoftware.com/player-profile/AD7F41D2-B208-4518-963D-851BBA4276F4", "Link")</f>
        <v/>
      </c>
      <c r="E43" s="3" t="n">
        <v>2209.809</v>
      </c>
      <c r="F43" s="4" t="n">
        <v>14</v>
      </c>
      <c r="G43" t="inlineStr">
        <is>
          <t>Ontario Tennis Association</t>
        </is>
      </c>
      <c r="H43" t="inlineStr">
        <is>
          <t>No Club</t>
        </is>
      </c>
      <c r="I43" t="n">
        <v>24.4</v>
      </c>
      <c r="J43" s="4" t="n">
        <v>269</v>
      </c>
      <c r="K43" t="inlineStr">
        <is>
          <t>145 / 124</t>
        </is>
      </c>
      <c r="L43" t="inlineStr">
        <is>
          <t>28 / 7</t>
        </is>
      </c>
      <c r="M43" s="5" t="n">
        <v>0.54</v>
      </c>
      <c r="N43" s="5" t="n">
        <v>0.8</v>
      </c>
    </row>
    <row r="44">
      <c r="A44" t="n">
        <v>43</v>
      </c>
      <c r="B44" t="n">
        <v>2014</v>
      </c>
      <c r="C44" t="inlineStr">
        <is>
          <t>SOPHIA JIAJIA DENG</t>
        </is>
      </c>
      <c r="D44">
        <f>HYPERLINK("https://ota.tournamentsoftware.com/player-profile/FE6DD2AD-9E29-4128-BE09-D1E88B84D2C8", "Link")</f>
        <v/>
      </c>
      <c r="E44" s="3" t="n">
        <v>2125.702</v>
      </c>
      <c r="F44" s="4" t="n">
        <v>16</v>
      </c>
      <c r="G44" t="inlineStr">
        <is>
          <t>Ontario Tennis Association</t>
        </is>
      </c>
      <c r="H44" t="inlineStr">
        <is>
          <t>Peak Performance Tennis Academy</t>
        </is>
      </c>
      <c r="I44" t="n">
        <v>25.1</v>
      </c>
      <c r="J44" s="4" t="n">
        <v>184</v>
      </c>
      <c r="K44" t="inlineStr">
        <is>
          <t>136 / 48</t>
        </is>
      </c>
      <c r="L44" t="inlineStr">
        <is>
          <t>36 / 14</t>
        </is>
      </c>
      <c r="M44" s="5" t="n">
        <v>0.74</v>
      </c>
      <c r="N44" s="5" t="n">
        <v>0.72</v>
      </c>
    </row>
    <row r="45">
      <c r="A45" t="n">
        <v>44</v>
      </c>
      <c r="B45" t="n">
        <v>2014</v>
      </c>
      <c r="C45" t="inlineStr">
        <is>
          <t>Fiona Huang</t>
        </is>
      </c>
      <c r="D45">
        <f>HYPERLINK("https://ota.tournamentsoftware.com/player-profile/701ADA13-714A-48E5-B54F-4DB9E25DBDB3", "Link")</f>
        <v/>
      </c>
      <c r="E45" s="3" t="n">
        <v>2111.25</v>
      </c>
      <c r="F45" s="4" t="n">
        <v>14</v>
      </c>
      <c r="G45" t="inlineStr">
        <is>
          <t>British Columbia</t>
        </is>
      </c>
      <c r="H45" t="inlineStr">
        <is>
          <t>No Club</t>
        </is>
      </c>
      <c r="I45" t="n">
        <v>25.2</v>
      </c>
      <c r="J45" s="4" t="n">
        <v>223</v>
      </c>
      <c r="K45" t="inlineStr">
        <is>
          <t>142 / 81</t>
        </is>
      </c>
      <c r="L45" t="inlineStr">
        <is>
          <t>34 / 14</t>
        </is>
      </c>
      <c r="M45" s="5" t="n">
        <v>0.64</v>
      </c>
      <c r="N45" s="5" t="n">
        <v>0.71</v>
      </c>
    </row>
    <row r="46">
      <c r="A46" t="n">
        <v>45</v>
      </c>
      <c r="B46" t="n">
        <v>2012</v>
      </c>
      <c r="C46" t="inlineStr">
        <is>
          <t>Marilyn deBruin-Sawutz</t>
        </is>
      </c>
      <c r="D46">
        <f>HYPERLINK("https://ota.tournamentsoftware.com/player-profile/3DC26724-8571-4345-A75C-D904297288CB", "Link")</f>
        <v/>
      </c>
      <c r="E46" s="3" t="n">
        <v>2080.817</v>
      </c>
      <c r="F46" s="4" t="n">
        <v>25</v>
      </c>
      <c r="G46" t="inlineStr">
        <is>
          <t>Ontario Tennis Association</t>
        </is>
      </c>
      <c r="H46" t="inlineStr">
        <is>
          <t>Advantage Tennis International at Veneto</t>
        </is>
      </c>
      <c r="I46" t="n">
        <v>23.8</v>
      </c>
      <c r="J46" s="4" t="n">
        <v>290</v>
      </c>
      <c r="K46" t="inlineStr">
        <is>
          <t>151 / 139</t>
        </is>
      </c>
      <c r="L46" t="inlineStr">
        <is>
          <t>30 / 20</t>
        </is>
      </c>
      <c r="M46" s="5" t="n">
        <v>0.52</v>
      </c>
      <c r="N46" s="5" t="n">
        <v>0.6</v>
      </c>
    </row>
    <row r="47">
      <c r="A47" t="n">
        <v>46</v>
      </c>
      <c r="B47" t="n">
        <v>2014</v>
      </c>
      <c r="C47" t="inlineStr">
        <is>
          <t>Roseline Nana</t>
        </is>
      </c>
      <c r="D47">
        <f>HYPERLINK("https://ota.tournamentsoftware.com/player-profile/B0A425C4-2F23-4C29-8447-4FFBF9D90967", "Link")</f>
        <v/>
      </c>
      <c r="E47" s="3" t="n">
        <v>1993.2</v>
      </c>
      <c r="F47" s="4" t="n">
        <v>27</v>
      </c>
      <c r="G47" t="inlineStr">
        <is>
          <t>Tennis Québec</t>
        </is>
      </c>
      <c r="H47" t="inlineStr">
        <is>
          <t>Tennis Montréal Excellence</t>
        </is>
      </c>
      <c r="I47" t="n">
        <v>25</v>
      </c>
      <c r="J47" s="4" t="n">
        <v>193</v>
      </c>
      <c r="K47" t="inlineStr">
        <is>
          <t>137 / 56</t>
        </is>
      </c>
      <c r="L47" t="inlineStr">
        <is>
          <t>50 / 17</t>
        </is>
      </c>
      <c r="M47" s="5" t="n">
        <v>0.71</v>
      </c>
      <c r="N47" s="5" t="n">
        <v>0.75</v>
      </c>
    </row>
    <row r="48">
      <c r="A48" t="n">
        <v>47</v>
      </c>
      <c r="B48" t="n">
        <v>2014</v>
      </c>
      <c r="C48" t="inlineStr">
        <is>
          <t>Wilma Wai Bo Yue</t>
        </is>
      </c>
      <c r="D48">
        <f>HYPERLINK("https://ota.tournamentsoftware.com/player-profile/6CAEB488-574A-45E0-B597-01F96FA5C987", "Link")</f>
        <v/>
      </c>
      <c r="E48" s="3" t="n">
        <v>1945.112</v>
      </c>
      <c r="F48" s="4" t="n">
        <v>13</v>
      </c>
      <c r="G48" t="inlineStr">
        <is>
          <t>Ontario Tennis Association</t>
        </is>
      </c>
      <c r="H48" t="inlineStr">
        <is>
          <t>No Club</t>
        </is>
      </c>
      <c r="I48" t="n">
        <v>26.9</v>
      </c>
      <c r="J48" s="4" t="n">
        <v>207</v>
      </c>
      <c r="K48" t="inlineStr">
        <is>
          <t>149 / 58</t>
        </is>
      </c>
      <c r="L48" t="inlineStr">
        <is>
          <t>34 / 12</t>
        </is>
      </c>
      <c r="M48" s="5" t="n">
        <v>0.72</v>
      </c>
      <c r="N48" s="5" t="n">
        <v>0.74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17.5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25.5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1836.281</v>
      </c>
      <c r="F51" s="4" t="n">
        <v>17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25.2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13</v>
      </c>
      <c r="G52" t="inlineStr">
        <is>
          <t>Ontario Tennis Association</t>
        </is>
      </c>
      <c r="H52" t="inlineStr">
        <is>
          <t>Rexall Centre</t>
        </is>
      </c>
      <c r="I52" t="n">
        <v>24.9</v>
      </c>
      <c r="J52" s="4" t="n">
        <v>221</v>
      </c>
      <c r="K52" t="inlineStr">
        <is>
          <t>138 / 83</t>
        </is>
      </c>
      <c r="L52" t="inlineStr">
        <is>
          <t>37 / 14</t>
        </is>
      </c>
      <c r="M52" s="5" t="n">
        <v>0.62</v>
      </c>
      <c r="N52" s="5" t="n">
        <v>0.73</v>
      </c>
    </row>
    <row r="53">
      <c r="A53" t="n">
        <v>52</v>
      </c>
      <c r="B53" t="n">
        <v>2012</v>
      </c>
      <c r="C53" t="inlineStr">
        <is>
          <t>Daria Glinna</t>
        </is>
      </c>
      <c r="D53">
        <f>HYPERLINK("https://ota.tournamentsoftware.com/player-profile/75F31A41-BD9F-46AC-A064-06ECE54741E7", "Link")</f>
        <v/>
      </c>
      <c r="E53" s="3" t="n">
        <v>1760.552</v>
      </c>
      <c r="F53" s="4" t="n">
        <v>14</v>
      </c>
      <c r="G53" t="inlineStr">
        <is>
          <t>Ontario Tennis Association</t>
        </is>
      </c>
      <c r="H53" t="inlineStr">
        <is>
          <t>Premier Racquet Clubs – Mississauga</t>
        </is>
      </c>
      <c r="I53" t="n">
        <v>28.2</v>
      </c>
      <c r="J53" s="4" t="n">
        <v>158</v>
      </c>
      <c r="K53" t="inlineStr">
        <is>
          <t>59 / 99</t>
        </is>
      </c>
      <c r="L53" t="inlineStr">
        <is>
          <t>4 / 8</t>
        </is>
      </c>
      <c r="M53" s="5" t="n">
        <v>0.37</v>
      </c>
      <c r="N53" s="5" t="n">
        <v>0.33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1747.487</v>
      </c>
      <c r="F54" s="4" t="n">
        <v>7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35</v>
      </c>
      <c r="K54" t="inlineStr">
        <is>
          <t>21 / 14</t>
        </is>
      </c>
      <c r="L54" t="inlineStr">
        <is>
          <t>8 / 5</t>
        </is>
      </c>
      <c r="M54" s="5" t="n">
        <v>0.6</v>
      </c>
      <c r="N54" s="5" t="n">
        <v>0.62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1744</v>
      </c>
      <c r="F55" s="4" t="n">
        <v>26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27.7</v>
      </c>
      <c r="J55" s="4" t="n">
        <v>269</v>
      </c>
      <c r="K55" t="inlineStr">
        <is>
          <t>166 / 103</t>
        </is>
      </c>
      <c r="L55" t="inlineStr">
        <is>
          <t>22 / 13</t>
        </is>
      </c>
      <c r="M55" s="5" t="n">
        <v>0.62</v>
      </c>
      <c r="N55" s="5" t="n">
        <v>0.63</v>
      </c>
    </row>
    <row r="56">
      <c r="A56" t="n">
        <v>55</v>
      </c>
      <c r="B56" t="n">
        <v>2012</v>
      </c>
      <c r="C56" t="inlineStr">
        <is>
          <t>Allyson Experience</t>
        </is>
      </c>
      <c r="D56">
        <f>HYPERLINK("https://ota.tournamentsoftware.com/player-profile/9A5D0B4A-A8C7-47DA-8CAD-CA25D28C69CE", "Link")</f>
        <v/>
      </c>
      <c r="E56" s="3" t="n">
        <v>1725.227</v>
      </c>
      <c r="F56" s="4" t="n">
        <v>24</v>
      </c>
      <c r="G56" t="inlineStr">
        <is>
          <t>Tennis Québec</t>
        </is>
      </c>
      <c r="H56" t="inlineStr">
        <is>
          <t>Tennis Montréal Excellence</t>
        </is>
      </c>
      <c r="I56" t="n">
        <v>26.4</v>
      </c>
      <c r="J56" s="4" t="n">
        <v>264</v>
      </c>
      <c r="K56" t="inlineStr">
        <is>
          <t>123 / 141</t>
        </is>
      </c>
      <c r="L56" t="inlineStr">
        <is>
          <t>22 / 22</t>
        </is>
      </c>
      <c r="M56" s="5" t="n">
        <v>0.47</v>
      </c>
      <c r="N56" s="5" t="n">
        <v>0.5</v>
      </c>
    </row>
    <row r="57">
      <c r="A57" t="n">
        <v>56</v>
      </c>
      <c r="B57" t="n">
        <v>2013</v>
      </c>
      <c r="C57" t="inlineStr">
        <is>
          <t>Haeun (Emily) Jo</t>
        </is>
      </c>
      <c r="D57">
        <f>HYPERLINK("https://ota.tournamentsoftware.com/player-profile/BBD49A71-6CAE-4AC7-908B-9DB5263DA715", "Link")</f>
        <v/>
      </c>
      <c r="E57" s="3" t="n">
        <v>1714.8</v>
      </c>
      <c r="F57" s="4" t="n">
        <v>13</v>
      </c>
      <c r="G57" t="inlineStr">
        <is>
          <t>Tennis Nova Scotia</t>
        </is>
      </c>
      <c r="H57" t="inlineStr">
        <is>
          <t>Atlantic Tennis Centre</t>
        </is>
      </c>
      <c r="I57" t="n">
        <v>26.1</v>
      </c>
      <c r="J57" s="4" t="n">
        <v>288</v>
      </c>
      <c r="K57" t="inlineStr">
        <is>
          <t>192 / 96</t>
        </is>
      </c>
      <c r="L57" t="inlineStr">
        <is>
          <t>43 / 17</t>
        </is>
      </c>
      <c r="M57" s="5" t="n">
        <v>0.67</v>
      </c>
      <c r="N57" s="5" t="n">
        <v>0.72</v>
      </c>
    </row>
    <row r="58">
      <c r="A58" t="n">
        <v>57</v>
      </c>
      <c r="B58" t="n">
        <v>2013</v>
      </c>
      <c r="C58" t="inlineStr">
        <is>
          <t>xiayue(Cecelia) Bi</t>
        </is>
      </c>
      <c r="D58">
        <f>HYPERLINK("https://ota.tournamentsoftware.com/player-profile/081CD41C-A9E4-4340-A239-2D92F6639919", "Link")</f>
        <v/>
      </c>
      <c r="E58" s="3" t="n">
        <v>1681.279</v>
      </c>
      <c r="F58" s="4" t="n">
        <v>13</v>
      </c>
      <c r="G58" t="inlineStr">
        <is>
          <t>British Columbia</t>
        </is>
      </c>
      <c r="H58" t="inlineStr">
        <is>
          <t>North Vancouver Tennis Centre</t>
        </is>
      </c>
      <c r="I58" t="n">
        <v>24.3</v>
      </c>
      <c r="J58" s="4" t="n">
        <v>248</v>
      </c>
      <c r="K58" t="inlineStr">
        <is>
          <t>158 / 90</t>
        </is>
      </c>
      <c r="L58" t="inlineStr">
        <is>
          <t>19 / 22</t>
        </is>
      </c>
      <c r="M58" s="5" t="n">
        <v>0.64</v>
      </c>
      <c r="N58" s="5" t="n">
        <v>0.46</v>
      </c>
    </row>
    <row r="59">
      <c r="A59" t="n">
        <v>58</v>
      </c>
      <c r="B59" t="n">
        <v>2014</v>
      </c>
      <c r="C59" t="inlineStr">
        <is>
          <t>Naomi Danyod</t>
        </is>
      </c>
      <c r="D59">
        <f>HYPERLINK("https://ota.tournamentsoftware.com/player-profile/2037E4D8-F8CE-4A2B-858E-7FBBA84F2BC7", "Link")</f>
        <v/>
      </c>
      <c r="E59" s="3" t="n">
        <v>1674.084</v>
      </c>
      <c r="F59" s="4" t="n">
        <v>18</v>
      </c>
      <c r="G59" t="inlineStr">
        <is>
          <t>Tennis Québec</t>
        </is>
      </c>
      <c r="H59" t="inlineStr">
        <is>
          <t>Rouge et Or - Université Laval</t>
        </is>
      </c>
      <c r="I59" t="n">
        <v>26</v>
      </c>
      <c r="J59" s="4" t="n">
        <v>164</v>
      </c>
      <c r="K59" t="inlineStr">
        <is>
          <t>105 / 59</t>
        </is>
      </c>
      <c r="L59" t="inlineStr">
        <is>
          <t>35 / 20</t>
        </is>
      </c>
      <c r="M59" s="5" t="n">
        <v>0.64</v>
      </c>
      <c r="N59" s="5" t="n">
        <v>0.64</v>
      </c>
    </row>
    <row r="60">
      <c r="A60" t="n">
        <v>59</v>
      </c>
      <c r="B60" t="n">
        <v>2013</v>
      </c>
      <c r="C60" t="inlineStr">
        <is>
          <t>Adèle Juneau</t>
        </is>
      </c>
      <c r="D60">
        <f>HYPERLINK("https://ota.tournamentsoftware.com/player-profile/3A8C3EB0-444C-4108-A91E-FC74701A660D", "Link")</f>
        <v/>
      </c>
      <c r="E60" s="3" t="n">
        <v>1669.437</v>
      </c>
      <c r="F60" s="4" t="n">
        <v>16</v>
      </c>
      <c r="G60" t="inlineStr">
        <is>
          <t>Tennis Québec</t>
        </is>
      </c>
      <c r="H60" t="inlineStr">
        <is>
          <t>Tennis 13 / Académie Ménard et associé</t>
        </is>
      </c>
      <c r="I60" t="n">
        <v>24.9</v>
      </c>
      <c r="J60" s="4" t="n">
        <v>335</v>
      </c>
      <c r="K60" t="inlineStr">
        <is>
          <t>188 / 147</t>
        </is>
      </c>
      <c r="L60" t="inlineStr">
        <is>
          <t>19 / 22</t>
        </is>
      </c>
      <c r="M60" s="5" t="n">
        <v>0.5600000000000001</v>
      </c>
      <c r="N60" s="5" t="n">
        <v>0.46</v>
      </c>
    </row>
    <row r="61">
      <c r="A61" t="n">
        <v>60</v>
      </c>
      <c r="B61" t="n">
        <v>2013</v>
      </c>
      <c r="C61" t="inlineStr">
        <is>
          <t>Elena Rusic</t>
        </is>
      </c>
      <c r="D61">
        <f>HYPERLINK("https://ota.tournamentsoftware.com/player-profile/C202F0BA-61C5-459D-993A-2D56C17C2B04", "Link")</f>
        <v/>
      </c>
      <c r="E61" s="3" t="n">
        <v>1612.81</v>
      </c>
      <c r="F61" s="4" t="n">
        <v>22</v>
      </c>
      <c r="G61" t="inlineStr">
        <is>
          <t>Ontario Tennis Association</t>
        </is>
      </c>
      <c r="H61" t="inlineStr">
        <is>
          <t>Joshua Creek Golf &amp; Tennis</t>
        </is>
      </c>
      <c r="I61" t="n">
        <v>26.6</v>
      </c>
      <c r="J61" s="4" t="n">
        <v>256</v>
      </c>
      <c r="K61" t="inlineStr">
        <is>
          <t>182 / 74</t>
        </is>
      </c>
      <c r="L61" t="inlineStr">
        <is>
          <t>23 / 19</t>
        </is>
      </c>
      <c r="M61" s="5" t="n">
        <v>0.71</v>
      </c>
      <c r="N61" s="5" t="n">
        <v>0.55</v>
      </c>
    </row>
    <row r="62">
      <c r="A62" t="n">
        <v>61</v>
      </c>
      <c r="B62" t="n">
        <v>2012</v>
      </c>
      <c r="C62" t="inlineStr">
        <is>
          <t>Annika Richards</t>
        </is>
      </c>
      <c r="D62">
        <f>HYPERLINK("https://ota.tournamentsoftware.com/player-profile/CFED81F9-9EA3-48DF-84C4-507456D5D68B", "Link")</f>
        <v/>
      </c>
      <c r="E62" s="3" t="n">
        <v>1580.813</v>
      </c>
      <c r="F62" s="4" t="n">
        <v>17</v>
      </c>
      <c r="G62" t="inlineStr">
        <is>
          <t>Ontario Tennis Association</t>
        </is>
      </c>
      <c r="H62" t="inlineStr">
        <is>
          <t>Toronto Cricket Skating &amp; Curling</t>
        </is>
      </c>
      <c r="I62" t="n">
        <v>27.4</v>
      </c>
      <c r="J62" s="4" t="n">
        <v>189</v>
      </c>
      <c r="K62" t="inlineStr">
        <is>
          <t>81 / 108</t>
        </is>
      </c>
      <c r="L62" t="inlineStr">
        <is>
          <t>8 / 17</t>
        </is>
      </c>
      <c r="M62" s="5" t="n">
        <v>0.43</v>
      </c>
      <c r="N62" s="5" t="n">
        <v>0.32</v>
      </c>
    </row>
    <row r="63">
      <c r="A63" t="n">
        <v>62</v>
      </c>
      <c r="B63" t="n">
        <v>2013</v>
      </c>
      <c r="C63" t="inlineStr">
        <is>
          <t>Alexane Deschênes</t>
        </is>
      </c>
      <c r="D63">
        <f>HYPERLINK("https://ota.tournamentsoftware.com/player-profile/124D1E6B-E463-4461-A5D1-9C844DE2C6D9", "Link")</f>
        <v/>
      </c>
      <c r="E63" s="3" t="n">
        <v>1534.592</v>
      </c>
      <c r="F63" s="4" t="n">
        <v>22</v>
      </c>
      <c r="G63" t="inlineStr">
        <is>
          <t>Tennis Québec</t>
        </is>
      </c>
      <c r="H63" t="inlineStr">
        <is>
          <t>Centre récréatif de Repentigny / Académie Tennis Momentum</t>
        </is>
      </c>
      <c r="I63" t="n">
        <v>25.2</v>
      </c>
      <c r="J63" s="4" t="n">
        <v>293</v>
      </c>
      <c r="K63" t="inlineStr">
        <is>
          <t>156 / 137</t>
        </is>
      </c>
      <c r="L63" t="inlineStr">
        <is>
          <t>36 / 35</t>
        </is>
      </c>
      <c r="M63" s="5" t="n">
        <v>0.53</v>
      </c>
      <c r="N63" s="5" t="n">
        <v>0.51</v>
      </c>
    </row>
    <row r="64">
      <c r="A64" t="n">
        <v>63</v>
      </c>
      <c r="B64" t="n">
        <v>2013</v>
      </c>
      <c r="C64" t="inlineStr">
        <is>
          <t>Varvara Lutsyk</t>
        </is>
      </c>
      <c r="D64">
        <f>HYPERLINK("https://ota.tournamentsoftware.com/player-profile/5197490D-6996-4375-892E-2696E508FF34", "Link")</f>
        <v/>
      </c>
      <c r="E64" s="3" t="n">
        <v>1491.991</v>
      </c>
      <c r="F64" s="4" t="n">
        <v>20</v>
      </c>
      <c r="G64" t="inlineStr">
        <is>
          <t>Tennis Québec</t>
        </is>
      </c>
      <c r="H64" t="inlineStr">
        <is>
          <t>Club Sportif Côte-de-Liesse</t>
        </is>
      </c>
      <c r="I64" t="n">
        <v>24.9</v>
      </c>
      <c r="J64" s="4" t="n">
        <v>210</v>
      </c>
      <c r="K64" t="inlineStr">
        <is>
          <t>137 / 73</t>
        </is>
      </c>
      <c r="L64" t="inlineStr">
        <is>
          <t>31 / 17</t>
        </is>
      </c>
      <c r="M64" s="5" t="n">
        <v>0.65</v>
      </c>
      <c r="N64" s="5" t="n">
        <v>0.65</v>
      </c>
    </row>
    <row r="65">
      <c r="A65" t="n">
        <v>64</v>
      </c>
      <c r="B65" t="n">
        <v>2012</v>
      </c>
      <c r="C65" t="inlineStr">
        <is>
          <t>Natalie Le'er Sang</t>
        </is>
      </c>
      <c r="D65">
        <f>HYPERLINK("https://ota.tournamentsoftware.com/player-profile/993E5845-6FAB-4557-A6F0-C3D60CD8BB97", "Link")</f>
        <v/>
      </c>
      <c r="E65" s="3" t="n">
        <v>1488.96</v>
      </c>
      <c r="F65" s="4" t="n">
        <v>16</v>
      </c>
      <c r="G65" t="inlineStr">
        <is>
          <t>British Columbia</t>
        </is>
      </c>
      <c r="H65" t="inlineStr">
        <is>
          <t>No Club</t>
        </is>
      </c>
      <c r="I65" t="n">
        <v>25.5</v>
      </c>
      <c r="J65" s="4" t="n">
        <v>111</v>
      </c>
      <c r="K65" t="inlineStr">
        <is>
          <t>78 / 33</t>
        </is>
      </c>
      <c r="L65" t="inlineStr">
        <is>
          <t>21 / 19</t>
        </is>
      </c>
      <c r="M65" s="5" t="n">
        <v>0.7</v>
      </c>
      <c r="N65" s="5" t="n">
        <v>0.53</v>
      </c>
    </row>
    <row r="66">
      <c r="A66" t="n">
        <v>65</v>
      </c>
      <c r="B66" t="n">
        <v>2012</v>
      </c>
      <c r="C66" t="inlineStr">
        <is>
          <t>Kelly L Zhang</t>
        </is>
      </c>
      <c r="D66">
        <f>HYPERLINK("https://ota.tournamentsoftware.com/player-profile/2504E03B-B05C-4307-B90E-F3F72DD94827", "Link")</f>
        <v/>
      </c>
      <c r="E66" s="3" t="n">
        <v>1476.763</v>
      </c>
      <c r="F66" s="4" t="n">
        <v>22</v>
      </c>
      <c r="G66" t="inlineStr">
        <is>
          <t>Ontario Tennis Association</t>
        </is>
      </c>
      <c r="H66" t="inlineStr">
        <is>
          <t>NYTA Winter Tennis Club</t>
        </is>
      </c>
      <c r="I66" t="n">
        <v>28.1</v>
      </c>
      <c r="J66" s="4" t="n">
        <v>188</v>
      </c>
      <c r="K66" t="inlineStr">
        <is>
          <t>92 / 96</t>
        </is>
      </c>
      <c r="L66" t="inlineStr">
        <is>
          <t>25 / 18</t>
        </is>
      </c>
      <c r="M66" s="5" t="n">
        <v>0.49</v>
      </c>
      <c r="N66" s="5" t="n">
        <v>0.58</v>
      </c>
    </row>
    <row r="67">
      <c r="A67" t="n">
        <v>66</v>
      </c>
      <c r="B67" t="n">
        <v>2013</v>
      </c>
      <c r="C67" t="inlineStr">
        <is>
          <t>Avery Badyal</t>
        </is>
      </c>
      <c r="D67">
        <f>HYPERLINK("https://ota.tournamentsoftware.com/player-profile/9486479F-C8FD-48FB-BCCD-0246C53A632C", "Link")</f>
        <v/>
      </c>
      <c r="E67" s="3" t="n">
        <v>1469.906</v>
      </c>
      <c r="F67" s="4" t="n">
        <v>12</v>
      </c>
      <c r="G67" t="inlineStr">
        <is>
          <t>British Columbia</t>
        </is>
      </c>
      <c r="H67" t="inlineStr">
        <is>
          <t>The Tennis Centre</t>
        </is>
      </c>
      <c r="I67" t="n">
        <v>25.3</v>
      </c>
      <c r="J67" s="4" t="n">
        <v>239</v>
      </c>
      <c r="K67" t="inlineStr">
        <is>
          <t>145 / 94</t>
        </is>
      </c>
      <c r="L67" t="inlineStr">
        <is>
          <t>17 / 19</t>
        </is>
      </c>
      <c r="M67" s="5" t="n">
        <v>0.61</v>
      </c>
      <c r="N67" s="5" t="n">
        <v>0.47</v>
      </c>
    </row>
    <row r="68">
      <c r="A68" t="n">
        <v>67</v>
      </c>
      <c r="B68" t="n">
        <v>2014</v>
      </c>
      <c r="C68" t="inlineStr">
        <is>
          <t>jocelyn ai</t>
        </is>
      </c>
      <c r="D68">
        <f>HYPERLINK("https://ota.tournamentsoftware.com/player-profile/EADED953-942B-4335-BE21-C0DE8F31626D", "Link")</f>
        <v/>
      </c>
      <c r="E68" s="3" t="n">
        <v>1450.912</v>
      </c>
      <c r="F68" s="4" t="n">
        <v>21</v>
      </c>
      <c r="G68" t="inlineStr">
        <is>
          <t>Ontario Tennis Association</t>
        </is>
      </c>
      <c r="H68" t="inlineStr">
        <is>
          <t>No Club</t>
        </is>
      </c>
      <c r="I68" t="n">
        <v>27.1</v>
      </c>
      <c r="J68" s="4" t="n">
        <v>220</v>
      </c>
      <c r="K68" t="inlineStr">
        <is>
          <t>133 / 87</t>
        </is>
      </c>
      <c r="L68" t="inlineStr">
        <is>
          <t>39 / 24</t>
        </is>
      </c>
      <c r="M68" s="5" t="n">
        <v>0.6</v>
      </c>
      <c r="N68" s="5" t="n">
        <v>0.62</v>
      </c>
    </row>
    <row r="69">
      <c r="A69" t="n">
        <v>68</v>
      </c>
      <c r="B69" t="n">
        <v>2012</v>
      </c>
      <c r="C69" t="inlineStr">
        <is>
          <t>Karina Zhang</t>
        </is>
      </c>
      <c r="D69">
        <f>HYPERLINK("https://ota.tournamentsoftware.com/player-profile/7BB53E38-BBB9-4E1E-B8A2-8EFC2E762653", "Link")</f>
        <v/>
      </c>
      <c r="E69" s="3" t="n">
        <v>1427.367</v>
      </c>
      <c r="F69" s="4" t="n">
        <v>27</v>
      </c>
      <c r="G69" t="inlineStr">
        <is>
          <t>Ontario Tennis Association</t>
        </is>
      </c>
      <c r="H69" t="inlineStr">
        <is>
          <t>Richmondhill Golf &amp; Country Club</t>
        </is>
      </c>
      <c r="I69" t="n">
        <v>24.5</v>
      </c>
      <c r="J69" s="4" t="n">
        <v>209</v>
      </c>
      <c r="K69" t="inlineStr">
        <is>
          <t>130 / 79</t>
        </is>
      </c>
      <c r="L69" t="inlineStr">
        <is>
          <t>30 / 23</t>
        </is>
      </c>
      <c r="M69" s="5" t="n">
        <v>0.62</v>
      </c>
      <c r="N69" s="5" t="n">
        <v>0.57</v>
      </c>
    </row>
    <row r="70">
      <c r="A70" t="n">
        <v>69</v>
      </c>
      <c r="B70" t="n">
        <v>2014</v>
      </c>
      <c r="C70" t="inlineStr">
        <is>
          <t>Amelia Grace Balasuriya</t>
        </is>
      </c>
      <c r="D70">
        <f>HYPERLINK("https://ota.tournamentsoftware.com/player-profile/741A3060-1EA3-4E29-A0BE-1717DEF32CEA", "Link")</f>
        <v/>
      </c>
      <c r="E70" s="3" t="n">
        <v>1414.433</v>
      </c>
      <c r="F70" s="4" t="n">
        <v>25</v>
      </c>
      <c r="G70" t="inlineStr">
        <is>
          <t>Ontario Tennis Association</t>
        </is>
      </c>
      <c r="H70" t="inlineStr">
        <is>
          <t>The Supreme Court Tennis Club</t>
        </is>
      </c>
      <c r="I70" t="n">
        <v>26.8</v>
      </c>
      <c r="J70" s="4" t="n">
        <v>267</v>
      </c>
      <c r="K70" t="inlineStr">
        <is>
          <t>172 / 95</t>
        </is>
      </c>
      <c r="L70" t="inlineStr">
        <is>
          <t>49 / 25</t>
        </is>
      </c>
      <c r="M70" s="5" t="n">
        <v>0.64</v>
      </c>
      <c r="N70" s="5" t="n">
        <v>0.66</v>
      </c>
    </row>
    <row r="71">
      <c r="A71" t="n">
        <v>70</v>
      </c>
      <c r="B71" t="n">
        <v>2013</v>
      </c>
      <c r="C71" t="inlineStr">
        <is>
          <t>Dewa Ayu Devin Sum</t>
        </is>
      </c>
      <c r="D71">
        <f>HYPERLINK("https://ota.tournamentsoftware.com/player-profile/9DB24D5C-3B5C-4B40-BE7E-B331240C1B21", "Link")</f>
        <v/>
      </c>
      <c r="E71" s="3" t="n">
        <v>1397.453</v>
      </c>
      <c r="F71" s="4" t="n">
        <v>30</v>
      </c>
      <c r="G71" t="inlineStr">
        <is>
          <t>Ontario Tennis Association</t>
        </is>
      </c>
      <c r="H71" t="inlineStr">
        <is>
          <t>Premier Racquet Clubs – Mississauga</t>
        </is>
      </c>
      <c r="I71" t="n">
        <v>28</v>
      </c>
      <c r="J71" s="4" t="n">
        <v>179</v>
      </c>
      <c r="K71" t="inlineStr">
        <is>
          <t>93 / 86</t>
        </is>
      </c>
      <c r="L71" t="inlineStr">
        <is>
          <t>27 / 21</t>
        </is>
      </c>
      <c r="M71" s="5" t="n">
        <v>0.52</v>
      </c>
      <c r="N71" s="5" t="n">
        <v>0.5600000000000001</v>
      </c>
    </row>
    <row r="72">
      <c r="A72" t="n">
        <v>71</v>
      </c>
      <c r="B72" t="n">
        <v>2012</v>
      </c>
      <c r="C72" t="inlineStr">
        <is>
          <t>Zahava Olszynko</t>
        </is>
      </c>
      <c r="D72">
        <f>HYPERLINK("https://ota.tournamentsoftware.com/player-profile/B6F84042-B29D-4CD8-984E-787094BFA8A4", "Link")</f>
        <v/>
      </c>
      <c r="E72" s="3" t="n">
        <v>1396.116</v>
      </c>
      <c r="F72" s="4" t="n">
        <v>31</v>
      </c>
      <c r="G72" t="inlineStr">
        <is>
          <t>Ontario Tennis Association</t>
        </is>
      </c>
      <c r="H72" t="inlineStr">
        <is>
          <t>Rideau Sports Centre</t>
        </is>
      </c>
      <c r="I72" t="n">
        <v>26.2</v>
      </c>
      <c r="J72" s="4" t="n">
        <v>231</v>
      </c>
      <c r="K72" t="inlineStr">
        <is>
          <t>127 / 104</t>
        </is>
      </c>
      <c r="L72" t="inlineStr">
        <is>
          <t>35 / 24</t>
        </is>
      </c>
      <c r="M72" s="5" t="n">
        <v>0.55</v>
      </c>
      <c r="N72" s="5" t="n">
        <v>0.59</v>
      </c>
    </row>
    <row r="73">
      <c r="A73" t="n">
        <v>72</v>
      </c>
      <c r="B73" t="n">
        <v>2013</v>
      </c>
      <c r="C73" t="inlineStr">
        <is>
          <t>Eleanor Victoria Paura</t>
        </is>
      </c>
      <c r="D73">
        <f>HYPERLINK("https://ota.tournamentsoftware.com/player-profile/4D9EBB83-94D7-44A3-BD6F-1D98EF9559DF", "Link")</f>
        <v/>
      </c>
      <c r="E73" s="3" t="n">
        <v>1376.144</v>
      </c>
      <c r="F73" s="4" t="n">
        <v>11</v>
      </c>
      <c r="G73" t="inlineStr">
        <is>
          <t>Tennis Saskatchewan</t>
        </is>
      </c>
      <c r="H73" t="inlineStr">
        <is>
          <t>Lakeshore Tennis Club</t>
        </is>
      </c>
      <c r="I73" t="n">
        <v>29.8</v>
      </c>
      <c r="J73" s="4" t="n">
        <v>196</v>
      </c>
      <c r="K73" t="inlineStr">
        <is>
          <t>85 / 111</t>
        </is>
      </c>
      <c r="L73" t="inlineStr">
        <is>
          <t>27 / 22</t>
        </is>
      </c>
      <c r="M73" s="5" t="n">
        <v>0.43</v>
      </c>
      <c r="N73" s="5" t="n">
        <v>0.55</v>
      </c>
    </row>
    <row r="74">
      <c r="A74" t="n">
        <v>73</v>
      </c>
      <c r="B74" t="n">
        <v>2012</v>
      </c>
      <c r="C74" t="inlineStr">
        <is>
          <t>Olivia Escobar</t>
        </is>
      </c>
      <c r="D74">
        <f>HYPERLINK("https://ota.tournamentsoftware.com/player-profile/9E3A15EA-D947-4048-B7A7-6C2437D34132", "Link")</f>
        <v/>
      </c>
      <c r="E74" s="3" t="n">
        <v>1357.196</v>
      </c>
      <c r="F74" s="4" t="n">
        <v>36</v>
      </c>
      <c r="G74" t="inlineStr">
        <is>
          <t>Tennis Québec</t>
        </is>
      </c>
      <c r="H74" t="inlineStr">
        <is>
          <t>Tennis Ile- des- Soeurs</t>
        </is>
      </c>
      <c r="I74" t="n">
        <v>26.5</v>
      </c>
      <c r="J74" s="4" t="n">
        <v>345</v>
      </c>
      <c r="K74" t="inlineStr">
        <is>
          <t>131 / 214</t>
        </is>
      </c>
      <c r="L74" t="inlineStr">
        <is>
          <t>19 / 23</t>
        </is>
      </c>
      <c r="M74" s="5" t="n">
        <v>0.38</v>
      </c>
      <c r="N74" s="5" t="n">
        <v>0.45</v>
      </c>
    </row>
    <row r="75">
      <c r="A75" t="n">
        <v>74</v>
      </c>
      <c r="B75" t="n">
        <v>2014</v>
      </c>
      <c r="C75" t="inlineStr">
        <is>
          <t>Emma Allen</t>
        </is>
      </c>
      <c r="D75">
        <f>HYPERLINK("https://ota.tournamentsoftware.com/player-profile/5640B61E-0EE7-4BB3-ABC3-AD9CB508E4E9", "Link")</f>
        <v/>
      </c>
      <c r="E75" s="3" t="n">
        <v>1351.651</v>
      </c>
      <c r="F75" s="4" t="n">
        <v>21</v>
      </c>
      <c r="G75" t="inlineStr">
        <is>
          <t>Ontario Tennis Association</t>
        </is>
      </c>
      <c r="H75" t="inlineStr">
        <is>
          <t>Joshua Creek Golf &amp; Tennis</t>
        </is>
      </c>
      <c r="I75" t="n">
        <v>26.9</v>
      </c>
      <c r="J75" s="4" t="n">
        <v>258</v>
      </c>
      <c r="K75" t="inlineStr">
        <is>
          <t>186 / 72</t>
        </is>
      </c>
      <c r="L75" t="inlineStr">
        <is>
          <t>38 / 20</t>
        </is>
      </c>
      <c r="M75" s="5" t="n">
        <v>0.72</v>
      </c>
      <c r="N75" s="5" t="n">
        <v>0.66</v>
      </c>
    </row>
    <row r="76">
      <c r="A76" t="n">
        <v>75</v>
      </c>
      <c r="B76" t="n">
        <v>2014</v>
      </c>
      <c r="C76" t="inlineStr">
        <is>
          <t>Nanette Du</t>
        </is>
      </c>
      <c r="D76">
        <f>HYPERLINK("https://ota.tournamentsoftware.com/player-profile/53190390-CC68-4E5E-8079-A41733ADF41A", "Link")</f>
        <v/>
      </c>
      <c r="E76" s="3" t="n">
        <v>1337.773</v>
      </c>
      <c r="F76" s="4" t="n">
        <v>16</v>
      </c>
      <c r="G76" t="inlineStr">
        <is>
          <t>Ontario Tennis Association</t>
        </is>
      </c>
      <c r="H76" t="inlineStr">
        <is>
          <t>Advantage Tennis International at Veneto</t>
        </is>
      </c>
      <c r="I76" t="n">
        <v>28.1</v>
      </c>
      <c r="J76" s="4" t="n">
        <v>150</v>
      </c>
      <c r="K76" t="inlineStr">
        <is>
          <t>94 / 56</t>
        </is>
      </c>
      <c r="L76" t="inlineStr">
        <is>
          <t>28 / 12</t>
        </is>
      </c>
      <c r="M76" s="5" t="n">
        <v>0.63</v>
      </c>
      <c r="N76" s="5" t="n">
        <v>0.7</v>
      </c>
    </row>
    <row r="77">
      <c r="A77" t="n">
        <v>76</v>
      </c>
      <c r="B77" t="n">
        <v>2013</v>
      </c>
      <c r="C77" t="inlineStr">
        <is>
          <t>Charlotte Dawes</t>
        </is>
      </c>
      <c r="D77">
        <f>HYPERLINK("https://ota.tournamentsoftware.com/player-profile/F2AC6B3A-37CF-4522-9228-9A614DED4E6F", "Link")</f>
        <v/>
      </c>
      <c r="E77" s="3" t="n">
        <v>1333.136</v>
      </c>
      <c r="F77" s="4" t="n">
        <v>14</v>
      </c>
      <c r="G77" t="inlineStr">
        <is>
          <t>Tennis Alberta</t>
        </is>
      </c>
      <c r="H77" t="inlineStr">
        <is>
          <t>Osten &amp; Victor Alberta Tennis Centre</t>
        </is>
      </c>
      <c r="I77" t="n">
        <v>27.4</v>
      </c>
      <c r="J77" s="4" t="n">
        <v>225</v>
      </c>
      <c r="K77" t="inlineStr">
        <is>
          <t>112 / 113</t>
        </is>
      </c>
      <c r="L77" t="inlineStr">
        <is>
          <t>25 / 18</t>
        </is>
      </c>
      <c r="M77" s="5" t="n">
        <v>0.5</v>
      </c>
      <c r="N77" s="5" t="n">
        <v>0.58</v>
      </c>
    </row>
    <row r="78">
      <c r="A78" t="n">
        <v>77</v>
      </c>
      <c r="B78" t="n">
        <v>2013</v>
      </c>
      <c r="C78" t="inlineStr">
        <is>
          <t>Iris Fu</t>
        </is>
      </c>
      <c r="D78">
        <f>HYPERLINK("https://ota.tournamentsoftware.com/player-profile/0A3A4B5A-8950-4E67-BAA9-3F132754A3FD", "Link")</f>
        <v/>
      </c>
      <c r="E78" s="3" t="n">
        <v>1233.045</v>
      </c>
      <c r="F78" s="4" t="n">
        <v>16</v>
      </c>
      <c r="G78" t="inlineStr">
        <is>
          <t>Ontario Tennis Association</t>
        </is>
      </c>
      <c r="H78" t="inlineStr">
        <is>
          <t>Premier Racquet Clubs – Mississauga</t>
        </is>
      </c>
      <c r="I78" t="inlineStr">
        <is>
          <t>unavailable</t>
        </is>
      </c>
      <c r="J78" s="4" t="n">
        <v>240</v>
      </c>
      <c r="K78" t="inlineStr">
        <is>
          <t>138 / 102</t>
        </is>
      </c>
      <c r="L78" t="inlineStr">
        <is>
          <t>23 / 12</t>
        </is>
      </c>
      <c r="M78" s="5" t="n">
        <v>0.57</v>
      </c>
      <c r="N78" s="5" t="n">
        <v>0.66</v>
      </c>
    </row>
    <row r="79">
      <c r="A79" t="n">
        <v>78</v>
      </c>
      <c r="B79" t="n">
        <v>2012</v>
      </c>
      <c r="C79" t="inlineStr">
        <is>
          <t>Alessia Lungu</t>
        </is>
      </c>
      <c r="D79">
        <f>HYPERLINK("https://ota.tournamentsoftware.com/player-profile/99FF719F-9C8F-4394-BE76-5455D457977A", "Link")</f>
        <v/>
      </c>
      <c r="E79" s="3" t="n">
        <v>1212.805</v>
      </c>
      <c r="F79" s="4" t="n">
        <v>10</v>
      </c>
      <c r="G79" t="inlineStr">
        <is>
          <t>Ontario Tennis Association</t>
        </is>
      </c>
      <c r="H79" t="inlineStr">
        <is>
          <t>Joshua Creek Golf &amp; Tennis</t>
        </is>
      </c>
      <c r="I79" t="n">
        <v>23.3</v>
      </c>
      <c r="J79" s="4" t="n">
        <v>181</v>
      </c>
      <c r="K79" t="inlineStr">
        <is>
          <t>116 / 65</t>
        </is>
      </c>
      <c r="L79" t="inlineStr">
        <is>
          <t>5 / 3</t>
        </is>
      </c>
      <c r="M79" s="5" t="n">
        <v>0.64</v>
      </c>
      <c r="N79" s="5" t="n">
        <v>0.62</v>
      </c>
    </row>
    <row r="80">
      <c r="A80" t="n">
        <v>79</v>
      </c>
      <c r="B80" t="n">
        <v>2012</v>
      </c>
      <c r="C80" t="inlineStr">
        <is>
          <t>Emilie Chen</t>
        </is>
      </c>
      <c r="D80">
        <f>HYPERLINK("https://ota.tournamentsoftware.com/player-profile/829AD033-5D37-4AE8-9F34-8C50F25B20C3", "Link")</f>
        <v/>
      </c>
      <c r="E80" s="3" t="n">
        <v>1210.891</v>
      </c>
      <c r="F80" s="4" t="n">
        <v>12</v>
      </c>
      <c r="G80" t="inlineStr">
        <is>
          <t>Ontario Tennis Association</t>
        </is>
      </c>
      <c r="H80" t="inlineStr">
        <is>
          <t>Toronto Cricket Skating &amp; Curling</t>
        </is>
      </c>
      <c r="I80" t="n">
        <v>26.2</v>
      </c>
      <c r="J80" s="4" t="n">
        <v>214</v>
      </c>
      <c r="K80" t="inlineStr">
        <is>
          <t>89 / 125</t>
        </is>
      </c>
      <c r="L80" t="inlineStr">
        <is>
          <t>12 / 13</t>
        </is>
      </c>
      <c r="M80" s="5" t="n">
        <v>0.42</v>
      </c>
      <c r="N80" s="5" t="n">
        <v>0.48</v>
      </c>
    </row>
    <row r="81">
      <c r="A81" t="n">
        <v>80</v>
      </c>
      <c r="B81" t="n">
        <v>2014</v>
      </c>
      <c r="C81" t="inlineStr">
        <is>
          <t>Naella Sehic</t>
        </is>
      </c>
      <c r="D81">
        <f>HYPERLINK("https://ota.tournamentsoftware.com/player-profile/C86BA5BA-97F0-463B-BBE7-6A41452E0D47", "Link")</f>
        <v/>
      </c>
      <c r="E81" s="3" t="n">
        <v>1206.241</v>
      </c>
      <c r="F81" s="4" t="n">
        <v>20</v>
      </c>
      <c r="G81" t="inlineStr">
        <is>
          <t>Tennis Québec</t>
        </is>
      </c>
      <c r="H81" t="inlineStr">
        <is>
          <t>Tennis Ile- des- Soeurs</t>
        </is>
      </c>
      <c r="I81" t="n">
        <v>25.9</v>
      </c>
      <c r="J81" s="4" t="n">
        <v>299</v>
      </c>
      <c r="K81" t="inlineStr">
        <is>
          <t>184 / 115</t>
        </is>
      </c>
      <c r="L81" t="inlineStr">
        <is>
          <t>48 / 16</t>
        </is>
      </c>
      <c r="M81" s="5" t="n">
        <v>0.62</v>
      </c>
      <c r="N81" s="5" t="n">
        <v>0.75</v>
      </c>
    </row>
    <row r="82">
      <c r="A82" t="n">
        <v>81</v>
      </c>
      <c r="B82" t="n">
        <v>2014</v>
      </c>
      <c r="C82" t="inlineStr">
        <is>
          <t>Ruoran Hou</t>
        </is>
      </c>
      <c r="D82">
        <f>HYPERLINK("https://ota.tournamentsoftware.com/player-profile/01D9A845-667C-4EDB-ABF5-CFE1C5418675", "Link")</f>
        <v/>
      </c>
      <c r="E82" s="3" t="n">
        <v>1181.094</v>
      </c>
      <c r="F82" s="4" t="n">
        <v>15</v>
      </c>
      <c r="G82" t="inlineStr">
        <is>
          <t>Tennis Nova Scotia</t>
        </is>
      </c>
      <c r="H82" t="inlineStr">
        <is>
          <t>Atlantic Tennis Centre</t>
        </is>
      </c>
      <c r="I82" t="n">
        <v>29.6</v>
      </c>
      <c r="J82" s="4" t="n">
        <v>236</v>
      </c>
      <c r="K82" t="inlineStr">
        <is>
          <t>136 / 100</t>
        </is>
      </c>
      <c r="L82" t="inlineStr">
        <is>
          <t>38 / 27</t>
        </is>
      </c>
      <c r="M82" s="5" t="n">
        <v>0.58</v>
      </c>
      <c r="N82" s="5" t="n">
        <v>0.58</v>
      </c>
    </row>
    <row r="83">
      <c r="A83" t="n">
        <v>82</v>
      </c>
      <c r="B83" t="n">
        <v>2012</v>
      </c>
      <c r="C83" t="inlineStr">
        <is>
          <t>Ashlee Hanul Yoo</t>
        </is>
      </c>
      <c r="D83">
        <f>HYPERLINK("https://ota.tournamentsoftware.com/player-profile/BA09F220-C66B-4A96-9C0C-1BEE71ADDA56", "Link")</f>
        <v/>
      </c>
      <c r="E83" s="3" t="n">
        <v>1170.503</v>
      </c>
      <c r="F83" s="4" t="n">
        <v>13</v>
      </c>
      <c r="G83" t="inlineStr">
        <is>
          <t>British Columbia</t>
        </is>
      </c>
      <c r="H83" t="inlineStr">
        <is>
          <t>No Club</t>
        </is>
      </c>
      <c r="I83" t="inlineStr">
        <is>
          <t>unavailable</t>
        </is>
      </c>
      <c r="J83" s="4" t="n">
        <v>205</v>
      </c>
      <c r="K83" t="inlineStr">
        <is>
          <t>109 / 96</t>
        </is>
      </c>
      <c r="L83" t="inlineStr">
        <is>
          <t>18 / 18</t>
        </is>
      </c>
      <c r="M83" s="5" t="n">
        <v>0.53</v>
      </c>
      <c r="N83" s="5" t="n">
        <v>0.5</v>
      </c>
    </row>
    <row r="84">
      <c r="A84" t="n">
        <v>83</v>
      </c>
      <c r="B84" t="n">
        <v>2013</v>
      </c>
      <c r="C84" t="inlineStr">
        <is>
          <t>Halo Boyu Li</t>
        </is>
      </c>
      <c r="D84">
        <f>HYPERLINK("https://ota.tournamentsoftware.com/player-profile/42371346-12B9-439B-B9EB-FB5DD0ABCB73", "Link")</f>
        <v/>
      </c>
      <c r="E84" s="3" t="n">
        <v>1165.149</v>
      </c>
      <c r="F84" s="4" t="n">
        <v>11</v>
      </c>
      <c r="G84" t="inlineStr">
        <is>
          <t>Tennis Saskatchewan</t>
        </is>
      </c>
      <c r="H84" t="inlineStr">
        <is>
          <t>No Club</t>
        </is>
      </c>
      <c r="I84" t="n">
        <v>31</v>
      </c>
      <c r="J84" s="4" t="n">
        <v>181</v>
      </c>
      <c r="K84" t="inlineStr">
        <is>
          <t>79 / 102</t>
        </is>
      </c>
      <c r="L84" t="inlineStr">
        <is>
          <t>29 / 27</t>
        </is>
      </c>
      <c r="M84" s="5" t="n">
        <v>0.44</v>
      </c>
      <c r="N84" s="5" t="n">
        <v>0.52</v>
      </c>
    </row>
    <row r="85">
      <c r="A85" t="n">
        <v>84</v>
      </c>
      <c r="B85" t="n">
        <v>2012</v>
      </c>
      <c r="C85" t="inlineStr">
        <is>
          <t>Alexsandra Stanislavksy</t>
        </is>
      </c>
      <c r="D85">
        <f>HYPERLINK("https://ota.tournamentsoftware.com/player-profile/A067EDC1-6B71-4023-8C13-88CA87AA808B", "Link")</f>
        <v/>
      </c>
      <c r="E85" s="3" t="n">
        <v>1142.629</v>
      </c>
      <c r="F85" s="4" t="n">
        <v>31</v>
      </c>
      <c r="G85" t="inlineStr">
        <is>
          <t>Ontario Tennis Association</t>
        </is>
      </c>
      <c r="H85" t="inlineStr">
        <is>
          <t>No Club</t>
        </is>
      </c>
      <c r="I85" t="n">
        <v>28.9</v>
      </c>
      <c r="J85" s="4" t="n">
        <v>192</v>
      </c>
      <c r="K85" t="inlineStr">
        <is>
          <t>86 / 106</t>
        </is>
      </c>
      <c r="L85" t="inlineStr">
        <is>
          <t>23 / 25</t>
        </is>
      </c>
      <c r="M85" s="5" t="n">
        <v>0.45</v>
      </c>
      <c r="N85" s="5" t="n">
        <v>0.48</v>
      </c>
    </row>
    <row r="86">
      <c r="A86" t="n">
        <v>85</v>
      </c>
      <c r="B86" t="n">
        <v>2013</v>
      </c>
      <c r="C86" t="inlineStr">
        <is>
          <t>Chloé Normandin</t>
        </is>
      </c>
      <c r="D86">
        <f>HYPERLINK("https://ota.tournamentsoftware.com/player-profile/A22608C6-6D99-476C-9EC7-9A31F3CACB0A", "Link")</f>
        <v/>
      </c>
      <c r="E86" s="3" t="n">
        <v>1139.173</v>
      </c>
      <c r="F86" s="4" t="n">
        <v>23</v>
      </c>
      <c r="G86" t="inlineStr">
        <is>
          <t>Tennis Québec</t>
        </is>
      </c>
      <c r="H86" t="inlineStr">
        <is>
          <t>Tennis Ile- des- Soeurs</t>
        </is>
      </c>
      <c r="I86" t="n">
        <v>26.8</v>
      </c>
      <c r="J86" s="4" t="n">
        <v>268</v>
      </c>
      <c r="K86" t="inlineStr">
        <is>
          <t>147 / 121</t>
        </is>
      </c>
      <c r="L86" t="inlineStr">
        <is>
          <t>37 / 21</t>
        </is>
      </c>
      <c r="M86" s="5" t="n">
        <v>0.55</v>
      </c>
      <c r="N86" s="5" t="n">
        <v>0.64</v>
      </c>
    </row>
    <row r="87">
      <c r="A87" t="n">
        <v>86</v>
      </c>
      <c r="B87" t="n">
        <v>2012</v>
      </c>
      <c r="C87" t="inlineStr">
        <is>
          <t>Kate Louise Violet Dee</t>
        </is>
      </c>
      <c r="D87">
        <f>HYPERLINK("https://ota.tournamentsoftware.com/player-profile/807F7468-99D8-4717-B3DF-3F2ED69EFA0A", "Link")</f>
        <v/>
      </c>
      <c r="E87" s="3" t="n">
        <v>1135.533</v>
      </c>
      <c r="F87" s="4" t="n">
        <v>11</v>
      </c>
      <c r="G87" t="inlineStr">
        <is>
          <t>British Columbia</t>
        </is>
      </c>
      <c r="H87" t="inlineStr">
        <is>
          <t>North Vancouver Tennis Centre</t>
        </is>
      </c>
      <c r="I87" t="n">
        <v>25.8</v>
      </c>
      <c r="J87" s="4" t="n">
        <v>244</v>
      </c>
      <c r="K87" t="inlineStr">
        <is>
          <t>136 / 108</t>
        </is>
      </c>
      <c r="L87" t="inlineStr">
        <is>
          <t>14 / 16</t>
        </is>
      </c>
      <c r="M87" s="5" t="n">
        <v>0.5600000000000001</v>
      </c>
      <c r="N87" s="5" t="n">
        <v>0.47</v>
      </c>
    </row>
    <row r="88">
      <c r="A88" t="n">
        <v>87</v>
      </c>
      <c r="B88" t="n">
        <v>2012</v>
      </c>
      <c r="C88" t="inlineStr">
        <is>
          <t>Adrienne Keaton Nelson</t>
        </is>
      </c>
      <c r="D88">
        <f>HYPERLINK("https://ota.tournamentsoftware.com/player-profile/1D977DD3-331D-4977-B4D6-E3202A6C56BD", "Link")</f>
        <v/>
      </c>
      <c r="E88" s="3" t="n">
        <v>1117.411</v>
      </c>
      <c r="F88" s="4" t="n">
        <v>42</v>
      </c>
      <c r="G88" t="inlineStr">
        <is>
          <t>Ontario Tennis Association</t>
        </is>
      </c>
      <c r="H88" t="inlineStr">
        <is>
          <t>Blackmore Tennis Club</t>
        </is>
      </c>
      <c r="I88" t="n">
        <v>27</v>
      </c>
      <c r="J88" s="4" t="n">
        <v>234</v>
      </c>
      <c r="K88" t="inlineStr">
        <is>
          <t>114 / 120</t>
        </is>
      </c>
      <c r="L88" t="inlineStr">
        <is>
          <t>28 / 25</t>
        </is>
      </c>
      <c r="M88" s="5" t="n">
        <v>0.49</v>
      </c>
      <c r="N88" s="5" t="n">
        <v>0.53</v>
      </c>
    </row>
    <row r="89">
      <c r="A89" t="n">
        <v>88</v>
      </c>
      <c r="B89" t="n">
        <v>2013</v>
      </c>
      <c r="C89" t="inlineStr">
        <is>
          <t>Cindy Liu</t>
        </is>
      </c>
      <c r="D89">
        <f>HYPERLINK("https://ota.tournamentsoftware.com/player-profile/89018759-835F-4CE0-A297-3449F2A42D00", "Link")</f>
        <v/>
      </c>
      <c r="E89" s="3" t="n">
        <v>1113.273</v>
      </c>
      <c r="F89" s="4" t="n">
        <v>23</v>
      </c>
      <c r="G89" t="inlineStr">
        <is>
          <t>British Columbia</t>
        </is>
      </c>
      <c r="H89" t="inlineStr">
        <is>
          <t>The Tennis Centre</t>
        </is>
      </c>
      <c r="I89" t="n">
        <v>25.8</v>
      </c>
      <c r="J89" s="4" t="n">
        <v>197</v>
      </c>
      <c r="K89" t="inlineStr">
        <is>
          <t>104 / 93</t>
        </is>
      </c>
      <c r="L89" t="inlineStr">
        <is>
          <t>34 / 20</t>
        </is>
      </c>
      <c r="M89" s="5" t="n">
        <v>0.53</v>
      </c>
      <c r="N89" s="5" t="n">
        <v>0.63</v>
      </c>
    </row>
    <row r="90">
      <c r="A90" t="n">
        <v>89</v>
      </c>
      <c r="B90" t="n">
        <v>2015</v>
      </c>
      <c r="C90" t="inlineStr">
        <is>
          <t>Sofia Tabunshchyk</t>
        </is>
      </c>
      <c r="D90">
        <f>HYPERLINK("https://ota.tournamentsoftware.com/player-profile/3714FE82-9045-425F-937B-7104A43D57F9", "Link")</f>
        <v/>
      </c>
      <c r="E90" s="3" t="n">
        <v>1098.18</v>
      </c>
      <c r="F90" s="4" t="n">
        <v>38</v>
      </c>
      <c r="G90" t="inlineStr">
        <is>
          <t>Ontario Tennis Association</t>
        </is>
      </c>
      <c r="H90" t="inlineStr">
        <is>
          <t>ACE Tennis - Burlington</t>
        </is>
      </c>
      <c r="I90" t="inlineStr">
        <is>
          <t>unavailable</t>
        </is>
      </c>
      <c r="J90" s="4" t="n">
        <v>327</v>
      </c>
      <c r="K90" t="inlineStr">
        <is>
          <t>163 / 164</t>
        </is>
      </c>
      <c r="L90" t="inlineStr">
        <is>
          <t>53 / 28</t>
        </is>
      </c>
      <c r="M90" s="5" t="n">
        <v>0.5</v>
      </c>
      <c r="N90" s="5" t="n">
        <v>0.65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19</v>
      </c>
      <c r="G91" t="inlineStr">
        <is>
          <t>Tennis Alberta</t>
        </is>
      </c>
      <c r="H91" t="inlineStr">
        <is>
          <t>Saville Community Sports Centre</t>
        </is>
      </c>
      <c r="I91" t="n">
        <v>26.5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30</v>
      </c>
      <c r="G92" t="inlineStr">
        <is>
          <t>Ontario Tennis Association</t>
        </is>
      </c>
      <c r="H92" t="inlineStr">
        <is>
          <t>Blackmore Tennis Club</t>
        </is>
      </c>
      <c r="I92" t="n">
        <v>30.4</v>
      </c>
      <c r="J92" s="4" t="n">
        <v>218</v>
      </c>
      <c r="K92" t="inlineStr">
        <is>
          <t>124 / 94</t>
        </is>
      </c>
      <c r="L92" t="inlineStr">
        <is>
          <t>33 / 20</t>
        </is>
      </c>
      <c r="M92" s="5" t="n">
        <v>0.57</v>
      </c>
      <c r="N92" s="5" t="n">
        <v>0.62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19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2014</v>
      </c>
      <c r="C95" t="inlineStr">
        <is>
          <t>Victoria Markova</t>
        </is>
      </c>
      <c r="D95">
        <f>HYPERLINK("https://ota.tournamentsoftware.com/player-profile/DE909631-ADF4-4157-ABE4-0097B95C4307", "Link")</f>
        <v/>
      </c>
      <c r="E95" s="3" t="n">
        <v>1059.342</v>
      </c>
      <c r="F95" s="4" t="n">
        <v>24</v>
      </c>
      <c r="G95" t="inlineStr">
        <is>
          <t>Tennis Québec</t>
        </is>
      </c>
      <c r="H95" t="inlineStr">
        <is>
          <t>Carrefour Multisports</t>
        </is>
      </c>
      <c r="I95" t="n">
        <v>28.6</v>
      </c>
      <c r="J95" s="4" t="n">
        <v>229</v>
      </c>
      <c r="K95" t="inlineStr">
        <is>
          <t>127 / 102</t>
        </is>
      </c>
      <c r="L95" t="inlineStr">
        <is>
          <t>41 / 25</t>
        </is>
      </c>
      <c r="M95" s="5" t="n">
        <v>0.55</v>
      </c>
      <c r="N95" s="5" t="n">
        <v>0.62</v>
      </c>
    </row>
    <row r="96">
      <c r="A96" t="n">
        <v>95</v>
      </c>
      <c r="B96" t="n">
        <v>2014</v>
      </c>
      <c r="C96" t="inlineStr">
        <is>
          <t>JOANNA QIHENG FEI</t>
        </is>
      </c>
      <c r="D96">
        <f>HYPERLINK("https://ota.tournamentsoftware.com/player-profile/1DD48A17-96B6-42F9-8D67-EE4CBF6DFA95", "Link")</f>
        <v/>
      </c>
      <c r="E96" s="3" t="n">
        <v>1051.658</v>
      </c>
      <c r="F96" s="4" t="n">
        <v>20</v>
      </c>
      <c r="G96" t="inlineStr">
        <is>
          <t>British Columbia</t>
        </is>
      </c>
      <c r="H96" t="inlineStr">
        <is>
          <t>Richmond Country Club</t>
        </is>
      </c>
      <c r="I96" t="n">
        <v>25.5</v>
      </c>
      <c r="J96" s="4" t="n">
        <v>268</v>
      </c>
      <c r="K96" t="inlineStr">
        <is>
          <t>133 / 135</t>
        </is>
      </c>
      <c r="L96" t="inlineStr">
        <is>
          <t>40 / 19</t>
        </is>
      </c>
      <c r="M96" s="5" t="n">
        <v>0.5</v>
      </c>
      <c r="N96" s="5" t="n">
        <v>0.68</v>
      </c>
    </row>
    <row r="97">
      <c r="A97" t="n">
        <v>96</v>
      </c>
      <c r="B97" t="n">
        <v>2012</v>
      </c>
      <c r="C97" t="inlineStr">
        <is>
          <t>Margarita Ter-Grigoryan</t>
        </is>
      </c>
      <c r="D97">
        <f>HYPERLINK("https://ota.tournamentsoftware.com/player-profile/A86B3E87-30AA-4D57-86CF-572CF663421E", "Link")</f>
        <v/>
      </c>
      <c r="E97" s="3" t="n">
        <v>1020.42</v>
      </c>
      <c r="F97" s="4" t="n">
        <v>14</v>
      </c>
      <c r="G97" t="inlineStr">
        <is>
          <t>Tennis Saskatchewan</t>
        </is>
      </c>
      <c r="H97" t="inlineStr">
        <is>
          <t>No Club</t>
        </is>
      </c>
      <c r="I97" t="n">
        <v>30</v>
      </c>
      <c r="J97" s="4" t="n">
        <v>130</v>
      </c>
      <c r="K97" t="inlineStr">
        <is>
          <t>70 / 60</t>
        </is>
      </c>
      <c r="L97" t="inlineStr">
        <is>
          <t>30 / 30</t>
        </is>
      </c>
      <c r="M97" s="5" t="n">
        <v>0.54</v>
      </c>
      <c r="N97" s="5" t="n">
        <v>0.5</v>
      </c>
    </row>
    <row r="98">
      <c r="A98" t="n">
        <v>97</v>
      </c>
      <c r="B98" t="n">
        <v>2012</v>
      </c>
      <c r="C98" t="inlineStr">
        <is>
          <t>Maia-Alexandra Popa</t>
        </is>
      </c>
      <c r="D98">
        <f>HYPERLINK("https://ota.tournamentsoftware.com/player-profile/1D5E0C32-9DDE-4B44-ADF9-FDB75BF638BC", "Link")</f>
        <v/>
      </c>
      <c r="E98" s="3" t="n">
        <v>992.261</v>
      </c>
      <c r="F98" s="4" t="n">
        <v>21</v>
      </c>
      <c r="G98" t="inlineStr">
        <is>
          <t>Ontario Tennis Association</t>
        </is>
      </c>
      <c r="H98" t="inlineStr">
        <is>
          <t>No Club</t>
        </is>
      </c>
      <c r="I98" t="n">
        <v>26.2</v>
      </c>
      <c r="J98" s="4" t="n">
        <v>207</v>
      </c>
      <c r="K98" t="inlineStr">
        <is>
          <t>109 / 98</t>
        </is>
      </c>
      <c r="L98" t="inlineStr">
        <is>
          <t>27 / 13</t>
        </is>
      </c>
      <c r="M98" s="5" t="n">
        <v>0.53</v>
      </c>
      <c r="N98" s="5" t="n">
        <v>0.68</v>
      </c>
    </row>
    <row r="99">
      <c r="A99" t="n">
        <v>98</v>
      </c>
      <c r="B99" t="n">
        <v>2013</v>
      </c>
      <c r="C99" t="inlineStr">
        <is>
          <t>Aubrianna Ellen York</t>
        </is>
      </c>
      <c r="D99">
        <f>HYPERLINK("https://ota.tournamentsoftware.com/player-profile/FDFD6FEF-AD8B-4B1E-ADE3-15417E1BCF05", "Link")</f>
        <v/>
      </c>
      <c r="E99" s="3" t="n">
        <v>970.944</v>
      </c>
      <c r="F99" s="4" t="n">
        <v>18</v>
      </c>
      <c r="G99" t="inlineStr">
        <is>
          <t>Tennis Alberta</t>
        </is>
      </c>
      <c r="H99" t="inlineStr">
        <is>
          <t>Aforza</t>
        </is>
      </c>
      <c r="I99" t="n">
        <v>28.1</v>
      </c>
      <c r="J99" s="4" t="n">
        <v>214</v>
      </c>
      <c r="K99" t="inlineStr">
        <is>
          <t>113 / 101</t>
        </is>
      </c>
      <c r="L99" t="inlineStr">
        <is>
          <t>28 / 19</t>
        </is>
      </c>
      <c r="M99" s="5" t="n">
        <v>0.53</v>
      </c>
      <c r="N99" s="5" t="n">
        <v>0.6</v>
      </c>
    </row>
    <row r="100">
      <c r="A100" t="n">
        <v>99</v>
      </c>
      <c r="B100" t="n">
        <v>2012</v>
      </c>
      <c r="C100" t="inlineStr">
        <is>
          <t>Chloe Lou Friesen</t>
        </is>
      </c>
      <c r="D100">
        <f>HYPERLINK("https://ota.tournamentsoftware.com/player-profile/A0A11672-F1E8-4BD3-A43A-BB82984EDDA5", "Link")</f>
        <v/>
      </c>
      <c r="E100" s="3" t="n">
        <v>959.691</v>
      </c>
      <c r="F100" s="4" t="n">
        <v>17</v>
      </c>
      <c r="G100" t="inlineStr">
        <is>
          <t>British Columbia</t>
        </is>
      </c>
      <c r="H100" t="inlineStr">
        <is>
          <t>Vancouver Lawn Tennis and Badminton Club</t>
        </is>
      </c>
      <c r="I100" t="n">
        <v>26</v>
      </c>
      <c r="J100" s="4" t="n">
        <v>235</v>
      </c>
      <c r="K100" t="inlineStr">
        <is>
          <t>129 / 106</t>
        </is>
      </c>
      <c r="L100" t="inlineStr">
        <is>
          <t>24 / 16</t>
        </is>
      </c>
      <c r="M100" s="5" t="n">
        <v>0.55</v>
      </c>
      <c r="N100" s="5" t="n">
        <v>0.6</v>
      </c>
    </row>
    <row r="101">
      <c r="A101" t="n">
        <v>100</v>
      </c>
      <c r="B101" t="n">
        <v>2015</v>
      </c>
      <c r="C101" t="inlineStr">
        <is>
          <t>Evelyn J.C. Liu</t>
        </is>
      </c>
      <c r="D101">
        <f>HYPERLINK("https://ota.tournamentsoftware.com/player-profile/193F9EEB-1528-48A2-A0D8-C6448E62254A", "Link")</f>
        <v/>
      </c>
      <c r="E101" s="3" t="n">
        <v>945.349</v>
      </c>
      <c r="F101" s="4" t="n">
        <v>18</v>
      </c>
      <c r="G101" t="inlineStr">
        <is>
          <t>British Columbia</t>
        </is>
      </c>
      <c r="H101" t="inlineStr">
        <is>
          <t>Vancouver Lawn Tennis and Badminton Club</t>
        </is>
      </c>
      <c r="I101" t="n">
        <v>26.9</v>
      </c>
      <c r="J101" s="4" t="n">
        <v>271</v>
      </c>
      <c r="K101" t="inlineStr">
        <is>
          <t>152 / 119</t>
        </is>
      </c>
      <c r="L101" t="inlineStr">
        <is>
          <t>41 / 22</t>
        </is>
      </c>
      <c r="M101" s="5" t="n">
        <v>0.5600000000000001</v>
      </c>
      <c r="N101" s="5" t="n">
        <v>0.65</v>
      </c>
    </row>
    <row r="102">
      <c r="A102" t="n">
        <v>101</v>
      </c>
      <c r="B102" t="n">
        <v>2015</v>
      </c>
      <c r="C102" t="inlineStr">
        <is>
          <t>Aahana Guha</t>
        </is>
      </c>
      <c r="D102">
        <f>HYPERLINK("https://ota.tournamentsoftware.com/player-profile/B6BFAEC0-924F-4635-B45C-E700061D4B03", "Link")</f>
        <v/>
      </c>
      <c r="E102" s="3" t="n">
        <v>944.747</v>
      </c>
      <c r="F102" s="4" t="n">
        <v>12</v>
      </c>
      <c r="G102" t="inlineStr">
        <is>
          <t>Tennis Saskatchewan</t>
        </is>
      </c>
      <c r="H102" t="inlineStr">
        <is>
          <t>Lakeshore Tennis Club</t>
        </is>
      </c>
      <c r="I102" t="n">
        <v>30.8</v>
      </c>
      <c r="J102" s="4" t="n">
        <v>171</v>
      </c>
      <c r="K102" t="inlineStr">
        <is>
          <t>90 / 81</t>
        </is>
      </c>
      <c r="L102" t="inlineStr">
        <is>
          <t>34 / 23</t>
        </is>
      </c>
      <c r="M102" s="5" t="n">
        <v>0.53</v>
      </c>
      <c r="N102" s="5" t="n">
        <v>0.6</v>
      </c>
    </row>
    <row r="103">
      <c r="A103" t="n">
        <v>102</v>
      </c>
      <c r="B103" t="n">
        <v>2012</v>
      </c>
      <c r="C103" t="inlineStr">
        <is>
          <t>Laura Patsynka</t>
        </is>
      </c>
      <c r="D103">
        <f>HYPERLINK("https://ota.tournamentsoftware.com/player-profile/49340E93-6E30-4683-9E0F-4D50A1C584F1", "Link")</f>
        <v/>
      </c>
      <c r="E103" s="3" t="n">
        <v>932.872</v>
      </c>
      <c r="F103" s="4" t="n">
        <v>28</v>
      </c>
      <c r="G103" t="inlineStr">
        <is>
          <t>Ontario Tennis Association</t>
        </is>
      </c>
      <c r="H103" t="inlineStr">
        <is>
          <t>SmartVMC Racquetsports by ACE</t>
        </is>
      </c>
      <c r="I103" t="inlineStr">
        <is>
          <t>unavailable</t>
        </is>
      </c>
      <c r="J103" s="4" t="n">
        <v>198</v>
      </c>
      <c r="K103" t="inlineStr">
        <is>
          <t>79 / 119</t>
        </is>
      </c>
      <c r="L103" t="inlineStr">
        <is>
          <t>10 / 20</t>
        </is>
      </c>
      <c r="M103" s="5" t="n">
        <v>0.4</v>
      </c>
      <c r="N103" s="5" t="n">
        <v>0.33</v>
      </c>
    </row>
    <row r="104">
      <c r="A104" t="n">
        <v>103</v>
      </c>
      <c r="B104" t="n">
        <v>2013</v>
      </c>
      <c r="C104" t="inlineStr">
        <is>
          <t>Akshara Bavanaka</t>
        </is>
      </c>
      <c r="D104">
        <f>HYPERLINK("https://ota.tournamentsoftware.com/player-profile/DB56F65D-8A18-4169-BE31-18F89B25E14B", "Link")</f>
        <v/>
      </c>
      <c r="E104" s="3" t="n">
        <v>923.843</v>
      </c>
      <c r="F104" s="4" t="n">
        <v>37</v>
      </c>
      <c r="G104" t="inlineStr">
        <is>
          <t>Ontario Tennis Association</t>
        </is>
      </c>
      <c r="H104" t="inlineStr">
        <is>
          <t>Advantage Tennis International at Veneto</t>
        </is>
      </c>
      <c r="I104" t="n">
        <v>30</v>
      </c>
      <c r="J104" s="4" t="n">
        <v>233</v>
      </c>
      <c r="K104" t="inlineStr">
        <is>
          <t>120 / 113</t>
        </is>
      </c>
      <c r="L104" t="inlineStr">
        <is>
          <t>19 / 22</t>
        </is>
      </c>
      <c r="M104" s="5" t="n">
        <v>0.52</v>
      </c>
      <c r="N104" s="5" t="n">
        <v>0.46</v>
      </c>
    </row>
    <row r="105">
      <c r="A105" t="n">
        <v>104</v>
      </c>
      <c r="B105" t="n">
        <v>2013</v>
      </c>
      <c r="C105" t="inlineStr">
        <is>
          <t>Amelia Karapalevski</t>
        </is>
      </c>
      <c r="D105">
        <f>HYPERLINK("https://ota.tournamentsoftware.com/player-profile/FA2D2790-6EBD-4928-94F7-17F54621E2B4", "Link")</f>
        <v/>
      </c>
      <c r="E105" s="3" t="n">
        <v>896.6180000000001</v>
      </c>
      <c r="F105" s="4" t="n">
        <v>34</v>
      </c>
      <c r="G105" t="inlineStr">
        <is>
          <t>Ontario Tennis Association</t>
        </is>
      </c>
      <c r="H105" t="inlineStr">
        <is>
          <t>SmartVMC Racquetsports by ACE</t>
        </is>
      </c>
      <c r="I105" t="n">
        <v>28</v>
      </c>
      <c r="J105" s="4" t="n">
        <v>219</v>
      </c>
      <c r="K105" t="inlineStr">
        <is>
          <t>127 / 92</t>
        </is>
      </c>
      <c r="L105" t="inlineStr">
        <is>
          <t>33 / 21</t>
        </is>
      </c>
      <c r="M105" s="5" t="n">
        <v>0.58</v>
      </c>
      <c r="N105" s="5" t="n">
        <v>0.61</v>
      </c>
    </row>
    <row r="106">
      <c r="A106" t="n">
        <v>105</v>
      </c>
      <c r="B106" t="n">
        <v>2013</v>
      </c>
      <c r="C106" t="inlineStr">
        <is>
          <t>Mia Nikolovska</t>
        </is>
      </c>
      <c r="D106">
        <f>HYPERLINK("https://ota.tournamentsoftware.com/player-profile/52158395-8ADB-4430-ABAA-C56A79756D09", "Link")</f>
        <v/>
      </c>
      <c r="E106" s="3" t="n">
        <v>895.96</v>
      </c>
      <c r="F106" s="4" t="n">
        <v>37</v>
      </c>
      <c r="G106" t="inlineStr">
        <is>
          <t>Ontario Tennis Association</t>
        </is>
      </c>
      <c r="H106" t="inlineStr">
        <is>
          <t>No Club</t>
        </is>
      </c>
      <c r="I106" t="inlineStr">
        <is>
          <t>unavailable</t>
        </is>
      </c>
      <c r="J106" s="4" t="n">
        <v>366</v>
      </c>
      <c r="K106" t="inlineStr">
        <is>
          <t>223 / 143</t>
        </is>
      </c>
      <c r="L106" t="inlineStr">
        <is>
          <t>33 / 22</t>
        </is>
      </c>
      <c r="M106" s="5" t="n">
        <v>0.61</v>
      </c>
      <c r="N106" s="5" t="n">
        <v>0.6</v>
      </c>
    </row>
    <row r="107">
      <c r="A107" t="n">
        <v>106</v>
      </c>
      <c r="B107" t="n">
        <v>2014</v>
      </c>
      <c r="C107" t="inlineStr">
        <is>
          <t>Qiuyue Li</t>
        </is>
      </c>
      <c r="D107">
        <f>HYPERLINK("https://ota.tournamentsoftware.com/player-profile/20DDEF60-3700-4387-8C53-C32DB7F857D4", "Link")</f>
        <v/>
      </c>
      <c r="E107" s="3" t="n">
        <v>884.4</v>
      </c>
      <c r="F107" s="4" t="n">
        <v>4</v>
      </c>
      <c r="G107" t="inlineStr">
        <is>
          <t>Ontario Tennis Association</t>
        </is>
      </c>
      <c r="H107" t="inlineStr">
        <is>
          <t>No Club</t>
        </is>
      </c>
      <c r="I107" t="n">
        <v>26.6</v>
      </c>
      <c r="J107" s="4" t="n">
        <v>26</v>
      </c>
      <c r="K107" t="inlineStr">
        <is>
          <t>24 / 2</t>
        </is>
      </c>
      <c r="L107" t="inlineStr">
        <is>
          <t>14 / 1</t>
        </is>
      </c>
      <c r="M107" s="5" t="n">
        <v>0.92</v>
      </c>
      <c r="N107" s="5" t="n">
        <v>0.93</v>
      </c>
    </row>
    <row r="108">
      <c r="A108" t="n">
        <v>107</v>
      </c>
      <c r="B108" t="n">
        <v>2015</v>
      </c>
      <c r="C108" t="inlineStr">
        <is>
          <t>Emilie Joly</t>
        </is>
      </c>
      <c r="D108">
        <f>HYPERLINK("https://ota.tournamentsoftware.com/player-profile/57736008-B9CA-4FCE-BEF6-90222787F336", "Link")</f>
        <v/>
      </c>
      <c r="E108" s="3" t="n">
        <v>865.3150000000001</v>
      </c>
      <c r="F108" s="4" t="n">
        <v>17</v>
      </c>
      <c r="G108" t="inlineStr">
        <is>
          <t>Ontario Tennis Association</t>
        </is>
      </c>
      <c r="H108" t="inlineStr">
        <is>
          <t>Kingston Racquet Centre</t>
        </is>
      </c>
      <c r="I108" t="n">
        <v>27.5</v>
      </c>
      <c r="J108" s="4" t="n">
        <v>224</v>
      </c>
      <c r="K108" t="inlineStr">
        <is>
          <t>156 / 68</t>
        </is>
      </c>
      <c r="L108" t="inlineStr">
        <is>
          <t>33 / 8</t>
        </is>
      </c>
      <c r="M108" s="5" t="n">
        <v>0.7</v>
      </c>
      <c r="N108" s="5" t="n">
        <v>0.8</v>
      </c>
    </row>
    <row r="109">
      <c r="A109" t="n">
        <v>108</v>
      </c>
      <c r="B109" t="n">
        <v>2012</v>
      </c>
      <c r="C109" t="inlineStr">
        <is>
          <t>Jaydalie Isaac</t>
        </is>
      </c>
      <c r="D109">
        <f>HYPERLINK("https://ota.tournamentsoftware.com/player-profile/A56DDC7B-03D0-424A-907D-63A363906F9A", "Link")</f>
        <v/>
      </c>
      <c r="E109" s="3" t="n">
        <v>851.111</v>
      </c>
      <c r="F109" s="4" t="n">
        <v>13</v>
      </c>
      <c r="G109" t="inlineStr">
        <is>
          <t>Tennis Québec</t>
        </is>
      </c>
      <c r="H109" t="inlineStr">
        <is>
          <t>No Club</t>
        </is>
      </c>
      <c r="I109" t="n">
        <v>28</v>
      </c>
      <c r="J109" s="4" t="n">
        <v>235</v>
      </c>
      <c r="K109" t="inlineStr">
        <is>
          <t>111 / 124</t>
        </is>
      </c>
      <c r="L109" t="inlineStr">
        <is>
          <t>21 / 12</t>
        </is>
      </c>
      <c r="M109" s="5" t="n">
        <v>0.47</v>
      </c>
      <c r="N109" s="5" t="n">
        <v>0.64</v>
      </c>
    </row>
    <row r="110">
      <c r="A110" t="n">
        <v>109</v>
      </c>
      <c r="B110" t="n">
        <v>2013</v>
      </c>
      <c r="C110" t="inlineStr">
        <is>
          <t>Jeanne Lampron</t>
        </is>
      </c>
      <c r="D110">
        <f>HYPERLINK("https://ota.tournamentsoftware.com/player-profile/DBA36429-C15E-4F24-9832-7D6BA94887C6", "Link")</f>
        <v/>
      </c>
      <c r="E110" s="3" t="n">
        <v>850.005</v>
      </c>
      <c r="F110" s="4" t="n">
        <v>25</v>
      </c>
      <c r="G110" t="inlineStr">
        <is>
          <t>Tennis Québec</t>
        </is>
      </c>
      <c r="H110" t="inlineStr">
        <is>
          <t>Tennis Montréal Excellence</t>
        </is>
      </c>
      <c r="I110" t="n">
        <v>26.7</v>
      </c>
      <c r="J110" s="4" t="n">
        <v>133</v>
      </c>
      <c r="K110" t="inlineStr">
        <is>
          <t>63 / 70</t>
        </is>
      </c>
      <c r="L110" t="inlineStr">
        <is>
          <t>28 / 23</t>
        </is>
      </c>
      <c r="M110" s="5" t="n">
        <v>0.47</v>
      </c>
      <c r="N110" s="5" t="n">
        <v>0.55</v>
      </c>
    </row>
    <row r="111">
      <c r="A111" t="n">
        <v>110</v>
      </c>
      <c r="B111" t="n">
        <v>2012</v>
      </c>
      <c r="C111" t="inlineStr">
        <is>
          <t>Estelle Kroupetski</t>
        </is>
      </c>
      <c r="D111">
        <f>HYPERLINK("https://ota.tournamentsoftware.com/player-profile/7A8D0D40-A77C-429C-81D6-05DC21DB8D28", "Link")</f>
        <v/>
      </c>
      <c r="E111" s="3" t="n">
        <v>846.264</v>
      </c>
      <c r="F111" s="4" t="n">
        <v>18</v>
      </c>
      <c r="G111" t="inlineStr">
        <is>
          <t>Ontario Tennis Association</t>
        </is>
      </c>
      <c r="H111" t="inlineStr">
        <is>
          <t>Ontario Racquet Club</t>
        </is>
      </c>
      <c r="I111" t="n">
        <v>28</v>
      </c>
      <c r="J111" s="4" t="n">
        <v>145</v>
      </c>
      <c r="K111" t="inlineStr">
        <is>
          <t>72 / 73</t>
        </is>
      </c>
      <c r="L111" t="inlineStr">
        <is>
          <t>28 / 11</t>
        </is>
      </c>
      <c r="M111" s="5" t="n">
        <v>0.5</v>
      </c>
      <c r="N111" s="5" t="n">
        <v>0.72</v>
      </c>
    </row>
    <row r="112">
      <c r="A112" t="n">
        <v>111</v>
      </c>
      <c r="B112" t="n">
        <v>2012</v>
      </c>
      <c r="C112" t="inlineStr">
        <is>
          <t>Emma Abdou</t>
        </is>
      </c>
      <c r="D112">
        <f>HYPERLINK("https://ota.tournamentsoftware.com/player-profile/FD6387AB-774D-491E-8A68-CE4DD20FAEF7", "Link")</f>
        <v/>
      </c>
      <c r="E112" s="3" t="n">
        <v>837.727</v>
      </c>
      <c r="F112" s="4" t="n">
        <v>34</v>
      </c>
      <c r="G112" t="inlineStr">
        <is>
          <t>Ontario Tennis Association</t>
        </is>
      </c>
      <c r="H112" t="inlineStr">
        <is>
          <t>Granite Club</t>
        </is>
      </c>
      <c r="I112" t="n">
        <v>29.7</v>
      </c>
      <c r="J112" s="4" t="n">
        <v>213</v>
      </c>
      <c r="K112" t="inlineStr">
        <is>
          <t>102 / 111</t>
        </is>
      </c>
      <c r="L112" t="inlineStr">
        <is>
          <t>34 / 28</t>
        </is>
      </c>
      <c r="M112" s="5" t="n">
        <v>0.48</v>
      </c>
      <c r="N112" s="5" t="n">
        <v>0.55</v>
      </c>
    </row>
    <row r="113">
      <c r="A113" t="n">
        <v>112</v>
      </c>
      <c r="B113" t="n">
        <v>2014</v>
      </c>
      <c r="C113" t="inlineStr">
        <is>
          <t>Thanida (Belle) Shaipanich</t>
        </is>
      </c>
      <c r="D113">
        <f>HYPERLINK("https://ota.tournamentsoftware.com/player-profile/98546C72-5CCA-44E8-AFB9-20B9D560E5E3", "Link")</f>
        <v/>
      </c>
      <c r="E113" s="3" t="n">
        <v>835.515</v>
      </c>
      <c r="F113" s="4" t="n">
        <v>15</v>
      </c>
      <c r="G113" t="inlineStr">
        <is>
          <t>British Columbia</t>
        </is>
      </c>
      <c r="H113" t="inlineStr">
        <is>
          <t>UBC Tennis Centre</t>
        </is>
      </c>
      <c r="I113" t="n">
        <v>27.7</v>
      </c>
      <c r="J113" s="4" t="n">
        <v>206</v>
      </c>
      <c r="K113" t="inlineStr">
        <is>
          <t>148 / 58</t>
        </is>
      </c>
      <c r="L113" t="inlineStr">
        <is>
          <t>31 / 21</t>
        </is>
      </c>
      <c r="M113" s="5" t="n">
        <v>0.72</v>
      </c>
      <c r="N113" s="5" t="n">
        <v>0.6</v>
      </c>
    </row>
    <row r="114">
      <c r="A114" t="n">
        <v>113</v>
      </c>
      <c r="B114" t="n">
        <v>2012</v>
      </c>
      <c r="C114" t="inlineStr">
        <is>
          <t>Zenaida May Kolesnikov</t>
        </is>
      </c>
      <c r="D114">
        <f>HYPERLINK("https://ota.tournamentsoftware.com/player-profile/0D20CA06-CC79-483F-87DD-AD6F5FC76972", "Link")</f>
        <v/>
      </c>
      <c r="E114" s="3" t="n">
        <v>834.88</v>
      </c>
      <c r="F114" s="4" t="n">
        <v>5</v>
      </c>
      <c r="G114" t="inlineStr">
        <is>
          <t>Ontario Tennis Association</t>
        </is>
      </c>
      <c r="H114" t="inlineStr">
        <is>
          <t>Kew Gardens Tennis Club</t>
        </is>
      </c>
      <c r="I114" t="n">
        <v>24.3</v>
      </c>
      <c r="J114" s="4" t="n">
        <v>87</v>
      </c>
      <c r="K114" t="inlineStr">
        <is>
          <t>67 / 20</t>
        </is>
      </c>
      <c r="L114" t="inlineStr">
        <is>
          <t>13 / 3</t>
        </is>
      </c>
      <c r="M114" s="5" t="n">
        <v>0.77</v>
      </c>
      <c r="N114" s="5" t="n">
        <v>0.8100000000000001</v>
      </c>
    </row>
    <row r="115">
      <c r="A115" t="n">
        <v>114</v>
      </c>
      <c r="B115" t="n">
        <v>2013</v>
      </c>
      <c r="C115" t="inlineStr">
        <is>
          <t>Natalia Sena</t>
        </is>
      </c>
      <c r="D115">
        <f>HYPERLINK("https://ota.tournamentsoftware.com/player-profile/D89592D5-D2EA-499E-9A9C-8B20B391C761", "Link")</f>
        <v/>
      </c>
      <c r="E115" s="3" t="n">
        <v>830.0940000000001</v>
      </c>
      <c r="F115" s="4" t="n">
        <v>29</v>
      </c>
      <c r="G115" t="inlineStr">
        <is>
          <t>Tennis Québec</t>
        </is>
      </c>
      <c r="H115" t="inlineStr">
        <is>
          <t>No Club</t>
        </is>
      </c>
      <c r="I115" t="n">
        <v>28.9</v>
      </c>
      <c r="J115" s="4" t="n">
        <v>91</v>
      </c>
      <c r="K115" t="inlineStr">
        <is>
          <t>47 / 44</t>
        </is>
      </c>
      <c r="L115" t="inlineStr">
        <is>
          <t>28 / 15</t>
        </is>
      </c>
      <c r="M115" s="5" t="n">
        <v>0.52</v>
      </c>
      <c r="N115" s="5" t="n">
        <v>0.65</v>
      </c>
    </row>
    <row r="116">
      <c r="A116" t="n">
        <v>115</v>
      </c>
      <c r="B116" t="n">
        <v>2014</v>
      </c>
      <c r="C116" t="inlineStr">
        <is>
          <t>Edwina Ed Xue</t>
        </is>
      </c>
      <c r="D116">
        <f>HYPERLINK("https://ota.tournamentsoftware.com/player-profile/16F3FDF7-F098-4A63-9D5F-87B196D248B5", "Link")</f>
        <v/>
      </c>
      <c r="E116" s="3" t="n">
        <v>821.777</v>
      </c>
      <c r="F116" s="4" t="n">
        <v>22</v>
      </c>
      <c r="G116" t="inlineStr">
        <is>
          <t>Ontario Tennis Association</t>
        </is>
      </c>
      <c r="H116" t="inlineStr">
        <is>
          <t>Granite Club</t>
        </is>
      </c>
      <c r="I116" t="n">
        <v>28.5</v>
      </c>
      <c r="J116" s="4" t="n">
        <v>288</v>
      </c>
      <c r="K116" t="inlineStr">
        <is>
          <t>169 / 119</t>
        </is>
      </c>
      <c r="L116" t="inlineStr">
        <is>
          <t>29 / 23</t>
        </is>
      </c>
      <c r="M116" s="5" t="n">
        <v>0.59</v>
      </c>
      <c r="N116" s="5" t="n">
        <v>0.5600000000000001</v>
      </c>
    </row>
    <row r="117">
      <c r="A117" t="n">
        <v>116</v>
      </c>
      <c r="B117" t="n">
        <v>2014</v>
      </c>
      <c r="C117" t="inlineStr">
        <is>
          <t>Nyah Morgan</t>
        </is>
      </c>
      <c r="D117">
        <f>HYPERLINK("https://ota.tournamentsoftware.com/player-profile/D9CA028A-3366-4954-9B65-F9840B84F93D", "Link")</f>
        <v/>
      </c>
      <c r="E117" s="3" t="n">
        <v>794.096</v>
      </c>
      <c r="F117" s="4" t="n">
        <v>22</v>
      </c>
      <c r="G117" t="inlineStr">
        <is>
          <t>Ontario Tennis Association</t>
        </is>
      </c>
      <c r="H117" t="inlineStr">
        <is>
          <t>Premier Racquet Clubs – Mississauga</t>
        </is>
      </c>
      <c r="I117" t="n">
        <v>28.3</v>
      </c>
      <c r="J117" s="4" t="n">
        <v>206</v>
      </c>
      <c r="K117" t="inlineStr">
        <is>
          <t>132 / 74</t>
        </is>
      </c>
      <c r="L117" t="inlineStr">
        <is>
          <t>30 / 18</t>
        </is>
      </c>
      <c r="M117" s="5" t="n">
        <v>0.64</v>
      </c>
      <c r="N117" s="5" t="n">
        <v>0.62</v>
      </c>
    </row>
    <row r="118">
      <c r="A118" t="n">
        <v>117</v>
      </c>
      <c r="B118" t="n">
        <v>2013</v>
      </c>
      <c r="C118" t="inlineStr">
        <is>
          <t>Melanie Moon</t>
        </is>
      </c>
      <c r="D118">
        <f>HYPERLINK("https://ota.tournamentsoftware.com/player-profile/90FC60A1-D48C-4A9A-97D8-A17B60CF6D4A", "Link")</f>
        <v/>
      </c>
      <c r="E118" s="3" t="n">
        <v>784.8390000000001</v>
      </c>
      <c r="F118" s="4" t="n">
        <v>15</v>
      </c>
      <c r="G118" t="inlineStr">
        <is>
          <t>British Columbia</t>
        </is>
      </c>
      <c r="H118" t="inlineStr">
        <is>
          <t>Vancouver Lawn Tennis and Badminton Club</t>
        </is>
      </c>
      <c r="I118" t="n">
        <v>28.3</v>
      </c>
      <c r="J118" s="4" t="n">
        <v>236</v>
      </c>
      <c r="K118" t="inlineStr">
        <is>
          <t>119 / 117</t>
        </is>
      </c>
      <c r="L118" t="inlineStr">
        <is>
          <t>10 / 17</t>
        </is>
      </c>
      <c r="M118" s="5" t="n">
        <v>0.5</v>
      </c>
      <c r="N118" s="5" t="n">
        <v>0.37</v>
      </c>
    </row>
    <row r="119">
      <c r="A119" t="n">
        <v>118</v>
      </c>
      <c r="B119" t="n">
        <v>2013</v>
      </c>
      <c r="C119" t="inlineStr">
        <is>
          <t>Élianne Bouchard</t>
        </is>
      </c>
      <c r="D119">
        <f>HYPERLINK("https://ota.tournamentsoftware.com/player-profile/44233F45-64EC-49B2-AA72-859E176C2987", "Link")</f>
        <v/>
      </c>
      <c r="E119" s="3" t="n">
        <v>784.313</v>
      </c>
      <c r="F119" s="4" t="n">
        <v>29</v>
      </c>
      <c r="G119" t="inlineStr">
        <is>
          <t>Tennis Québec</t>
        </is>
      </c>
      <c r="H119" t="inlineStr">
        <is>
          <t>Tennis Interclub Piedmont</t>
        </is>
      </c>
      <c r="I119" t="n">
        <v>29.5</v>
      </c>
      <c r="J119" s="4" t="n">
        <v>246</v>
      </c>
      <c r="K119" t="inlineStr">
        <is>
          <t>115 / 131</t>
        </is>
      </c>
      <c r="L119" t="inlineStr">
        <is>
          <t>29 / 23</t>
        </is>
      </c>
      <c r="M119" s="5" t="n">
        <v>0.47</v>
      </c>
      <c r="N119" s="5" t="n">
        <v>0.5600000000000001</v>
      </c>
    </row>
    <row r="120">
      <c r="A120" t="n">
        <v>119</v>
      </c>
      <c r="B120" t="n">
        <v>2012</v>
      </c>
      <c r="C120" t="inlineStr">
        <is>
          <t>Penelope Brandt</t>
        </is>
      </c>
      <c r="D120">
        <f>HYPERLINK("https://ota.tournamentsoftware.com/player-profile/AA2E46A9-EC33-4492-A527-0C8E0CA405B0", "Link")</f>
        <v/>
      </c>
      <c r="E120" s="3" t="n">
        <v>784.1559999999999</v>
      </c>
      <c r="F120" s="4" t="n">
        <v>25</v>
      </c>
      <c r="G120" t="inlineStr">
        <is>
          <t>Tennis Québec</t>
        </is>
      </c>
      <c r="H120" t="inlineStr">
        <is>
          <t>SANI Sport</t>
        </is>
      </c>
      <c r="I120" t="n">
        <v>27.9</v>
      </c>
      <c r="J120" s="4" t="n">
        <v>245</v>
      </c>
      <c r="K120" t="inlineStr">
        <is>
          <t>123 / 122</t>
        </is>
      </c>
      <c r="L120" t="inlineStr">
        <is>
          <t>32 / 21</t>
        </is>
      </c>
      <c r="M120" s="5" t="n">
        <v>0.5</v>
      </c>
      <c r="N120" s="5" t="n">
        <v>0.6</v>
      </c>
    </row>
    <row r="121">
      <c r="A121" t="n">
        <v>120</v>
      </c>
      <c r="B121" t="n">
        <v>2013</v>
      </c>
      <c r="C121" t="inlineStr">
        <is>
          <t>Navya Chawla</t>
        </is>
      </c>
      <c r="D121">
        <f>HYPERLINK("https://ota.tournamentsoftware.com/player-profile/26838C23-66D4-4CAD-825B-C69620EB242D", "Link")</f>
        <v/>
      </c>
      <c r="E121" s="3" t="n">
        <v>777.96</v>
      </c>
      <c r="F121" s="4" t="n">
        <v>18</v>
      </c>
      <c r="G121" t="inlineStr">
        <is>
          <t>Tennis Alberta</t>
        </is>
      </c>
      <c r="H121" t="inlineStr">
        <is>
          <t>Osten &amp; Victor Alberta Tennis Centre</t>
        </is>
      </c>
      <c r="I121" t="n">
        <v>24.6</v>
      </c>
      <c r="J121" s="4" t="n">
        <v>281</v>
      </c>
      <c r="K121" t="inlineStr">
        <is>
          <t>178 / 103</t>
        </is>
      </c>
      <c r="L121" t="inlineStr">
        <is>
          <t>14 / 13</t>
        </is>
      </c>
      <c r="M121" s="5" t="n">
        <v>0.63</v>
      </c>
      <c r="N121" s="5" t="n">
        <v>0.52</v>
      </c>
    </row>
    <row r="122">
      <c r="A122" t="n">
        <v>121</v>
      </c>
      <c r="B122" t="n">
        <v>2015</v>
      </c>
      <c r="C122" t="inlineStr">
        <is>
          <t>Olivia Lu</t>
        </is>
      </c>
      <c r="D122">
        <f>HYPERLINK("https://ota.tournamentsoftware.com/player-profile/807CAE71-A1FD-4ED2-952F-E0EDBF0E66E6", "Link")</f>
        <v/>
      </c>
      <c r="E122" s="3" t="n">
        <v>767.184</v>
      </c>
      <c r="F122" s="4" t="n">
        <v>23</v>
      </c>
      <c r="G122" t="inlineStr">
        <is>
          <t>Ontario Tennis Association</t>
        </is>
      </c>
      <c r="H122" t="inlineStr">
        <is>
          <t>Advantage Tennis International at Veneto</t>
        </is>
      </c>
      <c r="I122" t="n">
        <v>30.7</v>
      </c>
      <c r="J122" s="4" t="n">
        <v>161</v>
      </c>
      <c r="K122" t="inlineStr">
        <is>
          <t>93 / 68</t>
        </is>
      </c>
      <c r="L122" t="inlineStr">
        <is>
          <t>26 / 16</t>
        </is>
      </c>
      <c r="M122" s="5" t="n">
        <v>0.58</v>
      </c>
      <c r="N122" s="5" t="n">
        <v>0.62</v>
      </c>
    </row>
    <row r="123">
      <c r="A123" t="n">
        <v>122</v>
      </c>
      <c r="B123" t="n">
        <v>2012</v>
      </c>
      <c r="C123" t="inlineStr">
        <is>
          <t>Lourdes Valentina Haun</t>
        </is>
      </c>
      <c r="D123">
        <f>HYPERLINK("https://ota.tournamentsoftware.com/player-profile/97D1640C-AAFD-43B2-8C9A-BAA1649A3937", "Link")</f>
        <v/>
      </c>
      <c r="E123" s="3" t="n">
        <v>761.729</v>
      </c>
      <c r="F123" s="4" t="n">
        <v>14</v>
      </c>
      <c r="G123" t="inlineStr">
        <is>
          <t>Tennis Alberta</t>
        </is>
      </c>
      <c r="H123" t="inlineStr">
        <is>
          <t>Osten &amp; Victor Alberta Tennis Centre</t>
        </is>
      </c>
      <c r="I123" t="n">
        <v>26.2</v>
      </c>
      <c r="J123" s="4" t="n">
        <v>292</v>
      </c>
      <c r="K123" t="inlineStr">
        <is>
          <t>170 / 122</t>
        </is>
      </c>
      <c r="L123" t="inlineStr">
        <is>
          <t>21 / 16</t>
        </is>
      </c>
      <c r="M123" s="5" t="n">
        <v>0.58</v>
      </c>
      <c r="N123" s="5" t="n">
        <v>0.57</v>
      </c>
    </row>
    <row r="124">
      <c r="A124" t="n">
        <v>123</v>
      </c>
      <c r="B124" t="n">
        <v>2012</v>
      </c>
      <c r="C124" t="inlineStr">
        <is>
          <t>Victoria Chow</t>
        </is>
      </c>
      <c r="D124">
        <f>HYPERLINK("https://ota.tournamentsoftware.com/player-profile/7A966C5F-11C4-49ED-9F9D-2B1D18AB7E3B", "Link")</f>
        <v/>
      </c>
      <c r="E124" s="3" t="n">
        <v>743.375</v>
      </c>
      <c r="F124" s="4" t="n">
        <v>20</v>
      </c>
      <c r="G124" t="inlineStr">
        <is>
          <t>Ontario Tennis Association</t>
        </is>
      </c>
      <c r="H124" t="inlineStr">
        <is>
          <t>No Club</t>
        </is>
      </c>
      <c r="I124" t="inlineStr">
        <is>
          <t>unavailable</t>
        </is>
      </c>
      <c r="J124" s="4" t="n">
        <v>278</v>
      </c>
      <c r="K124" t="inlineStr">
        <is>
          <t>141 / 137</t>
        </is>
      </c>
      <c r="L124" t="inlineStr">
        <is>
          <t>15 / 23</t>
        </is>
      </c>
      <c r="M124" s="5" t="n">
        <v>0.51</v>
      </c>
      <c r="N124" s="5" t="n">
        <v>0.39</v>
      </c>
    </row>
    <row r="125">
      <c r="A125" t="n">
        <v>124</v>
      </c>
      <c r="B125" t="n">
        <v>2014</v>
      </c>
      <c r="C125" t="inlineStr">
        <is>
          <t>Michelle Zhang</t>
        </is>
      </c>
      <c r="D125">
        <f>HYPERLINK("https://ota.tournamentsoftware.com/player-profile/9912697B-2876-4A36-8F98-3B7F524694E1", "Link")</f>
        <v/>
      </c>
      <c r="E125" s="3" t="n">
        <v>738.6799999999999</v>
      </c>
      <c r="F125" s="4" t="n">
        <v>12</v>
      </c>
      <c r="G125" t="inlineStr">
        <is>
          <t>Tennis Nova Scotia</t>
        </is>
      </c>
      <c r="H125" t="inlineStr">
        <is>
          <t>Atlantic Tennis Centre</t>
        </is>
      </c>
      <c r="I125" t="n">
        <v>30.2</v>
      </c>
      <c r="J125" s="4" t="n">
        <v>157</v>
      </c>
      <c r="K125" t="inlineStr">
        <is>
          <t>88 / 69</t>
        </is>
      </c>
      <c r="L125" t="inlineStr">
        <is>
          <t>26 / 28</t>
        </is>
      </c>
      <c r="M125" s="5" t="n">
        <v>0.5600000000000001</v>
      </c>
      <c r="N125" s="5" t="n">
        <v>0.48</v>
      </c>
    </row>
    <row r="126">
      <c r="A126" t="n">
        <v>125</v>
      </c>
      <c r="B126" t="n">
        <v>2012</v>
      </c>
      <c r="C126" t="inlineStr">
        <is>
          <t>Joanna Pananchickal</t>
        </is>
      </c>
      <c r="D126">
        <f>HYPERLINK("https://ota.tournamentsoftware.com/player-profile/6487D297-D67D-4189-9D3C-05A8EA398E60", "Link")</f>
        <v/>
      </c>
      <c r="E126" s="3" t="n">
        <v>722.931</v>
      </c>
      <c r="F126" s="4" t="n">
        <v>12</v>
      </c>
      <c r="G126" t="inlineStr">
        <is>
          <t>Ontario Tennis Association</t>
        </is>
      </c>
      <c r="H126" t="inlineStr">
        <is>
          <t>No Club</t>
        </is>
      </c>
      <c r="I126" t="n">
        <v>30.6</v>
      </c>
      <c r="J126" s="4" t="n">
        <v>66</v>
      </c>
      <c r="K126" t="inlineStr">
        <is>
          <t>31 / 35</t>
        </is>
      </c>
      <c r="L126" t="inlineStr">
        <is>
          <t>13 / 7</t>
        </is>
      </c>
      <c r="M126" s="5" t="n">
        <v>0.47</v>
      </c>
      <c r="N126" s="5" t="n">
        <v>0.65</v>
      </c>
    </row>
    <row r="127">
      <c r="A127" t="n">
        <v>126</v>
      </c>
      <c r="B127" t="n">
        <v>2012</v>
      </c>
      <c r="C127" t="inlineStr">
        <is>
          <t>Meika Sebastian</t>
        </is>
      </c>
      <c r="D127">
        <f>HYPERLINK("https://ota.tournamentsoftware.com/player-profile/0CA7407B-419A-43BA-82FB-32200AA68BA2", "Link")</f>
        <v/>
      </c>
      <c r="E127" s="3" t="n">
        <v>719.111</v>
      </c>
      <c r="F127" s="4" t="n">
        <v>8</v>
      </c>
      <c r="G127" t="inlineStr">
        <is>
          <t>Ontario Tennis Association</t>
        </is>
      </c>
      <c r="H127" t="inlineStr">
        <is>
          <t>City of Kingston</t>
        </is>
      </c>
      <c r="I127" t="n">
        <v>24.8</v>
      </c>
      <c r="J127" s="4" t="n">
        <v>287</v>
      </c>
      <c r="K127" t="inlineStr">
        <is>
          <t>147 / 140</t>
        </is>
      </c>
      <c r="L127" t="inlineStr">
        <is>
          <t>0 / 4</t>
        </is>
      </c>
      <c r="M127" s="5" t="n">
        <v>0.51</v>
      </c>
      <c r="N127" s="5" t="n">
        <v>0</v>
      </c>
    </row>
    <row r="128">
      <c r="A128" t="n">
        <v>127</v>
      </c>
      <c r="B128" t="n">
        <v>2014</v>
      </c>
      <c r="C128" t="inlineStr">
        <is>
          <t>Nuanyi Li</t>
        </is>
      </c>
      <c r="D128">
        <f>HYPERLINK("https://ota.tournamentsoftware.com/player-profile/341DA394-9039-4254-B369-B8C52872A168", "Link")</f>
        <v/>
      </c>
      <c r="E128" s="3" t="n">
        <v>710.697</v>
      </c>
      <c r="F128" s="4" t="n">
        <v>29</v>
      </c>
      <c r="G128" t="inlineStr">
        <is>
          <t>Ontario Tennis Association</t>
        </is>
      </c>
      <c r="H128" t="inlineStr">
        <is>
          <t>Fainblum Tennis Academy</t>
        </is>
      </c>
      <c r="I128" t="n">
        <v>28.4</v>
      </c>
      <c r="J128" s="4" t="n">
        <v>289</v>
      </c>
      <c r="K128" t="inlineStr">
        <is>
          <t>179 / 110</t>
        </is>
      </c>
      <c r="L128" t="inlineStr">
        <is>
          <t>28 / 27</t>
        </is>
      </c>
      <c r="M128" s="5" t="n">
        <v>0.62</v>
      </c>
      <c r="N128" s="5" t="n">
        <v>0.51</v>
      </c>
    </row>
    <row r="129">
      <c r="A129" t="n">
        <v>128</v>
      </c>
      <c r="B129" t="n">
        <v>2012</v>
      </c>
      <c r="C129" t="inlineStr">
        <is>
          <t>Dina Yijia Zhang</t>
        </is>
      </c>
      <c r="D129">
        <f>HYPERLINK("https://ota.tournamentsoftware.com/player-profile/CF7261D5-5723-40A9-853D-2B21D7A35985", "Link")</f>
        <v/>
      </c>
      <c r="E129" s="3" t="n">
        <v>703.611</v>
      </c>
      <c r="F129" s="4" t="n">
        <v>9</v>
      </c>
      <c r="G129" t="inlineStr">
        <is>
          <t>Tennis Nova Scotia</t>
        </is>
      </c>
      <c r="H129" t="inlineStr">
        <is>
          <t>HEADSTART</t>
        </is>
      </c>
      <c r="I129" t="n">
        <v>30.8</v>
      </c>
      <c r="J129" s="4" t="n">
        <v>158</v>
      </c>
      <c r="K129" t="inlineStr">
        <is>
          <t>64 / 94</t>
        </is>
      </c>
      <c r="L129" t="inlineStr">
        <is>
          <t>8 / 15</t>
        </is>
      </c>
      <c r="M129" s="5" t="n">
        <v>0.41</v>
      </c>
      <c r="N129" s="5" t="n">
        <v>0.35</v>
      </c>
    </row>
    <row r="130">
      <c r="A130" t="n">
        <v>129</v>
      </c>
      <c r="B130" t="n">
        <v>2013</v>
      </c>
      <c r="C130" t="inlineStr">
        <is>
          <t>Elena Vamoser</t>
        </is>
      </c>
      <c r="D130">
        <f>HYPERLINK("https://ota.tournamentsoftware.com/player-profile/F839ADA6-2875-4712-9FE7-C958E075D669", "Link")</f>
        <v/>
      </c>
      <c r="E130" s="3" t="n">
        <v>697.77</v>
      </c>
      <c r="F130" s="4" t="n">
        <v>25</v>
      </c>
      <c r="G130" t="inlineStr">
        <is>
          <t>Ontario Tennis Association</t>
        </is>
      </c>
      <c r="H130" t="inlineStr">
        <is>
          <t>ACE Tennis - Burlington</t>
        </is>
      </c>
      <c r="I130" t="n">
        <v>30.7</v>
      </c>
      <c r="J130" s="4" t="n">
        <v>128</v>
      </c>
      <c r="K130" t="inlineStr">
        <is>
          <t>74 / 54</t>
        </is>
      </c>
      <c r="L130" t="inlineStr">
        <is>
          <t>15 / 17</t>
        </is>
      </c>
      <c r="M130" s="5" t="n">
        <v>0.58</v>
      </c>
      <c r="N130" s="5" t="n">
        <v>0.47</v>
      </c>
    </row>
    <row r="131">
      <c r="A131" t="n">
        <v>130</v>
      </c>
      <c r="B131" t="n">
        <v>2016</v>
      </c>
      <c r="C131" t="inlineStr">
        <is>
          <t>Kaili Ear Gui</t>
        </is>
      </c>
      <c r="D131">
        <f>HYPERLINK("https://ota.tournamentsoftware.com/player-profile/6E1FCBA7-1BA6-4DCA-9440-D121E3710638", "Link")</f>
        <v/>
      </c>
      <c r="E131" s="3" t="n">
        <v>695.772</v>
      </c>
      <c r="F131" s="4" t="n">
        <v>13</v>
      </c>
      <c r="G131" t="inlineStr">
        <is>
          <t>Tennis Saskatchewan</t>
        </is>
      </c>
      <c r="H131" t="inlineStr">
        <is>
          <t>Lakeshore Tennis Club</t>
        </is>
      </c>
      <c r="I131" t="n">
        <v>31.7</v>
      </c>
      <c r="J131" s="4" t="n">
        <v>147</v>
      </c>
      <c r="K131" t="inlineStr">
        <is>
          <t>84 / 63</t>
        </is>
      </c>
      <c r="L131" t="inlineStr">
        <is>
          <t>35 / 30</t>
        </is>
      </c>
      <c r="M131" s="5" t="n">
        <v>0.57</v>
      </c>
      <c r="N131" s="5" t="n">
        <v>0.54</v>
      </c>
    </row>
    <row r="132">
      <c r="A132" t="n">
        <v>131</v>
      </c>
      <c r="B132" t="n">
        <v>2012</v>
      </c>
      <c r="C132" t="inlineStr">
        <is>
          <t>Avea Ungureanu Pinto</t>
        </is>
      </c>
      <c r="D132">
        <f>HYPERLINK("https://ota.tournamentsoftware.com/player-profile/527FEC9E-D920-4439-9E01-51A3CFDED939", "Link")</f>
        <v/>
      </c>
      <c r="E132" s="3" t="n">
        <v>681.7809999999999</v>
      </c>
      <c r="F132" s="4" t="n">
        <v>26</v>
      </c>
      <c r="G132" t="inlineStr">
        <is>
          <t>Ontario Tennis Association</t>
        </is>
      </c>
      <c r="H132" t="inlineStr">
        <is>
          <t>Mayfair East Racquet Club</t>
        </is>
      </c>
      <c r="I132" t="n">
        <v>28.3</v>
      </c>
      <c r="J132" s="4" t="n">
        <v>144</v>
      </c>
      <c r="K132" t="inlineStr">
        <is>
          <t>78 / 66</t>
        </is>
      </c>
      <c r="L132" t="inlineStr">
        <is>
          <t>23 / 17</t>
        </is>
      </c>
      <c r="M132" s="5" t="n">
        <v>0.54</v>
      </c>
      <c r="N132" s="5" t="n">
        <v>0.57</v>
      </c>
    </row>
    <row r="133">
      <c r="A133" t="n">
        <v>132</v>
      </c>
      <c r="B133" t="n">
        <v>2012</v>
      </c>
      <c r="C133" t="inlineStr">
        <is>
          <t>Anna Lucenti</t>
        </is>
      </c>
      <c r="D133">
        <f>HYPERLINK("https://ota.tournamentsoftware.com/player-profile/332E40CD-AB90-41CE-81C3-858501B2FAD3", "Link")</f>
        <v/>
      </c>
      <c r="E133" s="3" t="n">
        <v>680.645</v>
      </c>
      <c r="F133" s="4" t="n">
        <v>29</v>
      </c>
      <c r="G133" t="inlineStr">
        <is>
          <t>Ontario Tennis Association</t>
        </is>
      </c>
      <c r="H133" t="inlineStr">
        <is>
          <t>SmartVMC Racquetsports by ACE</t>
        </is>
      </c>
      <c r="I133" t="n">
        <v>30.6</v>
      </c>
      <c r="J133" s="4" t="n">
        <v>135</v>
      </c>
      <c r="K133" t="inlineStr">
        <is>
          <t>57 / 78</t>
        </is>
      </c>
      <c r="L133" t="inlineStr">
        <is>
          <t>24 / 15</t>
        </is>
      </c>
      <c r="M133" s="5" t="n">
        <v>0.42</v>
      </c>
      <c r="N133" s="5" t="n">
        <v>0.62</v>
      </c>
    </row>
    <row r="134">
      <c r="A134" t="n">
        <v>133</v>
      </c>
      <c r="B134" t="n">
        <v>2013</v>
      </c>
      <c r="C134" t="inlineStr">
        <is>
          <t>Leyan Isabella Yik Sum Leung</t>
        </is>
      </c>
      <c r="D134">
        <f>HYPERLINK("https://ota.tournamentsoftware.com/player-profile/7FB2D792-ABB2-4F05-B9D4-757321E9FA35", "Link")</f>
        <v/>
      </c>
      <c r="E134" s="3" t="n">
        <v>663.989</v>
      </c>
      <c r="F134" s="4" t="n">
        <v>21</v>
      </c>
      <c r="G134" t="inlineStr">
        <is>
          <t>British Columbia</t>
        </is>
      </c>
      <c r="H134" t="inlineStr">
        <is>
          <t>Vanguard Tennis Academy</t>
        </is>
      </c>
      <c r="I134" t="n">
        <v>27.2</v>
      </c>
      <c r="J134" s="4" t="n">
        <v>127</v>
      </c>
      <c r="K134" t="inlineStr">
        <is>
          <t>82 / 45</t>
        </is>
      </c>
      <c r="L134" t="inlineStr">
        <is>
          <t>32 / 17</t>
        </is>
      </c>
      <c r="M134" s="5" t="n">
        <v>0.65</v>
      </c>
      <c r="N134" s="5" t="n">
        <v>0.65</v>
      </c>
    </row>
    <row r="135">
      <c r="A135" t="n">
        <v>134</v>
      </c>
      <c r="B135" t="n">
        <v>2014</v>
      </c>
      <c r="C135" t="inlineStr">
        <is>
          <t>Fengfei ZHANG</t>
        </is>
      </c>
      <c r="D135">
        <f>HYPERLINK("https://ota.tournamentsoftware.com/player-profile/AB18AFB2-DEDF-42AF-BFB1-458553AF250C", "Link")</f>
        <v/>
      </c>
      <c r="E135" s="3" t="n">
        <v>661.9109999999999</v>
      </c>
      <c r="F135" s="4" t="n">
        <v>30</v>
      </c>
      <c r="G135" t="inlineStr">
        <is>
          <t>Tennis Québec</t>
        </is>
      </c>
      <c r="H135" t="inlineStr">
        <is>
          <t>Tennis Ile- des- Soeurs</t>
        </is>
      </c>
      <c r="I135" t="n">
        <v>29.6</v>
      </c>
      <c r="J135" s="4" t="n">
        <v>235</v>
      </c>
      <c r="K135" t="inlineStr">
        <is>
          <t>103 / 132</t>
        </is>
      </c>
      <c r="L135" t="inlineStr">
        <is>
          <t>37 / 32</t>
        </is>
      </c>
      <c r="M135" s="5" t="n">
        <v>0.44</v>
      </c>
      <c r="N135" s="5" t="n">
        <v>0.54</v>
      </c>
    </row>
    <row r="136">
      <c r="A136" t="n">
        <v>135</v>
      </c>
      <c r="B136" t="n">
        <v>2012</v>
      </c>
      <c r="C136" t="inlineStr">
        <is>
          <t>Cindy Zixuan Li</t>
        </is>
      </c>
      <c r="D136">
        <f>HYPERLINK("https://ota.tournamentsoftware.com/player-profile/23E61DC5-74BF-4612-8E7F-7DA0B013D911", "Link")</f>
        <v/>
      </c>
      <c r="E136" s="3" t="n">
        <v>661.299</v>
      </c>
      <c r="F136" s="4" t="n">
        <v>9</v>
      </c>
      <c r="G136" t="inlineStr">
        <is>
          <t>British Columbia</t>
        </is>
      </c>
      <c r="H136" t="inlineStr">
        <is>
          <t>Vanguard Tennis Academy</t>
        </is>
      </c>
      <c r="I136" t="n">
        <v>27.2</v>
      </c>
      <c r="J136" s="4" t="n">
        <v>137</v>
      </c>
      <c r="K136" t="inlineStr">
        <is>
          <t>69 / 68</t>
        </is>
      </c>
      <c r="L136" t="inlineStr">
        <is>
          <t>8 / 7</t>
        </is>
      </c>
      <c r="M136" s="5" t="n">
        <v>0.5</v>
      </c>
      <c r="N136" s="5" t="n">
        <v>0.53</v>
      </c>
    </row>
    <row r="137">
      <c r="A137" t="n">
        <v>136</v>
      </c>
      <c r="B137" t="n">
        <v>2012</v>
      </c>
      <c r="C137" t="inlineStr">
        <is>
          <t>Luisa Victoria Davis</t>
        </is>
      </c>
      <c r="D137">
        <f>HYPERLINK("https://ota.tournamentsoftware.com/player-profile/F5AE6D4A-50BA-4E57-AD34-589189161D57", "Link")</f>
        <v/>
      </c>
      <c r="E137" s="3" t="n">
        <v>656.047</v>
      </c>
      <c r="F137" s="4" t="n">
        <v>12</v>
      </c>
      <c r="G137" t="inlineStr">
        <is>
          <t>Ontario Tennis Association</t>
        </is>
      </c>
      <c r="H137" t="inlineStr">
        <is>
          <t>Mayfair West Fitness &amp; Racquet Club</t>
        </is>
      </c>
      <c r="I137" t="inlineStr">
        <is>
          <t>unavailable</t>
        </is>
      </c>
      <c r="J137" s="4" t="n">
        <v>200</v>
      </c>
      <c r="K137" t="inlineStr">
        <is>
          <t>128 / 72</t>
        </is>
      </c>
      <c r="L137" t="inlineStr">
        <is>
          <t>6 / 10</t>
        </is>
      </c>
      <c r="M137" s="5" t="n">
        <v>0.64</v>
      </c>
      <c r="N137" s="5" t="n">
        <v>0.38</v>
      </c>
    </row>
    <row r="138">
      <c r="A138" t="n">
        <v>137</v>
      </c>
      <c r="B138" t="n">
        <v>2012</v>
      </c>
      <c r="C138" t="inlineStr">
        <is>
          <t>Chloe Fischer</t>
        </is>
      </c>
      <c r="D138">
        <f>HYPERLINK("https://ota.tournamentsoftware.com/player-profile/4F19921D-D25C-4DFA-8A7D-90DE48FEB722", "Link")</f>
        <v/>
      </c>
      <c r="E138" s="3" t="n">
        <v>646.653</v>
      </c>
      <c r="F138" s="4" t="n">
        <v>21</v>
      </c>
      <c r="G138" t="inlineStr">
        <is>
          <t>Ontario Tennis Association</t>
        </is>
      </c>
      <c r="H138" t="inlineStr">
        <is>
          <t>No Club</t>
        </is>
      </c>
      <c r="I138" t="n">
        <v>33.1</v>
      </c>
      <c r="J138" s="4" t="n">
        <v>218</v>
      </c>
      <c r="K138" t="inlineStr">
        <is>
          <t>102 / 116</t>
        </is>
      </c>
      <c r="L138" t="inlineStr">
        <is>
          <t>6 / 21</t>
        </is>
      </c>
      <c r="M138" s="5" t="n">
        <v>0.47</v>
      </c>
      <c r="N138" s="5" t="n">
        <v>0.22</v>
      </c>
    </row>
    <row r="139">
      <c r="A139" t="n">
        <v>138</v>
      </c>
      <c r="B139" t="n">
        <v>2015</v>
      </c>
      <c r="C139" t="inlineStr">
        <is>
          <t>Sofia Chan</t>
        </is>
      </c>
      <c r="D139">
        <f>HYPERLINK("https://ota.tournamentsoftware.com/player-profile/62C41ADF-8A1D-416E-AAF9-4C80ECB74645", "Link")</f>
        <v/>
      </c>
      <c r="E139" s="3" t="n">
        <v>643.928</v>
      </c>
      <c r="F139" s="4" t="n">
        <v>31</v>
      </c>
      <c r="G139" t="inlineStr">
        <is>
          <t>Ontario Tennis Association</t>
        </is>
      </c>
      <c r="H139" t="inlineStr">
        <is>
          <t>No Club</t>
        </is>
      </c>
      <c r="I139" t="n">
        <v>30.3</v>
      </c>
      <c r="J139" s="4" t="n">
        <v>156</v>
      </c>
      <c r="K139" t="inlineStr">
        <is>
          <t>100 / 56</t>
        </is>
      </c>
      <c r="L139" t="inlineStr">
        <is>
          <t>43 / 25</t>
        </is>
      </c>
      <c r="M139" s="5" t="n">
        <v>0.64</v>
      </c>
      <c r="N139" s="5" t="n">
        <v>0.63</v>
      </c>
    </row>
    <row r="140">
      <c r="A140" t="n">
        <v>139</v>
      </c>
      <c r="B140" t="n">
        <v>2015</v>
      </c>
      <c r="C140" t="inlineStr">
        <is>
          <t>Amy Jiao</t>
        </is>
      </c>
      <c r="D140">
        <f>HYPERLINK("https://ota.tournamentsoftware.com/player-profile/5977984B-8EC9-4812-BCFA-CD93C4FFD7AF", "Link")</f>
        <v/>
      </c>
      <c r="E140" s="3" t="n">
        <v>641.838</v>
      </c>
      <c r="F140" s="4" t="n">
        <v>24</v>
      </c>
      <c r="G140" t="inlineStr">
        <is>
          <t>Ontario Tennis Association</t>
        </is>
      </c>
      <c r="H140" t="inlineStr">
        <is>
          <t>Rideau Sports Centre</t>
        </is>
      </c>
      <c r="I140" t="n">
        <v>29.6</v>
      </c>
      <c r="J140" s="4" t="n">
        <v>297</v>
      </c>
      <c r="K140" t="inlineStr">
        <is>
          <t>168 / 129</t>
        </is>
      </c>
      <c r="L140" t="inlineStr">
        <is>
          <t>49 / 27</t>
        </is>
      </c>
      <c r="M140" s="5" t="n">
        <v>0.57</v>
      </c>
      <c r="N140" s="5" t="n">
        <v>0.64</v>
      </c>
    </row>
    <row r="141">
      <c r="A141" t="n">
        <v>140</v>
      </c>
      <c r="B141" t="n">
        <v>2012</v>
      </c>
      <c r="C141" t="inlineStr">
        <is>
          <t>Madison Tam</t>
        </is>
      </c>
      <c r="D141">
        <f>HYPERLINK("https://ota.tournamentsoftware.com/player-profile/827C7FCD-2D7D-406E-B5C0-29D0720096DC", "Link")</f>
        <v/>
      </c>
      <c r="E141" s="3" t="n">
        <v>638.2</v>
      </c>
      <c r="F141" s="4" t="n">
        <v>18</v>
      </c>
      <c r="G141" t="inlineStr">
        <is>
          <t>Ontario Tennis Association</t>
        </is>
      </c>
      <c r="H141" t="inlineStr">
        <is>
          <t>Sir Winston Churchill Tennis Club</t>
        </is>
      </c>
      <c r="I141" t="n">
        <v>29.1</v>
      </c>
      <c r="J141" s="4" t="n">
        <v>441</v>
      </c>
      <c r="K141" t="inlineStr">
        <is>
          <t>316 / 125</t>
        </is>
      </c>
      <c r="L141" t="inlineStr">
        <is>
          <t>19 / 10</t>
        </is>
      </c>
      <c r="M141" s="5" t="n">
        <v>0.72</v>
      </c>
      <c r="N141" s="5" t="n">
        <v>0.66</v>
      </c>
    </row>
    <row r="142">
      <c r="A142" t="n">
        <v>141</v>
      </c>
      <c r="B142" t="n">
        <v>2014</v>
      </c>
      <c r="C142" t="inlineStr">
        <is>
          <t>Emmanuella Ibrahim</t>
        </is>
      </c>
      <c r="D142">
        <f>HYPERLINK("https://ota.tournamentsoftware.com/player-profile/8CFFE2B1-9508-4CB2-8E6A-6761AA8394EA", "Link")</f>
        <v/>
      </c>
      <c r="E142" s="3" t="n">
        <v>628.717</v>
      </c>
      <c r="F142" s="4" t="n">
        <v>18</v>
      </c>
      <c r="G142" t="inlineStr">
        <is>
          <t>Tennis Alberta</t>
        </is>
      </c>
      <c r="H142" t="inlineStr">
        <is>
          <t>Aforza</t>
        </is>
      </c>
      <c r="I142" t="inlineStr">
        <is>
          <t>unavailable</t>
        </is>
      </c>
      <c r="J142" s="4" t="n">
        <v>190</v>
      </c>
      <c r="K142" t="inlineStr">
        <is>
          <t>137 / 53</t>
        </is>
      </c>
      <c r="L142" t="inlineStr">
        <is>
          <t>39 / 16</t>
        </is>
      </c>
      <c r="M142" s="5" t="n">
        <v>0.72</v>
      </c>
      <c r="N142" s="5" t="n">
        <v>0.71</v>
      </c>
    </row>
    <row r="143">
      <c r="A143" t="n">
        <v>142</v>
      </c>
      <c r="B143" t="n">
        <v>2012</v>
      </c>
      <c r="C143" t="inlineStr">
        <is>
          <t>Yutong (Olivia) Ha</t>
        </is>
      </c>
      <c r="D143">
        <f>HYPERLINK("https://ota.tournamentsoftware.com/player-profile/53AE0DB5-1F76-4FB8-9870-3B236A9DAA97", "Link")</f>
        <v/>
      </c>
      <c r="E143" s="3" t="n">
        <v>624.7430000000001</v>
      </c>
      <c r="F143" s="4" t="n">
        <v>16</v>
      </c>
      <c r="G143" t="inlineStr">
        <is>
          <t>Ontario Tennis Association</t>
        </is>
      </c>
      <c r="H143" t="inlineStr">
        <is>
          <t>Richmondhill Golf &amp; Country Club</t>
        </is>
      </c>
      <c r="I143" t="inlineStr">
        <is>
          <t>unavailable</t>
        </is>
      </c>
      <c r="J143" s="4" t="n">
        <v>195</v>
      </c>
      <c r="K143" t="inlineStr">
        <is>
          <t>84 / 111</t>
        </is>
      </c>
      <c r="L143" t="inlineStr">
        <is>
          <t>6 / 16</t>
        </is>
      </c>
      <c r="M143" s="5" t="n">
        <v>0.43</v>
      </c>
      <c r="N143" s="5" t="n">
        <v>0.27</v>
      </c>
    </row>
    <row r="144">
      <c r="A144" t="n">
        <v>143</v>
      </c>
      <c r="B144" t="n">
        <v>2012</v>
      </c>
      <c r="C144" t="inlineStr">
        <is>
          <t>Riddhi Jha</t>
        </is>
      </c>
      <c r="D144">
        <f>HYPERLINK("https://ota.tournamentsoftware.com/player-profile/3B4B01BB-2AAD-49DD-B186-312576B12DC9", "Link")</f>
        <v/>
      </c>
      <c r="E144" s="3" t="n">
        <v>622.258</v>
      </c>
      <c r="F144" s="4" t="n">
        <v>14</v>
      </c>
      <c r="G144" t="inlineStr">
        <is>
          <t>Ontario Tennis Association</t>
        </is>
      </c>
      <c r="H144" t="inlineStr">
        <is>
          <t>Bramalea Tennis Club</t>
        </is>
      </c>
      <c r="I144" t="n">
        <v>30.7</v>
      </c>
      <c r="J144" s="4" t="n">
        <v>241</v>
      </c>
      <c r="K144" t="inlineStr">
        <is>
          <t>89 / 152</t>
        </is>
      </c>
      <c r="L144" t="inlineStr">
        <is>
          <t>18 / 11</t>
        </is>
      </c>
      <c r="M144" s="5" t="n">
        <v>0.37</v>
      </c>
      <c r="N144" s="5" t="n">
        <v>0.62</v>
      </c>
    </row>
    <row r="145">
      <c r="A145" t="n">
        <v>144</v>
      </c>
      <c r="B145" t="n">
        <v>2014</v>
      </c>
      <c r="C145" t="inlineStr">
        <is>
          <t>Evelyn Wang</t>
        </is>
      </c>
      <c r="D145">
        <f>HYPERLINK("https://ota.tournamentsoftware.com/player-profile/3A43E7FB-647C-4296-8E8D-106421DC2080", "Link")</f>
        <v/>
      </c>
      <c r="E145" s="3" t="n">
        <v>615.356</v>
      </c>
      <c r="F145" s="4" t="n">
        <v>16</v>
      </c>
      <c r="G145" t="inlineStr">
        <is>
          <t>British Columbia</t>
        </is>
      </c>
      <c r="H145" t="inlineStr">
        <is>
          <t>UBC Tennis Centre</t>
        </is>
      </c>
      <c r="I145" t="n">
        <v>28.3</v>
      </c>
      <c r="J145" s="4" t="n">
        <v>248</v>
      </c>
      <c r="K145" t="inlineStr">
        <is>
          <t>125 / 123</t>
        </is>
      </c>
      <c r="L145" t="inlineStr">
        <is>
          <t>29 / 24</t>
        </is>
      </c>
      <c r="M145" s="5" t="n">
        <v>0.5</v>
      </c>
      <c r="N145" s="5" t="n">
        <v>0.55</v>
      </c>
    </row>
    <row r="146">
      <c r="A146" t="n">
        <v>145</v>
      </c>
      <c r="B146" t="n">
        <v>2015</v>
      </c>
      <c r="C146" t="inlineStr">
        <is>
          <t>Emma Yin</t>
        </is>
      </c>
      <c r="D146">
        <f>HYPERLINK("https://ota.tournamentsoftware.com/player-profile/F90E2576-5989-4051-9E1F-45C789378967", "Link")</f>
        <v/>
      </c>
      <c r="E146" s="3" t="n">
        <v>613.705</v>
      </c>
      <c r="F146" s="4" t="n">
        <v>11</v>
      </c>
      <c r="G146" t="inlineStr">
        <is>
          <t>Tennis Saskatchewan</t>
        </is>
      </c>
      <c r="H146" t="inlineStr">
        <is>
          <t>Lakeshore Tennis Club</t>
        </is>
      </c>
      <c r="I146" t="n">
        <v>30.1</v>
      </c>
      <c r="J146" s="4" t="n">
        <v>157</v>
      </c>
      <c r="K146" t="inlineStr">
        <is>
          <t>80 / 77</t>
        </is>
      </c>
      <c r="L146" t="inlineStr">
        <is>
          <t>34 / 22</t>
        </is>
      </c>
      <c r="M146" s="5" t="n">
        <v>0.51</v>
      </c>
      <c r="N146" s="5" t="n">
        <v>0.61</v>
      </c>
    </row>
    <row r="147">
      <c r="A147" t="n">
        <v>146</v>
      </c>
      <c r="B147" t="n">
        <v>2014</v>
      </c>
      <c r="C147" t="inlineStr">
        <is>
          <t>Alice Yu-Qi Ren</t>
        </is>
      </c>
      <c r="D147">
        <f>HYPERLINK("https://ota.tournamentsoftware.com/player-profile/FE127D3B-825E-4C4F-9666-BA4529348FE4", "Link")</f>
        <v/>
      </c>
      <c r="E147" s="3" t="n">
        <v>610.301</v>
      </c>
      <c r="F147" s="4" t="n">
        <v>19</v>
      </c>
      <c r="G147" t="inlineStr">
        <is>
          <t>Tennis Alberta</t>
        </is>
      </c>
      <c r="H147" t="inlineStr">
        <is>
          <t>Saville Community Sports Centre</t>
        </is>
      </c>
      <c r="I147" t="n">
        <v>28.2</v>
      </c>
      <c r="J147" s="4" t="n">
        <v>208</v>
      </c>
      <c r="K147" t="inlineStr">
        <is>
          <t>142 / 66</t>
        </is>
      </c>
      <c r="L147" t="inlineStr">
        <is>
          <t>39 / 17</t>
        </is>
      </c>
      <c r="M147" s="5" t="n">
        <v>0.68</v>
      </c>
      <c r="N147" s="5" t="n">
        <v>0.7</v>
      </c>
    </row>
    <row r="148">
      <c r="A148" t="n">
        <v>147</v>
      </c>
      <c r="B148" t="n">
        <v>2012</v>
      </c>
      <c r="C148" t="inlineStr">
        <is>
          <t>OLIVIA JUNHAN CAO</t>
        </is>
      </c>
      <c r="D148">
        <f>HYPERLINK("https://ota.tournamentsoftware.com/player-profile/3D68BE77-5DE2-40D9-BCC3-C836A764F3EF", "Link")</f>
        <v/>
      </c>
      <c r="E148" s="3" t="n">
        <v>608.6</v>
      </c>
      <c r="F148" s="4" t="n">
        <v>20</v>
      </c>
      <c r="G148" t="inlineStr">
        <is>
          <t>British Columbia</t>
        </is>
      </c>
      <c r="H148" t="inlineStr">
        <is>
          <t>Richmond Country Club</t>
        </is>
      </c>
      <c r="I148" t="n">
        <v>27.3</v>
      </c>
      <c r="J148" s="4" t="n">
        <v>150</v>
      </c>
      <c r="K148" t="inlineStr">
        <is>
          <t>102 / 48</t>
        </is>
      </c>
      <c r="L148" t="inlineStr">
        <is>
          <t>39 / 17</t>
        </is>
      </c>
      <c r="M148" s="5" t="n">
        <v>0.68</v>
      </c>
      <c r="N148" s="5" t="n">
        <v>0.7</v>
      </c>
    </row>
    <row r="149">
      <c r="A149" t="n">
        <v>148</v>
      </c>
      <c r="B149" t="n">
        <v>2014</v>
      </c>
      <c r="C149" t="inlineStr">
        <is>
          <t>Naomi Iamandi</t>
        </is>
      </c>
      <c r="D149">
        <f>HYPERLINK("https://ota.tournamentsoftware.com/player-profile/5653599F-FFB6-46FA-B574-E53D7FBC278E", "Link")</f>
        <v/>
      </c>
      <c r="E149" s="3" t="n">
        <v>607.422</v>
      </c>
      <c r="F149" s="4" t="n">
        <v>23</v>
      </c>
      <c r="G149" t="inlineStr">
        <is>
          <t>Ontario Tennis Association</t>
        </is>
      </c>
      <c r="H149" t="inlineStr">
        <is>
          <t>Joshua Creek Golf &amp; Tennis</t>
        </is>
      </c>
      <c r="I149" t="n">
        <v>30.3</v>
      </c>
      <c r="J149" s="4" t="n">
        <v>231</v>
      </c>
      <c r="K149" t="inlineStr">
        <is>
          <t>125 / 106</t>
        </is>
      </c>
      <c r="L149" t="inlineStr">
        <is>
          <t>16 / 25</t>
        </is>
      </c>
      <c r="M149" s="5" t="n">
        <v>0.54</v>
      </c>
      <c r="N149" s="5" t="n">
        <v>0.39</v>
      </c>
    </row>
    <row r="150">
      <c r="A150" t="n">
        <v>149</v>
      </c>
      <c r="B150" t="n">
        <v>2013</v>
      </c>
      <c r="C150" t="inlineStr">
        <is>
          <t>Blaire Ming min kaminski</t>
        </is>
      </c>
      <c r="D150">
        <f>HYPERLINK("https://ota.tournamentsoftware.com/player-profile/F1255585-993D-4DBF-ADE9-E5818DCBA131", "Link")</f>
        <v/>
      </c>
      <c r="E150" s="3" t="n">
        <v>601.103</v>
      </c>
      <c r="F150" s="4" t="n">
        <v>16</v>
      </c>
      <c r="G150" t="inlineStr">
        <is>
          <t>Tennis Alberta</t>
        </is>
      </c>
      <c r="H150" t="inlineStr">
        <is>
          <t>Osten &amp; Victor Alberta Tennis Centre</t>
        </is>
      </c>
      <c r="I150" t="inlineStr">
        <is>
          <t>unavailable</t>
        </is>
      </c>
      <c r="J150" s="4" t="n">
        <v>124</v>
      </c>
      <c r="K150" t="inlineStr">
        <is>
          <t>60 / 64</t>
        </is>
      </c>
      <c r="L150" t="inlineStr">
        <is>
          <t>15 / 13</t>
        </is>
      </c>
      <c r="M150" s="5" t="n">
        <v>0.48</v>
      </c>
      <c r="N150" s="5" t="n">
        <v>0.54</v>
      </c>
    </row>
    <row r="151">
      <c r="A151" t="n">
        <v>150</v>
      </c>
      <c r="B151" t="n">
        <v>2012</v>
      </c>
      <c r="C151" t="inlineStr">
        <is>
          <t>Marisol Hilal</t>
        </is>
      </c>
      <c r="D151">
        <f>HYPERLINK("https://ota.tournamentsoftware.com/player-profile/A59841ED-F3F4-4773-A197-5502453988FE", "Link")</f>
        <v/>
      </c>
      <c r="E151" s="3" t="n">
        <v>596.234</v>
      </c>
      <c r="F151" s="4" t="n">
        <v>32</v>
      </c>
      <c r="G151" t="inlineStr">
        <is>
          <t>Tennis Québec</t>
        </is>
      </c>
      <c r="H151" t="inlineStr">
        <is>
          <t>Carrefour Multisports</t>
        </is>
      </c>
      <c r="I151" t="n">
        <v>29.9</v>
      </c>
      <c r="J151" s="4" t="n">
        <v>286</v>
      </c>
      <c r="K151" t="inlineStr">
        <is>
          <t>115 / 171</t>
        </is>
      </c>
      <c r="L151" t="inlineStr">
        <is>
          <t>17 / 26</t>
        </is>
      </c>
      <c r="M151" s="5" t="n">
        <v>0.4</v>
      </c>
      <c r="N151" s="5" t="n">
        <v>0.4</v>
      </c>
    </row>
    <row r="152">
      <c r="A152" t="n">
        <v>151</v>
      </c>
      <c r="B152" t="n">
        <v>2013</v>
      </c>
      <c r="C152" t="inlineStr">
        <is>
          <t>Sonya Resnikova</t>
        </is>
      </c>
      <c r="D152">
        <f>HYPERLINK("https://ota.tournamentsoftware.com/player-profile/083F5EEA-6E2D-488B-B778-27E4248C2F0D", "Link")</f>
        <v/>
      </c>
      <c r="E152" s="3" t="n">
        <v>589.102</v>
      </c>
      <c r="F152" s="4" t="n">
        <v>27</v>
      </c>
      <c r="G152" t="inlineStr">
        <is>
          <t>Ontario Tennis Association</t>
        </is>
      </c>
      <c r="H152" t="inlineStr">
        <is>
          <t>SmartVMC Racquetsports by ACE</t>
        </is>
      </c>
      <c r="I152" t="n">
        <v>31.8</v>
      </c>
      <c r="J152" s="4" t="n">
        <v>87</v>
      </c>
      <c r="K152" t="inlineStr">
        <is>
          <t>55 / 32</t>
        </is>
      </c>
      <c r="L152" t="inlineStr">
        <is>
          <t>23 / 18</t>
        </is>
      </c>
      <c r="M152" s="5" t="n">
        <v>0.63</v>
      </c>
      <c r="N152" s="5" t="n">
        <v>0.5600000000000001</v>
      </c>
    </row>
    <row r="153">
      <c r="A153" t="n">
        <v>152</v>
      </c>
      <c r="B153" t="n">
        <v>2013</v>
      </c>
      <c r="C153" t="inlineStr">
        <is>
          <t>Bianca Nestor</t>
        </is>
      </c>
      <c r="D153">
        <f>HYPERLINK("https://ota.tournamentsoftware.com/player-profile/8BAE5D37-8145-43F6-9016-30DDC5E4E994", "Link")</f>
        <v/>
      </c>
      <c r="E153" s="3" t="n">
        <v>587.992</v>
      </c>
      <c r="F153" s="4" t="n">
        <v>21</v>
      </c>
      <c r="G153" t="inlineStr">
        <is>
          <t>Ontario Tennis Association</t>
        </is>
      </c>
      <c r="H153" t="inlineStr">
        <is>
          <t>Toronto Lawn Tennis Club</t>
        </is>
      </c>
      <c r="I153" t="n">
        <v>30.4</v>
      </c>
      <c r="J153" s="4" t="n">
        <v>197</v>
      </c>
      <c r="K153" t="inlineStr">
        <is>
          <t>96 / 101</t>
        </is>
      </c>
      <c r="L153" t="inlineStr">
        <is>
          <t>15 / 15</t>
        </is>
      </c>
      <c r="M153" s="5" t="n">
        <v>0.49</v>
      </c>
      <c r="N153" s="5" t="n">
        <v>0.5</v>
      </c>
    </row>
    <row r="154">
      <c r="A154" t="n">
        <v>153</v>
      </c>
      <c r="B154" t="n">
        <v>2013</v>
      </c>
      <c r="C154" t="inlineStr">
        <is>
          <t>Zoe Yeung</t>
        </is>
      </c>
      <c r="D154">
        <f>HYPERLINK("https://ota.tournamentsoftware.com/player-profile/69712725-5DA5-49A3-9C42-5A05BBB6B230", "Link")</f>
        <v/>
      </c>
      <c r="E154" s="3" t="n">
        <v>583.942</v>
      </c>
      <c r="F154" s="4" t="n">
        <v>16</v>
      </c>
      <c r="G154" t="inlineStr">
        <is>
          <t>Tennis Alberta</t>
        </is>
      </c>
      <c r="H154" t="inlineStr">
        <is>
          <t>Osten &amp; Victor Alberta Tennis Centre</t>
        </is>
      </c>
      <c r="I154" t="n">
        <v>29.2</v>
      </c>
      <c r="J154" s="4" t="n">
        <v>184</v>
      </c>
      <c r="K154" t="inlineStr">
        <is>
          <t>87 / 97</t>
        </is>
      </c>
      <c r="L154" t="inlineStr">
        <is>
          <t>13 / 16</t>
        </is>
      </c>
      <c r="M154" s="5" t="n">
        <v>0.47</v>
      </c>
      <c r="N154" s="5" t="n">
        <v>0.45</v>
      </c>
    </row>
    <row r="155">
      <c r="A155" t="n">
        <v>154</v>
      </c>
      <c r="B155" t="n">
        <v>2014</v>
      </c>
      <c r="C155" t="inlineStr">
        <is>
          <t>Veronica Mourlatov</t>
        </is>
      </c>
      <c r="D155">
        <f>HYPERLINK("https://ota.tournamentsoftware.com/player-profile/B6154A4C-BA94-41F6-A39C-E106D7116C1A", "Link")</f>
        <v/>
      </c>
      <c r="E155" s="3" t="n">
        <v>583.4</v>
      </c>
      <c r="F155" s="4" t="n">
        <v>32</v>
      </c>
      <c r="G155" t="inlineStr">
        <is>
          <t>Ontario Tennis Association</t>
        </is>
      </c>
      <c r="H155" t="inlineStr">
        <is>
          <t>SmartVMC Racquetsports by ACE</t>
        </is>
      </c>
      <c r="I155" t="n">
        <v>30.6</v>
      </c>
      <c r="J155" s="4" t="n">
        <v>219</v>
      </c>
      <c r="K155" t="inlineStr">
        <is>
          <t>139 / 80</t>
        </is>
      </c>
      <c r="L155" t="inlineStr">
        <is>
          <t>42 / 17</t>
        </is>
      </c>
      <c r="M155" s="5" t="n">
        <v>0.63</v>
      </c>
      <c r="N155" s="5" t="n">
        <v>0.71</v>
      </c>
    </row>
    <row r="156">
      <c r="A156" t="n">
        <v>155</v>
      </c>
      <c r="B156" t="n">
        <v>2012</v>
      </c>
      <c r="C156" t="inlineStr">
        <is>
          <t>Malia Lee Datta</t>
        </is>
      </c>
      <c r="D156">
        <f>HYPERLINK("https://ota.tournamentsoftware.com/player-profile/0FC1E5E7-0316-49C4-95C5-C429E3032398", "Link")</f>
        <v/>
      </c>
      <c r="E156" s="3" t="n">
        <v>583.375</v>
      </c>
      <c r="F156" s="4" t="n">
        <v>17</v>
      </c>
      <c r="G156" t="inlineStr">
        <is>
          <t>Tennis Alberta</t>
        </is>
      </c>
      <c r="H156" t="inlineStr">
        <is>
          <t>Osten &amp; Victor Alberta Tennis Centre</t>
        </is>
      </c>
      <c r="I156" t="n">
        <v>28.6</v>
      </c>
      <c r="J156" s="4" t="n">
        <v>149</v>
      </c>
      <c r="K156" t="inlineStr">
        <is>
          <t>64 / 85</t>
        </is>
      </c>
      <c r="L156" t="inlineStr">
        <is>
          <t>13 / 18</t>
        </is>
      </c>
      <c r="M156" s="5" t="n">
        <v>0.43</v>
      </c>
      <c r="N156" s="5" t="n">
        <v>0.42</v>
      </c>
    </row>
    <row r="157">
      <c r="A157" t="n">
        <v>156</v>
      </c>
      <c r="B157" t="n">
        <v>2012</v>
      </c>
      <c r="C157" t="inlineStr">
        <is>
          <t>Eliana Cantin</t>
        </is>
      </c>
      <c r="D157">
        <f>HYPERLINK("https://ota.tournamentsoftware.com/player-profile/D4DBD3FF-74D7-4D84-BB8F-104CA729E69E", "Link")</f>
        <v/>
      </c>
      <c r="E157" s="3" t="n">
        <v>579.148</v>
      </c>
      <c r="F157" s="4" t="n">
        <v>14</v>
      </c>
      <c r="G157" t="inlineStr">
        <is>
          <t>Tennis Québec</t>
        </is>
      </c>
      <c r="H157" t="inlineStr">
        <is>
          <t>Centre récréatif de Repentigny / Académie Tennis Momentum</t>
        </is>
      </c>
      <c r="I157" t="n">
        <v>29</v>
      </c>
      <c r="J157" s="4" t="n">
        <v>186</v>
      </c>
      <c r="K157" t="inlineStr">
        <is>
          <t>91 / 95</t>
        </is>
      </c>
      <c r="L157" t="inlineStr">
        <is>
          <t>9 / 16</t>
        </is>
      </c>
      <c r="M157" s="5" t="n">
        <v>0.49</v>
      </c>
      <c r="N157" s="5" t="n">
        <v>0.36</v>
      </c>
    </row>
    <row r="158">
      <c r="A158" t="n">
        <v>157</v>
      </c>
      <c r="B158" t="n">
        <v>2013</v>
      </c>
      <c r="C158" t="inlineStr">
        <is>
          <t>Mathilde Labeeuw</t>
        </is>
      </c>
      <c r="D158">
        <f>HYPERLINK("https://ota.tournamentsoftware.com/player-profile/ACCBCF37-0334-4ED1-B564-DFD6E35F3445", "Link")</f>
        <v/>
      </c>
      <c r="E158" s="3" t="n">
        <v>578.7809999999999</v>
      </c>
      <c r="F158" s="4" t="n">
        <v>23</v>
      </c>
      <c r="G158" t="inlineStr">
        <is>
          <t>Tennis Québec</t>
        </is>
      </c>
      <c r="H158" t="inlineStr">
        <is>
          <t>SANI Sport</t>
        </is>
      </c>
      <c r="I158" t="n">
        <v>30.4</v>
      </c>
      <c r="J158" s="4" t="n">
        <v>195</v>
      </c>
      <c r="K158" t="inlineStr">
        <is>
          <t>93 / 102</t>
        </is>
      </c>
      <c r="L158" t="inlineStr">
        <is>
          <t>15 / 16</t>
        </is>
      </c>
      <c r="M158" s="5" t="n">
        <v>0.48</v>
      </c>
      <c r="N158" s="5" t="n">
        <v>0.48</v>
      </c>
    </row>
    <row r="159">
      <c r="A159" t="n">
        <v>158</v>
      </c>
      <c r="B159" t="n">
        <v>2012</v>
      </c>
      <c r="C159" t="inlineStr">
        <is>
          <t>Caroline ChuYun Yang</t>
        </is>
      </c>
      <c r="D159">
        <f>HYPERLINK("https://ota.tournamentsoftware.com/player-profile/973A8D96-42F5-42BC-9DF2-0A195E1A983F", "Link")</f>
        <v/>
      </c>
      <c r="E159" s="3" t="n">
        <v>574.0700000000001</v>
      </c>
      <c r="F159" s="4" t="n">
        <v>20</v>
      </c>
      <c r="G159" t="inlineStr">
        <is>
          <t>British Columbia</t>
        </is>
      </c>
      <c r="H159" t="inlineStr">
        <is>
          <t>The Tennis Centre</t>
        </is>
      </c>
      <c r="I159" t="n">
        <v>28.6</v>
      </c>
      <c r="J159" s="4" t="n">
        <v>265</v>
      </c>
      <c r="K159" t="inlineStr">
        <is>
          <t>159 / 106</t>
        </is>
      </c>
      <c r="L159" t="inlineStr">
        <is>
          <t>27 / 20</t>
        </is>
      </c>
      <c r="M159" s="5" t="n">
        <v>0.6</v>
      </c>
      <c r="N159" s="5" t="n">
        <v>0.57</v>
      </c>
    </row>
    <row r="160">
      <c r="A160" t="n">
        <v>159</v>
      </c>
      <c r="B160" t="n">
        <v>2014</v>
      </c>
      <c r="C160" t="inlineStr">
        <is>
          <t>Sophie Lu</t>
        </is>
      </c>
      <c r="D160">
        <f>HYPERLINK("https://ota.tournamentsoftware.com/player-profile/5C3C8ABA-3BF6-4232-B65C-B26C16207D0A", "Link")</f>
        <v/>
      </c>
      <c r="E160" s="3" t="n">
        <v>569.085</v>
      </c>
      <c r="F160" s="4" t="n">
        <v>18</v>
      </c>
      <c r="G160" t="inlineStr">
        <is>
          <t>Tennis Québec</t>
        </is>
      </c>
      <c r="H160" t="inlineStr">
        <is>
          <t>Tennis Ile- des- Soeurs</t>
        </is>
      </c>
      <c r="I160" t="inlineStr">
        <is>
          <t>unavailable</t>
        </is>
      </c>
      <c r="J160" s="4" t="n">
        <v>210</v>
      </c>
      <c r="K160" t="inlineStr">
        <is>
          <t>107 / 103</t>
        </is>
      </c>
      <c r="L160" t="inlineStr">
        <is>
          <t>36 / 24</t>
        </is>
      </c>
      <c r="M160" s="5" t="n">
        <v>0.51</v>
      </c>
      <c r="N160" s="5" t="n">
        <v>0.6</v>
      </c>
    </row>
    <row r="161">
      <c r="A161" t="n">
        <v>160</v>
      </c>
      <c r="B161" t="n">
        <v>2012</v>
      </c>
      <c r="C161" t="inlineStr">
        <is>
          <t>Alexandra Dorobantu</t>
        </is>
      </c>
      <c r="D161">
        <f>HYPERLINK("https://ota.tournamentsoftware.com/player-profile/CE7FB59F-F5CB-4CA3-A3EB-27DC05EB2B7D", "Link")</f>
        <v/>
      </c>
      <c r="E161" s="3" t="n">
        <v>568.771</v>
      </c>
      <c r="F161" s="4" t="n">
        <v>13</v>
      </c>
      <c r="G161" t="inlineStr">
        <is>
          <t>Tennis Alberta</t>
        </is>
      </c>
      <c r="H161" t="inlineStr">
        <is>
          <t>Saville Community Sports Centre</t>
        </is>
      </c>
      <c r="I161" t="inlineStr">
        <is>
          <t>unavailable</t>
        </is>
      </c>
      <c r="J161" s="4" t="n">
        <v>156</v>
      </c>
      <c r="K161" t="inlineStr">
        <is>
          <t>76 / 80</t>
        </is>
      </c>
      <c r="L161" t="inlineStr">
        <is>
          <t>14 / 17</t>
        </is>
      </c>
      <c r="M161" s="5" t="n">
        <v>0.49</v>
      </c>
      <c r="N161" s="5" t="n">
        <v>0.45</v>
      </c>
    </row>
    <row r="162">
      <c r="A162" t="n">
        <v>161</v>
      </c>
      <c r="B162" t="n">
        <v>2015</v>
      </c>
      <c r="C162" t="inlineStr">
        <is>
          <t>Alexia Djomo</t>
        </is>
      </c>
      <c r="D162">
        <f>HYPERLINK("https://ota.tournamentsoftware.com/player-profile/DCE433A3-22C1-4484-BA5B-62931094794E", "Link")</f>
        <v/>
      </c>
      <c r="E162" s="3" t="n">
        <v>559.021</v>
      </c>
      <c r="F162" s="4" t="n">
        <v>13</v>
      </c>
      <c r="G162" t="inlineStr">
        <is>
          <t>Tennis Manitoba</t>
        </is>
      </c>
      <c r="H162" t="inlineStr">
        <is>
          <t>Winnipeg Winter Club</t>
        </is>
      </c>
      <c r="I162" t="n">
        <v>33</v>
      </c>
      <c r="J162" s="4" t="n">
        <v>78</v>
      </c>
      <c r="K162" t="inlineStr">
        <is>
          <t>31 / 47</t>
        </is>
      </c>
      <c r="L162" t="inlineStr">
        <is>
          <t>24 / 28</t>
        </is>
      </c>
      <c r="M162" s="5" t="n">
        <v>0.4</v>
      </c>
      <c r="N162" s="5" t="n">
        <v>0.46</v>
      </c>
    </row>
    <row r="163">
      <c r="A163" t="n">
        <v>162</v>
      </c>
      <c r="B163" t="n">
        <v>2015</v>
      </c>
      <c r="C163" t="inlineStr">
        <is>
          <t>NELIA BERKOUD</t>
        </is>
      </c>
      <c r="D163">
        <f>HYPERLINK("https://ota.tournamentsoftware.com/player-profile/2E73021E-DEDD-484B-95FC-00429D223FB2", "Link")</f>
        <v/>
      </c>
      <c r="E163" s="3" t="n">
        <v>554.133</v>
      </c>
      <c r="F163" s="4" t="n">
        <v>23</v>
      </c>
      <c r="G163" t="inlineStr">
        <is>
          <t>Tennis Québec</t>
        </is>
      </c>
      <c r="H163" t="inlineStr">
        <is>
          <t>Carrefour Multisports</t>
        </is>
      </c>
      <c r="I163" t="n">
        <v>30.3</v>
      </c>
      <c r="J163" s="4" t="n">
        <v>142</v>
      </c>
      <c r="K163" t="inlineStr">
        <is>
          <t>87 / 55</t>
        </is>
      </c>
      <c r="L163" t="inlineStr">
        <is>
          <t>31 / 27</t>
        </is>
      </c>
      <c r="M163" s="5" t="n">
        <v>0.61</v>
      </c>
      <c r="N163" s="5" t="n">
        <v>0.53</v>
      </c>
    </row>
    <row r="164">
      <c r="A164" t="n">
        <v>163</v>
      </c>
      <c r="B164" t="n">
        <v>2015</v>
      </c>
      <c r="C164" t="inlineStr">
        <is>
          <t>Grace Wang</t>
        </is>
      </c>
      <c r="D164">
        <f>HYPERLINK("https://ota.tournamentsoftware.com/player-profile/2F68C1DC-1A19-4E3A-AF58-6DC4541843F2", "Link")</f>
        <v/>
      </c>
      <c r="E164" s="3" t="n">
        <v>553.759</v>
      </c>
      <c r="F164" s="4" t="n">
        <v>26</v>
      </c>
      <c r="G164" t="inlineStr">
        <is>
          <t>British Columbia</t>
        </is>
      </c>
      <c r="H164" t="inlineStr">
        <is>
          <t>No Club</t>
        </is>
      </c>
      <c r="I164" t="n">
        <v>28.7</v>
      </c>
      <c r="J164" s="4" t="n">
        <v>242</v>
      </c>
      <c r="K164" t="inlineStr">
        <is>
          <t>145 / 97</t>
        </is>
      </c>
      <c r="L164" t="inlineStr">
        <is>
          <t>44 / 24</t>
        </is>
      </c>
      <c r="M164" s="5" t="n">
        <v>0.6</v>
      </c>
      <c r="N164" s="5" t="n">
        <v>0.65</v>
      </c>
    </row>
    <row r="165">
      <c r="A165" t="n">
        <v>164</v>
      </c>
      <c r="B165" t="n">
        <v>2014</v>
      </c>
      <c r="C165" t="inlineStr">
        <is>
          <t>Charlie Thomas-Simard</t>
        </is>
      </c>
      <c r="D165">
        <f>HYPERLINK("https://ota.tournamentsoftware.com/player-profile/E101E3D0-39D8-4861-AB44-D9BE1C346E1E", "Link")</f>
        <v/>
      </c>
      <c r="E165" s="3" t="n">
        <v>550.771</v>
      </c>
      <c r="F165" s="4" t="n">
        <v>21</v>
      </c>
      <c r="G165" t="inlineStr">
        <is>
          <t>Tennis Québec</t>
        </is>
      </c>
      <c r="H165" t="inlineStr">
        <is>
          <t>Club Avantage Multi-sports / Académie de tennis Hérisset Bordeleau</t>
        </is>
      </c>
      <c r="I165" t="n">
        <v>31.5</v>
      </c>
      <c r="J165" s="4" t="n">
        <v>121</v>
      </c>
      <c r="K165" t="inlineStr">
        <is>
          <t>65 / 56</t>
        </is>
      </c>
      <c r="L165" t="inlineStr">
        <is>
          <t>29 / 28</t>
        </is>
      </c>
      <c r="M165" s="5" t="n">
        <v>0.54</v>
      </c>
      <c r="N165" s="5" t="n">
        <v>0.51</v>
      </c>
    </row>
    <row r="166">
      <c r="A166" t="n">
        <v>165</v>
      </c>
      <c r="B166" t="n">
        <v>2013</v>
      </c>
      <c r="C166" t="inlineStr">
        <is>
          <t>Maliah Morgan</t>
        </is>
      </c>
      <c r="D166">
        <f>HYPERLINK("https://ota.tournamentsoftware.com/player-profile/9A3C1326-AE04-42FE-BCE6-AF95D32715F8", "Link")</f>
        <v/>
      </c>
      <c r="E166" s="3" t="n">
        <v>541.035</v>
      </c>
      <c r="F166" s="4" t="n">
        <v>19</v>
      </c>
      <c r="G166" t="inlineStr">
        <is>
          <t>Ontario Tennis Association</t>
        </is>
      </c>
      <c r="H166" t="inlineStr">
        <is>
          <t>Joshua Creek Golf &amp; Tennis</t>
        </is>
      </c>
      <c r="I166" t="n">
        <v>29.6</v>
      </c>
      <c r="J166" s="4" t="n">
        <v>188</v>
      </c>
      <c r="K166" t="inlineStr">
        <is>
          <t>111 / 77</t>
        </is>
      </c>
      <c r="L166" t="inlineStr">
        <is>
          <t>11 / 14</t>
        </is>
      </c>
      <c r="M166" s="5" t="n">
        <v>0.59</v>
      </c>
      <c r="N166" s="5" t="n">
        <v>0.44</v>
      </c>
    </row>
    <row r="167">
      <c r="A167" t="n">
        <v>166</v>
      </c>
      <c r="B167" t="n">
        <v>2013</v>
      </c>
      <c r="C167" t="inlineStr">
        <is>
          <t>Chloe Elizabeth Kotorobai</t>
        </is>
      </c>
      <c r="D167">
        <f>HYPERLINK("https://ota.tournamentsoftware.com/player-profile/FA516D57-03A4-4F2E-810D-864F5732F5CE", "Link")</f>
        <v/>
      </c>
      <c r="E167" s="3" t="n">
        <v>540.384</v>
      </c>
      <c r="F167" s="4" t="n">
        <v>20</v>
      </c>
      <c r="G167" t="inlineStr">
        <is>
          <t>Ontario Tennis Association</t>
        </is>
      </c>
      <c r="H167" t="inlineStr">
        <is>
          <t>City of Stoney Creek</t>
        </is>
      </c>
      <c r="I167" t="n">
        <v>31.6</v>
      </c>
      <c r="J167" s="4" t="n">
        <v>94</v>
      </c>
      <c r="K167" t="inlineStr">
        <is>
          <t>37 / 57</t>
        </is>
      </c>
      <c r="L167" t="inlineStr">
        <is>
          <t>9 / 16</t>
        </is>
      </c>
      <c r="M167" s="5" t="n">
        <v>0.39</v>
      </c>
      <c r="N167" s="5" t="n">
        <v>0.36</v>
      </c>
    </row>
    <row r="168">
      <c r="A168" t="n">
        <v>167</v>
      </c>
      <c r="B168" t="n">
        <v>2012</v>
      </c>
      <c r="C168" t="inlineStr">
        <is>
          <t>Yuehan DONG</t>
        </is>
      </c>
      <c r="D168">
        <f>HYPERLINK("https://ota.tournamentsoftware.com/player-profile/F5996998-771E-46C9-A222-1C90911DD4C3", "Link")</f>
        <v/>
      </c>
      <c r="E168" s="3" t="n">
        <v>534.77</v>
      </c>
      <c r="F168" s="4" t="n">
        <v>27</v>
      </c>
      <c r="G168" t="inlineStr">
        <is>
          <t>Ontario Tennis Association</t>
        </is>
      </c>
      <c r="H168" t="inlineStr">
        <is>
          <t>Fainblum Tennis Academy</t>
        </is>
      </c>
      <c r="I168" t="n">
        <v>31.8</v>
      </c>
      <c r="J168" s="4" t="n">
        <v>125</v>
      </c>
      <c r="K168" t="inlineStr">
        <is>
          <t>56 / 69</t>
        </is>
      </c>
      <c r="L168" t="inlineStr">
        <is>
          <t>8 / 18</t>
        </is>
      </c>
      <c r="M168" s="5" t="n">
        <v>0.45</v>
      </c>
      <c r="N168" s="5" t="n">
        <v>0.31</v>
      </c>
    </row>
    <row r="169">
      <c r="A169" t="n">
        <v>168</v>
      </c>
      <c r="B169" t="n">
        <v>2015</v>
      </c>
      <c r="C169" t="inlineStr">
        <is>
          <t>Alyanna Jane Principe</t>
        </is>
      </c>
      <c r="D169">
        <f>HYPERLINK("https://ota.tournamentsoftware.com/player-profile/DF18434B-FE2E-4647-9481-0DA91B5C9B92", "Link")</f>
        <v/>
      </c>
      <c r="E169" s="3" t="n">
        <v>532.043</v>
      </c>
      <c r="F169" s="4" t="n">
        <v>22</v>
      </c>
      <c r="G169" t="inlineStr">
        <is>
          <t>British Columbia</t>
        </is>
      </c>
      <c r="H169" t="inlineStr">
        <is>
          <t>The Tennis Centre</t>
        </is>
      </c>
      <c r="I169" t="n">
        <v>28.4</v>
      </c>
      <c r="J169" s="4" t="n">
        <v>238</v>
      </c>
      <c r="K169" t="inlineStr">
        <is>
          <t>156 / 82</t>
        </is>
      </c>
      <c r="L169" t="inlineStr">
        <is>
          <t>34 / 23</t>
        </is>
      </c>
      <c r="M169" s="5" t="n">
        <v>0.66</v>
      </c>
      <c r="N169" s="5" t="n">
        <v>0.6</v>
      </c>
    </row>
    <row r="170">
      <c r="A170" t="n">
        <v>169</v>
      </c>
      <c r="B170" t="n">
        <v>2013</v>
      </c>
      <c r="C170" t="inlineStr">
        <is>
          <t>Sonya Notta</t>
        </is>
      </c>
      <c r="D170">
        <f>HYPERLINK("https://ota.tournamentsoftware.com/player-profile/6AF626BE-D8F1-4939-AF03-813D0A17EE25", "Link")</f>
        <v/>
      </c>
      <c r="E170" s="3" t="n">
        <v>527.968</v>
      </c>
      <c r="F170" s="4" t="n">
        <v>8</v>
      </c>
      <c r="G170" t="inlineStr">
        <is>
          <t>Ontario Tennis Association</t>
        </is>
      </c>
      <c r="H170" t="inlineStr">
        <is>
          <t>Mayfair East Racquet Club</t>
        </is>
      </c>
      <c r="I170" t="inlineStr">
        <is>
          <t>unavailable</t>
        </is>
      </c>
      <c r="J170" s="4" t="n">
        <v>76</v>
      </c>
      <c r="K170" t="inlineStr">
        <is>
          <t>51 / 25</t>
        </is>
      </c>
      <c r="L170" t="inlineStr">
        <is>
          <t>8 / 3</t>
        </is>
      </c>
      <c r="M170" s="5" t="n">
        <v>0.67</v>
      </c>
      <c r="N170" s="5" t="n">
        <v>0.73</v>
      </c>
    </row>
    <row r="171">
      <c r="A171" t="n">
        <v>170</v>
      </c>
      <c r="B171" t="n">
        <v>2014</v>
      </c>
      <c r="C171" t="inlineStr">
        <is>
          <t>Laetitia Thuy Van Nguyen</t>
        </is>
      </c>
      <c r="D171">
        <f>HYPERLINK("https://ota.tournamentsoftware.com/player-profile/B151CB64-D12D-48B2-8087-4EABB50157E8", "Link")</f>
        <v/>
      </c>
      <c r="E171" s="3" t="n">
        <v>522.812</v>
      </c>
      <c r="F171" s="4" t="n">
        <v>22</v>
      </c>
      <c r="G171" t="inlineStr">
        <is>
          <t>Tennis Québec</t>
        </is>
      </c>
      <c r="H171" t="inlineStr">
        <is>
          <t>Tennis Outaouais Performance (TOP)</t>
        </is>
      </c>
      <c r="I171" t="n">
        <v>30.1</v>
      </c>
      <c r="J171" s="4" t="n">
        <v>218</v>
      </c>
      <c r="K171" t="inlineStr">
        <is>
          <t>119 / 99</t>
        </is>
      </c>
      <c r="L171" t="inlineStr">
        <is>
          <t>33 / 24</t>
        </is>
      </c>
      <c r="M171" s="5" t="n">
        <v>0.55</v>
      </c>
      <c r="N171" s="5" t="n">
        <v>0.58</v>
      </c>
    </row>
    <row r="172">
      <c r="A172" t="n">
        <v>171</v>
      </c>
      <c r="B172" t="n">
        <v>2012</v>
      </c>
      <c r="C172" t="inlineStr">
        <is>
          <t>Meeth Kaur Rai</t>
        </is>
      </c>
      <c r="D172">
        <f>HYPERLINK("https://ota.tournamentsoftware.com/player-profile/3C191393-570A-4DF7-80D4-0613143CE54B", "Link")</f>
        <v/>
      </c>
      <c r="E172" s="3" t="n">
        <v>517.12</v>
      </c>
      <c r="F172" s="4" t="n">
        <v>18</v>
      </c>
      <c r="G172" t="inlineStr">
        <is>
          <t>British Columbia</t>
        </is>
      </c>
      <c r="H172" t="inlineStr">
        <is>
          <t>No Club</t>
        </is>
      </c>
      <c r="I172" t="n">
        <v>28.4</v>
      </c>
      <c r="J172" s="4" t="n">
        <v>230</v>
      </c>
      <c r="K172" t="inlineStr">
        <is>
          <t>126 / 104</t>
        </is>
      </c>
      <c r="L172" t="inlineStr">
        <is>
          <t>16 / 27</t>
        </is>
      </c>
      <c r="M172" s="5" t="n">
        <v>0.55</v>
      </c>
      <c r="N172" s="5" t="n">
        <v>0.37</v>
      </c>
    </row>
    <row r="173">
      <c r="A173" t="n">
        <v>172</v>
      </c>
      <c r="B173" t="n">
        <v>2012</v>
      </c>
      <c r="C173" t="inlineStr">
        <is>
          <t>Daniella Kulemin</t>
        </is>
      </c>
      <c r="D173">
        <f>HYPERLINK("https://ota.tournamentsoftware.com/player-profile/665847C2-A172-4164-B9E1-C1030269B793", "Link")</f>
        <v/>
      </c>
      <c r="E173" s="3" t="n">
        <v>515.465</v>
      </c>
      <c r="F173" s="4" t="n">
        <v>20</v>
      </c>
      <c r="G173" t="inlineStr">
        <is>
          <t>Ontario Tennis Association</t>
        </is>
      </c>
      <c r="H173" t="inlineStr">
        <is>
          <t>Concord Tennis Academy</t>
        </is>
      </c>
      <c r="I173" t="n">
        <v>30.7</v>
      </c>
      <c r="J173" s="4" t="n">
        <v>56</v>
      </c>
      <c r="K173" t="inlineStr">
        <is>
          <t>25 / 31</t>
        </is>
      </c>
      <c r="L173" t="inlineStr">
        <is>
          <t>15 / 17</t>
        </is>
      </c>
      <c r="M173" s="5" t="n">
        <v>0.45</v>
      </c>
      <c r="N173" s="5" t="n">
        <v>0.47</v>
      </c>
    </row>
    <row r="174">
      <c r="A174" t="n">
        <v>173</v>
      </c>
      <c r="B174" t="n">
        <v>2013</v>
      </c>
      <c r="C174" t="inlineStr">
        <is>
          <t>Nelly Campagna</t>
        </is>
      </c>
      <c r="D174">
        <f>HYPERLINK("https://ota.tournamentsoftware.com/player-profile/57A742FF-F88B-4C14-A895-DA6559972095", "Link")</f>
        <v/>
      </c>
      <c r="E174" s="3" t="n">
        <v>514.603</v>
      </c>
      <c r="F174" s="4" t="n">
        <v>19</v>
      </c>
      <c r="G174" t="inlineStr">
        <is>
          <t>Tennis Québec</t>
        </is>
      </c>
      <c r="H174" t="inlineStr">
        <is>
          <t>Centre récréatif de Repentigny / Académie Tennis Momentum</t>
        </is>
      </c>
      <c r="I174" t="n">
        <v>29.6</v>
      </c>
      <c r="J174" s="4" t="n">
        <v>167</v>
      </c>
      <c r="K174" t="inlineStr">
        <is>
          <t>89 / 78</t>
        </is>
      </c>
      <c r="L174" t="inlineStr">
        <is>
          <t>21 / 16</t>
        </is>
      </c>
      <c r="M174" s="5" t="n">
        <v>0.53</v>
      </c>
      <c r="N174" s="5" t="n">
        <v>0.57</v>
      </c>
    </row>
    <row r="175">
      <c r="A175" t="n">
        <v>174</v>
      </c>
      <c r="B175" t="n">
        <v>2012</v>
      </c>
      <c r="C175" t="inlineStr">
        <is>
          <t>Ira Karthi</t>
        </is>
      </c>
      <c r="D175">
        <f>HYPERLINK("https://ota.tournamentsoftware.com/player-profile/87DFD688-7475-43FD-B605-7E13CDDC471C", "Link")</f>
        <v/>
      </c>
      <c r="E175" s="3" t="n">
        <v>509.725</v>
      </c>
      <c r="F175" s="4" t="n">
        <v>19</v>
      </c>
      <c r="G175" t="inlineStr">
        <is>
          <t>Ontario Tennis Association</t>
        </is>
      </c>
      <c r="H175" t="inlineStr">
        <is>
          <t>Sandy Beach Tennis Club</t>
        </is>
      </c>
      <c r="I175" t="n">
        <v>32.4</v>
      </c>
      <c r="J175" s="4" t="n">
        <v>74</v>
      </c>
      <c r="K175" t="inlineStr">
        <is>
          <t>22 / 52</t>
        </is>
      </c>
      <c r="L175" t="inlineStr">
        <is>
          <t>11 / 14</t>
        </is>
      </c>
      <c r="M175" s="5" t="n">
        <v>0.3</v>
      </c>
      <c r="N175" s="5" t="n">
        <v>0.44</v>
      </c>
    </row>
    <row r="176">
      <c r="A176" t="n">
        <v>175</v>
      </c>
      <c r="B176" t="n">
        <v>2012</v>
      </c>
      <c r="C176" t="inlineStr">
        <is>
          <t>Margot de Candé</t>
        </is>
      </c>
      <c r="D176">
        <f>HYPERLINK("https://ota.tournamentsoftware.com/player-profile/695315EE-6360-44B7-9352-E2A867A09DAD", "Link")</f>
        <v/>
      </c>
      <c r="E176" s="3" t="n">
        <v>506.227</v>
      </c>
      <c r="F176" s="4" t="n">
        <v>14</v>
      </c>
      <c r="G176" t="inlineStr">
        <is>
          <t>Tennis Québec</t>
        </is>
      </c>
      <c r="H176" t="inlineStr">
        <is>
          <t>Tennis Ile- des- Soeurs</t>
        </is>
      </c>
      <c r="I176" t="n">
        <v>30.1</v>
      </c>
      <c r="J176" s="4" t="n">
        <v>116</v>
      </c>
      <c r="K176" t="inlineStr">
        <is>
          <t>56 / 60</t>
        </is>
      </c>
      <c r="L176" t="inlineStr">
        <is>
          <t>16 / 5</t>
        </is>
      </c>
      <c r="M176" s="5" t="n">
        <v>0.48</v>
      </c>
      <c r="N176" s="5" t="n">
        <v>0.76</v>
      </c>
    </row>
    <row r="177">
      <c r="A177" t="n">
        <v>176</v>
      </c>
      <c r="B177" t="n">
        <v>2012</v>
      </c>
      <c r="C177" t="inlineStr">
        <is>
          <t>Emma Sun</t>
        </is>
      </c>
      <c r="D177">
        <f>HYPERLINK("https://ota.tournamentsoftware.com/player-profile/00B8EFA4-17DF-49B4-90DE-B5A577BC8620", "Link")</f>
        <v/>
      </c>
      <c r="E177" s="3" t="n">
        <v>503.724</v>
      </c>
      <c r="F177" s="4" t="n">
        <v>15</v>
      </c>
      <c r="G177" t="inlineStr">
        <is>
          <t>British Columbia</t>
        </is>
      </c>
      <c r="H177" t="inlineStr">
        <is>
          <t>The Tennis Centre</t>
        </is>
      </c>
      <c r="I177" t="n">
        <v>27.6</v>
      </c>
      <c r="J177" s="4" t="n">
        <v>260</v>
      </c>
      <c r="K177" t="inlineStr">
        <is>
          <t>124 / 136</t>
        </is>
      </c>
      <c r="L177" t="inlineStr">
        <is>
          <t>15 / 15</t>
        </is>
      </c>
      <c r="M177" s="5" t="n">
        <v>0.48</v>
      </c>
      <c r="N177" s="5" t="n">
        <v>0.5</v>
      </c>
    </row>
    <row r="178">
      <c r="A178" t="n">
        <v>177</v>
      </c>
      <c r="B178" t="n">
        <v>2012</v>
      </c>
      <c r="C178" t="inlineStr">
        <is>
          <t>Alexandra Bayentin</t>
        </is>
      </c>
      <c r="D178">
        <f>HYPERLINK("https://ota.tournamentsoftware.com/player-profile/EFF894D9-35F7-45C9-9C57-06584708D213", "Link")</f>
        <v/>
      </c>
      <c r="E178" s="3" t="n">
        <v>499.016</v>
      </c>
      <c r="F178" s="4" t="n">
        <v>14</v>
      </c>
      <c r="G178" t="inlineStr">
        <is>
          <t>Tennis Alberta</t>
        </is>
      </c>
      <c r="H178" t="inlineStr">
        <is>
          <t>Osten &amp; Victor Alberta Tennis Centre</t>
        </is>
      </c>
      <c r="I178" t="n">
        <v>29</v>
      </c>
      <c r="J178" s="4" t="n">
        <v>167</v>
      </c>
      <c r="K178" t="inlineStr">
        <is>
          <t>81 / 86</t>
        </is>
      </c>
      <c r="L178" t="inlineStr">
        <is>
          <t>11 / 12</t>
        </is>
      </c>
      <c r="M178" s="5" t="n">
        <v>0.49</v>
      </c>
      <c r="N178" s="5" t="n">
        <v>0.48</v>
      </c>
    </row>
    <row r="179">
      <c r="A179" t="n">
        <v>178</v>
      </c>
      <c r="B179" t="n">
        <v>2015</v>
      </c>
      <c r="C179" t="inlineStr">
        <is>
          <t>Abbey Crump</t>
        </is>
      </c>
      <c r="D179">
        <f>HYPERLINK("https://ota.tournamentsoftware.com/player-profile/92F0423F-2B57-40B1-A6AA-5C7DC6477800", "Link")</f>
        <v/>
      </c>
      <c r="E179" s="3" t="n">
        <v>493.889</v>
      </c>
      <c r="F179" s="4" t="n">
        <v>16</v>
      </c>
      <c r="G179" t="inlineStr">
        <is>
          <t>Ontario Tennis Association</t>
        </is>
      </c>
      <c r="H179" t="inlineStr">
        <is>
          <t>Joshua Creek Golf &amp; Tennis</t>
        </is>
      </c>
      <c r="I179" t="n">
        <v>30.7</v>
      </c>
      <c r="J179" s="4" t="n">
        <v>146</v>
      </c>
      <c r="K179" t="inlineStr">
        <is>
          <t>120 / 26</t>
        </is>
      </c>
      <c r="L179" t="inlineStr">
        <is>
          <t>28 / 15</t>
        </is>
      </c>
      <c r="M179" s="5" t="n">
        <v>0.82</v>
      </c>
      <c r="N179" s="5" t="n">
        <v>0.65</v>
      </c>
    </row>
    <row r="180">
      <c r="A180" t="n">
        <v>179</v>
      </c>
      <c r="B180" t="n">
        <v>2013</v>
      </c>
      <c r="C180" t="inlineStr">
        <is>
          <t>Mila Anna Kodjian</t>
        </is>
      </c>
      <c r="D180">
        <f>HYPERLINK("https://ota.tournamentsoftware.com/player-profile/CE1F1BC7-04CB-4652-A947-AF91FA03ECD5", "Link")</f>
        <v/>
      </c>
      <c r="E180" s="3" t="n">
        <v>491.4</v>
      </c>
      <c r="F180" s="4" t="n">
        <v>18</v>
      </c>
      <c r="G180" t="inlineStr">
        <is>
          <t>Ontario Tennis Association</t>
        </is>
      </c>
      <c r="H180" t="inlineStr">
        <is>
          <t>Rosethorn Tennis Club</t>
        </is>
      </c>
      <c r="I180" t="n">
        <v>31.6</v>
      </c>
      <c r="J180" s="4" t="n">
        <v>114</v>
      </c>
      <c r="K180" t="inlineStr">
        <is>
          <t>66 / 48</t>
        </is>
      </c>
      <c r="L180" t="inlineStr">
        <is>
          <t>25 / 10</t>
        </is>
      </c>
      <c r="M180" s="5" t="n">
        <v>0.58</v>
      </c>
      <c r="N180" s="5" t="n">
        <v>0.71</v>
      </c>
    </row>
    <row r="181">
      <c r="A181" t="n">
        <v>180</v>
      </c>
      <c r="B181" t="n">
        <v>2013</v>
      </c>
      <c r="C181" t="inlineStr">
        <is>
          <t>Livia Seguin</t>
        </is>
      </c>
      <c r="D181">
        <f>HYPERLINK("https://ota.tournamentsoftware.com/player-profile/2B987274-8A56-4EE6-B85D-948871231CC0", "Link")</f>
        <v/>
      </c>
      <c r="E181" s="3" t="n">
        <v>488.345</v>
      </c>
      <c r="F181" s="4" t="n">
        <v>36</v>
      </c>
      <c r="G181" t="inlineStr">
        <is>
          <t>Tennis Québec</t>
        </is>
      </c>
      <c r="H181" t="inlineStr">
        <is>
          <t>Tennis Interclub Piedmont</t>
        </is>
      </c>
      <c r="I181" t="n">
        <v>33</v>
      </c>
      <c r="J181" s="4" t="n">
        <v>136</v>
      </c>
      <c r="K181" t="inlineStr">
        <is>
          <t>43 / 93</t>
        </is>
      </c>
      <c r="L181" t="inlineStr">
        <is>
          <t>19 / 32</t>
        </is>
      </c>
      <c r="M181" s="5" t="n">
        <v>0.32</v>
      </c>
      <c r="N181" s="5" t="n">
        <v>0.37</v>
      </c>
    </row>
    <row r="182">
      <c r="A182" t="n">
        <v>181</v>
      </c>
      <c r="B182" t="n">
        <v>2012</v>
      </c>
      <c r="C182" t="inlineStr">
        <is>
          <t>Maya Sophia Abdullah</t>
        </is>
      </c>
      <c r="D182">
        <f>HYPERLINK("https://ota.tournamentsoftware.com/player-profile/6169AD2A-5AC2-4220-8B87-C5D54BAF6AD4", "Link")</f>
        <v/>
      </c>
      <c r="E182" s="3" t="n">
        <v>485.934</v>
      </c>
      <c r="F182" s="4" t="n">
        <v>20</v>
      </c>
      <c r="G182" t="inlineStr">
        <is>
          <t>Tennis Alberta</t>
        </is>
      </c>
      <c r="H182" t="inlineStr">
        <is>
          <t>Aforza</t>
        </is>
      </c>
      <c r="I182" t="n">
        <v>31.6</v>
      </c>
      <c r="J182" s="4" t="n">
        <v>61</v>
      </c>
      <c r="K182" t="inlineStr">
        <is>
          <t>30 / 31</t>
        </is>
      </c>
      <c r="L182" t="inlineStr">
        <is>
          <t>18 / 19</t>
        </is>
      </c>
      <c r="M182" s="5" t="n">
        <v>0.49</v>
      </c>
      <c r="N182" s="5" t="n">
        <v>0.49</v>
      </c>
    </row>
    <row r="183">
      <c r="A183" t="n">
        <v>182</v>
      </c>
      <c r="B183" t="n">
        <v>2014</v>
      </c>
      <c r="C183" t="inlineStr">
        <is>
          <t>Naima Majumdar-Moreau</t>
        </is>
      </c>
      <c r="D183">
        <f>HYPERLINK("https://ota.tournamentsoftware.com/player-profile/DCA02929-B08F-46CE-9CFE-852A987CEBF8", "Link")</f>
        <v/>
      </c>
      <c r="E183" s="3" t="n">
        <v>485.9</v>
      </c>
      <c r="F183" s="4" t="n">
        <v>30</v>
      </c>
      <c r="G183" t="inlineStr">
        <is>
          <t>Tennis Québec</t>
        </is>
      </c>
      <c r="H183" t="inlineStr">
        <is>
          <t>Tennis Ile- des- Soeurs</t>
        </is>
      </c>
      <c r="I183" t="inlineStr">
        <is>
          <t>unavailable</t>
        </is>
      </c>
      <c r="J183" s="4" t="n">
        <v>158</v>
      </c>
      <c r="K183" t="inlineStr">
        <is>
          <t>74 / 84</t>
        </is>
      </c>
      <c r="L183" t="inlineStr">
        <is>
          <t>30 / 29</t>
        </is>
      </c>
      <c r="M183" s="5" t="n">
        <v>0.47</v>
      </c>
      <c r="N183" s="5" t="n">
        <v>0.51</v>
      </c>
    </row>
    <row r="184">
      <c r="A184" t="n">
        <v>183</v>
      </c>
      <c r="B184" t="n">
        <v>2015</v>
      </c>
      <c r="C184" t="inlineStr">
        <is>
          <t>Elina Wang</t>
        </is>
      </c>
      <c r="D184">
        <f>HYPERLINK("https://ota.tournamentsoftware.com/player-profile/D1A88E02-8A26-413B-866E-8A72948B268F", "Link")</f>
        <v/>
      </c>
      <c r="E184" s="3" t="n">
        <v>482.596</v>
      </c>
      <c r="F184" s="4" t="n">
        <v>20</v>
      </c>
      <c r="G184" t="inlineStr">
        <is>
          <t>Ontario Tennis Association</t>
        </is>
      </c>
      <c r="H184" t="inlineStr">
        <is>
          <t>Richmondhill Golf &amp; Country Club</t>
        </is>
      </c>
      <c r="I184" t="n">
        <v>30.5</v>
      </c>
      <c r="J184" s="4" t="n">
        <v>232</v>
      </c>
      <c r="K184" t="inlineStr">
        <is>
          <t>153 / 79</t>
        </is>
      </c>
      <c r="L184" t="inlineStr">
        <is>
          <t>36 / 14</t>
        </is>
      </c>
      <c r="M184" s="5" t="n">
        <v>0.66</v>
      </c>
      <c r="N184" s="5" t="n">
        <v>0.72</v>
      </c>
    </row>
    <row r="185">
      <c r="A185" t="n">
        <v>184</v>
      </c>
      <c r="B185" t="n">
        <v>2013</v>
      </c>
      <c r="C185" t="inlineStr">
        <is>
          <t>Alexandra Choe</t>
        </is>
      </c>
      <c r="D185">
        <f>HYPERLINK("https://ota.tournamentsoftware.com/player-profile/0BFF8F09-A612-40D9-B491-E305A472672B", "Link")</f>
        <v/>
      </c>
      <c r="E185" s="3" t="n">
        <v>481.947</v>
      </c>
      <c r="F185" s="4" t="n">
        <v>14</v>
      </c>
      <c r="G185" t="inlineStr">
        <is>
          <t>Ontario Tennis Association</t>
        </is>
      </c>
      <c r="H185" t="inlineStr">
        <is>
          <t>Joshua Creek Golf &amp; Tennis</t>
        </is>
      </c>
      <c r="I185" t="n">
        <v>30</v>
      </c>
      <c r="J185" s="4" t="n">
        <v>221</v>
      </c>
      <c r="K185" t="inlineStr">
        <is>
          <t>135 / 86</t>
        </is>
      </c>
      <c r="L185" t="inlineStr">
        <is>
          <t>8 / 4</t>
        </is>
      </c>
      <c r="M185" s="5" t="n">
        <v>0.61</v>
      </c>
      <c r="N185" s="5" t="n">
        <v>0.67</v>
      </c>
    </row>
    <row r="186">
      <c r="A186" t="n">
        <v>185</v>
      </c>
      <c r="B186" t="n">
        <v>2014</v>
      </c>
      <c r="C186" t="inlineStr">
        <is>
          <t>Anica Yachun Liu</t>
        </is>
      </c>
      <c r="D186">
        <f>HYPERLINK("https://ota.tournamentsoftware.com/player-profile/B58148E6-4895-4918-B4B6-ADFAA5FEE0D2", "Link")</f>
        <v/>
      </c>
      <c r="E186" s="3" t="n">
        <v>479.105</v>
      </c>
      <c r="F186" s="4" t="n">
        <v>23</v>
      </c>
      <c r="G186" t="inlineStr">
        <is>
          <t>Tennis Alberta</t>
        </is>
      </c>
      <c r="H186" t="inlineStr">
        <is>
          <t>Saville Community Sports Centre</t>
        </is>
      </c>
      <c r="I186" t="n">
        <v>29.4</v>
      </c>
      <c r="J186" s="4" t="n">
        <v>224</v>
      </c>
      <c r="K186" t="inlineStr">
        <is>
          <t>111 / 113</t>
        </is>
      </c>
      <c r="L186" t="inlineStr">
        <is>
          <t>30 / 35</t>
        </is>
      </c>
      <c r="M186" s="5" t="n">
        <v>0.5</v>
      </c>
      <c r="N186" s="5" t="n">
        <v>0.46</v>
      </c>
    </row>
    <row r="187">
      <c r="A187" t="n">
        <v>186</v>
      </c>
      <c r="B187" t="n">
        <v>2013</v>
      </c>
      <c r="C187" t="inlineStr">
        <is>
          <t>Juliana Sophie Ho</t>
        </is>
      </c>
      <c r="D187">
        <f>HYPERLINK("https://ota.tournamentsoftware.com/player-profile/D79AC720-EA55-42CC-ACCB-558E5C86D00C", "Link")</f>
        <v/>
      </c>
      <c r="E187" s="3" t="n">
        <v>468.722</v>
      </c>
      <c r="F187" s="4" t="n">
        <v>30</v>
      </c>
      <c r="G187" t="inlineStr">
        <is>
          <t>Ontario Tennis Association</t>
        </is>
      </c>
      <c r="H187" t="inlineStr">
        <is>
          <t>Ontario Racquet Club</t>
        </is>
      </c>
      <c r="I187" t="n">
        <v>32.3</v>
      </c>
      <c r="J187" s="4" t="n">
        <v>143</v>
      </c>
      <c r="K187" t="inlineStr">
        <is>
          <t>73 / 70</t>
        </is>
      </c>
      <c r="L187" t="inlineStr">
        <is>
          <t>21 / 19</t>
        </is>
      </c>
      <c r="M187" s="5" t="n">
        <v>0.51</v>
      </c>
      <c r="N187" s="5" t="n">
        <v>0.53</v>
      </c>
    </row>
    <row r="188">
      <c r="A188" t="n">
        <v>187</v>
      </c>
      <c r="B188" t="n">
        <v>2012</v>
      </c>
      <c r="C188" t="inlineStr">
        <is>
          <t>Izibeyle Bhopal</t>
        </is>
      </c>
      <c r="D188">
        <f>HYPERLINK("https://ota.tournamentsoftware.com/player-profile/E9C7A60A-D097-4925-9456-764C57DCF01A", "Link")</f>
        <v/>
      </c>
      <c r="E188" s="3" t="n">
        <v>468.448</v>
      </c>
      <c r="F188" s="4" t="n">
        <v>2</v>
      </c>
      <c r="G188" t="inlineStr">
        <is>
          <t>British Columbia</t>
        </is>
      </c>
      <c r="H188" t="inlineStr">
        <is>
          <t>Bear Mountain Tennis Centre</t>
        </is>
      </c>
      <c r="I188" t="n">
        <v>24.4</v>
      </c>
      <c r="J188" s="4" t="n">
        <v>64</v>
      </c>
      <c r="K188" t="inlineStr">
        <is>
          <t>39 / 25</t>
        </is>
      </c>
      <c r="L188" t="inlineStr">
        <is>
          <t>4 / 0</t>
        </is>
      </c>
      <c r="M188" s="5" t="n">
        <v>0.61</v>
      </c>
      <c r="N188" s="5" t="n">
        <v>1</v>
      </c>
    </row>
    <row r="189">
      <c r="A189" t="n">
        <v>188</v>
      </c>
      <c r="B189" t="n">
        <v>2014</v>
      </c>
      <c r="C189" t="inlineStr">
        <is>
          <t>Eva Larose</t>
        </is>
      </c>
      <c r="D189">
        <f>HYPERLINK("https://ota.tournamentsoftware.com/player-profile/BC2D4F14-515B-4F2A-AD3B-8DA03F3E5E5B", "Link")</f>
        <v/>
      </c>
      <c r="E189" s="3" t="n">
        <v>466.782</v>
      </c>
      <c r="F189" s="4" t="n">
        <v>22</v>
      </c>
      <c r="G189" t="inlineStr">
        <is>
          <t>Tennis Québec</t>
        </is>
      </c>
      <c r="H189" t="inlineStr">
        <is>
          <t>Tennis Ile- des- Soeurs</t>
        </is>
      </c>
      <c r="I189" t="inlineStr">
        <is>
          <t>unavailable</t>
        </is>
      </c>
      <c r="J189" s="4" t="n">
        <v>164</v>
      </c>
      <c r="K189" t="inlineStr">
        <is>
          <t>96 / 68</t>
        </is>
      </c>
      <c r="L189" t="inlineStr">
        <is>
          <t>43 / 19</t>
        </is>
      </c>
      <c r="M189" s="5" t="n">
        <v>0.59</v>
      </c>
      <c r="N189" s="5" t="n">
        <v>0.6899999999999999</v>
      </c>
    </row>
    <row r="190">
      <c r="A190" t="n">
        <v>189</v>
      </c>
      <c r="B190" t="n">
        <v>2016</v>
      </c>
      <c r="C190" t="inlineStr">
        <is>
          <t>Alisha Goel</t>
        </is>
      </c>
      <c r="D190">
        <f>HYPERLINK("https://ota.tournamentsoftware.com/player-profile/7F9E9DD0-77A1-4F40-B2B5-C4B89592B089", "Link")</f>
        <v/>
      </c>
      <c r="E190" s="3" t="n">
        <v>459.47</v>
      </c>
      <c r="F190" s="4" t="n">
        <v>24</v>
      </c>
      <c r="G190" t="inlineStr">
        <is>
          <t>Ontario Tennis Association</t>
        </is>
      </c>
      <c r="H190" t="inlineStr">
        <is>
          <t>The Supreme Court Tennis Club</t>
        </is>
      </c>
      <c r="I190" t="n">
        <v>32.7</v>
      </c>
      <c r="J190" s="4" t="n">
        <v>182</v>
      </c>
      <c r="K190" t="inlineStr">
        <is>
          <t>123 / 59</t>
        </is>
      </c>
      <c r="L190" t="inlineStr">
        <is>
          <t>36 / 21</t>
        </is>
      </c>
      <c r="M190" s="5" t="n">
        <v>0.68</v>
      </c>
      <c r="N190" s="5" t="n">
        <v>0.63</v>
      </c>
    </row>
    <row r="191">
      <c r="A191" t="n">
        <v>190</v>
      </c>
      <c r="B191" t="n">
        <v>2012</v>
      </c>
      <c r="C191" t="inlineStr">
        <is>
          <t>MISHIKA SURESH BALAJI</t>
        </is>
      </c>
      <c r="D191">
        <f>HYPERLINK("https://ota.tournamentsoftware.com/player-profile/B11C615C-6BB8-4655-BCAA-370D01C186B1", "Link")</f>
        <v/>
      </c>
      <c r="E191" s="3" t="n">
        <v>448</v>
      </c>
      <c r="F191" s="4" t="n">
        <v>17</v>
      </c>
      <c r="G191" t="inlineStr">
        <is>
          <t>Tennis Nova Scotia</t>
        </is>
      </c>
      <c r="H191" t="inlineStr">
        <is>
          <t>Atlantic Tennis Centre</t>
        </is>
      </c>
      <c r="I191" t="n">
        <v>28.1</v>
      </c>
      <c r="J191" s="4" t="n">
        <v>169</v>
      </c>
      <c r="K191" t="inlineStr">
        <is>
          <t>87 / 82</t>
        </is>
      </c>
      <c r="L191" t="inlineStr">
        <is>
          <t>22 / 14</t>
        </is>
      </c>
      <c r="M191" s="5" t="n">
        <v>0.51</v>
      </c>
      <c r="N191" s="5" t="n">
        <v>0.61</v>
      </c>
    </row>
    <row r="192">
      <c r="A192" t="n">
        <v>191</v>
      </c>
      <c r="B192" t="n">
        <v>2013</v>
      </c>
      <c r="C192" t="inlineStr">
        <is>
          <t>Bianca Bordogna</t>
        </is>
      </c>
      <c r="D192">
        <f>HYPERLINK("https://ota.tournamentsoftware.com/player-profile/71A0B4E7-3A92-4F64-82D6-42A032600DC7", "Link")</f>
        <v/>
      </c>
      <c r="E192" s="3" t="n">
        <v>447.08</v>
      </c>
      <c r="F192" s="4" t="n">
        <v>14</v>
      </c>
      <c r="G192" t="inlineStr">
        <is>
          <t>Ontario Tennis Association</t>
        </is>
      </c>
      <c r="H192" t="inlineStr">
        <is>
          <t>Carleton Tennis Centre</t>
        </is>
      </c>
      <c r="I192" t="n">
        <v>31.6</v>
      </c>
      <c r="J192" s="4" t="n">
        <v>109</v>
      </c>
      <c r="K192" t="inlineStr">
        <is>
          <t>57 / 52</t>
        </is>
      </c>
      <c r="L192" t="inlineStr">
        <is>
          <t>14 / 12</t>
        </is>
      </c>
      <c r="M192" s="5" t="n">
        <v>0.52</v>
      </c>
      <c r="N192" s="5" t="n">
        <v>0.54</v>
      </c>
    </row>
    <row r="193">
      <c r="A193" t="n">
        <v>192</v>
      </c>
      <c r="B193" t="n">
        <v>2013</v>
      </c>
      <c r="C193" t="inlineStr">
        <is>
          <t>Mariela Ibrahim</t>
        </is>
      </c>
      <c r="D193">
        <f>HYPERLINK("https://ota.tournamentsoftware.com/player-profile/D80C965C-4117-4C2C-9F46-F371E9E47454", "Link")</f>
        <v/>
      </c>
      <c r="E193" s="3" t="n">
        <v>447.042</v>
      </c>
      <c r="F193" s="4" t="n">
        <v>28</v>
      </c>
      <c r="G193" t="inlineStr">
        <is>
          <t>Ontario Tennis Association</t>
        </is>
      </c>
      <c r="H193" t="inlineStr">
        <is>
          <t>Concord Tennis Academy</t>
        </is>
      </c>
      <c r="I193" t="inlineStr">
        <is>
          <t>unavailable</t>
        </is>
      </c>
      <c r="J193" s="4" t="n">
        <v>104</v>
      </c>
      <c r="K193" t="inlineStr">
        <is>
          <t>59 / 45</t>
        </is>
      </c>
      <c r="L193" t="inlineStr">
        <is>
          <t>25 / 19</t>
        </is>
      </c>
      <c r="M193" s="5" t="n">
        <v>0.57</v>
      </c>
      <c r="N193" s="5" t="n">
        <v>0.57</v>
      </c>
    </row>
    <row r="194">
      <c r="A194" t="n">
        <v>193</v>
      </c>
      <c r="B194" t="n">
        <v>2015</v>
      </c>
      <c r="C194" t="inlineStr">
        <is>
          <t>Sunandita Pal</t>
        </is>
      </c>
      <c r="D194">
        <f>HYPERLINK("https://ota.tournamentsoftware.com/player-profile/10185E41-C6E2-4C6A-9A47-A3AF6C77F2A4", "Link")</f>
        <v/>
      </c>
      <c r="E194" s="3" t="n">
        <v>444.977</v>
      </c>
      <c r="F194" s="4" t="n">
        <v>26</v>
      </c>
      <c r="G194" t="inlineStr">
        <is>
          <t>Ontario Tennis Association</t>
        </is>
      </c>
      <c r="H194" t="inlineStr">
        <is>
          <t>No Club</t>
        </is>
      </c>
      <c r="I194" t="n">
        <v>33.3</v>
      </c>
      <c r="J194" s="4" t="n">
        <v>233</v>
      </c>
      <c r="K194" t="inlineStr">
        <is>
          <t>110 / 123</t>
        </is>
      </c>
      <c r="L194" t="inlineStr">
        <is>
          <t>26 / 22</t>
        </is>
      </c>
      <c r="M194" s="5" t="n">
        <v>0.47</v>
      </c>
      <c r="N194" s="5" t="n">
        <v>0.54</v>
      </c>
    </row>
    <row r="195">
      <c r="A195" t="n">
        <v>194</v>
      </c>
      <c r="B195" t="n">
        <v>2013</v>
      </c>
      <c r="C195" t="inlineStr">
        <is>
          <t>Rihanna Kulyk</t>
        </is>
      </c>
      <c r="D195">
        <f>HYPERLINK("https://ota.tournamentsoftware.com/player-profile/6E1703BA-DB25-4B47-9BB7-314BDDCFDBAC", "Link")</f>
        <v/>
      </c>
      <c r="E195" s="3" t="n">
        <v>444.665</v>
      </c>
      <c r="F195" s="4" t="n">
        <v>24</v>
      </c>
      <c r="G195" t="inlineStr">
        <is>
          <t>Tennis Québec</t>
        </is>
      </c>
      <c r="H195" t="inlineStr">
        <is>
          <t>Tennis Ile- des- Soeurs</t>
        </is>
      </c>
      <c r="I195" t="inlineStr">
        <is>
          <t>unavailable</t>
        </is>
      </c>
      <c r="J195" s="4" t="n">
        <v>241</v>
      </c>
      <c r="K195" t="inlineStr">
        <is>
          <t>106 / 135</t>
        </is>
      </c>
      <c r="L195" t="inlineStr">
        <is>
          <t>13 / 21</t>
        </is>
      </c>
      <c r="M195" s="5" t="n">
        <v>0.44</v>
      </c>
      <c r="N195" s="5" t="n">
        <v>0.38</v>
      </c>
    </row>
    <row r="196">
      <c r="A196" t="n">
        <v>195</v>
      </c>
      <c r="B196" t="n">
        <v>2014</v>
      </c>
      <c r="C196" t="inlineStr">
        <is>
          <t>KENZA JERBI</t>
        </is>
      </c>
      <c r="D196">
        <f>HYPERLINK("https://ota.tournamentsoftware.com/player-profile/C6A8B859-96DA-46D9-A270-B08DA27DDE5C", "Link")</f>
        <v/>
      </c>
      <c r="E196" s="3" t="n">
        <v>442.895</v>
      </c>
      <c r="F196" s="4" t="n">
        <v>15</v>
      </c>
      <c r="G196" t="inlineStr">
        <is>
          <t>Tennis Québec</t>
        </is>
      </c>
      <c r="H196" t="inlineStr">
        <is>
          <t>Tennis Montréal Excellence</t>
        </is>
      </c>
      <c r="I196" t="n">
        <v>31.9</v>
      </c>
      <c r="J196" s="4" t="n">
        <v>108</v>
      </c>
      <c r="K196" t="inlineStr">
        <is>
          <t>65 / 43</t>
        </is>
      </c>
      <c r="L196" t="inlineStr">
        <is>
          <t>7 / 11</t>
        </is>
      </c>
      <c r="M196" s="5" t="n">
        <v>0.6</v>
      </c>
      <c r="N196" s="5" t="n">
        <v>0.39</v>
      </c>
    </row>
    <row r="197">
      <c r="A197" t="n">
        <v>196</v>
      </c>
      <c r="B197" t="n">
        <v>2012</v>
      </c>
      <c r="C197" t="inlineStr">
        <is>
          <t>Ella Zhao</t>
        </is>
      </c>
      <c r="D197">
        <f>HYPERLINK("https://ota.tournamentsoftware.com/player-profile/4CFC4B61-0F67-4AD7-8CC6-03CC7A224737", "Link")</f>
        <v/>
      </c>
      <c r="E197" s="3" t="n">
        <v>442.478</v>
      </c>
      <c r="F197" s="4" t="n">
        <v>9</v>
      </c>
      <c r="G197" t="inlineStr">
        <is>
          <t>British Columbia</t>
        </is>
      </c>
      <c r="H197" t="inlineStr">
        <is>
          <t>North Shore Winter Club</t>
        </is>
      </c>
      <c r="I197" t="n">
        <v>26.9</v>
      </c>
      <c r="J197" s="4" t="n">
        <v>121</v>
      </c>
      <c r="K197" t="inlineStr">
        <is>
          <t>89 / 32</t>
        </is>
      </c>
      <c r="L197" t="inlineStr">
        <is>
          <t>9 / 7</t>
        </is>
      </c>
      <c r="M197" s="5" t="n">
        <v>0.74</v>
      </c>
      <c r="N197" s="5" t="n">
        <v>0.5600000000000001</v>
      </c>
    </row>
    <row r="198">
      <c r="A198" t="n">
        <v>197</v>
      </c>
      <c r="B198" t="n">
        <v>2013</v>
      </c>
      <c r="C198" t="inlineStr">
        <is>
          <t>Audrey Yiyi Xu</t>
        </is>
      </c>
      <c r="D198">
        <f>HYPERLINK("https://ota.tournamentsoftware.com/player-profile/25D8C643-E3DC-418B-948B-22520C94F8E3", "Link")</f>
        <v/>
      </c>
      <c r="E198" s="3" t="n">
        <v>439.622</v>
      </c>
      <c r="F198" s="4" t="n">
        <v>21</v>
      </c>
      <c r="G198" t="inlineStr">
        <is>
          <t>Ontario Tennis Association</t>
        </is>
      </c>
      <c r="H198" t="inlineStr">
        <is>
          <t>Joshua Creek Golf &amp; Tennis</t>
        </is>
      </c>
      <c r="I198" t="n">
        <v>32.4</v>
      </c>
      <c r="J198" s="4" t="n">
        <v>141</v>
      </c>
      <c r="K198" t="inlineStr">
        <is>
          <t>61 / 80</t>
        </is>
      </c>
      <c r="L198" t="inlineStr">
        <is>
          <t>22 / 16</t>
        </is>
      </c>
      <c r="M198" s="5" t="n">
        <v>0.43</v>
      </c>
      <c r="N198" s="5" t="n">
        <v>0.58</v>
      </c>
    </row>
    <row r="199">
      <c r="A199" t="n">
        <v>198</v>
      </c>
      <c r="B199" t="n">
        <v>2014</v>
      </c>
      <c r="C199" t="inlineStr">
        <is>
          <t>Adrianna Gianvito</t>
        </is>
      </c>
      <c r="D199">
        <f>HYPERLINK("https://ota.tournamentsoftware.com/player-profile/1412F0F4-82D3-410D-980E-969EFE386B01", "Link")</f>
        <v/>
      </c>
      <c r="E199" s="3" t="n">
        <v>439.384</v>
      </c>
      <c r="F199" s="4" t="n">
        <v>20</v>
      </c>
      <c r="G199" t="inlineStr">
        <is>
          <t>Tennis Québec</t>
        </is>
      </c>
      <c r="H199" t="inlineStr">
        <is>
          <t>No Club</t>
        </is>
      </c>
      <c r="I199" t="inlineStr">
        <is>
          <t>unavailable</t>
        </is>
      </c>
      <c r="J199" s="4" t="n">
        <v>148</v>
      </c>
      <c r="K199" t="inlineStr">
        <is>
          <t>78 / 70</t>
        </is>
      </c>
      <c r="L199" t="inlineStr">
        <is>
          <t>28 / 18</t>
        </is>
      </c>
      <c r="M199" s="5" t="n">
        <v>0.53</v>
      </c>
      <c r="N199" s="5" t="n">
        <v>0.61</v>
      </c>
    </row>
    <row r="200">
      <c r="A200" t="n">
        <v>199</v>
      </c>
      <c r="B200" t="n">
        <v>2015</v>
      </c>
      <c r="C200" t="inlineStr">
        <is>
          <t>Tina liu</t>
        </is>
      </c>
      <c r="D200">
        <f>HYPERLINK("https://ota.tournamentsoftware.com/player-profile/E7D1FBAC-8033-480E-A688-28CBCEF6D907", "Link")</f>
        <v/>
      </c>
      <c r="E200" s="3" t="n">
        <v>436.506</v>
      </c>
      <c r="F200" s="4" t="n">
        <v>28</v>
      </c>
      <c r="G200" t="inlineStr">
        <is>
          <t>Ontario Tennis Association</t>
        </is>
      </c>
      <c r="H200" t="inlineStr">
        <is>
          <t>No Club</t>
        </is>
      </c>
      <c r="I200" t="n">
        <v>32.6</v>
      </c>
      <c r="J200" s="4" t="n">
        <v>200</v>
      </c>
      <c r="K200" t="inlineStr">
        <is>
          <t>128 / 72</t>
        </is>
      </c>
      <c r="L200" t="inlineStr">
        <is>
          <t>32 / 19</t>
        </is>
      </c>
      <c r="M200" s="5" t="n">
        <v>0.64</v>
      </c>
      <c r="N200" s="5" t="n">
        <v>0.63</v>
      </c>
    </row>
    <row r="201">
      <c r="A201" t="n">
        <v>200</v>
      </c>
      <c r="B201" t="n">
        <v>2013</v>
      </c>
      <c r="C201" t="inlineStr">
        <is>
          <t>Rosemarie Gagnon</t>
        </is>
      </c>
      <c r="D201">
        <f>HYPERLINK("https://ota.tournamentsoftware.com/player-profile/55A370D6-4FAD-414D-9E3D-2889C644855A", "Link")</f>
        <v/>
      </c>
      <c r="E201" s="3" t="n">
        <v>429.244</v>
      </c>
      <c r="F201" s="4" t="n">
        <v>22</v>
      </c>
      <c r="G201" t="inlineStr">
        <is>
          <t>Tennis Québec</t>
        </is>
      </c>
      <c r="H201" t="inlineStr">
        <is>
          <t>Club de tennis intérieur Saguenay / École de tennis Delisle-Poirel</t>
        </is>
      </c>
      <c r="I201" t="n">
        <v>32.2</v>
      </c>
      <c r="J201" s="4" t="n">
        <v>111</v>
      </c>
      <c r="K201" t="inlineStr">
        <is>
          <t>49 / 62</t>
        </is>
      </c>
      <c r="L201" t="inlineStr">
        <is>
          <t>11 / 17</t>
        </is>
      </c>
      <c r="M201" s="5" t="n">
        <v>0.44</v>
      </c>
      <c r="N201" s="5" t="n">
        <v>0.39</v>
      </c>
    </row>
    <row r="202">
      <c r="A202" t="n">
        <v>201</v>
      </c>
      <c r="B202" t="n">
        <v>2012</v>
      </c>
      <c r="C202" t="inlineStr">
        <is>
          <t>Milena Mavrin</t>
        </is>
      </c>
      <c r="D202">
        <f>HYPERLINK("https://ota.tournamentsoftware.com/player-profile/E6DED1E8-57C3-4627-8D59-94A636610A6B", "Link")</f>
        <v/>
      </c>
      <c r="E202" s="3" t="n">
        <v>427.8</v>
      </c>
      <c r="F202" s="4" t="n">
        <v>25</v>
      </c>
      <c r="G202" t="inlineStr">
        <is>
          <t>Ontario Tennis Association</t>
        </is>
      </c>
      <c r="H202" t="inlineStr">
        <is>
          <t>Blackmore Tennis Club</t>
        </is>
      </c>
      <c r="I202" t="n">
        <v>31.5</v>
      </c>
      <c r="J202" s="4" t="n">
        <v>76</v>
      </c>
      <c r="K202" t="inlineStr">
        <is>
          <t>35 / 41</t>
        </is>
      </c>
      <c r="L202" t="inlineStr">
        <is>
          <t>27 / 21</t>
        </is>
      </c>
      <c r="M202" s="5" t="n">
        <v>0.46</v>
      </c>
      <c r="N202" s="5" t="n">
        <v>0.5600000000000001</v>
      </c>
    </row>
    <row r="203">
      <c r="A203" t="n">
        <v>202</v>
      </c>
      <c r="B203" t="n">
        <v>2014</v>
      </c>
      <c r="C203" t="inlineStr">
        <is>
          <t>Ema Zonjic</t>
        </is>
      </c>
      <c r="D203">
        <f>HYPERLINK("https://ota.tournamentsoftware.com/player-profile/42A43C76-E08F-4134-B876-2E9D05859D92", "Link")</f>
        <v/>
      </c>
      <c r="E203" s="3" t="n">
        <v>427.7</v>
      </c>
      <c r="F203" s="4" t="n">
        <v>27</v>
      </c>
      <c r="G203" t="inlineStr">
        <is>
          <t>Ontario Tennis Association</t>
        </is>
      </c>
      <c r="H203" t="inlineStr">
        <is>
          <t>Rideau Sports Centre</t>
        </is>
      </c>
      <c r="I203" t="n">
        <v>30.5</v>
      </c>
      <c r="J203" s="4" t="n">
        <v>189</v>
      </c>
      <c r="K203" t="inlineStr">
        <is>
          <t>109 / 80</t>
        </is>
      </c>
      <c r="L203" t="inlineStr">
        <is>
          <t>41 / 23</t>
        </is>
      </c>
      <c r="M203" s="5" t="n">
        <v>0.58</v>
      </c>
      <c r="N203" s="5" t="n">
        <v>0.64</v>
      </c>
    </row>
    <row r="204">
      <c r="A204" t="n">
        <v>203</v>
      </c>
      <c r="B204" t="n">
        <v>2012</v>
      </c>
      <c r="C204" t="inlineStr">
        <is>
          <t>Tiffany Ren Jun Cao</t>
        </is>
      </c>
      <c r="D204">
        <f>HYPERLINK("https://ota.tournamentsoftware.com/player-profile/07B17DA5-DD47-4C90-B575-478C58AD7465", "Link")</f>
        <v/>
      </c>
      <c r="E204" s="3" t="n">
        <v>426.413</v>
      </c>
      <c r="F204" s="4" t="n">
        <v>21</v>
      </c>
      <c r="G204" t="inlineStr">
        <is>
          <t>British Columbia</t>
        </is>
      </c>
      <c r="H204" t="inlineStr">
        <is>
          <t>Richmond Country Club</t>
        </is>
      </c>
      <c r="I204" t="n">
        <v>29.8</v>
      </c>
      <c r="J204" s="4" t="n">
        <v>207</v>
      </c>
      <c r="K204" t="inlineStr">
        <is>
          <t>105 / 102</t>
        </is>
      </c>
      <c r="L204" t="inlineStr">
        <is>
          <t>18 / 22</t>
        </is>
      </c>
      <c r="M204" s="5" t="n">
        <v>0.51</v>
      </c>
      <c r="N204" s="5" t="n">
        <v>0.45</v>
      </c>
    </row>
    <row r="205">
      <c r="A205" t="n">
        <v>204</v>
      </c>
      <c r="B205" t="n">
        <v>2014</v>
      </c>
      <c r="C205" t="inlineStr">
        <is>
          <t>Katelyn Li</t>
        </is>
      </c>
      <c r="D205">
        <f>HYPERLINK("https://ota.tournamentsoftware.com/player-profile/4A74B151-256A-40ED-9F9D-F00036EDD0A5", "Link")</f>
        <v/>
      </c>
      <c r="E205" s="3" t="n">
        <v>419.141</v>
      </c>
      <c r="F205" s="4" t="n">
        <v>23</v>
      </c>
      <c r="G205" t="inlineStr">
        <is>
          <t>Ontario Tennis Association</t>
        </is>
      </c>
      <c r="H205" t="inlineStr">
        <is>
          <t>Burlington Hall Sporting Club</t>
        </is>
      </c>
      <c r="I205" t="inlineStr">
        <is>
          <t>unavailable</t>
        </is>
      </c>
      <c r="J205" s="4" t="n">
        <v>131</v>
      </c>
      <c r="K205" t="inlineStr">
        <is>
          <t>61 / 70</t>
        </is>
      </c>
      <c r="L205" t="inlineStr">
        <is>
          <t>20 / 20</t>
        </is>
      </c>
      <c r="M205" s="5" t="n">
        <v>0.47</v>
      </c>
      <c r="N205" s="5" t="n">
        <v>0.5</v>
      </c>
    </row>
    <row r="206">
      <c r="A206" t="n">
        <v>205</v>
      </c>
      <c r="B206" t="n">
        <v>2014</v>
      </c>
      <c r="C206" t="inlineStr">
        <is>
          <t>Hanna Julia Barta</t>
        </is>
      </c>
      <c r="D206">
        <f>HYPERLINK("https://ota.tournamentsoftware.com/player-profile/BAF4D69B-39E5-4A7E-BB04-5AF0EDC7734B", "Link")</f>
        <v/>
      </c>
      <c r="E206" s="3" t="n">
        <v>418.277</v>
      </c>
      <c r="F206" s="4" t="n">
        <v>26</v>
      </c>
      <c r="G206" t="inlineStr">
        <is>
          <t>Ontario Tennis Association</t>
        </is>
      </c>
      <c r="H206" t="inlineStr">
        <is>
          <t>Advantage Tennis International at Veneto</t>
        </is>
      </c>
      <c r="I206" t="n">
        <v>31.9</v>
      </c>
      <c r="J206" s="4" t="n">
        <v>211</v>
      </c>
      <c r="K206" t="inlineStr">
        <is>
          <t>105 / 106</t>
        </is>
      </c>
      <c r="L206" t="inlineStr">
        <is>
          <t>25 / 20</t>
        </is>
      </c>
      <c r="M206" s="5" t="n">
        <v>0.5</v>
      </c>
      <c r="N206" s="5" t="n">
        <v>0.5600000000000001</v>
      </c>
    </row>
    <row r="207">
      <c r="A207" t="n">
        <v>206</v>
      </c>
      <c r="B207" t="n">
        <v>2014</v>
      </c>
      <c r="C207" t="inlineStr">
        <is>
          <t>Erin Yida Li</t>
        </is>
      </c>
      <c r="D207">
        <f>HYPERLINK("https://ota.tournamentsoftware.com/player-profile/48592A27-18BE-4C04-BE24-73F536B6D5D5", "Link")</f>
        <v/>
      </c>
      <c r="E207" s="3" t="n">
        <v>416.184</v>
      </c>
      <c r="F207" s="4" t="n">
        <v>20</v>
      </c>
      <c r="G207" t="inlineStr">
        <is>
          <t>Ontario Tennis Association</t>
        </is>
      </c>
      <c r="H207" t="inlineStr">
        <is>
          <t>Richmondhill Golf &amp; Country Club</t>
        </is>
      </c>
      <c r="I207" t="n">
        <v>32.3</v>
      </c>
      <c r="J207" s="4" t="n">
        <v>86</v>
      </c>
      <c r="K207" t="inlineStr">
        <is>
          <t>43 / 43</t>
        </is>
      </c>
      <c r="L207" t="inlineStr">
        <is>
          <t>20 / 18</t>
        </is>
      </c>
      <c r="M207" s="5" t="n">
        <v>0.5</v>
      </c>
      <c r="N207" s="5" t="n">
        <v>0.53</v>
      </c>
    </row>
    <row r="208">
      <c r="A208" t="n">
        <v>207</v>
      </c>
      <c r="B208" t="n">
        <v>2014</v>
      </c>
      <c r="C208" t="inlineStr">
        <is>
          <t>Sophia Pavlovska</t>
        </is>
      </c>
      <c r="D208">
        <f>HYPERLINK("https://ota.tournamentsoftware.com/player-profile/5C58F1EE-F291-431D-AC00-FB9096274E0A", "Link")</f>
        <v/>
      </c>
      <c r="E208" s="3" t="n">
        <v>413.785</v>
      </c>
      <c r="F208" s="4" t="n">
        <v>13</v>
      </c>
      <c r="G208" t="inlineStr">
        <is>
          <t>Tennis New Brunswick</t>
        </is>
      </c>
      <c r="H208" t="inlineStr">
        <is>
          <t>Dieppe</t>
        </is>
      </c>
      <c r="I208" t="n">
        <v>32.4</v>
      </c>
      <c r="J208" s="4" t="n">
        <v>176</v>
      </c>
      <c r="K208" t="inlineStr">
        <is>
          <t>65 / 111</t>
        </is>
      </c>
      <c r="L208" t="inlineStr">
        <is>
          <t>17 / 16</t>
        </is>
      </c>
      <c r="M208" s="5" t="n">
        <v>0.37</v>
      </c>
      <c r="N208" s="5" t="n">
        <v>0.52</v>
      </c>
    </row>
    <row r="209">
      <c r="A209" t="n">
        <v>208</v>
      </c>
      <c r="B209" t="n">
        <v>2013</v>
      </c>
      <c r="C209" t="inlineStr">
        <is>
          <t>Isidora Trkulja</t>
        </is>
      </c>
      <c r="D209">
        <f>HYPERLINK("https://ota.tournamentsoftware.com/player-profile/1A3F3EE8-FB93-483C-A52C-E761E6FA42CE", "Link")</f>
        <v/>
      </c>
      <c r="E209" s="3" t="n">
        <v>413.395</v>
      </c>
      <c r="F209" s="4" t="n">
        <v>8</v>
      </c>
      <c r="G209" t="inlineStr">
        <is>
          <t>Tennis Alberta</t>
        </is>
      </c>
      <c r="H209" t="inlineStr">
        <is>
          <t>Saville Community Sports Centre</t>
        </is>
      </c>
      <c r="I209" t="n">
        <v>26.2</v>
      </c>
      <c r="J209" s="4" t="n">
        <v>194</v>
      </c>
      <c r="K209" t="inlineStr">
        <is>
          <t>125 / 69</t>
        </is>
      </c>
      <c r="L209" t="inlineStr">
        <is>
          <t>8 / 6</t>
        </is>
      </c>
      <c r="M209" s="5" t="n">
        <v>0.64</v>
      </c>
      <c r="N209" s="5" t="n">
        <v>0.57</v>
      </c>
    </row>
    <row r="210">
      <c r="A210" t="n">
        <v>209</v>
      </c>
      <c r="B210" t="n">
        <v>2013</v>
      </c>
      <c r="C210" t="inlineStr">
        <is>
          <t>Coralie D'Amours</t>
        </is>
      </c>
      <c r="D210">
        <f>HYPERLINK("https://ota.tournamentsoftware.com/player-profile/35A6230C-9F9D-4861-B1DB-6367FB38A039", "Link")</f>
        <v/>
      </c>
      <c r="E210" s="3" t="n">
        <v>408.39</v>
      </c>
      <c r="F210" s="4" t="n">
        <v>16</v>
      </c>
      <c r="G210" t="inlineStr">
        <is>
          <t>Ontario Tennis Association</t>
        </is>
      </c>
      <c r="H210" t="inlineStr">
        <is>
          <t>Rideau Sports Centre</t>
        </is>
      </c>
      <c r="I210" t="n">
        <v>32.7</v>
      </c>
      <c r="J210" s="4" t="n">
        <v>61</v>
      </c>
      <c r="K210" t="inlineStr">
        <is>
          <t>22 / 39</t>
        </is>
      </c>
      <c r="L210" t="inlineStr">
        <is>
          <t>14 / 17</t>
        </is>
      </c>
      <c r="M210" s="5" t="n">
        <v>0.36</v>
      </c>
      <c r="N210" s="5" t="n">
        <v>0.45</v>
      </c>
    </row>
    <row r="211">
      <c r="A211" t="n">
        <v>210</v>
      </c>
      <c r="B211" t="n">
        <v>2013</v>
      </c>
      <c r="C211" t="inlineStr">
        <is>
          <t>Arya Kaur Dhillon</t>
        </is>
      </c>
      <c r="D211">
        <f>HYPERLINK("https://ota.tournamentsoftware.com/player-profile/3DBC0BDE-C3D6-40A5-992E-F7274098EF5D", "Link")</f>
        <v/>
      </c>
      <c r="E211" s="3" t="n">
        <v>405.446</v>
      </c>
      <c r="F211" s="4" t="n">
        <v>18</v>
      </c>
      <c r="G211" t="inlineStr">
        <is>
          <t>Tennis Alberta</t>
        </is>
      </c>
      <c r="H211" t="inlineStr">
        <is>
          <t>Saville Community Sports Centre</t>
        </is>
      </c>
      <c r="I211" t="n">
        <v>29.5</v>
      </c>
      <c r="J211" s="4" t="n">
        <v>173</v>
      </c>
      <c r="K211" t="inlineStr">
        <is>
          <t>85 / 88</t>
        </is>
      </c>
      <c r="L211" t="inlineStr">
        <is>
          <t>23 / 20</t>
        </is>
      </c>
      <c r="M211" s="5" t="n">
        <v>0.49</v>
      </c>
      <c r="N211" s="5" t="n">
        <v>0.53</v>
      </c>
    </row>
    <row r="212">
      <c r="A212" t="n">
        <v>211</v>
      </c>
      <c r="B212" t="n">
        <v>2013</v>
      </c>
      <c r="C212" t="inlineStr">
        <is>
          <t>Rachel Daniel</t>
        </is>
      </c>
      <c r="D212">
        <f>HYPERLINK("https://ota.tournamentsoftware.com/player-profile/C70279D5-586C-4A9D-94CC-EB9551085FF4", "Link")</f>
        <v/>
      </c>
      <c r="E212" s="3" t="n">
        <v>398.854</v>
      </c>
      <c r="F212" s="4" t="n">
        <v>19</v>
      </c>
      <c r="G212" t="inlineStr">
        <is>
          <t>Ontario Tennis Association</t>
        </is>
      </c>
      <c r="H212" t="inlineStr">
        <is>
          <t>Advantage Tennis International at Veneto</t>
        </is>
      </c>
      <c r="I212" t="n">
        <v>32.8</v>
      </c>
      <c r="J212" s="4" t="n">
        <v>100</v>
      </c>
      <c r="K212" t="inlineStr">
        <is>
          <t>39 / 61</t>
        </is>
      </c>
      <c r="L212" t="inlineStr">
        <is>
          <t>9 / 12</t>
        </is>
      </c>
      <c r="M212" s="5" t="n">
        <v>0.39</v>
      </c>
      <c r="N212" s="5" t="n">
        <v>0.43</v>
      </c>
    </row>
    <row r="213">
      <c r="A213" t="n">
        <v>212</v>
      </c>
      <c r="B213" t="n">
        <v>2012</v>
      </c>
      <c r="C213" t="inlineStr">
        <is>
          <t>Victoria Perez Vargas</t>
        </is>
      </c>
      <c r="D213">
        <f>HYPERLINK("https://ota.tournamentsoftware.com/player-profile/6649B15F-628D-4ED7-81D6-AEB9036DF19A", "Link")</f>
        <v/>
      </c>
      <c r="E213" s="3" t="n">
        <v>396.088</v>
      </c>
      <c r="F213" s="4" t="n">
        <v>24</v>
      </c>
      <c r="G213" t="inlineStr">
        <is>
          <t>Tennis Québec</t>
        </is>
      </c>
      <c r="H213" t="inlineStr">
        <is>
          <t>Centre récréatif de Repentigny / Académie Tennis Momentum</t>
        </is>
      </c>
      <c r="I213" t="n">
        <v>32.5</v>
      </c>
      <c r="J213" s="4" t="n">
        <v>106</v>
      </c>
      <c r="K213" t="inlineStr">
        <is>
          <t>53 / 53</t>
        </is>
      </c>
      <c r="L213" t="inlineStr">
        <is>
          <t>28 / 16</t>
        </is>
      </c>
      <c r="M213" s="5" t="n">
        <v>0.5</v>
      </c>
      <c r="N213" s="5" t="n">
        <v>0.64</v>
      </c>
    </row>
    <row r="214">
      <c r="A214" t="n">
        <v>213</v>
      </c>
      <c r="B214" t="n">
        <v>2014</v>
      </c>
      <c r="C214" t="inlineStr">
        <is>
          <t>Isabella Quintero-Gonzalez</t>
        </is>
      </c>
      <c r="D214">
        <f>HYPERLINK("https://ota.tournamentsoftware.com/player-profile/7215E114-BC9E-4292-9B97-03B766DB64EA", "Link")</f>
        <v/>
      </c>
      <c r="E214" s="3" t="n">
        <v>392.276</v>
      </c>
      <c r="F214" s="4" t="n">
        <v>13</v>
      </c>
      <c r="G214" t="inlineStr">
        <is>
          <t>Tennis Nova Scotia</t>
        </is>
      </c>
      <c r="H214" t="inlineStr">
        <is>
          <t>Atlantic Tennis Centre</t>
        </is>
      </c>
      <c r="I214" t="n">
        <v>32.1</v>
      </c>
      <c r="J214" s="4" t="n">
        <v>128</v>
      </c>
      <c r="K214" t="inlineStr">
        <is>
          <t>65 / 63</t>
        </is>
      </c>
      <c r="L214" t="inlineStr">
        <is>
          <t>29 / 23</t>
        </is>
      </c>
      <c r="M214" s="5" t="n">
        <v>0.51</v>
      </c>
      <c r="N214" s="5" t="n">
        <v>0.5600000000000001</v>
      </c>
    </row>
    <row r="215">
      <c r="A215" t="n">
        <v>214</v>
      </c>
      <c r="B215" t="n">
        <v>2015</v>
      </c>
      <c r="C215" t="inlineStr">
        <is>
          <t>Mila Caporusso</t>
        </is>
      </c>
      <c r="D215">
        <f>HYPERLINK("https://ota.tournamentsoftware.com/player-profile/71A1C940-3E73-49DA-929B-3B90328FC4BC", "Link")</f>
        <v/>
      </c>
      <c r="E215" s="3" t="n">
        <v>392.138</v>
      </c>
      <c r="F215" s="4" t="n">
        <v>8</v>
      </c>
      <c r="G215" t="inlineStr">
        <is>
          <t>Tennis Québec</t>
        </is>
      </c>
      <c r="H215" t="inlineStr">
        <is>
          <t>Tennis 13 / Académie Ménard et associé</t>
        </is>
      </c>
      <c r="I215" t="n">
        <v>30.4</v>
      </c>
      <c r="J215" s="4" t="n">
        <v>110</v>
      </c>
      <c r="K215" t="inlineStr">
        <is>
          <t>72 / 38</t>
        </is>
      </c>
      <c r="L215" t="inlineStr">
        <is>
          <t>10 / 10</t>
        </is>
      </c>
      <c r="M215" s="5" t="n">
        <v>0.65</v>
      </c>
      <c r="N215" s="5" t="n">
        <v>0.5</v>
      </c>
    </row>
    <row r="216">
      <c r="A216" t="n">
        <v>215</v>
      </c>
      <c r="B216" t="n">
        <v>2013</v>
      </c>
      <c r="C216" t="inlineStr">
        <is>
          <t>Ria Tamber</t>
        </is>
      </c>
      <c r="D216">
        <f>HYPERLINK("https://ota.tournamentsoftware.com/player-profile/4A086BBB-EEC2-48A4-BDDA-142D9D4A3534", "Link")</f>
        <v/>
      </c>
      <c r="E216" s="3" t="n">
        <v>391.555</v>
      </c>
      <c r="F216" s="4" t="n">
        <v>25</v>
      </c>
      <c r="G216" t="inlineStr">
        <is>
          <t>Ontario Tennis Association</t>
        </is>
      </c>
      <c r="H216" t="inlineStr">
        <is>
          <t>Premier Racquet Clubs – Mississauga</t>
        </is>
      </c>
      <c r="I216" t="inlineStr">
        <is>
          <t>unavailable</t>
        </is>
      </c>
      <c r="J216" s="4" t="n">
        <v>101</v>
      </c>
      <c r="K216" t="inlineStr">
        <is>
          <t>44 / 57</t>
        </is>
      </c>
      <c r="L216" t="inlineStr">
        <is>
          <t>17 / 17</t>
        </is>
      </c>
      <c r="M216" s="5" t="n">
        <v>0.44</v>
      </c>
      <c r="N216" s="5" t="n">
        <v>0.5</v>
      </c>
    </row>
    <row r="217">
      <c r="A217" t="n">
        <v>216</v>
      </c>
      <c r="B217" t="n">
        <v>2013</v>
      </c>
      <c r="C217" t="inlineStr">
        <is>
          <t>Élisabeth Circé</t>
        </is>
      </c>
      <c r="D217">
        <f>HYPERLINK("https://ota.tournamentsoftware.com/player-profile/6616439A-F3CD-4D57-876F-DCE4AC4B88C9", "Link")</f>
        <v/>
      </c>
      <c r="E217" s="3" t="n">
        <v>389.717</v>
      </c>
      <c r="F217" s="4" t="n">
        <v>27</v>
      </c>
      <c r="G217" t="inlineStr">
        <is>
          <t>Tennis Québec</t>
        </is>
      </c>
      <c r="H217" t="inlineStr">
        <is>
          <t>Tennis Interclub Piedmont</t>
        </is>
      </c>
      <c r="I217" t="inlineStr">
        <is>
          <t>unavailable</t>
        </is>
      </c>
      <c r="J217" s="4" t="n">
        <v>147</v>
      </c>
      <c r="K217" t="inlineStr">
        <is>
          <t>48 / 99</t>
        </is>
      </c>
      <c r="L217" t="inlineStr">
        <is>
          <t>14 / 23</t>
        </is>
      </c>
      <c r="M217" s="5" t="n">
        <v>0.33</v>
      </c>
      <c r="N217" s="5" t="n">
        <v>0.38</v>
      </c>
    </row>
    <row r="218">
      <c r="A218" t="n">
        <v>217</v>
      </c>
      <c r="B218" t="n">
        <v>2014</v>
      </c>
      <c r="C218" t="inlineStr">
        <is>
          <t>Maeva Cantin</t>
        </is>
      </c>
      <c r="D218">
        <f>HYPERLINK("https://ota.tournamentsoftware.com/player-profile/B46D6374-4A68-4FB0-8516-4056AFA1047A", "Link")</f>
        <v/>
      </c>
      <c r="E218" s="3" t="n">
        <v>389.285</v>
      </c>
      <c r="F218" s="4" t="n">
        <v>16</v>
      </c>
      <c r="G218" t="inlineStr">
        <is>
          <t>Tennis Québec</t>
        </is>
      </c>
      <c r="H218" t="inlineStr">
        <is>
          <t>Centre récréatif de Repentigny / Académie Tennis Momentum</t>
        </is>
      </c>
      <c r="I218" t="n">
        <v>30.7</v>
      </c>
      <c r="J218" s="4" t="n">
        <v>152</v>
      </c>
      <c r="K218" t="inlineStr">
        <is>
          <t>82 / 70</t>
        </is>
      </c>
      <c r="L218" t="inlineStr">
        <is>
          <t>29 / 17</t>
        </is>
      </c>
      <c r="M218" s="5" t="n">
        <v>0.54</v>
      </c>
      <c r="N218" s="5" t="n">
        <v>0.63</v>
      </c>
    </row>
    <row r="219">
      <c r="A219" t="n">
        <v>218</v>
      </c>
      <c r="B219" t="n">
        <v>2014</v>
      </c>
      <c r="C219" t="inlineStr">
        <is>
          <t>Olivia Zhang</t>
        </is>
      </c>
      <c r="D219">
        <f>HYPERLINK("https://ota.tournamentsoftware.com/player-profile/8A1E61A8-3535-4F88-8C90-68A511D75AC2", "Link")</f>
        <v/>
      </c>
      <c r="E219" s="3" t="n">
        <v>388.8</v>
      </c>
      <c r="F219" s="4" t="n">
        <v>18</v>
      </c>
      <c r="G219" t="inlineStr">
        <is>
          <t>Ontario Tennis Association</t>
        </is>
      </c>
      <c r="H219" t="inlineStr">
        <is>
          <t>Richmondhill Golf &amp; Country Club</t>
        </is>
      </c>
      <c r="I219" t="n">
        <v>30.4</v>
      </c>
      <c r="J219" s="4" t="n">
        <v>101</v>
      </c>
      <c r="K219" t="inlineStr">
        <is>
          <t>61 / 40</t>
        </is>
      </c>
      <c r="L219" t="inlineStr">
        <is>
          <t>30 / 17</t>
        </is>
      </c>
      <c r="M219" s="5" t="n">
        <v>0.6</v>
      </c>
      <c r="N219" s="5" t="n">
        <v>0.64</v>
      </c>
    </row>
    <row r="220">
      <c r="A220" t="n">
        <v>219</v>
      </c>
      <c r="B220" t="n">
        <v>2012</v>
      </c>
      <c r="C220" t="inlineStr">
        <is>
          <t>Aliya Star Michel</t>
        </is>
      </c>
      <c r="D220">
        <f>HYPERLINK("https://ota.tournamentsoftware.com/player-profile/B34E6AA6-2962-4DB5-93DB-BCA4DBF97316", "Link")</f>
        <v/>
      </c>
      <c r="E220" s="3" t="n">
        <v>386.865</v>
      </c>
      <c r="F220" s="4" t="n">
        <v>7</v>
      </c>
      <c r="G220" t="inlineStr">
        <is>
          <t>Tennis Québec</t>
        </is>
      </c>
      <c r="H220" t="inlineStr">
        <is>
          <t>Carrefour Multisports</t>
        </is>
      </c>
      <c r="I220" t="n">
        <v>30</v>
      </c>
      <c r="J220" s="4" t="n">
        <v>184</v>
      </c>
      <c r="K220" t="inlineStr">
        <is>
          <t>96 / 88</t>
        </is>
      </c>
      <c r="L220" t="inlineStr">
        <is>
          <t>2 / 2</t>
        </is>
      </c>
      <c r="M220" s="5" t="n">
        <v>0.52</v>
      </c>
      <c r="N220" s="5" t="n">
        <v>0.5</v>
      </c>
    </row>
    <row r="221">
      <c r="A221" t="n">
        <v>220</v>
      </c>
      <c r="B221" t="n">
        <v>2013</v>
      </c>
      <c r="C221" t="inlineStr">
        <is>
          <t>EMMA ANTONIA DOBREAN</t>
        </is>
      </c>
      <c r="D221">
        <f>HYPERLINK("https://ota.tournamentsoftware.com/player-profile/A556E1FC-8159-42C1-A5DB-35375535B6F4", "Link")</f>
        <v/>
      </c>
      <c r="E221" s="3" t="n">
        <v>386.415</v>
      </c>
      <c r="F221" s="4" t="n">
        <v>3</v>
      </c>
      <c r="G221" t="inlineStr">
        <is>
          <t>Ontario Tennis Association</t>
        </is>
      </c>
      <c r="H221" t="inlineStr">
        <is>
          <t>No Club</t>
        </is>
      </c>
      <c r="I221" t="inlineStr">
        <is>
          <t>unavailable</t>
        </is>
      </c>
      <c r="J221" s="4" t="n">
        <v>137</v>
      </c>
      <c r="K221" t="inlineStr">
        <is>
          <t>98 / 39</t>
        </is>
      </c>
      <c r="L221" t="inlineStr">
        <is>
          <t>2 / 3</t>
        </is>
      </c>
      <c r="M221" s="5" t="n">
        <v>0.72</v>
      </c>
      <c r="N221" s="5" t="n">
        <v>0.4</v>
      </c>
    </row>
    <row r="222">
      <c r="A222" t="n">
        <v>221</v>
      </c>
      <c r="B222" t="n">
        <v>2014</v>
      </c>
      <c r="C222" t="inlineStr">
        <is>
          <t>anne xie</t>
        </is>
      </c>
      <c r="D222">
        <f>HYPERLINK("https://ota.tournamentsoftware.com/player-profile/FA9126B9-8D97-4D5E-9E34-8893BB836AE1", "Link")</f>
        <v/>
      </c>
      <c r="E222" s="3" t="n">
        <v>378.598</v>
      </c>
      <c r="F222" s="4" t="n">
        <v>25</v>
      </c>
      <c r="G222" t="inlineStr">
        <is>
          <t>British Columbia</t>
        </is>
      </c>
      <c r="H222" t="inlineStr">
        <is>
          <t>North Vancouver Tennis Centre</t>
        </is>
      </c>
      <c r="I222" t="n">
        <v>29.2</v>
      </c>
      <c r="J222" s="4" t="n">
        <v>261</v>
      </c>
      <c r="K222" t="inlineStr">
        <is>
          <t>127 / 134</t>
        </is>
      </c>
      <c r="L222" t="inlineStr">
        <is>
          <t>30 / 26</t>
        </is>
      </c>
      <c r="M222" s="5" t="n">
        <v>0.49</v>
      </c>
      <c r="N222" s="5" t="n">
        <v>0.54</v>
      </c>
    </row>
    <row r="223">
      <c r="A223" t="n">
        <v>222</v>
      </c>
      <c r="B223" t="n">
        <v>2013</v>
      </c>
      <c r="C223" t="inlineStr">
        <is>
          <t>Noelle Coyne</t>
        </is>
      </c>
      <c r="D223">
        <f>HYPERLINK("https://ota.tournamentsoftware.com/player-profile/F9F10EB5-F22D-4997-85F1-78377170C70A", "Link")</f>
        <v/>
      </c>
      <c r="E223" s="3" t="n">
        <v>367.853</v>
      </c>
      <c r="F223" s="4" t="n">
        <v>26</v>
      </c>
      <c r="G223" t="inlineStr">
        <is>
          <t>Tennis Alberta</t>
        </is>
      </c>
      <c r="H223" t="inlineStr">
        <is>
          <t>Osten &amp; Victor Alberta Tennis Centre</t>
        </is>
      </c>
      <c r="I223" t="n">
        <v>31.9</v>
      </c>
      <c r="J223" s="4" t="n">
        <v>122</v>
      </c>
      <c r="K223" t="inlineStr">
        <is>
          <t>51 / 71</t>
        </is>
      </c>
      <c r="L223" t="inlineStr">
        <is>
          <t>23 / 32</t>
        </is>
      </c>
      <c r="M223" s="5" t="n">
        <v>0.42</v>
      </c>
      <c r="N223" s="5" t="n">
        <v>0.42</v>
      </c>
    </row>
    <row r="224">
      <c r="A224" t="n">
        <v>223</v>
      </c>
      <c r="B224" t="n">
        <v>2013</v>
      </c>
      <c r="C224" t="inlineStr">
        <is>
          <t>Mary Grace MacDonnell Doak</t>
        </is>
      </c>
      <c r="D224">
        <f>HYPERLINK("https://ota.tournamentsoftware.com/player-profile/7E3C3388-CB92-4FE9-B0C8-FE6415D966E4", "Link")</f>
        <v/>
      </c>
      <c r="E224" s="3" t="n">
        <v>366.079</v>
      </c>
      <c r="F224" s="4" t="n">
        <v>17</v>
      </c>
      <c r="G224" t="inlineStr">
        <is>
          <t>Ontario Tennis Association</t>
        </is>
      </c>
      <c r="H224" t="inlineStr">
        <is>
          <t>St. James Tennis Club</t>
        </is>
      </c>
      <c r="I224" t="n">
        <v>36.3</v>
      </c>
      <c r="J224" s="4" t="n">
        <v>146</v>
      </c>
      <c r="K224" t="inlineStr">
        <is>
          <t>69 / 77</t>
        </is>
      </c>
      <c r="L224" t="inlineStr">
        <is>
          <t>5 / 15</t>
        </is>
      </c>
      <c r="M224" s="5" t="n">
        <v>0.47</v>
      </c>
      <c r="N224" s="5" t="n">
        <v>0.25</v>
      </c>
    </row>
    <row r="225">
      <c r="A225" t="n">
        <v>224</v>
      </c>
      <c r="B225" t="n">
        <v>2014</v>
      </c>
      <c r="C225" t="inlineStr">
        <is>
          <t>Hailey Zhou</t>
        </is>
      </c>
      <c r="D225">
        <f>HYPERLINK("https://ota.tournamentsoftware.com/player-profile/3046278B-E91E-4DE6-B598-5CD7D202AA49", "Link")</f>
        <v/>
      </c>
      <c r="E225" s="3" t="n">
        <v>344.77</v>
      </c>
      <c r="F225" s="4" t="n">
        <v>36</v>
      </c>
      <c r="G225" t="inlineStr">
        <is>
          <t>Ontario Tennis Association</t>
        </is>
      </c>
      <c r="H225" t="inlineStr">
        <is>
          <t>Advantage Tennis International at Veneto</t>
        </is>
      </c>
      <c r="I225" t="n">
        <v>33.5</v>
      </c>
      <c r="J225" s="4" t="n">
        <v>85</v>
      </c>
      <c r="K225" t="inlineStr">
        <is>
          <t>43 / 42</t>
        </is>
      </c>
      <c r="L225" t="inlineStr">
        <is>
          <t>33 / 30</t>
        </is>
      </c>
      <c r="M225" s="5" t="n">
        <v>0.51</v>
      </c>
      <c r="N225" s="5" t="n">
        <v>0.52</v>
      </c>
    </row>
    <row r="226">
      <c r="A226" t="n">
        <v>225</v>
      </c>
      <c r="B226" t="n">
        <v>2012</v>
      </c>
      <c r="C226" t="inlineStr">
        <is>
          <t>Sneha Sahiba Bhatti</t>
        </is>
      </c>
      <c r="D226">
        <f>HYPERLINK("https://ota.tournamentsoftware.com/player-profile/16EA0E7B-0025-4333-9A2A-28395C436A40", "Link")</f>
        <v/>
      </c>
      <c r="E226" s="3" t="n">
        <v>343.767</v>
      </c>
      <c r="F226" s="4" t="n">
        <v>17</v>
      </c>
      <c r="G226" t="inlineStr">
        <is>
          <t>British Columbia</t>
        </is>
      </c>
      <c r="H226" t="inlineStr">
        <is>
          <t>Coquitlam Tennis Club</t>
        </is>
      </c>
      <c r="I226" t="n">
        <v>30.3</v>
      </c>
      <c r="J226" s="4" t="n">
        <v>188</v>
      </c>
      <c r="K226" t="inlineStr">
        <is>
          <t>93 / 95</t>
        </is>
      </c>
      <c r="L226" t="inlineStr">
        <is>
          <t>15 / 21</t>
        </is>
      </c>
      <c r="M226" s="5" t="n">
        <v>0.49</v>
      </c>
      <c r="N226" s="5" t="n">
        <v>0.42</v>
      </c>
    </row>
    <row r="227">
      <c r="A227" t="n">
        <v>226</v>
      </c>
      <c r="B227" t="n">
        <v>2012</v>
      </c>
      <c r="C227" t="inlineStr">
        <is>
          <t>Ariyana Usharah Mahanandan</t>
        </is>
      </c>
      <c r="D227">
        <f>HYPERLINK("https://ota.tournamentsoftware.com/player-profile/FE0B9224-EA2B-4B60-AB52-7A0A2ACA90DA", "Link")</f>
        <v/>
      </c>
      <c r="E227" s="3" t="n">
        <v>340.822</v>
      </c>
      <c r="F227" s="4" t="n">
        <v>23</v>
      </c>
      <c r="G227" t="inlineStr">
        <is>
          <t>Ontario Tennis Association</t>
        </is>
      </c>
      <c r="H227" t="inlineStr">
        <is>
          <t>Premier Racquet Clubs – Mississauga</t>
        </is>
      </c>
      <c r="I227" t="inlineStr">
        <is>
          <t>unavailable</t>
        </is>
      </c>
      <c r="J227" s="4" t="n">
        <v>139</v>
      </c>
      <c r="K227" t="inlineStr">
        <is>
          <t>59 / 80</t>
        </is>
      </c>
      <c r="L227" t="inlineStr">
        <is>
          <t>13 / 22</t>
        </is>
      </c>
      <c r="M227" s="5" t="n">
        <v>0.42</v>
      </c>
      <c r="N227" s="5" t="n">
        <v>0.37</v>
      </c>
    </row>
    <row r="228">
      <c r="A228" t="n">
        <v>227</v>
      </c>
      <c r="B228" t="n">
        <v>2014</v>
      </c>
      <c r="C228" t="inlineStr">
        <is>
          <t>Sara Liao</t>
        </is>
      </c>
      <c r="D228">
        <f>HYPERLINK("https://ota.tournamentsoftware.com/player-profile/A86A9BCB-375D-415C-BD04-3D7638B2F6E8", "Link")</f>
        <v/>
      </c>
      <c r="E228" s="3" t="n">
        <v>339.926</v>
      </c>
      <c r="F228" s="4" t="n">
        <v>33</v>
      </c>
      <c r="G228" t="inlineStr">
        <is>
          <t>Ontario Tennis Association</t>
        </is>
      </c>
      <c r="H228" t="inlineStr">
        <is>
          <t>Ontario Racquet Club</t>
        </is>
      </c>
      <c r="I228" t="n">
        <v>32.4</v>
      </c>
      <c r="J228" s="4" t="n">
        <v>122</v>
      </c>
      <c r="K228" t="inlineStr">
        <is>
          <t>60 / 62</t>
        </is>
      </c>
      <c r="L228" t="inlineStr">
        <is>
          <t>33 / 29</t>
        </is>
      </c>
      <c r="M228" s="5" t="n">
        <v>0.49</v>
      </c>
      <c r="N228" s="5" t="n">
        <v>0.53</v>
      </c>
    </row>
    <row r="229">
      <c r="A229" t="n">
        <v>228</v>
      </c>
      <c r="B229" t="n">
        <v>2012</v>
      </c>
      <c r="C229" t="inlineStr">
        <is>
          <t>Anne-Frédérique Jacob</t>
        </is>
      </c>
      <c r="D229">
        <f>HYPERLINK("https://ota.tournamentsoftware.com/player-profile/6FDF9E24-9EF2-40B8-AA29-4E8DB70822F9", "Link")</f>
        <v/>
      </c>
      <c r="E229" s="3" t="n">
        <v>339.237</v>
      </c>
      <c r="F229" s="4" t="n">
        <v>15</v>
      </c>
      <c r="G229" t="inlineStr">
        <is>
          <t>Tennis Québec</t>
        </is>
      </c>
      <c r="H229" t="inlineStr">
        <is>
          <t>SANI Sport</t>
        </is>
      </c>
      <c r="I229" t="n">
        <v>30.4</v>
      </c>
      <c r="J229" s="4" t="n">
        <v>147</v>
      </c>
      <c r="K229" t="inlineStr">
        <is>
          <t>73 / 74</t>
        </is>
      </c>
      <c r="L229" t="inlineStr">
        <is>
          <t>5 / 11</t>
        </is>
      </c>
      <c r="M229" s="5" t="n">
        <v>0.5</v>
      </c>
      <c r="N229" s="5" t="n">
        <v>0.31</v>
      </c>
    </row>
    <row r="230">
      <c r="A230" t="n">
        <v>229</v>
      </c>
      <c r="B230" t="n">
        <v>2014</v>
      </c>
      <c r="C230" t="inlineStr">
        <is>
          <t>Isabelle Prusinkiewicz</t>
        </is>
      </c>
      <c r="D230">
        <f>HYPERLINK("https://ota.tournamentsoftware.com/player-profile/15F8CE0F-EF62-4029-B13B-F131581B8B29", "Link")</f>
        <v/>
      </c>
      <c r="E230" s="3" t="n">
        <v>338.545</v>
      </c>
      <c r="F230" s="4" t="n">
        <v>24</v>
      </c>
      <c r="G230" t="inlineStr">
        <is>
          <t>Tennis Alberta</t>
        </is>
      </c>
      <c r="H230" t="inlineStr">
        <is>
          <t>Aforza</t>
        </is>
      </c>
      <c r="I230" t="n">
        <v>32</v>
      </c>
      <c r="J230" s="4" t="n">
        <v>178</v>
      </c>
      <c r="K230" t="inlineStr">
        <is>
          <t>102 / 76</t>
        </is>
      </c>
      <c r="L230" t="inlineStr">
        <is>
          <t>30 / 20</t>
        </is>
      </c>
      <c r="M230" s="5" t="n">
        <v>0.57</v>
      </c>
      <c r="N230" s="5" t="n">
        <v>0.6</v>
      </c>
    </row>
    <row r="231">
      <c r="A231" t="n">
        <v>230</v>
      </c>
      <c r="B231" t="n">
        <v>2015</v>
      </c>
      <c r="C231" t="inlineStr">
        <is>
          <t>Mia Louise LADEWIG</t>
        </is>
      </c>
      <c r="D231">
        <f>HYPERLINK("https://ota.tournamentsoftware.com/player-profile/25055713-74C7-482D-8A9B-00D94FB7068B", "Link")</f>
        <v/>
      </c>
      <c r="E231" s="3" t="n">
        <v>337.743</v>
      </c>
      <c r="F231" s="4" t="n">
        <v>23</v>
      </c>
      <c r="G231" t="inlineStr">
        <is>
          <t>British Columbia</t>
        </is>
      </c>
      <c r="H231" t="inlineStr">
        <is>
          <t>North Vancouver Tennis Centre</t>
        </is>
      </c>
      <c r="I231" t="n">
        <v>29.3</v>
      </c>
      <c r="J231" s="4" t="n">
        <v>227</v>
      </c>
      <c r="K231" t="inlineStr">
        <is>
          <t>145 / 82</t>
        </is>
      </c>
      <c r="L231" t="inlineStr">
        <is>
          <t>35 / 20</t>
        </is>
      </c>
      <c r="M231" s="5" t="n">
        <v>0.64</v>
      </c>
      <c r="N231" s="5" t="n">
        <v>0.64</v>
      </c>
    </row>
    <row r="232">
      <c r="A232" t="n">
        <v>231</v>
      </c>
      <c r="B232" t="n">
        <v>2013</v>
      </c>
      <c r="C232" t="inlineStr">
        <is>
          <t>Jessica Rosemary Hill</t>
        </is>
      </c>
      <c r="D232">
        <f>HYPERLINK("https://ota.tournamentsoftware.com/player-profile/9F68BF9A-4FFA-4754-8023-C9F4ABCF0003", "Link")</f>
        <v/>
      </c>
      <c r="E232" s="3" t="n">
        <v>336.999</v>
      </c>
      <c r="F232" s="4" t="n">
        <v>22</v>
      </c>
      <c r="G232" t="inlineStr">
        <is>
          <t>British Columbia</t>
        </is>
      </c>
      <c r="H232" t="inlineStr">
        <is>
          <t>Vancouver International Tennis Academy</t>
        </is>
      </c>
      <c r="I232" t="n">
        <v>30.6</v>
      </c>
      <c r="J232" s="4" t="n">
        <v>167</v>
      </c>
      <c r="K232" t="inlineStr">
        <is>
          <t>93 / 74</t>
        </is>
      </c>
      <c r="L232" t="inlineStr">
        <is>
          <t>23 / 19</t>
        </is>
      </c>
      <c r="M232" s="5" t="n">
        <v>0.5600000000000001</v>
      </c>
      <c r="N232" s="5" t="n">
        <v>0.55</v>
      </c>
    </row>
    <row r="233">
      <c r="A233" t="n">
        <v>232</v>
      </c>
      <c r="B233" t="n">
        <v>2013</v>
      </c>
      <c r="C233" t="inlineStr">
        <is>
          <t>Alina Luo</t>
        </is>
      </c>
      <c r="D233">
        <f>HYPERLINK("https://ota.tournamentsoftware.com/player-profile/848C25E0-4CBB-4051-8AB5-C8460313D4A3", "Link")</f>
        <v/>
      </c>
      <c r="E233" s="3" t="n">
        <v>336.847</v>
      </c>
      <c r="F233" s="4" t="n">
        <v>22</v>
      </c>
      <c r="G233" t="inlineStr">
        <is>
          <t>Tennis Québec</t>
        </is>
      </c>
      <c r="H233" t="inlineStr">
        <is>
          <t>SANI Sport</t>
        </is>
      </c>
      <c r="I233" t="n">
        <v>32.5</v>
      </c>
      <c r="J233" s="4" t="n">
        <v>217</v>
      </c>
      <c r="K233" t="inlineStr">
        <is>
          <t>103 / 114</t>
        </is>
      </c>
      <c r="L233" t="inlineStr">
        <is>
          <t>3 / 17</t>
        </is>
      </c>
      <c r="M233" s="5" t="n">
        <v>0.47</v>
      </c>
      <c r="N233" s="5" t="n">
        <v>0.15</v>
      </c>
    </row>
    <row r="234">
      <c r="A234" t="n">
        <v>233</v>
      </c>
      <c r="B234" t="n">
        <v>2014</v>
      </c>
      <c r="C234" t="inlineStr">
        <is>
          <t>Eva Paquette</t>
        </is>
      </c>
      <c r="D234">
        <f>HYPERLINK("https://ota.tournamentsoftware.com/player-profile/631BF8EC-5FD6-41F7-A4BC-1B4980693D40", "Link")</f>
        <v/>
      </c>
      <c r="E234" s="3" t="n">
        <v>336.645</v>
      </c>
      <c r="F234" s="4" t="n">
        <v>33</v>
      </c>
      <c r="G234" t="inlineStr">
        <is>
          <t>Tennis Québec</t>
        </is>
      </c>
      <c r="H234" t="inlineStr">
        <is>
          <t>Club Sportif Côte-de-Liesse</t>
        </is>
      </c>
      <c r="I234" t="n">
        <v>32.2</v>
      </c>
      <c r="J234" s="4" t="n">
        <v>208</v>
      </c>
      <c r="K234" t="inlineStr">
        <is>
          <t>105 / 103</t>
        </is>
      </c>
      <c r="L234" t="inlineStr">
        <is>
          <t>41 / 28</t>
        </is>
      </c>
      <c r="M234" s="5" t="n">
        <v>0.5</v>
      </c>
      <c r="N234" s="5" t="n">
        <v>0.59</v>
      </c>
    </row>
    <row r="235">
      <c r="A235" t="n">
        <v>234</v>
      </c>
      <c r="B235" t="n">
        <v>2013</v>
      </c>
      <c r="C235" t="inlineStr">
        <is>
          <t>Anastazia De Lain</t>
        </is>
      </c>
      <c r="D235">
        <f>HYPERLINK("https://ota.tournamentsoftware.com/player-profile/BEE8D838-8464-4CCF-9268-D0D58F108999", "Link")</f>
        <v/>
      </c>
      <c r="E235" s="3" t="n">
        <v>335.359</v>
      </c>
      <c r="F235" s="4" t="n">
        <v>21</v>
      </c>
      <c r="G235" t="inlineStr">
        <is>
          <t>Tennis Québec</t>
        </is>
      </c>
      <c r="H235" t="inlineStr">
        <is>
          <t>EB Tennis inc.</t>
        </is>
      </c>
      <c r="I235" t="n">
        <v>36.6</v>
      </c>
      <c r="J235" s="4" t="n">
        <v>174</v>
      </c>
      <c r="K235" t="inlineStr">
        <is>
          <t>37 / 137</t>
        </is>
      </c>
      <c r="L235" t="inlineStr">
        <is>
          <t>4 / 23</t>
        </is>
      </c>
      <c r="M235" s="5" t="n">
        <v>0.21</v>
      </c>
      <c r="N235" s="5" t="n">
        <v>0.15</v>
      </c>
    </row>
    <row r="236">
      <c r="A236" t="n">
        <v>235</v>
      </c>
      <c r="B236" t="n">
        <v>2013</v>
      </c>
      <c r="C236" t="inlineStr">
        <is>
          <t>Kmar ELHOUIJ</t>
        </is>
      </c>
      <c r="D236">
        <f>HYPERLINK("https://ota.tournamentsoftware.com/player-profile/D690466C-B3D9-45B2-B453-BA40F436A5C1", "Link")</f>
        <v/>
      </c>
      <c r="E236" s="3" t="n">
        <v>335.176</v>
      </c>
      <c r="F236" s="4" t="n">
        <v>4</v>
      </c>
      <c r="G236" t="inlineStr">
        <is>
          <t>Tennis New Brunswick</t>
        </is>
      </c>
      <c r="H236" t="inlineStr">
        <is>
          <t>No Club</t>
        </is>
      </c>
      <c r="I236" t="n">
        <v>28.4</v>
      </c>
      <c r="J236" s="4" t="n">
        <v>42</v>
      </c>
      <c r="K236" t="inlineStr">
        <is>
          <t>30 / 12</t>
        </is>
      </c>
      <c r="L236" t="inlineStr">
        <is>
          <t>19 / 9</t>
        </is>
      </c>
      <c r="M236" s="5" t="n">
        <v>0.71</v>
      </c>
      <c r="N236" s="5" t="n">
        <v>0.68</v>
      </c>
    </row>
    <row r="237">
      <c r="A237" t="n">
        <v>236</v>
      </c>
      <c r="B237" t="n">
        <v>2012</v>
      </c>
      <c r="C237" t="inlineStr">
        <is>
          <t>Yunia Bartha</t>
        </is>
      </c>
      <c r="D237">
        <f>HYPERLINK("https://ota.tournamentsoftware.com/player-profile/3A2980C0-C922-4870-A2B4-18E74AC903C2", "Link")</f>
        <v/>
      </c>
      <c r="E237" s="3" t="n">
        <v>332.284</v>
      </c>
      <c r="F237" s="4" t="n">
        <v>25</v>
      </c>
      <c r="G237" t="inlineStr">
        <is>
          <t>Tennis Québec</t>
        </is>
      </c>
      <c r="H237" t="inlineStr">
        <is>
          <t>Club Sportif Côte-de-Liesse</t>
        </is>
      </c>
      <c r="I237" t="n">
        <v>32.7</v>
      </c>
      <c r="J237" s="4" t="n">
        <v>141</v>
      </c>
      <c r="K237" t="inlineStr">
        <is>
          <t>56 / 85</t>
        </is>
      </c>
      <c r="L237" t="inlineStr">
        <is>
          <t>12 / 21</t>
        </is>
      </c>
      <c r="M237" s="5" t="n">
        <v>0.4</v>
      </c>
      <c r="N237" s="5" t="n">
        <v>0.36</v>
      </c>
    </row>
    <row r="238">
      <c r="A238" t="n">
        <v>237</v>
      </c>
      <c r="B238" t="n">
        <v>2013</v>
      </c>
      <c r="C238" t="inlineStr">
        <is>
          <t>Aicha Ben Ali</t>
        </is>
      </c>
      <c r="D238">
        <f>HYPERLINK("https://ota.tournamentsoftware.com/player-profile/87F8F2BE-10FE-41D7-8382-85524C1D5D23", "Link")</f>
        <v/>
      </c>
      <c r="E238" s="3" t="n">
        <v>330.988</v>
      </c>
      <c r="F238" s="4" t="n">
        <v>9</v>
      </c>
      <c r="G238" t="inlineStr">
        <is>
          <t>Tennis Saskatchewan</t>
        </is>
      </c>
      <c r="H238" t="inlineStr">
        <is>
          <t>Lakeshore Tennis Club</t>
        </is>
      </c>
      <c r="I238" t="inlineStr">
        <is>
          <t>unavailable</t>
        </is>
      </c>
      <c r="J238" s="4" t="n">
        <v>31</v>
      </c>
      <c r="K238" t="inlineStr">
        <is>
          <t>4 / 27</t>
        </is>
      </c>
      <c r="L238" t="inlineStr">
        <is>
          <t>4 / 23</t>
        </is>
      </c>
      <c r="M238" s="5" t="n">
        <v>0.13</v>
      </c>
      <c r="N238" s="5" t="n">
        <v>0.15</v>
      </c>
    </row>
    <row r="239">
      <c r="A239" t="n">
        <v>238</v>
      </c>
      <c r="B239" t="n">
        <v>2014</v>
      </c>
      <c r="C239" t="inlineStr">
        <is>
          <t>Vrishti Gehlot</t>
        </is>
      </c>
      <c r="D239">
        <f>HYPERLINK("https://ota.tournamentsoftware.com/player-profile/8D59FB71-FC68-41E0-B69F-920C29B60AD3", "Link")</f>
        <v/>
      </c>
      <c r="E239" s="3" t="n">
        <v>322.528</v>
      </c>
      <c r="F239" s="4" t="n">
        <v>26</v>
      </c>
      <c r="G239" t="inlineStr">
        <is>
          <t>Ontario Tennis Association</t>
        </is>
      </c>
      <c r="H239" t="inlineStr">
        <is>
          <t>Premier Racquet Clubs – Mississauga</t>
        </is>
      </c>
      <c r="I239" t="n">
        <v>33</v>
      </c>
      <c r="J239" s="4" t="n">
        <v>157</v>
      </c>
      <c r="K239" t="inlineStr">
        <is>
          <t>79 / 78</t>
        </is>
      </c>
      <c r="L239" t="inlineStr">
        <is>
          <t>31 / 19</t>
        </is>
      </c>
      <c r="M239" s="5" t="n">
        <v>0.5</v>
      </c>
      <c r="N239" s="5" t="n">
        <v>0.62</v>
      </c>
    </row>
    <row r="240">
      <c r="A240" t="n">
        <v>239</v>
      </c>
      <c r="B240" t="n">
        <v>2015</v>
      </c>
      <c r="C240" t="inlineStr">
        <is>
          <t>Josephine Yitong Wu</t>
        </is>
      </c>
      <c r="D240">
        <f>HYPERLINK("https://ota.tournamentsoftware.com/player-profile/1DF0BC06-9057-4469-9CEF-A9B5D864D9C9", "Link")</f>
        <v/>
      </c>
      <c r="E240" s="3" t="n">
        <v>321.68</v>
      </c>
      <c r="F240" s="4" t="n">
        <v>19</v>
      </c>
      <c r="G240" t="inlineStr">
        <is>
          <t>British Columbia</t>
        </is>
      </c>
      <c r="H240" t="inlineStr">
        <is>
          <t>North Vancouver Tennis Centre</t>
        </is>
      </c>
      <c r="I240" t="n">
        <v>29.1</v>
      </c>
      <c r="J240" s="4" t="n">
        <v>169</v>
      </c>
      <c r="K240" t="inlineStr">
        <is>
          <t>100 / 69</t>
        </is>
      </c>
      <c r="L240" t="inlineStr">
        <is>
          <t>23 / 13</t>
        </is>
      </c>
      <c r="M240" s="5" t="n">
        <v>0.59</v>
      </c>
      <c r="N240" s="5" t="n">
        <v>0.64</v>
      </c>
    </row>
    <row r="241">
      <c r="A241" t="n">
        <v>240</v>
      </c>
      <c r="B241" t="n">
        <v>2012</v>
      </c>
      <c r="C241" t="inlineStr">
        <is>
          <t>Abby Jean Tobac</t>
        </is>
      </c>
      <c r="D241">
        <f>HYPERLINK("https://ota.tournamentsoftware.com/player-profile/CDFDF0FB-A147-4D3C-BF4D-24E115B9EC1A", "Link")</f>
        <v/>
      </c>
      <c r="E241" s="3" t="n">
        <v>318.528</v>
      </c>
      <c r="F241" s="4" t="n">
        <v>6</v>
      </c>
      <c r="G241" t="inlineStr">
        <is>
          <t>Tennis Manitoba</t>
        </is>
      </c>
      <c r="H241" t="inlineStr">
        <is>
          <t>Taylor Tennis</t>
        </is>
      </c>
      <c r="I241" t="n">
        <v>35.1</v>
      </c>
      <c r="J241" s="4" t="n">
        <v>49</v>
      </c>
      <c r="K241" t="inlineStr">
        <is>
          <t>14 / 35</t>
        </is>
      </c>
      <c r="L241" t="inlineStr">
        <is>
          <t>2 / 9</t>
        </is>
      </c>
      <c r="M241" s="5" t="n">
        <v>0.29</v>
      </c>
      <c r="N241" s="5" t="n">
        <v>0.18</v>
      </c>
    </row>
    <row r="242">
      <c r="A242" t="n">
        <v>241</v>
      </c>
      <c r="B242" t="n">
        <v>2015</v>
      </c>
      <c r="C242" t="inlineStr">
        <is>
          <t>Clara Fanoos</t>
        </is>
      </c>
      <c r="D242">
        <f>HYPERLINK("https://ota.tournamentsoftware.com/player-profile/4AE431B3-C9E6-49D8-8003-48666B13F94B", "Link")</f>
        <v/>
      </c>
      <c r="E242" s="3" t="n">
        <v>316.509</v>
      </c>
      <c r="F242" s="4" t="n">
        <v>21</v>
      </c>
      <c r="G242" t="inlineStr">
        <is>
          <t>Tennis Québec</t>
        </is>
      </c>
      <c r="H242" t="inlineStr">
        <is>
          <t>Complexe de tennis de St-Augustin</t>
        </is>
      </c>
      <c r="I242" t="n">
        <v>31.5</v>
      </c>
      <c r="J242" s="4" t="n">
        <v>192</v>
      </c>
      <c r="K242" t="inlineStr">
        <is>
          <t>117 / 75</t>
        </is>
      </c>
      <c r="L242" t="inlineStr">
        <is>
          <t>29 / 19</t>
        </is>
      </c>
      <c r="M242" s="5" t="n">
        <v>0.61</v>
      </c>
      <c r="N242" s="5" t="n">
        <v>0.6</v>
      </c>
    </row>
    <row r="243">
      <c r="A243" t="n">
        <v>242</v>
      </c>
      <c r="B243" t="n">
        <v>2012</v>
      </c>
      <c r="C243" t="inlineStr">
        <is>
          <t>Eva Brisson</t>
        </is>
      </c>
      <c r="D243">
        <f>HYPERLINK("https://ota.tournamentsoftware.com/player-profile/BC349487-CEB9-4CB8-ABCF-1006DD0F69AA", "Link")</f>
        <v/>
      </c>
      <c r="E243" s="3" t="n">
        <v>313.816</v>
      </c>
      <c r="F243" s="4" t="n">
        <v>23</v>
      </c>
      <c r="G243" t="inlineStr">
        <is>
          <t>Tennis Québec</t>
        </is>
      </c>
      <c r="H243" t="inlineStr">
        <is>
          <t>Club Sportif Côte-de-Liesse</t>
        </is>
      </c>
      <c r="I243" t="n">
        <v>31.3</v>
      </c>
      <c r="J243" s="4" t="n">
        <v>146</v>
      </c>
      <c r="K243" t="inlineStr">
        <is>
          <t>61 / 85</t>
        </is>
      </c>
      <c r="L243" t="inlineStr">
        <is>
          <t>15 / 17</t>
        </is>
      </c>
      <c r="M243" s="5" t="n">
        <v>0.42</v>
      </c>
      <c r="N243" s="5" t="n">
        <v>0.47</v>
      </c>
    </row>
    <row r="244">
      <c r="A244" t="n">
        <v>243</v>
      </c>
      <c r="B244" t="n">
        <v>2012</v>
      </c>
      <c r="C244" t="inlineStr">
        <is>
          <t>helena Khorsid-G-Mahdi</t>
        </is>
      </c>
      <c r="D244">
        <f>HYPERLINK("https://ota.tournamentsoftware.com/player-profile/D9FB3068-A1A7-4F96-B728-095D292B805C", "Link")</f>
        <v/>
      </c>
      <c r="E244" s="3" t="n">
        <v>312.56</v>
      </c>
      <c r="F244" s="4" t="n">
        <v>22</v>
      </c>
      <c r="G244" t="inlineStr">
        <is>
          <t>Ontario Tennis Association</t>
        </is>
      </c>
      <c r="H244" t="inlineStr">
        <is>
          <t>Cottingham Tennis Club</t>
        </is>
      </c>
      <c r="I244" t="inlineStr">
        <is>
          <t>unavailable</t>
        </is>
      </c>
      <c r="J244" s="4" t="n">
        <v>56</v>
      </c>
      <c r="K244" t="inlineStr">
        <is>
          <t>33 / 23</t>
        </is>
      </c>
      <c r="L244" t="inlineStr">
        <is>
          <t>19 / 16</t>
        </is>
      </c>
      <c r="M244" s="5" t="n">
        <v>0.59</v>
      </c>
      <c r="N244" s="5" t="n">
        <v>0.54</v>
      </c>
    </row>
    <row r="245">
      <c r="A245" t="n">
        <v>244</v>
      </c>
      <c r="B245" t="n">
        <v>2013</v>
      </c>
      <c r="C245" t="inlineStr">
        <is>
          <t>Katelyn Zhao</t>
        </is>
      </c>
      <c r="D245">
        <f>HYPERLINK("https://ota.tournamentsoftware.com/player-profile/C6305E19-1670-4857-9967-0344F0C8AB1D", "Link")</f>
        <v/>
      </c>
      <c r="E245" s="3" t="n">
        <v>312.472</v>
      </c>
      <c r="F245" s="4" t="n">
        <v>26</v>
      </c>
      <c r="G245" t="inlineStr">
        <is>
          <t>Ontario Tennis Association</t>
        </is>
      </c>
      <c r="H245" t="inlineStr">
        <is>
          <t>Premier Racquet Club</t>
        </is>
      </c>
      <c r="I245" t="n">
        <v>33.5</v>
      </c>
      <c r="J245" s="4" t="n">
        <v>101</v>
      </c>
      <c r="K245" t="inlineStr">
        <is>
          <t>52 / 49</t>
        </is>
      </c>
      <c r="L245" t="inlineStr">
        <is>
          <t>20 / 23</t>
        </is>
      </c>
      <c r="M245" s="5" t="n">
        <v>0.51</v>
      </c>
      <c r="N245" s="5" t="n">
        <v>0.47</v>
      </c>
    </row>
    <row r="246">
      <c r="A246" t="n">
        <v>245</v>
      </c>
      <c r="B246" t="n">
        <v>2012</v>
      </c>
      <c r="C246" t="inlineStr">
        <is>
          <t>Camie Wang</t>
        </is>
      </c>
      <c r="D246">
        <f>HYPERLINK("https://ota.tournamentsoftware.com/player-profile/5CE5CCC5-E821-48EF-86C9-6973D97D1F92", "Link")</f>
        <v/>
      </c>
      <c r="E246" s="3" t="n">
        <v>311.911</v>
      </c>
      <c r="F246" s="4" t="n">
        <v>16</v>
      </c>
      <c r="G246" t="inlineStr">
        <is>
          <t>Tennis Alberta</t>
        </is>
      </c>
      <c r="H246" t="inlineStr">
        <is>
          <t>Osten &amp; Victor Alberta Tennis Centre</t>
        </is>
      </c>
      <c r="I246" t="n">
        <v>28</v>
      </c>
      <c r="J246" s="4" t="n">
        <v>115</v>
      </c>
      <c r="K246" t="inlineStr">
        <is>
          <t>61 / 54</t>
        </is>
      </c>
      <c r="L246" t="inlineStr">
        <is>
          <t>20 / 19</t>
        </is>
      </c>
      <c r="M246" s="5" t="n">
        <v>0.53</v>
      </c>
      <c r="N246" s="5" t="n">
        <v>0.51</v>
      </c>
    </row>
    <row r="247">
      <c r="A247" t="n">
        <v>246</v>
      </c>
      <c r="B247" t="n">
        <v>2012</v>
      </c>
      <c r="C247" t="inlineStr">
        <is>
          <t>Daisy Tingru Wang</t>
        </is>
      </c>
      <c r="D247">
        <f>HYPERLINK("https://ota.tournamentsoftware.com/player-profile/40DA5F9F-8E70-4030-A0ED-A54E3D8832D2", "Link")</f>
        <v/>
      </c>
      <c r="E247" s="3" t="n">
        <v>310.853</v>
      </c>
      <c r="F247" s="4" t="n">
        <v>8</v>
      </c>
      <c r="G247" t="inlineStr">
        <is>
          <t>Tennis Nova Scotia</t>
        </is>
      </c>
      <c r="H247" t="inlineStr">
        <is>
          <t>HEADSTART</t>
        </is>
      </c>
      <c r="I247" t="n">
        <v>36.2</v>
      </c>
      <c r="J247" s="4" t="n">
        <v>37</v>
      </c>
      <c r="K247" t="inlineStr">
        <is>
          <t>8 / 29</t>
        </is>
      </c>
      <c r="L247" t="inlineStr">
        <is>
          <t>5 / 19</t>
        </is>
      </c>
      <c r="M247" s="5" t="n">
        <v>0.22</v>
      </c>
      <c r="N247" s="5" t="n">
        <v>0.21</v>
      </c>
    </row>
    <row r="248">
      <c r="A248" t="n">
        <v>247</v>
      </c>
      <c r="B248" t="n">
        <v>2013</v>
      </c>
      <c r="C248" t="inlineStr">
        <is>
          <t>Keona Asogwa</t>
        </is>
      </c>
      <c r="D248">
        <f>HYPERLINK("https://ota.tournamentsoftware.com/player-profile/1F426AE8-5B0F-4535-AD10-450570C37073", "Link")</f>
        <v/>
      </c>
      <c r="E248" s="3" t="n">
        <v>308.808</v>
      </c>
      <c r="F248" s="4" t="n">
        <v>17</v>
      </c>
      <c r="G248" t="inlineStr">
        <is>
          <t>Ontario Tennis Association</t>
        </is>
      </c>
      <c r="H248" t="inlineStr">
        <is>
          <t>Carleton Tennis Centre</t>
        </is>
      </c>
      <c r="I248" t="inlineStr">
        <is>
          <t>unavailable</t>
        </is>
      </c>
      <c r="J248" s="4" t="n">
        <v>110</v>
      </c>
      <c r="K248" t="inlineStr">
        <is>
          <t>41 / 69</t>
        </is>
      </c>
      <c r="L248" t="inlineStr">
        <is>
          <t>5 / 13</t>
        </is>
      </c>
      <c r="M248" s="5" t="n">
        <v>0.37</v>
      </c>
      <c r="N248" s="5" t="n">
        <v>0.28</v>
      </c>
    </row>
    <row r="249">
      <c r="A249" t="n">
        <v>248</v>
      </c>
      <c r="B249" t="n">
        <v>2015</v>
      </c>
      <c r="C249" t="inlineStr">
        <is>
          <t>Maya Lupu</t>
        </is>
      </c>
      <c r="D249">
        <f>HYPERLINK("https://ota.tournamentsoftware.com/player-profile/C02052CF-6FBB-4C91-8237-A96FF9B4C794", "Link")</f>
        <v/>
      </c>
      <c r="E249" s="3" t="n">
        <v>308.771</v>
      </c>
      <c r="F249" s="4" t="n">
        <v>16</v>
      </c>
      <c r="G249" t="inlineStr">
        <is>
          <t>Tennis Alberta</t>
        </is>
      </c>
      <c r="H249" t="inlineStr">
        <is>
          <t>Saville Community Sports Centre</t>
        </is>
      </c>
      <c r="I249" t="n">
        <v>31.2</v>
      </c>
      <c r="J249" s="4" t="n">
        <v>162</v>
      </c>
      <c r="K249" t="inlineStr">
        <is>
          <t>104 / 58</t>
        </is>
      </c>
      <c r="L249" t="inlineStr">
        <is>
          <t>19 / 23</t>
        </is>
      </c>
      <c r="M249" s="5" t="n">
        <v>0.64</v>
      </c>
      <c r="N249" s="5" t="n">
        <v>0.45</v>
      </c>
    </row>
    <row r="250">
      <c r="A250" t="n">
        <v>249</v>
      </c>
      <c r="B250" t="n">
        <v>2013</v>
      </c>
      <c r="C250" t="inlineStr">
        <is>
          <t>Kany Kaba</t>
        </is>
      </c>
      <c r="D250">
        <f>HYPERLINK("https://ota.tournamentsoftware.com/player-profile/7816DF47-252D-402D-BF26-B906A8AB6ED7", "Link")</f>
        <v/>
      </c>
      <c r="E250" s="3" t="n">
        <v>308.626</v>
      </c>
      <c r="F250" s="4" t="n">
        <v>11</v>
      </c>
      <c r="G250" t="inlineStr">
        <is>
          <t>Tennis Québec</t>
        </is>
      </c>
      <c r="H250" t="inlineStr">
        <is>
          <t>EB Tennis inc.</t>
        </is>
      </c>
      <c r="I250" t="n">
        <v>33</v>
      </c>
      <c r="J250" s="4" t="n">
        <v>138</v>
      </c>
      <c r="K250" t="inlineStr">
        <is>
          <t>83 / 55</t>
        </is>
      </c>
      <c r="L250" t="inlineStr">
        <is>
          <t>5 / 12</t>
        </is>
      </c>
      <c r="M250" s="5" t="n">
        <v>0.6</v>
      </c>
      <c r="N250" s="5" t="n">
        <v>0.29</v>
      </c>
    </row>
    <row r="251">
      <c r="A251" t="n">
        <v>250</v>
      </c>
      <c r="B251" t="n">
        <v>2013</v>
      </c>
      <c r="C251" t="inlineStr">
        <is>
          <t>ZOE SOFIA CARDENAS PANIAGUA</t>
        </is>
      </c>
      <c r="D251">
        <f>HYPERLINK("https://ota.tournamentsoftware.com/player-profile/6ADCA248-D68F-47BB-9ED7-CDC7448C4AE9", "Link")</f>
        <v/>
      </c>
      <c r="E251" s="3" t="n">
        <v>307.118</v>
      </c>
      <c r="F251" s="4" t="n">
        <v>6</v>
      </c>
      <c r="G251" t="inlineStr">
        <is>
          <t>Tennis Manitoba</t>
        </is>
      </c>
      <c r="H251" t="inlineStr">
        <is>
          <t>Tuxedo Tennis Club</t>
        </is>
      </c>
      <c r="I251" t="inlineStr">
        <is>
          <t>unavailable</t>
        </is>
      </c>
      <c r="J251" s="4" t="n">
        <v>59</v>
      </c>
      <c r="K251" t="inlineStr">
        <is>
          <t>22 / 37</t>
        </is>
      </c>
      <c r="L251" t="inlineStr">
        <is>
          <t>6 / 8</t>
        </is>
      </c>
      <c r="M251" s="5" t="n">
        <v>0.37</v>
      </c>
      <c r="N251" s="5" t="n">
        <v>0.43</v>
      </c>
    </row>
    <row r="252">
      <c r="A252" t="n">
        <v>251</v>
      </c>
      <c r="B252" t="n">
        <v>2014</v>
      </c>
      <c r="C252" t="inlineStr">
        <is>
          <t>Rosie Mai Kowalewski</t>
        </is>
      </c>
      <c r="D252">
        <f>HYPERLINK("https://ota.tournamentsoftware.com/player-profile/6AE6D507-C7A4-4B8D-AF2E-EBFE848DD41B", "Link")</f>
        <v/>
      </c>
      <c r="E252" s="3" t="n">
        <v>303.327</v>
      </c>
      <c r="F252" s="4" t="n">
        <v>18</v>
      </c>
      <c r="G252" t="inlineStr">
        <is>
          <t>Ontario Tennis Association</t>
        </is>
      </c>
      <c r="H252" t="inlineStr">
        <is>
          <t>No Club</t>
        </is>
      </c>
      <c r="I252" t="n">
        <v>31.5</v>
      </c>
      <c r="J252" s="4" t="n">
        <v>192</v>
      </c>
      <c r="K252" t="inlineStr">
        <is>
          <t>113 / 79</t>
        </is>
      </c>
      <c r="L252" t="inlineStr">
        <is>
          <t>14 / 11</t>
        </is>
      </c>
      <c r="M252" s="5" t="n">
        <v>0.59</v>
      </c>
      <c r="N252" s="5" t="n">
        <v>0.5600000000000001</v>
      </c>
    </row>
    <row r="253">
      <c r="A253" t="n">
        <v>252</v>
      </c>
      <c r="B253" t="n">
        <v>2014</v>
      </c>
      <c r="C253" t="inlineStr">
        <is>
          <t>Isabella Huang</t>
        </is>
      </c>
      <c r="D253">
        <f>HYPERLINK("https://ota.tournamentsoftware.com/player-profile/DB8FA904-8DE1-4D99-951F-F44CD792291A", "Link")</f>
        <v/>
      </c>
      <c r="E253" s="3" t="n">
        <v>302.648</v>
      </c>
      <c r="F253" s="4" t="n">
        <v>17</v>
      </c>
      <c r="G253" t="inlineStr">
        <is>
          <t>British Columbia</t>
        </is>
      </c>
      <c r="H253" t="inlineStr">
        <is>
          <t>Burnaby Tennis Club</t>
        </is>
      </c>
      <c r="I253" t="inlineStr">
        <is>
          <t>unavailable</t>
        </is>
      </c>
      <c r="J253" s="4" t="n">
        <v>198</v>
      </c>
      <c r="K253" t="inlineStr">
        <is>
          <t>113 / 85</t>
        </is>
      </c>
      <c r="L253" t="inlineStr">
        <is>
          <t>26 / 13</t>
        </is>
      </c>
      <c r="M253" s="5" t="n">
        <v>0.57</v>
      </c>
      <c r="N253" s="5" t="n">
        <v>0.67</v>
      </c>
    </row>
    <row r="254">
      <c r="A254" t="n">
        <v>253</v>
      </c>
      <c r="B254" t="n">
        <v>2013</v>
      </c>
      <c r="C254" t="inlineStr">
        <is>
          <t>Chloe Lu</t>
        </is>
      </c>
      <c r="D254">
        <f>HYPERLINK("https://ota.tournamentsoftware.com/player-profile/30F898AC-1C96-41C5-BBB0-3BFD30EC0D0D", "Link")</f>
        <v/>
      </c>
      <c r="E254" s="3" t="n">
        <v>300.706</v>
      </c>
      <c r="F254" s="4" t="n">
        <v>26</v>
      </c>
      <c r="G254" t="inlineStr">
        <is>
          <t>British Columbia</t>
        </is>
      </c>
      <c r="H254" t="inlineStr">
        <is>
          <t>UBC Tennis Centre</t>
        </is>
      </c>
      <c r="I254" t="n">
        <v>32.1</v>
      </c>
      <c r="J254" s="4" t="n">
        <v>164</v>
      </c>
      <c r="K254" t="inlineStr">
        <is>
          <t>61 / 103</t>
        </is>
      </c>
      <c r="L254" t="inlineStr">
        <is>
          <t>21 / 25</t>
        </is>
      </c>
      <c r="M254" s="5" t="n">
        <v>0.37</v>
      </c>
      <c r="N254" s="5" t="n">
        <v>0.46</v>
      </c>
    </row>
    <row r="255">
      <c r="A255" t="n">
        <v>254</v>
      </c>
      <c r="B255" t="n">
        <v>2015</v>
      </c>
      <c r="C255" t="inlineStr">
        <is>
          <t>Zoë Crago</t>
        </is>
      </c>
      <c r="D255">
        <f>HYPERLINK("https://ota.tournamentsoftware.com/player-profile/C2D18227-6075-4F1E-83A2-40A822F874D3", "Link")</f>
        <v/>
      </c>
      <c r="E255" s="3" t="n">
        <v>298.67</v>
      </c>
      <c r="F255" s="4" t="n">
        <v>28</v>
      </c>
      <c r="G255" t="inlineStr">
        <is>
          <t>Tennis Québec</t>
        </is>
      </c>
      <c r="H255" t="inlineStr">
        <is>
          <t>Tennis Montréal Excellence</t>
        </is>
      </c>
      <c r="I255" t="n">
        <v>32.9</v>
      </c>
      <c r="J255" s="4" t="n">
        <v>195</v>
      </c>
      <c r="K255" t="inlineStr">
        <is>
          <t>102 / 93</t>
        </is>
      </c>
      <c r="L255" t="inlineStr">
        <is>
          <t>30 / 25</t>
        </is>
      </c>
      <c r="M255" s="5" t="n">
        <v>0.52</v>
      </c>
      <c r="N255" s="5" t="n">
        <v>0.55</v>
      </c>
    </row>
    <row r="256">
      <c r="A256" t="n">
        <v>255</v>
      </c>
      <c r="B256" t="n">
        <v>2013</v>
      </c>
      <c r="C256" t="inlineStr">
        <is>
          <t>Tia Patel</t>
        </is>
      </c>
      <c r="D256">
        <f>HYPERLINK("https://ota.tournamentsoftware.com/player-profile/5C480574-FD9C-4816-B1CF-F51441726B25", "Link")</f>
        <v/>
      </c>
      <c r="E256" s="3" t="n">
        <v>295.069</v>
      </c>
      <c r="F256" s="4" t="n">
        <v>15</v>
      </c>
      <c r="G256" t="inlineStr">
        <is>
          <t>Ontario Tennis Association</t>
        </is>
      </c>
      <c r="H256" t="inlineStr">
        <is>
          <t>Waterloo Tennis Club</t>
        </is>
      </c>
      <c r="I256" t="n">
        <v>34.2</v>
      </c>
      <c r="J256" s="4" t="n">
        <v>78</v>
      </c>
      <c r="K256" t="inlineStr">
        <is>
          <t>28 / 50</t>
        </is>
      </c>
      <c r="L256" t="inlineStr">
        <is>
          <t>6 / 10</t>
        </is>
      </c>
      <c r="M256" s="5" t="n">
        <v>0.36</v>
      </c>
      <c r="N256" s="5" t="n">
        <v>0.38</v>
      </c>
    </row>
    <row r="257">
      <c r="A257" t="n">
        <v>256</v>
      </c>
      <c r="B257" t="n">
        <v>2012</v>
      </c>
      <c r="C257" t="inlineStr">
        <is>
          <t>Trisha Singh</t>
        </is>
      </c>
      <c r="D257">
        <f>HYPERLINK("https://ota.tournamentsoftware.com/player-profile/CA831513-6963-4556-B8FD-4D148748EB19", "Link")</f>
        <v/>
      </c>
      <c r="E257" s="3" t="n">
        <v>294.989</v>
      </c>
      <c r="F257" s="4" t="n">
        <v>18</v>
      </c>
      <c r="G257" t="inlineStr">
        <is>
          <t>Ontario Tennis Association</t>
        </is>
      </c>
      <c r="H257" t="inlineStr">
        <is>
          <t>Rideau Sports Centre</t>
        </is>
      </c>
      <c r="I257" t="n">
        <v>32.3</v>
      </c>
      <c r="J257" s="4" t="n">
        <v>93</v>
      </c>
      <c r="K257" t="inlineStr">
        <is>
          <t>41 / 52</t>
        </is>
      </c>
      <c r="L257" t="inlineStr">
        <is>
          <t>9 / 18</t>
        </is>
      </c>
      <c r="M257" s="5" t="n">
        <v>0.44</v>
      </c>
      <c r="N257" s="5" t="n">
        <v>0.33</v>
      </c>
    </row>
    <row r="258">
      <c r="A258" t="n">
        <v>257</v>
      </c>
      <c r="B258" t="n">
        <v>2014</v>
      </c>
      <c r="C258" t="inlineStr">
        <is>
          <t>Tehzeeb MRAR</t>
        </is>
      </c>
      <c r="D258">
        <f>HYPERLINK("https://ota.tournamentsoftware.com/player-profile/9E69163B-7ED7-4450-8845-0676D6C943B8", "Link")</f>
        <v/>
      </c>
      <c r="E258" s="3" t="n">
        <v>293.832</v>
      </c>
      <c r="F258" s="4" t="n">
        <v>20</v>
      </c>
      <c r="G258" t="inlineStr">
        <is>
          <t>British Columbia</t>
        </is>
      </c>
      <c r="H258" t="inlineStr">
        <is>
          <t>No Club</t>
        </is>
      </c>
      <c r="I258" t="n">
        <v>29.6</v>
      </c>
      <c r="J258" s="4" t="n">
        <v>198</v>
      </c>
      <c r="K258" t="inlineStr">
        <is>
          <t>109 / 89</t>
        </is>
      </c>
      <c r="L258" t="inlineStr">
        <is>
          <t>19 / 15</t>
        </is>
      </c>
      <c r="M258" s="5" t="n">
        <v>0.55</v>
      </c>
      <c r="N258" s="5" t="n">
        <v>0.5600000000000001</v>
      </c>
    </row>
    <row r="259">
      <c r="A259" t="n">
        <v>258</v>
      </c>
      <c r="B259" t="n">
        <v>2014</v>
      </c>
      <c r="C259" t="inlineStr">
        <is>
          <t>Krystal Xuan Sun</t>
        </is>
      </c>
      <c r="D259">
        <f>HYPERLINK("https://ota.tournamentsoftware.com/player-profile/683C106F-AE4B-4C63-B1A3-D9C25FFAD31B", "Link")</f>
        <v/>
      </c>
      <c r="E259" s="3" t="n">
        <v>289.981</v>
      </c>
      <c r="F259" s="4" t="n">
        <v>11</v>
      </c>
      <c r="G259" t="inlineStr">
        <is>
          <t>Tennis Manitoba</t>
        </is>
      </c>
      <c r="H259" t="inlineStr">
        <is>
          <t>Taylor Tennis</t>
        </is>
      </c>
      <c r="I259" t="inlineStr">
        <is>
          <t>unavailable</t>
        </is>
      </c>
      <c r="J259" s="4" t="n">
        <v>74</v>
      </c>
      <c r="K259" t="inlineStr">
        <is>
          <t>21 / 53</t>
        </is>
      </c>
      <c r="L259" t="inlineStr">
        <is>
          <t>10 / 29</t>
        </is>
      </c>
      <c r="M259" s="5" t="n">
        <v>0.28</v>
      </c>
      <c r="N259" s="5" t="n">
        <v>0.26</v>
      </c>
    </row>
    <row r="260">
      <c r="A260" t="n">
        <v>259</v>
      </c>
      <c r="B260" t="n">
        <v>2013</v>
      </c>
      <c r="C260" t="inlineStr">
        <is>
          <t>Lily Gaumond-Boivin</t>
        </is>
      </c>
      <c r="D260">
        <f>HYPERLINK("https://ota.tournamentsoftware.com/player-profile/98461C64-ECF9-40D8-849E-C8999A9F9BA1", "Link")</f>
        <v/>
      </c>
      <c r="E260" s="3" t="n">
        <v>289.881</v>
      </c>
      <c r="F260" s="4" t="n">
        <v>20</v>
      </c>
      <c r="G260" t="inlineStr">
        <is>
          <t>Tennis Québec</t>
        </is>
      </c>
      <c r="H260" t="inlineStr">
        <is>
          <t>Club Avantage Multi-sports / Académie de tennis Hérisset Bordeleau</t>
        </is>
      </c>
      <c r="I260" t="inlineStr">
        <is>
          <t>unavailable</t>
        </is>
      </c>
      <c r="J260" s="4" t="n">
        <v>124</v>
      </c>
      <c r="K260" t="inlineStr">
        <is>
          <t>59 / 65</t>
        </is>
      </c>
      <c r="L260" t="inlineStr">
        <is>
          <t>9 / 16</t>
        </is>
      </c>
      <c r="M260" s="5" t="n">
        <v>0.48</v>
      </c>
      <c r="N260" s="5" t="n">
        <v>0.36</v>
      </c>
    </row>
    <row r="261">
      <c r="A261" t="n">
        <v>260</v>
      </c>
      <c r="B261" t="n">
        <v>2012</v>
      </c>
      <c r="C261" t="inlineStr">
        <is>
          <t>Norah Diop</t>
        </is>
      </c>
      <c r="D261">
        <f>HYPERLINK("https://ota.tournamentsoftware.com/player-profile/1B130952-D24A-467D-813D-2DA5B56ADFFF", "Link")</f>
        <v/>
      </c>
      <c r="E261" s="3" t="n">
        <v>289.524</v>
      </c>
      <c r="F261" s="4" t="n">
        <v>19</v>
      </c>
      <c r="G261" t="inlineStr">
        <is>
          <t>Tennis Québec</t>
        </is>
      </c>
      <c r="H261" t="inlineStr">
        <is>
          <t>Tennis 13</t>
        </is>
      </c>
      <c r="I261" t="inlineStr">
        <is>
          <t>unavailable</t>
        </is>
      </c>
      <c r="J261" s="4" t="n">
        <v>85</v>
      </c>
      <c r="K261" t="inlineStr">
        <is>
          <t>38 / 47</t>
        </is>
      </c>
      <c r="L261" t="inlineStr">
        <is>
          <t>13 / 12</t>
        </is>
      </c>
      <c r="M261" s="5" t="n">
        <v>0.45</v>
      </c>
      <c r="N261" s="5" t="n">
        <v>0.52</v>
      </c>
    </row>
    <row r="262">
      <c r="A262" t="n">
        <v>261</v>
      </c>
      <c r="B262" t="n">
        <v>2015</v>
      </c>
      <c r="C262" t="inlineStr">
        <is>
          <t>Danica Stamatovic</t>
        </is>
      </c>
      <c r="D262">
        <f>HYPERLINK("https://ota.tournamentsoftware.com/player-profile/3D976EDA-1737-4852-A9BF-C67ED47C73C1", "Link")</f>
        <v/>
      </c>
      <c r="E262" s="3" t="n">
        <v>285.672</v>
      </c>
      <c r="F262" s="4" t="n">
        <v>21</v>
      </c>
      <c r="G262" t="inlineStr">
        <is>
          <t>Ontario Tennis Association</t>
        </is>
      </c>
      <c r="H262" t="inlineStr">
        <is>
          <t>SmartVMC Racquetsports by ACE</t>
        </is>
      </c>
      <c r="I262" t="n">
        <v>31.4</v>
      </c>
      <c r="J262" s="4" t="n">
        <v>193</v>
      </c>
      <c r="K262" t="inlineStr">
        <is>
          <t>98 / 95</t>
        </is>
      </c>
      <c r="L262" t="inlineStr">
        <is>
          <t>31 / 16</t>
        </is>
      </c>
      <c r="M262" s="5" t="n">
        <v>0.51</v>
      </c>
      <c r="N262" s="5" t="n">
        <v>0.66</v>
      </c>
    </row>
    <row r="263">
      <c r="A263" t="n">
        <v>262</v>
      </c>
      <c r="B263" t="n">
        <v>2013</v>
      </c>
      <c r="C263" t="inlineStr">
        <is>
          <t>Sasha Stack</t>
        </is>
      </c>
      <c r="D263">
        <f>HYPERLINK("https://ota.tournamentsoftware.com/player-profile/C0B95842-5E69-4EBF-8E5C-398666A7112E", "Link")</f>
        <v/>
      </c>
      <c r="E263" s="3" t="n">
        <v>283.679</v>
      </c>
      <c r="F263" s="4" t="n">
        <v>15</v>
      </c>
      <c r="G263" t="inlineStr">
        <is>
          <t>British Columbia</t>
        </is>
      </c>
      <c r="H263" t="inlineStr">
        <is>
          <t>Hollyburn Country Club</t>
        </is>
      </c>
      <c r="I263" t="n">
        <v>33</v>
      </c>
      <c r="J263" s="4" t="n">
        <v>113</v>
      </c>
      <c r="K263" t="inlineStr">
        <is>
          <t>52 / 61</t>
        </is>
      </c>
      <c r="L263" t="inlineStr">
        <is>
          <t>8 / 15</t>
        </is>
      </c>
      <c r="M263" s="5" t="n">
        <v>0.46</v>
      </c>
      <c r="N263" s="5" t="n">
        <v>0.35</v>
      </c>
    </row>
    <row r="264">
      <c r="A264" t="n">
        <v>263</v>
      </c>
      <c r="B264" t="n">
        <v>2014</v>
      </c>
      <c r="C264" t="inlineStr">
        <is>
          <t>Ela Velic</t>
        </is>
      </c>
      <c r="D264">
        <f>HYPERLINK("https://ota.tournamentsoftware.com/player-profile/5CC54F7D-0D30-4EF4-BE6C-A336041BBEE2", "Link")</f>
        <v/>
      </c>
      <c r="E264" s="3" t="n">
        <v>283.442</v>
      </c>
      <c r="F264" s="4" t="n">
        <v>25</v>
      </c>
      <c r="G264" t="inlineStr">
        <is>
          <t>Ontario Tennis Association</t>
        </is>
      </c>
      <c r="H264" t="inlineStr">
        <is>
          <t>Central Tennis Club</t>
        </is>
      </c>
      <c r="I264" t="n">
        <v>34.1</v>
      </c>
      <c r="J264" s="4" t="n">
        <v>105</v>
      </c>
      <c r="K264" t="inlineStr">
        <is>
          <t>53 / 52</t>
        </is>
      </c>
      <c r="L264" t="inlineStr">
        <is>
          <t>22 / 24</t>
        </is>
      </c>
      <c r="M264" s="5" t="n">
        <v>0.5</v>
      </c>
      <c r="N264" s="5" t="n">
        <v>0.48</v>
      </c>
    </row>
    <row r="265">
      <c r="A265" t="n">
        <v>264</v>
      </c>
      <c r="B265" t="n">
        <v>2014</v>
      </c>
      <c r="C265" t="inlineStr">
        <is>
          <t>Avelyn Deepak</t>
        </is>
      </c>
      <c r="D265">
        <f>HYPERLINK("https://ota.tournamentsoftware.com/player-profile/4412DB09-5DE9-45DA-AB13-46B4F24B409F", "Link")</f>
        <v/>
      </c>
      <c r="E265" s="3" t="n">
        <v>282.546</v>
      </c>
      <c r="F265" s="4" t="n">
        <v>10</v>
      </c>
      <c r="G265" t="inlineStr">
        <is>
          <t>Tennis Manitoba</t>
        </is>
      </c>
      <c r="H265" t="inlineStr">
        <is>
          <t>Winnipeg Winter Club</t>
        </is>
      </c>
      <c r="I265" t="n">
        <v>35.2</v>
      </c>
      <c r="J265" s="4" t="n">
        <v>35</v>
      </c>
      <c r="K265" t="inlineStr">
        <is>
          <t>9 / 26</t>
        </is>
      </c>
      <c r="L265" t="inlineStr">
        <is>
          <t>9 / 26</t>
        </is>
      </c>
      <c r="M265" s="5" t="n">
        <v>0.26</v>
      </c>
      <c r="N265" s="5" t="n">
        <v>0.26</v>
      </c>
    </row>
    <row r="266">
      <c r="A266" t="n">
        <v>265</v>
      </c>
      <c r="B266" t="n">
        <v>2014</v>
      </c>
      <c r="C266" t="inlineStr">
        <is>
          <t>Alaia Grace Serravalle</t>
        </is>
      </c>
      <c r="D266">
        <f>HYPERLINK("https://ota.tournamentsoftware.com/player-profile/EDBCEC0C-45DE-4DFD-B17A-C176B306FC97", "Link")</f>
        <v/>
      </c>
      <c r="E266" s="3" t="n">
        <v>280.68</v>
      </c>
      <c r="F266" s="4" t="n">
        <v>23</v>
      </c>
      <c r="G266" t="inlineStr">
        <is>
          <t>Ontario Tennis Association</t>
        </is>
      </c>
      <c r="H266" t="inlineStr">
        <is>
          <t>Youngs Sportsplex</t>
        </is>
      </c>
      <c r="I266" t="n">
        <v>33.1</v>
      </c>
      <c r="J266" s="4" t="n">
        <v>60</v>
      </c>
      <c r="K266" t="inlineStr">
        <is>
          <t>34 / 26</t>
        </is>
      </c>
      <c r="L266" t="inlineStr">
        <is>
          <t>22 / 17</t>
        </is>
      </c>
      <c r="M266" s="5" t="n">
        <v>0.57</v>
      </c>
      <c r="N266" s="5" t="n">
        <v>0.5600000000000001</v>
      </c>
    </row>
    <row r="267">
      <c r="A267" t="n">
        <v>266</v>
      </c>
      <c r="B267" t="n">
        <v>2013</v>
      </c>
      <c r="C267" t="inlineStr">
        <is>
          <t>Chanjoban Kaur Birdi</t>
        </is>
      </c>
      <c r="D267">
        <f>HYPERLINK("https://ota.tournamentsoftware.com/player-profile/26D50988-CF95-4A0A-9087-8DC8E38F0BDB", "Link")</f>
        <v/>
      </c>
      <c r="E267" s="3" t="n">
        <v>279.108</v>
      </c>
      <c r="F267" s="4" t="n">
        <v>19</v>
      </c>
      <c r="G267" t="inlineStr">
        <is>
          <t>British Columbia</t>
        </is>
      </c>
      <c r="H267" t="inlineStr">
        <is>
          <t>Newton Tennis Club</t>
        </is>
      </c>
      <c r="I267" t="n">
        <v>29.8</v>
      </c>
      <c r="J267" s="4" t="n">
        <v>204</v>
      </c>
      <c r="K267" t="inlineStr">
        <is>
          <t>100 / 104</t>
        </is>
      </c>
      <c r="L267" t="inlineStr">
        <is>
          <t>25 / 17</t>
        </is>
      </c>
      <c r="M267" s="5" t="n">
        <v>0.49</v>
      </c>
      <c r="N267" s="5" t="n">
        <v>0.6</v>
      </c>
    </row>
    <row r="268">
      <c r="A268" t="n">
        <v>267</v>
      </c>
      <c r="B268" t="n">
        <v>2014</v>
      </c>
      <c r="C268" t="inlineStr">
        <is>
          <t>Elliette Leah Tran</t>
        </is>
      </c>
      <c r="D268">
        <f>HYPERLINK("https://ota.tournamentsoftware.com/player-profile/9986D752-4364-42A6-9A1B-E1BC239760F0", "Link")</f>
        <v/>
      </c>
      <c r="E268" s="3" t="n">
        <v>278.539</v>
      </c>
      <c r="F268" s="4" t="n">
        <v>17</v>
      </c>
      <c r="G268" t="inlineStr">
        <is>
          <t>Tennis Alberta</t>
        </is>
      </c>
      <c r="H268" t="inlineStr">
        <is>
          <t>Saville Community Sports Centre</t>
        </is>
      </c>
      <c r="I268" t="inlineStr">
        <is>
          <t>unavailable</t>
        </is>
      </c>
      <c r="J268" s="4" t="n">
        <v>118</v>
      </c>
      <c r="K268" t="inlineStr">
        <is>
          <t>59 / 59</t>
        </is>
      </c>
      <c r="L268" t="inlineStr">
        <is>
          <t>24 / 19</t>
        </is>
      </c>
      <c r="M268" s="5" t="n">
        <v>0.5</v>
      </c>
      <c r="N268" s="5" t="n">
        <v>0.5600000000000001</v>
      </c>
    </row>
    <row r="269">
      <c r="A269" t="n">
        <v>268</v>
      </c>
      <c r="B269" t="n">
        <v>2013</v>
      </c>
      <c r="C269" t="inlineStr">
        <is>
          <t>Maddie Kershaw</t>
        </is>
      </c>
      <c r="D269">
        <f>HYPERLINK("https://ota.tournamentsoftware.com/player-profile/14F8911D-BF5A-4FE7-BFF6-D5A71E72307F", "Link")</f>
        <v/>
      </c>
      <c r="E269" s="3" t="n">
        <v>278.432</v>
      </c>
      <c r="F269" s="4" t="n">
        <v>10</v>
      </c>
      <c r="G269" t="inlineStr">
        <is>
          <t>Tennis New Brunswick</t>
        </is>
      </c>
      <c r="H269" t="inlineStr">
        <is>
          <t>Abony Family Tennis Center</t>
        </is>
      </c>
      <c r="I269" t="n">
        <v>33.9</v>
      </c>
      <c r="J269" s="4" t="n">
        <v>188</v>
      </c>
      <c r="K269" t="inlineStr">
        <is>
          <t>95 / 93</t>
        </is>
      </c>
      <c r="L269" t="inlineStr">
        <is>
          <t>16 / 23</t>
        </is>
      </c>
      <c r="M269" s="5" t="n">
        <v>0.51</v>
      </c>
      <c r="N269" s="5" t="n">
        <v>0.41</v>
      </c>
    </row>
    <row r="270">
      <c r="A270" t="n">
        <v>269</v>
      </c>
      <c r="B270" t="n">
        <v>2012</v>
      </c>
      <c r="C270" t="inlineStr">
        <is>
          <t>Jana Karkoukli</t>
        </is>
      </c>
      <c r="D270">
        <f>HYPERLINK("https://ota.tournamentsoftware.com/player-profile/ED5D7332-7665-453C-87FD-D7E5B172FD8A", "Link")</f>
        <v/>
      </c>
      <c r="E270" s="3" t="n">
        <v>276.736</v>
      </c>
      <c r="F270" s="4" t="n">
        <v>23</v>
      </c>
      <c r="G270" t="inlineStr">
        <is>
          <t>Tennis Québec</t>
        </is>
      </c>
      <c r="H270" t="inlineStr">
        <is>
          <t>EB Tennis inc.</t>
        </is>
      </c>
      <c r="I270" t="n">
        <v>35.6</v>
      </c>
      <c r="J270" s="4" t="n">
        <v>186</v>
      </c>
      <c r="K270" t="inlineStr">
        <is>
          <t>51 / 135</t>
        </is>
      </c>
      <c r="L270" t="inlineStr">
        <is>
          <t>2 / 18</t>
        </is>
      </c>
      <c r="M270" s="5" t="n">
        <v>0.27</v>
      </c>
      <c r="N270" s="5" t="n">
        <v>0.1</v>
      </c>
    </row>
    <row r="271">
      <c r="A271" t="n">
        <v>270</v>
      </c>
      <c r="B271" t="n">
        <v>2012</v>
      </c>
      <c r="C271" t="inlineStr">
        <is>
          <t>ella kim brend</t>
        </is>
      </c>
      <c r="D271">
        <f>HYPERLINK("https://ota.tournamentsoftware.com/player-profile/C777EDB2-AC2E-4E02-948A-26DCAC347821", "Link")</f>
        <v/>
      </c>
      <c r="E271" s="3" t="n">
        <v>274.297</v>
      </c>
      <c r="F271" s="4" t="n">
        <v>19</v>
      </c>
      <c r="G271" t="inlineStr">
        <is>
          <t>British Columbia</t>
        </is>
      </c>
      <c r="H271" t="inlineStr">
        <is>
          <t>The Tennis Centre</t>
        </is>
      </c>
      <c r="I271" t="n">
        <v>30.1</v>
      </c>
      <c r="J271" s="4" t="n">
        <v>126</v>
      </c>
      <c r="K271" t="inlineStr">
        <is>
          <t>87 / 39</t>
        </is>
      </c>
      <c r="L271" t="inlineStr">
        <is>
          <t>35 / 14</t>
        </is>
      </c>
      <c r="M271" s="5" t="n">
        <v>0.6899999999999999</v>
      </c>
      <c r="N271" s="5" t="n">
        <v>0.71</v>
      </c>
    </row>
    <row r="272">
      <c r="A272" t="n">
        <v>271</v>
      </c>
      <c r="B272" t="n">
        <v>2014</v>
      </c>
      <c r="C272" t="inlineStr">
        <is>
          <t>Elisa Krumov</t>
        </is>
      </c>
      <c r="D272">
        <f>HYPERLINK("https://ota.tournamentsoftware.com/player-profile/8B5D18FC-0F51-468A-BE7C-7EA242A06382", "Link")</f>
        <v/>
      </c>
      <c r="E272" s="3" t="n">
        <v>270.273</v>
      </c>
      <c r="F272" s="4" t="n">
        <v>17</v>
      </c>
      <c r="G272" t="inlineStr">
        <is>
          <t>Ontario Tennis Association</t>
        </is>
      </c>
      <c r="H272" t="inlineStr">
        <is>
          <t>Joshua Creek Golf &amp; Tennis</t>
        </is>
      </c>
      <c r="I272" t="n">
        <v>33</v>
      </c>
      <c r="J272" s="4" t="n">
        <v>91</v>
      </c>
      <c r="K272" t="inlineStr">
        <is>
          <t>43 / 48</t>
        </is>
      </c>
      <c r="L272" t="inlineStr">
        <is>
          <t>16 / 18</t>
        </is>
      </c>
      <c r="M272" s="5" t="n">
        <v>0.47</v>
      </c>
      <c r="N272" s="5" t="n">
        <v>0.47</v>
      </c>
    </row>
    <row r="273">
      <c r="A273" t="n">
        <v>272</v>
      </c>
      <c r="B273" t="n">
        <v>2013</v>
      </c>
      <c r="C273" t="inlineStr">
        <is>
          <t>Gabriela Gardonyi</t>
        </is>
      </c>
      <c r="D273">
        <f>HYPERLINK("https://ota.tournamentsoftware.com/player-profile/EA584DC9-AF4E-413B-BF0B-75746024F8E4", "Link")</f>
        <v/>
      </c>
      <c r="E273" s="3" t="n">
        <v>269.544</v>
      </c>
      <c r="F273" s="4" t="n">
        <v>22</v>
      </c>
      <c r="G273" t="inlineStr">
        <is>
          <t>Ontario Tennis Association</t>
        </is>
      </c>
      <c r="H273" t="inlineStr">
        <is>
          <t>Richmond Hill Country Club</t>
        </is>
      </c>
      <c r="I273" t="inlineStr">
        <is>
          <t>unavailable</t>
        </is>
      </c>
      <c r="J273" s="4" t="n">
        <v>119</v>
      </c>
      <c r="K273" t="inlineStr">
        <is>
          <t>56 / 63</t>
        </is>
      </c>
      <c r="L273" t="inlineStr">
        <is>
          <t>21 / 19</t>
        </is>
      </c>
      <c r="M273" s="5" t="n">
        <v>0.47</v>
      </c>
      <c r="N273" s="5" t="n">
        <v>0.53</v>
      </c>
    </row>
    <row r="274">
      <c r="A274" t="n">
        <v>273</v>
      </c>
      <c r="B274" t="n">
        <v>2015</v>
      </c>
      <c r="C274" t="inlineStr">
        <is>
          <t>Sophia Shiqi Zeng</t>
        </is>
      </c>
      <c r="D274">
        <f>HYPERLINK("https://ota.tournamentsoftware.com/player-profile/F1A373DA-18B2-46FA-AF39-157644DB679B", "Link")</f>
        <v/>
      </c>
      <c r="E274" s="3" t="n">
        <v>267.836</v>
      </c>
      <c r="F274" s="4" t="n">
        <v>22</v>
      </c>
      <c r="G274" t="inlineStr">
        <is>
          <t>British Columbia</t>
        </is>
      </c>
      <c r="H274" t="inlineStr">
        <is>
          <t>The Tennis Centre</t>
        </is>
      </c>
      <c r="I274" t="n">
        <v>31.5</v>
      </c>
      <c r="J274" s="4" t="n">
        <v>189</v>
      </c>
      <c r="K274" t="inlineStr">
        <is>
          <t>104 / 85</t>
        </is>
      </c>
      <c r="L274" t="inlineStr">
        <is>
          <t>30 / 16</t>
        </is>
      </c>
      <c r="M274" s="5" t="n">
        <v>0.55</v>
      </c>
      <c r="N274" s="5" t="n">
        <v>0.65</v>
      </c>
    </row>
    <row r="275">
      <c r="A275" t="n">
        <v>274</v>
      </c>
      <c r="B275" t="n">
        <v>2015</v>
      </c>
      <c r="C275" t="inlineStr">
        <is>
          <t>Alia Idrissi Serghini</t>
        </is>
      </c>
      <c r="D275">
        <f>HYPERLINK("https://ota.tournamentsoftware.com/player-profile/CF328206-362D-4259-AA9F-74B7EF760A80", "Link")</f>
        <v/>
      </c>
      <c r="E275" s="3" t="n">
        <v>267.456</v>
      </c>
      <c r="F275" s="4" t="n">
        <v>19</v>
      </c>
      <c r="G275" t="inlineStr">
        <is>
          <t>Tennis Québec</t>
        </is>
      </c>
      <c r="H275" t="inlineStr">
        <is>
          <t>Centre récréatif de Repentigny / Académie Tennis Momentum</t>
        </is>
      </c>
      <c r="I275" t="n">
        <v>32.6</v>
      </c>
      <c r="J275" s="4" t="n">
        <v>139</v>
      </c>
      <c r="K275" t="inlineStr">
        <is>
          <t>84 / 55</t>
        </is>
      </c>
      <c r="L275" t="inlineStr">
        <is>
          <t>19 / 19</t>
        </is>
      </c>
      <c r="M275" s="5" t="n">
        <v>0.6</v>
      </c>
      <c r="N275" s="5" t="n">
        <v>0.5</v>
      </c>
    </row>
    <row r="276">
      <c r="A276" t="n">
        <v>275</v>
      </c>
      <c r="B276" t="n">
        <v>2015</v>
      </c>
      <c r="C276" t="inlineStr">
        <is>
          <t>Alexia Picciola</t>
        </is>
      </c>
      <c r="D276">
        <f>HYPERLINK("https://ota.tournamentsoftware.com/player-profile/91C9A734-3E6E-45CC-B46D-51BF9C9A7FC4", "Link")</f>
        <v/>
      </c>
      <c r="E276" s="3" t="n">
        <v>264.417</v>
      </c>
      <c r="F276" s="4" t="n">
        <v>20</v>
      </c>
      <c r="G276" t="inlineStr">
        <is>
          <t>Tennis Québec</t>
        </is>
      </c>
      <c r="H276" t="inlineStr">
        <is>
          <t>Tennis Montréal Excellence</t>
        </is>
      </c>
      <c r="I276" t="n">
        <v>31.8</v>
      </c>
      <c r="J276" s="4" t="n">
        <v>163</v>
      </c>
      <c r="K276" t="inlineStr">
        <is>
          <t>79 / 84</t>
        </is>
      </c>
      <c r="L276" t="inlineStr">
        <is>
          <t>32 / 18</t>
        </is>
      </c>
      <c r="M276" s="5" t="n">
        <v>0.48</v>
      </c>
      <c r="N276" s="5" t="n">
        <v>0.64</v>
      </c>
    </row>
    <row r="277">
      <c r="A277" t="n">
        <v>276</v>
      </c>
      <c r="B277" t="n">
        <v>2014</v>
      </c>
      <c r="C277" t="inlineStr">
        <is>
          <t>Mégane Bernard</t>
        </is>
      </c>
      <c r="D277">
        <f>HYPERLINK("https://ota.tournamentsoftware.com/player-profile/041B9415-6EB0-452F-AD3F-EA68CADBA2FB", "Link")</f>
        <v/>
      </c>
      <c r="E277" s="3" t="n">
        <v>263.592</v>
      </c>
      <c r="F277" s="4" t="n">
        <v>20</v>
      </c>
      <c r="G277" t="inlineStr">
        <is>
          <t>Tennis Québec</t>
        </is>
      </c>
      <c r="H277" t="inlineStr">
        <is>
          <t>Tennis 13</t>
        </is>
      </c>
      <c r="I277" t="n">
        <v>32.9</v>
      </c>
      <c r="J277" s="4" t="n">
        <v>192</v>
      </c>
      <c r="K277" t="inlineStr">
        <is>
          <t>85 / 107</t>
        </is>
      </c>
      <c r="L277" t="inlineStr">
        <is>
          <t>15 / 21</t>
        </is>
      </c>
      <c r="M277" s="5" t="n">
        <v>0.44</v>
      </c>
      <c r="N277" s="5" t="n">
        <v>0.42</v>
      </c>
    </row>
    <row r="278">
      <c r="A278" t="n">
        <v>277</v>
      </c>
      <c r="B278" t="n">
        <v>2013</v>
      </c>
      <c r="C278" t="inlineStr">
        <is>
          <t>Mia Tran</t>
        </is>
      </c>
      <c r="D278">
        <f>HYPERLINK("https://ota.tournamentsoftware.com/player-profile/140A029D-3BE9-44F2-AA6A-53ED5C2991A8", "Link")</f>
        <v/>
      </c>
      <c r="E278" s="3" t="n">
        <v>263.48</v>
      </c>
      <c r="F278" s="4" t="n">
        <v>11</v>
      </c>
      <c r="G278" t="inlineStr">
        <is>
          <t>Ontario Tennis Association</t>
        </is>
      </c>
      <c r="H278" t="inlineStr">
        <is>
          <t>SmartVMC Racquetsports by ACE</t>
        </is>
      </c>
      <c r="I278" t="n">
        <v>32.7</v>
      </c>
      <c r="J278" s="4" t="n">
        <v>86</v>
      </c>
      <c r="K278" t="inlineStr">
        <is>
          <t>53 / 33</t>
        </is>
      </c>
      <c r="L278" t="inlineStr">
        <is>
          <t>14 / 8</t>
        </is>
      </c>
      <c r="M278" s="5" t="n">
        <v>0.62</v>
      </c>
      <c r="N278" s="5" t="n">
        <v>0.64</v>
      </c>
    </row>
    <row r="279">
      <c r="A279" t="n">
        <v>278</v>
      </c>
      <c r="B279" t="n">
        <v>2015</v>
      </c>
      <c r="C279" t="inlineStr">
        <is>
          <t>Hannah D'Souza</t>
        </is>
      </c>
      <c r="D279">
        <f>HYPERLINK("https://ota.tournamentsoftware.com/player-profile/6516E6BE-4D11-4CDB-8F62-FFE106E8A899", "Link")</f>
        <v/>
      </c>
      <c r="E279" s="3" t="n">
        <v>263.065</v>
      </c>
      <c r="F279" s="4" t="n">
        <v>28</v>
      </c>
      <c r="G279" t="inlineStr">
        <is>
          <t>Ontario Tennis Association</t>
        </is>
      </c>
      <c r="H279" t="inlineStr">
        <is>
          <t>No Club</t>
        </is>
      </c>
      <c r="I279" t="n">
        <v>33.5</v>
      </c>
      <c r="J279" s="4" t="n">
        <v>160</v>
      </c>
      <c r="K279" t="inlineStr">
        <is>
          <t>66 / 94</t>
        </is>
      </c>
      <c r="L279" t="inlineStr">
        <is>
          <t>22 / 25</t>
        </is>
      </c>
      <c r="M279" s="5" t="n">
        <v>0.41</v>
      </c>
      <c r="N279" s="5" t="n">
        <v>0.47</v>
      </c>
    </row>
    <row r="280">
      <c r="A280" t="n">
        <v>279</v>
      </c>
      <c r="B280" t="n">
        <v>2014</v>
      </c>
      <c r="C280" t="inlineStr">
        <is>
          <t>Thanushka Sadasivam</t>
        </is>
      </c>
      <c r="D280">
        <f>HYPERLINK("https://ota.tournamentsoftware.com/player-profile/CA495DA8-0B9D-4530-9886-FC567CD73AE9", "Link")</f>
        <v/>
      </c>
      <c r="E280" s="3" t="n">
        <v>260.403</v>
      </c>
      <c r="F280" s="4" t="n">
        <v>16</v>
      </c>
      <c r="G280" t="inlineStr">
        <is>
          <t>Ontario Tennis Association</t>
        </is>
      </c>
      <c r="H280" t="inlineStr">
        <is>
          <t>Ontario Racquet Club</t>
        </is>
      </c>
      <c r="I280" t="n">
        <v>35.2</v>
      </c>
      <c r="J280" s="4" t="n">
        <v>59</v>
      </c>
      <c r="K280" t="inlineStr">
        <is>
          <t>25 / 34</t>
        </is>
      </c>
      <c r="L280" t="inlineStr">
        <is>
          <t>7 / 12</t>
        </is>
      </c>
      <c r="M280" s="5" t="n">
        <v>0.42</v>
      </c>
      <c r="N280" s="5" t="n">
        <v>0.37</v>
      </c>
    </row>
    <row r="281">
      <c r="A281" t="n">
        <v>280</v>
      </c>
      <c r="B281" t="n">
        <v>2015</v>
      </c>
      <c r="C281" t="inlineStr">
        <is>
          <t>Emma Xu</t>
        </is>
      </c>
      <c r="D281">
        <f>HYPERLINK("https://ota.tournamentsoftware.com/player-profile/464089C3-D2B4-413F-A102-AF0AEFF9A318", "Link")</f>
        <v/>
      </c>
      <c r="E281" s="3" t="n">
        <v>259.338</v>
      </c>
      <c r="F281" s="4" t="n">
        <v>9</v>
      </c>
      <c r="G281" t="inlineStr">
        <is>
          <t>Tennis Manitoba</t>
        </is>
      </c>
      <c r="H281" t="inlineStr">
        <is>
          <t>Taylor Tennis</t>
        </is>
      </c>
      <c r="I281" t="n">
        <v>36.6</v>
      </c>
      <c r="J281" s="4" t="n">
        <v>98</v>
      </c>
      <c r="K281" t="inlineStr">
        <is>
          <t>27 / 71</t>
        </is>
      </c>
      <c r="L281" t="inlineStr">
        <is>
          <t>9 / 28</t>
        </is>
      </c>
      <c r="M281" s="5" t="n">
        <v>0.28</v>
      </c>
      <c r="N281" s="5" t="n">
        <v>0.24</v>
      </c>
    </row>
    <row r="282">
      <c r="A282" t="n">
        <v>281</v>
      </c>
      <c r="B282" t="n">
        <v>2013</v>
      </c>
      <c r="C282" t="inlineStr">
        <is>
          <t>Victoria Ta</t>
        </is>
      </c>
      <c r="D282">
        <f>HYPERLINK("https://ota.tournamentsoftware.com/player-profile/A9D6CF45-A7F1-427F-A376-2C40852D98CD", "Link")</f>
        <v/>
      </c>
      <c r="E282" s="3" t="n">
        <v>256.435</v>
      </c>
      <c r="F282" s="4" t="n">
        <v>18</v>
      </c>
      <c r="G282" t="inlineStr">
        <is>
          <t>Ontario Tennis Association</t>
        </is>
      </c>
      <c r="H282" t="inlineStr">
        <is>
          <t>Lambton Golf &amp; Country Club</t>
        </is>
      </c>
      <c r="I282" t="n">
        <v>32.4</v>
      </c>
      <c r="J282" s="4" t="n">
        <v>103</v>
      </c>
      <c r="K282" t="inlineStr">
        <is>
          <t>50 / 53</t>
        </is>
      </c>
      <c r="L282" t="inlineStr">
        <is>
          <t>15 / 13</t>
        </is>
      </c>
      <c r="M282" s="5" t="n">
        <v>0.49</v>
      </c>
      <c r="N282" s="5" t="n">
        <v>0.54</v>
      </c>
    </row>
    <row r="283">
      <c r="A283" t="n">
        <v>282</v>
      </c>
      <c r="B283" t="n">
        <v>2013</v>
      </c>
      <c r="C283" t="inlineStr">
        <is>
          <t>Ebun Fasanya</t>
        </is>
      </c>
      <c r="D283">
        <f>HYPERLINK("https://ota.tournamentsoftware.com/player-profile/943BB22B-8108-44B4-80BD-15A6984D1D23", "Link")</f>
        <v/>
      </c>
      <c r="E283" s="3" t="n">
        <v>256.168</v>
      </c>
      <c r="F283" s="4" t="n">
        <v>17</v>
      </c>
      <c r="G283" t="inlineStr">
        <is>
          <t>Ontario Tennis Association</t>
        </is>
      </c>
      <c r="H283" t="inlineStr">
        <is>
          <t>Joshua Creek Golf &amp; Tennis</t>
        </is>
      </c>
      <c r="I283" t="n">
        <v>33.9</v>
      </c>
      <c r="J283" s="4" t="n">
        <v>82</v>
      </c>
      <c r="K283" t="inlineStr">
        <is>
          <t>45 / 37</t>
        </is>
      </c>
      <c r="L283" t="inlineStr">
        <is>
          <t>17 / 14</t>
        </is>
      </c>
      <c r="M283" s="5" t="n">
        <v>0.55</v>
      </c>
      <c r="N283" s="5" t="n">
        <v>0.55</v>
      </c>
    </row>
    <row r="284">
      <c r="A284" t="n">
        <v>283</v>
      </c>
      <c r="B284" t="n">
        <v>2012</v>
      </c>
      <c r="C284" t="inlineStr">
        <is>
          <t>Kristina Khlyebnykova</t>
        </is>
      </c>
      <c r="D284">
        <f>HYPERLINK("https://ota.tournamentsoftware.com/player-profile/D585FC7E-ABD0-44A4-A0AC-539E39880B84", "Link")</f>
        <v/>
      </c>
      <c r="E284" s="3" t="n">
        <v>255.56</v>
      </c>
      <c r="F284" s="4" t="n">
        <v>14</v>
      </c>
      <c r="G284" t="inlineStr">
        <is>
          <t>Ontario Tennis Association</t>
        </is>
      </c>
      <c r="H284" t="inlineStr">
        <is>
          <t>Concord Tennis Academy</t>
        </is>
      </c>
      <c r="I284" t="n">
        <v>32.4</v>
      </c>
      <c r="J284" s="4" t="n">
        <v>71</v>
      </c>
      <c r="K284" t="inlineStr">
        <is>
          <t>34 / 37</t>
        </is>
      </c>
      <c r="L284" t="inlineStr">
        <is>
          <t>13 / 10</t>
        </is>
      </c>
      <c r="M284" s="5" t="n">
        <v>0.48</v>
      </c>
      <c r="N284" s="5" t="n">
        <v>0.57</v>
      </c>
    </row>
    <row r="285">
      <c r="A285" t="n">
        <v>284</v>
      </c>
      <c r="B285" t="n">
        <v>2012</v>
      </c>
      <c r="C285" t="inlineStr">
        <is>
          <t>Jessica Li</t>
        </is>
      </c>
      <c r="D285">
        <f>HYPERLINK("https://ota.tournamentsoftware.com/player-profile/9F51CCE2-07F1-48BF-B635-CE7622769243", "Link")</f>
        <v/>
      </c>
      <c r="E285" s="3" t="n">
        <v>254.244</v>
      </c>
      <c r="F285" s="4" t="n">
        <v>12</v>
      </c>
      <c r="G285" t="inlineStr">
        <is>
          <t>Ontario Tennis Association</t>
        </is>
      </c>
      <c r="H285" t="inlineStr">
        <is>
          <t>Markham Tennis Club</t>
        </is>
      </c>
      <c r="I285" t="inlineStr">
        <is>
          <t>unavailable</t>
        </is>
      </c>
      <c r="J285" s="4" t="n">
        <v>58</v>
      </c>
      <c r="K285" t="inlineStr">
        <is>
          <t>27 / 31</t>
        </is>
      </c>
      <c r="L285" t="inlineStr">
        <is>
          <t>9 / 9</t>
        </is>
      </c>
      <c r="M285" s="5" t="n">
        <v>0.47</v>
      </c>
      <c r="N285" s="5" t="n">
        <v>0.5</v>
      </c>
    </row>
    <row r="286">
      <c r="A286" t="n">
        <v>285</v>
      </c>
      <c r="B286" t="n">
        <v>2015</v>
      </c>
      <c r="C286" t="inlineStr">
        <is>
          <t>Ella Potechin</t>
        </is>
      </c>
      <c r="D286">
        <f>HYPERLINK("https://ota.tournamentsoftware.com/player-profile/6611C50A-5A2F-4DF7-B99B-97DD644D2C2A", "Link")</f>
        <v/>
      </c>
      <c r="E286" s="3" t="n">
        <v>251.009</v>
      </c>
      <c r="F286" s="4" t="n">
        <v>16</v>
      </c>
      <c r="G286" t="inlineStr">
        <is>
          <t>Ontario Tennis Association</t>
        </is>
      </c>
      <c r="H286" t="inlineStr">
        <is>
          <t>Tennis Outaouais Performance (TOP) ON</t>
        </is>
      </c>
      <c r="I286" t="n">
        <v>34.9</v>
      </c>
      <c r="J286" s="4" t="n">
        <v>94</v>
      </c>
      <c r="K286" t="inlineStr">
        <is>
          <t>37 / 57</t>
        </is>
      </c>
      <c r="L286" t="inlineStr">
        <is>
          <t>20 / 21</t>
        </is>
      </c>
      <c r="M286" s="5" t="n">
        <v>0.39</v>
      </c>
      <c r="N286" s="5" t="n">
        <v>0.49</v>
      </c>
    </row>
    <row r="287">
      <c r="A287" t="n">
        <v>286</v>
      </c>
      <c r="B287" t="n">
        <v>2015</v>
      </c>
      <c r="C287" t="inlineStr">
        <is>
          <t>Keira Braudo</t>
        </is>
      </c>
      <c r="D287">
        <f>HYPERLINK("https://ota.tournamentsoftware.com/player-profile/8D683600-A107-430B-BBAA-BD98BDCE0FD8", "Link")</f>
        <v/>
      </c>
      <c r="E287" s="3" t="n">
        <v>250.103</v>
      </c>
      <c r="F287" s="4" t="n">
        <v>13</v>
      </c>
      <c r="G287" t="inlineStr">
        <is>
          <t>Ontario Tennis Association</t>
        </is>
      </c>
      <c r="H287" t="inlineStr">
        <is>
          <t>Mayfair West Fitness &amp; Racquet Club</t>
        </is>
      </c>
      <c r="I287" t="n">
        <v>30.6</v>
      </c>
      <c r="J287" s="4" t="n">
        <v>70</v>
      </c>
      <c r="K287" t="inlineStr">
        <is>
          <t>46 / 24</t>
        </is>
      </c>
      <c r="L287" t="inlineStr">
        <is>
          <t>23 / 6</t>
        </is>
      </c>
      <c r="M287" s="5" t="n">
        <v>0.66</v>
      </c>
      <c r="N287" s="5" t="n">
        <v>0.79</v>
      </c>
    </row>
    <row r="288">
      <c r="A288" t="n">
        <v>287</v>
      </c>
      <c r="B288" t="n">
        <v>2015</v>
      </c>
      <c r="C288" t="inlineStr">
        <is>
          <t>Lydia Huang</t>
        </is>
      </c>
      <c r="D288">
        <f>HYPERLINK("https://ota.tournamentsoftware.com/player-profile/C398C976-6D88-4D76-B532-8E986C6FF0EA", "Link")</f>
        <v/>
      </c>
      <c r="E288" s="3" t="n">
        <v>250.066</v>
      </c>
      <c r="F288" s="4" t="n">
        <v>29</v>
      </c>
      <c r="G288" t="inlineStr">
        <is>
          <t>Ontario Tennis Association</t>
        </is>
      </c>
      <c r="H288" t="inlineStr">
        <is>
          <t>The Supreme Court Tennis Club</t>
        </is>
      </c>
      <c r="I288" t="n">
        <v>32.4</v>
      </c>
      <c r="J288" s="4" t="n">
        <v>105</v>
      </c>
      <c r="K288" t="inlineStr">
        <is>
          <t>65 / 40</t>
        </is>
      </c>
      <c r="L288" t="inlineStr">
        <is>
          <t>36 / 22</t>
        </is>
      </c>
      <c r="M288" s="5" t="n">
        <v>0.62</v>
      </c>
      <c r="N288" s="5" t="n">
        <v>0.62</v>
      </c>
    </row>
    <row r="289">
      <c r="A289" t="n">
        <v>288</v>
      </c>
      <c r="B289" t="n">
        <v>2014</v>
      </c>
      <c r="C289" t="inlineStr">
        <is>
          <t>Emma Lajoie</t>
        </is>
      </c>
      <c r="D289">
        <f>HYPERLINK("https://ota.tournamentsoftware.com/player-profile/E1635D80-45C0-4A06-8270-280699032897", "Link")</f>
        <v/>
      </c>
      <c r="E289" s="3" t="n">
        <v>249.285</v>
      </c>
      <c r="F289" s="4" t="n">
        <v>21</v>
      </c>
      <c r="G289" t="inlineStr">
        <is>
          <t>Tennis Québec</t>
        </is>
      </c>
      <c r="H289" t="inlineStr">
        <is>
          <t>SANI Sport</t>
        </is>
      </c>
      <c r="I289" t="n">
        <v>33</v>
      </c>
      <c r="J289" s="4" t="n">
        <v>160</v>
      </c>
      <c r="K289" t="inlineStr">
        <is>
          <t>81 / 79</t>
        </is>
      </c>
      <c r="L289" t="inlineStr">
        <is>
          <t>19 / 23</t>
        </is>
      </c>
      <c r="M289" s="5" t="n">
        <v>0.51</v>
      </c>
      <c r="N289" s="5" t="n">
        <v>0.45</v>
      </c>
    </row>
    <row r="290">
      <c r="A290" t="n">
        <v>289</v>
      </c>
      <c r="B290" t="n">
        <v>2013</v>
      </c>
      <c r="C290" t="inlineStr">
        <is>
          <t>Elina Farmanbar</t>
        </is>
      </c>
      <c r="D290">
        <f>HYPERLINK("https://ota.tournamentsoftware.com/player-profile/CBAE609B-7C8B-4EA5-976F-0F6C1089D79C", "Link")</f>
        <v/>
      </c>
      <c r="E290" s="3" t="n">
        <v>248</v>
      </c>
      <c r="F290" s="4" t="n">
        <v>1</v>
      </c>
      <c r="G290" t="inlineStr">
        <is>
          <t>Ontario Tennis Association</t>
        </is>
      </c>
      <c r="H290" t="inlineStr">
        <is>
          <t>Thornhill Park Tennis Club</t>
        </is>
      </c>
      <c r="I290" t="n">
        <v>24.1</v>
      </c>
      <c r="J290" s="4" t="n">
        <v>73</v>
      </c>
      <c r="K290" t="inlineStr">
        <is>
          <t>54 / 19</t>
        </is>
      </c>
      <c r="L290" t="inlineStr">
        <is>
          <t>0 / 0</t>
        </is>
      </c>
      <c r="M290" s="5" t="n">
        <v>0.74</v>
      </c>
      <c r="N290" s="5" t="n">
        <v>0</v>
      </c>
    </row>
    <row r="291">
      <c r="A291" t="n">
        <v>290</v>
      </c>
      <c r="B291" t="n">
        <v>2012</v>
      </c>
      <c r="C291" t="inlineStr">
        <is>
          <t>Shrreya Elkturi</t>
        </is>
      </c>
      <c r="D291">
        <f>HYPERLINK("https://ota.tournamentsoftware.com/player-profile/1A8DA0C1-51FB-48B8-8AED-D37DAB186E95", "Link")</f>
        <v/>
      </c>
      <c r="E291" s="3" t="n">
        <v>245.675</v>
      </c>
      <c r="F291" s="4" t="n">
        <v>21</v>
      </c>
      <c r="G291" t="inlineStr">
        <is>
          <t>Ontario Tennis Association</t>
        </is>
      </c>
      <c r="H291" t="inlineStr">
        <is>
          <t>No Club</t>
        </is>
      </c>
      <c r="I291" t="n">
        <v>32.7</v>
      </c>
      <c r="J291" s="4" t="n">
        <v>86</v>
      </c>
      <c r="K291" t="inlineStr">
        <is>
          <t>31 / 55</t>
        </is>
      </c>
      <c r="L291" t="inlineStr">
        <is>
          <t>16 / 17</t>
        </is>
      </c>
      <c r="M291" s="5" t="n">
        <v>0.36</v>
      </c>
      <c r="N291" s="5" t="n">
        <v>0.48</v>
      </c>
    </row>
    <row r="292">
      <c r="A292" t="n">
        <v>291</v>
      </c>
      <c r="B292" t="n">
        <v>2013</v>
      </c>
      <c r="C292" t="inlineStr">
        <is>
          <t>Ava Dancik</t>
        </is>
      </c>
      <c r="D292">
        <f>HYPERLINK("https://ota.tournamentsoftware.com/player-profile/CF808414-C0CE-4B07-9667-D3EE492D6BCE", "Link")</f>
        <v/>
      </c>
      <c r="E292" s="3" t="n">
        <v>245.24</v>
      </c>
      <c r="F292" s="4" t="n">
        <v>13</v>
      </c>
      <c r="G292" t="inlineStr">
        <is>
          <t>Tennis Québec</t>
        </is>
      </c>
      <c r="H292" t="inlineStr">
        <is>
          <t>Tennis de l'Île des Sœurs / École de tennis</t>
        </is>
      </c>
      <c r="I292" t="n">
        <v>31.5</v>
      </c>
      <c r="J292" s="4" t="n">
        <v>218</v>
      </c>
      <c r="K292" t="inlineStr">
        <is>
          <t>112 / 106</t>
        </is>
      </c>
      <c r="L292" t="inlineStr">
        <is>
          <t>16 / 9</t>
        </is>
      </c>
      <c r="M292" s="5" t="n">
        <v>0.51</v>
      </c>
      <c r="N292" s="5" t="n">
        <v>0.64</v>
      </c>
    </row>
    <row r="293">
      <c r="A293" t="n">
        <v>292</v>
      </c>
      <c r="B293" t="n">
        <v>2014</v>
      </c>
      <c r="C293" t="inlineStr">
        <is>
          <t>SOFIA LUCKY</t>
        </is>
      </c>
      <c r="D293">
        <f>HYPERLINK("https://ota.tournamentsoftware.com/player-profile/9A590660-3C23-4CD7-A9AF-30CC3227EC17", "Link")</f>
        <v/>
      </c>
      <c r="E293" s="3" t="n">
        <v>245.128</v>
      </c>
      <c r="F293" s="4" t="n">
        <v>12</v>
      </c>
      <c r="G293" t="inlineStr">
        <is>
          <t>Tennis Québec</t>
        </is>
      </c>
      <c r="H293" t="inlineStr">
        <is>
          <t>Académie de tennis UNI(T)</t>
        </is>
      </c>
      <c r="I293" t="n">
        <v>34.1</v>
      </c>
      <c r="J293" s="4" t="n">
        <v>88</v>
      </c>
      <c r="K293" t="inlineStr">
        <is>
          <t>33 / 55</t>
        </is>
      </c>
      <c r="L293" t="inlineStr">
        <is>
          <t>12 / 10</t>
        </is>
      </c>
      <c r="M293" s="5" t="n">
        <v>0.38</v>
      </c>
      <c r="N293" s="5" t="n">
        <v>0.55</v>
      </c>
    </row>
    <row r="294">
      <c r="A294" t="n">
        <v>293</v>
      </c>
      <c r="B294" t="n">
        <v>2012</v>
      </c>
      <c r="C294" t="inlineStr">
        <is>
          <t>Sophia Zhang</t>
        </is>
      </c>
      <c r="D294">
        <f>HYPERLINK("https://ota.tournamentsoftware.com/player-profile/D3858E79-6F6D-42C3-B497-74590CD50165", "Link")</f>
        <v/>
      </c>
      <c r="E294" s="3" t="n">
        <v>242.786</v>
      </c>
      <c r="F294" s="4" t="n">
        <v>9</v>
      </c>
      <c r="G294" t="inlineStr">
        <is>
          <t>British Columbia</t>
        </is>
      </c>
      <c r="H294" t="inlineStr">
        <is>
          <t>Richmond Country Club</t>
        </is>
      </c>
      <c r="I294" t="n">
        <v>33.8</v>
      </c>
      <c r="J294" s="4" t="n">
        <v>122</v>
      </c>
      <c r="K294" t="inlineStr">
        <is>
          <t>33 / 89</t>
        </is>
      </c>
      <c r="L294" t="inlineStr">
        <is>
          <t>1 / 12</t>
        </is>
      </c>
      <c r="M294" s="5" t="n">
        <v>0.27</v>
      </c>
      <c r="N294" s="5" t="n">
        <v>0.08</v>
      </c>
    </row>
    <row r="295">
      <c r="A295" t="n">
        <v>294</v>
      </c>
      <c r="B295" t="n">
        <v>2012</v>
      </c>
      <c r="C295" t="inlineStr">
        <is>
          <t>MICHELLE OREANE OLA ECHAO</t>
        </is>
      </c>
      <c r="D295">
        <f>HYPERLINK("https://ota.tournamentsoftware.com/player-profile/50FA5AE5-9557-483C-94FB-05937E25C837", "Link")</f>
        <v/>
      </c>
      <c r="E295" s="3" t="n">
        <v>241.101</v>
      </c>
      <c r="F295" s="4" t="n">
        <v>10</v>
      </c>
      <c r="G295" t="inlineStr">
        <is>
          <t>Ontario Tennis Association</t>
        </is>
      </c>
      <c r="H295" t="inlineStr">
        <is>
          <t>Rideau Sports Centre</t>
        </is>
      </c>
      <c r="I295" t="n">
        <v>36.9</v>
      </c>
      <c r="J295" s="4" t="n">
        <v>55</v>
      </c>
      <c r="K295" t="inlineStr">
        <is>
          <t>12 / 43</t>
        </is>
      </c>
      <c r="L295" t="inlineStr">
        <is>
          <t>3 / 8</t>
        </is>
      </c>
      <c r="M295" s="5" t="n">
        <v>0.22</v>
      </c>
      <c r="N295" s="5" t="n">
        <v>0.27</v>
      </c>
    </row>
    <row r="296">
      <c r="A296" t="n">
        <v>295</v>
      </c>
      <c r="B296" t="n">
        <v>2015</v>
      </c>
      <c r="C296" t="inlineStr">
        <is>
          <t>MASAL ELA YAZICI</t>
        </is>
      </c>
      <c r="D296">
        <f>HYPERLINK("https://ota.tournamentsoftware.com/player-profile/8556435C-B5F1-47A5-8C4A-46AF5B800D78", "Link")</f>
        <v/>
      </c>
      <c r="E296" s="3" t="n">
        <v>240.386</v>
      </c>
      <c r="F296" s="4" t="n">
        <v>21</v>
      </c>
      <c r="G296" t="inlineStr">
        <is>
          <t>Ontario Tennis Association</t>
        </is>
      </c>
      <c r="H296" t="inlineStr">
        <is>
          <t>Mayfair West Fitness &amp; Racquet Club</t>
        </is>
      </c>
      <c r="I296" t="n">
        <v>33.5</v>
      </c>
      <c r="J296" s="4" t="n">
        <v>61</v>
      </c>
      <c r="K296" t="inlineStr">
        <is>
          <t>37 / 24</t>
        </is>
      </c>
      <c r="L296" t="inlineStr">
        <is>
          <t>29 / 17</t>
        </is>
      </c>
      <c r="M296" s="5" t="n">
        <v>0.61</v>
      </c>
      <c r="N296" s="5" t="n">
        <v>0.63</v>
      </c>
    </row>
    <row r="297">
      <c r="A297" t="n">
        <v>296</v>
      </c>
      <c r="B297" t="n">
        <v>2014</v>
      </c>
      <c r="C297" t="inlineStr">
        <is>
          <t>Candice YAO</t>
        </is>
      </c>
      <c r="D297">
        <f>HYPERLINK("https://ota.tournamentsoftware.com/player-profile/2EEE6D95-1504-4E36-A996-F48A3CD7FC03", "Link")</f>
        <v/>
      </c>
      <c r="E297" s="3" t="n">
        <v>238.749</v>
      </c>
      <c r="F297" s="4" t="n">
        <v>18</v>
      </c>
      <c r="G297" t="inlineStr">
        <is>
          <t>Ontario Tennis Association</t>
        </is>
      </c>
      <c r="H297" t="inlineStr">
        <is>
          <t>Richmondhill Golf &amp; Country Club</t>
        </is>
      </c>
      <c r="I297" t="n">
        <v>33.2</v>
      </c>
      <c r="J297" s="4" t="n">
        <v>93</v>
      </c>
      <c r="K297" t="inlineStr">
        <is>
          <t>41 / 52</t>
        </is>
      </c>
      <c r="L297" t="inlineStr">
        <is>
          <t>17 / 13</t>
        </is>
      </c>
      <c r="M297" s="5" t="n">
        <v>0.44</v>
      </c>
      <c r="N297" s="5" t="n">
        <v>0.57</v>
      </c>
    </row>
    <row r="298">
      <c r="A298" t="n">
        <v>297</v>
      </c>
      <c r="B298" t="n">
        <v>2015</v>
      </c>
      <c r="C298" t="inlineStr">
        <is>
          <t>Liana Arendain</t>
        </is>
      </c>
      <c r="D298">
        <f>HYPERLINK("https://ota.tournamentsoftware.com/player-profile/2D89D481-D621-43AF-8792-3F0114FE4D77", "Link")</f>
        <v/>
      </c>
      <c r="E298" s="3" t="n">
        <v>238.244</v>
      </c>
      <c r="F298" s="4" t="n">
        <v>20</v>
      </c>
      <c r="G298" t="inlineStr">
        <is>
          <t>Tennis Alberta</t>
        </is>
      </c>
      <c r="H298" t="inlineStr">
        <is>
          <t>Saville Community Sports Centre</t>
        </is>
      </c>
      <c r="I298" t="n">
        <v>31.1</v>
      </c>
      <c r="J298" s="4" t="n">
        <v>147</v>
      </c>
      <c r="K298" t="inlineStr">
        <is>
          <t>100 / 47</t>
        </is>
      </c>
      <c r="L298" t="inlineStr">
        <is>
          <t>33 / 19</t>
        </is>
      </c>
      <c r="M298" s="5" t="n">
        <v>0.68</v>
      </c>
      <c r="N298" s="5" t="n">
        <v>0.63</v>
      </c>
    </row>
    <row r="299">
      <c r="A299" t="n">
        <v>298</v>
      </c>
      <c r="B299" t="n">
        <v>2012</v>
      </c>
      <c r="C299" t="inlineStr">
        <is>
          <t>Ariella Wainer</t>
        </is>
      </c>
      <c r="D299">
        <f>HYPERLINK("https://ota.tournamentsoftware.com/player-profile/29A07F50-E6F3-4FFE-84BF-31DB048552D6", "Link")</f>
        <v/>
      </c>
      <c r="E299" s="3" t="n">
        <v>238.158</v>
      </c>
      <c r="F299" s="4" t="n">
        <v>21</v>
      </c>
      <c r="G299" t="inlineStr">
        <is>
          <t>Tennis Québec</t>
        </is>
      </c>
      <c r="H299" t="inlineStr">
        <is>
          <t>Club Sportif Côte-de-Liesse</t>
        </is>
      </c>
      <c r="I299" t="n">
        <v>34.9</v>
      </c>
      <c r="J299" s="4" t="n">
        <v>169</v>
      </c>
      <c r="K299" t="inlineStr">
        <is>
          <t>57 / 112</t>
        </is>
      </c>
      <c r="L299" t="inlineStr">
        <is>
          <t>3 / 17</t>
        </is>
      </c>
      <c r="M299" s="5" t="n">
        <v>0.34</v>
      </c>
      <c r="N299" s="5" t="n">
        <v>0.15</v>
      </c>
    </row>
    <row r="300">
      <c r="A300" t="n">
        <v>299</v>
      </c>
      <c r="B300" t="n">
        <v>2015</v>
      </c>
      <c r="C300" t="inlineStr">
        <is>
          <t>Violetta Munoz</t>
        </is>
      </c>
      <c r="D300">
        <f>HYPERLINK("https://ota.tournamentsoftware.com/player-profile/55FD2B42-2961-45DA-8250-9ECCED0E6566", "Link")</f>
        <v/>
      </c>
      <c r="E300" s="3" t="n">
        <v>236.517</v>
      </c>
      <c r="F300" s="4" t="n">
        <v>23</v>
      </c>
      <c r="G300" t="inlineStr">
        <is>
          <t>Tennis Québec</t>
        </is>
      </c>
      <c r="H300" t="inlineStr">
        <is>
          <t>Carrefour Multisports</t>
        </is>
      </c>
      <c r="I300" t="n">
        <v>31.9</v>
      </c>
      <c r="J300" s="4" t="n">
        <v>177</v>
      </c>
      <c r="K300" t="inlineStr">
        <is>
          <t>93 / 84</t>
        </is>
      </c>
      <c r="L300" t="inlineStr">
        <is>
          <t>22 / 19</t>
        </is>
      </c>
      <c r="M300" s="5" t="n">
        <v>0.53</v>
      </c>
      <c r="N300" s="5" t="n">
        <v>0.54</v>
      </c>
    </row>
    <row r="301">
      <c r="A301" t="n">
        <v>300</v>
      </c>
      <c r="B301" t="n">
        <v>2014</v>
      </c>
      <c r="C301" t="inlineStr">
        <is>
          <t>Penelope Anne McMillan</t>
        </is>
      </c>
      <c r="D301">
        <f>HYPERLINK("https://ota.tournamentsoftware.com/player-profile/D7699338-4FE5-4F30-9A7D-8E14842C2A9B", "Link")</f>
        <v/>
      </c>
      <c r="E301" s="3" t="n">
        <v>235.813</v>
      </c>
      <c r="F301" s="4" t="n">
        <v>9</v>
      </c>
      <c r="G301" t="inlineStr">
        <is>
          <t>Tennis Nova Scotia</t>
        </is>
      </c>
      <c r="H301" t="inlineStr">
        <is>
          <t>Atlantic Tennis Centre</t>
        </is>
      </c>
      <c r="I301" t="n">
        <v>35.7</v>
      </c>
      <c r="J301" s="4" t="n">
        <v>110</v>
      </c>
      <c r="K301" t="inlineStr">
        <is>
          <t>46 / 64</t>
        </is>
      </c>
      <c r="L301" t="inlineStr">
        <is>
          <t>16 / 24</t>
        </is>
      </c>
      <c r="M301" s="5" t="n">
        <v>0.42</v>
      </c>
      <c r="N301" s="5" t="n">
        <v>0.4</v>
      </c>
    </row>
    <row r="302">
      <c r="A302" t="n">
        <v>301</v>
      </c>
      <c r="B302" t="n">
        <v>2013</v>
      </c>
      <c r="C302" t="inlineStr">
        <is>
          <t>Hazel Sharma</t>
        </is>
      </c>
      <c r="D302">
        <f>HYPERLINK("https://ota.tournamentsoftware.com/player-profile/114D9BCA-C6DA-49E0-9F64-5FB54E5B0E3E", "Link")</f>
        <v/>
      </c>
      <c r="E302" s="3" t="n">
        <v>234.934</v>
      </c>
      <c r="F302" s="4" t="n">
        <v>15</v>
      </c>
      <c r="G302" t="inlineStr">
        <is>
          <t>British Columbia</t>
        </is>
      </c>
      <c r="H302" t="inlineStr">
        <is>
          <t>The Tennis Centre</t>
        </is>
      </c>
      <c r="I302" t="n">
        <v>32.6</v>
      </c>
      <c r="J302" s="4" t="n">
        <v>192</v>
      </c>
      <c r="K302" t="inlineStr">
        <is>
          <t>85 / 107</t>
        </is>
      </c>
      <c r="L302" t="inlineStr">
        <is>
          <t>16 / 12</t>
        </is>
      </c>
      <c r="M302" s="5" t="n">
        <v>0.44</v>
      </c>
      <c r="N302" s="5" t="n">
        <v>0.57</v>
      </c>
    </row>
    <row r="303">
      <c r="A303" t="n">
        <v>302</v>
      </c>
      <c r="B303" t="n">
        <v>2016</v>
      </c>
      <c r="C303" t="inlineStr">
        <is>
          <t>Victoria Chang</t>
        </is>
      </c>
      <c r="D303">
        <f>HYPERLINK("https://ota.tournamentsoftware.com/player-profile/A391B4A7-44C6-4D9F-9A04-161A8B22E0C3", "Link")</f>
        <v/>
      </c>
      <c r="E303" s="3" t="n">
        <v>234.277</v>
      </c>
      <c r="F303" s="4" t="n">
        <v>17</v>
      </c>
      <c r="G303" t="inlineStr">
        <is>
          <t>Ontario Tennis Association</t>
        </is>
      </c>
      <c r="H303" t="inlineStr">
        <is>
          <t>Richmond Hill Country Club</t>
        </is>
      </c>
      <c r="I303" t="n">
        <v>31.3</v>
      </c>
      <c r="J303" s="4" t="n">
        <v>119</v>
      </c>
      <c r="K303" t="inlineStr">
        <is>
          <t>92 / 27</t>
        </is>
      </c>
      <c r="L303" t="inlineStr">
        <is>
          <t>44 / 11</t>
        </is>
      </c>
      <c r="M303" s="5" t="n">
        <v>0.77</v>
      </c>
      <c r="N303" s="5" t="n">
        <v>0.8</v>
      </c>
    </row>
    <row r="304">
      <c r="A304" t="n">
        <v>303</v>
      </c>
      <c r="B304" t="n">
        <v>2015</v>
      </c>
      <c r="C304" t="inlineStr">
        <is>
          <t>ESTHER HAO</t>
        </is>
      </c>
      <c r="D304">
        <f>HYPERLINK("https://ota.tournamentsoftware.com/player-profile/8EA584DE-3986-4803-A3AA-F96230F853A7", "Link")</f>
        <v/>
      </c>
      <c r="E304" s="3" t="n">
        <v>233.33</v>
      </c>
      <c r="F304" s="4" t="n">
        <v>16</v>
      </c>
      <c r="G304" t="inlineStr">
        <is>
          <t>Ontario Tennis Association</t>
        </is>
      </c>
      <c r="H304" t="inlineStr">
        <is>
          <t>Ontario Racquet Club</t>
        </is>
      </c>
      <c r="I304" t="n">
        <v>34.2</v>
      </c>
      <c r="J304" s="4" t="n">
        <v>215</v>
      </c>
      <c r="K304" t="inlineStr">
        <is>
          <t>131 / 84</t>
        </is>
      </c>
      <c r="L304" t="inlineStr">
        <is>
          <t>9 / 9</t>
        </is>
      </c>
      <c r="M304" s="5" t="n">
        <v>0.61</v>
      </c>
      <c r="N304" s="5" t="n">
        <v>0.5</v>
      </c>
    </row>
    <row r="305">
      <c r="A305" t="n">
        <v>304</v>
      </c>
      <c r="B305" t="n">
        <v>2015</v>
      </c>
      <c r="C305" t="inlineStr">
        <is>
          <t>Daniella Lynne Lee</t>
        </is>
      </c>
      <c r="D305">
        <f>HYPERLINK("https://ota.tournamentsoftware.com/player-profile/92FC49CB-246B-48E6-ABC3-903AA780449F", "Link")</f>
        <v/>
      </c>
      <c r="E305" s="3" t="n">
        <v>232.641</v>
      </c>
      <c r="F305" s="4" t="n">
        <v>27</v>
      </c>
      <c r="G305" t="inlineStr">
        <is>
          <t>British Columbia</t>
        </is>
      </c>
      <c r="H305" t="inlineStr">
        <is>
          <t>Arbutus Club</t>
        </is>
      </c>
      <c r="I305" t="n">
        <v>32</v>
      </c>
      <c r="J305" s="4" t="n">
        <v>131</v>
      </c>
      <c r="K305" t="inlineStr">
        <is>
          <t>68 / 63</t>
        </is>
      </c>
      <c r="L305" t="inlineStr">
        <is>
          <t>29 / 24</t>
        </is>
      </c>
      <c r="M305" s="5" t="n">
        <v>0.52</v>
      </c>
      <c r="N305" s="5" t="n">
        <v>0.55</v>
      </c>
    </row>
    <row r="306">
      <c r="A306" t="n">
        <v>305</v>
      </c>
      <c r="B306" t="n">
        <v>2015</v>
      </c>
      <c r="C306" t="inlineStr">
        <is>
          <t>Navena Thelepan</t>
        </is>
      </c>
      <c r="D306">
        <f>HYPERLINK("https://ota.tournamentsoftware.com/player-profile/811C2EA5-51E7-4FDE-BF82-1DF3D9D0AD27", "Link")</f>
        <v/>
      </c>
      <c r="E306" s="3" t="n">
        <v>231.661</v>
      </c>
      <c r="F306" s="4" t="n">
        <v>42</v>
      </c>
      <c r="G306" t="inlineStr">
        <is>
          <t>Ontario Tennis Association</t>
        </is>
      </c>
      <c r="H306" t="inlineStr">
        <is>
          <t>Markham Tennis Club</t>
        </is>
      </c>
      <c r="I306" t="n">
        <v>36</v>
      </c>
      <c r="J306" s="4" t="n">
        <v>145</v>
      </c>
      <c r="K306" t="inlineStr">
        <is>
          <t>65 / 80</t>
        </is>
      </c>
      <c r="L306" t="inlineStr">
        <is>
          <t>21 / 43</t>
        </is>
      </c>
      <c r="M306" s="5" t="n">
        <v>0.45</v>
      </c>
      <c r="N306" s="5" t="n">
        <v>0.33</v>
      </c>
    </row>
    <row r="307">
      <c r="A307" t="n">
        <v>306</v>
      </c>
      <c r="B307" t="n">
        <v>2015</v>
      </c>
      <c r="C307" t="inlineStr">
        <is>
          <t>Lacey Isabella Ly</t>
        </is>
      </c>
      <c r="D307">
        <f>HYPERLINK("https://ota.tournamentsoftware.com/player-profile/878918D3-5C76-4815-A98A-1D1A49BFC21F", "Link")</f>
        <v/>
      </c>
      <c r="E307" s="3" t="n">
        <v>231.26</v>
      </c>
      <c r="F307" s="4" t="n">
        <v>12</v>
      </c>
      <c r="G307" t="inlineStr">
        <is>
          <t>British Columbia</t>
        </is>
      </c>
      <c r="H307" t="inlineStr">
        <is>
          <t>The Tennis Centre</t>
        </is>
      </c>
      <c r="I307" t="n">
        <v>30.8</v>
      </c>
      <c r="J307" s="4" t="n">
        <v>133</v>
      </c>
      <c r="K307" t="inlineStr">
        <is>
          <t>100 / 33</t>
        </is>
      </c>
      <c r="L307" t="inlineStr">
        <is>
          <t>23 / 9</t>
        </is>
      </c>
      <c r="M307" s="5" t="n">
        <v>0.75</v>
      </c>
      <c r="N307" s="5" t="n">
        <v>0.72</v>
      </c>
    </row>
    <row r="308">
      <c r="A308" t="n">
        <v>307</v>
      </c>
      <c r="B308" t="n">
        <v>2014</v>
      </c>
      <c r="C308" t="inlineStr">
        <is>
          <t>Aryella Ainame Duran Khongwir</t>
        </is>
      </c>
      <c r="D308">
        <f>HYPERLINK("https://ota.tournamentsoftware.com/player-profile/6DB3D46F-3C74-400D-92A4-62CF55426936", "Link")</f>
        <v/>
      </c>
      <c r="E308" s="3" t="n">
        <v>230.594</v>
      </c>
      <c r="F308" s="4" t="n">
        <v>19</v>
      </c>
      <c r="G308" t="inlineStr">
        <is>
          <t>Ontario Tennis Association</t>
        </is>
      </c>
      <c r="H308" t="inlineStr">
        <is>
          <t>Stefanovic Tennis Academy</t>
        </is>
      </c>
      <c r="I308" t="n">
        <v>34.3</v>
      </c>
      <c r="J308" s="4" t="n">
        <v>177</v>
      </c>
      <c r="K308" t="inlineStr">
        <is>
          <t>50 / 127</t>
        </is>
      </c>
      <c r="L308" t="inlineStr">
        <is>
          <t>16 / 15</t>
        </is>
      </c>
      <c r="M308" s="5" t="n">
        <v>0.28</v>
      </c>
      <c r="N308" s="5" t="n">
        <v>0.52</v>
      </c>
    </row>
    <row r="309">
      <c r="A309" t="n">
        <v>308</v>
      </c>
      <c r="B309" t="n">
        <v>2014</v>
      </c>
      <c r="C309" t="inlineStr">
        <is>
          <t>Dora Zhang</t>
        </is>
      </c>
      <c r="D309">
        <f>HYPERLINK("https://ota.tournamentsoftware.com/player-profile/3772BD57-A73E-4652-86C8-E1885FE20DCF", "Link")</f>
        <v/>
      </c>
      <c r="E309" s="3" t="n">
        <v>230.464</v>
      </c>
      <c r="F309" s="4" t="n">
        <v>16</v>
      </c>
      <c r="G309" t="inlineStr">
        <is>
          <t>Ontario Tennis Association</t>
        </is>
      </c>
      <c r="H309" t="inlineStr">
        <is>
          <t>Toronto Tennis City</t>
        </is>
      </c>
      <c r="I309" t="n">
        <v>33.1</v>
      </c>
      <c r="J309" s="4" t="n">
        <v>50</v>
      </c>
      <c r="K309" t="inlineStr">
        <is>
          <t>36 / 14</t>
        </is>
      </c>
      <c r="L309" t="inlineStr">
        <is>
          <t>5 / 4</t>
        </is>
      </c>
      <c r="M309" s="5" t="n">
        <v>0.72</v>
      </c>
      <c r="N309" s="5" t="n">
        <v>0.5600000000000001</v>
      </c>
    </row>
    <row r="310">
      <c r="A310" t="n">
        <v>309</v>
      </c>
      <c r="B310" t="n">
        <v>2012</v>
      </c>
      <c r="C310" t="inlineStr">
        <is>
          <t>Charlotte Gal</t>
        </is>
      </c>
      <c r="D310">
        <f>HYPERLINK("https://ota.tournamentsoftware.com/player-profile/EF0AF614-E6CE-4E3C-9FC4-7EF8A5EB6B57", "Link")</f>
        <v/>
      </c>
      <c r="E310" s="3" t="n">
        <v>229.165</v>
      </c>
      <c r="F310" s="4" t="n">
        <v>4</v>
      </c>
      <c r="G310" t="inlineStr">
        <is>
          <t>Tennis Nova Scotia</t>
        </is>
      </c>
      <c r="H310" t="inlineStr">
        <is>
          <t>HEADSTART</t>
        </is>
      </c>
      <c r="I310" t="n">
        <v>37.1</v>
      </c>
      <c r="J310" s="4" t="n">
        <v>24</v>
      </c>
      <c r="K310" t="inlineStr">
        <is>
          <t>6 / 18</t>
        </is>
      </c>
      <c r="L310" t="inlineStr">
        <is>
          <t>2 / 12</t>
        </is>
      </c>
      <c r="M310" s="5" t="n">
        <v>0.25</v>
      </c>
      <c r="N310" s="5" t="n">
        <v>0.14</v>
      </c>
    </row>
    <row r="311">
      <c r="A311" t="n">
        <v>310</v>
      </c>
      <c r="B311" t="n">
        <v>2012</v>
      </c>
      <c r="C311" t="inlineStr">
        <is>
          <t>Jamie Cui</t>
        </is>
      </c>
      <c r="D311">
        <f>HYPERLINK("https://ota.tournamentsoftware.com/player-profile/6F7B90A5-BECB-44C9-9B4E-74FED8443672", "Link")</f>
        <v/>
      </c>
      <c r="E311" s="3" t="n">
        <v>228.114</v>
      </c>
      <c r="F311" s="4" t="n">
        <v>20</v>
      </c>
      <c r="G311" t="inlineStr">
        <is>
          <t>British Columbia</t>
        </is>
      </c>
      <c r="H311" t="inlineStr">
        <is>
          <t>Coquitlam Tennis Club</t>
        </is>
      </c>
      <c r="I311" t="inlineStr">
        <is>
          <t>unavailable</t>
        </is>
      </c>
      <c r="J311" s="4" t="n">
        <v>173</v>
      </c>
      <c r="K311" t="inlineStr">
        <is>
          <t>49 / 124</t>
        </is>
      </c>
      <c r="L311" t="inlineStr">
        <is>
          <t>12 / 21</t>
        </is>
      </c>
      <c r="M311" s="5" t="n">
        <v>0.28</v>
      </c>
      <c r="N311" s="5" t="n">
        <v>0.36</v>
      </c>
    </row>
    <row r="312">
      <c r="A312" t="n">
        <v>311</v>
      </c>
      <c r="B312" t="n">
        <v>2012</v>
      </c>
      <c r="C312" t="inlineStr">
        <is>
          <t>Saroop Randhawa</t>
        </is>
      </c>
      <c r="D312">
        <f>HYPERLINK("https://ota.tournamentsoftware.com/player-profile/5F710ADB-6059-4376-8917-220BAD95C9B2", "Link")</f>
        <v/>
      </c>
      <c r="E312" s="3" t="n">
        <v>228</v>
      </c>
      <c r="F312" s="4" t="n">
        <v>2</v>
      </c>
      <c r="G312" t="inlineStr">
        <is>
          <t>Ontario Tennis Association</t>
        </is>
      </c>
      <c r="H312" t="inlineStr">
        <is>
          <t>Advantage Tennis International at Veneto</t>
        </is>
      </c>
      <c r="I312" t="n">
        <v>22.5</v>
      </c>
      <c r="J312" s="4" t="n">
        <v>155</v>
      </c>
      <c r="K312" t="inlineStr">
        <is>
          <t>115 / 40</t>
        </is>
      </c>
      <c r="L312" t="inlineStr">
        <is>
          <t>5 / 0</t>
        </is>
      </c>
      <c r="M312" s="5" t="n">
        <v>0.74</v>
      </c>
      <c r="N312" s="5" t="n">
        <v>1</v>
      </c>
    </row>
    <row r="313">
      <c r="A313" t="n">
        <v>312</v>
      </c>
      <c r="B313" t="n">
        <v>2012</v>
      </c>
      <c r="C313" t="inlineStr">
        <is>
          <t>Louanna Perron</t>
        </is>
      </c>
      <c r="D313">
        <f>HYPERLINK("https://ota.tournamentsoftware.com/player-profile/0D5BD355-F71F-4A8A-B269-0D225B56C809", "Link")</f>
        <v/>
      </c>
      <c r="E313" s="3" t="n">
        <v>227.848</v>
      </c>
      <c r="F313" s="4" t="n">
        <v>10</v>
      </c>
      <c r="G313" t="inlineStr">
        <is>
          <t>Tennis Québec</t>
        </is>
      </c>
      <c r="H313" t="inlineStr">
        <is>
          <t>Tennis 13 / Académie Ménard et associé</t>
        </is>
      </c>
      <c r="I313" t="n">
        <v>33.2</v>
      </c>
      <c r="J313" s="4" t="n">
        <v>23</v>
      </c>
      <c r="K313" t="inlineStr">
        <is>
          <t>9 / 14</t>
        </is>
      </c>
      <c r="L313" t="inlineStr">
        <is>
          <t>3 / 6</t>
        </is>
      </c>
      <c r="M313" s="5" t="n">
        <v>0.39</v>
      </c>
      <c r="N313" s="5" t="n">
        <v>0.33</v>
      </c>
    </row>
    <row r="314">
      <c r="A314" t="n">
        <v>313</v>
      </c>
      <c r="B314" t="n">
        <v>2012</v>
      </c>
      <c r="C314" t="inlineStr">
        <is>
          <t>Mavis Li</t>
        </is>
      </c>
      <c r="D314">
        <f>HYPERLINK("https://ota.tournamentsoftware.com/player-profile/FC8D1AE6-D9A0-409A-A095-1B2C12EDB359", "Link")</f>
        <v/>
      </c>
      <c r="E314" s="3" t="n">
        <v>224.257</v>
      </c>
      <c r="F314" s="4" t="n">
        <v>22</v>
      </c>
      <c r="G314" t="inlineStr">
        <is>
          <t>Ontario Tennis Association</t>
        </is>
      </c>
      <c r="H314" t="inlineStr">
        <is>
          <t>Blackmore Tennis Club</t>
        </is>
      </c>
      <c r="I314" t="n">
        <v>35.4</v>
      </c>
      <c r="J314" s="4" t="n">
        <v>67</v>
      </c>
      <c r="K314" t="inlineStr">
        <is>
          <t>24 / 43</t>
        </is>
      </c>
      <c r="L314" t="inlineStr">
        <is>
          <t>9 / 26</t>
        </is>
      </c>
      <c r="M314" s="5" t="n">
        <v>0.36</v>
      </c>
      <c r="N314" s="5" t="n">
        <v>0.26</v>
      </c>
    </row>
    <row r="315">
      <c r="A315" t="n">
        <v>314</v>
      </c>
      <c r="B315" t="n">
        <v>2014</v>
      </c>
      <c r="C315" t="inlineStr">
        <is>
          <t>Skylar Isabelle JOHNSTON</t>
        </is>
      </c>
      <c r="D315">
        <f>HYPERLINK("https://ota.tournamentsoftware.com/player-profile/18CCEC3F-12DA-4A55-A300-393E64FB4F6E", "Link")</f>
        <v/>
      </c>
      <c r="E315" s="3" t="n">
        <v>223.404</v>
      </c>
      <c r="F315" s="4" t="n">
        <v>12</v>
      </c>
      <c r="G315" t="inlineStr">
        <is>
          <t>Tennis Nova Scotia</t>
        </is>
      </c>
      <c r="H315" t="inlineStr">
        <is>
          <t>Gordon Hughes Tennis Club</t>
        </is>
      </c>
      <c r="I315" t="n">
        <v>33</v>
      </c>
      <c r="J315" s="4" t="n">
        <v>93</v>
      </c>
      <c r="K315" t="inlineStr">
        <is>
          <t>46 / 47</t>
        </is>
      </c>
      <c r="L315" t="inlineStr">
        <is>
          <t>25 / 14</t>
        </is>
      </c>
      <c r="M315" s="5" t="n">
        <v>0.49</v>
      </c>
      <c r="N315" s="5" t="n">
        <v>0.64</v>
      </c>
    </row>
    <row r="316">
      <c r="A316" t="n">
        <v>315</v>
      </c>
      <c r="B316" t="n">
        <v>2013</v>
      </c>
      <c r="C316" t="inlineStr">
        <is>
          <t>Makayla Najjar</t>
        </is>
      </c>
      <c r="D316">
        <f>HYPERLINK("https://ota.tournamentsoftware.com/player-profile/A931D3E2-A84F-4018-9B2A-A1664811863E", "Link")</f>
        <v/>
      </c>
      <c r="E316" s="3" t="n">
        <v>219.584</v>
      </c>
      <c r="F316" s="4" t="n">
        <v>13</v>
      </c>
      <c r="G316" t="inlineStr">
        <is>
          <t>Ontario Tennis Association</t>
        </is>
      </c>
      <c r="H316" t="inlineStr">
        <is>
          <t>Premier Racquet Clubs – Mississauga</t>
        </is>
      </c>
      <c r="I316" t="n">
        <v>33.3</v>
      </c>
      <c r="J316" s="4" t="n">
        <v>90</v>
      </c>
      <c r="K316" t="inlineStr">
        <is>
          <t>60 / 30</t>
        </is>
      </c>
      <c r="L316" t="inlineStr">
        <is>
          <t>17 / 11</t>
        </is>
      </c>
      <c r="M316" s="5" t="n">
        <v>0.67</v>
      </c>
      <c r="N316" s="5" t="n">
        <v>0.61</v>
      </c>
    </row>
    <row r="317">
      <c r="A317" t="n">
        <v>316</v>
      </c>
      <c r="B317" t="n">
        <v>2015</v>
      </c>
      <c r="C317" t="inlineStr">
        <is>
          <t>Mikaëlla Jean-Bart</t>
        </is>
      </c>
      <c r="D317">
        <f>HYPERLINK("https://ota.tournamentsoftware.com/player-profile/5309814B-24E5-4F46-920F-74FD0DAF8C7D", "Link")</f>
        <v/>
      </c>
      <c r="E317" s="3" t="n">
        <v>218.826</v>
      </c>
      <c r="F317" s="4" t="n">
        <v>15</v>
      </c>
      <c r="G317" t="inlineStr">
        <is>
          <t>Tennis Québec</t>
        </is>
      </c>
      <c r="H317" t="inlineStr">
        <is>
          <t>Centre récréatif de Repentigny / Académie Tennis Momentum</t>
        </is>
      </c>
      <c r="I317" t="n">
        <v>33.7</v>
      </c>
      <c r="J317" s="4" t="n">
        <v>75</v>
      </c>
      <c r="K317" t="inlineStr">
        <is>
          <t>32 / 43</t>
        </is>
      </c>
      <c r="L317" t="inlineStr">
        <is>
          <t>15 / 15</t>
        </is>
      </c>
      <c r="M317" s="5" t="n">
        <v>0.43</v>
      </c>
      <c r="N317" s="5" t="n">
        <v>0.5</v>
      </c>
    </row>
    <row r="318">
      <c r="A318" t="n">
        <v>317</v>
      </c>
      <c r="B318" t="n">
        <v>2013</v>
      </c>
      <c r="C318" t="inlineStr">
        <is>
          <t>Helena Shengyi Chen</t>
        </is>
      </c>
      <c r="D318">
        <f>HYPERLINK("https://ota.tournamentsoftware.com/player-profile/097D6397-0826-4C15-948E-B983C1D748F4", "Link")</f>
        <v/>
      </c>
      <c r="E318" s="3" t="n">
        <v>218.438</v>
      </c>
      <c r="F318" s="4" t="n">
        <v>15</v>
      </c>
      <c r="G318" t="inlineStr">
        <is>
          <t>British Columbia</t>
        </is>
      </c>
      <c r="H318" t="inlineStr">
        <is>
          <t>Tennis BC Hub @ Richmond</t>
        </is>
      </c>
      <c r="I318" t="n">
        <v>32.9</v>
      </c>
      <c r="J318" s="4" t="n">
        <v>118</v>
      </c>
      <c r="K318" t="inlineStr">
        <is>
          <t>50 / 68</t>
        </is>
      </c>
      <c r="L318" t="inlineStr">
        <is>
          <t>13 / 17</t>
        </is>
      </c>
      <c r="M318" s="5" t="n">
        <v>0.42</v>
      </c>
      <c r="N318" s="5" t="n">
        <v>0.43</v>
      </c>
    </row>
    <row r="319">
      <c r="A319" t="n">
        <v>318</v>
      </c>
      <c r="B319" t="n">
        <v>2013</v>
      </c>
      <c r="C319" t="inlineStr">
        <is>
          <t>Alma Safinia</t>
        </is>
      </c>
      <c r="D319">
        <f>HYPERLINK("https://ota.tournamentsoftware.com/player-profile/5EF88718-BF69-42BC-A643-1C11174AD1CB", "Link")</f>
        <v/>
      </c>
      <c r="E319" s="3" t="n">
        <v>217.826</v>
      </c>
      <c r="F319" s="4" t="n">
        <v>2</v>
      </c>
      <c r="G319" t="inlineStr">
        <is>
          <t>Tennis Nova Scotia</t>
        </is>
      </c>
      <c r="H319" t="inlineStr">
        <is>
          <t>Atlantic Tennis Centre</t>
        </is>
      </c>
      <c r="I319" t="n">
        <v>33.9</v>
      </c>
      <c r="J319" s="4" t="n">
        <v>26</v>
      </c>
      <c r="K319" t="inlineStr">
        <is>
          <t>13 / 13</t>
        </is>
      </c>
      <c r="L319" t="inlineStr">
        <is>
          <t>2 / 5</t>
        </is>
      </c>
      <c r="M319" s="5" t="n">
        <v>0.5</v>
      </c>
      <c r="N319" s="5" t="n">
        <v>0.29</v>
      </c>
    </row>
    <row r="320">
      <c r="A320" t="n">
        <v>319</v>
      </c>
      <c r="B320" t="n">
        <v>2013</v>
      </c>
      <c r="C320" t="inlineStr">
        <is>
          <t>Léa Crépault</t>
        </is>
      </c>
      <c r="D320">
        <f>HYPERLINK("https://ota.tournamentsoftware.com/player-profile/A3D2A82D-C6E8-410C-A1B3-E5DC3B845B7A", "Link")</f>
        <v/>
      </c>
      <c r="E320" s="3" t="n">
        <v>217.722</v>
      </c>
      <c r="F320" s="4" t="n">
        <v>19</v>
      </c>
      <c r="G320" t="inlineStr">
        <is>
          <t>Tennis Québec</t>
        </is>
      </c>
      <c r="H320" t="inlineStr">
        <is>
          <t>EB Tennis inc.</t>
        </is>
      </c>
      <c r="I320" t="n">
        <v>35</v>
      </c>
      <c r="J320" s="4" t="n">
        <v>158</v>
      </c>
      <c r="K320" t="inlineStr">
        <is>
          <t>44 / 114</t>
        </is>
      </c>
      <c r="L320" t="inlineStr">
        <is>
          <t>8 / 15</t>
        </is>
      </c>
      <c r="M320" s="5" t="n">
        <v>0.28</v>
      </c>
      <c r="N320" s="5" t="n">
        <v>0.35</v>
      </c>
    </row>
    <row r="321">
      <c r="A321" t="n">
        <v>320</v>
      </c>
      <c r="B321" t="n">
        <v>2012</v>
      </c>
      <c r="C321" t="inlineStr">
        <is>
          <t>Clémence Martin</t>
        </is>
      </c>
      <c r="D321">
        <f>HYPERLINK("https://ota.tournamentsoftware.com/player-profile/CF2B02DD-EFB8-49FD-8774-B98F78A30C1A", "Link")</f>
        <v/>
      </c>
      <c r="E321" s="3" t="n">
        <v>216.993</v>
      </c>
      <c r="F321" s="4" t="n">
        <v>5</v>
      </c>
      <c r="G321" t="inlineStr">
        <is>
          <t>Tennis Québec</t>
        </is>
      </c>
      <c r="H321" t="inlineStr">
        <is>
          <t>Centre sportif Sport Scène / Élite Tennis Académie</t>
        </is>
      </c>
      <c r="I321" t="n">
        <v>31.3</v>
      </c>
      <c r="J321" s="4" t="n">
        <v>34</v>
      </c>
      <c r="K321" t="inlineStr">
        <is>
          <t>19 / 15</t>
        </is>
      </c>
      <c r="L321" t="inlineStr">
        <is>
          <t>5 / 5</t>
        </is>
      </c>
      <c r="M321" s="5" t="n">
        <v>0.5600000000000001</v>
      </c>
      <c r="N321" s="5" t="n">
        <v>0.5</v>
      </c>
    </row>
    <row r="322">
      <c r="A322" t="n">
        <v>321</v>
      </c>
      <c r="B322" t="n">
        <v>2015</v>
      </c>
      <c r="C322" t="inlineStr">
        <is>
          <t>Yasmine Maazouz</t>
        </is>
      </c>
      <c r="D322">
        <f>HYPERLINK("https://ota.tournamentsoftware.com/player-profile/004E04F8-71A7-4C1F-B42C-805F1590C456", "Link")</f>
        <v/>
      </c>
      <c r="E322" s="3" t="n">
        <v>215.212</v>
      </c>
      <c r="F322" s="4" t="n">
        <v>8</v>
      </c>
      <c r="G322" t="inlineStr">
        <is>
          <t>Tennis Québec</t>
        </is>
      </c>
      <c r="H322" t="inlineStr">
        <is>
          <t>Tennis Montréal Excellence</t>
        </is>
      </c>
      <c r="I322" t="n">
        <v>31.3</v>
      </c>
      <c r="J322" s="4" t="n">
        <v>115</v>
      </c>
      <c r="K322" t="inlineStr">
        <is>
          <t>69 / 46</t>
        </is>
      </c>
      <c r="L322" t="inlineStr">
        <is>
          <t>20 / 7</t>
        </is>
      </c>
      <c r="M322" s="5" t="n">
        <v>0.6</v>
      </c>
      <c r="N322" s="5" t="n">
        <v>0.74</v>
      </c>
    </row>
    <row r="323">
      <c r="A323" t="n">
        <v>322</v>
      </c>
      <c r="B323" t="n">
        <v>2015</v>
      </c>
      <c r="C323" t="inlineStr">
        <is>
          <t>Kiyara Dinuli Hinidumarachchi</t>
        </is>
      </c>
      <c r="D323">
        <f>HYPERLINK("https://ota.tournamentsoftware.com/player-profile/FD2638E4-B06D-478E-9F5A-FE51B9EC8DF8", "Link")</f>
        <v/>
      </c>
      <c r="E323" s="3" t="n">
        <v>211.944</v>
      </c>
      <c r="F323" s="4" t="n">
        <v>17</v>
      </c>
      <c r="G323" t="inlineStr">
        <is>
          <t>Ontario Tennis Association</t>
        </is>
      </c>
      <c r="H323" t="inlineStr">
        <is>
          <t>Sarnia Tennis Club</t>
        </is>
      </c>
      <c r="I323" t="inlineStr">
        <is>
          <t>unavailable</t>
        </is>
      </c>
      <c r="J323" s="4" t="n">
        <v>155</v>
      </c>
      <c r="K323" t="inlineStr">
        <is>
          <t>95 / 60</t>
        </is>
      </c>
      <c r="L323" t="inlineStr">
        <is>
          <t>10 / 14</t>
        </is>
      </c>
      <c r="M323" s="5" t="n">
        <v>0.61</v>
      </c>
      <c r="N323" s="5" t="n">
        <v>0.42</v>
      </c>
    </row>
    <row r="324">
      <c r="A324" t="n">
        <v>323</v>
      </c>
      <c r="B324" t="n">
        <v>2014</v>
      </c>
      <c r="C324" t="inlineStr">
        <is>
          <t>Esabel Liu</t>
        </is>
      </c>
      <c r="D324">
        <f>HYPERLINK("https://ota.tournamentsoftware.com/player-profile/03274A3B-556F-4321-880B-2AF255E6A817", "Link")</f>
        <v/>
      </c>
      <c r="E324" s="3" t="n">
        <v>208.86</v>
      </c>
      <c r="F324" s="4" t="n">
        <v>19</v>
      </c>
      <c r="G324" t="inlineStr">
        <is>
          <t>British Columbia</t>
        </is>
      </c>
      <c r="H324" t="inlineStr">
        <is>
          <t>North Vancouver Tennis Centre</t>
        </is>
      </c>
      <c r="I324" t="n">
        <v>30.2</v>
      </c>
      <c r="J324" s="4" t="n">
        <v>226</v>
      </c>
      <c r="K324" t="inlineStr">
        <is>
          <t>140 / 86</t>
        </is>
      </c>
      <c r="L324" t="inlineStr">
        <is>
          <t>32 / 20</t>
        </is>
      </c>
      <c r="M324" s="5" t="n">
        <v>0.62</v>
      </c>
      <c r="N324" s="5" t="n">
        <v>0.62</v>
      </c>
    </row>
    <row r="325">
      <c r="A325" t="n">
        <v>324</v>
      </c>
      <c r="B325" t="n">
        <v>2013</v>
      </c>
      <c r="C325" t="inlineStr">
        <is>
          <t>Annabelle Chen</t>
        </is>
      </c>
      <c r="D325">
        <f>HYPERLINK("https://ota.tournamentsoftware.com/player-profile/E532A343-867C-4B97-BCB3-998A28EC84A8", "Link")</f>
        <v/>
      </c>
      <c r="E325" s="3" t="n">
        <v>208.256</v>
      </c>
      <c r="F325" s="4" t="n">
        <v>8</v>
      </c>
      <c r="G325" t="inlineStr">
        <is>
          <t>British Columbia</t>
        </is>
      </c>
      <c r="H325" t="inlineStr">
        <is>
          <t>UBC Tennis Centre</t>
        </is>
      </c>
      <c r="I325" t="n">
        <v>32</v>
      </c>
      <c r="J325" s="4" t="n">
        <v>152</v>
      </c>
      <c r="K325" t="inlineStr">
        <is>
          <t>84 / 68</t>
        </is>
      </c>
      <c r="L325" t="inlineStr">
        <is>
          <t>0 / 4</t>
        </is>
      </c>
      <c r="M325" s="5" t="n">
        <v>0.55</v>
      </c>
      <c r="N325" s="5" t="n">
        <v>0</v>
      </c>
    </row>
    <row r="326">
      <c r="A326" t="n">
        <v>325</v>
      </c>
      <c r="B326" t="n">
        <v>2014</v>
      </c>
      <c r="C326" t="inlineStr">
        <is>
          <t>Vida Jeftic</t>
        </is>
      </c>
      <c r="D326">
        <f>HYPERLINK("https://ota.tournamentsoftware.com/player-profile/5A42C908-572E-4E42-A8CB-609FCF083DE9", "Link")</f>
        <v/>
      </c>
      <c r="E326" s="3" t="n">
        <v>206.56</v>
      </c>
      <c r="F326" s="4" t="n">
        <v>9</v>
      </c>
      <c r="G326" t="inlineStr">
        <is>
          <t>Ontario Tennis Association</t>
        </is>
      </c>
      <c r="H326" t="inlineStr">
        <is>
          <t>Parkside Tennis Club</t>
        </is>
      </c>
      <c r="I326" t="n">
        <v>30.8</v>
      </c>
      <c r="J326" s="4" t="n">
        <v>38</v>
      </c>
      <c r="K326" t="inlineStr">
        <is>
          <t>27 / 11</t>
        </is>
      </c>
      <c r="L326" t="inlineStr">
        <is>
          <t>11 / 4</t>
        </is>
      </c>
      <c r="M326" s="5" t="n">
        <v>0.71</v>
      </c>
      <c r="N326" s="5" t="n">
        <v>0.73</v>
      </c>
    </row>
    <row r="327">
      <c r="A327" t="n">
        <v>326</v>
      </c>
      <c r="B327" t="n">
        <v>2014</v>
      </c>
      <c r="C327" t="inlineStr">
        <is>
          <t>Alexandra Strgacic</t>
        </is>
      </c>
      <c r="D327">
        <f>HYPERLINK("https://ota.tournamentsoftware.com/player-profile/C809B120-C1B7-4F85-B411-257E3DC9B63B", "Link")</f>
        <v/>
      </c>
      <c r="E327" s="3" t="n">
        <v>205.183</v>
      </c>
      <c r="F327" s="4" t="n">
        <v>7</v>
      </c>
      <c r="G327" t="inlineStr">
        <is>
          <t>Ontario Tennis Association</t>
        </is>
      </c>
      <c r="H327" t="inlineStr">
        <is>
          <t>Advantage Tennis International at Veneto</t>
        </is>
      </c>
      <c r="I327" t="n">
        <v>33.5</v>
      </c>
      <c r="J327" s="4" t="n">
        <v>165</v>
      </c>
      <c r="K327" t="inlineStr">
        <is>
          <t>96 / 69</t>
        </is>
      </c>
      <c r="L327" t="inlineStr">
        <is>
          <t>3 / 5</t>
        </is>
      </c>
      <c r="M327" s="5" t="n">
        <v>0.58</v>
      </c>
      <c r="N327" s="5" t="n">
        <v>0.38</v>
      </c>
    </row>
    <row r="328">
      <c r="A328" t="n">
        <v>327</v>
      </c>
      <c r="B328" t="n">
        <v>2013</v>
      </c>
      <c r="C328" t="inlineStr">
        <is>
          <t>Ella Iva Mavretic</t>
        </is>
      </c>
      <c r="D328">
        <f>HYPERLINK("https://ota.tournamentsoftware.com/player-profile/CF99D041-FAEF-47A9-BBE6-3D6335355408", "Link")</f>
        <v/>
      </c>
      <c r="E328" s="3" t="n">
        <v>203.735</v>
      </c>
      <c r="F328" s="4" t="n">
        <v>10</v>
      </c>
      <c r="G328" t="inlineStr">
        <is>
          <t>Ontario Tennis Association</t>
        </is>
      </c>
      <c r="H328" t="inlineStr">
        <is>
          <t>Pinafore Park</t>
        </is>
      </c>
      <c r="I328" t="n">
        <v>34.7</v>
      </c>
      <c r="J328" s="4" t="n">
        <v>198</v>
      </c>
      <c r="K328" t="inlineStr">
        <is>
          <t>88 / 110</t>
        </is>
      </c>
      <c r="L328" t="inlineStr">
        <is>
          <t>4 / 6</t>
        </is>
      </c>
      <c r="M328" s="5" t="n">
        <v>0.44</v>
      </c>
      <c r="N328" s="5" t="n">
        <v>0.4</v>
      </c>
    </row>
    <row r="329">
      <c r="A329" t="n">
        <v>328</v>
      </c>
      <c r="B329" t="n">
        <v>2014</v>
      </c>
      <c r="C329" t="inlineStr">
        <is>
          <t>Freya Jiaxin He</t>
        </is>
      </c>
      <c r="D329">
        <f>HYPERLINK("https://ota.tournamentsoftware.com/player-profile/8C1C07F2-C769-4A85-8385-40B14C9CD709", "Link")</f>
        <v/>
      </c>
      <c r="E329" s="3" t="n">
        <v>203.592</v>
      </c>
      <c r="F329" s="4" t="n">
        <v>6</v>
      </c>
      <c r="G329" t="inlineStr">
        <is>
          <t>Tennis Prince Edward Island</t>
        </is>
      </c>
      <c r="H329" t="inlineStr">
        <is>
          <t>Charlottetown Recreation Tennis Group</t>
        </is>
      </c>
      <c r="I329" t="n">
        <v>31.9</v>
      </c>
      <c r="J329" s="4" t="n">
        <v>104</v>
      </c>
      <c r="K329" t="inlineStr">
        <is>
          <t>58 / 46</t>
        </is>
      </c>
      <c r="L329" t="inlineStr">
        <is>
          <t>19 / 7</t>
        </is>
      </c>
      <c r="M329" s="5" t="n">
        <v>0.5600000000000001</v>
      </c>
      <c r="N329" s="5" t="n">
        <v>0.73</v>
      </c>
    </row>
    <row r="330">
      <c r="A330" t="n">
        <v>329</v>
      </c>
      <c r="B330" t="n">
        <v>2012</v>
      </c>
      <c r="C330" t="inlineStr">
        <is>
          <t>Victoria Trempe</t>
        </is>
      </c>
      <c r="D330">
        <f>HYPERLINK("https://ota.tournamentsoftware.com/player-profile/90EB2857-D907-47BD-ABB6-AAED21876912", "Link")</f>
        <v/>
      </c>
      <c r="E330" s="3" t="n">
        <v>203.573</v>
      </c>
      <c r="F330" s="4" t="n">
        <v>8</v>
      </c>
      <c r="G330" t="inlineStr">
        <is>
          <t>Tennis Québec</t>
        </is>
      </c>
      <c r="H330" t="inlineStr">
        <is>
          <t>Club Sportif Côte-de-Liesse</t>
        </is>
      </c>
      <c r="I330" t="n">
        <v>34</v>
      </c>
      <c r="J330" s="4" t="n">
        <v>122</v>
      </c>
      <c r="K330" t="inlineStr">
        <is>
          <t>45 / 77</t>
        </is>
      </c>
      <c r="L330" t="inlineStr">
        <is>
          <t>2 / 4</t>
        </is>
      </c>
      <c r="M330" s="5" t="n">
        <v>0.37</v>
      </c>
      <c r="N330" s="5" t="n">
        <v>0.33</v>
      </c>
    </row>
    <row r="331">
      <c r="A331" t="n">
        <v>330</v>
      </c>
      <c r="B331" t="n">
        <v>2014</v>
      </c>
      <c r="C331" t="inlineStr">
        <is>
          <t>Payton Isabelle JOHNSTON</t>
        </is>
      </c>
      <c r="D331">
        <f>HYPERLINK("https://ota.tournamentsoftware.com/player-profile/30639279-6EB4-43A0-806A-9F7E6209EBA5", "Link")</f>
        <v/>
      </c>
      <c r="E331" s="3" t="n">
        <v>202.312</v>
      </c>
      <c r="F331" s="4" t="n">
        <v>12</v>
      </c>
      <c r="G331" t="inlineStr">
        <is>
          <t>Tennis Nova Scotia</t>
        </is>
      </c>
      <c r="H331" t="inlineStr">
        <is>
          <t>Gordon Hughes Tennis Club</t>
        </is>
      </c>
      <c r="I331" t="n">
        <v>34.3</v>
      </c>
      <c r="J331" s="4" t="n">
        <v>96</v>
      </c>
      <c r="K331" t="inlineStr">
        <is>
          <t>49 / 47</t>
        </is>
      </c>
      <c r="L331" t="inlineStr">
        <is>
          <t>18 / 21</t>
        </is>
      </c>
      <c r="M331" s="5" t="n">
        <v>0.51</v>
      </c>
      <c r="N331" s="5" t="n">
        <v>0.46</v>
      </c>
    </row>
    <row r="332">
      <c r="A332" t="n">
        <v>331</v>
      </c>
      <c r="B332" t="n">
        <v>2012</v>
      </c>
      <c r="C332" t="inlineStr">
        <is>
          <t>Naomi Brown</t>
        </is>
      </c>
      <c r="D332">
        <f>HYPERLINK("https://ota.tournamentsoftware.com/player-profile/3302BB60-F05F-49BC-8E90-BE5B9A063576", "Link")</f>
        <v/>
      </c>
      <c r="E332" s="3" t="n">
        <v>202.223</v>
      </c>
      <c r="F332" s="4" t="n">
        <v>8</v>
      </c>
      <c r="G332" t="inlineStr">
        <is>
          <t>Ontario Tennis Association</t>
        </is>
      </c>
      <c r="H332" t="inlineStr">
        <is>
          <t>Milton Tennis Club</t>
        </is>
      </c>
      <c r="I332" t="inlineStr">
        <is>
          <t>unavailable</t>
        </is>
      </c>
      <c r="J332" s="4" t="n">
        <v>81</v>
      </c>
      <c r="K332" t="inlineStr">
        <is>
          <t>36 / 45</t>
        </is>
      </c>
      <c r="L332" t="inlineStr">
        <is>
          <t>8 / 7</t>
        </is>
      </c>
      <c r="M332" s="5" t="n">
        <v>0.44</v>
      </c>
      <c r="N332" s="5" t="n">
        <v>0.53</v>
      </c>
    </row>
    <row r="333">
      <c r="A333" t="n">
        <v>332</v>
      </c>
      <c r="B333" t="n">
        <v>2015</v>
      </c>
      <c r="C333" t="inlineStr">
        <is>
          <t>Sofia Twynam</t>
        </is>
      </c>
      <c r="D333">
        <f>HYPERLINK("https://ota.tournamentsoftware.com/player-profile/025F0929-F490-4440-8CB6-08E8D1F59F08", "Link")</f>
        <v/>
      </c>
      <c r="E333" s="3" t="n">
        <v>201.791</v>
      </c>
      <c r="F333" s="4" t="n">
        <v>15</v>
      </c>
      <c r="G333" t="inlineStr">
        <is>
          <t>Tennis Québec</t>
        </is>
      </c>
      <c r="H333" t="inlineStr">
        <is>
          <t>SANI Sport</t>
        </is>
      </c>
      <c r="I333" t="n">
        <v>32.2</v>
      </c>
      <c r="J333" s="4" t="n">
        <v>127</v>
      </c>
      <c r="K333" t="inlineStr">
        <is>
          <t>69 / 58</t>
        </is>
      </c>
      <c r="L333" t="inlineStr">
        <is>
          <t>14 / 15</t>
        </is>
      </c>
      <c r="M333" s="5" t="n">
        <v>0.54</v>
      </c>
      <c r="N333" s="5" t="n">
        <v>0.48</v>
      </c>
    </row>
    <row r="334">
      <c r="A334" t="n">
        <v>333</v>
      </c>
      <c r="B334" t="n">
        <v>2012</v>
      </c>
      <c r="C334" t="inlineStr">
        <is>
          <t>Harsimran Kaur Sandhu</t>
        </is>
      </c>
      <c r="D334">
        <f>HYPERLINK("https://ota.tournamentsoftware.com/player-profile/10345BBC-2CC8-4DA1-AA88-2730495B6CB8", "Link")</f>
        <v/>
      </c>
      <c r="E334" s="3" t="n">
        <v>201.384</v>
      </c>
      <c r="F334" s="4" t="n">
        <v>23</v>
      </c>
      <c r="G334" t="inlineStr">
        <is>
          <t>Ontario Tennis Association</t>
        </is>
      </c>
      <c r="H334" t="inlineStr">
        <is>
          <t>Premier Racquet Clubs – Mississauga</t>
        </is>
      </c>
      <c r="I334" t="inlineStr">
        <is>
          <t>unavailable</t>
        </is>
      </c>
      <c r="J334" s="4" t="n">
        <v>106</v>
      </c>
      <c r="K334" t="inlineStr">
        <is>
          <t>47 / 59</t>
        </is>
      </c>
      <c r="L334" t="inlineStr">
        <is>
          <t>22 / 20</t>
        </is>
      </c>
      <c r="M334" s="5" t="n">
        <v>0.44</v>
      </c>
      <c r="N334" s="5" t="n">
        <v>0.52</v>
      </c>
    </row>
    <row r="335">
      <c r="A335" t="n">
        <v>334</v>
      </c>
      <c r="B335" t="n">
        <v>2015</v>
      </c>
      <c r="C335" t="inlineStr">
        <is>
          <t>Kayla Chevez</t>
        </is>
      </c>
      <c r="D335">
        <f>HYPERLINK("https://ota.tournamentsoftware.com/player-profile/EE941149-B269-44AA-A65B-D00099EE4086", "Link")</f>
        <v/>
      </c>
      <c r="E335" s="3" t="n">
        <v>201.354</v>
      </c>
      <c r="F335" s="4" t="n">
        <v>27</v>
      </c>
      <c r="G335" t="inlineStr">
        <is>
          <t>Tennis Québec</t>
        </is>
      </c>
      <c r="H335" t="inlineStr">
        <is>
          <t>Tennis Montréal Excellence</t>
        </is>
      </c>
      <c r="I335" t="n">
        <v>34</v>
      </c>
      <c r="J335" s="4" t="n">
        <v>145</v>
      </c>
      <c r="K335" t="inlineStr">
        <is>
          <t>70 / 75</t>
        </is>
      </c>
      <c r="L335" t="inlineStr">
        <is>
          <t>19 / 24</t>
        </is>
      </c>
      <c r="M335" s="5" t="n">
        <v>0.48</v>
      </c>
      <c r="N335" s="5" t="n">
        <v>0.44</v>
      </c>
    </row>
    <row r="336">
      <c r="A336" t="n">
        <v>335</v>
      </c>
      <c r="B336" t="n">
        <v>2014</v>
      </c>
      <c r="C336" t="inlineStr">
        <is>
          <t>Lana Kasumovic</t>
        </is>
      </c>
      <c r="D336">
        <f>HYPERLINK("https://ota.tournamentsoftware.com/player-profile/7F2BA85F-A3DF-40B8-9457-1DD55A7C11FB", "Link")</f>
        <v/>
      </c>
      <c r="E336" s="3" t="n">
        <v>200.268</v>
      </c>
      <c r="F336" s="4" t="n">
        <v>24</v>
      </c>
      <c r="G336" t="inlineStr">
        <is>
          <t>Ontario Tennis Association</t>
        </is>
      </c>
      <c r="H336" t="inlineStr">
        <is>
          <t>Rideau Sports Centre</t>
        </is>
      </c>
      <c r="I336" t="n">
        <v>34.3</v>
      </c>
      <c r="J336" s="4" t="n">
        <v>150</v>
      </c>
      <c r="K336" t="inlineStr">
        <is>
          <t>52 / 98</t>
        </is>
      </c>
      <c r="L336" t="inlineStr">
        <is>
          <t>26 / 23</t>
        </is>
      </c>
      <c r="M336" s="5" t="n">
        <v>0.35</v>
      </c>
      <c r="N336" s="5" t="n">
        <v>0.53</v>
      </c>
    </row>
    <row r="337">
      <c r="A337" t="n">
        <v>336</v>
      </c>
      <c r="B337" t="n">
        <v>2016</v>
      </c>
      <c r="C337" t="inlineStr">
        <is>
          <t>Minna TAN</t>
        </is>
      </c>
      <c r="D337">
        <f>HYPERLINK("https://ota.tournamentsoftware.com/player-profile/4830D271-776A-41F3-B5D9-B5D2EC272CB4", "Link")</f>
        <v/>
      </c>
      <c r="E337" s="3" t="n">
        <v>199.43</v>
      </c>
      <c r="F337" s="4" t="n">
        <v>9</v>
      </c>
      <c r="G337" t="inlineStr">
        <is>
          <t>Tennis Québec</t>
        </is>
      </c>
      <c r="H337" t="inlineStr">
        <is>
          <t>Tennis Ile- des- Soeurs</t>
        </is>
      </c>
      <c r="I337" t="n">
        <v>32.4</v>
      </c>
      <c r="J337" s="4" t="n">
        <v>83</v>
      </c>
      <c r="K337" t="inlineStr">
        <is>
          <t>51 / 32</t>
        </is>
      </c>
      <c r="L337" t="inlineStr">
        <is>
          <t>20 / 7</t>
        </is>
      </c>
      <c r="M337" s="5" t="n">
        <v>0.61</v>
      </c>
      <c r="N337" s="5" t="n">
        <v>0.74</v>
      </c>
    </row>
    <row r="338">
      <c r="A338" t="n">
        <v>337</v>
      </c>
      <c r="B338" t="n">
        <v>2013</v>
      </c>
      <c r="C338" t="inlineStr">
        <is>
          <t>Ana Sofia Prieto Echandia</t>
        </is>
      </c>
      <c r="D338">
        <f>HYPERLINK("https://ota.tournamentsoftware.com/player-profile/0A98F660-17C5-4374-B63C-9B5B0E183AF0", "Link")</f>
        <v/>
      </c>
      <c r="E338" s="3" t="n">
        <v>198.964</v>
      </c>
      <c r="F338" s="4" t="n">
        <v>8</v>
      </c>
      <c r="G338" t="inlineStr">
        <is>
          <t>Tennis Québec</t>
        </is>
      </c>
      <c r="H338" t="inlineStr">
        <is>
          <t>Tennis Ile- des- Soeurs</t>
        </is>
      </c>
      <c r="I338" t="n">
        <v>33.2</v>
      </c>
      <c r="J338" s="4" t="n">
        <v>33</v>
      </c>
      <c r="K338" t="inlineStr">
        <is>
          <t>19 / 14</t>
        </is>
      </c>
      <c r="L338" t="inlineStr">
        <is>
          <t>2 / 6</t>
        </is>
      </c>
      <c r="M338" s="5" t="n">
        <v>0.58</v>
      </c>
      <c r="N338" s="5" t="n">
        <v>0.25</v>
      </c>
    </row>
    <row r="339">
      <c r="A339" t="n">
        <v>338</v>
      </c>
      <c r="B339" t="n">
        <v>2014</v>
      </c>
      <c r="C339" t="inlineStr">
        <is>
          <t>Mariah Jorge-Eman</t>
        </is>
      </c>
      <c r="D339">
        <f>HYPERLINK("https://ota.tournamentsoftware.com/player-profile/B6887B12-5A2B-48B9-8A94-164305BBBBBE", "Link")</f>
        <v/>
      </c>
      <c r="E339" s="3" t="n">
        <v>198.746</v>
      </c>
      <c r="F339" s="4" t="n">
        <v>20</v>
      </c>
      <c r="G339" t="inlineStr">
        <is>
          <t>Ontario Tennis Association</t>
        </is>
      </c>
      <c r="H339" t="inlineStr">
        <is>
          <t>Premier Racquet Clubs – Mississauga</t>
        </is>
      </c>
      <c r="I339" t="n">
        <v>33.7</v>
      </c>
      <c r="J339" s="4" t="n">
        <v>102</v>
      </c>
      <c r="K339" t="inlineStr">
        <is>
          <t>48 / 54</t>
        </is>
      </c>
      <c r="L339" t="inlineStr">
        <is>
          <t>15 / 14</t>
        </is>
      </c>
      <c r="M339" s="5" t="n">
        <v>0.47</v>
      </c>
      <c r="N339" s="5" t="n">
        <v>0.52</v>
      </c>
    </row>
    <row r="340">
      <c r="A340" t="n">
        <v>339</v>
      </c>
      <c r="B340" t="n">
        <v>2013</v>
      </c>
      <c r="C340" t="inlineStr">
        <is>
          <t>Eliza Willow Nguyen</t>
        </is>
      </c>
      <c r="D340">
        <f>HYPERLINK("https://ota.tournamentsoftware.com/player-profile/1A3AE60F-B4FB-4C4C-AE09-5D730884AC0A", "Link")</f>
        <v/>
      </c>
      <c r="E340" s="3" t="n">
        <v>198.067</v>
      </c>
      <c r="F340" s="4" t="n">
        <v>12</v>
      </c>
      <c r="G340" t="inlineStr">
        <is>
          <t>Tennis Alberta</t>
        </is>
      </c>
      <c r="H340" t="inlineStr">
        <is>
          <t>Saville Community Sports Centre</t>
        </is>
      </c>
      <c r="I340" t="n">
        <v>33.1</v>
      </c>
      <c r="J340" s="4" t="n">
        <v>143</v>
      </c>
      <c r="K340" t="inlineStr">
        <is>
          <t>66 / 77</t>
        </is>
      </c>
      <c r="L340" t="inlineStr">
        <is>
          <t>10 / 13</t>
        </is>
      </c>
      <c r="M340" s="5" t="n">
        <v>0.46</v>
      </c>
      <c r="N340" s="5" t="n">
        <v>0.43</v>
      </c>
    </row>
    <row r="341">
      <c r="A341" t="n">
        <v>340</v>
      </c>
      <c r="B341" t="n">
        <v>2013</v>
      </c>
      <c r="C341" t="inlineStr">
        <is>
          <t>Ophélia Carbonneau</t>
        </is>
      </c>
      <c r="D341">
        <f>HYPERLINK("https://ota.tournamentsoftware.com/player-profile/8B592B8F-8B82-48EF-9CDD-0CBA40EBB412", "Link")</f>
        <v/>
      </c>
      <c r="E341" s="3" t="n">
        <v>197.747</v>
      </c>
      <c r="F341" s="4" t="n">
        <v>17</v>
      </c>
      <c r="G341" t="inlineStr">
        <is>
          <t>Tennis Québec</t>
        </is>
      </c>
      <c r="H341" t="inlineStr">
        <is>
          <t>Tennis Interclub Piedmont</t>
        </is>
      </c>
      <c r="I341" t="n">
        <v>35.8</v>
      </c>
      <c r="J341" s="4" t="n">
        <v>108</v>
      </c>
      <c r="K341" t="inlineStr">
        <is>
          <t>31 / 77</t>
        </is>
      </c>
      <c r="L341" t="inlineStr">
        <is>
          <t>7 / 14</t>
        </is>
      </c>
      <c r="M341" s="5" t="n">
        <v>0.29</v>
      </c>
      <c r="N341" s="5" t="n">
        <v>0.33</v>
      </c>
    </row>
    <row r="342">
      <c r="A342" t="n">
        <v>341</v>
      </c>
      <c r="B342" t="n">
        <v>2014</v>
      </c>
      <c r="C342" t="inlineStr">
        <is>
          <t>Ella Meng</t>
        </is>
      </c>
      <c r="D342">
        <f>HYPERLINK("https://ota.tournamentsoftware.com/player-profile/B7EC0DBA-A6B8-49FA-A398-63ABEF8384E7", "Link")</f>
        <v/>
      </c>
      <c r="E342" s="3" t="n">
        <v>194.534</v>
      </c>
      <c r="F342" s="4" t="n">
        <v>12</v>
      </c>
      <c r="G342" t="inlineStr">
        <is>
          <t>Ontario Tennis Association</t>
        </is>
      </c>
      <c r="H342" t="inlineStr">
        <is>
          <t>Marilyn Redvers Tennis Club</t>
        </is>
      </c>
      <c r="I342" t="n">
        <v>33.8</v>
      </c>
      <c r="J342" s="4" t="n">
        <v>84</v>
      </c>
      <c r="K342" t="inlineStr">
        <is>
          <t>30 / 54</t>
        </is>
      </c>
      <c r="L342" t="inlineStr">
        <is>
          <t>11 / 12</t>
        </is>
      </c>
      <c r="M342" s="5" t="n">
        <v>0.36</v>
      </c>
      <c r="N342" s="5" t="n">
        <v>0.48</v>
      </c>
    </row>
    <row r="343">
      <c r="A343" t="n">
        <v>342</v>
      </c>
      <c r="B343" t="n">
        <v>2012</v>
      </c>
      <c r="C343" t="inlineStr">
        <is>
          <t>Carys Miles</t>
        </is>
      </c>
      <c r="D343">
        <f>HYPERLINK("https://ota.tournamentsoftware.com/player-profile/7FCFD8F6-5B52-4825-B8AA-B72BF77A3298", "Link")</f>
        <v/>
      </c>
      <c r="E343" s="3" t="n">
        <v>194.325</v>
      </c>
      <c r="F343" s="4" t="n">
        <v>15</v>
      </c>
      <c r="G343" t="inlineStr">
        <is>
          <t>Tennis Alberta</t>
        </is>
      </c>
      <c r="H343" t="inlineStr">
        <is>
          <t>Osten &amp; Victor Alberta Tennis Centre</t>
        </is>
      </c>
      <c r="I343" t="n">
        <v>31.1</v>
      </c>
      <c r="J343" s="4" t="n">
        <v>200</v>
      </c>
      <c r="K343" t="inlineStr">
        <is>
          <t>98 / 102</t>
        </is>
      </c>
      <c r="L343" t="inlineStr">
        <is>
          <t>4 / 9</t>
        </is>
      </c>
      <c r="M343" s="5" t="n">
        <v>0.49</v>
      </c>
      <c r="N343" s="5" t="n">
        <v>0.31</v>
      </c>
    </row>
    <row r="344">
      <c r="A344" t="n">
        <v>343</v>
      </c>
      <c r="B344" t="n">
        <v>2015</v>
      </c>
      <c r="C344" t="inlineStr">
        <is>
          <t>Emma Echeverri Vujicic</t>
        </is>
      </c>
      <c r="D344">
        <f>HYPERLINK("https://ota.tournamentsoftware.com/player-profile/644C3F8A-163C-4BEA-8EBD-9263F89347F9", "Link")</f>
        <v/>
      </c>
      <c r="E344" s="3" t="n">
        <v>194.237</v>
      </c>
      <c r="F344" s="4" t="n">
        <v>21</v>
      </c>
      <c r="G344" t="inlineStr">
        <is>
          <t>Ontario Tennis Association</t>
        </is>
      </c>
      <c r="H344" t="inlineStr">
        <is>
          <t>Mayfair West Fitness &amp; Racquet Club</t>
        </is>
      </c>
      <c r="I344" t="n">
        <v>33.8</v>
      </c>
      <c r="J344" s="4" t="n">
        <v>130</v>
      </c>
      <c r="K344" t="inlineStr">
        <is>
          <t>63 / 67</t>
        </is>
      </c>
      <c r="L344" t="inlineStr">
        <is>
          <t>24 / 13</t>
        </is>
      </c>
      <c r="M344" s="5" t="n">
        <v>0.48</v>
      </c>
      <c r="N344" s="5" t="n">
        <v>0.65</v>
      </c>
    </row>
    <row r="345">
      <c r="A345" t="n">
        <v>344</v>
      </c>
      <c r="B345" t="n">
        <v>2012</v>
      </c>
      <c r="C345" t="inlineStr">
        <is>
          <t>Gabrielle Siewe Meliatou</t>
        </is>
      </c>
      <c r="D345">
        <f>HYPERLINK("https://ota.tournamentsoftware.com/player-profile/7E53A46A-6CF0-4DB8-9382-FCE1966714A8", "Link")</f>
        <v/>
      </c>
      <c r="E345" s="3" t="n">
        <v>192.866</v>
      </c>
      <c r="F345" s="4" t="n">
        <v>17</v>
      </c>
      <c r="G345" t="inlineStr">
        <is>
          <t>Tennis Québec</t>
        </is>
      </c>
      <c r="H345" t="inlineStr">
        <is>
          <t>SANI Sport</t>
        </is>
      </c>
      <c r="I345" t="n">
        <v>35.5</v>
      </c>
      <c r="J345" s="4" t="n">
        <v>78</v>
      </c>
      <c r="K345" t="inlineStr">
        <is>
          <t>24 / 54</t>
        </is>
      </c>
      <c r="L345" t="inlineStr">
        <is>
          <t>5 / 11</t>
        </is>
      </c>
      <c r="M345" s="5" t="n">
        <v>0.31</v>
      </c>
      <c r="N345" s="5" t="n">
        <v>0.31</v>
      </c>
    </row>
    <row r="346">
      <c r="A346" t="n">
        <v>345</v>
      </c>
      <c r="B346" t="n">
        <v>2016</v>
      </c>
      <c r="C346" t="inlineStr">
        <is>
          <t>Tanishka Varishtha Tripathi</t>
        </is>
      </c>
      <c r="D346">
        <f>HYPERLINK("https://ota.tournamentsoftware.com/player-profile/C966D3AB-F944-4405-A712-C5FA591776A1", "Link")</f>
        <v/>
      </c>
      <c r="E346" s="3" t="n">
        <v>192.289</v>
      </c>
      <c r="F346" s="4" t="n">
        <v>13</v>
      </c>
      <c r="G346" t="inlineStr">
        <is>
          <t>Ontario Tennis Association</t>
        </is>
      </c>
      <c r="H346" t="inlineStr">
        <is>
          <t>Tennis Outaouais Performance (TOP) ON</t>
        </is>
      </c>
      <c r="I346" t="n">
        <v>32</v>
      </c>
      <c r="J346" s="4" t="n">
        <v>144</v>
      </c>
      <c r="K346" t="inlineStr">
        <is>
          <t>104 / 40</t>
        </is>
      </c>
      <c r="L346" t="inlineStr">
        <is>
          <t>27 / 13</t>
        </is>
      </c>
      <c r="M346" s="5" t="n">
        <v>0.72</v>
      </c>
      <c r="N346" s="5" t="n">
        <v>0.68</v>
      </c>
    </row>
    <row r="347">
      <c r="A347" t="n">
        <v>346</v>
      </c>
      <c r="B347" t="n">
        <v>2012</v>
      </c>
      <c r="C347" t="inlineStr">
        <is>
          <t>Xinyi Zhang</t>
        </is>
      </c>
      <c r="D347">
        <f>HYPERLINK("https://ota.tournamentsoftware.com/player-profile/BCC8B346-C184-4803-9CC2-592D143B667B", "Link")</f>
        <v/>
      </c>
      <c r="E347" s="3" t="n">
        <v>191.822</v>
      </c>
      <c r="F347" s="4" t="n">
        <v>15</v>
      </c>
      <c r="G347" t="inlineStr">
        <is>
          <t>Ontario Tennis Association</t>
        </is>
      </c>
      <c r="H347" t="inlineStr">
        <is>
          <t>Marilyn Redvers Tennis Club</t>
        </is>
      </c>
      <c r="I347" t="n">
        <v>33.5</v>
      </c>
      <c r="J347" s="4" t="n">
        <v>52</v>
      </c>
      <c r="K347" t="inlineStr">
        <is>
          <t>26 / 26</t>
        </is>
      </c>
      <c r="L347" t="inlineStr">
        <is>
          <t>15 / 18</t>
        </is>
      </c>
      <c r="M347" s="5" t="n">
        <v>0.5</v>
      </c>
      <c r="N347" s="5" t="n">
        <v>0.45</v>
      </c>
    </row>
    <row r="348">
      <c r="A348" t="n">
        <v>347</v>
      </c>
      <c r="B348" t="n">
        <v>2015</v>
      </c>
      <c r="C348" t="inlineStr">
        <is>
          <t>Olivia Ormandy</t>
        </is>
      </c>
      <c r="D348">
        <f>HYPERLINK("https://ota.tournamentsoftware.com/player-profile/C2722647-7EFC-4E85-B2ED-55E77949843B", "Link")</f>
        <v/>
      </c>
      <c r="E348" s="3" t="n">
        <v>190.2</v>
      </c>
      <c r="F348" s="4" t="n">
        <v>26</v>
      </c>
      <c r="G348" t="inlineStr">
        <is>
          <t>Tennis Québec</t>
        </is>
      </c>
      <c r="H348" t="inlineStr">
        <is>
          <t>Tennis Interclub Piedmont</t>
        </is>
      </c>
      <c r="I348" t="n">
        <v>33.1</v>
      </c>
      <c r="J348" s="4" t="n">
        <v>194</v>
      </c>
      <c r="K348" t="inlineStr">
        <is>
          <t>95 / 99</t>
        </is>
      </c>
      <c r="L348" t="inlineStr">
        <is>
          <t>23 / 25</t>
        </is>
      </c>
      <c r="M348" s="5" t="n">
        <v>0.49</v>
      </c>
      <c r="N348" s="5" t="n">
        <v>0.48</v>
      </c>
    </row>
    <row r="349">
      <c r="A349" t="n">
        <v>348</v>
      </c>
      <c r="B349" t="n">
        <v>2012</v>
      </c>
      <c r="C349" t="inlineStr">
        <is>
          <t>Sabrina Sajjad</t>
        </is>
      </c>
      <c r="D349">
        <f>HYPERLINK("https://ota.tournamentsoftware.com/player-profile/6C7EB560-0C6C-49E6-9B42-49009727ED3D", "Link")</f>
        <v/>
      </c>
      <c r="E349" s="3" t="n">
        <v>189.48</v>
      </c>
      <c r="F349" s="4" t="n">
        <v>14</v>
      </c>
      <c r="G349" t="inlineStr">
        <is>
          <t>Ontario Tennis Association</t>
        </is>
      </c>
      <c r="H349" t="inlineStr">
        <is>
          <t>No Club</t>
        </is>
      </c>
      <c r="I349" t="n">
        <v>34.1</v>
      </c>
      <c r="J349" s="4" t="n">
        <v>71</v>
      </c>
      <c r="K349" t="inlineStr">
        <is>
          <t>36 / 35</t>
        </is>
      </c>
      <c r="L349" t="inlineStr">
        <is>
          <t>9 / 11</t>
        </is>
      </c>
      <c r="M349" s="5" t="n">
        <v>0.51</v>
      </c>
      <c r="N349" s="5" t="n">
        <v>0.45</v>
      </c>
    </row>
    <row r="350">
      <c r="A350" t="n">
        <v>349</v>
      </c>
      <c r="B350" t="n">
        <v>2012</v>
      </c>
      <c r="C350" t="inlineStr">
        <is>
          <t>GURMEHR KAUR</t>
        </is>
      </c>
      <c r="D350">
        <f>HYPERLINK("https://ota.tournamentsoftware.com/player-profile/2C69CAA6-FCC8-49BC-ACA2-32F5C15717ED", "Link")</f>
        <v/>
      </c>
      <c r="E350" s="3" t="n">
        <v>189.248</v>
      </c>
      <c r="F350" s="4" t="n">
        <v>19</v>
      </c>
      <c r="G350" t="inlineStr">
        <is>
          <t>British Columbia</t>
        </is>
      </c>
      <c r="H350" t="inlineStr">
        <is>
          <t>Newton Tennis Club</t>
        </is>
      </c>
      <c r="I350" t="n">
        <v>32.4</v>
      </c>
      <c r="J350" s="4" t="n">
        <v>180</v>
      </c>
      <c r="K350" t="inlineStr">
        <is>
          <t>78 / 102</t>
        </is>
      </c>
      <c r="L350" t="inlineStr">
        <is>
          <t>18 / 23</t>
        </is>
      </c>
      <c r="M350" s="5" t="n">
        <v>0.43</v>
      </c>
      <c r="N350" s="5" t="n">
        <v>0.44</v>
      </c>
    </row>
    <row r="351">
      <c r="A351" t="n">
        <v>350</v>
      </c>
      <c r="B351" t="n">
        <v>2016</v>
      </c>
      <c r="C351" t="inlineStr">
        <is>
          <t>Emily Zheng</t>
        </is>
      </c>
      <c r="D351">
        <f>HYPERLINK("https://ota.tournamentsoftware.com/player-profile/6AB11A61-4852-4958-84E1-2773676D29C2", "Link")</f>
        <v/>
      </c>
      <c r="E351" s="3" t="n">
        <v>187.89</v>
      </c>
      <c r="F351" s="4" t="n">
        <v>27</v>
      </c>
      <c r="G351" t="inlineStr">
        <is>
          <t>Ontario Tennis Association</t>
        </is>
      </c>
      <c r="H351" t="inlineStr">
        <is>
          <t>Toronto Cricket Skating &amp; Curling</t>
        </is>
      </c>
      <c r="I351" t="n">
        <v>33.2</v>
      </c>
      <c r="J351" s="4" t="n">
        <v>108</v>
      </c>
      <c r="K351" t="inlineStr">
        <is>
          <t>44 / 64</t>
        </is>
      </c>
      <c r="L351" t="inlineStr">
        <is>
          <t>23 / 14</t>
        </is>
      </c>
      <c r="M351" s="5" t="n">
        <v>0.41</v>
      </c>
      <c r="N351" s="5" t="n">
        <v>0.62</v>
      </c>
    </row>
    <row r="352">
      <c r="A352" t="n">
        <v>351</v>
      </c>
      <c r="B352" t="n">
        <v>2012</v>
      </c>
      <c r="C352" t="inlineStr">
        <is>
          <t>Ruoyu Wang</t>
        </is>
      </c>
      <c r="D352">
        <f>HYPERLINK("https://ota.tournamentsoftware.com/player-profile/BF1A51BB-FF4F-417F-AE41-0914B75C7FF1", "Link")</f>
        <v/>
      </c>
      <c r="E352" s="3" t="n">
        <v>187.562</v>
      </c>
      <c r="F352" s="4" t="n">
        <v>12</v>
      </c>
      <c r="G352" t="inlineStr">
        <is>
          <t>Tennis Québec</t>
        </is>
      </c>
      <c r="H352" t="inlineStr">
        <is>
          <t>Tennis 13</t>
        </is>
      </c>
      <c r="I352" t="inlineStr">
        <is>
          <t>unavailable</t>
        </is>
      </c>
      <c r="J352" s="4" t="n">
        <v>23</v>
      </c>
      <c r="K352" t="inlineStr">
        <is>
          <t>7 / 16</t>
        </is>
      </c>
      <c r="L352" t="inlineStr">
        <is>
          <t>6 / 10</t>
        </is>
      </c>
      <c r="M352" s="5" t="n">
        <v>0.3</v>
      </c>
      <c r="N352" s="5" t="n">
        <v>0.38</v>
      </c>
    </row>
    <row r="353">
      <c r="A353" t="n">
        <v>352</v>
      </c>
      <c r="B353" t="n">
        <v>2013</v>
      </c>
      <c r="C353" t="inlineStr">
        <is>
          <t>Alysha Alexis</t>
        </is>
      </c>
      <c r="D353">
        <f>HYPERLINK("https://ota.tournamentsoftware.com/player-profile/42191CE6-0E1E-460D-80E0-9A7FF78DA6C6", "Link")</f>
        <v/>
      </c>
      <c r="E353" s="3" t="n">
        <v>185.03</v>
      </c>
      <c r="F353" s="4" t="n">
        <v>18</v>
      </c>
      <c r="G353" t="inlineStr">
        <is>
          <t>Tennis Québec</t>
        </is>
      </c>
      <c r="H353" t="inlineStr">
        <is>
          <t>Académie Tennis Momentum (club extérieur)</t>
        </is>
      </c>
      <c r="I353" t="n">
        <v>33.9</v>
      </c>
      <c r="J353" s="4" t="n">
        <v>68</v>
      </c>
      <c r="K353" t="inlineStr">
        <is>
          <t>32 / 36</t>
        </is>
      </c>
      <c r="L353" t="inlineStr">
        <is>
          <t>12 / 12</t>
        </is>
      </c>
      <c r="M353" s="5" t="n">
        <v>0.47</v>
      </c>
      <c r="N353" s="5" t="n">
        <v>0.5</v>
      </c>
    </row>
    <row r="354">
      <c r="A354" t="n">
        <v>353</v>
      </c>
      <c r="B354" t="n">
        <v>2014</v>
      </c>
      <c r="C354" t="inlineStr">
        <is>
          <t>Mila Alexandra Voros</t>
        </is>
      </c>
      <c r="D354">
        <f>HYPERLINK("https://ota.tournamentsoftware.com/player-profile/96155B79-5199-481D-8AF1-A174FA860401", "Link")</f>
        <v/>
      </c>
      <c r="E354" s="3" t="n">
        <v>184.412</v>
      </c>
      <c r="F354" s="4" t="n">
        <v>14</v>
      </c>
      <c r="G354" t="inlineStr">
        <is>
          <t>Ontario Tennis Association</t>
        </is>
      </c>
      <c r="H354" t="inlineStr">
        <is>
          <t>GSM Tennis Club</t>
        </is>
      </c>
      <c r="I354" t="n">
        <v>34.8</v>
      </c>
      <c r="J354" s="4" t="n">
        <v>136</v>
      </c>
      <c r="K354" t="inlineStr">
        <is>
          <t>58 / 78</t>
        </is>
      </c>
      <c r="L354" t="inlineStr">
        <is>
          <t>7 / 15</t>
        </is>
      </c>
      <c r="M354" s="5" t="n">
        <v>0.43</v>
      </c>
      <c r="N354" s="5" t="n">
        <v>0.32</v>
      </c>
    </row>
    <row r="355">
      <c r="A355" t="n">
        <v>354</v>
      </c>
      <c r="B355" t="n">
        <v>2014</v>
      </c>
      <c r="C355" t="inlineStr">
        <is>
          <t>Amelia Rogette Hinnawi</t>
        </is>
      </c>
      <c r="D355">
        <f>HYPERLINK("https://ota.tournamentsoftware.com/player-profile/1DADE780-E571-45F1-BC6D-21B72637C0B7", "Link")</f>
        <v/>
      </c>
      <c r="E355" s="3" t="n">
        <v>184.213</v>
      </c>
      <c r="F355" s="4" t="n">
        <v>22</v>
      </c>
      <c r="G355" t="inlineStr">
        <is>
          <t>Tennis Québec</t>
        </is>
      </c>
      <c r="H355" t="inlineStr">
        <is>
          <t>Tennis Ile- des- Soeurs</t>
        </is>
      </c>
      <c r="I355" t="inlineStr">
        <is>
          <t>unavailable</t>
        </is>
      </c>
      <c r="J355" s="4" t="n">
        <v>135</v>
      </c>
      <c r="K355" t="inlineStr">
        <is>
          <t>42 / 93</t>
        </is>
      </c>
      <c r="L355" t="inlineStr">
        <is>
          <t>12 / 21</t>
        </is>
      </c>
      <c r="M355" s="5" t="n">
        <v>0.31</v>
      </c>
      <c r="N355" s="5" t="n">
        <v>0.36</v>
      </c>
    </row>
    <row r="356">
      <c r="A356" t="n">
        <v>355</v>
      </c>
      <c r="B356" t="n">
        <v>2013</v>
      </c>
      <c r="C356" t="inlineStr">
        <is>
          <t>Kate Penalba</t>
        </is>
      </c>
      <c r="D356">
        <f>HYPERLINK("https://ota.tournamentsoftware.com/player-profile/C3F08CFB-765E-4234-8D01-16CB3E717037", "Link")</f>
        <v/>
      </c>
      <c r="E356" s="3" t="n">
        <v>182.596</v>
      </c>
      <c r="F356" s="4" t="n">
        <v>17</v>
      </c>
      <c r="G356" t="inlineStr">
        <is>
          <t>Ontario Tennis Association</t>
        </is>
      </c>
      <c r="H356" t="inlineStr">
        <is>
          <t>No Club</t>
        </is>
      </c>
      <c r="I356" t="n">
        <v>34.6</v>
      </c>
      <c r="J356" s="4" t="n">
        <v>132</v>
      </c>
      <c r="K356" t="inlineStr">
        <is>
          <t>53 / 79</t>
        </is>
      </c>
      <c r="L356" t="inlineStr">
        <is>
          <t>10 / 17</t>
        </is>
      </c>
      <c r="M356" s="5" t="n">
        <v>0.4</v>
      </c>
      <c r="N356" s="5" t="n">
        <v>0.37</v>
      </c>
    </row>
    <row r="357">
      <c r="A357" t="n">
        <v>356</v>
      </c>
      <c r="B357" t="n">
        <v>2013</v>
      </c>
      <c r="C357" t="inlineStr">
        <is>
          <t>Victoria Pellerin</t>
        </is>
      </c>
      <c r="D357">
        <f>HYPERLINK("https://ota.tournamentsoftware.com/player-profile/097573BE-64EA-4951-9B1B-3779B5938722", "Link")</f>
        <v/>
      </c>
      <c r="E357" s="3" t="n">
        <v>181.263</v>
      </c>
      <c r="F357" s="4" t="n">
        <v>15</v>
      </c>
      <c r="G357" t="inlineStr">
        <is>
          <t>Tennis Québec</t>
        </is>
      </c>
      <c r="H357" t="inlineStr">
        <is>
          <t>Centre récréatif de Repentigny / Académie Tennis Momentum</t>
        </is>
      </c>
      <c r="I357" t="n">
        <v>36.5</v>
      </c>
      <c r="J357" s="4" t="n">
        <v>57</v>
      </c>
      <c r="K357" t="inlineStr">
        <is>
          <t>16 / 41</t>
        </is>
      </c>
      <c r="L357" t="inlineStr">
        <is>
          <t>4 / 13</t>
        </is>
      </c>
      <c r="M357" s="5" t="n">
        <v>0.28</v>
      </c>
      <c r="N357" s="5" t="n">
        <v>0.24</v>
      </c>
    </row>
    <row r="358">
      <c r="A358" t="n">
        <v>357</v>
      </c>
      <c r="B358" t="n">
        <v>2013</v>
      </c>
      <c r="C358" t="inlineStr">
        <is>
          <t>Sophie Pothel</t>
        </is>
      </c>
      <c r="D358">
        <f>HYPERLINK("https://ota.tournamentsoftware.com/player-profile/21DD6509-0C4D-4711-BEB0-DC2D198520FD", "Link")</f>
        <v/>
      </c>
      <c r="E358" s="3" t="n">
        <v>179.691</v>
      </c>
      <c r="F358" s="4" t="n">
        <v>15</v>
      </c>
      <c r="G358" t="inlineStr">
        <is>
          <t>Tennis Québec</t>
        </is>
      </c>
      <c r="H358" t="inlineStr">
        <is>
          <t>Tennis Ile- des- Soeurs</t>
        </is>
      </c>
      <c r="I358" t="inlineStr">
        <is>
          <t>unavailable</t>
        </is>
      </c>
      <c r="J358" s="4" t="n">
        <v>58</v>
      </c>
      <c r="K358" t="inlineStr">
        <is>
          <t>9 / 49</t>
        </is>
      </c>
      <c r="L358" t="inlineStr">
        <is>
          <t>4 / 17</t>
        </is>
      </c>
      <c r="M358" s="5" t="n">
        <v>0.16</v>
      </c>
      <c r="N358" s="5" t="n">
        <v>0.19</v>
      </c>
    </row>
    <row r="359">
      <c r="A359" t="n">
        <v>358</v>
      </c>
      <c r="B359" t="n">
        <v>2015</v>
      </c>
      <c r="C359" t="inlineStr">
        <is>
          <t>Jesi Myra Kumaran</t>
        </is>
      </c>
      <c r="D359">
        <f>HYPERLINK("https://ota.tournamentsoftware.com/player-profile/8DE19A2A-095B-4432-92FE-7CA64D28B7F1", "Link")</f>
        <v/>
      </c>
      <c r="E359" s="3" t="n">
        <v>179.454</v>
      </c>
      <c r="F359" s="4" t="n">
        <v>32</v>
      </c>
      <c r="G359" t="inlineStr">
        <is>
          <t>Ontario Tennis Association</t>
        </is>
      </c>
      <c r="H359" t="inlineStr">
        <is>
          <t>Valan Tennis Academy</t>
        </is>
      </c>
      <c r="I359" t="n">
        <v>36.7</v>
      </c>
      <c r="J359" s="4" t="n">
        <v>196</v>
      </c>
      <c r="K359" t="inlineStr">
        <is>
          <t>69 / 127</t>
        </is>
      </c>
      <c r="L359" t="inlineStr">
        <is>
          <t>15 / 30</t>
        </is>
      </c>
      <c r="M359" s="5" t="n">
        <v>0.35</v>
      </c>
      <c r="N359" s="5" t="n">
        <v>0.33</v>
      </c>
    </row>
    <row r="360">
      <c r="A360" t="n">
        <v>359</v>
      </c>
      <c r="B360" t="n">
        <v>2015</v>
      </c>
      <c r="C360" t="inlineStr">
        <is>
          <t>Kynarra Tayt Burthwright</t>
        </is>
      </c>
      <c r="D360">
        <f>HYPERLINK("https://ota.tournamentsoftware.com/player-profile/54340729-CFE8-4AE6-B072-4BD29664CBEC", "Link")</f>
        <v/>
      </c>
      <c r="E360" s="3" t="n">
        <v>179.393</v>
      </c>
      <c r="F360" s="4" t="n">
        <v>25</v>
      </c>
      <c r="G360" t="inlineStr">
        <is>
          <t>Ontario Tennis Association</t>
        </is>
      </c>
      <c r="H360" t="inlineStr">
        <is>
          <t>Newmarket Community Tennis Club</t>
        </is>
      </c>
      <c r="I360" t="n">
        <v>34.9</v>
      </c>
      <c r="J360" s="4" t="n">
        <v>128</v>
      </c>
      <c r="K360" t="inlineStr">
        <is>
          <t>66 / 62</t>
        </is>
      </c>
      <c r="L360" t="inlineStr">
        <is>
          <t>29 / 29</t>
        </is>
      </c>
      <c r="M360" s="5" t="n">
        <v>0.52</v>
      </c>
      <c r="N360" s="5" t="n">
        <v>0.5</v>
      </c>
    </row>
    <row r="361">
      <c r="A361" t="n">
        <v>360</v>
      </c>
      <c r="B361" t="n">
        <v>2015</v>
      </c>
      <c r="C361" t="inlineStr">
        <is>
          <t>Brielle York</t>
        </is>
      </c>
      <c r="D361">
        <f>HYPERLINK("https://ota.tournamentsoftware.com/player-profile/C0B1A514-EDF7-4907-9E4D-D3B8C705EB1D", "Link")</f>
        <v/>
      </c>
      <c r="E361" s="3" t="n">
        <v>177.941</v>
      </c>
      <c r="F361" s="4" t="n">
        <v>16</v>
      </c>
      <c r="G361" t="inlineStr">
        <is>
          <t>Tennis Alberta</t>
        </is>
      </c>
      <c r="H361" t="inlineStr">
        <is>
          <t>Aforza</t>
        </is>
      </c>
      <c r="I361" t="n">
        <v>36.3</v>
      </c>
      <c r="J361" s="4" t="n">
        <v>144</v>
      </c>
      <c r="K361" t="inlineStr">
        <is>
          <t>68 / 76</t>
        </is>
      </c>
      <c r="L361" t="inlineStr">
        <is>
          <t>13 / 21</t>
        </is>
      </c>
      <c r="M361" s="5" t="n">
        <v>0.47</v>
      </c>
      <c r="N361" s="5" t="n">
        <v>0.38</v>
      </c>
    </row>
    <row r="362">
      <c r="A362" t="n">
        <v>361</v>
      </c>
      <c r="B362" t="n">
        <v>2012</v>
      </c>
      <c r="C362" t="inlineStr">
        <is>
          <t>Charlianne Grace Kiss</t>
        </is>
      </c>
      <c r="D362">
        <f>HYPERLINK("https://ota.tournamentsoftware.com/player-profile/09C918D2-187B-42AF-836D-E31A35062CB3", "Link")</f>
        <v/>
      </c>
      <c r="E362" s="3" t="n">
        <v>176.12</v>
      </c>
      <c r="F362" s="4" t="n">
        <v>10</v>
      </c>
      <c r="G362" t="inlineStr">
        <is>
          <t>Tennis Alberta</t>
        </is>
      </c>
      <c r="H362" t="inlineStr">
        <is>
          <t>Saville Community Sports Centre</t>
        </is>
      </c>
      <c r="I362" t="n">
        <v>35.9</v>
      </c>
      <c r="J362" s="4" t="n">
        <v>72</v>
      </c>
      <c r="K362" t="inlineStr">
        <is>
          <t>27 / 45</t>
        </is>
      </c>
      <c r="L362" t="inlineStr">
        <is>
          <t>9 / 15</t>
        </is>
      </c>
      <c r="M362" s="5" t="n">
        <v>0.38</v>
      </c>
      <c r="N362" s="5" t="n">
        <v>0.38</v>
      </c>
    </row>
    <row r="363">
      <c r="A363" t="n">
        <v>362</v>
      </c>
      <c r="B363" t="n">
        <v>2014</v>
      </c>
      <c r="C363" t="inlineStr">
        <is>
          <t>Nadia Stuparyk</t>
        </is>
      </c>
      <c r="D363">
        <f>HYPERLINK("https://ota.tournamentsoftware.com/player-profile/05ABA68F-2EB2-4BFB-B6CA-677BDD1DCDCA", "Link")</f>
        <v/>
      </c>
      <c r="E363" s="3" t="n">
        <v>173.522</v>
      </c>
      <c r="F363" s="4" t="n">
        <v>35</v>
      </c>
      <c r="G363" t="inlineStr">
        <is>
          <t>Ontario Tennis Association</t>
        </is>
      </c>
      <c r="H363" t="inlineStr">
        <is>
          <t>Parkside Tennis Club</t>
        </is>
      </c>
      <c r="I363" t="n">
        <v>33.3</v>
      </c>
      <c r="J363" s="4" t="n">
        <v>186</v>
      </c>
      <c r="K363" t="inlineStr">
        <is>
          <t>89 / 97</t>
        </is>
      </c>
      <c r="L363" t="inlineStr">
        <is>
          <t>24 / 21</t>
        </is>
      </c>
      <c r="M363" s="5" t="n">
        <v>0.48</v>
      </c>
      <c r="N363" s="5" t="n">
        <v>0.53</v>
      </c>
    </row>
    <row r="364">
      <c r="A364" t="n">
        <v>363</v>
      </c>
      <c r="B364" t="n">
        <v>2012</v>
      </c>
      <c r="C364" t="inlineStr">
        <is>
          <t>Angelica Rose Spyrka</t>
        </is>
      </c>
      <c r="D364">
        <f>HYPERLINK("https://ota.tournamentsoftware.com/player-profile/7A8F99DB-3ADA-4FDB-AC08-5095AAF01985", "Link")</f>
        <v/>
      </c>
      <c r="E364" s="3" t="n">
        <v>173.417</v>
      </c>
      <c r="F364" s="4" t="n">
        <v>12</v>
      </c>
      <c r="G364" t="inlineStr">
        <is>
          <t>British Columbia</t>
        </is>
      </c>
      <c r="H364" t="inlineStr">
        <is>
          <t>Vanguard Tennis Academy</t>
        </is>
      </c>
      <c r="I364" t="n">
        <v>33.3</v>
      </c>
      <c r="J364" s="4" t="n">
        <v>74</v>
      </c>
      <c r="K364" t="inlineStr">
        <is>
          <t>32 / 42</t>
        </is>
      </c>
      <c r="L364" t="inlineStr">
        <is>
          <t>6 / 10</t>
        </is>
      </c>
      <c r="M364" s="5" t="n">
        <v>0.43</v>
      </c>
      <c r="N364" s="5" t="n">
        <v>0.38</v>
      </c>
    </row>
    <row r="365">
      <c r="A365" t="n">
        <v>364</v>
      </c>
      <c r="B365" t="n">
        <v>2015</v>
      </c>
      <c r="C365" t="inlineStr">
        <is>
          <t>Isla J Green</t>
        </is>
      </c>
      <c r="D365">
        <f>HYPERLINK("https://ota.tournamentsoftware.com/player-profile/B2E098BE-DB7E-4756-BD31-93298500E09D", "Link")</f>
        <v/>
      </c>
      <c r="E365" s="3" t="n">
        <v>173.154</v>
      </c>
      <c r="F365" s="4" t="n">
        <v>26</v>
      </c>
      <c r="G365" t="inlineStr">
        <is>
          <t>Ontario Tennis Association</t>
        </is>
      </c>
      <c r="H365" t="inlineStr">
        <is>
          <t>Advantage Tennis International at Veneto</t>
        </is>
      </c>
      <c r="I365" t="n">
        <v>32.5</v>
      </c>
      <c r="J365" s="4" t="n">
        <v>245</v>
      </c>
      <c r="K365" t="inlineStr">
        <is>
          <t>164 / 81</t>
        </is>
      </c>
      <c r="L365" t="inlineStr">
        <is>
          <t>37 / 18</t>
        </is>
      </c>
      <c r="M365" s="5" t="n">
        <v>0.67</v>
      </c>
      <c r="N365" s="5" t="n">
        <v>0.67</v>
      </c>
    </row>
    <row r="366">
      <c r="A366" t="n">
        <v>365</v>
      </c>
      <c r="B366" t="n">
        <v>2012</v>
      </c>
      <c r="C366" t="inlineStr">
        <is>
          <t>Riley Lynn Banath</t>
        </is>
      </c>
      <c r="D366">
        <f>HYPERLINK("https://ota.tournamentsoftware.com/player-profile/4B613A1C-293C-4701-B6BA-BEC5F8EBDA29", "Link")</f>
        <v/>
      </c>
      <c r="E366" s="3" t="n">
        <v>173.105</v>
      </c>
      <c r="F366" s="4" t="n">
        <v>14</v>
      </c>
      <c r="G366" t="inlineStr">
        <is>
          <t>British Columbia</t>
        </is>
      </c>
      <c r="H366" t="inlineStr">
        <is>
          <t>Arbutus Club</t>
        </is>
      </c>
      <c r="I366" t="n">
        <v>36.5</v>
      </c>
      <c r="J366" s="4" t="n">
        <v>46</v>
      </c>
      <c r="K366" t="inlineStr">
        <is>
          <t>10 / 36</t>
        </is>
      </c>
      <c r="L366" t="inlineStr">
        <is>
          <t>6 / 21</t>
        </is>
      </c>
      <c r="M366" s="5" t="n">
        <v>0.22</v>
      </c>
      <c r="N366" s="5" t="n">
        <v>0.22</v>
      </c>
    </row>
    <row r="367">
      <c r="A367" t="n">
        <v>366</v>
      </c>
      <c r="B367" t="n">
        <v>2012</v>
      </c>
      <c r="C367" t="inlineStr">
        <is>
          <t>Amelia Jee</t>
        </is>
      </c>
      <c r="D367">
        <f>HYPERLINK("https://ota.tournamentsoftware.com/player-profile/485EA829-3893-4703-AF9A-1CF8D304CE5D", "Link")</f>
        <v/>
      </c>
      <c r="E367" s="3" t="n">
        <v>173.084</v>
      </c>
      <c r="F367" s="4" t="n">
        <v>12</v>
      </c>
      <c r="G367" t="inlineStr">
        <is>
          <t>Ontario Tennis Association</t>
        </is>
      </c>
      <c r="H367" t="inlineStr">
        <is>
          <t>Toronto Cricket Skating &amp; Curling</t>
        </is>
      </c>
      <c r="I367" t="n">
        <v>32.8</v>
      </c>
      <c r="J367" s="4" t="n">
        <v>125</v>
      </c>
      <c r="K367" t="inlineStr">
        <is>
          <t>53 / 72</t>
        </is>
      </c>
      <c r="L367" t="inlineStr">
        <is>
          <t>11 / 13</t>
        </is>
      </c>
      <c r="M367" s="5" t="n">
        <v>0.42</v>
      </c>
      <c r="N367" s="5" t="n">
        <v>0.46</v>
      </c>
    </row>
    <row r="368">
      <c r="A368" t="n">
        <v>367</v>
      </c>
      <c r="B368" t="n">
        <v>2013</v>
      </c>
      <c r="C368" t="inlineStr">
        <is>
          <t>Alice Laganière</t>
        </is>
      </c>
      <c r="D368">
        <f>HYPERLINK("https://ota.tournamentsoftware.com/player-profile/C9532D29-EE9A-4084-ACB5-2DBCAD4DF862", "Link")</f>
        <v/>
      </c>
      <c r="E368" s="3" t="n">
        <v>171.17</v>
      </c>
      <c r="F368" s="4" t="n">
        <v>9</v>
      </c>
      <c r="G368" t="inlineStr">
        <is>
          <t>Tennis Québec</t>
        </is>
      </c>
      <c r="H368" t="inlineStr">
        <is>
          <t>Club de tennis intérieur Saguenay / École de tennis Delisle-Poirel</t>
        </is>
      </c>
      <c r="I368" t="n">
        <v>35.4</v>
      </c>
      <c r="J368" s="4" t="n">
        <v>39</v>
      </c>
      <c r="K368" t="inlineStr">
        <is>
          <t>13 / 26</t>
        </is>
      </c>
      <c r="L368" t="inlineStr">
        <is>
          <t>1 / 6</t>
        </is>
      </c>
      <c r="M368" s="5" t="n">
        <v>0.33</v>
      </c>
      <c r="N368" s="5" t="n">
        <v>0.14</v>
      </c>
    </row>
    <row r="369">
      <c r="A369" t="n">
        <v>368</v>
      </c>
      <c r="B369" t="n">
        <v>2015</v>
      </c>
      <c r="C369" t="inlineStr">
        <is>
          <t>Ruichu Rachel Piao</t>
        </is>
      </c>
      <c r="D369">
        <f>HYPERLINK("https://ota.tournamentsoftware.com/player-profile/13F65932-C96D-4F89-B571-4AA7315B2EEB", "Link")</f>
        <v/>
      </c>
      <c r="E369" s="3" t="n">
        <v>170.967</v>
      </c>
      <c r="F369" s="4" t="n">
        <v>14</v>
      </c>
      <c r="G369" t="inlineStr">
        <is>
          <t>Tennis Québec</t>
        </is>
      </c>
      <c r="H369" t="inlineStr">
        <is>
          <t>Tennis Ile- des- Soeurs</t>
        </is>
      </c>
      <c r="I369" t="inlineStr">
        <is>
          <t>unavailable</t>
        </is>
      </c>
      <c r="J369" s="4" t="n">
        <v>74</v>
      </c>
      <c r="K369" t="inlineStr">
        <is>
          <t>34 / 40</t>
        </is>
      </c>
      <c r="L369" t="inlineStr">
        <is>
          <t>7 / 12</t>
        </is>
      </c>
      <c r="M369" s="5" t="n">
        <v>0.46</v>
      </c>
      <c r="N369" s="5" t="n">
        <v>0.37</v>
      </c>
    </row>
    <row r="370">
      <c r="A370" t="n">
        <v>369</v>
      </c>
      <c r="B370" t="n">
        <v>2016</v>
      </c>
      <c r="C370" t="inlineStr">
        <is>
          <t>Dorothy Ning</t>
        </is>
      </c>
      <c r="D370">
        <f>HYPERLINK("https://ota.tournamentsoftware.com/player-profile/15BEDAE4-AB73-4AE9-B466-BA81BCA77DB1", "Link")</f>
        <v/>
      </c>
      <c r="E370" s="3" t="n">
        <v>170.72</v>
      </c>
      <c r="F370" s="4" t="n">
        <v>20</v>
      </c>
      <c r="G370" t="inlineStr">
        <is>
          <t>Ontario Tennis Association</t>
        </is>
      </c>
      <c r="H370" t="inlineStr">
        <is>
          <t>Toronto Tennis Academy</t>
        </is>
      </c>
      <c r="I370" t="inlineStr">
        <is>
          <t>unavailable</t>
        </is>
      </c>
      <c r="J370" s="4" t="n">
        <v>149</v>
      </c>
      <c r="K370" t="inlineStr">
        <is>
          <t>80 / 69</t>
        </is>
      </c>
      <c r="L370" t="inlineStr">
        <is>
          <t>21 / 14</t>
        </is>
      </c>
      <c r="M370" s="5" t="n">
        <v>0.54</v>
      </c>
      <c r="N370" s="5" t="n">
        <v>0.6</v>
      </c>
    </row>
    <row r="371">
      <c r="A371" t="n">
        <v>370</v>
      </c>
      <c r="B371" t="n">
        <v>2015</v>
      </c>
      <c r="C371" t="inlineStr">
        <is>
          <t>Adelaide Mossop</t>
        </is>
      </c>
      <c r="D371">
        <f>HYPERLINK("https://ota.tournamentsoftware.com/player-profile/0BA4F4DB-3133-41DE-9EE3-39EB4A609399", "Link")</f>
        <v/>
      </c>
      <c r="E371" s="3" t="n">
        <v>170.614</v>
      </c>
      <c r="F371" s="4" t="n">
        <v>12</v>
      </c>
      <c r="G371" t="inlineStr">
        <is>
          <t>Tennis Nova Scotia</t>
        </is>
      </c>
      <c r="H371" t="inlineStr">
        <is>
          <t>Atlantic Tennis Centre</t>
        </is>
      </c>
      <c r="I371" t="n">
        <v>36.2</v>
      </c>
      <c r="J371" s="4" t="n">
        <v>164</v>
      </c>
      <c r="K371" t="inlineStr">
        <is>
          <t>66 / 98</t>
        </is>
      </c>
      <c r="L371" t="inlineStr">
        <is>
          <t>15 / 25</t>
        </is>
      </c>
      <c r="M371" s="5" t="n">
        <v>0.4</v>
      </c>
      <c r="N371" s="5" t="n">
        <v>0.38</v>
      </c>
    </row>
    <row r="372">
      <c r="A372" t="n">
        <v>371</v>
      </c>
      <c r="B372" t="n">
        <v>2016</v>
      </c>
      <c r="C372" t="inlineStr">
        <is>
          <t>Amaranna Ugwunze</t>
        </is>
      </c>
      <c r="D372">
        <f>HYPERLINK("https://ota.tournamentsoftware.com/player-profile/2C6CBEBE-C5D2-4EC5-B283-CB703335834E", "Link")</f>
        <v/>
      </c>
      <c r="E372" s="3" t="n">
        <v>170.064</v>
      </c>
      <c r="F372" s="4" t="n">
        <v>18</v>
      </c>
      <c r="G372" t="inlineStr">
        <is>
          <t>Ontario Tennis Association</t>
        </is>
      </c>
      <c r="H372" t="inlineStr">
        <is>
          <t>Ontario Racquet Club</t>
        </is>
      </c>
      <c r="I372" t="n">
        <v>33.5</v>
      </c>
      <c r="J372" s="4" t="n">
        <v>92</v>
      </c>
      <c r="K372" t="inlineStr">
        <is>
          <t>49 / 43</t>
        </is>
      </c>
      <c r="L372" t="inlineStr">
        <is>
          <t>25 / 15</t>
        </is>
      </c>
      <c r="M372" s="5" t="n">
        <v>0.53</v>
      </c>
      <c r="N372" s="5" t="n">
        <v>0.62</v>
      </c>
    </row>
    <row r="373">
      <c r="A373" t="n">
        <v>372</v>
      </c>
      <c r="B373" t="n">
        <v>2013</v>
      </c>
      <c r="C373" t="inlineStr">
        <is>
          <t>Renée Jugalbot</t>
        </is>
      </c>
      <c r="D373">
        <f>HYPERLINK("https://ota.tournamentsoftware.com/player-profile/A487A79B-AB42-4314-BD75-6EFD99F64BC7", "Link")</f>
        <v/>
      </c>
      <c r="E373" s="3" t="n">
        <v>169.56</v>
      </c>
      <c r="F373" s="4" t="n">
        <v>26</v>
      </c>
      <c r="G373" t="inlineStr">
        <is>
          <t>Ontario Tennis Association</t>
        </is>
      </c>
      <c r="H373" t="inlineStr">
        <is>
          <t>Rosedale Tennis Club (Hamilton)</t>
        </is>
      </c>
      <c r="I373" t="n">
        <v>36</v>
      </c>
      <c r="J373" s="4" t="n">
        <v>89</v>
      </c>
      <c r="K373" t="inlineStr">
        <is>
          <t>36 / 53</t>
        </is>
      </c>
      <c r="L373" t="inlineStr">
        <is>
          <t>18 / 26</t>
        </is>
      </c>
      <c r="M373" s="5" t="n">
        <v>0.4</v>
      </c>
      <c r="N373" s="5" t="n">
        <v>0.41</v>
      </c>
    </row>
    <row r="374">
      <c r="A374" t="n">
        <v>373</v>
      </c>
      <c r="B374" t="n">
        <v>2015</v>
      </c>
      <c r="C374" t="inlineStr">
        <is>
          <t>Allison Penev</t>
        </is>
      </c>
      <c r="D374">
        <f>HYPERLINK("https://ota.tournamentsoftware.com/player-profile/C34C7D86-0233-454A-9C07-62AD41AF32CE", "Link")</f>
        <v/>
      </c>
      <c r="E374" s="3" t="n">
        <v>169.413</v>
      </c>
      <c r="F374" s="4" t="n">
        <v>20</v>
      </c>
      <c r="G374" t="inlineStr">
        <is>
          <t>Tennis Québec</t>
        </is>
      </c>
      <c r="H374" t="inlineStr">
        <is>
          <t>Carrefour Multisports</t>
        </is>
      </c>
      <c r="I374" t="n">
        <v>35.8</v>
      </c>
      <c r="J374" s="4" t="n">
        <v>152</v>
      </c>
      <c r="K374" t="inlineStr">
        <is>
          <t>65 / 87</t>
        </is>
      </c>
      <c r="L374" t="inlineStr">
        <is>
          <t>7 / 17</t>
        </is>
      </c>
      <c r="M374" s="5" t="n">
        <v>0.43</v>
      </c>
      <c r="N374" s="5" t="n">
        <v>0.29</v>
      </c>
    </row>
    <row r="375">
      <c r="A375" t="n">
        <v>374</v>
      </c>
      <c r="B375" t="n">
        <v>2015</v>
      </c>
      <c r="C375" t="inlineStr">
        <is>
          <t>Nora Firoozi</t>
        </is>
      </c>
      <c r="D375">
        <f>HYPERLINK("https://ota.tournamentsoftware.com/player-profile/328F4CA8-B72D-4F94-9BB6-3F666B5E0706", "Link")</f>
        <v/>
      </c>
      <c r="E375" s="3" t="n">
        <v>167.643</v>
      </c>
      <c r="F375" s="4" t="n">
        <v>18</v>
      </c>
      <c r="G375" t="inlineStr">
        <is>
          <t>British Columbia</t>
        </is>
      </c>
      <c r="H375" t="inlineStr">
        <is>
          <t>North Vancouver Tennis Centre</t>
        </is>
      </c>
      <c r="I375" t="n">
        <v>33.5</v>
      </c>
      <c r="J375" s="4" t="n">
        <v>165</v>
      </c>
      <c r="K375" t="inlineStr">
        <is>
          <t>81 / 84</t>
        </is>
      </c>
      <c r="L375" t="inlineStr">
        <is>
          <t>15 / 18</t>
        </is>
      </c>
      <c r="M375" s="5" t="n">
        <v>0.49</v>
      </c>
      <c r="N375" s="5" t="n">
        <v>0.45</v>
      </c>
    </row>
    <row r="376">
      <c r="A376" t="n">
        <v>375</v>
      </c>
      <c r="B376" t="n">
        <v>2014</v>
      </c>
      <c r="C376" t="inlineStr">
        <is>
          <t>Hunter Anne Wilkinson</t>
        </is>
      </c>
      <c r="D376">
        <f>HYPERLINK("https://ota.tournamentsoftware.com/player-profile/EB893DF0-DCAD-49C8-BAB9-0D044090A656", "Link")</f>
        <v/>
      </c>
      <c r="E376" s="3" t="n">
        <v>167.587</v>
      </c>
      <c r="F376" s="4" t="n">
        <v>19</v>
      </c>
      <c r="G376" t="inlineStr">
        <is>
          <t>Ontario Tennis Association</t>
        </is>
      </c>
      <c r="H376" t="inlineStr">
        <is>
          <t>GSM Tennis Club</t>
        </is>
      </c>
      <c r="I376" t="n">
        <v>34</v>
      </c>
      <c r="J376" s="4" t="n">
        <v>186</v>
      </c>
      <c r="K376" t="inlineStr">
        <is>
          <t>89 / 97</t>
        </is>
      </c>
      <c r="L376" t="inlineStr">
        <is>
          <t>12 / 14</t>
        </is>
      </c>
      <c r="M376" s="5" t="n">
        <v>0.48</v>
      </c>
      <c r="N376" s="5" t="n">
        <v>0.46</v>
      </c>
    </row>
    <row r="377">
      <c r="A377" t="n">
        <v>376</v>
      </c>
      <c r="B377" t="n">
        <v>2014</v>
      </c>
      <c r="C377" t="inlineStr">
        <is>
          <t>Sahana Bath</t>
        </is>
      </c>
      <c r="D377">
        <f>HYPERLINK("https://ota.tournamentsoftware.com/player-profile/25E19F82-227F-4B69-8295-16AA8F4F207F", "Link")</f>
        <v/>
      </c>
      <c r="E377" s="3" t="n">
        <v>166.44</v>
      </c>
      <c r="F377" s="4" t="n">
        <v>23</v>
      </c>
      <c r="G377" t="inlineStr">
        <is>
          <t>British Columbia</t>
        </is>
      </c>
      <c r="H377" t="inlineStr">
        <is>
          <t>The Tennis Centre</t>
        </is>
      </c>
      <c r="I377" t="n">
        <v>31.9</v>
      </c>
      <c r="J377" s="4" t="n">
        <v>176</v>
      </c>
      <c r="K377" t="inlineStr">
        <is>
          <t>101 / 75</t>
        </is>
      </c>
      <c r="L377" t="inlineStr">
        <is>
          <t>46 / 22</t>
        </is>
      </c>
      <c r="M377" s="5" t="n">
        <v>0.57</v>
      </c>
      <c r="N377" s="5" t="n">
        <v>0.68</v>
      </c>
    </row>
    <row r="378">
      <c r="A378" t="n">
        <v>377</v>
      </c>
      <c r="B378" t="n">
        <v>2012</v>
      </c>
      <c r="C378" t="inlineStr">
        <is>
          <t>Naomi Lucy McCrank</t>
        </is>
      </c>
      <c r="D378">
        <f>HYPERLINK("https://ota.tournamentsoftware.com/player-profile/68E80EA0-3999-4449-8E0B-83CC30E1EF77", "Link")</f>
        <v/>
      </c>
      <c r="E378" s="3" t="n">
        <v>166.417</v>
      </c>
      <c r="F378" s="4" t="n">
        <v>15</v>
      </c>
      <c r="G378" t="inlineStr">
        <is>
          <t>Tennis Alberta</t>
        </is>
      </c>
      <c r="H378" t="inlineStr">
        <is>
          <t>Aforza</t>
        </is>
      </c>
      <c r="I378" t="n">
        <v>33.5</v>
      </c>
      <c r="J378" s="4" t="n">
        <v>80</v>
      </c>
      <c r="K378" t="inlineStr">
        <is>
          <t>24 / 56</t>
        </is>
      </c>
      <c r="L378" t="inlineStr">
        <is>
          <t>8 / 11</t>
        </is>
      </c>
      <c r="M378" s="5" t="n">
        <v>0.3</v>
      </c>
      <c r="N378" s="5" t="n">
        <v>0.42</v>
      </c>
    </row>
    <row r="379">
      <c r="A379" t="n">
        <v>378</v>
      </c>
      <c r="B379" t="n">
        <v>2014</v>
      </c>
      <c r="C379" t="inlineStr">
        <is>
          <t>Grace Li</t>
        </is>
      </c>
      <c r="D379">
        <f>HYPERLINK("https://ota.tournamentsoftware.com/player-profile/5B95D38D-7E3D-4B41-B418-6B2307ED0863", "Link")</f>
        <v/>
      </c>
      <c r="E379" s="3" t="n">
        <v>166.105</v>
      </c>
      <c r="F379" s="4" t="n">
        <v>19</v>
      </c>
      <c r="G379" t="inlineStr">
        <is>
          <t>Tennis Québec</t>
        </is>
      </c>
      <c r="H379" t="inlineStr">
        <is>
          <t>Tennis 13</t>
        </is>
      </c>
      <c r="I379" t="n">
        <v>35</v>
      </c>
      <c r="J379" s="4" t="n">
        <v>166</v>
      </c>
      <c r="K379" t="inlineStr">
        <is>
          <t>71 / 95</t>
        </is>
      </c>
      <c r="L379" t="inlineStr">
        <is>
          <t>7 / 14</t>
        </is>
      </c>
      <c r="M379" s="5" t="n">
        <v>0.43</v>
      </c>
      <c r="N379" s="5" t="n">
        <v>0.33</v>
      </c>
    </row>
    <row r="380">
      <c r="A380" t="n">
        <v>379</v>
      </c>
      <c r="B380" t="n">
        <v>2013</v>
      </c>
      <c r="C380" t="inlineStr">
        <is>
          <t>Adriana Juliana Tambini</t>
        </is>
      </c>
      <c r="D380">
        <f>HYPERLINK("https://ota.tournamentsoftware.com/player-profile/7D7985A7-C189-4AE6-9641-F7EA5AE89364", "Link")</f>
        <v/>
      </c>
      <c r="E380" s="3" t="n">
        <v>165.937</v>
      </c>
      <c r="F380" s="4" t="n">
        <v>7</v>
      </c>
      <c r="G380" t="inlineStr">
        <is>
          <t>Ontario Tennis Association</t>
        </is>
      </c>
      <c r="H380" t="inlineStr">
        <is>
          <t>Headwaters Racquet Club</t>
        </is>
      </c>
      <c r="I380" t="n">
        <v>38.5</v>
      </c>
      <c r="J380" s="4" t="n">
        <v>23</v>
      </c>
      <c r="K380" t="inlineStr">
        <is>
          <t>12 / 11</t>
        </is>
      </c>
      <c r="L380" t="inlineStr">
        <is>
          <t>7 / 10</t>
        </is>
      </c>
      <c r="M380" s="5" t="n">
        <v>0.52</v>
      </c>
      <c r="N380" s="5" t="n">
        <v>0.41</v>
      </c>
    </row>
    <row r="381">
      <c r="A381" t="n">
        <v>380</v>
      </c>
      <c r="B381" t="n">
        <v>2013</v>
      </c>
      <c r="C381" t="inlineStr">
        <is>
          <t>Eva Eile</t>
        </is>
      </c>
      <c r="D381">
        <f>HYPERLINK("https://ota.tournamentsoftware.com/player-profile/EE5E7036-3979-48DF-A095-8C40584653EF", "Link")</f>
        <v/>
      </c>
      <c r="E381" s="3" t="n">
        <v>164.212</v>
      </c>
      <c r="F381" s="4" t="n">
        <v>15</v>
      </c>
      <c r="G381" t="inlineStr">
        <is>
          <t>Tennis Québec</t>
        </is>
      </c>
      <c r="H381" t="inlineStr">
        <is>
          <t>Midtown Le Sporting Club Sanctuaire</t>
        </is>
      </c>
      <c r="I381" t="n">
        <v>39.2</v>
      </c>
      <c r="J381" s="4" t="n">
        <v>26</v>
      </c>
      <c r="K381" t="inlineStr">
        <is>
          <t>3 / 23</t>
        </is>
      </c>
      <c r="L381" t="inlineStr">
        <is>
          <t>0 / 12</t>
        </is>
      </c>
      <c r="M381" s="5" t="n">
        <v>0.12</v>
      </c>
      <c r="N381" s="5" t="n">
        <v>0</v>
      </c>
    </row>
    <row r="382">
      <c r="A382" t="n">
        <v>381</v>
      </c>
      <c r="B382" t="n">
        <v>2013</v>
      </c>
      <c r="C382" t="inlineStr">
        <is>
          <t>Nisa Karim</t>
        </is>
      </c>
      <c r="D382">
        <f>HYPERLINK("https://ota.tournamentsoftware.com/player-profile/11CB5752-5D45-47AB-82AD-AC3D554873E5", "Link")</f>
        <v/>
      </c>
      <c r="E382" s="3" t="n">
        <v>163.167</v>
      </c>
      <c r="F382" s="4" t="n">
        <v>17</v>
      </c>
      <c r="G382" t="inlineStr">
        <is>
          <t>British Columbia</t>
        </is>
      </c>
      <c r="H382" t="inlineStr">
        <is>
          <t>Arbutus Club</t>
        </is>
      </c>
      <c r="I382" t="n">
        <v>34.7</v>
      </c>
      <c r="J382" s="4" t="n">
        <v>97</v>
      </c>
      <c r="K382" t="inlineStr">
        <is>
          <t>51 / 46</t>
        </is>
      </c>
      <c r="L382" t="inlineStr">
        <is>
          <t>17 / 20</t>
        </is>
      </c>
      <c r="M382" s="5" t="n">
        <v>0.53</v>
      </c>
      <c r="N382" s="5" t="n">
        <v>0.46</v>
      </c>
    </row>
    <row r="383">
      <c r="A383" t="n">
        <v>382</v>
      </c>
      <c r="B383" t="n">
        <v>2012</v>
      </c>
      <c r="C383" t="inlineStr">
        <is>
          <t>Sophia Zhang</t>
        </is>
      </c>
      <c r="D383">
        <f>HYPERLINK("https://ota.tournamentsoftware.com/player-profile/2BBD611B-69D1-4A97-AAC3-1D897498B21A", "Link")</f>
        <v/>
      </c>
      <c r="E383" s="3" t="n">
        <v>160.591</v>
      </c>
      <c r="F383" s="4" t="n">
        <v>12</v>
      </c>
      <c r="G383" t="inlineStr">
        <is>
          <t>Ontario Tennis Association</t>
        </is>
      </c>
      <c r="H383" t="inlineStr">
        <is>
          <t>Burlington Tennis Club</t>
        </is>
      </c>
      <c r="I383" t="inlineStr">
        <is>
          <t>unavailable</t>
        </is>
      </c>
      <c r="J383" s="4" t="n">
        <v>40</v>
      </c>
      <c r="K383" t="inlineStr">
        <is>
          <t>18 / 22</t>
        </is>
      </c>
      <c r="L383" t="inlineStr">
        <is>
          <t>12 / 11</t>
        </is>
      </c>
      <c r="M383" s="5" t="n">
        <v>0.45</v>
      </c>
      <c r="N383" s="5" t="n">
        <v>0.52</v>
      </c>
    </row>
    <row r="384">
      <c r="A384" t="n">
        <v>383</v>
      </c>
      <c r="B384" t="n">
        <v>2014</v>
      </c>
      <c r="C384" t="inlineStr">
        <is>
          <t>Eve Martel</t>
        </is>
      </c>
      <c r="D384">
        <f>HYPERLINK("https://ota.tournamentsoftware.com/player-profile/590DE091-4FC9-494D-A8AC-45DB223E71D8", "Link")</f>
        <v/>
      </c>
      <c r="E384" s="3" t="n">
        <v>160.307</v>
      </c>
      <c r="F384" s="4" t="n">
        <v>21</v>
      </c>
      <c r="G384" t="inlineStr">
        <is>
          <t>Tennis Québec</t>
        </is>
      </c>
      <c r="H384" t="inlineStr">
        <is>
          <t>Club Avantage Multi-sports / Académie de tennis Hérisset Bordeleau</t>
        </is>
      </c>
      <c r="I384" t="inlineStr">
        <is>
          <t>unavailable</t>
        </is>
      </c>
      <c r="J384" s="4" t="n">
        <v>130</v>
      </c>
      <c r="K384" t="inlineStr">
        <is>
          <t>41 / 89</t>
        </is>
      </c>
      <c r="L384" t="inlineStr">
        <is>
          <t>12 / 17</t>
        </is>
      </c>
      <c r="M384" s="5" t="n">
        <v>0.32</v>
      </c>
      <c r="N384" s="5" t="n">
        <v>0.41</v>
      </c>
    </row>
    <row r="385">
      <c r="A385" t="n">
        <v>384</v>
      </c>
      <c r="B385" t="n">
        <v>2013</v>
      </c>
      <c r="C385" t="inlineStr">
        <is>
          <t>Diya Vasudeva</t>
        </is>
      </c>
      <c r="D385">
        <f>HYPERLINK("https://ota.tournamentsoftware.com/player-profile/81C22EEF-F10A-4447-AF45-2B9B6D1A7F5B", "Link")</f>
        <v/>
      </c>
      <c r="E385" s="3" t="n">
        <v>159.16</v>
      </c>
      <c r="F385" s="4" t="n">
        <v>9</v>
      </c>
      <c r="G385" t="inlineStr">
        <is>
          <t>Ontario Tennis Association</t>
        </is>
      </c>
      <c r="H385" t="inlineStr">
        <is>
          <t>ACE Tennis - Burlington</t>
        </is>
      </c>
      <c r="I385" t="n">
        <v>36.4</v>
      </c>
      <c r="J385" s="4" t="n">
        <v>99</v>
      </c>
      <c r="K385" t="inlineStr">
        <is>
          <t>34 / 65</t>
        </is>
      </c>
      <c r="L385" t="inlineStr">
        <is>
          <t>5 / 10</t>
        </is>
      </c>
      <c r="M385" s="5" t="n">
        <v>0.34</v>
      </c>
      <c r="N385" s="5" t="n">
        <v>0.33</v>
      </c>
    </row>
    <row r="386">
      <c r="A386" t="n">
        <v>385</v>
      </c>
      <c r="B386" t="n">
        <v>2017</v>
      </c>
      <c r="C386" t="inlineStr">
        <is>
          <t>Yuetwing, Doris Li</t>
        </is>
      </c>
      <c r="D386">
        <f>HYPERLINK("https://ota.tournamentsoftware.com/player-profile/C901A65F-E3DE-47DE-A4BC-21149FEBA20C", "Link")</f>
        <v/>
      </c>
      <c r="E386" s="3" t="n">
        <v>157.026</v>
      </c>
      <c r="F386" s="4" t="n">
        <v>4</v>
      </c>
      <c r="G386" t="inlineStr">
        <is>
          <t>Ontario Tennis Association</t>
        </is>
      </c>
      <c r="H386" t="inlineStr">
        <is>
          <t>No Club</t>
        </is>
      </c>
      <c r="I386" t="n">
        <v>32.7</v>
      </c>
      <c r="J386" s="4" t="n">
        <v>16</v>
      </c>
      <c r="K386" t="inlineStr">
        <is>
          <t>14 / 2</t>
        </is>
      </c>
      <c r="L386" t="inlineStr">
        <is>
          <t>10 / 2</t>
        </is>
      </c>
      <c r="M386" s="5" t="n">
        <v>0.88</v>
      </c>
      <c r="N386" s="5" t="n">
        <v>0.83</v>
      </c>
    </row>
    <row r="387">
      <c r="A387" t="n">
        <v>386</v>
      </c>
      <c r="B387" t="n">
        <v>2017</v>
      </c>
      <c r="C387" t="inlineStr">
        <is>
          <t>Ella Nicolaeva</t>
        </is>
      </c>
      <c r="D387">
        <f>HYPERLINK("https://ota.tournamentsoftware.com/player-profile/7A11DAF6-4353-49AB-8591-07AB86D11272", "Link")</f>
        <v/>
      </c>
      <c r="E387" s="3" t="n">
        <v>154.858</v>
      </c>
      <c r="F387" s="4" t="n">
        <v>39</v>
      </c>
      <c r="G387" t="inlineStr">
        <is>
          <t>Ontario Tennis Association</t>
        </is>
      </c>
      <c r="H387" t="inlineStr">
        <is>
          <t>Valan Tennis Academy</t>
        </is>
      </c>
      <c r="I387" t="n">
        <v>33.4</v>
      </c>
      <c r="J387" s="4" t="n">
        <v>189</v>
      </c>
      <c r="K387" t="inlineStr">
        <is>
          <t>132 / 57</t>
        </is>
      </c>
      <c r="L387" t="inlineStr">
        <is>
          <t>43 / 27</t>
        </is>
      </c>
      <c r="M387" s="5" t="n">
        <v>0.7</v>
      </c>
      <c r="N387" s="5" t="n">
        <v>0.61</v>
      </c>
    </row>
    <row r="388">
      <c r="A388" t="n">
        <v>387</v>
      </c>
      <c r="B388" t="n">
        <v>2013</v>
      </c>
      <c r="C388" t="inlineStr">
        <is>
          <t>Gabrielle Pompa</t>
        </is>
      </c>
      <c r="D388">
        <f>HYPERLINK("https://ota.tournamentsoftware.com/player-profile/668A29C0-962F-4DAD-B317-933787C09DCF", "Link")</f>
        <v/>
      </c>
      <c r="E388" s="3" t="n">
        <v>153.753</v>
      </c>
      <c r="F388" s="4" t="n">
        <v>7</v>
      </c>
      <c r="G388" t="inlineStr">
        <is>
          <t>Tennis Alberta</t>
        </is>
      </c>
      <c r="H388" t="inlineStr">
        <is>
          <t>Osten &amp; Victor Alberta Tennis Centre</t>
        </is>
      </c>
      <c r="I388" t="n">
        <v>29.1</v>
      </c>
      <c r="J388" s="4" t="n">
        <v>162</v>
      </c>
      <c r="K388" t="inlineStr">
        <is>
          <t>111 / 51</t>
        </is>
      </c>
      <c r="L388" t="inlineStr">
        <is>
          <t>6 / 4</t>
        </is>
      </c>
      <c r="M388" s="5" t="n">
        <v>0.6899999999999999</v>
      </c>
      <c r="N388" s="5" t="n">
        <v>0.6</v>
      </c>
    </row>
    <row r="389">
      <c r="A389" t="n">
        <v>388</v>
      </c>
      <c r="B389" t="n">
        <v>2017</v>
      </c>
      <c r="C389" t="inlineStr">
        <is>
          <t>Nalayah Smith</t>
        </is>
      </c>
      <c r="D389">
        <f>HYPERLINK("https://ota.tournamentsoftware.com/player-profile/6F913BA8-58BB-4BEE-9CA1-8E064E1332B8", "Link")</f>
        <v/>
      </c>
      <c r="E389" s="3" t="n">
        <v>153.154</v>
      </c>
      <c r="F389" s="4" t="n">
        <v>20</v>
      </c>
      <c r="G389" t="inlineStr">
        <is>
          <t>Ontario Tennis Association</t>
        </is>
      </c>
      <c r="H389" t="inlineStr">
        <is>
          <t>SmartVMC Racquetsports by ACE</t>
        </is>
      </c>
      <c r="I389" t="n">
        <v>33.2</v>
      </c>
      <c r="J389" s="4" t="n">
        <v>135</v>
      </c>
      <c r="K389" t="inlineStr">
        <is>
          <t>87 / 48</t>
        </is>
      </c>
      <c r="L389" t="inlineStr">
        <is>
          <t>32 / 15</t>
        </is>
      </c>
      <c r="M389" s="5" t="n">
        <v>0.64</v>
      </c>
      <c r="N389" s="5" t="n">
        <v>0.68</v>
      </c>
    </row>
    <row r="390">
      <c r="A390" t="n">
        <v>389</v>
      </c>
      <c r="B390" t="n">
        <v>2014</v>
      </c>
      <c r="C390" t="inlineStr">
        <is>
          <t>Rain Yu Chan</t>
        </is>
      </c>
      <c r="D390">
        <f>HYPERLINK("https://ota.tournamentsoftware.com/player-profile/BF26AD2D-BAAC-4E82-A862-14039C1584F2", "Link")</f>
        <v/>
      </c>
      <c r="E390" s="3" t="n">
        <v>152.222</v>
      </c>
      <c r="F390" s="4" t="n">
        <v>33</v>
      </c>
      <c r="G390" t="inlineStr">
        <is>
          <t>British Columbia</t>
        </is>
      </c>
      <c r="H390" t="inlineStr">
        <is>
          <t>Burnaby Tennis Club</t>
        </is>
      </c>
      <c r="I390" t="inlineStr">
        <is>
          <t>unavailable</t>
        </is>
      </c>
      <c r="J390" s="4" t="n">
        <v>206</v>
      </c>
      <c r="K390" t="inlineStr">
        <is>
          <t>97 / 109</t>
        </is>
      </c>
      <c r="L390" t="inlineStr">
        <is>
          <t>31 / 32</t>
        </is>
      </c>
      <c r="M390" s="5" t="n">
        <v>0.47</v>
      </c>
      <c r="N390" s="5" t="n">
        <v>0.49</v>
      </c>
    </row>
    <row r="391">
      <c r="A391" t="n">
        <v>390</v>
      </c>
      <c r="B391" t="n">
        <v>2014</v>
      </c>
      <c r="C391" t="inlineStr">
        <is>
          <t>Andrea Robles Sgambatti</t>
        </is>
      </c>
      <c r="D391">
        <f>HYPERLINK("https://ota.tournamentsoftware.com/player-profile/842B5763-8026-4DFF-BD28-4FA110C3A345", "Link")</f>
        <v/>
      </c>
      <c r="E391" s="3" t="n">
        <v>152.162</v>
      </c>
      <c r="F391" s="4" t="n">
        <v>17</v>
      </c>
      <c r="G391" t="inlineStr">
        <is>
          <t>Tennis Alberta</t>
        </is>
      </c>
      <c r="H391" t="inlineStr">
        <is>
          <t>Osten &amp; Victor Alberta Tennis Centre</t>
        </is>
      </c>
      <c r="I391" t="n">
        <v>34.3</v>
      </c>
      <c r="J391" s="4" t="n">
        <v>150</v>
      </c>
      <c r="K391" t="inlineStr">
        <is>
          <t>62 / 88</t>
        </is>
      </c>
      <c r="L391" t="inlineStr">
        <is>
          <t>13 / 20</t>
        </is>
      </c>
      <c r="M391" s="5" t="n">
        <v>0.41</v>
      </c>
      <c r="N391" s="5" t="n">
        <v>0.39</v>
      </c>
    </row>
    <row r="392">
      <c r="A392" t="n">
        <v>391</v>
      </c>
      <c r="B392" t="n">
        <v>2013</v>
      </c>
      <c r="C392" t="inlineStr">
        <is>
          <t>Jaheema Jajah Joseph</t>
        </is>
      </c>
      <c r="D392">
        <f>HYPERLINK("https://ota.tournamentsoftware.com/player-profile/2C08ABD4-0853-4E02-96D6-4CBDA8251E2A", "Link")</f>
        <v/>
      </c>
      <c r="E392" s="3" t="n">
        <v>149.601</v>
      </c>
      <c r="F392" s="4" t="n">
        <v>15</v>
      </c>
      <c r="G392" t="inlineStr">
        <is>
          <t>Tennis Québec</t>
        </is>
      </c>
      <c r="H392" t="inlineStr">
        <is>
          <t>Tennis Montréal</t>
        </is>
      </c>
      <c r="I392" t="n">
        <v>36.9</v>
      </c>
      <c r="J392" s="4" t="n">
        <v>93</v>
      </c>
      <c r="K392" t="inlineStr">
        <is>
          <t>38 / 55</t>
        </is>
      </c>
      <c r="L392" t="inlineStr">
        <is>
          <t>6 / 15</t>
        </is>
      </c>
      <c r="M392" s="5" t="n">
        <v>0.41</v>
      </c>
      <c r="N392" s="5" t="n">
        <v>0.29</v>
      </c>
    </row>
    <row r="393">
      <c r="A393" t="n">
        <v>392</v>
      </c>
      <c r="B393" t="n">
        <v>2013</v>
      </c>
      <c r="C393" t="inlineStr">
        <is>
          <t>Aarushi Pal</t>
        </is>
      </c>
      <c r="D393">
        <f>HYPERLINK("https://ota.tournamentsoftware.com/player-profile/F5E1E459-0A97-4C1F-8F37-D8CEF64DA1FA", "Link")</f>
        <v/>
      </c>
      <c r="E393" s="3" t="n">
        <v>149.571</v>
      </c>
      <c r="F393" s="4" t="n">
        <v>14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33.9</v>
      </c>
      <c r="J393" s="4" t="n">
        <v>165</v>
      </c>
      <c r="K393" t="inlineStr">
        <is>
          <t>81 / 84</t>
        </is>
      </c>
      <c r="L393" t="inlineStr">
        <is>
          <t>5 / 12</t>
        </is>
      </c>
      <c r="M393" s="5" t="n">
        <v>0.49</v>
      </c>
      <c r="N393" s="5" t="n">
        <v>0.29</v>
      </c>
    </row>
    <row r="394">
      <c r="A394" t="n">
        <v>393</v>
      </c>
      <c r="B394" t="n">
        <v>2015</v>
      </c>
      <c r="C394" t="inlineStr">
        <is>
          <t>Emma Lucenti</t>
        </is>
      </c>
      <c r="D394">
        <f>HYPERLINK("https://ota.tournamentsoftware.com/player-profile/F174A813-5F1A-4B24-BDFF-B6E6160FE2EB", "Link")</f>
        <v/>
      </c>
      <c r="E394" s="3" t="n">
        <v>148.828</v>
      </c>
      <c r="F394" s="4" t="n">
        <v>12</v>
      </c>
      <c r="G394" t="inlineStr">
        <is>
          <t>Ontario Tennis Association</t>
        </is>
      </c>
      <c r="H394" t="inlineStr">
        <is>
          <t>SmartVMC Racquetsports by ACE</t>
        </is>
      </c>
      <c r="I394" t="n">
        <v>35.5</v>
      </c>
      <c r="J394" s="4" t="n">
        <v>85</v>
      </c>
      <c r="K394" t="inlineStr">
        <is>
          <t>30 / 55</t>
        </is>
      </c>
      <c r="L394" t="inlineStr">
        <is>
          <t>9 / 13</t>
        </is>
      </c>
      <c r="M394" s="5" t="n">
        <v>0.35</v>
      </c>
      <c r="N394" s="5" t="n">
        <v>0.41</v>
      </c>
    </row>
    <row r="395">
      <c r="A395" t="n">
        <v>394</v>
      </c>
      <c r="B395" t="n">
        <v>2015</v>
      </c>
      <c r="C395" t="inlineStr">
        <is>
          <t>Stefaniia Grimailo</t>
        </is>
      </c>
      <c r="D395">
        <f>HYPERLINK("https://ota.tournamentsoftware.com/player-profile/63AAF188-F773-4BFA-B6C2-97B1DFB9AF3A", "Link")</f>
        <v/>
      </c>
      <c r="E395" s="3" t="n">
        <v>147.389</v>
      </c>
      <c r="F395" s="4" t="n">
        <v>9</v>
      </c>
      <c r="G395" t="inlineStr">
        <is>
          <t>Tennis Manitoba</t>
        </is>
      </c>
      <c r="H395" t="inlineStr">
        <is>
          <t>Winnipeg Winter Club</t>
        </is>
      </c>
      <c r="I395" t="n">
        <v>38.6</v>
      </c>
      <c r="J395" s="4" t="n">
        <v>64</v>
      </c>
      <c r="K395" t="inlineStr">
        <is>
          <t>9 / 55</t>
        </is>
      </c>
      <c r="L395" t="inlineStr">
        <is>
          <t>2 / 25</t>
        </is>
      </c>
      <c r="M395" s="5" t="n">
        <v>0.14</v>
      </c>
      <c r="N395" s="5" t="n">
        <v>0.07000000000000001</v>
      </c>
    </row>
    <row r="396">
      <c r="A396" t="n">
        <v>395</v>
      </c>
      <c r="B396" t="n">
        <v>2012</v>
      </c>
      <c r="C396" t="inlineStr">
        <is>
          <t>Gaëlle Jodoin</t>
        </is>
      </c>
      <c r="D396">
        <f>HYPERLINK("https://ota.tournamentsoftware.com/player-profile/A3792AFC-E32E-4258-8FA9-9240021C6401", "Link")</f>
        <v/>
      </c>
      <c r="E396" s="3" t="n">
        <v>147.089</v>
      </c>
      <c r="F396" s="4" t="n">
        <v>5</v>
      </c>
      <c r="G396" t="inlineStr">
        <is>
          <t>Tennis Québec</t>
        </is>
      </c>
      <c r="H396" t="inlineStr">
        <is>
          <t>Tennis 13</t>
        </is>
      </c>
      <c r="I396" t="n">
        <v>38.5</v>
      </c>
      <c r="J396" s="4" t="n">
        <v>87</v>
      </c>
      <c r="K396" t="inlineStr">
        <is>
          <t>14 / 73</t>
        </is>
      </c>
      <c r="L396" t="inlineStr">
        <is>
          <t>0 / 3</t>
        </is>
      </c>
      <c r="M396" s="5" t="n">
        <v>0.16</v>
      </c>
      <c r="N396" s="5" t="n">
        <v>0</v>
      </c>
    </row>
    <row r="397">
      <c r="A397" t="n">
        <v>396</v>
      </c>
      <c r="B397" t="n">
        <v>2012</v>
      </c>
      <c r="C397" t="inlineStr">
        <is>
          <t>Chloe Park</t>
        </is>
      </c>
      <c r="D397">
        <f>HYPERLINK("https://ota.tournamentsoftware.com/player-profile/FD8FB9A4-F5D9-4A90-AA66-D8E6FC3D3BC5", "Link")</f>
        <v/>
      </c>
      <c r="E397" s="3" t="n">
        <v>146.362</v>
      </c>
      <c r="F397" s="4" t="n">
        <v>4</v>
      </c>
      <c r="G397" t="inlineStr">
        <is>
          <t>Tennis Prince Edward Island</t>
        </is>
      </c>
      <c r="H397" t="inlineStr">
        <is>
          <t>No Club</t>
        </is>
      </c>
      <c r="I397" t="n">
        <v>34.5</v>
      </c>
      <c r="J397" s="4" t="n">
        <v>52</v>
      </c>
      <c r="K397" t="inlineStr">
        <is>
          <t>11 / 41</t>
        </is>
      </c>
      <c r="L397" t="inlineStr">
        <is>
          <t>6 / 10</t>
        </is>
      </c>
      <c r="M397" s="5" t="n">
        <v>0.21</v>
      </c>
      <c r="N397" s="5" t="n">
        <v>0.38</v>
      </c>
    </row>
    <row r="398">
      <c r="A398" t="n">
        <v>397</v>
      </c>
      <c r="B398" t="n">
        <v>2015</v>
      </c>
      <c r="C398" t="inlineStr">
        <is>
          <t>Elaina York</t>
        </is>
      </c>
      <c r="D398">
        <f>HYPERLINK("https://ota.tournamentsoftware.com/player-profile/7D4D2F10-C754-4560-B490-903FD1C70ADE", "Link")</f>
        <v/>
      </c>
      <c r="E398" s="3" t="n">
        <v>145.952</v>
      </c>
      <c r="F398" s="4" t="n">
        <v>16</v>
      </c>
      <c r="G398" t="inlineStr">
        <is>
          <t>Tennis Alberta</t>
        </is>
      </c>
      <c r="H398" t="inlineStr">
        <is>
          <t>Aforza</t>
        </is>
      </c>
      <c r="I398" t="n">
        <v>34.9</v>
      </c>
      <c r="J398" s="4" t="n">
        <v>149</v>
      </c>
      <c r="K398" t="inlineStr">
        <is>
          <t>61 / 88</t>
        </is>
      </c>
      <c r="L398" t="inlineStr">
        <is>
          <t>15 / 23</t>
        </is>
      </c>
      <c r="M398" s="5" t="n">
        <v>0.41</v>
      </c>
      <c r="N398" s="5" t="n">
        <v>0.39</v>
      </c>
    </row>
    <row r="399">
      <c r="A399" t="n">
        <v>398</v>
      </c>
      <c r="B399" t="n">
        <v>2014</v>
      </c>
      <c r="C399" t="inlineStr">
        <is>
          <t>Sofia Zhuchenko</t>
        </is>
      </c>
      <c r="D399">
        <f>HYPERLINK("https://ota.tournamentsoftware.com/player-profile/F633DD21-A0C3-4CAC-B560-7222D07936B7", "Link")</f>
        <v/>
      </c>
      <c r="E399" s="3" t="n">
        <v>145.261</v>
      </c>
      <c r="F399" s="4" t="n">
        <v>15</v>
      </c>
      <c r="G399" t="inlineStr">
        <is>
          <t>Tennis Alberta</t>
        </is>
      </c>
      <c r="H399" t="inlineStr">
        <is>
          <t>Osten &amp; Victor Alberta Tennis Centre</t>
        </is>
      </c>
      <c r="I399" t="n">
        <v>33.5</v>
      </c>
      <c r="J399" s="4" t="n">
        <v>111</v>
      </c>
      <c r="K399" t="inlineStr">
        <is>
          <t>43 / 68</t>
        </is>
      </c>
      <c r="L399" t="inlineStr">
        <is>
          <t>13 / 18</t>
        </is>
      </c>
      <c r="M399" s="5" t="n">
        <v>0.39</v>
      </c>
      <c r="N399" s="5" t="n">
        <v>0.42</v>
      </c>
    </row>
    <row r="400">
      <c r="A400" t="n">
        <v>399</v>
      </c>
      <c r="B400" t="n">
        <v>2014</v>
      </c>
      <c r="C400" t="inlineStr">
        <is>
          <t>Kira Wong</t>
        </is>
      </c>
      <c r="D400">
        <f>HYPERLINK("https://ota.tournamentsoftware.com/player-profile/E305B648-4548-45A0-B043-623E1473C7E5", "Link")</f>
        <v/>
      </c>
      <c r="E400" s="3" t="n">
        <v>144.621</v>
      </c>
      <c r="F400" s="4" t="n">
        <v>24</v>
      </c>
      <c r="G400" t="inlineStr">
        <is>
          <t>Tennis Alberta</t>
        </is>
      </c>
      <c r="H400" t="inlineStr">
        <is>
          <t>Aforza</t>
        </is>
      </c>
      <c r="I400" t="n">
        <v>35.2</v>
      </c>
      <c r="J400" s="4" t="n">
        <v>130</v>
      </c>
      <c r="K400" t="inlineStr">
        <is>
          <t>48 / 82</t>
        </is>
      </c>
      <c r="L400" t="inlineStr">
        <is>
          <t>24 / 28</t>
        </is>
      </c>
      <c r="M400" s="5" t="n">
        <v>0.37</v>
      </c>
      <c r="N400" s="5" t="n">
        <v>0.46</v>
      </c>
    </row>
    <row r="401">
      <c r="A401" t="n">
        <v>400</v>
      </c>
      <c r="B401" t="n">
        <v>2016</v>
      </c>
      <c r="C401" t="inlineStr">
        <is>
          <t>Milana Piazza</t>
        </is>
      </c>
      <c r="D401">
        <f>HYPERLINK("https://ota.tournamentsoftware.com/player-profile/4CDBB0C3-0D8B-4D7B-873C-3CEC65600FA0", "Link")</f>
        <v/>
      </c>
      <c r="E401" s="3" t="n">
        <v>144.058</v>
      </c>
      <c r="F401" s="4" t="n">
        <v>11</v>
      </c>
      <c r="G401" t="inlineStr">
        <is>
          <t>Tennis Québec</t>
        </is>
      </c>
      <c r="H401" t="inlineStr">
        <is>
          <t>Tennis 13</t>
        </is>
      </c>
      <c r="I401" t="n">
        <v>32.9</v>
      </c>
      <c r="J401" s="4" t="n">
        <v>92</v>
      </c>
      <c r="K401" t="inlineStr">
        <is>
          <t>56 / 36</t>
        </is>
      </c>
      <c r="L401" t="inlineStr">
        <is>
          <t>23 / 8</t>
        </is>
      </c>
      <c r="M401" s="5" t="n">
        <v>0.61</v>
      </c>
      <c r="N401" s="5" t="n">
        <v>0.74</v>
      </c>
    </row>
    <row r="402">
      <c r="A402" t="n">
        <v>401</v>
      </c>
      <c r="B402" t="n">
        <v>2015</v>
      </c>
      <c r="C402" t="inlineStr">
        <is>
          <t>Vera Toptounov</t>
        </is>
      </c>
      <c r="D402">
        <f>HYPERLINK("https://ota.tournamentsoftware.com/player-profile/6AC05446-ED22-406D-9460-F30F3FC8B16B", "Link")</f>
        <v/>
      </c>
      <c r="E402" s="3" t="n">
        <v>144.013</v>
      </c>
      <c r="F402" s="4" t="n">
        <v>20</v>
      </c>
      <c r="G402" t="inlineStr">
        <is>
          <t>Ontario Tennis Association</t>
        </is>
      </c>
      <c r="H402" t="inlineStr">
        <is>
          <t>SmartVMC Racquetsports by ACE</t>
        </is>
      </c>
      <c r="I402" t="n">
        <v>35.5</v>
      </c>
      <c r="J402" s="4" t="n">
        <v>106</v>
      </c>
      <c r="K402" t="inlineStr">
        <is>
          <t>46 / 60</t>
        </is>
      </c>
      <c r="L402" t="inlineStr">
        <is>
          <t>12 / 16</t>
        </is>
      </c>
      <c r="M402" s="5" t="n">
        <v>0.43</v>
      </c>
      <c r="N402" s="5" t="n">
        <v>0.43</v>
      </c>
    </row>
    <row r="403">
      <c r="A403" t="n">
        <v>402</v>
      </c>
      <c r="B403" t="n">
        <v>2014</v>
      </c>
      <c r="C403" t="inlineStr">
        <is>
          <t>Sarah Gottlieb</t>
        </is>
      </c>
      <c r="D403">
        <f>HYPERLINK("https://ota.tournamentsoftware.com/player-profile/BD51254A-E036-424C-B89A-FB47A73C0DC5", "Link")</f>
        <v/>
      </c>
      <c r="E403" s="3" t="n">
        <v>143.604</v>
      </c>
      <c r="F403" s="4" t="n">
        <v>5</v>
      </c>
      <c r="G403" t="inlineStr">
        <is>
          <t>Tennis Québec</t>
        </is>
      </c>
      <c r="H403" t="inlineStr">
        <is>
          <t>Tennis 13</t>
        </is>
      </c>
      <c r="I403" t="n">
        <v>33.6</v>
      </c>
      <c r="J403" s="4" t="n">
        <v>92</v>
      </c>
      <c r="K403" t="inlineStr">
        <is>
          <t>46 / 46</t>
        </is>
      </c>
      <c r="L403" t="inlineStr">
        <is>
          <t>1 / 2</t>
        </is>
      </c>
      <c r="M403" s="5" t="n">
        <v>0.5</v>
      </c>
      <c r="N403" s="5" t="n">
        <v>0.33</v>
      </c>
    </row>
    <row r="404">
      <c r="A404" t="n">
        <v>403</v>
      </c>
      <c r="B404" t="n">
        <v>2015</v>
      </c>
      <c r="C404" t="inlineStr">
        <is>
          <t>Theia Zhang</t>
        </is>
      </c>
      <c r="D404">
        <f>HYPERLINK("https://ota.tournamentsoftware.com/player-profile/8628DB3F-1A24-45E1-A1F1-727AFFD593DD", "Link")</f>
        <v/>
      </c>
      <c r="E404" s="3" t="n">
        <v>142.594</v>
      </c>
      <c r="F404" s="4" t="n">
        <v>11</v>
      </c>
      <c r="G404" t="inlineStr">
        <is>
          <t>Ontario Tennis Association</t>
        </is>
      </c>
      <c r="H404" t="inlineStr">
        <is>
          <t>Premier Racquet Clubs – Mississauga</t>
        </is>
      </c>
      <c r="I404" t="n">
        <v>35.8</v>
      </c>
      <c r="J404" s="4" t="n">
        <v>102</v>
      </c>
      <c r="K404" t="inlineStr">
        <is>
          <t>48 / 54</t>
        </is>
      </c>
      <c r="L404" t="inlineStr">
        <is>
          <t>1 / 6</t>
        </is>
      </c>
      <c r="M404" s="5" t="n">
        <v>0.47</v>
      </c>
      <c r="N404" s="5" t="n">
        <v>0.14</v>
      </c>
    </row>
    <row r="405">
      <c r="A405" t="n">
        <v>404</v>
      </c>
      <c r="B405" t="n">
        <v>2014</v>
      </c>
      <c r="C405" t="inlineStr">
        <is>
          <t>myra Malik</t>
        </is>
      </c>
      <c r="D405">
        <f>HYPERLINK("https://ota.tournamentsoftware.com/player-profile/B5B677E5-44EA-48DD-95B7-05BF38E3758B", "Link")</f>
        <v/>
      </c>
      <c r="E405" s="3" t="n">
        <v>140.56</v>
      </c>
      <c r="F405" s="4" t="n">
        <v>26</v>
      </c>
      <c r="G405" t="inlineStr">
        <is>
          <t>British Columbia</t>
        </is>
      </c>
      <c r="H405" t="inlineStr">
        <is>
          <t>The Tennis Centre</t>
        </is>
      </c>
      <c r="I405" t="n">
        <v>32.8</v>
      </c>
      <c r="J405" s="4" t="n">
        <v>68</v>
      </c>
      <c r="K405" t="inlineStr">
        <is>
          <t>32 / 36</t>
        </is>
      </c>
      <c r="L405" t="inlineStr">
        <is>
          <t>25 / 22</t>
        </is>
      </c>
      <c r="M405" s="5" t="n">
        <v>0.47</v>
      </c>
      <c r="N405" s="5" t="n">
        <v>0.53</v>
      </c>
    </row>
    <row r="406">
      <c r="A406" t="n">
        <v>405</v>
      </c>
      <c r="B406" t="n">
        <v>2014</v>
      </c>
      <c r="C406" t="inlineStr">
        <is>
          <t>Melissa Yi Nuo Yang</t>
        </is>
      </c>
      <c r="D406">
        <f>HYPERLINK("https://ota.tournamentsoftware.com/player-profile/870FB276-B8EA-4586-B0F5-B2318D4B1CD6", "Link")</f>
        <v/>
      </c>
      <c r="E406" s="3" t="n">
        <v>139.267</v>
      </c>
      <c r="F406" s="4" t="n">
        <v>18</v>
      </c>
      <c r="G406" t="inlineStr">
        <is>
          <t>Tennis Québec</t>
        </is>
      </c>
      <c r="H406" t="inlineStr">
        <is>
          <t>Club Sportif Côte-de-Liesse</t>
        </is>
      </c>
      <c r="I406" t="n">
        <v>33.3</v>
      </c>
      <c r="J406" s="4" t="n">
        <v>88</v>
      </c>
      <c r="K406" t="inlineStr">
        <is>
          <t>45 / 43</t>
        </is>
      </c>
      <c r="L406" t="inlineStr">
        <is>
          <t>25 / 12</t>
        </is>
      </c>
      <c r="M406" s="5" t="n">
        <v>0.51</v>
      </c>
      <c r="N406" s="5" t="n">
        <v>0.68</v>
      </c>
    </row>
    <row r="407">
      <c r="A407" t="n">
        <v>406</v>
      </c>
      <c r="B407" t="n">
        <v>2012</v>
      </c>
      <c r="C407" t="inlineStr">
        <is>
          <t>Spencer Xie</t>
        </is>
      </c>
      <c r="D407">
        <f>HYPERLINK("https://ota.tournamentsoftware.com/player-profile/E8C882F3-740E-4E76-A249-7FC036AFD1F8", "Link")</f>
        <v/>
      </c>
      <c r="E407" s="3" t="n">
        <v>138.244</v>
      </c>
      <c r="F407" s="4" t="n">
        <v>12</v>
      </c>
      <c r="G407" t="inlineStr">
        <is>
          <t>Ontario Tennis Association</t>
        </is>
      </c>
      <c r="H407" t="inlineStr">
        <is>
          <t>Granite Club</t>
        </is>
      </c>
      <c r="I407" t="n">
        <v>35.2</v>
      </c>
      <c r="J407" s="4" t="n">
        <v>71</v>
      </c>
      <c r="K407" t="inlineStr">
        <is>
          <t>19 / 52</t>
        </is>
      </c>
      <c r="L407" t="inlineStr">
        <is>
          <t>6 / 13</t>
        </is>
      </c>
      <c r="M407" s="5" t="n">
        <v>0.27</v>
      </c>
      <c r="N407" s="5" t="n">
        <v>0.32</v>
      </c>
    </row>
    <row r="408">
      <c r="A408" t="n">
        <v>407</v>
      </c>
      <c r="B408" t="n">
        <v>2013</v>
      </c>
      <c r="C408" t="inlineStr">
        <is>
          <t>Audrey Ziqi Liu</t>
        </is>
      </c>
      <c r="D408">
        <f>HYPERLINK("https://ota.tournamentsoftware.com/player-profile/C2E6156A-D7ED-45A1-B728-0FA7A8D2D6A1", "Link")</f>
        <v/>
      </c>
      <c r="E408" s="3" t="n">
        <v>138.106</v>
      </c>
      <c r="F408" s="4" t="n">
        <v>11</v>
      </c>
      <c r="G408" t="inlineStr">
        <is>
          <t>British Columbia</t>
        </is>
      </c>
      <c r="H408" t="inlineStr">
        <is>
          <t>UBC Tennis Centre</t>
        </is>
      </c>
      <c r="I408" t="n">
        <v>34.8</v>
      </c>
      <c r="J408" s="4" t="n">
        <v>28</v>
      </c>
      <c r="K408" t="inlineStr">
        <is>
          <t>9 / 19</t>
        </is>
      </c>
      <c r="L408" t="inlineStr">
        <is>
          <t>8 / 17</t>
        </is>
      </c>
      <c r="M408" s="5" t="n">
        <v>0.32</v>
      </c>
      <c r="N408" s="5" t="n">
        <v>0.32</v>
      </c>
    </row>
    <row r="409">
      <c r="A409" t="n">
        <v>408</v>
      </c>
      <c r="B409" t="n">
        <v>2012</v>
      </c>
      <c r="C409" t="inlineStr">
        <is>
          <t>Sophia Hamel</t>
        </is>
      </c>
      <c r="D409">
        <f>HYPERLINK("https://ota.tournamentsoftware.com/player-profile/D6C2A4EC-5F86-459B-A81E-7C31F47AD78D", "Link")</f>
        <v/>
      </c>
      <c r="E409" s="3" t="n">
        <v>135.331</v>
      </c>
      <c r="F409" s="4" t="n">
        <v>9</v>
      </c>
      <c r="G409" t="inlineStr">
        <is>
          <t>Tennis Québec</t>
        </is>
      </c>
      <c r="H409" t="inlineStr">
        <is>
          <t>Rouge et Or - Université Laval</t>
        </is>
      </c>
      <c r="I409" t="n">
        <v>35.1</v>
      </c>
      <c r="J409" s="4" t="n">
        <v>71</v>
      </c>
      <c r="K409" t="inlineStr">
        <is>
          <t>15 / 56</t>
        </is>
      </c>
      <c r="L409" t="inlineStr">
        <is>
          <t>6 / 11</t>
        </is>
      </c>
      <c r="M409" s="5" t="n">
        <v>0.21</v>
      </c>
      <c r="N409" s="5" t="n">
        <v>0.35</v>
      </c>
    </row>
    <row r="410">
      <c r="A410" t="n">
        <v>409</v>
      </c>
      <c r="B410" t="n">
        <v>2012</v>
      </c>
      <c r="C410" t="inlineStr">
        <is>
          <t>Aila Olivia Brimacombe</t>
        </is>
      </c>
      <c r="D410">
        <f>HYPERLINK("https://ota.tournamentsoftware.com/player-profile/665F5A6C-3B65-4541-A5CF-6A84DC235104", "Link")</f>
        <v/>
      </c>
      <c r="E410" s="3" t="n">
        <v>134.944</v>
      </c>
      <c r="F410" s="4" t="n">
        <v>21</v>
      </c>
      <c r="G410" t="inlineStr">
        <is>
          <t>British Columbia</t>
        </is>
      </c>
      <c r="H410" t="inlineStr">
        <is>
          <t>West Vancouver Tennis Club</t>
        </is>
      </c>
      <c r="I410" t="n">
        <v>35.6</v>
      </c>
      <c r="J410" s="4" t="n">
        <v>115</v>
      </c>
      <c r="K410" t="inlineStr">
        <is>
          <t>19 / 96</t>
        </is>
      </c>
      <c r="L410" t="inlineStr">
        <is>
          <t>9 / 31</t>
        </is>
      </c>
      <c r="M410" s="5" t="n">
        <v>0.17</v>
      </c>
      <c r="N410" s="5" t="n">
        <v>0.23</v>
      </c>
    </row>
    <row r="411">
      <c r="A411" t="n">
        <v>410</v>
      </c>
      <c r="B411" t="n">
        <v>2015</v>
      </c>
      <c r="C411" t="inlineStr">
        <is>
          <t>Anya De Lain</t>
        </is>
      </c>
      <c r="D411">
        <f>HYPERLINK("https://ota.tournamentsoftware.com/player-profile/563B79E2-A8FE-4D68-B224-8FB6861F2D7F", "Link")</f>
        <v/>
      </c>
      <c r="E411" s="3" t="n">
        <v>134.241</v>
      </c>
      <c r="F411" s="4" t="n">
        <v>14</v>
      </c>
      <c r="G411" t="inlineStr">
        <is>
          <t>Tennis Québec</t>
        </is>
      </c>
      <c r="H411" t="inlineStr">
        <is>
          <t>EB Tennis inc.</t>
        </is>
      </c>
      <c r="I411" t="n">
        <v>40</v>
      </c>
      <c r="J411" s="4" t="n">
        <v>90</v>
      </c>
      <c r="K411" t="inlineStr">
        <is>
          <t>16 / 74</t>
        </is>
      </c>
      <c r="L411" t="inlineStr">
        <is>
          <t>2 / 18</t>
        </is>
      </c>
      <c r="M411" s="5" t="n">
        <v>0.18</v>
      </c>
      <c r="N411" s="5" t="n">
        <v>0.1</v>
      </c>
    </row>
    <row r="412">
      <c r="A412" t="n">
        <v>411</v>
      </c>
      <c r="B412" t="n">
        <v>2015</v>
      </c>
      <c r="C412" t="inlineStr">
        <is>
          <t>Blake Badger</t>
        </is>
      </c>
      <c r="D412">
        <f>HYPERLINK("https://ota.tournamentsoftware.com/player-profile/33B72483-1E5D-4043-8C06-81F76F0504E6", "Link")</f>
        <v/>
      </c>
      <c r="E412" s="3" t="n">
        <v>133.817</v>
      </c>
      <c r="F412" s="4" t="n">
        <v>4</v>
      </c>
      <c r="G412" t="inlineStr">
        <is>
          <t>Tennis Saskatchewan</t>
        </is>
      </c>
      <c r="H412" t="inlineStr">
        <is>
          <t>Lakeshore Tennis Club</t>
        </is>
      </c>
      <c r="I412" t="n">
        <v>38.3</v>
      </c>
      <c r="J412" s="4" t="n">
        <v>63</v>
      </c>
      <c r="K412" t="inlineStr">
        <is>
          <t>20 / 43</t>
        </is>
      </c>
      <c r="L412" t="inlineStr">
        <is>
          <t>2 / 7</t>
        </is>
      </c>
      <c r="M412" s="5" t="n">
        <v>0.32</v>
      </c>
      <c r="N412" s="5" t="n">
        <v>0.22</v>
      </c>
    </row>
    <row r="413">
      <c r="A413" t="n">
        <v>412</v>
      </c>
      <c r="B413" t="n">
        <v>2014</v>
      </c>
      <c r="C413" t="inlineStr">
        <is>
          <t>Jaynaëlle Isaac</t>
        </is>
      </c>
      <c r="D413">
        <f>HYPERLINK("https://ota.tournamentsoftware.com/player-profile/6748F07C-41D2-4D26-87D9-8636B60DC389", "Link")</f>
        <v/>
      </c>
      <c r="E413" s="3" t="n">
        <v>132.874</v>
      </c>
      <c r="F413" s="4" t="n">
        <v>11</v>
      </c>
      <c r="G413" t="inlineStr">
        <is>
          <t>Tennis Québec</t>
        </is>
      </c>
      <c r="H413" t="inlineStr">
        <is>
          <t>No Club</t>
        </is>
      </c>
      <c r="I413" t="n">
        <v>32.5</v>
      </c>
      <c r="J413" s="4" t="n">
        <v>124</v>
      </c>
      <c r="K413" t="inlineStr">
        <is>
          <t>49 / 75</t>
        </is>
      </c>
      <c r="L413" t="inlineStr">
        <is>
          <t>9 / 11</t>
        </is>
      </c>
      <c r="M413" s="5" t="n">
        <v>0.4</v>
      </c>
      <c r="N413" s="5" t="n">
        <v>0.45</v>
      </c>
    </row>
    <row r="414">
      <c r="A414" t="n">
        <v>413</v>
      </c>
      <c r="B414" t="n">
        <v>2013</v>
      </c>
      <c r="C414" t="inlineStr">
        <is>
          <t>Olivia Xing</t>
        </is>
      </c>
      <c r="D414">
        <f>HYPERLINK("https://ota.tournamentsoftware.com/player-profile/03475BC0-CC60-490A-8E94-0D82D43C8EDC", "Link")</f>
        <v/>
      </c>
      <c r="E414" s="3" t="n">
        <v>132.497</v>
      </c>
      <c r="F414" s="4" t="n">
        <v>17</v>
      </c>
      <c r="G414" t="inlineStr">
        <is>
          <t>British Columbia</t>
        </is>
      </c>
      <c r="H414" t="inlineStr">
        <is>
          <t>Vancouver Lawn Tennis and Badminton Club</t>
        </is>
      </c>
      <c r="I414" t="inlineStr">
        <is>
          <t>unavailable</t>
        </is>
      </c>
      <c r="J414" s="4" t="n">
        <v>117</v>
      </c>
      <c r="K414" t="inlineStr">
        <is>
          <t>57 / 60</t>
        </is>
      </c>
      <c r="L414" t="inlineStr">
        <is>
          <t>10 / 13</t>
        </is>
      </c>
      <c r="M414" s="5" t="n">
        <v>0.49</v>
      </c>
      <c r="N414" s="5" t="n">
        <v>0.43</v>
      </c>
    </row>
    <row r="415">
      <c r="A415" t="n">
        <v>414</v>
      </c>
      <c r="B415" t="n">
        <v>2013</v>
      </c>
      <c r="C415" t="inlineStr">
        <is>
          <t>Zoé Pilon</t>
        </is>
      </c>
      <c r="D415">
        <f>HYPERLINK("https://ota.tournamentsoftware.com/player-profile/5CF92DF6-CB3B-4E9E-9D03-B9CC6481DEBA", "Link")</f>
        <v/>
      </c>
      <c r="E415" s="3" t="n">
        <v>131.911</v>
      </c>
      <c r="F415" s="4" t="n">
        <v>11</v>
      </c>
      <c r="G415" t="inlineStr">
        <is>
          <t>Tennis Québec</t>
        </is>
      </c>
      <c r="H415" t="inlineStr">
        <is>
          <t>Tennis Interclub Piedmont</t>
        </is>
      </c>
      <c r="I415" t="n">
        <v>37.5</v>
      </c>
      <c r="J415" s="4" t="n">
        <v>21</v>
      </c>
      <c r="K415" t="inlineStr">
        <is>
          <t>7 / 14</t>
        </is>
      </c>
      <c r="L415" t="inlineStr">
        <is>
          <t>3 / 11</t>
        </is>
      </c>
      <c r="M415" s="5" t="n">
        <v>0.33</v>
      </c>
      <c r="N415" s="5" t="n">
        <v>0.21</v>
      </c>
    </row>
    <row r="416">
      <c r="A416" t="n">
        <v>415</v>
      </c>
      <c r="B416" t="n">
        <v>2015</v>
      </c>
      <c r="C416" t="inlineStr">
        <is>
          <t>Athisayah Viji</t>
        </is>
      </c>
      <c r="D416">
        <f>HYPERLINK("https://ota.tournamentsoftware.com/player-profile/C8684F68-4EF9-414D-BDA9-FC73111C2DB8", "Link")</f>
        <v/>
      </c>
      <c r="E416" s="3" t="n">
        <v>131.362</v>
      </c>
      <c r="F416" s="4" t="n">
        <v>19</v>
      </c>
      <c r="G416" t="inlineStr">
        <is>
          <t>British Columbia</t>
        </is>
      </c>
      <c r="H416" t="inlineStr">
        <is>
          <t>The Tennis Centre</t>
        </is>
      </c>
      <c r="I416" t="n">
        <v>31.8</v>
      </c>
      <c r="J416" s="4" t="n">
        <v>126</v>
      </c>
      <c r="K416" t="inlineStr">
        <is>
          <t>75 / 51</t>
        </is>
      </c>
      <c r="L416" t="inlineStr">
        <is>
          <t>35 / 16</t>
        </is>
      </c>
      <c r="M416" s="5" t="n">
        <v>0.6</v>
      </c>
      <c r="N416" s="5" t="n">
        <v>0.6899999999999999</v>
      </c>
    </row>
    <row r="417">
      <c r="A417" t="n">
        <v>416</v>
      </c>
      <c r="B417" t="n">
        <v>2014</v>
      </c>
      <c r="C417" t="inlineStr">
        <is>
          <t>Olivia Weiwei Kong</t>
        </is>
      </c>
      <c r="D417">
        <f>HYPERLINK("https://ota.tournamentsoftware.com/player-profile/D959AEB1-2F72-4DC3-9FC0-C7595A80CDA0", "Link")</f>
        <v/>
      </c>
      <c r="E417" s="3" t="n">
        <v>130.887</v>
      </c>
      <c r="F417" s="4" t="n">
        <v>6</v>
      </c>
      <c r="G417" t="inlineStr">
        <is>
          <t>Tennis Saskatchewan</t>
        </is>
      </c>
      <c r="H417" t="inlineStr">
        <is>
          <t>Lakeshore Tennis Club</t>
        </is>
      </c>
      <c r="I417" t="n">
        <v>35.9</v>
      </c>
      <c r="J417" s="4" t="n">
        <v>91</v>
      </c>
      <c r="K417" t="inlineStr">
        <is>
          <t>23 / 68</t>
        </is>
      </c>
      <c r="L417" t="inlineStr">
        <is>
          <t>4 / 11</t>
        </is>
      </c>
      <c r="M417" s="5" t="n">
        <v>0.25</v>
      </c>
      <c r="N417" s="5" t="n">
        <v>0.27</v>
      </c>
    </row>
    <row r="418">
      <c r="A418" t="n">
        <v>417</v>
      </c>
      <c r="B418" t="n">
        <v>2012</v>
      </c>
      <c r="C418" t="inlineStr">
        <is>
          <t>Eliana Yiannacouras</t>
        </is>
      </c>
      <c r="D418">
        <f>HYPERLINK("https://ota.tournamentsoftware.com/player-profile/B77AA2DD-5FF4-4B16-8ABD-E6ED22D4B5E1", "Link")</f>
        <v/>
      </c>
      <c r="E418" s="3" t="n">
        <v>130.395</v>
      </c>
      <c r="F418" s="4" t="n">
        <v>13</v>
      </c>
      <c r="G418" t="inlineStr">
        <is>
          <t>Ontario Tennis Association</t>
        </is>
      </c>
      <c r="H418" t="inlineStr">
        <is>
          <t>The Supreme Court Tennis Club</t>
        </is>
      </c>
      <c r="I418" t="n">
        <v>34.6</v>
      </c>
      <c r="J418" s="4" t="n">
        <v>97</v>
      </c>
      <c r="K418" t="inlineStr">
        <is>
          <t>25 / 72</t>
        </is>
      </c>
      <c r="L418" t="inlineStr">
        <is>
          <t>6 / 9</t>
        </is>
      </c>
      <c r="M418" s="5" t="n">
        <v>0.26</v>
      </c>
      <c r="N418" s="5" t="n">
        <v>0.4</v>
      </c>
    </row>
    <row r="419">
      <c r="A419" t="n">
        <v>418</v>
      </c>
      <c r="B419" t="n">
        <v>2012</v>
      </c>
      <c r="C419" t="inlineStr">
        <is>
          <t>Myra Chowdhary</t>
        </is>
      </c>
      <c r="D419">
        <f>HYPERLINK("https://ota.tournamentsoftware.com/player-profile/CE7139B1-580D-4EF4-A747-D0E1E897EAFB", "Link")</f>
        <v/>
      </c>
      <c r="E419" s="3" t="n">
        <v>130.123</v>
      </c>
      <c r="F419" s="4" t="n">
        <v>9</v>
      </c>
      <c r="G419" t="inlineStr">
        <is>
          <t>Ontario Tennis Association</t>
        </is>
      </c>
      <c r="H419" t="inlineStr">
        <is>
          <t>Youngs Sportsplex</t>
        </is>
      </c>
      <c r="I419" t="n">
        <v>38.4</v>
      </c>
      <c r="J419" s="4" t="n">
        <v>41</v>
      </c>
      <c r="K419" t="inlineStr">
        <is>
          <t>12 / 29</t>
        </is>
      </c>
      <c r="L419" t="inlineStr">
        <is>
          <t>4 / 13</t>
        </is>
      </c>
      <c r="M419" s="5" t="n">
        <v>0.29</v>
      </c>
      <c r="N419" s="5" t="n">
        <v>0.24</v>
      </c>
    </row>
    <row r="420">
      <c r="A420" t="n">
        <v>419</v>
      </c>
      <c r="B420" t="n">
        <v>2016</v>
      </c>
      <c r="C420" t="inlineStr">
        <is>
          <t>Eva Yanakieva</t>
        </is>
      </c>
      <c r="D420">
        <f>HYPERLINK("https://ota.tournamentsoftware.com/player-profile/7FBBEC05-D20C-448B-93F1-1F8C6BA80758", "Link")</f>
        <v/>
      </c>
      <c r="E420" s="3" t="n">
        <v>129.733</v>
      </c>
      <c r="F420" s="4" t="n">
        <v>20</v>
      </c>
      <c r="G420" t="inlineStr">
        <is>
          <t>Tennis Québec</t>
        </is>
      </c>
      <c r="H420" t="inlineStr">
        <is>
          <t>Tennis Montréal Excellence</t>
        </is>
      </c>
      <c r="I420" t="n">
        <v>35.7</v>
      </c>
      <c r="J420" s="4" t="n">
        <v>175</v>
      </c>
      <c r="K420" t="inlineStr">
        <is>
          <t>84 / 91</t>
        </is>
      </c>
      <c r="L420" t="inlineStr">
        <is>
          <t>23 / 23</t>
        </is>
      </c>
      <c r="M420" s="5" t="n">
        <v>0.48</v>
      </c>
      <c r="N420" s="5" t="n">
        <v>0.5</v>
      </c>
    </row>
    <row r="421">
      <c r="A421" t="n">
        <v>420</v>
      </c>
      <c r="B421" t="n">
        <v>2014</v>
      </c>
      <c r="C421" t="inlineStr">
        <is>
          <t>Scarlett Hannah Yip</t>
        </is>
      </c>
      <c r="D421">
        <f>HYPERLINK("https://ota.tournamentsoftware.com/player-profile/D01B38C8-E207-4D1F-B33D-970B1F8BDC78", "Link")</f>
        <v/>
      </c>
      <c r="E421" s="3" t="n">
        <v>128.523</v>
      </c>
      <c r="F421" s="4" t="n">
        <v>12</v>
      </c>
      <c r="G421" t="inlineStr">
        <is>
          <t>Tennis Alberta</t>
        </is>
      </c>
      <c r="H421" t="inlineStr">
        <is>
          <t>Osten &amp; Victor Alberta Tennis Centre</t>
        </is>
      </c>
      <c r="I421" t="n">
        <v>33.7</v>
      </c>
      <c r="J421" s="4" t="n">
        <v>146</v>
      </c>
      <c r="K421" t="inlineStr">
        <is>
          <t>65 / 81</t>
        </is>
      </c>
      <c r="L421" t="inlineStr">
        <is>
          <t>6 / 8</t>
        </is>
      </c>
      <c r="M421" s="5" t="n">
        <v>0.45</v>
      </c>
      <c r="N421" s="5" t="n">
        <v>0.43</v>
      </c>
    </row>
    <row r="422">
      <c r="A422" t="n">
        <v>421</v>
      </c>
      <c r="B422" t="n">
        <v>2014</v>
      </c>
      <c r="C422" t="inlineStr">
        <is>
          <t>Afsoune Wassel</t>
        </is>
      </c>
      <c r="D422">
        <f>HYPERLINK("https://ota.tournamentsoftware.com/player-profile/72D5D7A1-94DE-47DF-B01E-F83205C53092", "Link")</f>
        <v/>
      </c>
      <c r="E422" s="3" t="n">
        <v>128.099</v>
      </c>
      <c r="F422" s="4" t="n">
        <v>20</v>
      </c>
      <c r="G422" t="inlineStr">
        <is>
          <t>Tennis Québec</t>
        </is>
      </c>
      <c r="H422" t="inlineStr">
        <is>
          <t>SANI Sport</t>
        </is>
      </c>
      <c r="I422" t="n">
        <v>34.7</v>
      </c>
      <c r="J422" s="4" t="n">
        <v>118</v>
      </c>
      <c r="K422" t="inlineStr">
        <is>
          <t>59 / 59</t>
        </is>
      </c>
      <c r="L422" t="inlineStr">
        <is>
          <t>7 / 13</t>
        </is>
      </c>
      <c r="M422" s="5" t="n">
        <v>0.5</v>
      </c>
      <c r="N422" s="5" t="n">
        <v>0.35</v>
      </c>
    </row>
    <row r="423">
      <c r="A423" t="n">
        <v>422</v>
      </c>
      <c r="B423" t="n">
        <v>2014</v>
      </c>
      <c r="C423" t="inlineStr">
        <is>
          <t>Mikayla Avani Mahanandan</t>
        </is>
      </c>
      <c r="D423">
        <f>HYPERLINK("https://ota.tournamentsoftware.com/player-profile/DAFD5F0F-733D-4242-B572-5905268B6041", "Link")</f>
        <v/>
      </c>
      <c r="E423" s="3" t="n">
        <v>127.05</v>
      </c>
      <c r="F423" s="4" t="n">
        <v>23</v>
      </c>
      <c r="G423" t="inlineStr">
        <is>
          <t>Ontario Tennis Association</t>
        </is>
      </c>
      <c r="H423" t="inlineStr">
        <is>
          <t>Premier Racquet Clubs – Mississauga</t>
        </is>
      </c>
      <c r="I423" t="inlineStr">
        <is>
          <t>unavailable</t>
        </is>
      </c>
      <c r="J423" s="4" t="n">
        <v>110</v>
      </c>
      <c r="K423" t="inlineStr">
        <is>
          <t>38 / 72</t>
        </is>
      </c>
      <c r="L423" t="inlineStr">
        <is>
          <t>14 / 23</t>
        </is>
      </c>
      <c r="M423" s="5" t="n">
        <v>0.35</v>
      </c>
      <c r="N423" s="5" t="n">
        <v>0.38</v>
      </c>
    </row>
    <row r="424">
      <c r="A424" t="n">
        <v>423</v>
      </c>
      <c r="B424" t="n">
        <v>2015</v>
      </c>
      <c r="C424" t="inlineStr">
        <is>
          <t>Isla Suokas</t>
        </is>
      </c>
      <c r="D424">
        <f>HYPERLINK("https://ota.tournamentsoftware.com/player-profile/4CF0CDA6-2600-4F1B-8775-31212B766E74", "Link")</f>
        <v/>
      </c>
      <c r="E424" s="3" t="n">
        <v>126</v>
      </c>
      <c r="F424" s="4" t="n">
        <v>23</v>
      </c>
      <c r="G424" t="inlineStr">
        <is>
          <t>Ontario Tennis Association</t>
        </is>
      </c>
      <c r="H424" t="inlineStr">
        <is>
          <t>Boulevard Club</t>
        </is>
      </c>
      <c r="I424" t="n">
        <v>34.7</v>
      </c>
      <c r="J424" s="4" t="n">
        <v>100</v>
      </c>
      <c r="K424" t="inlineStr">
        <is>
          <t>60 / 40</t>
        </is>
      </c>
      <c r="L424" t="inlineStr">
        <is>
          <t>25 / 17</t>
        </is>
      </c>
      <c r="M424" s="5" t="n">
        <v>0.6</v>
      </c>
      <c r="N424" s="5" t="n">
        <v>0.6</v>
      </c>
    </row>
    <row r="425">
      <c r="A425" t="n">
        <v>424</v>
      </c>
      <c r="B425" t="n">
        <v>2015</v>
      </c>
      <c r="C425" t="inlineStr">
        <is>
          <t>Xinyue Grace zhu</t>
        </is>
      </c>
      <c r="D425">
        <f>HYPERLINK("https://ota.tournamentsoftware.com/player-profile/9C1D6B37-A27B-4B15-8F8F-72E6D4418B50", "Link")</f>
        <v/>
      </c>
      <c r="E425" s="3" t="n">
        <v>124.998</v>
      </c>
      <c r="F425" s="4" t="n">
        <v>11</v>
      </c>
      <c r="G425" t="inlineStr">
        <is>
          <t>British Columbia</t>
        </is>
      </c>
      <c r="H425" t="inlineStr">
        <is>
          <t>North Vancouver Tennis Centre</t>
        </is>
      </c>
      <c r="I425" t="inlineStr">
        <is>
          <t>unavailable</t>
        </is>
      </c>
      <c r="J425" s="4" t="n">
        <v>184</v>
      </c>
      <c r="K425" t="inlineStr">
        <is>
          <t>111 / 73</t>
        </is>
      </c>
      <c r="L425" t="inlineStr">
        <is>
          <t>12 / 10</t>
        </is>
      </c>
      <c r="M425" s="5" t="n">
        <v>0.6</v>
      </c>
      <c r="N425" s="5" t="n">
        <v>0.55</v>
      </c>
    </row>
    <row r="426">
      <c r="A426" t="n">
        <v>425</v>
      </c>
      <c r="B426" t="n">
        <v>2014</v>
      </c>
      <c r="C426" t="inlineStr">
        <is>
          <t>Sonia Leung</t>
        </is>
      </c>
      <c r="D426">
        <f>HYPERLINK("https://ota.tournamentsoftware.com/player-profile/CCA302B0-3E0B-42DA-BCF9-B1A9AF0035E5", "Link")</f>
        <v/>
      </c>
      <c r="E426" s="3" t="n">
        <v>124.32</v>
      </c>
      <c r="F426" s="4" t="n">
        <v>17</v>
      </c>
      <c r="G426" t="inlineStr">
        <is>
          <t>Ontario Tennis Association</t>
        </is>
      </c>
      <c r="H426" t="inlineStr">
        <is>
          <t>Toronto Tennis Academy</t>
        </is>
      </c>
      <c r="I426" t="n">
        <v>34.3</v>
      </c>
      <c r="J426" s="4" t="n">
        <v>66</v>
      </c>
      <c r="K426" t="inlineStr">
        <is>
          <t>33 / 33</t>
        </is>
      </c>
      <c r="L426" t="inlineStr">
        <is>
          <t>24 / 13</t>
        </is>
      </c>
      <c r="M426" s="5" t="n">
        <v>0.5</v>
      </c>
      <c r="N426" s="5" t="n">
        <v>0.65</v>
      </c>
    </row>
    <row r="427">
      <c r="A427" t="n">
        <v>426</v>
      </c>
      <c r="B427" t="n">
        <v>2014</v>
      </c>
      <c r="C427" t="inlineStr">
        <is>
          <t>Grace Wu</t>
        </is>
      </c>
      <c r="D427">
        <f>HYPERLINK("https://ota.tournamentsoftware.com/player-profile/0E55C3D7-7F72-4CDB-9BC3-2D90797931A5", "Link")</f>
        <v/>
      </c>
      <c r="E427" s="3" t="n">
        <v>123.93</v>
      </c>
      <c r="F427" s="4" t="n">
        <v>5</v>
      </c>
      <c r="G427" t="inlineStr">
        <is>
          <t>British Columbia</t>
        </is>
      </c>
      <c r="H427" t="inlineStr">
        <is>
          <t>The Tennis Centre</t>
        </is>
      </c>
      <c r="I427" t="n">
        <v>32.1</v>
      </c>
      <c r="J427" s="4" t="n">
        <v>96</v>
      </c>
      <c r="K427" t="inlineStr">
        <is>
          <t>63 / 33</t>
        </is>
      </c>
      <c r="L427" t="inlineStr">
        <is>
          <t>3 / 4</t>
        </is>
      </c>
      <c r="M427" s="5" t="n">
        <v>0.66</v>
      </c>
      <c r="N427" s="5" t="n">
        <v>0.43</v>
      </c>
    </row>
    <row r="428">
      <c r="A428" t="n">
        <v>427</v>
      </c>
      <c r="B428" t="n">
        <v>2015</v>
      </c>
      <c r="C428" t="inlineStr">
        <is>
          <t>Chloe Zhiyan Bai</t>
        </is>
      </c>
      <c r="D428">
        <f>HYPERLINK("https://ota.tournamentsoftware.com/player-profile/D190414C-9B0E-4001-86BC-CD88F7FCF827", "Link")</f>
        <v/>
      </c>
      <c r="E428" s="3" t="n">
        <v>123.895</v>
      </c>
      <c r="F428" s="4" t="n">
        <v>27</v>
      </c>
      <c r="G428" t="inlineStr">
        <is>
          <t>British Columbia</t>
        </is>
      </c>
      <c r="H428" t="inlineStr">
        <is>
          <t>Tennis BC Hub @ Richmond</t>
        </is>
      </c>
      <c r="I428" t="inlineStr">
        <is>
          <t>unavailable</t>
        </is>
      </c>
      <c r="J428" s="4" t="n">
        <v>176</v>
      </c>
      <c r="K428" t="inlineStr">
        <is>
          <t>81 / 95</t>
        </is>
      </c>
      <c r="L428" t="inlineStr">
        <is>
          <t>28 / 22</t>
        </is>
      </c>
      <c r="M428" s="5" t="n">
        <v>0.46</v>
      </c>
      <c r="N428" s="5" t="n">
        <v>0.5600000000000001</v>
      </c>
    </row>
    <row r="429">
      <c r="A429" t="n">
        <v>428</v>
      </c>
      <c r="B429" t="n">
        <v>2013</v>
      </c>
      <c r="C429" t="inlineStr">
        <is>
          <t>Alyxandra Grace Bellot Wildeman</t>
        </is>
      </c>
      <c r="D429">
        <f>HYPERLINK("https://ota.tournamentsoftware.com/player-profile/E2171261-67FD-4CFA-B4F2-64D9B979CCE5", "Link")</f>
        <v/>
      </c>
      <c r="E429" s="3" t="n">
        <v>122.607</v>
      </c>
      <c r="F429" s="4" t="n">
        <v>11</v>
      </c>
      <c r="G429" t="inlineStr">
        <is>
          <t>British Columbia</t>
        </is>
      </c>
      <c r="H429" t="inlineStr">
        <is>
          <t>Vanguard Tennis Academy</t>
        </is>
      </c>
      <c r="I429" t="n">
        <v>34.1</v>
      </c>
      <c r="J429" s="4" t="n">
        <v>125</v>
      </c>
      <c r="K429" t="inlineStr">
        <is>
          <t>54 / 71</t>
        </is>
      </c>
      <c r="L429" t="inlineStr">
        <is>
          <t>10 / 13</t>
        </is>
      </c>
      <c r="M429" s="5" t="n">
        <v>0.43</v>
      </c>
      <c r="N429" s="5" t="n">
        <v>0.43</v>
      </c>
    </row>
    <row r="430">
      <c r="A430" t="n">
        <v>429</v>
      </c>
      <c r="B430" t="n">
        <v>2014</v>
      </c>
      <c r="C430" t="inlineStr">
        <is>
          <t>Olivia Lee</t>
        </is>
      </c>
      <c r="D430">
        <f>HYPERLINK("https://ota.tournamentsoftware.com/player-profile/DEF89846-A0EF-4373-B8DC-8305F756E612", "Link")</f>
        <v/>
      </c>
      <c r="E430" s="3" t="n">
        <v>122.446</v>
      </c>
      <c r="F430" s="4" t="n">
        <v>23</v>
      </c>
      <c r="G430" t="inlineStr">
        <is>
          <t>Tennis Québec</t>
        </is>
      </c>
      <c r="H430" t="inlineStr">
        <is>
          <t>SANI Sport</t>
        </is>
      </c>
      <c r="I430" t="n">
        <v>36.4</v>
      </c>
      <c r="J430" s="4" t="n">
        <v>111</v>
      </c>
      <c r="K430" t="inlineStr">
        <is>
          <t>41 / 70</t>
        </is>
      </c>
      <c r="L430" t="inlineStr">
        <is>
          <t>11 / 22</t>
        </is>
      </c>
      <c r="M430" s="5" t="n">
        <v>0.37</v>
      </c>
      <c r="N430" s="5" t="n">
        <v>0.33</v>
      </c>
    </row>
    <row r="431">
      <c r="A431" t="n">
        <v>430</v>
      </c>
      <c r="B431" t="n">
        <v>2014</v>
      </c>
      <c r="C431" t="inlineStr">
        <is>
          <t>Bella Beiqi Zhao</t>
        </is>
      </c>
      <c r="D431">
        <f>HYPERLINK("https://ota.tournamentsoftware.com/player-profile/440C1FD3-B189-4153-99D4-C9B6B43D7D03", "Link")</f>
        <v/>
      </c>
      <c r="E431" s="3" t="n">
        <v>120.871</v>
      </c>
      <c r="F431" s="4" t="n">
        <v>26</v>
      </c>
      <c r="G431" t="inlineStr">
        <is>
          <t>British Columbia</t>
        </is>
      </c>
      <c r="H431" t="inlineStr">
        <is>
          <t>No Club</t>
        </is>
      </c>
      <c r="I431" t="n">
        <v>31.9</v>
      </c>
      <c r="J431" s="4" t="n">
        <v>208</v>
      </c>
      <c r="K431" t="inlineStr">
        <is>
          <t>84 / 124</t>
        </is>
      </c>
      <c r="L431" t="inlineStr">
        <is>
          <t>22 / 24</t>
        </is>
      </c>
      <c r="M431" s="5" t="n">
        <v>0.4</v>
      </c>
      <c r="N431" s="5" t="n">
        <v>0.48</v>
      </c>
    </row>
    <row r="432">
      <c r="A432" t="n">
        <v>431</v>
      </c>
      <c r="B432" t="n">
        <v>2014</v>
      </c>
      <c r="C432" t="inlineStr">
        <is>
          <t>Ranica Li</t>
        </is>
      </c>
      <c r="D432">
        <f>HYPERLINK("https://ota.tournamentsoftware.com/player-profile/5C189397-D536-4086-AA1D-1AD29C093438", "Link")</f>
        <v/>
      </c>
      <c r="E432" s="3" t="n">
        <v>118.633</v>
      </c>
      <c r="F432" s="4" t="n">
        <v>19</v>
      </c>
      <c r="G432" t="inlineStr">
        <is>
          <t>British Columbia</t>
        </is>
      </c>
      <c r="H432" t="inlineStr">
        <is>
          <t>The Tennis Centre</t>
        </is>
      </c>
      <c r="I432" t="n">
        <v>32.6</v>
      </c>
      <c r="J432" s="4" t="n">
        <v>91</v>
      </c>
      <c r="K432" t="inlineStr">
        <is>
          <t>53 / 38</t>
        </is>
      </c>
      <c r="L432" t="inlineStr">
        <is>
          <t>29 / 15</t>
        </is>
      </c>
      <c r="M432" s="5" t="n">
        <v>0.58</v>
      </c>
      <c r="N432" s="5" t="n">
        <v>0.66</v>
      </c>
    </row>
    <row r="433">
      <c r="A433" t="n">
        <v>432</v>
      </c>
      <c r="B433" t="n">
        <v>2013</v>
      </c>
      <c r="C433" t="inlineStr">
        <is>
          <t>Zaria Antonella Tambini</t>
        </is>
      </c>
      <c r="D433">
        <f>HYPERLINK("https://ota.tournamentsoftware.com/player-profile/92DDE685-2967-4CDD-8CA6-2827E6AC3AEB", "Link")</f>
        <v/>
      </c>
      <c r="E433" s="3" t="n">
        <v>117.899</v>
      </c>
      <c r="F433" s="4" t="n">
        <v>8</v>
      </c>
      <c r="G433" t="inlineStr">
        <is>
          <t>Ontario Tennis Association</t>
        </is>
      </c>
      <c r="H433" t="inlineStr">
        <is>
          <t>Headwaters Racquet Club</t>
        </is>
      </c>
      <c r="I433" t="n">
        <v>38</v>
      </c>
      <c r="J433" s="4" t="n">
        <v>26</v>
      </c>
      <c r="K433" t="inlineStr">
        <is>
          <t>10 / 16</t>
        </is>
      </c>
      <c r="L433" t="inlineStr">
        <is>
          <t>5 / 14</t>
        </is>
      </c>
      <c r="M433" s="5" t="n">
        <v>0.38</v>
      </c>
      <c r="N433" s="5" t="n">
        <v>0.26</v>
      </c>
    </row>
    <row r="434">
      <c r="A434" t="n">
        <v>433</v>
      </c>
      <c r="B434" t="n">
        <v>2015</v>
      </c>
      <c r="C434" t="inlineStr">
        <is>
          <t>Grace Raymond</t>
        </is>
      </c>
      <c r="D434">
        <f>HYPERLINK("https://ota.tournamentsoftware.com/player-profile/879338D5-D59E-4EA6-A8E9-135220F52905", "Link")</f>
        <v/>
      </c>
      <c r="E434" s="3" t="n">
        <v>117.654</v>
      </c>
      <c r="F434" s="4" t="n">
        <v>14</v>
      </c>
      <c r="G434" t="inlineStr">
        <is>
          <t>Tennis Alberta</t>
        </is>
      </c>
      <c r="H434" t="inlineStr">
        <is>
          <t>Osten &amp; Victor Alberta Tennis Centre</t>
        </is>
      </c>
      <c r="I434" t="n">
        <v>35.7</v>
      </c>
      <c r="J434" s="4" t="n">
        <v>69</v>
      </c>
      <c r="K434" t="inlineStr">
        <is>
          <t>30 / 39</t>
        </is>
      </c>
      <c r="L434" t="inlineStr">
        <is>
          <t>5 / 10</t>
        </is>
      </c>
      <c r="M434" s="5" t="n">
        <v>0.43</v>
      </c>
      <c r="N434" s="5" t="n">
        <v>0.33</v>
      </c>
    </row>
    <row r="435">
      <c r="A435" t="n">
        <v>434</v>
      </c>
      <c r="B435" t="n">
        <v>2015</v>
      </c>
      <c r="C435" t="inlineStr">
        <is>
          <t>Emma Plugaru</t>
        </is>
      </c>
      <c r="D435">
        <f>HYPERLINK("https://ota.tournamentsoftware.com/player-profile/A8C9C47A-4B9A-43CD-97A6-5516A6BAA15D", "Link")</f>
        <v/>
      </c>
      <c r="E435" s="3" t="n">
        <v>117.51</v>
      </c>
      <c r="F435" s="4" t="n">
        <v>15</v>
      </c>
      <c r="G435" t="inlineStr">
        <is>
          <t>Tennis Québec</t>
        </is>
      </c>
      <c r="H435" t="inlineStr">
        <is>
          <t>Tennis 13</t>
        </is>
      </c>
      <c r="I435" t="n">
        <v>33.6</v>
      </c>
      <c r="J435" s="4" t="n">
        <v>131</v>
      </c>
      <c r="K435" t="inlineStr">
        <is>
          <t>72 / 59</t>
        </is>
      </c>
      <c r="L435" t="inlineStr">
        <is>
          <t>19 / 10</t>
        </is>
      </c>
      <c r="M435" s="5" t="n">
        <v>0.55</v>
      </c>
      <c r="N435" s="5" t="n">
        <v>0.66</v>
      </c>
    </row>
    <row r="436">
      <c r="A436" t="n">
        <v>435</v>
      </c>
      <c r="B436" t="n">
        <v>2015</v>
      </c>
      <c r="C436" t="inlineStr">
        <is>
          <t>Mia Pan</t>
        </is>
      </c>
      <c r="D436">
        <f>HYPERLINK("https://ota.tournamentsoftware.com/player-profile/AC58096C-5119-4221-95E0-C06E89FC8EFF", "Link")</f>
        <v/>
      </c>
      <c r="E436" s="3" t="n">
        <v>116.37</v>
      </c>
      <c r="F436" s="4" t="n">
        <v>17</v>
      </c>
      <c r="G436" t="inlineStr">
        <is>
          <t>British Columbia</t>
        </is>
      </c>
      <c r="H436" t="inlineStr">
        <is>
          <t>Vanguard Tennis Academy</t>
        </is>
      </c>
      <c r="I436" t="inlineStr">
        <is>
          <t>unavailable</t>
        </is>
      </c>
      <c r="J436" s="4" t="n">
        <v>123</v>
      </c>
      <c r="K436" t="inlineStr">
        <is>
          <t>70 / 53</t>
        </is>
      </c>
      <c r="L436" t="inlineStr">
        <is>
          <t>26 / 19</t>
        </is>
      </c>
      <c r="M436" s="5" t="n">
        <v>0.57</v>
      </c>
      <c r="N436" s="5" t="n">
        <v>0.58</v>
      </c>
    </row>
    <row r="437">
      <c r="A437" t="n">
        <v>436</v>
      </c>
      <c r="B437" t="n">
        <v>2015</v>
      </c>
      <c r="C437" t="inlineStr">
        <is>
          <t>Sofia Bulynko</t>
        </is>
      </c>
      <c r="D437">
        <f>HYPERLINK("https://ota.tournamentsoftware.com/player-profile/88C213E0-0960-44DC-B9B0-66B1ADEE699B", "Link")</f>
        <v/>
      </c>
      <c r="E437" s="3" t="n">
        <v>116.274</v>
      </c>
      <c r="F437" s="4" t="n">
        <v>11</v>
      </c>
      <c r="G437" t="inlineStr">
        <is>
          <t>Ontario Tennis Association</t>
        </is>
      </c>
      <c r="H437" t="inlineStr">
        <is>
          <t>National Tennis School</t>
        </is>
      </c>
      <c r="I437" t="n">
        <v>35.2</v>
      </c>
      <c r="J437" s="4" t="n">
        <v>56</v>
      </c>
      <c r="K437" t="inlineStr">
        <is>
          <t>28 / 28</t>
        </is>
      </c>
      <c r="L437" t="inlineStr">
        <is>
          <t>11 / 11</t>
        </is>
      </c>
      <c r="M437" s="5" t="n">
        <v>0.5</v>
      </c>
      <c r="N437" s="5" t="n">
        <v>0.5</v>
      </c>
    </row>
    <row r="438">
      <c r="A438" t="n">
        <v>437</v>
      </c>
      <c r="B438" t="n">
        <v>2015</v>
      </c>
      <c r="C438" t="inlineStr">
        <is>
          <t>Namasya Nakul</t>
        </is>
      </c>
      <c r="D438">
        <f>HYPERLINK("https://ota.tournamentsoftware.com/player-profile/30AB6566-4805-4DA5-90A9-E6D59F3D0D64", "Link")</f>
        <v/>
      </c>
      <c r="E438" s="3" t="n">
        <v>116.243</v>
      </c>
      <c r="F438" s="4" t="n">
        <v>19</v>
      </c>
      <c r="G438" t="inlineStr">
        <is>
          <t>British Columbia</t>
        </is>
      </c>
      <c r="H438" t="inlineStr">
        <is>
          <t>Richmond Country Club</t>
        </is>
      </c>
      <c r="I438" t="n">
        <v>32.9</v>
      </c>
      <c r="J438" s="4" t="n">
        <v>120</v>
      </c>
      <c r="K438" t="inlineStr">
        <is>
          <t>65 / 55</t>
        </is>
      </c>
      <c r="L438" t="inlineStr">
        <is>
          <t>25 / 19</t>
        </is>
      </c>
      <c r="M438" s="5" t="n">
        <v>0.54</v>
      </c>
      <c r="N438" s="5" t="n">
        <v>0.57</v>
      </c>
    </row>
    <row r="439">
      <c r="A439" t="n">
        <v>438</v>
      </c>
      <c r="B439" t="n">
        <v>2013</v>
      </c>
      <c r="C439" t="inlineStr">
        <is>
          <t>Sofia Anne Brunetto</t>
        </is>
      </c>
      <c r="D439">
        <f>HYPERLINK("https://ota.tournamentsoftware.com/player-profile/C2843F1F-C701-4853-A79C-051450F19D77", "Link")</f>
        <v/>
      </c>
      <c r="E439" s="3" t="n">
        <v>116.084</v>
      </c>
      <c r="F439" s="4" t="n">
        <v>8</v>
      </c>
      <c r="G439" t="inlineStr">
        <is>
          <t>Ontario Tennis Association</t>
        </is>
      </c>
      <c r="H439" t="inlineStr">
        <is>
          <t>Zekelman Tennis Centre</t>
        </is>
      </c>
      <c r="I439" t="n">
        <v>33.8</v>
      </c>
      <c r="J439" s="4" t="n">
        <v>20</v>
      </c>
      <c r="K439" t="inlineStr">
        <is>
          <t>8 / 12</t>
        </is>
      </c>
      <c r="L439" t="inlineStr">
        <is>
          <t>3 / 7</t>
        </is>
      </c>
      <c r="M439" s="5" t="n">
        <v>0.4</v>
      </c>
      <c r="N439" s="5" t="n">
        <v>0.3</v>
      </c>
    </row>
    <row r="440">
      <c r="A440" t="n">
        <v>439</v>
      </c>
      <c r="B440" t="n">
        <v>2013</v>
      </c>
      <c r="C440" t="inlineStr">
        <is>
          <t>Ellie Patricia Wilson</t>
        </is>
      </c>
      <c r="D440">
        <f>HYPERLINK("https://ota.tournamentsoftware.com/player-profile/CB4D2A63-DEA3-4EB8-9085-4317BC39804E", "Link")</f>
        <v/>
      </c>
      <c r="E440" s="3" t="n">
        <v>115.183</v>
      </c>
      <c r="F440" s="4" t="n">
        <v>7</v>
      </c>
      <c r="G440" t="inlineStr">
        <is>
          <t>Ontario Tennis Association</t>
        </is>
      </c>
      <c r="H440" t="inlineStr">
        <is>
          <t>Milton Tennis Club</t>
        </is>
      </c>
      <c r="I440" t="n">
        <v>34.4</v>
      </c>
      <c r="J440" s="4" t="n">
        <v>64</v>
      </c>
      <c r="K440" t="inlineStr">
        <is>
          <t>23 / 41</t>
        </is>
      </c>
      <c r="L440" t="inlineStr">
        <is>
          <t>2 / 4</t>
        </is>
      </c>
      <c r="M440" s="5" t="n">
        <v>0.36</v>
      </c>
      <c r="N440" s="5" t="n">
        <v>0.33</v>
      </c>
    </row>
    <row r="441">
      <c r="A441" t="n">
        <v>440</v>
      </c>
      <c r="B441" t="n">
        <v>2013</v>
      </c>
      <c r="C441" t="inlineStr">
        <is>
          <t>LEAH SHOJAIE</t>
        </is>
      </c>
      <c r="D441">
        <f>HYPERLINK("https://ota.tournamentsoftware.com/player-profile/A1DEEE7E-F9FE-4AA1-9DCF-5A3FDD2E189E", "Link")</f>
        <v/>
      </c>
      <c r="E441" s="3" t="n">
        <v>114.984</v>
      </c>
      <c r="F441" s="4" t="n">
        <v>11</v>
      </c>
      <c r="G441" t="inlineStr">
        <is>
          <t>Ontario Tennis Association</t>
        </is>
      </c>
      <c r="H441" t="inlineStr">
        <is>
          <t>Valan Tennis Academy</t>
        </is>
      </c>
      <c r="I441" t="n">
        <v>36.4</v>
      </c>
      <c r="J441" s="4" t="n">
        <v>18</v>
      </c>
      <c r="K441" t="inlineStr">
        <is>
          <t>5 / 13</t>
        </is>
      </c>
      <c r="L441" t="inlineStr">
        <is>
          <t>5 / 13</t>
        </is>
      </c>
      <c r="M441" s="5" t="n">
        <v>0.28</v>
      </c>
      <c r="N441" s="5" t="n">
        <v>0.28</v>
      </c>
    </row>
    <row r="442">
      <c r="A442" t="n">
        <v>441</v>
      </c>
      <c r="B442" t="n">
        <v>2015</v>
      </c>
      <c r="C442" t="inlineStr">
        <is>
          <t>Juliet Lauture</t>
        </is>
      </c>
      <c r="D442">
        <f>HYPERLINK("https://ota.tournamentsoftware.com/player-profile/70FC879C-9BB0-4123-BE70-BCB588C22C80", "Link")</f>
        <v/>
      </c>
      <c r="E442" s="3" t="n">
        <v>114.508</v>
      </c>
      <c r="F442" s="4" t="n">
        <v>23</v>
      </c>
      <c r="G442" t="inlineStr">
        <is>
          <t>Tennis Québec</t>
        </is>
      </c>
      <c r="H442" t="inlineStr">
        <is>
          <t>Club Sportif Côte-de-Liesse</t>
        </is>
      </c>
      <c r="I442" t="n">
        <v>35.5</v>
      </c>
      <c r="J442" s="4" t="n">
        <v>107</v>
      </c>
      <c r="K442" t="inlineStr">
        <is>
          <t>59 / 48</t>
        </is>
      </c>
      <c r="L442" t="inlineStr">
        <is>
          <t>20 / 20</t>
        </is>
      </c>
      <c r="M442" s="5" t="n">
        <v>0.55</v>
      </c>
      <c r="N442" s="5" t="n">
        <v>0.5</v>
      </c>
    </row>
    <row r="443">
      <c r="A443" t="n">
        <v>442</v>
      </c>
      <c r="B443" t="n">
        <v>2012</v>
      </c>
      <c r="C443" t="inlineStr">
        <is>
          <t>Zeyu (Anne) Xu</t>
        </is>
      </c>
      <c r="D443">
        <f>HYPERLINK("https://ota.tournamentsoftware.com/player-profile/7D4E0E2F-DC2C-4911-BF16-A07E84364BB7", "Link")</f>
        <v/>
      </c>
      <c r="E443" s="3" t="n">
        <v>113.598</v>
      </c>
      <c r="F443" s="4" t="n">
        <v>9</v>
      </c>
      <c r="G443" t="inlineStr">
        <is>
          <t>British Columbia</t>
        </is>
      </c>
      <c r="H443" t="inlineStr">
        <is>
          <t>Tennis BC Hub @ Richmond</t>
        </is>
      </c>
      <c r="I443" t="inlineStr">
        <is>
          <t>unavailable</t>
        </is>
      </c>
      <c r="J443" s="4" t="inlineStr"/>
      <c r="K443" t="inlineStr">
        <is>
          <t>unavailable</t>
        </is>
      </c>
      <c r="L443" t="inlineStr">
        <is>
          <t>unavailable</t>
        </is>
      </c>
      <c r="M443" s="5" t="inlineStr"/>
      <c r="N443" s="5" t="inlineStr"/>
    </row>
    <row r="444">
      <c r="A444" t="n">
        <v>443</v>
      </c>
      <c r="B444" t="n">
        <v>2015</v>
      </c>
      <c r="C444" t="inlineStr">
        <is>
          <t>Misia Ania Pietras</t>
        </is>
      </c>
      <c r="D444">
        <f>HYPERLINK("https://ota.tournamentsoftware.com/player-profile/81A2D044-B79D-4C29-B0B3-9E7AF48F2811", "Link")</f>
        <v/>
      </c>
      <c r="E444" s="3" t="n">
        <v>113.264</v>
      </c>
      <c r="F444" s="4" t="n">
        <v>16</v>
      </c>
      <c r="G444" t="inlineStr">
        <is>
          <t>Ontario Tennis Association</t>
        </is>
      </c>
      <c r="H444" t="inlineStr">
        <is>
          <t>The Tennis School</t>
        </is>
      </c>
      <c r="I444" t="n">
        <v>35.4</v>
      </c>
      <c r="J444" s="4" t="n">
        <v>57</v>
      </c>
      <c r="K444" t="inlineStr">
        <is>
          <t>32 / 25</t>
        </is>
      </c>
      <c r="L444" t="inlineStr">
        <is>
          <t>15 / 10</t>
        </is>
      </c>
      <c r="M444" s="5" t="n">
        <v>0.5600000000000001</v>
      </c>
      <c r="N444" s="5" t="n">
        <v>0.6</v>
      </c>
    </row>
    <row r="445">
      <c r="A445" t="n">
        <v>444</v>
      </c>
      <c r="B445" t="n">
        <v>2013</v>
      </c>
      <c r="C445" t="inlineStr">
        <is>
          <t>Stella Marion Thoms</t>
        </is>
      </c>
      <c r="D445">
        <f>HYPERLINK("https://ota.tournamentsoftware.com/player-profile/26731833-04E0-4736-BC60-733715112E5E", "Link")</f>
        <v/>
      </c>
      <c r="E445" s="3" t="n">
        <v>113.237</v>
      </c>
      <c r="F445" s="4" t="n">
        <v>7</v>
      </c>
      <c r="G445" t="inlineStr">
        <is>
          <t>Tennis Newfoundland &amp; Labrador</t>
        </is>
      </c>
      <c r="H445" t="inlineStr">
        <is>
          <t>Riverdale Tennis Club</t>
        </is>
      </c>
      <c r="I445" t="n">
        <v>33.8</v>
      </c>
      <c r="J445" s="4" t="n">
        <v>48</v>
      </c>
      <c r="K445" t="inlineStr">
        <is>
          <t>28 / 20</t>
        </is>
      </c>
      <c r="L445" t="inlineStr">
        <is>
          <t>8 / 8</t>
        </is>
      </c>
      <c r="M445" s="5" t="n">
        <v>0.58</v>
      </c>
      <c r="N445" s="5" t="n">
        <v>0.5</v>
      </c>
    </row>
    <row r="446">
      <c r="A446" t="n">
        <v>445</v>
      </c>
      <c r="B446" t="n">
        <v>2014</v>
      </c>
      <c r="C446" t="inlineStr">
        <is>
          <t>Maxine Andrea Subsuban</t>
        </is>
      </c>
      <c r="D446">
        <f>HYPERLINK("https://ota.tournamentsoftware.com/player-profile/330D8089-39D5-4A22-8596-8BAAF8D4E02E", "Link")</f>
        <v/>
      </c>
      <c r="E446" s="3" t="n">
        <v>112.585</v>
      </c>
      <c r="F446" s="4" t="n">
        <v>10</v>
      </c>
      <c r="G446" t="inlineStr">
        <is>
          <t>Tennis Alberta</t>
        </is>
      </c>
      <c r="H446" t="inlineStr">
        <is>
          <t>Osten &amp; Victor Alberta Tennis Centre</t>
        </is>
      </c>
      <c r="I446" t="inlineStr">
        <is>
          <t>unavailable</t>
        </is>
      </c>
      <c r="J446" s="4" t="n">
        <v>103</v>
      </c>
      <c r="K446" t="inlineStr">
        <is>
          <t>42 / 61</t>
        </is>
      </c>
      <c r="L446" t="inlineStr">
        <is>
          <t>8 / 10</t>
        </is>
      </c>
      <c r="M446" s="5" t="n">
        <v>0.41</v>
      </c>
      <c r="N446" s="5" t="n">
        <v>0.44</v>
      </c>
    </row>
    <row r="447">
      <c r="A447" t="n">
        <v>446</v>
      </c>
      <c r="B447" t="n">
        <v>2015</v>
      </c>
      <c r="C447" t="inlineStr">
        <is>
          <t>Arianna Marquez</t>
        </is>
      </c>
      <c r="D447">
        <f>HYPERLINK("https://ota.tournamentsoftware.com/player-profile/ABB23AE3-6EC2-498B-AA4D-BB89BCBF0088", "Link")</f>
        <v/>
      </c>
      <c r="E447" s="3" t="n">
        <v>112.229</v>
      </c>
      <c r="F447" s="4" t="n">
        <v>16</v>
      </c>
      <c r="G447" t="inlineStr">
        <is>
          <t>Tennis Alberta</t>
        </is>
      </c>
      <c r="H447" t="inlineStr">
        <is>
          <t>Saville Community Sports Centre</t>
        </is>
      </c>
      <c r="I447" t="n">
        <v>33.6</v>
      </c>
      <c r="J447" s="4" t="n">
        <v>141</v>
      </c>
      <c r="K447" t="inlineStr">
        <is>
          <t>90 / 51</t>
        </is>
      </c>
      <c r="L447" t="inlineStr">
        <is>
          <t>14 / 17</t>
        </is>
      </c>
      <c r="M447" s="5" t="n">
        <v>0.64</v>
      </c>
      <c r="N447" s="5" t="n">
        <v>0.45</v>
      </c>
    </row>
    <row r="448">
      <c r="A448" t="n">
        <v>447</v>
      </c>
      <c r="B448" t="n">
        <v>2012</v>
      </c>
      <c r="C448" t="inlineStr">
        <is>
          <t>Isabella Sofia Zrnic</t>
        </is>
      </c>
      <c r="D448">
        <f>HYPERLINK("https://ota.tournamentsoftware.com/player-profile/C8963CF4-1E95-43AF-B92C-08778B2BA616", "Link")</f>
        <v/>
      </c>
      <c r="E448" s="3" t="n">
        <v>112.046</v>
      </c>
      <c r="F448" s="4" t="n">
        <v>12</v>
      </c>
      <c r="G448" t="inlineStr">
        <is>
          <t>Ontario Tennis Association</t>
        </is>
      </c>
      <c r="H448" t="inlineStr">
        <is>
          <t>Lawrence Park Tennis Club</t>
        </is>
      </c>
      <c r="I448" t="n">
        <v>35.5</v>
      </c>
      <c r="J448" s="4" t="n">
        <v>66</v>
      </c>
      <c r="K448" t="inlineStr">
        <is>
          <t>27 / 39</t>
        </is>
      </c>
      <c r="L448" t="inlineStr">
        <is>
          <t>6 / 9</t>
        </is>
      </c>
      <c r="M448" s="5" t="n">
        <v>0.41</v>
      </c>
      <c r="N448" s="5" t="n">
        <v>0.4</v>
      </c>
    </row>
    <row r="449">
      <c r="A449" t="n">
        <v>448</v>
      </c>
      <c r="B449" t="n">
        <v>2013</v>
      </c>
      <c r="C449" t="inlineStr">
        <is>
          <t>Darcia Rabezandriny</t>
        </is>
      </c>
      <c r="D449">
        <f>HYPERLINK("https://ota.tournamentsoftware.com/player-profile/52069260-9644-4FA6-A8E4-10B4E037765E", "Link")</f>
        <v/>
      </c>
      <c r="E449" s="3" t="n">
        <v>110.988</v>
      </c>
      <c r="F449" s="4" t="n">
        <v>9</v>
      </c>
      <c r="G449" t="inlineStr">
        <is>
          <t>Tennis Québec</t>
        </is>
      </c>
      <c r="H449" t="inlineStr">
        <is>
          <t>AA Autre club</t>
        </is>
      </c>
      <c r="I449" t="n">
        <v>34.6</v>
      </c>
      <c r="J449" s="4" t="n">
        <v>157</v>
      </c>
      <c r="K449" t="inlineStr">
        <is>
          <t>82 / 75</t>
        </is>
      </c>
      <c r="L449" t="inlineStr">
        <is>
          <t>7 / 8</t>
        </is>
      </c>
      <c r="M449" s="5" t="n">
        <v>0.52</v>
      </c>
      <c r="N449" s="5" t="n">
        <v>0.47</v>
      </c>
    </row>
    <row r="450">
      <c r="A450" t="n">
        <v>449</v>
      </c>
      <c r="B450" t="n">
        <v>2014</v>
      </c>
      <c r="C450" t="inlineStr">
        <is>
          <t>Audrey JIA</t>
        </is>
      </c>
      <c r="D450">
        <f>HYPERLINK("https://ota.tournamentsoftware.com/player-profile/3F7A519A-489C-490B-9AA2-F4FCBBCA474F", "Link")</f>
        <v/>
      </c>
      <c r="E450" s="3" t="n">
        <v>110.649</v>
      </c>
      <c r="F450" s="4" t="n">
        <v>20</v>
      </c>
      <c r="G450" t="inlineStr">
        <is>
          <t>Ontario Tennis Association</t>
        </is>
      </c>
      <c r="H450" t="inlineStr">
        <is>
          <t>Newmarket Community Tennis Club</t>
        </is>
      </c>
      <c r="I450" t="inlineStr">
        <is>
          <t>unavailable</t>
        </is>
      </c>
      <c r="J450" s="4" t="n">
        <v>97</v>
      </c>
      <c r="K450" t="inlineStr">
        <is>
          <t>54 / 43</t>
        </is>
      </c>
      <c r="L450" t="inlineStr">
        <is>
          <t>37 / 16</t>
        </is>
      </c>
      <c r="M450" s="5" t="n">
        <v>0.5600000000000001</v>
      </c>
      <c r="N450" s="5" t="n">
        <v>0.7</v>
      </c>
    </row>
    <row r="451">
      <c r="A451" t="n">
        <v>450</v>
      </c>
      <c r="B451" t="n">
        <v>2013</v>
      </c>
      <c r="C451" t="inlineStr">
        <is>
          <t>LeeZann Lai</t>
        </is>
      </c>
      <c r="D451">
        <f>HYPERLINK("https://ota.tournamentsoftware.com/player-profile/F653FB3B-D606-4799-98B3-B9B8F7D1D120", "Link")</f>
        <v/>
      </c>
      <c r="E451" s="3" t="n">
        <v>110.16</v>
      </c>
      <c r="F451" s="4" t="n">
        <v>13</v>
      </c>
      <c r="G451" t="inlineStr">
        <is>
          <t>Ontario Tennis Association</t>
        </is>
      </c>
      <c r="H451" t="inlineStr">
        <is>
          <t>Don Mills Tennis Club</t>
        </is>
      </c>
      <c r="I451" t="n">
        <v>34.8</v>
      </c>
      <c r="J451" s="4" t="n">
        <v>54</v>
      </c>
      <c r="K451" t="inlineStr">
        <is>
          <t>22 / 32</t>
        </is>
      </c>
      <c r="L451" t="inlineStr">
        <is>
          <t>6 / 12</t>
        </is>
      </c>
      <c r="M451" s="5" t="n">
        <v>0.41</v>
      </c>
      <c r="N451" s="5" t="n">
        <v>0.33</v>
      </c>
    </row>
    <row r="452">
      <c r="A452" t="n">
        <v>451</v>
      </c>
      <c r="B452" t="n">
        <v>2015</v>
      </c>
      <c r="C452" t="inlineStr">
        <is>
          <t>Mila Venturelli</t>
        </is>
      </c>
      <c r="D452">
        <f>HYPERLINK("https://ota.tournamentsoftware.com/player-profile/BCA3B83C-81C0-4469-B3DA-4E3234E6CA0A", "Link")</f>
        <v/>
      </c>
      <c r="E452" s="3" t="n">
        <v>109.646</v>
      </c>
      <c r="F452" s="4" t="n">
        <v>21</v>
      </c>
      <c r="G452" t="inlineStr">
        <is>
          <t>Tennis Québec</t>
        </is>
      </c>
      <c r="H452" t="inlineStr">
        <is>
          <t>Tennis 13</t>
        </is>
      </c>
      <c r="I452" t="n">
        <v>36.8</v>
      </c>
      <c r="J452" s="4" t="n">
        <v>89</v>
      </c>
      <c r="K452" t="inlineStr">
        <is>
          <t>36 / 53</t>
        </is>
      </c>
      <c r="L452" t="inlineStr">
        <is>
          <t>8 / 16</t>
        </is>
      </c>
      <c r="M452" s="5" t="n">
        <v>0.4</v>
      </c>
      <c r="N452" s="5" t="n">
        <v>0.33</v>
      </c>
    </row>
    <row r="453">
      <c r="A453" t="n">
        <v>452</v>
      </c>
      <c r="B453" t="n">
        <v>2012</v>
      </c>
      <c r="C453" t="inlineStr">
        <is>
          <t>Rachael Qing Xu</t>
        </is>
      </c>
      <c r="D453">
        <f>HYPERLINK("https://ota.tournamentsoftware.com/player-profile/EF0FB6C4-F27A-45FB-BD75-3C3F4D9EF188", "Link")</f>
        <v/>
      </c>
      <c r="E453" s="3" t="n">
        <v>108.876</v>
      </c>
      <c r="F453" s="4" t="n">
        <v>2</v>
      </c>
      <c r="G453" t="inlineStr">
        <is>
          <t>Ontario Tennis Association</t>
        </is>
      </c>
      <c r="H453" t="inlineStr">
        <is>
          <t>Rosedale Tennis Club (Hamilton)</t>
        </is>
      </c>
      <c r="I453" t="n">
        <v>37.2</v>
      </c>
      <c r="J453" s="4" t="n">
        <v>55</v>
      </c>
      <c r="K453" t="inlineStr">
        <is>
          <t>20 / 35</t>
        </is>
      </c>
      <c r="L453" t="inlineStr">
        <is>
          <t>0 / 0</t>
        </is>
      </c>
      <c r="M453" s="5" t="n">
        <v>0.36</v>
      </c>
      <c r="N453" s="5" t="n">
        <v>0</v>
      </c>
    </row>
    <row r="454">
      <c r="A454" t="n">
        <v>453</v>
      </c>
      <c r="B454" t="n">
        <v>2014</v>
      </c>
      <c r="C454" t="inlineStr">
        <is>
          <t>SHANAYA CHAUDHARY</t>
        </is>
      </c>
      <c r="D454">
        <f>HYPERLINK("https://ota.tournamentsoftware.com/player-profile/72814258-2663-4B9E-9EB1-0A804D79578E", "Link")</f>
        <v/>
      </c>
      <c r="E454" s="3" t="n">
        <v>107.581</v>
      </c>
      <c r="F454" s="4" t="n">
        <v>11</v>
      </c>
      <c r="G454" t="inlineStr">
        <is>
          <t>Ontario Tennis Association</t>
        </is>
      </c>
      <c r="H454" t="inlineStr">
        <is>
          <t>Waterloo Tennis Club</t>
        </is>
      </c>
      <c r="I454" t="inlineStr">
        <is>
          <t>unavailable</t>
        </is>
      </c>
      <c r="J454" s="4" t="n">
        <v>26</v>
      </c>
      <c r="K454" t="inlineStr">
        <is>
          <t>16 / 10</t>
        </is>
      </c>
      <c r="L454" t="inlineStr">
        <is>
          <t>12 / 7</t>
        </is>
      </c>
      <c r="M454" s="5" t="n">
        <v>0.62</v>
      </c>
      <c r="N454" s="5" t="n">
        <v>0.63</v>
      </c>
    </row>
    <row r="455">
      <c r="A455" t="n">
        <v>454</v>
      </c>
      <c r="B455" t="n">
        <v>2013</v>
      </c>
      <c r="C455" t="inlineStr">
        <is>
          <t>Murphy Mofei Gao</t>
        </is>
      </c>
      <c r="D455">
        <f>HYPERLINK("https://ota.tournamentsoftware.com/player-profile/64A4B4DB-7753-451A-A411-16FC49084860", "Link")</f>
        <v/>
      </c>
      <c r="E455" s="3" t="n">
        <v>107.489</v>
      </c>
      <c r="F455" s="4" t="n">
        <v>17</v>
      </c>
      <c r="G455" t="inlineStr">
        <is>
          <t>British Columbia</t>
        </is>
      </c>
      <c r="H455" t="inlineStr">
        <is>
          <t>No Club</t>
        </is>
      </c>
      <c r="I455" t="n">
        <v>37.4</v>
      </c>
      <c r="J455" s="4" t="n">
        <v>141</v>
      </c>
      <c r="K455" t="inlineStr">
        <is>
          <t>19 / 122</t>
        </is>
      </c>
      <c r="L455" t="inlineStr">
        <is>
          <t>4 / 26</t>
        </is>
      </c>
      <c r="M455" s="5" t="n">
        <v>0.13</v>
      </c>
      <c r="N455" s="5" t="n">
        <v>0.13</v>
      </c>
    </row>
    <row r="456">
      <c r="A456" t="n">
        <v>455</v>
      </c>
      <c r="B456" t="n">
        <v>2014</v>
      </c>
      <c r="C456" t="inlineStr">
        <is>
          <t>Emily Ke</t>
        </is>
      </c>
      <c r="D456">
        <f>HYPERLINK("https://ota.tournamentsoftware.com/player-profile/D0843107-5FBA-4EB4-8781-B60B5E7E1319", "Link")</f>
        <v/>
      </c>
      <c r="E456" s="3" t="n">
        <v>107.414</v>
      </c>
      <c r="F456" s="4" t="n">
        <v>16</v>
      </c>
      <c r="G456" t="inlineStr">
        <is>
          <t>Ontario Tennis Association</t>
        </is>
      </c>
      <c r="H456" t="inlineStr">
        <is>
          <t>Mayfair East Racquet Club</t>
        </is>
      </c>
      <c r="I456" t="n">
        <v>35.2</v>
      </c>
      <c r="J456" s="4" t="n">
        <v>109</v>
      </c>
      <c r="K456" t="inlineStr">
        <is>
          <t>38 / 71</t>
        </is>
      </c>
      <c r="L456" t="inlineStr">
        <is>
          <t>4 / 7</t>
        </is>
      </c>
      <c r="M456" s="5" t="n">
        <v>0.35</v>
      </c>
      <c r="N456" s="5" t="n">
        <v>0.36</v>
      </c>
    </row>
    <row r="457">
      <c r="A457" t="n">
        <v>456</v>
      </c>
      <c r="B457" t="n">
        <v>2015</v>
      </c>
      <c r="C457" t="inlineStr">
        <is>
          <t>Maranata Okubazgi</t>
        </is>
      </c>
      <c r="D457">
        <f>HYPERLINK("https://ota.tournamentsoftware.com/player-profile/D41680BB-0D07-401E-A1E3-7ECB40E4830A", "Link")</f>
        <v/>
      </c>
      <c r="E457" s="3" t="n">
        <v>106.824</v>
      </c>
      <c r="F457" s="4" t="n">
        <v>16</v>
      </c>
      <c r="G457" t="inlineStr">
        <is>
          <t>Ontario Tennis Association</t>
        </is>
      </c>
      <c r="H457" t="inlineStr">
        <is>
          <t>Premier Racquet Clubs – Mississauga</t>
        </is>
      </c>
      <c r="I457" t="n">
        <v>34.8</v>
      </c>
      <c r="J457" s="4" t="n">
        <v>96</v>
      </c>
      <c r="K457" t="inlineStr">
        <is>
          <t>55 / 41</t>
        </is>
      </c>
      <c r="L457" t="inlineStr">
        <is>
          <t>16 / 13</t>
        </is>
      </c>
      <c r="M457" s="5" t="n">
        <v>0.57</v>
      </c>
      <c r="N457" s="5" t="n">
        <v>0.55</v>
      </c>
    </row>
    <row r="458">
      <c r="A458" t="n">
        <v>457</v>
      </c>
      <c r="B458" t="n">
        <v>2013</v>
      </c>
      <c r="C458" t="inlineStr">
        <is>
          <t>Khaliya Karim</t>
        </is>
      </c>
      <c r="D458">
        <f>HYPERLINK("https://ota.tournamentsoftware.com/player-profile/3982667F-BB84-4AC0-B470-E67D90581DB9", "Link")</f>
        <v/>
      </c>
      <c r="E458" s="3" t="n">
        <v>106.257</v>
      </c>
      <c r="F458" s="4" t="n">
        <v>19</v>
      </c>
      <c r="G458" t="inlineStr">
        <is>
          <t>British Columbia</t>
        </is>
      </c>
      <c r="H458" t="inlineStr">
        <is>
          <t>Arbutus Club</t>
        </is>
      </c>
      <c r="I458" t="n">
        <v>35.3</v>
      </c>
      <c r="J458" s="4" t="n">
        <v>90</v>
      </c>
      <c r="K458" t="inlineStr">
        <is>
          <t>18 / 72</t>
        </is>
      </c>
      <c r="L458" t="inlineStr">
        <is>
          <t>14 / 25</t>
        </is>
      </c>
      <c r="M458" s="5" t="n">
        <v>0.2</v>
      </c>
      <c r="N458" s="5" t="n">
        <v>0.36</v>
      </c>
    </row>
    <row r="459">
      <c r="A459" t="n">
        <v>458</v>
      </c>
      <c r="B459" t="n">
        <v>2014</v>
      </c>
      <c r="C459" t="inlineStr">
        <is>
          <t>Abigail Curilscaia</t>
        </is>
      </c>
      <c r="D459">
        <f>HYPERLINK("https://ota.tournamentsoftware.com/player-profile/275CB740-D9DB-4B51-8864-93A2F0D91A3B", "Link")</f>
        <v/>
      </c>
      <c r="E459" s="3" t="n">
        <v>105.422</v>
      </c>
      <c r="F459" s="4" t="n">
        <v>13</v>
      </c>
      <c r="G459" t="inlineStr">
        <is>
          <t>Tennis Alberta</t>
        </is>
      </c>
      <c r="H459" t="inlineStr">
        <is>
          <t>Aforza</t>
        </is>
      </c>
      <c r="I459" t="n">
        <v>32</v>
      </c>
      <c r="J459" s="4" t="n">
        <v>91</v>
      </c>
      <c r="K459" t="inlineStr">
        <is>
          <t>40 / 51</t>
        </is>
      </c>
      <c r="L459" t="inlineStr">
        <is>
          <t>17 / 10</t>
        </is>
      </c>
      <c r="M459" s="5" t="n">
        <v>0.44</v>
      </c>
      <c r="N459" s="5" t="n">
        <v>0.63</v>
      </c>
    </row>
    <row r="460">
      <c r="A460" t="n">
        <v>459</v>
      </c>
      <c r="B460" t="n">
        <v>2016</v>
      </c>
      <c r="C460" t="inlineStr">
        <is>
          <t>Paulina Mangal</t>
        </is>
      </c>
      <c r="D460">
        <f>HYPERLINK("https://ota.tournamentsoftware.com/player-profile/ADDD5986-263D-4338-B6C0-6F72A2AC55F7", "Link")</f>
        <v/>
      </c>
      <c r="E460" s="3" t="n">
        <v>103.751</v>
      </c>
      <c r="F460" s="4" t="n">
        <v>23</v>
      </c>
      <c r="G460" t="inlineStr">
        <is>
          <t>Ontario Tennis Association</t>
        </is>
      </c>
      <c r="H460" t="inlineStr">
        <is>
          <t>Premier Racquet Clubs – Mississauga</t>
        </is>
      </c>
      <c r="I460" t="n">
        <v>35.8</v>
      </c>
      <c r="J460" s="4" t="n">
        <v>182</v>
      </c>
      <c r="K460" t="inlineStr">
        <is>
          <t>77 / 105</t>
        </is>
      </c>
      <c r="L460" t="inlineStr">
        <is>
          <t>18 / 20</t>
        </is>
      </c>
      <c r="M460" s="5" t="n">
        <v>0.42</v>
      </c>
      <c r="N460" s="5" t="n">
        <v>0.47</v>
      </c>
    </row>
    <row r="461">
      <c r="A461" t="n">
        <v>460</v>
      </c>
      <c r="B461" t="n">
        <v>2015</v>
      </c>
      <c r="C461" t="inlineStr">
        <is>
          <t>Anna Guzina-McLeod</t>
        </is>
      </c>
      <c r="D461">
        <f>HYPERLINK("https://ota.tournamentsoftware.com/player-profile/55F5BC4F-092C-4C72-BFDC-3F60E618D778", "Link")</f>
        <v/>
      </c>
      <c r="E461" s="3" t="n">
        <v>103.216</v>
      </c>
      <c r="F461" s="4" t="n">
        <v>17</v>
      </c>
      <c r="G461" t="inlineStr">
        <is>
          <t>Ontario Tennis Association</t>
        </is>
      </c>
      <c r="H461" t="inlineStr">
        <is>
          <t>Rideau Sports Centre</t>
        </is>
      </c>
      <c r="I461" t="inlineStr">
        <is>
          <t>unavailable</t>
        </is>
      </c>
      <c r="J461" s="4" t="n">
        <v>116</v>
      </c>
      <c r="K461" t="inlineStr">
        <is>
          <t>67 / 49</t>
        </is>
      </c>
      <c r="L461" t="inlineStr">
        <is>
          <t>11 / 16</t>
        </is>
      </c>
      <c r="M461" s="5" t="n">
        <v>0.58</v>
      </c>
      <c r="N461" s="5" t="n">
        <v>0.41</v>
      </c>
    </row>
    <row r="462">
      <c r="A462" t="n">
        <v>461</v>
      </c>
      <c r="B462" t="n">
        <v>2015</v>
      </c>
      <c r="C462" t="inlineStr">
        <is>
          <t>Sofia Nasrallah</t>
        </is>
      </c>
      <c r="D462">
        <f>HYPERLINK("https://ota.tournamentsoftware.com/player-profile/FAA88C80-170D-40C3-8A88-6B81077D1F02", "Link")</f>
        <v/>
      </c>
      <c r="E462" s="3" t="n">
        <v>102.9</v>
      </c>
      <c r="F462" s="4" t="n">
        <v>22</v>
      </c>
      <c r="G462" t="inlineStr">
        <is>
          <t>Tennis Québec</t>
        </is>
      </c>
      <c r="H462" t="inlineStr">
        <is>
          <t>Carrefour Multisports</t>
        </is>
      </c>
      <c r="I462" t="n">
        <v>37</v>
      </c>
      <c r="J462" s="4" t="n">
        <v>155</v>
      </c>
      <c r="K462" t="inlineStr">
        <is>
          <t>52 / 103</t>
        </is>
      </c>
      <c r="L462" t="inlineStr">
        <is>
          <t>9 / 20</t>
        </is>
      </c>
      <c r="M462" s="5" t="n">
        <v>0.34</v>
      </c>
      <c r="N462" s="5" t="n">
        <v>0.31</v>
      </c>
    </row>
    <row r="463">
      <c r="A463" t="n">
        <v>462</v>
      </c>
      <c r="B463" t="n">
        <v>2014</v>
      </c>
      <c r="C463" t="inlineStr">
        <is>
          <t>Ananya Rao</t>
        </is>
      </c>
      <c r="D463">
        <f>HYPERLINK("https://ota.tournamentsoftware.com/player-profile/D12578BD-BDAF-471D-B53C-09B281C916CB", "Link")</f>
        <v/>
      </c>
      <c r="E463" s="3" t="n">
        <v>102.512</v>
      </c>
      <c r="F463" s="4" t="n">
        <v>16</v>
      </c>
      <c r="G463" t="inlineStr">
        <is>
          <t>Ontario Tennis Association</t>
        </is>
      </c>
      <c r="H463" t="inlineStr">
        <is>
          <t>Carleton Tennis Centre</t>
        </is>
      </c>
      <c r="I463" t="n">
        <v>36.8</v>
      </c>
      <c r="J463" s="4" t="n">
        <v>93</v>
      </c>
      <c r="K463" t="inlineStr">
        <is>
          <t>29 / 64</t>
        </is>
      </c>
      <c r="L463" t="inlineStr">
        <is>
          <t>6 / 9</t>
        </is>
      </c>
      <c r="M463" s="5" t="n">
        <v>0.31</v>
      </c>
      <c r="N463" s="5" t="n">
        <v>0.4</v>
      </c>
    </row>
    <row r="464">
      <c r="A464" t="n">
        <v>463</v>
      </c>
      <c r="B464" t="n">
        <v>2013</v>
      </c>
      <c r="C464" t="inlineStr">
        <is>
          <t>Isabelle Duvinage</t>
        </is>
      </c>
      <c r="D464">
        <f>HYPERLINK("https://ota.tournamentsoftware.com/player-profile/7B9DB032-AD8C-41C5-A138-CF844016B7C1", "Link")</f>
        <v/>
      </c>
      <c r="E464" s="3" t="n">
        <v>102.511</v>
      </c>
      <c r="F464" s="4" t="n">
        <v>6</v>
      </c>
      <c r="G464" t="inlineStr">
        <is>
          <t>Ontario Tennis Association</t>
        </is>
      </c>
      <c r="H464" t="inlineStr">
        <is>
          <t>Kew Gardens Tennis Club</t>
        </is>
      </c>
      <c r="I464" t="n">
        <v>38</v>
      </c>
      <c r="J464" s="4" t="n">
        <v>39</v>
      </c>
      <c r="K464" t="inlineStr">
        <is>
          <t>12 / 27</t>
        </is>
      </c>
      <c r="L464" t="inlineStr">
        <is>
          <t>1 / 7</t>
        </is>
      </c>
      <c r="M464" s="5" t="n">
        <v>0.31</v>
      </c>
      <c r="N464" s="5" t="n">
        <v>0.12</v>
      </c>
    </row>
    <row r="465">
      <c r="A465" t="n">
        <v>464</v>
      </c>
      <c r="B465" t="n">
        <v>2014</v>
      </c>
      <c r="C465" t="inlineStr">
        <is>
          <t>Scarlett Habeebkutty</t>
        </is>
      </c>
      <c r="D465">
        <f>HYPERLINK("https://ota.tournamentsoftware.com/player-profile/B3E7011D-10BF-4CEB-9D49-F24BAE1BE1A2", "Link")</f>
        <v/>
      </c>
      <c r="E465" s="3" t="n">
        <v>102.277</v>
      </c>
      <c r="F465" s="4" t="n">
        <v>5</v>
      </c>
      <c r="G465" t="inlineStr">
        <is>
          <t>Tennis Saskatchewan</t>
        </is>
      </c>
      <c r="H465" t="inlineStr">
        <is>
          <t>Lakeshore Tennis Club</t>
        </is>
      </c>
      <c r="I465" t="n">
        <v>40</v>
      </c>
      <c r="J465" s="4" t="n">
        <v>14</v>
      </c>
      <c r="K465" t="inlineStr">
        <is>
          <t>0 / 14</t>
        </is>
      </c>
      <c r="L465" t="inlineStr">
        <is>
          <t>0 / 14</t>
        </is>
      </c>
      <c r="M465" s="5" t="n">
        <v>0</v>
      </c>
      <c r="N465" s="5" t="n">
        <v>0</v>
      </c>
    </row>
    <row r="466">
      <c r="A466" t="n">
        <v>465</v>
      </c>
      <c r="B466" t="n">
        <v>2012</v>
      </c>
      <c r="C466" t="inlineStr">
        <is>
          <t>aashka vishal devaiya</t>
        </is>
      </c>
      <c r="D466">
        <f>HYPERLINK("https://ota.tournamentsoftware.com/player-profile/99C1CB63-E70E-4FB5-A115-3A252251FA67", "Link")</f>
        <v/>
      </c>
      <c r="E466" s="3" t="n">
        <v>100.829</v>
      </c>
      <c r="F466" s="4" t="n">
        <v>1</v>
      </c>
      <c r="G466" t="inlineStr">
        <is>
          <t>British Columbia</t>
        </is>
      </c>
      <c r="H466" t="inlineStr">
        <is>
          <t>No Club</t>
        </is>
      </c>
      <c r="I466" t="inlineStr">
        <is>
          <t>unavailable</t>
        </is>
      </c>
      <c r="J466" s="4" t="n">
        <v>3</v>
      </c>
      <c r="K466" t="inlineStr">
        <is>
          <t>2 / 1</t>
        </is>
      </c>
      <c r="L466" t="inlineStr">
        <is>
          <t>2 / 1</t>
        </is>
      </c>
      <c r="M466" s="5" t="n">
        <v>0.67</v>
      </c>
      <c r="N466" s="5" t="n">
        <v>0.67</v>
      </c>
    </row>
    <row r="467">
      <c r="A467" t="n">
        <v>466</v>
      </c>
      <c r="B467" t="n">
        <v>2016</v>
      </c>
      <c r="C467" t="inlineStr">
        <is>
          <t>Kassidy, Chin Yau Lau</t>
        </is>
      </c>
      <c r="D467">
        <f>HYPERLINK("https://ota.tournamentsoftware.com/player-profile/725BC980-EB67-418A-9A78-144DF7D7CE7E", "Link")</f>
        <v/>
      </c>
      <c r="E467" s="3" t="n">
        <v>100.632</v>
      </c>
      <c r="F467" s="4" t="n">
        <v>22</v>
      </c>
      <c r="G467" t="inlineStr">
        <is>
          <t>Ontario Tennis Association</t>
        </is>
      </c>
      <c r="H467" t="inlineStr">
        <is>
          <t>No Club</t>
        </is>
      </c>
      <c r="I467" t="n">
        <v>34.3</v>
      </c>
      <c r="J467" s="4" t="n">
        <v>60</v>
      </c>
      <c r="K467" t="inlineStr">
        <is>
          <t>36 / 24</t>
        </is>
      </c>
      <c r="L467" t="inlineStr">
        <is>
          <t>36 / 24</t>
        </is>
      </c>
      <c r="M467" s="5" t="n">
        <v>0.6</v>
      </c>
      <c r="N467" s="5" t="n">
        <v>0.6</v>
      </c>
    </row>
    <row r="468">
      <c r="A468" t="n">
        <v>467</v>
      </c>
      <c r="B468" t="n">
        <v>2013</v>
      </c>
      <c r="C468" t="inlineStr">
        <is>
          <t>Noa Margaux Dery</t>
        </is>
      </c>
      <c r="D468">
        <f>HYPERLINK("https://ota.tournamentsoftware.com/player-profile/2BE09915-8A78-4187-839F-E3A10E233213", "Link")</f>
        <v/>
      </c>
      <c r="E468" s="3" t="n">
        <v>99.898</v>
      </c>
      <c r="F468" s="4" t="n">
        <v>8</v>
      </c>
      <c r="G468" t="inlineStr">
        <is>
          <t>Tennis Québec</t>
        </is>
      </c>
      <c r="H468" t="inlineStr">
        <is>
          <t>Club Sportif Côte-de-Liesse</t>
        </is>
      </c>
      <c r="I468" t="n">
        <v>35.6</v>
      </c>
      <c r="J468" s="4" t="n">
        <v>38</v>
      </c>
      <c r="K468" t="inlineStr">
        <is>
          <t>14 / 24</t>
        </is>
      </c>
      <c r="L468" t="inlineStr">
        <is>
          <t>7 / 5</t>
        </is>
      </c>
      <c r="M468" s="5" t="n">
        <v>0.37</v>
      </c>
      <c r="N468" s="5" t="n">
        <v>0.58</v>
      </c>
    </row>
    <row r="469">
      <c r="A469" t="n">
        <v>468</v>
      </c>
      <c r="B469" t="n">
        <v>2012</v>
      </c>
      <c r="C469" t="inlineStr">
        <is>
          <t>ONYEKACHUKWU MAGDALENE OGBATUE</t>
        </is>
      </c>
      <c r="D469">
        <f>HYPERLINK("https://ota.tournamentsoftware.com/player-profile/34FAC6AA-945B-40B3-BDE9-3F8B4198659B", "Link")</f>
        <v/>
      </c>
      <c r="E469" s="3" t="n">
        <v>99.878</v>
      </c>
      <c r="F469" s="4" t="n">
        <v>6</v>
      </c>
      <c r="G469" t="inlineStr">
        <is>
          <t>Ontario Tennis Association</t>
        </is>
      </c>
      <c r="H469" t="inlineStr">
        <is>
          <t>Matchpoint Tennis</t>
        </is>
      </c>
      <c r="I469" t="n">
        <v>35.6</v>
      </c>
      <c r="J469" s="4" t="n">
        <v>18</v>
      </c>
      <c r="K469" t="inlineStr">
        <is>
          <t>11 / 7</t>
        </is>
      </c>
      <c r="L469" t="inlineStr">
        <is>
          <t>11 / 7</t>
        </is>
      </c>
      <c r="M469" s="5" t="n">
        <v>0.61</v>
      </c>
      <c r="N469" s="5" t="n">
        <v>0.61</v>
      </c>
    </row>
    <row r="470">
      <c r="A470" t="n">
        <v>469</v>
      </c>
      <c r="B470" t="n">
        <v>2012</v>
      </c>
      <c r="C470" t="inlineStr">
        <is>
          <t>Emma Fedeyko</t>
        </is>
      </c>
      <c r="D470">
        <f>HYPERLINK("https://ota.tournamentsoftware.com/player-profile/62E06657-0480-40D7-B491-B99DA20E11DF", "Link")</f>
        <v/>
      </c>
      <c r="E470" s="3" t="n">
        <v>99.619</v>
      </c>
      <c r="F470" s="4" t="n">
        <v>8</v>
      </c>
      <c r="G470" t="inlineStr">
        <is>
          <t>Ontario Tennis Association</t>
        </is>
      </c>
      <c r="H470" t="inlineStr">
        <is>
          <t>Ontario Racquet Club</t>
        </is>
      </c>
      <c r="I470" t="n">
        <v>35.5</v>
      </c>
      <c r="J470" s="4" t="n">
        <v>52</v>
      </c>
      <c r="K470" t="inlineStr">
        <is>
          <t>19 / 33</t>
        </is>
      </c>
      <c r="L470" t="inlineStr">
        <is>
          <t>3 / 5</t>
        </is>
      </c>
      <c r="M470" s="5" t="n">
        <v>0.37</v>
      </c>
      <c r="N470" s="5" t="n">
        <v>0.38</v>
      </c>
    </row>
    <row r="471">
      <c r="A471" t="n">
        <v>470</v>
      </c>
      <c r="B471" t="n">
        <v>2015</v>
      </c>
      <c r="C471" t="inlineStr">
        <is>
          <t>Kaliya Summer Miserre-Garrecht</t>
        </is>
      </c>
      <c r="D471">
        <f>HYPERLINK("https://ota.tournamentsoftware.com/player-profile/C178309B-9B10-4C79-99B5-DD8E37FCC1EF", "Link")</f>
        <v/>
      </c>
      <c r="E471" s="3" t="n">
        <v>99.33799999999999</v>
      </c>
      <c r="F471" s="4" t="n">
        <v>23</v>
      </c>
      <c r="G471" t="inlineStr">
        <is>
          <t>British Columbia</t>
        </is>
      </c>
      <c r="H471" t="inlineStr">
        <is>
          <t>Vanguard Tennis Academy</t>
        </is>
      </c>
      <c r="I471" t="n">
        <v>36</v>
      </c>
      <c r="J471" s="4" t="n">
        <v>140</v>
      </c>
      <c r="K471" t="inlineStr">
        <is>
          <t>61 / 79</t>
        </is>
      </c>
      <c r="L471" t="inlineStr">
        <is>
          <t>16 / 26</t>
        </is>
      </c>
      <c r="M471" s="5" t="n">
        <v>0.44</v>
      </c>
      <c r="N471" s="5" t="n">
        <v>0.38</v>
      </c>
    </row>
    <row r="472">
      <c r="A472" t="n">
        <v>471</v>
      </c>
      <c r="B472" t="n">
        <v>2014</v>
      </c>
      <c r="C472" t="inlineStr">
        <is>
          <t>Chloe Esther Yeung</t>
        </is>
      </c>
      <c r="D472">
        <f>HYPERLINK("https://ota.tournamentsoftware.com/player-profile/A0100B59-21FE-4244-87C6-16B2DE0DBB96", "Link")</f>
        <v/>
      </c>
      <c r="E472" s="3" t="n">
        <v>99.27800000000001</v>
      </c>
      <c r="F472" s="4" t="n">
        <v>11</v>
      </c>
      <c r="G472" t="inlineStr">
        <is>
          <t>Ontario Tennis Association</t>
        </is>
      </c>
      <c r="H472" t="inlineStr">
        <is>
          <t>Mayfair East Racquet Club</t>
        </is>
      </c>
      <c r="I472" t="n">
        <v>36.6</v>
      </c>
      <c r="J472" s="4" t="n">
        <v>106</v>
      </c>
      <c r="K472" t="inlineStr">
        <is>
          <t>45 / 61</t>
        </is>
      </c>
      <c r="L472" t="inlineStr">
        <is>
          <t>3 / 9</t>
        </is>
      </c>
      <c r="M472" s="5" t="n">
        <v>0.42</v>
      </c>
      <c r="N472" s="5" t="n">
        <v>0.25</v>
      </c>
    </row>
    <row r="473">
      <c r="A473" t="n">
        <v>472</v>
      </c>
      <c r="B473" t="n">
        <v>2016</v>
      </c>
      <c r="C473" t="inlineStr">
        <is>
          <t>Lydia Yinuo Xu</t>
        </is>
      </c>
      <c r="D473">
        <f>HYPERLINK("https://ota.tournamentsoftware.com/player-profile/515F94D6-B979-4BBE-98E6-48CFEF4CE395", "Link")</f>
        <v/>
      </c>
      <c r="E473" s="3" t="n">
        <v>99</v>
      </c>
      <c r="F473" s="4" t="n">
        <v>12</v>
      </c>
      <c r="G473" t="inlineStr">
        <is>
          <t>Ontario Tennis Association</t>
        </is>
      </c>
      <c r="H473" t="inlineStr">
        <is>
          <t>Joshua Creek Golf &amp; Tennis</t>
        </is>
      </c>
      <c r="I473" t="n">
        <v>35.1</v>
      </c>
      <c r="J473" s="4" t="n">
        <v>160</v>
      </c>
      <c r="K473" t="inlineStr">
        <is>
          <t>76 / 84</t>
        </is>
      </c>
      <c r="L473" t="inlineStr">
        <is>
          <t>30 / 14</t>
        </is>
      </c>
      <c r="M473" s="5" t="n">
        <v>0.47</v>
      </c>
      <c r="N473" s="5" t="n">
        <v>0.68</v>
      </c>
    </row>
    <row r="474">
      <c r="A474" t="n">
        <v>473</v>
      </c>
      <c r="B474" t="n">
        <v>2013</v>
      </c>
      <c r="C474" t="inlineStr">
        <is>
          <t>Kaylie Kam</t>
        </is>
      </c>
      <c r="D474">
        <f>HYPERLINK("https://ota.tournamentsoftware.com/player-profile/29B7928E-12B2-4691-8B4A-1DE557B4F068", "Link")</f>
        <v/>
      </c>
      <c r="E474" s="3" t="n">
        <v>98.657</v>
      </c>
      <c r="F474" s="4" t="n">
        <v>14</v>
      </c>
      <c r="G474" t="inlineStr">
        <is>
          <t>Ontario Tennis Association</t>
        </is>
      </c>
      <c r="H474" t="inlineStr">
        <is>
          <t>Blackmore Tennis Club</t>
        </is>
      </c>
      <c r="I474" t="n">
        <v>33.8</v>
      </c>
      <c r="J474" s="4" t="n">
        <v>58</v>
      </c>
      <c r="K474" t="inlineStr">
        <is>
          <t>38 / 20</t>
        </is>
      </c>
      <c r="L474" t="inlineStr">
        <is>
          <t>12 / 12</t>
        </is>
      </c>
      <c r="M474" s="5" t="n">
        <v>0.66</v>
      </c>
      <c r="N474" s="5" t="n">
        <v>0.5</v>
      </c>
    </row>
    <row r="475">
      <c r="A475" t="n">
        <v>474</v>
      </c>
      <c r="B475" t="n">
        <v>2012</v>
      </c>
      <c r="C475" t="inlineStr">
        <is>
          <t>Emily Lyn</t>
        </is>
      </c>
      <c r="D475">
        <f>HYPERLINK("https://ota.tournamentsoftware.com/player-profile/952E408B-05E4-4A69-8AAE-E4D164512A9E", "Link")</f>
        <v/>
      </c>
      <c r="E475" s="3" t="n">
        <v>98.52</v>
      </c>
      <c r="F475" s="4" t="n">
        <v>8</v>
      </c>
      <c r="G475" t="inlineStr">
        <is>
          <t>Ontario Tennis Association</t>
        </is>
      </c>
      <c r="H475" t="inlineStr">
        <is>
          <t>Markham Tennis Club</t>
        </is>
      </c>
      <c r="I475" t="n">
        <v>36</v>
      </c>
      <c r="J475" s="4" t="n">
        <v>103</v>
      </c>
      <c r="K475" t="inlineStr">
        <is>
          <t>61 / 42</t>
        </is>
      </c>
      <c r="L475" t="inlineStr">
        <is>
          <t>5 / 6</t>
        </is>
      </c>
      <c r="M475" s="5" t="n">
        <v>0.59</v>
      </c>
      <c r="N475" s="5" t="n">
        <v>0.45</v>
      </c>
    </row>
    <row r="476">
      <c r="A476" t="n">
        <v>475</v>
      </c>
      <c r="B476" t="n">
        <v>2014</v>
      </c>
      <c r="C476" t="inlineStr">
        <is>
          <t>Avril Kymber Lin</t>
        </is>
      </c>
      <c r="D476">
        <f>HYPERLINK("https://ota.tournamentsoftware.com/player-profile/6CFCC91C-A66C-46B5-8430-D2D78CE3EE4B", "Link")</f>
        <v/>
      </c>
      <c r="E476" s="3" t="n">
        <v>98.492</v>
      </c>
      <c r="F476" s="4" t="n">
        <v>13</v>
      </c>
      <c r="G476" t="inlineStr">
        <is>
          <t>Tennis Alberta</t>
        </is>
      </c>
      <c r="H476" t="inlineStr">
        <is>
          <t>Brookside Court &amp; Wellness</t>
        </is>
      </c>
      <c r="I476" t="inlineStr">
        <is>
          <t>unavailable</t>
        </is>
      </c>
      <c r="J476" s="4" t="n">
        <v>101</v>
      </c>
      <c r="K476" t="inlineStr">
        <is>
          <t>40 / 61</t>
        </is>
      </c>
      <c r="L476" t="inlineStr">
        <is>
          <t>10 / 16</t>
        </is>
      </c>
      <c r="M476" s="5" t="n">
        <v>0.4</v>
      </c>
      <c r="N476" s="5" t="n">
        <v>0.38</v>
      </c>
    </row>
    <row r="477">
      <c r="A477" t="n">
        <v>476</v>
      </c>
      <c r="B477" t="n">
        <v>2012</v>
      </c>
      <c r="C477" t="inlineStr">
        <is>
          <t>Alice Le</t>
        </is>
      </c>
      <c r="D477">
        <f>HYPERLINK("https://ota.tournamentsoftware.com/player-profile/762C717D-CB5B-4A61-877E-C235D5E4911F", "Link")</f>
        <v/>
      </c>
      <c r="E477" s="3" t="n">
        <v>98.04000000000001</v>
      </c>
      <c r="F477" s="4" t="n">
        <v>3</v>
      </c>
      <c r="G477" t="inlineStr">
        <is>
          <t>British Columbia</t>
        </is>
      </c>
      <c r="H477" t="inlineStr">
        <is>
          <t>City of Vancouver</t>
        </is>
      </c>
      <c r="I477" t="inlineStr">
        <is>
          <t>unavailable</t>
        </is>
      </c>
      <c r="J477" s="4" t="n">
        <v>10</v>
      </c>
      <c r="K477" t="inlineStr">
        <is>
          <t>7 / 3</t>
        </is>
      </c>
      <c r="L477" t="inlineStr">
        <is>
          <t>1 / 1</t>
        </is>
      </c>
      <c r="M477" s="5" t="n">
        <v>0.7</v>
      </c>
      <c r="N477" s="5" t="n">
        <v>0.5</v>
      </c>
    </row>
    <row r="478">
      <c r="A478" t="n">
        <v>477</v>
      </c>
      <c r="B478" t="n">
        <v>2014</v>
      </c>
      <c r="C478" t="inlineStr">
        <is>
          <t>Sarah Huang</t>
        </is>
      </c>
      <c r="D478">
        <f>HYPERLINK("https://ota.tournamentsoftware.com/player-profile/535A9ABE-481C-45C4-9357-B8FD9305232E", "Link")</f>
        <v/>
      </c>
      <c r="E478" s="3" t="n">
        <v>97.762</v>
      </c>
      <c r="F478" s="4" t="n">
        <v>14</v>
      </c>
      <c r="G478" t="inlineStr">
        <is>
          <t>Ontario Tennis Association</t>
        </is>
      </c>
      <c r="H478" t="inlineStr">
        <is>
          <t>Premier Racquet Club</t>
        </is>
      </c>
      <c r="I478" t="n">
        <v>35.4</v>
      </c>
      <c r="J478" s="4" t="n">
        <v>113</v>
      </c>
      <c r="K478" t="inlineStr">
        <is>
          <t>39 / 74</t>
        </is>
      </c>
      <c r="L478" t="inlineStr">
        <is>
          <t>5 / 7</t>
        </is>
      </c>
      <c r="M478" s="5" t="n">
        <v>0.35</v>
      </c>
      <c r="N478" s="5" t="n">
        <v>0.42</v>
      </c>
    </row>
    <row r="479">
      <c r="A479" t="n">
        <v>478</v>
      </c>
      <c r="B479" t="n">
        <v>2015</v>
      </c>
      <c r="C479" t="inlineStr">
        <is>
          <t>Violet Ton-That</t>
        </is>
      </c>
      <c r="D479">
        <f>HYPERLINK("https://ota.tournamentsoftware.com/player-profile/2832D590-1D78-4B7F-B573-E2D932040ADB", "Link")</f>
        <v/>
      </c>
      <c r="E479" s="3" t="n">
        <v>96.917</v>
      </c>
      <c r="F479" s="4" t="n">
        <v>11</v>
      </c>
      <c r="G479" t="inlineStr">
        <is>
          <t>Tennis Québec</t>
        </is>
      </c>
      <c r="H479" t="inlineStr">
        <is>
          <t>Tennis Montréal Excellence</t>
        </is>
      </c>
      <c r="I479" t="n">
        <v>35.7</v>
      </c>
      <c r="J479" s="4" t="n">
        <v>63</v>
      </c>
      <c r="K479" t="inlineStr">
        <is>
          <t>29 / 34</t>
        </is>
      </c>
      <c r="L479" t="inlineStr">
        <is>
          <t>8 / 10</t>
        </is>
      </c>
      <c r="M479" s="5" t="n">
        <v>0.46</v>
      </c>
      <c r="N479" s="5" t="n">
        <v>0.44</v>
      </c>
    </row>
    <row r="480">
      <c r="A480" t="n">
        <v>479</v>
      </c>
      <c r="B480" t="n">
        <v>2012</v>
      </c>
      <c r="C480" t="inlineStr">
        <is>
          <t>Emily Zhang</t>
        </is>
      </c>
      <c r="D480">
        <f>HYPERLINK("https://ota.tournamentsoftware.com/player-profile/927E8E34-8FE2-4B37-81C7-621F5326585C", "Link")</f>
        <v/>
      </c>
      <c r="E480" s="3" t="n">
        <v>96.367</v>
      </c>
      <c r="F480" s="4" t="n">
        <v>7</v>
      </c>
      <c r="G480" t="inlineStr">
        <is>
          <t>Ontario Tennis Association</t>
        </is>
      </c>
      <c r="H480" t="inlineStr">
        <is>
          <t>Blackmore Tennis Club</t>
        </is>
      </c>
      <c r="I480" t="inlineStr">
        <is>
          <t>unavailable</t>
        </is>
      </c>
      <c r="J480" s="4" t="n">
        <v>48</v>
      </c>
      <c r="K480" t="inlineStr">
        <is>
          <t>10 / 38</t>
        </is>
      </c>
      <c r="L480" t="inlineStr">
        <is>
          <t>1 / 3</t>
        </is>
      </c>
      <c r="M480" s="5" t="n">
        <v>0.21</v>
      </c>
      <c r="N480" s="5" t="n">
        <v>0.25</v>
      </c>
    </row>
    <row r="481">
      <c r="A481" t="n">
        <v>480</v>
      </c>
      <c r="B481" t="n">
        <v>2017</v>
      </c>
      <c r="C481" t="inlineStr">
        <is>
          <t>Amelia Alhakim</t>
        </is>
      </c>
      <c r="D481">
        <f>HYPERLINK("https://ota.tournamentsoftware.com/player-profile/0B954ECB-D503-4C36-BD94-6D389AF0D202", "Link")</f>
        <v/>
      </c>
      <c r="E481" s="3" t="n">
        <v>96.36</v>
      </c>
      <c r="F481" s="4" t="n">
        <v>13</v>
      </c>
      <c r="G481" t="inlineStr">
        <is>
          <t>Ontario Tennis Association</t>
        </is>
      </c>
      <c r="H481" t="inlineStr">
        <is>
          <t>Zekelman Tennis Centre</t>
        </is>
      </c>
      <c r="I481" t="n">
        <v>32.9</v>
      </c>
      <c r="J481" s="4" t="n">
        <v>40</v>
      </c>
      <c r="K481" t="inlineStr">
        <is>
          <t>23 / 17</t>
        </is>
      </c>
      <c r="L481" t="inlineStr">
        <is>
          <t>19 / 12</t>
        </is>
      </c>
      <c r="M481" s="5" t="n">
        <v>0.57</v>
      </c>
      <c r="N481" s="5" t="n">
        <v>0.61</v>
      </c>
    </row>
    <row r="482">
      <c r="A482" t="n">
        <v>481</v>
      </c>
      <c r="B482" t="n">
        <v>2015</v>
      </c>
      <c r="C482" t="inlineStr">
        <is>
          <t>Serena Wepadam CHONGATERA</t>
        </is>
      </c>
      <c r="D482">
        <f>HYPERLINK("https://ota.tournamentsoftware.com/player-profile/32A446CD-0BF6-43CA-BCC5-9AE4AEDFD5BE", "Link")</f>
        <v/>
      </c>
      <c r="E482" s="3" t="n">
        <v>95.923</v>
      </c>
      <c r="F482" s="4" t="n">
        <v>5</v>
      </c>
      <c r="G482" t="inlineStr">
        <is>
          <t>Tennis Nova Scotia</t>
        </is>
      </c>
      <c r="H482" t="inlineStr">
        <is>
          <t>HEADSTART</t>
        </is>
      </c>
      <c r="I482" t="n">
        <v>37.6</v>
      </c>
      <c r="J482" s="4" t="n">
        <v>22</v>
      </c>
      <c r="K482" t="inlineStr">
        <is>
          <t>8 / 14</t>
        </is>
      </c>
      <c r="L482" t="inlineStr">
        <is>
          <t>3 / 10</t>
        </is>
      </c>
      <c r="M482" s="5" t="n">
        <v>0.36</v>
      </c>
      <c r="N482" s="5" t="n">
        <v>0.23</v>
      </c>
    </row>
    <row r="483">
      <c r="A483" t="n">
        <v>482</v>
      </c>
      <c r="B483" t="n">
        <v>2014</v>
      </c>
      <c r="C483" t="inlineStr">
        <is>
          <t>Zoey Folashakin</t>
        </is>
      </c>
      <c r="D483">
        <f>HYPERLINK("https://ota.tournamentsoftware.com/player-profile/3301B942-3C8E-4FE4-9470-6F68EC47669D", "Link")</f>
        <v/>
      </c>
      <c r="E483" s="3" t="n">
        <v>95.544</v>
      </c>
      <c r="F483" s="4" t="n">
        <v>22</v>
      </c>
      <c r="G483" t="inlineStr">
        <is>
          <t>Ontario Tennis Association</t>
        </is>
      </c>
      <c r="H483" t="inlineStr">
        <is>
          <t>Joshua Creek Golf &amp; Tennis</t>
        </is>
      </c>
      <c r="I483" t="n">
        <v>36.6</v>
      </c>
      <c r="J483" s="4" t="n">
        <v>68</v>
      </c>
      <c r="K483" t="inlineStr">
        <is>
          <t>15 / 53</t>
        </is>
      </c>
      <c r="L483" t="inlineStr">
        <is>
          <t>11 / 14</t>
        </is>
      </c>
      <c r="M483" s="5" t="n">
        <v>0.22</v>
      </c>
      <c r="N483" s="5" t="n">
        <v>0.44</v>
      </c>
    </row>
    <row r="484">
      <c r="A484" t="n">
        <v>483</v>
      </c>
      <c r="B484" t="n">
        <v>2013</v>
      </c>
      <c r="C484" t="inlineStr">
        <is>
          <t>Chelsea Yuxin Lan</t>
        </is>
      </c>
      <c r="D484">
        <f>HYPERLINK("https://ota.tournamentsoftware.com/player-profile/D861FE8B-CCB2-4222-BA9C-EBD5C1FECE32", "Link")</f>
        <v/>
      </c>
      <c r="E484" s="3" t="n">
        <v>95.095</v>
      </c>
      <c r="F484" s="4" t="n">
        <v>16</v>
      </c>
      <c r="G484" t="inlineStr">
        <is>
          <t>British Columbia</t>
        </is>
      </c>
      <c r="H484" t="inlineStr">
        <is>
          <t>Hollyburn Country Club</t>
        </is>
      </c>
      <c r="I484" t="inlineStr">
        <is>
          <t>unavailable</t>
        </is>
      </c>
      <c r="J484" s="4" t="n">
        <v>117</v>
      </c>
      <c r="K484" t="inlineStr">
        <is>
          <t>34 / 83</t>
        </is>
      </c>
      <c r="L484" t="inlineStr">
        <is>
          <t>2 / 20</t>
        </is>
      </c>
      <c r="M484" s="5" t="n">
        <v>0.29</v>
      </c>
      <c r="N484" s="5" t="n">
        <v>0.09</v>
      </c>
    </row>
    <row r="485">
      <c r="A485" t="n">
        <v>484</v>
      </c>
      <c r="B485" t="n">
        <v>2012</v>
      </c>
      <c r="C485" t="inlineStr">
        <is>
          <t>Alyssa Grace Clouden</t>
        </is>
      </c>
      <c r="D485">
        <f>HYPERLINK("https://ota.tournamentsoftware.com/player-profile/85FC5E76-6ACD-4520-94D0-C05BABDC2184", "Link")</f>
        <v/>
      </c>
      <c r="E485" s="3" t="n">
        <v>94.176</v>
      </c>
      <c r="F485" s="4" t="n">
        <v>12</v>
      </c>
      <c r="G485" t="inlineStr">
        <is>
          <t>Ontario Tennis Association</t>
        </is>
      </c>
      <c r="H485" t="inlineStr">
        <is>
          <t>Headwaters Racquet Club</t>
        </is>
      </c>
      <c r="I485" t="n">
        <v>36.7</v>
      </c>
      <c r="J485" s="4" t="n">
        <v>52</v>
      </c>
      <c r="K485" t="inlineStr">
        <is>
          <t>24 / 28</t>
        </is>
      </c>
      <c r="L485" t="inlineStr">
        <is>
          <t>9 / 12</t>
        </is>
      </c>
      <c r="M485" s="5" t="n">
        <v>0.46</v>
      </c>
      <c r="N485" s="5" t="n">
        <v>0.43</v>
      </c>
    </row>
    <row r="486">
      <c r="A486" t="n">
        <v>485</v>
      </c>
      <c r="B486" t="n">
        <v>2012</v>
      </c>
      <c r="C486" t="inlineStr">
        <is>
          <t>Tiana Amede-Bramwell</t>
        </is>
      </c>
      <c r="D486">
        <f>HYPERLINK("https://ota.tournamentsoftware.com/player-profile/BC31A25D-C48C-47FD-A0A3-D600EA315675", "Link")</f>
        <v/>
      </c>
      <c r="E486" s="3" t="n">
        <v>94.053</v>
      </c>
      <c r="F486" s="4" t="n">
        <v>11</v>
      </c>
      <c r="G486" t="inlineStr">
        <is>
          <t>Ontario Tennis Association</t>
        </is>
      </c>
      <c r="H486" t="inlineStr">
        <is>
          <t>Credit Valley Tennis Club</t>
        </is>
      </c>
      <c r="I486" t="n">
        <v>39.5</v>
      </c>
      <c r="J486" s="4" t="n">
        <v>40</v>
      </c>
      <c r="K486" t="inlineStr">
        <is>
          <t>8 / 32</t>
        </is>
      </c>
      <c r="L486" t="inlineStr">
        <is>
          <t>8 / 29</t>
        </is>
      </c>
      <c r="M486" s="5" t="n">
        <v>0.2</v>
      </c>
      <c r="N486" s="5" t="n">
        <v>0.22</v>
      </c>
    </row>
    <row r="487">
      <c r="A487" t="n">
        <v>486</v>
      </c>
      <c r="B487" t="n">
        <v>2014</v>
      </c>
      <c r="C487" t="inlineStr">
        <is>
          <t>Gabriella Geronimo</t>
        </is>
      </c>
      <c r="D487">
        <f>HYPERLINK("https://ota.tournamentsoftware.com/player-profile/E075895A-C22F-4FDB-9A95-CCD353169906", "Link")</f>
        <v/>
      </c>
      <c r="E487" s="3" t="n">
        <v>93.63200000000001</v>
      </c>
      <c r="F487" s="4" t="n">
        <v>7</v>
      </c>
      <c r="G487" t="inlineStr">
        <is>
          <t>Ontario Tennis Association</t>
        </is>
      </c>
      <c r="H487" t="inlineStr">
        <is>
          <t>Albion Gardens Tennis Club</t>
        </is>
      </c>
      <c r="I487" t="n">
        <v>33.9</v>
      </c>
      <c r="J487" s="4" t="n">
        <v>200</v>
      </c>
      <c r="K487" t="inlineStr">
        <is>
          <t>113 / 87</t>
        </is>
      </c>
      <c r="L487" t="inlineStr">
        <is>
          <t>5 / 1</t>
        </is>
      </c>
      <c r="M487" s="5" t="n">
        <v>0.5600000000000001</v>
      </c>
      <c r="N487" s="5" t="n">
        <v>0.83</v>
      </c>
    </row>
    <row r="488">
      <c r="A488" t="n">
        <v>487</v>
      </c>
      <c r="B488" t="n">
        <v>2016</v>
      </c>
      <c r="C488" t="inlineStr">
        <is>
          <t>Chenlin Wang</t>
        </is>
      </c>
      <c r="D488">
        <f>HYPERLINK("https://ota.tournamentsoftware.com/player-profile/9F8A5A74-B5B7-41F1-A513-DA87D68CAFFE", "Link")</f>
        <v/>
      </c>
      <c r="E488" s="3" t="n">
        <v>93.539</v>
      </c>
      <c r="F488" s="4" t="n">
        <v>30</v>
      </c>
      <c r="G488" t="inlineStr">
        <is>
          <t>British Columbia</t>
        </is>
      </c>
      <c r="H488" t="inlineStr">
        <is>
          <t>Aura Tennis Academy</t>
        </is>
      </c>
      <c r="I488" t="inlineStr">
        <is>
          <t>unavailable</t>
        </is>
      </c>
      <c r="J488" s="4" t="n">
        <v>161</v>
      </c>
      <c r="K488" t="inlineStr">
        <is>
          <t>88 / 73</t>
        </is>
      </c>
      <c r="L488" t="inlineStr">
        <is>
          <t>36 / 24</t>
        </is>
      </c>
      <c r="M488" s="5" t="n">
        <v>0.55</v>
      </c>
      <c r="N488" s="5" t="n">
        <v>0.6</v>
      </c>
    </row>
    <row r="489">
      <c r="A489" t="n">
        <v>488</v>
      </c>
      <c r="B489" t="n">
        <v>2015</v>
      </c>
      <c r="C489" t="inlineStr">
        <is>
          <t>Joey Wu</t>
        </is>
      </c>
      <c r="D489">
        <f>HYPERLINK("https://ota.tournamentsoftware.com/player-profile/5271198B-7814-4938-9A9E-61E10CC7CCA6", "Link")</f>
        <v/>
      </c>
      <c r="E489" s="3" t="n">
        <v>92.84</v>
      </c>
      <c r="F489" s="4" t="n">
        <v>26</v>
      </c>
      <c r="G489" t="inlineStr">
        <is>
          <t>British Columbia</t>
        </is>
      </c>
      <c r="H489" t="inlineStr">
        <is>
          <t>City of Richmond</t>
        </is>
      </c>
      <c r="I489" t="inlineStr">
        <is>
          <t>unavailable</t>
        </is>
      </c>
      <c r="J489" s="4" t="n">
        <v>123</v>
      </c>
      <c r="K489" t="inlineStr">
        <is>
          <t>73 / 50</t>
        </is>
      </c>
      <c r="L489" t="inlineStr">
        <is>
          <t>18 / 26</t>
        </is>
      </c>
      <c r="M489" s="5" t="n">
        <v>0.59</v>
      </c>
      <c r="N489" s="5" t="n">
        <v>0.41</v>
      </c>
    </row>
    <row r="490">
      <c r="A490" t="n">
        <v>489</v>
      </c>
      <c r="B490" t="n">
        <v>2015</v>
      </c>
      <c r="C490" t="inlineStr">
        <is>
          <t>Olivia An Yi Ta</t>
        </is>
      </c>
      <c r="D490">
        <f>HYPERLINK("https://ota.tournamentsoftware.com/player-profile/F718058C-465B-4AEB-BACA-80FE5B3917B6", "Link")</f>
        <v/>
      </c>
      <c r="E490" s="3" t="n">
        <v>92.791</v>
      </c>
      <c r="F490" s="4" t="n">
        <v>14</v>
      </c>
      <c r="G490" t="inlineStr">
        <is>
          <t>Ontario Tennis Association</t>
        </is>
      </c>
      <c r="H490" t="inlineStr">
        <is>
          <t>Lambton Golf &amp; Country Club</t>
        </is>
      </c>
      <c r="I490" t="inlineStr">
        <is>
          <t>unavailable</t>
        </is>
      </c>
      <c r="J490" s="4" t="n">
        <v>67</v>
      </c>
      <c r="K490" t="inlineStr">
        <is>
          <t>18 / 49</t>
        </is>
      </c>
      <c r="L490" t="inlineStr">
        <is>
          <t>9 / 11</t>
        </is>
      </c>
      <c r="M490" s="5" t="n">
        <v>0.27</v>
      </c>
      <c r="N490" s="5" t="n">
        <v>0.45</v>
      </c>
    </row>
    <row r="491">
      <c r="A491" t="n">
        <v>490</v>
      </c>
      <c r="B491" t="n">
        <v>2014</v>
      </c>
      <c r="C491" t="inlineStr">
        <is>
          <t>cataleya florina zadarojnea</t>
        </is>
      </c>
      <c r="D491">
        <f>HYPERLINK("https://ota.tournamentsoftware.com/player-profile/EAEB7B00-5E1C-47F6-8FF3-1537E07A8B59", "Link")</f>
        <v/>
      </c>
      <c r="E491" s="3" t="n">
        <v>92.57599999999999</v>
      </c>
      <c r="F491" s="4" t="n">
        <v>26</v>
      </c>
      <c r="G491" t="inlineStr">
        <is>
          <t>Ontario Tennis Association</t>
        </is>
      </c>
      <c r="H491" t="inlineStr">
        <is>
          <t>Premier Racquet Clubs – Mississauga</t>
        </is>
      </c>
      <c r="I491" t="n">
        <v>37.4</v>
      </c>
      <c r="J491" s="4" t="n">
        <v>39</v>
      </c>
      <c r="K491" t="inlineStr">
        <is>
          <t>13 / 26</t>
        </is>
      </c>
      <c r="L491" t="inlineStr">
        <is>
          <t>9 / 19</t>
        </is>
      </c>
      <c r="M491" s="5" t="n">
        <v>0.33</v>
      </c>
      <c r="N491" s="5" t="n">
        <v>0.32</v>
      </c>
    </row>
    <row r="492">
      <c r="A492" t="n">
        <v>491</v>
      </c>
      <c r="B492" t="n">
        <v>2015</v>
      </c>
      <c r="C492" t="inlineStr">
        <is>
          <t>zhiyi li</t>
        </is>
      </c>
      <c r="D492">
        <f>HYPERLINK("https://ota.tournamentsoftware.com/player-profile/262E56E9-3220-45C2-961D-ACE763C5C345", "Link")</f>
        <v/>
      </c>
      <c r="E492" s="3" t="n">
        <v>91.584</v>
      </c>
      <c r="F492" s="4" t="n">
        <v>11</v>
      </c>
      <c r="G492" t="inlineStr">
        <is>
          <t>Ontario Tennis Association</t>
        </is>
      </c>
      <c r="H492" t="inlineStr">
        <is>
          <t>Rideau Sports Centre</t>
        </is>
      </c>
      <c r="I492" t="n">
        <v>35</v>
      </c>
      <c r="J492" s="4" t="n">
        <v>87</v>
      </c>
      <c r="K492" t="inlineStr">
        <is>
          <t>46 / 41</t>
        </is>
      </c>
      <c r="L492" t="inlineStr">
        <is>
          <t>10 / 11</t>
        </is>
      </c>
      <c r="M492" s="5" t="n">
        <v>0.53</v>
      </c>
      <c r="N492" s="5" t="n">
        <v>0.48</v>
      </c>
    </row>
    <row r="493">
      <c r="A493" t="n">
        <v>492</v>
      </c>
      <c r="B493" t="n">
        <v>2013</v>
      </c>
      <c r="C493" t="inlineStr">
        <is>
          <t>Aditi Varma</t>
        </is>
      </c>
      <c r="D493">
        <f>HYPERLINK("https://ota.tournamentsoftware.com/player-profile/EE1E4950-6BCE-4CAA-921A-C5201D737DFF", "Link")</f>
        <v/>
      </c>
      <c r="E493" s="3" t="n">
        <v>91.402</v>
      </c>
      <c r="F493" s="4" t="n">
        <v>8</v>
      </c>
      <c r="G493" t="inlineStr">
        <is>
          <t>Ontario Tennis Association</t>
        </is>
      </c>
      <c r="H493" t="inlineStr">
        <is>
          <t>Ontario Racquet Club</t>
        </is>
      </c>
      <c r="I493" t="n">
        <v>34.9</v>
      </c>
      <c r="J493" s="4" t="n">
        <v>87</v>
      </c>
      <c r="K493" t="inlineStr">
        <is>
          <t>26 / 61</t>
        </is>
      </c>
      <c r="L493" t="inlineStr">
        <is>
          <t>2 / 5</t>
        </is>
      </c>
      <c r="M493" s="5" t="n">
        <v>0.3</v>
      </c>
      <c r="N493" s="5" t="n">
        <v>0.29</v>
      </c>
    </row>
    <row r="494">
      <c r="A494" t="n">
        <v>493</v>
      </c>
      <c r="B494" t="n">
        <v>2014</v>
      </c>
      <c r="C494" t="inlineStr">
        <is>
          <t>Olivia Hesse</t>
        </is>
      </c>
      <c r="D494">
        <f>HYPERLINK("https://ota.tournamentsoftware.com/player-profile/18AF6D11-FB26-470D-81A9-00DC98F16884", "Link")</f>
        <v/>
      </c>
      <c r="E494" s="3" t="n">
        <v>91.059</v>
      </c>
      <c r="F494" s="4" t="n">
        <v>12</v>
      </c>
      <c r="G494" t="inlineStr">
        <is>
          <t>Ontario Tennis Association</t>
        </is>
      </c>
      <c r="H494" t="inlineStr">
        <is>
          <t>Boulevard Club</t>
        </is>
      </c>
      <c r="I494" t="n">
        <v>36.3</v>
      </c>
      <c r="J494" s="4" t="n">
        <v>66</v>
      </c>
      <c r="K494" t="inlineStr">
        <is>
          <t>26 / 40</t>
        </is>
      </c>
      <c r="L494" t="inlineStr">
        <is>
          <t>8 / 11</t>
        </is>
      </c>
      <c r="M494" s="5" t="n">
        <v>0.39</v>
      </c>
      <c r="N494" s="5" t="n">
        <v>0.42</v>
      </c>
    </row>
    <row r="495">
      <c r="A495" t="n">
        <v>494</v>
      </c>
      <c r="B495" t="n">
        <v>2014</v>
      </c>
      <c r="C495" t="inlineStr">
        <is>
          <t>Maylis Ilmane</t>
        </is>
      </c>
      <c r="D495">
        <f>HYPERLINK("https://ota.tournamentsoftware.com/player-profile/8AD3E1E2-82F0-490F-B772-6E9AA24959CC", "Link")</f>
        <v/>
      </c>
      <c r="E495" s="3" t="n">
        <v>90.08799999999999</v>
      </c>
      <c r="F495" s="4" t="n">
        <v>9</v>
      </c>
      <c r="G495" t="inlineStr">
        <is>
          <t>Tennis Québec</t>
        </is>
      </c>
      <c r="H495" t="inlineStr">
        <is>
          <t>Centre récréatif de Repentigny / Académie Tennis Momentum</t>
        </is>
      </c>
      <c r="I495" t="n">
        <v>35.4</v>
      </c>
      <c r="J495" s="4" t="n">
        <v>60</v>
      </c>
      <c r="K495" t="inlineStr">
        <is>
          <t>25 / 35</t>
        </is>
      </c>
      <c r="L495" t="inlineStr">
        <is>
          <t>7 / 6</t>
        </is>
      </c>
      <c r="M495" s="5" t="n">
        <v>0.42</v>
      </c>
      <c r="N495" s="5" t="n">
        <v>0.54</v>
      </c>
    </row>
    <row r="496">
      <c r="A496" t="n">
        <v>495</v>
      </c>
      <c r="B496" t="n">
        <v>2015</v>
      </c>
      <c r="C496" t="inlineStr">
        <is>
          <t>Larissa Bulynko</t>
        </is>
      </c>
      <c r="D496">
        <f>HYPERLINK("https://ota.tournamentsoftware.com/player-profile/387B3C19-006B-446B-A1CE-226F349C0C24", "Link")</f>
        <v/>
      </c>
      <c r="E496" s="3" t="n">
        <v>89.874</v>
      </c>
      <c r="F496" s="4" t="n">
        <v>12</v>
      </c>
      <c r="G496" t="inlineStr">
        <is>
          <t>Ontario Tennis Association</t>
        </is>
      </c>
      <c r="H496" t="inlineStr">
        <is>
          <t>National Tennis School</t>
        </is>
      </c>
      <c r="I496" t="n">
        <v>37.2</v>
      </c>
      <c r="J496" s="4" t="n">
        <v>57</v>
      </c>
      <c r="K496" t="inlineStr">
        <is>
          <t>22 / 35</t>
        </is>
      </c>
      <c r="L496" t="inlineStr">
        <is>
          <t>7 / 12</t>
        </is>
      </c>
      <c r="M496" s="5" t="n">
        <v>0.39</v>
      </c>
      <c r="N496" s="5" t="n">
        <v>0.37</v>
      </c>
    </row>
    <row r="497">
      <c r="A497" t="n">
        <v>496</v>
      </c>
      <c r="B497" t="n">
        <v>2012</v>
      </c>
      <c r="C497" t="inlineStr">
        <is>
          <t>Karolina Klepinin</t>
        </is>
      </c>
      <c r="D497">
        <f>HYPERLINK("https://ota.tournamentsoftware.com/player-profile/A0474BDB-A63B-423A-90FB-FAAA726E2052", "Link")</f>
        <v/>
      </c>
      <c r="E497" s="3" t="n">
        <v>89.15600000000001</v>
      </c>
      <c r="F497" s="4" t="n">
        <v>5</v>
      </c>
      <c r="G497" t="inlineStr">
        <is>
          <t>Ontario Tennis Association</t>
        </is>
      </c>
      <c r="H497" t="inlineStr">
        <is>
          <t>ON North Central No Club</t>
        </is>
      </c>
      <c r="I497" t="n">
        <v>36.4</v>
      </c>
      <c r="J497" s="4" t="n">
        <v>52</v>
      </c>
      <c r="K497" t="inlineStr">
        <is>
          <t>14 / 38</t>
        </is>
      </c>
      <c r="L497" t="inlineStr">
        <is>
          <t>3 / 7</t>
        </is>
      </c>
      <c r="M497" s="5" t="n">
        <v>0.27</v>
      </c>
      <c r="N497" s="5" t="n">
        <v>0.3</v>
      </c>
    </row>
    <row r="498">
      <c r="A498" t="n">
        <v>497</v>
      </c>
      <c r="B498" t="n">
        <v>2012</v>
      </c>
      <c r="C498" t="inlineStr">
        <is>
          <t>Aaisha Rathod</t>
        </is>
      </c>
      <c r="D498">
        <f>HYPERLINK("https://ota.tournamentsoftware.com/player-profile/3CFF2AC0-C5A1-461F-91D3-0CD8EAFC5609", "Link")</f>
        <v/>
      </c>
      <c r="E498" s="3" t="n">
        <v>88.89700000000001</v>
      </c>
      <c r="F498" s="4" t="n">
        <v>12</v>
      </c>
      <c r="G498" t="inlineStr">
        <is>
          <t>Ontario Tennis Association</t>
        </is>
      </c>
      <c r="H498" t="inlineStr">
        <is>
          <t>Premier Racquet Clubs – Mississauga</t>
        </is>
      </c>
      <c r="I498" t="n">
        <v>38.6</v>
      </c>
      <c r="J498" s="4" t="n">
        <v>76</v>
      </c>
      <c r="K498" t="inlineStr">
        <is>
          <t>4 / 72</t>
        </is>
      </c>
      <c r="L498" t="inlineStr">
        <is>
          <t>2 / 9</t>
        </is>
      </c>
      <c r="M498" s="5" t="n">
        <v>0.05</v>
      </c>
      <c r="N498" s="5" t="n">
        <v>0.18</v>
      </c>
    </row>
    <row r="499">
      <c r="A499" t="n">
        <v>498</v>
      </c>
      <c r="B499" t="n">
        <v>2013</v>
      </c>
      <c r="C499" t="inlineStr">
        <is>
          <t>Hengxi Celine Du</t>
        </is>
      </c>
      <c r="D499">
        <f>HYPERLINK("https://ota.tournamentsoftware.com/player-profile/7011B5E4-06D4-4830-95A3-18CF46BE4ED0", "Link")</f>
        <v/>
      </c>
      <c r="E499" s="3" t="n">
        <v>88.03</v>
      </c>
      <c r="F499" s="4" t="n">
        <v>3</v>
      </c>
      <c r="G499" t="inlineStr">
        <is>
          <t>Ontario Tennis Association</t>
        </is>
      </c>
      <c r="H499" t="inlineStr">
        <is>
          <t>Premier Racquet Clubs – Mississauga</t>
        </is>
      </c>
      <c r="I499" t="inlineStr">
        <is>
          <t>unavailable</t>
        </is>
      </c>
      <c r="J499" s="4" t="n">
        <v>23</v>
      </c>
      <c r="K499" t="inlineStr">
        <is>
          <t>8 / 15</t>
        </is>
      </c>
      <c r="L499" t="inlineStr">
        <is>
          <t>7 / 8</t>
        </is>
      </c>
      <c r="M499" s="5" t="n">
        <v>0.35</v>
      </c>
      <c r="N499" s="5" t="n">
        <v>0.47</v>
      </c>
    </row>
    <row r="500">
      <c r="A500" t="n">
        <v>499</v>
      </c>
      <c r="B500" t="n">
        <v>2016</v>
      </c>
      <c r="C500" t="inlineStr">
        <is>
          <t>LUXI YANG</t>
        </is>
      </c>
      <c r="D500">
        <f>HYPERLINK("https://ota.tournamentsoftware.com/player-profile/00CB777C-F17D-4A37-8393-1F4E5A4F3C39", "Link")</f>
        <v/>
      </c>
      <c r="E500" s="3" t="n">
        <v>86.93600000000001</v>
      </c>
      <c r="F500" s="4" t="n">
        <v>10</v>
      </c>
      <c r="G500" t="inlineStr">
        <is>
          <t>British Columbia</t>
        </is>
      </c>
      <c r="H500" t="inlineStr">
        <is>
          <t>The Tennis Centre</t>
        </is>
      </c>
      <c r="I500" t="n">
        <v>32.6</v>
      </c>
      <c r="J500" s="4" t="n">
        <v>80</v>
      </c>
      <c r="K500" t="inlineStr">
        <is>
          <t>63 / 17</t>
        </is>
      </c>
      <c r="L500" t="inlineStr">
        <is>
          <t>26 / 7</t>
        </is>
      </c>
      <c r="M500" s="5" t="n">
        <v>0.79</v>
      </c>
      <c r="N500" s="5" t="n">
        <v>0.79</v>
      </c>
    </row>
    <row r="501">
      <c r="A501" t="n">
        <v>500</v>
      </c>
      <c r="B501" t="n">
        <v>2012</v>
      </c>
      <c r="C501" t="inlineStr">
        <is>
          <t>Daniella Maria SAUCEDO</t>
        </is>
      </c>
      <c r="D501">
        <f>HYPERLINK("https://ota.tournamentsoftware.com/player-profile/45A852A0-99BB-4449-9FC4-8CAEBA4B404C", "Link")</f>
        <v/>
      </c>
      <c r="E501" s="3" t="n">
        <v>84.456</v>
      </c>
      <c r="F501" s="4" t="n">
        <v>4</v>
      </c>
      <c r="G501" t="inlineStr">
        <is>
          <t>Ontario Tennis Association</t>
        </is>
      </c>
      <c r="H501" t="inlineStr">
        <is>
          <t>City of Oakville</t>
        </is>
      </c>
      <c r="I501" t="inlineStr">
        <is>
          <t>unavailable</t>
        </is>
      </c>
      <c r="J501" s="4" t="n">
        <v>137</v>
      </c>
      <c r="K501" t="inlineStr">
        <is>
          <t>72 / 65</t>
        </is>
      </c>
      <c r="L501" t="inlineStr">
        <is>
          <t>0 / 0</t>
        </is>
      </c>
      <c r="M501" s="5" t="n">
        <v>0.53</v>
      </c>
      <c r="N501" s="5" t="n">
        <v>0</v>
      </c>
    </row>
    <row r="502">
      <c r="A502" t="n">
        <v>501</v>
      </c>
      <c r="B502" t="n">
        <v>2013</v>
      </c>
      <c r="C502" t="inlineStr">
        <is>
          <t>Quinn Pfaff</t>
        </is>
      </c>
      <c r="D502">
        <f>HYPERLINK("https://ota.tournamentsoftware.com/player-profile/4EE4E18D-7D9C-41F4-B172-783EBB13EF00", "Link")</f>
        <v/>
      </c>
      <c r="E502" s="3" t="n">
        <v>83.955</v>
      </c>
      <c r="F502" s="4" t="n">
        <v>4</v>
      </c>
      <c r="G502" t="inlineStr">
        <is>
          <t>Ontario Tennis Association</t>
        </is>
      </c>
      <c r="H502" t="inlineStr">
        <is>
          <t>Maitland Country Club</t>
        </is>
      </c>
      <c r="I502" t="n">
        <v>38</v>
      </c>
      <c r="J502" s="4" t="n">
        <v>4</v>
      </c>
      <c r="K502" t="inlineStr">
        <is>
          <t>0 / 4</t>
        </is>
      </c>
      <c r="L502" t="inlineStr">
        <is>
          <t>0 / 3</t>
        </is>
      </c>
      <c r="M502" s="5" t="n">
        <v>0</v>
      </c>
      <c r="N502" s="5" t="n">
        <v>0</v>
      </c>
    </row>
    <row r="503">
      <c r="A503" t="n">
        <v>502</v>
      </c>
      <c r="B503" t="n">
        <v>2013</v>
      </c>
      <c r="C503" t="inlineStr">
        <is>
          <t>Avonlyn Long</t>
        </is>
      </c>
      <c r="D503">
        <f>HYPERLINK("https://ota.tournamentsoftware.com/player-profile/750061EB-6049-44F3-9B6E-4DE9428D7158", "Link")</f>
        <v/>
      </c>
      <c r="E503" s="3" t="n">
        <v>83.592</v>
      </c>
      <c r="F503" s="4" t="n">
        <v>3</v>
      </c>
      <c r="G503" t="inlineStr">
        <is>
          <t>Ontario Tennis Association</t>
        </is>
      </c>
      <c r="H503" t="inlineStr">
        <is>
          <t>Carleton Tennis Centre</t>
        </is>
      </c>
      <c r="I503" t="n">
        <v>39</v>
      </c>
      <c r="J503" s="4" t="n">
        <v>12</v>
      </c>
      <c r="K503" t="inlineStr">
        <is>
          <t>1 / 11</t>
        </is>
      </c>
      <c r="L503" t="inlineStr">
        <is>
          <t>1 / 3</t>
        </is>
      </c>
      <c r="M503" s="5" t="n">
        <v>0.08</v>
      </c>
      <c r="N503" s="5" t="n">
        <v>0.25</v>
      </c>
    </row>
    <row r="504">
      <c r="A504" t="n">
        <v>503</v>
      </c>
      <c r="B504" t="n">
        <v>2014</v>
      </c>
      <c r="C504" t="inlineStr">
        <is>
          <t>Aditri Mundhra</t>
        </is>
      </c>
      <c r="D504">
        <f>HYPERLINK("https://ota.tournamentsoftware.com/player-profile/C7A9A9F1-2DF6-42CD-AA71-F15C9BFFA6EB", "Link")</f>
        <v/>
      </c>
      <c r="E504" s="3" t="n">
        <v>82.485</v>
      </c>
      <c r="F504" s="4" t="n">
        <v>17</v>
      </c>
      <c r="G504" t="inlineStr">
        <is>
          <t>British Columbia</t>
        </is>
      </c>
      <c r="H504" t="inlineStr">
        <is>
          <t>No Club</t>
        </is>
      </c>
      <c r="I504" t="n">
        <v>35.2</v>
      </c>
      <c r="J504" s="4" t="n">
        <v>49</v>
      </c>
      <c r="K504" t="inlineStr">
        <is>
          <t>18 / 31</t>
        </is>
      </c>
      <c r="L504" t="inlineStr">
        <is>
          <t>14 / 18</t>
        </is>
      </c>
      <c r="M504" s="5" t="n">
        <v>0.37</v>
      </c>
      <c r="N504" s="5" t="n">
        <v>0.44</v>
      </c>
    </row>
    <row r="505">
      <c r="A505" t="n">
        <v>504</v>
      </c>
      <c r="B505" t="n">
        <v>2013</v>
      </c>
      <c r="C505" t="inlineStr">
        <is>
          <t>Emilia Sofia Urkedal</t>
        </is>
      </c>
      <c r="D505">
        <f>HYPERLINK("https://ota.tournamentsoftware.com/player-profile/381713CB-202F-43FD-B96F-4B364BE2EE52", "Link")</f>
        <v/>
      </c>
      <c r="E505" s="3" t="n">
        <v>81.57299999999999</v>
      </c>
      <c r="F505" s="4" t="n">
        <v>7</v>
      </c>
      <c r="G505" t="inlineStr">
        <is>
          <t>Ontario Tennis Association</t>
        </is>
      </c>
      <c r="H505" t="inlineStr">
        <is>
          <t>Greenhills Golf Club</t>
        </is>
      </c>
      <c r="I505" t="n">
        <v>37</v>
      </c>
      <c r="J505" s="4" t="n">
        <v>69</v>
      </c>
      <c r="K505" t="inlineStr">
        <is>
          <t>17 / 52</t>
        </is>
      </c>
      <c r="L505" t="inlineStr">
        <is>
          <t>4 / 7</t>
        </is>
      </c>
      <c r="M505" s="5" t="n">
        <v>0.25</v>
      </c>
      <c r="N505" s="5" t="n">
        <v>0.36</v>
      </c>
    </row>
    <row r="506">
      <c r="A506" t="n">
        <v>505</v>
      </c>
      <c r="B506" t="n">
        <v>2013</v>
      </c>
      <c r="C506" t="inlineStr">
        <is>
          <t>Avery Hao</t>
        </is>
      </c>
      <c r="D506">
        <f>HYPERLINK("https://ota.tournamentsoftware.com/player-profile/4D297E0A-97AD-4487-A64F-403E8B3ACA30", "Link")</f>
        <v/>
      </c>
      <c r="E506" s="3" t="n">
        <v>81.264</v>
      </c>
      <c r="F506" s="4" t="n">
        <v>4</v>
      </c>
      <c r="G506" t="inlineStr">
        <is>
          <t>Ontario Tennis Association</t>
        </is>
      </c>
      <c r="H506" t="inlineStr">
        <is>
          <t>Elmridge Tennis Club</t>
        </is>
      </c>
      <c r="I506" t="n">
        <v>39.2</v>
      </c>
      <c r="J506" s="4" t="n">
        <v>15</v>
      </c>
      <c r="K506" t="inlineStr">
        <is>
          <t>4 / 11</t>
        </is>
      </c>
      <c r="L506" t="inlineStr">
        <is>
          <t>0 / 5</t>
        </is>
      </c>
      <c r="M506" s="5" t="n">
        <v>0.27</v>
      </c>
      <c r="N506" s="5" t="n">
        <v>0</v>
      </c>
    </row>
    <row r="507">
      <c r="A507" t="n">
        <v>506</v>
      </c>
      <c r="B507" t="n">
        <v>2015</v>
      </c>
      <c r="C507" t="inlineStr">
        <is>
          <t>Ellieann Jean Baker</t>
        </is>
      </c>
      <c r="D507">
        <f>HYPERLINK("https://ota.tournamentsoftware.com/player-profile/059CF7FD-B4FA-4522-AF55-9B2138153D9C", "Link")</f>
        <v/>
      </c>
      <c r="E507" s="3" t="n">
        <v>81.10299999999999</v>
      </c>
      <c r="F507" s="4" t="n">
        <v>9</v>
      </c>
      <c r="G507" t="inlineStr">
        <is>
          <t>Tennis Alberta</t>
        </is>
      </c>
      <c r="H507" t="inlineStr">
        <is>
          <t>Aforza</t>
        </is>
      </c>
      <c r="I507" t="n">
        <v>36.8</v>
      </c>
      <c r="J507" s="4" t="n">
        <v>109</v>
      </c>
      <c r="K507" t="inlineStr">
        <is>
          <t>45 / 64</t>
        </is>
      </c>
      <c r="L507" t="inlineStr">
        <is>
          <t>4 / 11</t>
        </is>
      </c>
      <c r="M507" s="5" t="n">
        <v>0.41</v>
      </c>
      <c r="N507" s="5" t="n">
        <v>0.27</v>
      </c>
    </row>
    <row r="508">
      <c r="A508" t="n">
        <v>507</v>
      </c>
      <c r="B508" t="n">
        <v>2013</v>
      </c>
      <c r="C508" t="inlineStr">
        <is>
          <t>Victoria maya Carinci</t>
        </is>
      </c>
      <c r="D508">
        <f>HYPERLINK("https://ota.tournamentsoftware.com/player-profile/767AAF86-8D36-4699-8113-86AA6DA60CE4", "Link")</f>
        <v/>
      </c>
      <c r="E508" s="3" t="n">
        <v>80.878</v>
      </c>
      <c r="F508" s="4" t="n">
        <v>11</v>
      </c>
      <c r="G508" t="inlineStr">
        <is>
          <t>Ontario Tennis Association</t>
        </is>
      </c>
      <c r="H508" t="inlineStr">
        <is>
          <t>Concord Tennis Academy</t>
        </is>
      </c>
      <c r="I508" t="n">
        <v>39.3</v>
      </c>
      <c r="J508" s="4" t="n">
        <v>40</v>
      </c>
      <c r="K508" t="inlineStr">
        <is>
          <t>9 / 31</t>
        </is>
      </c>
      <c r="L508" t="inlineStr">
        <is>
          <t>1 / 10</t>
        </is>
      </c>
      <c r="M508" s="5" t="n">
        <v>0.23</v>
      </c>
      <c r="N508" s="5" t="n">
        <v>0.09</v>
      </c>
    </row>
    <row r="509">
      <c r="A509" t="n">
        <v>508</v>
      </c>
      <c r="B509" t="n">
        <v>2015</v>
      </c>
      <c r="C509" t="inlineStr">
        <is>
          <t>Doreen Bowen Mao</t>
        </is>
      </c>
      <c r="D509">
        <f>HYPERLINK("https://ota.tournamentsoftware.com/player-profile/24478EB2-203F-4DE3-92C9-B16D9A60F77F", "Link")</f>
        <v/>
      </c>
      <c r="E509" s="3" t="n">
        <v>80.43600000000001</v>
      </c>
      <c r="F509" s="4" t="n">
        <v>16</v>
      </c>
      <c r="G509" t="inlineStr">
        <is>
          <t>Ontario Tennis Association</t>
        </is>
      </c>
      <c r="H509" t="inlineStr">
        <is>
          <t>Joshua Creek Golf &amp; Tennis</t>
        </is>
      </c>
      <c r="I509" t="n">
        <v>37.3</v>
      </c>
      <c r="J509" s="4" t="n">
        <v>80</v>
      </c>
      <c r="K509" t="inlineStr">
        <is>
          <t>33 / 47</t>
        </is>
      </c>
      <c r="L509" t="inlineStr">
        <is>
          <t>18 / 22</t>
        </is>
      </c>
      <c r="M509" s="5" t="n">
        <v>0.41</v>
      </c>
      <c r="N509" s="5" t="n">
        <v>0.45</v>
      </c>
    </row>
    <row r="510">
      <c r="A510" t="n">
        <v>509</v>
      </c>
      <c r="B510" t="n">
        <v>2015</v>
      </c>
      <c r="C510" t="inlineStr">
        <is>
          <t>Savannah Billings</t>
        </is>
      </c>
      <c r="D510">
        <f>HYPERLINK("https://ota.tournamentsoftware.com/player-profile/3C86C2A1-7881-4E07-A889-C842F4C67652", "Link")</f>
        <v/>
      </c>
      <c r="E510" s="3" t="n">
        <v>79.464</v>
      </c>
      <c r="F510" s="4" t="n">
        <v>5</v>
      </c>
      <c r="G510" t="inlineStr">
        <is>
          <t>Tennis Québec</t>
        </is>
      </c>
      <c r="H510" t="inlineStr">
        <is>
          <t>Club Avantage Multi-sports / Académie de tennis Hérisset Bordeleau</t>
        </is>
      </c>
      <c r="I510" t="n">
        <v>28.2</v>
      </c>
      <c r="J510" s="4" t="n">
        <v>13</v>
      </c>
      <c r="K510" t="inlineStr">
        <is>
          <t>8 / 5</t>
        </is>
      </c>
      <c r="L510" t="inlineStr">
        <is>
          <t>8 / 3</t>
        </is>
      </c>
      <c r="M510" s="5" t="n">
        <v>0.62</v>
      </c>
      <c r="N510" s="5" t="n">
        <v>0.73</v>
      </c>
    </row>
    <row r="511">
      <c r="A511" t="n">
        <v>510</v>
      </c>
      <c r="B511" t="n">
        <v>2015</v>
      </c>
      <c r="C511" t="inlineStr">
        <is>
          <t>Mia Gidaro</t>
        </is>
      </c>
      <c r="D511">
        <f>HYPERLINK("https://ota.tournamentsoftware.com/player-profile/17357D82-FEBE-483D-8054-F1F6B85AD8A5", "Link")</f>
        <v/>
      </c>
      <c r="E511" s="3" t="n">
        <v>79.46299999999999</v>
      </c>
      <c r="F511" s="4" t="n">
        <v>12</v>
      </c>
      <c r="G511" t="inlineStr">
        <is>
          <t>Ontario Tennis Association</t>
        </is>
      </c>
      <c r="H511" t="inlineStr">
        <is>
          <t>Baby Point Tennis Club</t>
        </is>
      </c>
      <c r="I511" t="n">
        <v>37.1</v>
      </c>
      <c r="J511" s="4" t="n">
        <v>61</v>
      </c>
      <c r="K511" t="inlineStr">
        <is>
          <t>24 / 37</t>
        </is>
      </c>
      <c r="L511" t="inlineStr">
        <is>
          <t>3 / 7</t>
        </is>
      </c>
      <c r="M511" s="5" t="n">
        <v>0.39</v>
      </c>
      <c r="N511" s="5" t="n">
        <v>0.3</v>
      </c>
    </row>
    <row r="512">
      <c r="A512" t="n">
        <v>511</v>
      </c>
      <c r="B512" t="n">
        <v>2014</v>
      </c>
      <c r="C512" t="inlineStr">
        <is>
          <t>Clarice de Azevedo Guedes</t>
        </is>
      </c>
      <c r="D512">
        <f>HYPERLINK("https://ota.tournamentsoftware.com/player-profile/027DF0F1-69E8-4220-8263-B26C4D1AFC70", "Link")</f>
        <v/>
      </c>
      <c r="E512" s="3" t="n">
        <v>79.407</v>
      </c>
      <c r="F512" s="4" t="n">
        <v>14</v>
      </c>
      <c r="G512" t="inlineStr">
        <is>
          <t>Tennis Québec</t>
        </is>
      </c>
      <c r="H512" t="inlineStr">
        <is>
          <t>Tennis 13</t>
        </is>
      </c>
      <c r="I512" t="inlineStr">
        <is>
          <t>unavailable</t>
        </is>
      </c>
      <c r="J512" s="4" t="n">
        <v>64</v>
      </c>
      <c r="K512" t="inlineStr">
        <is>
          <t>26 / 38</t>
        </is>
      </c>
      <c r="L512" t="inlineStr">
        <is>
          <t>12 / 12</t>
        </is>
      </c>
      <c r="M512" s="5" t="n">
        <v>0.41</v>
      </c>
      <c r="N512" s="5" t="n">
        <v>0.5</v>
      </c>
    </row>
    <row r="513">
      <c r="A513" t="n">
        <v>512</v>
      </c>
      <c r="B513" t="n">
        <v>2015</v>
      </c>
      <c r="C513" t="inlineStr">
        <is>
          <t>Abigail Csima</t>
        </is>
      </c>
      <c r="D513">
        <f>HYPERLINK("https://ota.tournamentsoftware.com/player-profile/6F3C1A53-8070-482F-B046-BE875C66F4B8", "Link")</f>
        <v/>
      </c>
      <c r="E513" s="3" t="n">
        <v>79.28700000000001</v>
      </c>
      <c r="F513" s="4" t="n">
        <v>15</v>
      </c>
      <c r="G513" t="inlineStr">
        <is>
          <t>Ontario Tennis Association</t>
        </is>
      </c>
      <c r="H513" t="inlineStr">
        <is>
          <t>Waterloo Tennis Club</t>
        </is>
      </c>
      <c r="I513" t="n">
        <v>38.5</v>
      </c>
      <c r="J513" s="4" t="n">
        <v>60</v>
      </c>
      <c r="K513" t="inlineStr">
        <is>
          <t>12 / 48</t>
        </is>
      </c>
      <c r="L513" t="inlineStr">
        <is>
          <t>3 / 14</t>
        </is>
      </c>
      <c r="M513" s="5" t="n">
        <v>0.2</v>
      </c>
      <c r="N513" s="5" t="n">
        <v>0.18</v>
      </c>
    </row>
    <row r="514">
      <c r="A514" t="n">
        <v>513</v>
      </c>
      <c r="B514" t="n">
        <v>2013</v>
      </c>
      <c r="C514" t="inlineStr">
        <is>
          <t>Julia Anne Kennedy</t>
        </is>
      </c>
      <c r="D514">
        <f>HYPERLINK("https://ota.tournamentsoftware.com/player-profile/82DF6D3D-A382-4764-B57C-0EA44A762022", "Link")</f>
        <v/>
      </c>
      <c r="E514" s="3" t="n">
        <v>77</v>
      </c>
      <c r="F514" s="4" t="n">
        <v>2</v>
      </c>
      <c r="G514" t="inlineStr">
        <is>
          <t>Ontario Tennis Association</t>
        </is>
      </c>
      <c r="H514" t="inlineStr">
        <is>
          <t>SmartVMC Racquetsports by ACE</t>
        </is>
      </c>
      <c r="I514" t="n">
        <v>32.2</v>
      </c>
      <c r="J514" s="4" t="n">
        <v>147</v>
      </c>
      <c r="K514" t="inlineStr">
        <is>
          <t>71 / 76</t>
        </is>
      </c>
      <c r="L514" t="inlineStr">
        <is>
          <t>5 / 1</t>
        </is>
      </c>
      <c r="M514" s="5" t="n">
        <v>0.48</v>
      </c>
      <c r="N514" s="5" t="n">
        <v>0.83</v>
      </c>
    </row>
    <row r="515">
      <c r="A515" t="n">
        <v>514</v>
      </c>
      <c r="B515" t="n">
        <v>2014</v>
      </c>
      <c r="C515" t="inlineStr">
        <is>
          <t>Yue Zhang</t>
        </is>
      </c>
      <c r="D515">
        <f>HYPERLINK("https://ota.tournamentsoftware.com/player-profile/85239D79-7080-4052-A527-EE7F087184E4", "Link")</f>
        <v/>
      </c>
      <c r="E515" s="3" t="n">
        <v>76.623</v>
      </c>
      <c r="F515" s="4" t="n">
        <v>7</v>
      </c>
      <c r="G515" t="inlineStr">
        <is>
          <t>Tennis Nova Scotia</t>
        </is>
      </c>
      <c r="H515" t="inlineStr">
        <is>
          <t>Atlantic Tennis Centre</t>
        </is>
      </c>
      <c r="I515" t="n">
        <v>37.8</v>
      </c>
      <c r="J515" s="4" t="n">
        <v>38</v>
      </c>
      <c r="K515" t="inlineStr">
        <is>
          <t>15 / 23</t>
        </is>
      </c>
      <c r="L515" t="inlineStr">
        <is>
          <t>6 / 12</t>
        </is>
      </c>
      <c r="M515" s="5" t="n">
        <v>0.39</v>
      </c>
      <c r="N515" s="5" t="n">
        <v>0.33</v>
      </c>
    </row>
    <row r="516">
      <c r="A516" t="n">
        <v>515</v>
      </c>
      <c r="B516" t="n">
        <v>2014</v>
      </c>
      <c r="C516" t="inlineStr">
        <is>
          <t>Ava Amiripour</t>
        </is>
      </c>
      <c r="D516">
        <f>HYPERLINK("https://ota.tournamentsoftware.com/player-profile/C08AB363-A302-4023-8D6D-B732D837DADF", "Link")</f>
        <v/>
      </c>
      <c r="E516" s="3" t="n">
        <v>74.288</v>
      </c>
      <c r="F516" s="4" t="n">
        <v>4</v>
      </c>
      <c r="G516" t="inlineStr">
        <is>
          <t>Ontario Tennis Association</t>
        </is>
      </c>
      <c r="H516" t="inlineStr">
        <is>
          <t>No Club</t>
        </is>
      </c>
      <c r="I516" t="n">
        <v>37.7</v>
      </c>
      <c r="J516" s="4" t="n">
        <v>7</v>
      </c>
      <c r="K516" t="inlineStr">
        <is>
          <t>1 / 6</t>
        </is>
      </c>
      <c r="L516" t="inlineStr">
        <is>
          <t>1 / 5</t>
        </is>
      </c>
      <c r="M516" s="5" t="n">
        <v>0.14</v>
      </c>
      <c r="N516" s="5" t="n">
        <v>0.17</v>
      </c>
    </row>
    <row r="517">
      <c r="A517" t="n">
        <v>516</v>
      </c>
      <c r="B517" t="n">
        <v>2013</v>
      </c>
      <c r="C517" t="inlineStr">
        <is>
          <t>Emma Victoria Chan</t>
        </is>
      </c>
      <c r="D517">
        <f>HYPERLINK("https://ota.tournamentsoftware.com/player-profile/29822B25-6004-4E31-822F-CF8FF1CD9AB7", "Link")</f>
        <v/>
      </c>
      <c r="E517" s="3" t="n">
        <v>74.184</v>
      </c>
      <c r="F517" s="4" t="n">
        <v>8</v>
      </c>
      <c r="G517" t="inlineStr">
        <is>
          <t>Ontario Tennis Association</t>
        </is>
      </c>
      <c r="H517" t="inlineStr">
        <is>
          <t>Joshua Creek Golf &amp; Tennis</t>
        </is>
      </c>
      <c r="I517" t="n">
        <v>36.4</v>
      </c>
      <c r="J517" s="4" t="n">
        <v>64</v>
      </c>
      <c r="K517" t="inlineStr">
        <is>
          <t>40 / 24</t>
        </is>
      </c>
      <c r="L517" t="inlineStr">
        <is>
          <t>12 / 4</t>
        </is>
      </c>
      <c r="M517" s="5" t="n">
        <v>0.62</v>
      </c>
      <c r="N517" s="5" t="n">
        <v>0.75</v>
      </c>
    </row>
    <row r="518">
      <c r="A518" t="n">
        <v>517</v>
      </c>
      <c r="B518" t="n">
        <v>2015</v>
      </c>
      <c r="C518" t="inlineStr">
        <is>
          <t>Cara Tereza Nyakahuma</t>
        </is>
      </c>
      <c r="D518">
        <f>HYPERLINK("https://ota.tournamentsoftware.com/player-profile/AFC2100D-E6CB-4B13-AD01-0EBC56083397", "Link")</f>
        <v/>
      </c>
      <c r="E518" s="3" t="n">
        <v>74.08</v>
      </c>
      <c r="F518" s="4" t="n">
        <v>7</v>
      </c>
      <c r="G518" t="inlineStr">
        <is>
          <t>Ontario Tennis Association</t>
        </is>
      </c>
      <c r="H518" t="inlineStr">
        <is>
          <t>Intercounty Tennis Association</t>
        </is>
      </c>
      <c r="I518" t="inlineStr">
        <is>
          <t>unavailable</t>
        </is>
      </c>
      <c r="J518" s="4" t="n">
        <v>143</v>
      </c>
      <c r="K518" t="inlineStr">
        <is>
          <t>90 / 53</t>
        </is>
      </c>
      <c r="L518" t="inlineStr">
        <is>
          <t>7 / 4</t>
        </is>
      </c>
      <c r="M518" s="5" t="n">
        <v>0.63</v>
      </c>
      <c r="N518" s="5" t="n">
        <v>0.64</v>
      </c>
    </row>
    <row r="519">
      <c r="A519" t="n">
        <v>518</v>
      </c>
      <c r="B519" t="n">
        <v>2017</v>
      </c>
      <c r="C519" t="inlineStr">
        <is>
          <t>Chen Xi Zhou Kong</t>
        </is>
      </c>
      <c r="D519">
        <f>HYPERLINK("https://ota.tournamentsoftware.com/player-profile/E5CD94C9-63F9-419B-A6E9-CCB6DEF8B502", "Link")</f>
        <v/>
      </c>
      <c r="E519" s="3" t="n">
        <v>73.2</v>
      </c>
      <c r="F519" s="4" t="n">
        <v>22</v>
      </c>
      <c r="G519" t="inlineStr">
        <is>
          <t>Tennis Québec</t>
        </is>
      </c>
      <c r="H519" t="inlineStr">
        <is>
          <t>Centre récréatif de Repentigny / Académie Tennis Momentum</t>
        </is>
      </c>
      <c r="I519" t="inlineStr">
        <is>
          <t>unavailable</t>
        </is>
      </c>
      <c r="J519" s="4" t="n">
        <v>120</v>
      </c>
      <c r="K519" t="inlineStr">
        <is>
          <t>57 / 63</t>
        </is>
      </c>
      <c r="L519" t="inlineStr">
        <is>
          <t>40 / 36</t>
        </is>
      </c>
      <c r="M519" s="5" t="n">
        <v>0.47</v>
      </c>
      <c r="N519" s="5" t="n">
        <v>0.53</v>
      </c>
    </row>
    <row r="520">
      <c r="A520" t="n">
        <v>519</v>
      </c>
      <c r="B520" t="n">
        <v>2013</v>
      </c>
      <c r="C520" t="inlineStr">
        <is>
          <t>Lolia Abdrabou</t>
        </is>
      </c>
      <c r="D520">
        <f>HYPERLINK("https://ota.tournamentsoftware.com/player-profile/02101E1E-CCDA-437A-A3E7-8CBDBA76F674", "Link")</f>
        <v/>
      </c>
      <c r="E520" s="3" t="n">
        <v>72.959</v>
      </c>
      <c r="F520" s="4" t="n">
        <v>4</v>
      </c>
      <c r="G520" t="inlineStr">
        <is>
          <t>Tennis Nova Scotia</t>
        </is>
      </c>
      <c r="H520" t="inlineStr">
        <is>
          <t>HEADSTART</t>
        </is>
      </c>
      <c r="I520" t="n">
        <v>35.6</v>
      </c>
      <c r="J520" s="4" t="n">
        <v>22</v>
      </c>
      <c r="K520" t="inlineStr">
        <is>
          <t>13 / 9</t>
        </is>
      </c>
      <c r="L520" t="inlineStr">
        <is>
          <t>2 / 4</t>
        </is>
      </c>
      <c r="M520" s="5" t="n">
        <v>0.59</v>
      </c>
      <c r="N520" s="5" t="n">
        <v>0.33</v>
      </c>
    </row>
    <row r="521">
      <c r="A521" t="n">
        <v>520</v>
      </c>
      <c r="B521" t="n">
        <v>2016</v>
      </c>
      <c r="C521" t="inlineStr">
        <is>
          <t>Ziqi Yu</t>
        </is>
      </c>
      <c r="D521">
        <f>HYPERLINK("https://ota.tournamentsoftware.com/player-profile/89FEB2A7-669B-4D40-A67D-54016F42DA82", "Link")</f>
        <v/>
      </c>
      <c r="E521" s="3" t="n">
        <v>72.379</v>
      </c>
      <c r="F521" s="4" t="n">
        <v>17</v>
      </c>
      <c r="G521" t="inlineStr">
        <is>
          <t>Ontario Tennis Association</t>
        </is>
      </c>
      <c r="H521" t="inlineStr">
        <is>
          <t>Blackmore Tennis Club</t>
        </is>
      </c>
      <c r="I521" t="n">
        <v>33.6</v>
      </c>
      <c r="J521" s="4" t="n">
        <v>103</v>
      </c>
      <c r="K521" t="inlineStr">
        <is>
          <t>68 / 35</t>
        </is>
      </c>
      <c r="L521" t="inlineStr">
        <is>
          <t>32 / 16</t>
        </is>
      </c>
      <c r="M521" s="5" t="n">
        <v>0.66</v>
      </c>
      <c r="N521" s="5" t="n">
        <v>0.67</v>
      </c>
    </row>
    <row r="522">
      <c r="A522" t="n">
        <v>521</v>
      </c>
      <c r="B522" t="n">
        <v>2016</v>
      </c>
      <c r="C522" t="inlineStr">
        <is>
          <t>Grace SHI</t>
        </is>
      </c>
      <c r="D522">
        <f>HYPERLINK("https://ota.tournamentsoftware.com/player-profile/71A1D6E1-33D1-46A0-AF21-F397AE1BA314", "Link")</f>
        <v/>
      </c>
      <c r="E522" s="3" t="n">
        <v>70.416</v>
      </c>
      <c r="F522" s="4" t="n">
        <v>10</v>
      </c>
      <c r="G522" t="inlineStr">
        <is>
          <t>British Columbia</t>
        </is>
      </c>
      <c r="H522" t="inlineStr">
        <is>
          <t>No Club</t>
        </is>
      </c>
      <c r="I522" t="n">
        <v>38.5</v>
      </c>
      <c r="J522" s="4" t="n">
        <v>48</v>
      </c>
      <c r="K522" t="inlineStr">
        <is>
          <t>16 / 32</t>
        </is>
      </c>
      <c r="L522" t="inlineStr">
        <is>
          <t>9 / 13</t>
        </is>
      </c>
      <c r="M522" s="5" t="n">
        <v>0.33</v>
      </c>
      <c r="N522" s="5" t="n">
        <v>0.41</v>
      </c>
    </row>
    <row r="523">
      <c r="A523" t="n">
        <v>522</v>
      </c>
      <c r="B523" t="n">
        <v>2015</v>
      </c>
      <c r="C523" t="inlineStr">
        <is>
          <t>Myra Shukla</t>
        </is>
      </c>
      <c r="D523">
        <f>HYPERLINK("https://ota.tournamentsoftware.com/player-profile/2F4B1A1D-35AC-45A0-9F5D-6D5533376D9A", "Link")</f>
        <v/>
      </c>
      <c r="E523" s="3" t="n">
        <v>70.126</v>
      </c>
      <c r="F523" s="4" t="n">
        <v>8</v>
      </c>
      <c r="G523" t="inlineStr">
        <is>
          <t>Ontario Tennis Association</t>
        </is>
      </c>
      <c r="H523" t="inlineStr">
        <is>
          <t>Veneto Tennis Club</t>
        </is>
      </c>
      <c r="I523" t="n">
        <v>38</v>
      </c>
      <c r="J523" s="4" t="n">
        <v>83</v>
      </c>
      <c r="K523" t="inlineStr">
        <is>
          <t>34 / 49</t>
        </is>
      </c>
      <c r="L523" t="inlineStr">
        <is>
          <t>1 / 6</t>
        </is>
      </c>
      <c r="M523" s="5" t="n">
        <v>0.41</v>
      </c>
      <c r="N523" s="5" t="n">
        <v>0.14</v>
      </c>
    </row>
    <row r="524">
      <c r="A524" t="n">
        <v>523</v>
      </c>
      <c r="B524" t="n">
        <v>2013</v>
      </c>
      <c r="C524" t="inlineStr">
        <is>
          <t>Zean Whyte Omayan Gerongco</t>
        </is>
      </c>
      <c r="D524">
        <f>HYPERLINK("https://ota.tournamentsoftware.com/player-profile/95E8FC8D-AC41-4C9F-8192-23788254309B", "Link")</f>
        <v/>
      </c>
      <c r="E524" s="3" t="n">
        <v>70.09099999999999</v>
      </c>
      <c r="F524" s="4" t="n">
        <v>4</v>
      </c>
      <c r="G524" t="inlineStr">
        <is>
          <t>Ontario Tennis Association</t>
        </is>
      </c>
      <c r="H524" t="inlineStr">
        <is>
          <t>Fountainhead Tennis Club</t>
        </is>
      </c>
      <c r="I524" t="n">
        <v>32.8</v>
      </c>
      <c r="J524" s="4" t="n">
        <v>167</v>
      </c>
      <c r="K524" t="inlineStr">
        <is>
          <t>95 / 72</t>
        </is>
      </c>
      <c r="L524" t="inlineStr">
        <is>
          <t>0 / 0</t>
        </is>
      </c>
      <c r="M524" s="5" t="n">
        <v>0.57</v>
      </c>
      <c r="N524" s="5" t="n">
        <v>0</v>
      </c>
    </row>
    <row r="525">
      <c r="A525" t="n">
        <v>524</v>
      </c>
      <c r="B525" t="n">
        <v>2013</v>
      </c>
      <c r="C525" t="inlineStr">
        <is>
          <t>Lydia Squires-Sturge</t>
        </is>
      </c>
      <c r="D525">
        <f>HYPERLINK("https://ota.tournamentsoftware.com/player-profile/AD6D5BEF-6293-4DE8-BF13-52E1A33EF28B", "Link")</f>
        <v/>
      </c>
      <c r="E525" s="3" t="n">
        <v>69.855</v>
      </c>
      <c r="F525" s="4" t="n">
        <v>5</v>
      </c>
      <c r="G525" t="inlineStr">
        <is>
          <t>Tennis Newfoundland &amp; Labrador</t>
        </is>
      </c>
      <c r="H525" t="inlineStr">
        <is>
          <t>Mount Pearl Tennis Club</t>
        </is>
      </c>
      <c r="I525" t="inlineStr">
        <is>
          <t>unavailable</t>
        </is>
      </c>
      <c r="J525" s="4" t="n">
        <v>25</v>
      </c>
      <c r="K525" t="inlineStr">
        <is>
          <t>8 / 17</t>
        </is>
      </c>
      <c r="L525" t="inlineStr">
        <is>
          <t>1 / 5</t>
        </is>
      </c>
      <c r="M525" s="5" t="n">
        <v>0.32</v>
      </c>
      <c r="N525" s="5" t="n">
        <v>0.17</v>
      </c>
    </row>
    <row r="526">
      <c r="A526" t="n">
        <v>525</v>
      </c>
      <c r="B526" t="n">
        <v>2013</v>
      </c>
      <c r="C526" t="inlineStr">
        <is>
          <t>Lilya Youssef</t>
        </is>
      </c>
      <c r="D526">
        <f>HYPERLINK("https://ota.tournamentsoftware.com/player-profile/E4A52F0A-7400-4236-ACEF-6680D7FB1262", "Link")</f>
        <v/>
      </c>
      <c r="E526" s="3" t="n">
        <v>69.61</v>
      </c>
      <c r="F526" s="4" t="n">
        <v>3</v>
      </c>
      <c r="G526" t="inlineStr">
        <is>
          <t>Tennis Québec</t>
        </is>
      </c>
      <c r="H526" t="inlineStr">
        <is>
          <t>Tennis 13</t>
        </is>
      </c>
      <c r="I526" t="inlineStr">
        <is>
          <t>unavailable</t>
        </is>
      </c>
      <c r="J526" s="4" t="n">
        <v>10</v>
      </c>
      <c r="K526" t="inlineStr">
        <is>
          <t>5 / 5</t>
        </is>
      </c>
      <c r="L526" t="inlineStr">
        <is>
          <t>5 / 5</t>
        </is>
      </c>
      <c r="M526" s="5" t="n">
        <v>0.5</v>
      </c>
      <c r="N526" s="5" t="n">
        <v>0.5</v>
      </c>
    </row>
    <row r="527">
      <c r="A527" t="n">
        <v>526</v>
      </c>
      <c r="B527" t="n">
        <v>2012</v>
      </c>
      <c r="C527" t="inlineStr">
        <is>
          <t>Stefaniia Petrova</t>
        </is>
      </c>
      <c r="D527">
        <f>HYPERLINK("https://ota.tournamentsoftware.com/player-profile/23727B96-731B-4DBB-9789-81399E2B9950", "Link")</f>
        <v/>
      </c>
      <c r="E527" s="3" t="n">
        <v>69.48</v>
      </c>
      <c r="F527" s="4" t="n">
        <v>2</v>
      </c>
      <c r="G527" t="inlineStr">
        <is>
          <t>Ontario Tennis Association</t>
        </is>
      </c>
      <c r="H527" t="inlineStr">
        <is>
          <t>No Club</t>
        </is>
      </c>
      <c r="I527" t="n">
        <v>29</v>
      </c>
      <c r="J527" s="4" t="n">
        <v>301</v>
      </c>
      <c r="K527" t="inlineStr">
        <is>
          <t>177 / 124</t>
        </is>
      </c>
      <c r="L527" t="inlineStr">
        <is>
          <t>0 / 0</t>
        </is>
      </c>
      <c r="M527" s="5" t="n">
        <v>0.59</v>
      </c>
      <c r="N527" s="5" t="n">
        <v>0</v>
      </c>
    </row>
    <row r="528">
      <c r="A528" t="n">
        <v>527</v>
      </c>
      <c r="B528" t="n">
        <v>2015</v>
      </c>
      <c r="C528" t="inlineStr">
        <is>
          <t>Mataya Victoria Jan</t>
        </is>
      </c>
      <c r="D528">
        <f>HYPERLINK("https://ota.tournamentsoftware.com/player-profile/52A288CA-2524-4398-A498-9546CE531A78", "Link")</f>
        <v/>
      </c>
      <c r="E528" s="3" t="n">
        <v>69.43600000000001</v>
      </c>
      <c r="F528" s="4" t="n">
        <v>8</v>
      </c>
      <c r="G528" t="inlineStr">
        <is>
          <t>Ontario Tennis Association</t>
        </is>
      </c>
      <c r="H528" t="inlineStr">
        <is>
          <t>Tennis Centre West Ottawa</t>
        </is>
      </c>
      <c r="I528" t="n">
        <v>38.7</v>
      </c>
      <c r="J528" s="4" t="n">
        <v>15</v>
      </c>
      <c r="K528" t="inlineStr">
        <is>
          <t>1 / 14</t>
        </is>
      </c>
      <c r="L528" t="inlineStr">
        <is>
          <t>1 / 9</t>
        </is>
      </c>
      <c r="M528" s="5" t="n">
        <v>0.07000000000000001</v>
      </c>
      <c r="N528" s="5" t="n">
        <v>0.1</v>
      </c>
    </row>
    <row r="529">
      <c r="A529" t="n">
        <v>528</v>
      </c>
      <c r="B529" t="n">
        <v>2015</v>
      </c>
      <c r="C529" t="inlineStr">
        <is>
          <t>Emilia Ho</t>
        </is>
      </c>
      <c r="D529">
        <f>HYPERLINK("https://ota.tournamentsoftware.com/player-profile/91D4EC27-5C11-4119-B45C-F3809BFF1CF1", "Link")</f>
        <v/>
      </c>
      <c r="E529" s="3" t="n">
        <v>69.21299999999999</v>
      </c>
      <c r="F529" s="4" t="n">
        <v>17</v>
      </c>
      <c r="G529" t="inlineStr">
        <is>
          <t>Tennis Alberta</t>
        </is>
      </c>
      <c r="H529" t="inlineStr">
        <is>
          <t>Osten &amp; Victor Alberta Tennis Centre</t>
        </is>
      </c>
      <c r="I529" t="n">
        <v>34.6</v>
      </c>
      <c r="J529" s="4" t="n">
        <v>135</v>
      </c>
      <c r="K529" t="inlineStr">
        <is>
          <t>70 / 65</t>
        </is>
      </c>
      <c r="L529" t="inlineStr">
        <is>
          <t>16 / 17</t>
        </is>
      </c>
      <c r="M529" s="5" t="n">
        <v>0.52</v>
      </c>
      <c r="N529" s="5" t="n">
        <v>0.48</v>
      </c>
    </row>
    <row r="530">
      <c r="A530" t="n">
        <v>529</v>
      </c>
      <c r="B530" t="n">
        <v>2014</v>
      </c>
      <c r="C530" t="inlineStr">
        <is>
          <t>Alexis Sokol</t>
        </is>
      </c>
      <c r="D530">
        <f>HYPERLINK("https://ota.tournamentsoftware.com/player-profile/8337D953-FBB9-45F2-B72A-FF18B572FA6A", "Link")</f>
        <v/>
      </c>
      <c r="E530" s="3" t="n">
        <v>68.806</v>
      </c>
      <c r="F530" s="4" t="n">
        <v>9</v>
      </c>
      <c r="G530" t="inlineStr">
        <is>
          <t>Tennis Alberta</t>
        </is>
      </c>
      <c r="H530" t="inlineStr">
        <is>
          <t>Saville Community Sports Centre</t>
        </is>
      </c>
      <c r="I530" t="n">
        <v>36.5</v>
      </c>
      <c r="J530" s="4" t="n">
        <v>21</v>
      </c>
      <c r="K530" t="inlineStr">
        <is>
          <t>8 / 13</t>
        </is>
      </c>
      <c r="L530" t="inlineStr">
        <is>
          <t>6 / 9</t>
        </is>
      </c>
      <c r="M530" s="5" t="n">
        <v>0.38</v>
      </c>
      <c r="N530" s="5" t="n">
        <v>0.4</v>
      </c>
    </row>
    <row r="531">
      <c r="A531" t="n">
        <v>530</v>
      </c>
      <c r="B531" t="n">
        <v>2014</v>
      </c>
      <c r="C531" t="inlineStr">
        <is>
          <t>Kaitlynn Xie</t>
        </is>
      </c>
      <c r="D531">
        <f>HYPERLINK("https://ota.tournamentsoftware.com/player-profile/25655CF4-99DC-4E1E-BE40-C11FF6785117", "Link")</f>
        <v/>
      </c>
      <c r="E531" s="3" t="n">
        <v>68.715</v>
      </c>
      <c r="F531" s="4" t="n">
        <v>8</v>
      </c>
      <c r="G531" t="inlineStr">
        <is>
          <t>Tennis Alberta</t>
        </is>
      </c>
      <c r="H531" t="inlineStr">
        <is>
          <t>Saville Community Sports Centre</t>
        </is>
      </c>
      <c r="I531" t="n">
        <v>34.2</v>
      </c>
      <c r="J531" s="4" t="n">
        <v>57</v>
      </c>
      <c r="K531" t="inlineStr">
        <is>
          <t>19 / 38</t>
        </is>
      </c>
      <c r="L531" t="inlineStr">
        <is>
          <t>7 / 12</t>
        </is>
      </c>
      <c r="M531" s="5" t="n">
        <v>0.33</v>
      </c>
      <c r="N531" s="5" t="n">
        <v>0.37</v>
      </c>
    </row>
    <row r="532">
      <c r="A532" t="n">
        <v>531</v>
      </c>
      <c r="B532" t="n">
        <v>2014</v>
      </c>
      <c r="C532" t="inlineStr">
        <is>
          <t>Hui-Xin Chen</t>
        </is>
      </c>
      <c r="D532">
        <f>HYPERLINK("https://ota.tournamentsoftware.com/player-profile/755E1358-E624-498A-A129-DA058D259A1E", "Link")</f>
        <v/>
      </c>
      <c r="E532" s="3" t="n">
        <v>67.884</v>
      </c>
      <c r="F532" s="4" t="n">
        <v>12</v>
      </c>
      <c r="G532" t="inlineStr">
        <is>
          <t>British Columbia</t>
        </is>
      </c>
      <c r="H532" t="inlineStr">
        <is>
          <t>No Club</t>
        </is>
      </c>
      <c r="I532" t="inlineStr">
        <is>
          <t>unavailable</t>
        </is>
      </c>
      <c r="J532" s="4" t="n">
        <v>108</v>
      </c>
      <c r="K532" t="inlineStr">
        <is>
          <t>37 / 71</t>
        </is>
      </c>
      <c r="L532" t="inlineStr">
        <is>
          <t>14 / 14</t>
        </is>
      </c>
      <c r="M532" s="5" t="n">
        <v>0.34</v>
      </c>
      <c r="N532" s="5" t="n">
        <v>0.5</v>
      </c>
    </row>
    <row r="533">
      <c r="A533" t="n">
        <v>532</v>
      </c>
      <c r="B533" t="n">
        <v>2015</v>
      </c>
      <c r="C533" t="inlineStr">
        <is>
          <t>Ella Bloom Chulak</t>
        </is>
      </c>
      <c r="D533">
        <f>HYPERLINK("https://ota.tournamentsoftware.com/player-profile/3DBBE08D-DBAA-43E3-BCD3-2820667C7A24", "Link")</f>
        <v/>
      </c>
      <c r="E533" s="3" t="n">
        <v>67.48</v>
      </c>
      <c r="F533" s="4" t="n">
        <v>11</v>
      </c>
      <c r="G533" t="inlineStr">
        <is>
          <t>Ontario Tennis Association</t>
        </is>
      </c>
      <c r="H533" t="inlineStr">
        <is>
          <t>Richmondhill Golf &amp; Country Club</t>
        </is>
      </c>
      <c r="I533" t="n">
        <v>36</v>
      </c>
      <c r="J533" s="4" t="n">
        <v>87</v>
      </c>
      <c r="K533" t="inlineStr">
        <is>
          <t>35 / 52</t>
        </is>
      </c>
      <c r="L533" t="inlineStr">
        <is>
          <t>11 / 10</t>
        </is>
      </c>
      <c r="M533" s="5" t="n">
        <v>0.4</v>
      </c>
      <c r="N533" s="5" t="n">
        <v>0.52</v>
      </c>
    </row>
    <row r="534">
      <c r="A534" t="n">
        <v>533</v>
      </c>
      <c r="B534" t="n">
        <v>2014</v>
      </c>
      <c r="C534" t="inlineStr">
        <is>
          <t>Mioara Oulima Bouyela</t>
        </is>
      </c>
      <c r="D534">
        <f>HYPERLINK("https://ota.tournamentsoftware.com/player-profile/44DDF62F-2675-4E36-B215-8515347ABD9E", "Link")</f>
        <v/>
      </c>
      <c r="E534" s="3" t="n">
        <v>67.357</v>
      </c>
      <c r="F534" s="4" t="n">
        <v>12</v>
      </c>
      <c r="G534" t="inlineStr">
        <is>
          <t>Tennis Québec</t>
        </is>
      </c>
      <c r="H534" t="inlineStr">
        <is>
          <t>Tennis 13</t>
        </is>
      </c>
      <c r="I534" t="n">
        <v>38</v>
      </c>
      <c r="J534" s="4" t="n">
        <v>81</v>
      </c>
      <c r="K534" t="inlineStr">
        <is>
          <t>33 / 48</t>
        </is>
      </c>
      <c r="L534" t="inlineStr">
        <is>
          <t>9 / 12</t>
        </is>
      </c>
      <c r="M534" s="5" t="n">
        <v>0.41</v>
      </c>
      <c r="N534" s="5" t="n">
        <v>0.43</v>
      </c>
    </row>
    <row r="535">
      <c r="A535" t="n">
        <v>534</v>
      </c>
      <c r="B535" t="n">
        <v>2014</v>
      </c>
      <c r="C535" t="inlineStr">
        <is>
          <t>Melissa Elena Rusu</t>
        </is>
      </c>
      <c r="D535">
        <f>HYPERLINK("https://ota.tournamentsoftware.com/player-profile/9F55033D-1DF5-465D-A3A2-401E58DF9FEB", "Link")</f>
        <v/>
      </c>
      <c r="E535" s="3" t="n">
        <v>67.018</v>
      </c>
      <c r="F535" s="4" t="n">
        <v>16</v>
      </c>
      <c r="G535" t="inlineStr">
        <is>
          <t>Tennis Québec</t>
        </is>
      </c>
      <c r="H535" t="inlineStr">
        <is>
          <t>Carrefour Multisports - Haute Performance</t>
        </is>
      </c>
      <c r="I535" t="n">
        <v>37.4</v>
      </c>
      <c r="J535" s="4" t="n">
        <v>57</v>
      </c>
      <c r="K535" t="inlineStr">
        <is>
          <t>19 / 38</t>
        </is>
      </c>
      <c r="L535" t="inlineStr">
        <is>
          <t>4 / 15</t>
        </is>
      </c>
      <c r="M535" s="5" t="n">
        <v>0.33</v>
      </c>
      <c r="N535" s="5" t="n">
        <v>0.21</v>
      </c>
    </row>
    <row r="536">
      <c r="A536" t="n">
        <v>535</v>
      </c>
      <c r="B536" t="n">
        <v>2017</v>
      </c>
      <c r="C536" t="inlineStr">
        <is>
          <t>Siena Yang-frome</t>
        </is>
      </c>
      <c r="D536">
        <f>HYPERLINK("https://ota.tournamentsoftware.com/player-profile/07E78FFD-E9BB-462A-8A5B-4456E8FEB96D", "Link")</f>
        <v/>
      </c>
      <c r="E536" s="3" t="n">
        <v>66.974</v>
      </c>
      <c r="F536" s="4" t="n">
        <v>11</v>
      </c>
      <c r="G536" t="inlineStr">
        <is>
          <t>Ontario Tennis Association</t>
        </is>
      </c>
      <c r="H536" t="inlineStr">
        <is>
          <t>Premier Racquet Clubs – Mississauga</t>
        </is>
      </c>
      <c r="I536" t="n">
        <v>36.1</v>
      </c>
      <c r="J536" s="4" t="n">
        <v>83</v>
      </c>
      <c r="K536" t="inlineStr">
        <is>
          <t>48 / 35</t>
        </is>
      </c>
      <c r="L536" t="inlineStr">
        <is>
          <t>10 / 12</t>
        </is>
      </c>
      <c r="M536" s="5" t="n">
        <v>0.58</v>
      </c>
      <c r="N536" s="5" t="n">
        <v>0.45</v>
      </c>
    </row>
    <row r="537">
      <c r="A537" t="n">
        <v>536</v>
      </c>
      <c r="B537" t="n">
        <v>2012</v>
      </c>
      <c r="C537" t="inlineStr">
        <is>
          <t>Daisy Brown</t>
        </is>
      </c>
      <c r="D537">
        <f>HYPERLINK("https://ota.tournamentsoftware.com/player-profile/9CF1A8A4-6BA5-46C8-92F4-3E802A738811", "Link")</f>
        <v/>
      </c>
      <c r="E537" s="3" t="n">
        <v>66.79900000000001</v>
      </c>
      <c r="F537" s="4" t="n">
        <v>6</v>
      </c>
      <c r="G537" t="inlineStr">
        <is>
          <t>British Columbia</t>
        </is>
      </c>
      <c r="H537" t="inlineStr">
        <is>
          <t>Oak Bay Recreation Centre</t>
        </is>
      </c>
      <c r="I537" t="n">
        <v>35.7</v>
      </c>
      <c r="J537" s="4" t="n">
        <v>62</v>
      </c>
      <c r="K537" t="inlineStr">
        <is>
          <t>34 / 28</t>
        </is>
      </c>
      <c r="L537" t="inlineStr">
        <is>
          <t>4 / 6</t>
        </is>
      </c>
      <c r="M537" s="5" t="n">
        <v>0.55</v>
      </c>
      <c r="N537" s="5" t="n">
        <v>0.4</v>
      </c>
    </row>
    <row r="538">
      <c r="A538" t="n">
        <v>537</v>
      </c>
      <c r="B538" t="n">
        <v>2016</v>
      </c>
      <c r="C538" t="inlineStr">
        <is>
          <t>Lily Chen</t>
        </is>
      </c>
      <c r="D538">
        <f>HYPERLINK("https://ota.tournamentsoftware.com/player-profile/A6A0EB19-7DDD-4B25-B81C-FCA911081AB5", "Link")</f>
        <v/>
      </c>
      <c r="E538" s="3" t="n">
        <v>66.55200000000001</v>
      </c>
      <c r="F538" s="4" t="n">
        <v>17</v>
      </c>
      <c r="G538" t="inlineStr">
        <is>
          <t>British Columbia</t>
        </is>
      </c>
      <c r="H538" t="inlineStr">
        <is>
          <t>No Club</t>
        </is>
      </c>
      <c r="I538" t="n">
        <v>35.5</v>
      </c>
      <c r="J538" s="4" t="n">
        <v>105</v>
      </c>
      <c r="K538" t="inlineStr">
        <is>
          <t>41 / 64</t>
        </is>
      </c>
      <c r="L538" t="inlineStr">
        <is>
          <t>14 / 21</t>
        </is>
      </c>
      <c r="M538" s="5" t="n">
        <v>0.39</v>
      </c>
      <c r="N538" s="5" t="n">
        <v>0.4</v>
      </c>
    </row>
    <row r="539">
      <c r="A539" t="n">
        <v>538</v>
      </c>
      <c r="B539" t="n">
        <v>2015</v>
      </c>
      <c r="C539" t="inlineStr">
        <is>
          <t>Brielle Ramirez Balos</t>
        </is>
      </c>
      <c r="D539">
        <f>HYPERLINK("https://ota.tournamentsoftware.com/player-profile/2F36BC35-A108-44F9-B705-6F2246749033", "Link")</f>
        <v/>
      </c>
      <c r="E539" s="3" t="n">
        <v>66.29000000000001</v>
      </c>
      <c r="F539" s="4" t="n">
        <v>9</v>
      </c>
      <c r="G539" t="inlineStr">
        <is>
          <t>Tennis Alberta</t>
        </is>
      </c>
      <c r="H539" t="inlineStr">
        <is>
          <t>Saville Community Sports Centre</t>
        </is>
      </c>
      <c r="I539" t="inlineStr">
        <is>
          <t>unavailable</t>
        </is>
      </c>
      <c r="J539" s="4" t="n">
        <v>65</v>
      </c>
      <c r="K539" t="inlineStr">
        <is>
          <t>37 / 28</t>
        </is>
      </c>
      <c r="L539" t="inlineStr">
        <is>
          <t>15 / 9</t>
        </is>
      </c>
      <c r="M539" s="5" t="n">
        <v>0.57</v>
      </c>
      <c r="N539" s="5" t="n">
        <v>0.62</v>
      </c>
    </row>
    <row r="540">
      <c r="A540" t="n">
        <v>539</v>
      </c>
      <c r="B540" t="n">
        <v>2014</v>
      </c>
      <c r="C540" t="inlineStr">
        <is>
          <t>Sareen Kaur Hehar</t>
        </is>
      </c>
      <c r="D540">
        <f>HYPERLINK("https://ota.tournamentsoftware.com/player-profile/07D185FB-AE5B-444B-BAE8-058B536108E2", "Link")</f>
        <v/>
      </c>
      <c r="E540" s="3" t="n">
        <v>66.22499999999999</v>
      </c>
      <c r="F540" s="4" t="n">
        <v>12</v>
      </c>
      <c r="G540" t="inlineStr">
        <is>
          <t>British Columbia</t>
        </is>
      </c>
      <c r="H540" t="inlineStr">
        <is>
          <t>No Club</t>
        </is>
      </c>
      <c r="I540" t="n">
        <v>35.7</v>
      </c>
      <c r="J540" s="4" t="n">
        <v>197</v>
      </c>
      <c r="K540" t="inlineStr">
        <is>
          <t>75 / 122</t>
        </is>
      </c>
      <c r="L540" t="inlineStr">
        <is>
          <t>5 / 10</t>
        </is>
      </c>
      <c r="M540" s="5" t="n">
        <v>0.38</v>
      </c>
      <c r="N540" s="5" t="n">
        <v>0.33</v>
      </c>
    </row>
    <row r="541">
      <c r="A541" t="n">
        <v>540</v>
      </c>
      <c r="B541" t="n">
        <v>2016</v>
      </c>
      <c r="C541" t="inlineStr">
        <is>
          <t>Evelyn May</t>
        </is>
      </c>
      <c r="D541">
        <f>HYPERLINK("https://ota.tournamentsoftware.com/player-profile/ABFB9C06-ABE9-4B21-BF57-67179CC1CD5D", "Link")</f>
        <v/>
      </c>
      <c r="E541" s="3" t="n">
        <v>65.914</v>
      </c>
      <c r="F541" s="4" t="n">
        <v>13</v>
      </c>
      <c r="G541" t="inlineStr">
        <is>
          <t>Tennis Québec</t>
        </is>
      </c>
      <c r="H541" t="inlineStr">
        <is>
          <t>Tennis 13 / Académie Ménard et associé</t>
        </is>
      </c>
      <c r="I541" t="n">
        <v>33.6</v>
      </c>
      <c r="J541" s="4" t="n">
        <v>181</v>
      </c>
      <c r="K541" t="inlineStr">
        <is>
          <t>112 / 69</t>
        </is>
      </c>
      <c r="L541" t="inlineStr">
        <is>
          <t>15 / 13</t>
        </is>
      </c>
      <c r="M541" s="5" t="n">
        <v>0.62</v>
      </c>
      <c r="N541" s="5" t="n">
        <v>0.54</v>
      </c>
    </row>
    <row r="542">
      <c r="A542" t="n">
        <v>541</v>
      </c>
      <c r="B542" t="n">
        <v>2013</v>
      </c>
      <c r="C542" t="inlineStr">
        <is>
          <t>Daniella Adekoya</t>
        </is>
      </c>
      <c r="D542">
        <f>HYPERLINK("https://ota.tournamentsoftware.com/player-profile/1AE7E627-3ED1-4E93-9C7E-52183DBA7410", "Link")</f>
        <v/>
      </c>
      <c r="E542" s="3" t="n">
        <v>65.88</v>
      </c>
      <c r="F542" s="4" t="n">
        <v>3</v>
      </c>
      <c r="G542" t="inlineStr">
        <is>
          <t>Ontario Tennis Association</t>
        </is>
      </c>
      <c r="H542" t="inlineStr">
        <is>
          <t>Rideau Sports Centre</t>
        </is>
      </c>
      <c r="I542" t="n">
        <v>35.5</v>
      </c>
      <c r="J542" s="4" t="n">
        <v>27</v>
      </c>
      <c r="K542" t="inlineStr">
        <is>
          <t>8 / 19</t>
        </is>
      </c>
      <c r="L542" t="inlineStr">
        <is>
          <t>1 / 2</t>
        </is>
      </c>
      <c r="M542" s="5" t="n">
        <v>0.3</v>
      </c>
      <c r="N542" s="5" t="n">
        <v>0.33</v>
      </c>
    </row>
    <row r="543">
      <c r="A543" t="n">
        <v>542</v>
      </c>
      <c r="B543" t="n">
        <v>2012</v>
      </c>
      <c r="C543" t="inlineStr">
        <is>
          <t>Diya Anand</t>
        </is>
      </c>
      <c r="D543">
        <f>HYPERLINK("https://ota.tournamentsoftware.com/player-profile/3939C1EF-E95B-4DD4-9208-81F6E4D5387F", "Link")</f>
        <v/>
      </c>
      <c r="E543" s="3" t="n">
        <v>65.70999999999999</v>
      </c>
      <c r="F543" s="4" t="n">
        <v>5</v>
      </c>
      <c r="G543" t="inlineStr">
        <is>
          <t>Ontario Tennis Association</t>
        </is>
      </c>
      <c r="H543" t="inlineStr">
        <is>
          <t>Rosedale Tennis Club (Hamilton)</t>
        </is>
      </c>
      <c r="I543" t="inlineStr">
        <is>
          <t>unavailable</t>
        </is>
      </c>
      <c r="J543" s="4" t="n">
        <v>20</v>
      </c>
      <c r="K543" t="inlineStr">
        <is>
          <t>4 / 16</t>
        </is>
      </c>
      <c r="L543" t="inlineStr">
        <is>
          <t>1 / 6</t>
        </is>
      </c>
      <c r="M543" s="5" t="n">
        <v>0.2</v>
      </c>
      <c r="N543" s="5" t="n">
        <v>0.14</v>
      </c>
    </row>
    <row r="544">
      <c r="A544" t="n">
        <v>543</v>
      </c>
      <c r="B544" t="n">
        <v>2014</v>
      </c>
      <c r="C544" t="inlineStr">
        <is>
          <t>Victoria Guiral</t>
        </is>
      </c>
      <c r="D544">
        <f>HYPERLINK("https://ota.tournamentsoftware.com/player-profile/1DC3BD6C-A3EA-46CB-A6B3-CB5D3D2F1E7D", "Link")</f>
        <v/>
      </c>
      <c r="E544" s="3" t="n">
        <v>65.601</v>
      </c>
      <c r="F544" s="4" t="n">
        <v>5</v>
      </c>
      <c r="G544" t="inlineStr">
        <is>
          <t>Tennis Québec</t>
        </is>
      </c>
      <c r="H544" t="inlineStr">
        <is>
          <t>Tennis Interclub Piedmont</t>
        </is>
      </c>
      <c r="I544" t="inlineStr">
        <is>
          <t>unavailable</t>
        </is>
      </c>
      <c r="J544" s="4" t="inlineStr"/>
      <c r="K544" t="inlineStr">
        <is>
          <t>unavailable</t>
        </is>
      </c>
      <c r="L544" t="inlineStr">
        <is>
          <t>unavailable</t>
        </is>
      </c>
      <c r="M544" s="5" t="inlineStr"/>
      <c r="N544" s="5" t="inlineStr"/>
    </row>
    <row r="545">
      <c r="A545" t="n">
        <v>544</v>
      </c>
      <c r="B545" t="n">
        <v>2013</v>
      </c>
      <c r="C545" t="inlineStr">
        <is>
          <t>Robyn Abigail Allen</t>
        </is>
      </c>
      <c r="D545">
        <f>HYPERLINK("https://ota.tournamentsoftware.com/player-profile/248A3F67-26CE-43CB-A1BB-A426F8AC9211", "Link")</f>
        <v/>
      </c>
      <c r="E545" s="3" t="n">
        <v>65.42700000000001</v>
      </c>
      <c r="F545" s="4" t="n">
        <v>4</v>
      </c>
      <c r="G545" t="inlineStr">
        <is>
          <t>Ontario Tennis Association</t>
        </is>
      </c>
      <c r="H545" t="inlineStr">
        <is>
          <t>Waterloo Tennis Club</t>
        </is>
      </c>
      <c r="I545" t="inlineStr">
        <is>
          <t>unavailable</t>
        </is>
      </c>
      <c r="J545" s="4" t="n">
        <v>24</v>
      </c>
      <c r="K545" t="inlineStr">
        <is>
          <t>5 / 19</t>
        </is>
      </c>
      <c r="L545" t="inlineStr">
        <is>
          <t>2 / 12</t>
        </is>
      </c>
      <c r="M545" s="5" t="n">
        <v>0.21</v>
      </c>
      <c r="N545" s="5" t="n">
        <v>0.14</v>
      </c>
    </row>
    <row r="546">
      <c r="A546" t="n">
        <v>545</v>
      </c>
      <c r="B546" t="n">
        <v>2015</v>
      </c>
      <c r="C546" t="inlineStr">
        <is>
          <t>Alexandria Gianvito</t>
        </is>
      </c>
      <c r="D546">
        <f>HYPERLINK("https://ota.tournamentsoftware.com/player-profile/4A4D327B-3019-4349-8F36-0769D584A4FA", "Link")</f>
        <v/>
      </c>
      <c r="E546" s="3" t="n">
        <v>64.84999999999999</v>
      </c>
      <c r="F546" s="4" t="n">
        <v>6</v>
      </c>
      <c r="G546" t="inlineStr">
        <is>
          <t>Tennis Québec</t>
        </is>
      </c>
      <c r="H546" t="inlineStr">
        <is>
          <t>No Club</t>
        </is>
      </c>
      <c r="I546" t="inlineStr">
        <is>
          <t>unavailable</t>
        </is>
      </c>
      <c r="J546" s="4" t="n">
        <v>50</v>
      </c>
      <c r="K546" t="inlineStr">
        <is>
          <t>13 / 37</t>
        </is>
      </c>
      <c r="L546" t="inlineStr">
        <is>
          <t>1 / 5</t>
        </is>
      </c>
      <c r="M546" s="5" t="n">
        <v>0.26</v>
      </c>
      <c r="N546" s="5" t="n">
        <v>0.17</v>
      </c>
    </row>
    <row r="547">
      <c r="A547" t="n">
        <v>546</v>
      </c>
      <c r="B547" t="n">
        <v>2012</v>
      </c>
      <c r="C547" t="inlineStr">
        <is>
          <t>Jemima Edwards</t>
        </is>
      </c>
      <c r="D547">
        <f>HYPERLINK("https://ota.tournamentsoftware.com/player-profile/89C8AA4C-1698-4049-8B88-9B77FC5C4B9B", "Link")</f>
        <v/>
      </c>
      <c r="E547" s="3" t="n">
        <v>64</v>
      </c>
      <c r="F547" s="4" t="n">
        <v>2</v>
      </c>
      <c r="G547" t="inlineStr">
        <is>
          <t>Ontario Tennis Association</t>
        </is>
      </c>
      <c r="H547" t="inlineStr">
        <is>
          <t>Rideau Sports Centre</t>
        </is>
      </c>
      <c r="I547" t="n">
        <v>32.5</v>
      </c>
      <c r="J547" s="4" t="n">
        <v>77</v>
      </c>
      <c r="K547" t="inlineStr">
        <is>
          <t>39 / 38</t>
        </is>
      </c>
      <c r="L547" t="inlineStr">
        <is>
          <t>3 / 1</t>
        </is>
      </c>
      <c r="M547" s="5" t="n">
        <v>0.51</v>
      </c>
      <c r="N547" s="5" t="n">
        <v>0.75</v>
      </c>
    </row>
    <row r="548">
      <c r="A548" t="n">
        <v>547</v>
      </c>
      <c r="B548" t="n">
        <v>2013</v>
      </c>
      <c r="C548" t="inlineStr">
        <is>
          <t>Audrey Humeniuk</t>
        </is>
      </c>
      <c r="D548">
        <f>HYPERLINK("https://ota.tournamentsoftware.com/player-profile/468D56FB-0ABD-4840-82FB-F2B1EB075075", "Link")</f>
        <v/>
      </c>
      <c r="E548" s="3" t="n">
        <v>63.86</v>
      </c>
      <c r="F548" s="4" t="n">
        <v>4</v>
      </c>
      <c r="G548" t="inlineStr">
        <is>
          <t>Ontario Tennis Association</t>
        </is>
      </c>
      <c r="H548" t="inlineStr">
        <is>
          <t>Tennis Centre West Ottawa</t>
        </is>
      </c>
      <c r="I548" t="n">
        <v>39.5</v>
      </c>
      <c r="J548" s="4" t="n">
        <v>10</v>
      </c>
      <c r="K548" t="inlineStr">
        <is>
          <t>2 / 8</t>
        </is>
      </c>
      <c r="L548" t="inlineStr">
        <is>
          <t>1 / 4</t>
        </is>
      </c>
      <c r="M548" s="5" t="n">
        <v>0.2</v>
      </c>
      <c r="N548" s="5" t="n">
        <v>0.2</v>
      </c>
    </row>
    <row r="549">
      <c r="A549" t="n">
        <v>548</v>
      </c>
      <c r="B549" t="n">
        <v>2013</v>
      </c>
      <c r="C549" t="inlineStr">
        <is>
          <t>Camélia Duong</t>
        </is>
      </c>
      <c r="D549">
        <f>HYPERLINK("https://ota.tournamentsoftware.com/player-profile/86B52BC3-1BF6-4334-8E35-8F6D2AF1C95B", "Link")</f>
        <v/>
      </c>
      <c r="E549" s="3" t="n">
        <v>63.787</v>
      </c>
      <c r="F549" s="4" t="n">
        <v>10</v>
      </c>
      <c r="G549" t="inlineStr">
        <is>
          <t>Tennis Québec</t>
        </is>
      </c>
      <c r="H549" t="inlineStr">
        <is>
          <t>Tennis Ile- des- Soeurs</t>
        </is>
      </c>
      <c r="I549" t="n">
        <v>38.3</v>
      </c>
      <c r="J549" s="4" t="n">
        <v>58</v>
      </c>
      <c r="K549" t="inlineStr">
        <is>
          <t>9 / 49</t>
        </is>
      </c>
      <c r="L549" t="inlineStr">
        <is>
          <t>1 / 6</t>
        </is>
      </c>
      <c r="M549" s="5" t="n">
        <v>0.16</v>
      </c>
      <c r="N549" s="5" t="n">
        <v>0.14</v>
      </c>
    </row>
    <row r="550">
      <c r="A550" t="n">
        <v>549</v>
      </c>
      <c r="B550" t="n">
        <v>2013</v>
      </c>
      <c r="C550" t="inlineStr">
        <is>
          <t>Deborah Zhao</t>
        </is>
      </c>
      <c r="D550">
        <f>HYPERLINK("https://ota.tournamentsoftware.com/player-profile/F6904719-B024-412B-8805-0CEB145651FD", "Link")</f>
        <v/>
      </c>
      <c r="E550" s="3" t="n">
        <v>63.288</v>
      </c>
      <c r="F550" s="4" t="n">
        <v>3</v>
      </c>
      <c r="G550" t="inlineStr">
        <is>
          <t>Tennis Prince Edward Island</t>
        </is>
      </c>
      <c r="H550" t="inlineStr">
        <is>
          <t>Charlottetown Recreation Tennis Group</t>
        </is>
      </c>
      <c r="I550" t="n">
        <v>35.5</v>
      </c>
      <c r="J550" s="4" t="n">
        <v>139</v>
      </c>
      <c r="K550" t="inlineStr">
        <is>
          <t>67 / 72</t>
        </is>
      </c>
      <c r="L550" t="inlineStr">
        <is>
          <t>5 / 8</t>
        </is>
      </c>
      <c r="M550" s="5" t="n">
        <v>0.48</v>
      </c>
      <c r="N550" s="5" t="n">
        <v>0.38</v>
      </c>
    </row>
    <row r="551">
      <c r="A551" t="n">
        <v>550</v>
      </c>
      <c r="B551" t="n">
        <v>2015</v>
      </c>
      <c r="C551" t="inlineStr">
        <is>
          <t>Aayushi Gautam</t>
        </is>
      </c>
      <c r="D551">
        <f>HYPERLINK("https://ota.tournamentsoftware.com/player-profile/A24CEE26-7629-46B9-89B0-12B054D2DFB9", "Link")</f>
        <v/>
      </c>
      <c r="E551" s="3" t="n">
        <v>63.275</v>
      </c>
      <c r="F551" s="4" t="n">
        <v>13</v>
      </c>
      <c r="G551" t="inlineStr">
        <is>
          <t>Tennis Alberta</t>
        </is>
      </c>
      <c r="H551" t="inlineStr">
        <is>
          <t>Saville Community Sports Centre</t>
        </is>
      </c>
      <c r="I551" t="n">
        <v>33.6</v>
      </c>
      <c r="J551" s="4" t="n">
        <v>152</v>
      </c>
      <c r="K551" t="inlineStr">
        <is>
          <t>90 / 62</t>
        </is>
      </c>
      <c r="L551" t="inlineStr">
        <is>
          <t>16 / 8</t>
        </is>
      </c>
      <c r="M551" s="5" t="n">
        <v>0.59</v>
      </c>
      <c r="N551" s="5" t="n">
        <v>0.67</v>
      </c>
    </row>
    <row r="552">
      <c r="A552" t="n">
        <v>551</v>
      </c>
      <c r="B552" t="n">
        <v>2012</v>
      </c>
      <c r="C552" t="inlineStr">
        <is>
          <t>kate zixi ye</t>
        </is>
      </c>
      <c r="D552">
        <f>HYPERLINK("https://ota.tournamentsoftware.com/player-profile/0A8F7797-88F4-49C6-8F3D-6079B8242406", "Link")</f>
        <v/>
      </c>
      <c r="E552" s="3" t="n">
        <v>62.909</v>
      </c>
      <c r="F552" s="4" t="n">
        <v>5</v>
      </c>
      <c r="G552" t="inlineStr">
        <is>
          <t>Ontario Tennis Association</t>
        </is>
      </c>
      <c r="H552" t="inlineStr">
        <is>
          <t>No Club</t>
        </is>
      </c>
      <c r="I552" t="n">
        <v>38</v>
      </c>
      <c r="J552" s="4" t="n">
        <v>11</v>
      </c>
      <c r="K552" t="inlineStr">
        <is>
          <t>2 / 9</t>
        </is>
      </c>
      <c r="L552" t="inlineStr">
        <is>
          <t>1 / 4</t>
        </is>
      </c>
      <c r="M552" s="5" t="n">
        <v>0.18</v>
      </c>
      <c r="N552" s="5" t="n">
        <v>0.2</v>
      </c>
    </row>
    <row r="553">
      <c r="A553" t="n">
        <v>552</v>
      </c>
      <c r="B553" t="n">
        <v>2015</v>
      </c>
      <c r="C553" t="inlineStr">
        <is>
          <t>Karina Lee Griffin</t>
        </is>
      </c>
      <c r="D553">
        <f>HYPERLINK("https://ota.tournamentsoftware.com/player-profile/51794C7A-992F-4A4D-9983-0483174644A1", "Link")</f>
        <v/>
      </c>
      <c r="E553" s="3" t="n">
        <v>62.799</v>
      </c>
      <c r="F553" s="4" t="n">
        <v>19</v>
      </c>
      <c r="G553" t="inlineStr">
        <is>
          <t>British Columbia</t>
        </is>
      </c>
      <c r="H553" t="inlineStr">
        <is>
          <t>North Vancouver Tennis Centre</t>
        </is>
      </c>
      <c r="I553" t="n">
        <v>35.1</v>
      </c>
      <c r="J553" s="4" t="n">
        <v>155</v>
      </c>
      <c r="K553" t="inlineStr">
        <is>
          <t>73 / 82</t>
        </is>
      </c>
      <c r="L553" t="inlineStr">
        <is>
          <t>12 / 20</t>
        </is>
      </c>
      <c r="M553" s="5" t="n">
        <v>0.47</v>
      </c>
      <c r="N553" s="5" t="n">
        <v>0.38</v>
      </c>
    </row>
    <row r="554">
      <c r="A554" t="n">
        <v>553</v>
      </c>
      <c r="B554" t="n">
        <v>2013</v>
      </c>
      <c r="C554" t="inlineStr">
        <is>
          <t>Vina BLANCHARD</t>
        </is>
      </c>
      <c r="D554">
        <f>HYPERLINK("https://ota.tournamentsoftware.com/player-profile/B5AD0E2A-4843-4177-AD96-5A3203B5C718", "Link")</f>
        <v/>
      </c>
      <c r="E554" s="3" t="n">
        <v>62.695</v>
      </c>
      <c r="F554" s="4" t="n">
        <v>6</v>
      </c>
      <c r="G554" t="inlineStr">
        <is>
          <t>Ontario Tennis Association</t>
        </is>
      </c>
      <c r="H554" t="inlineStr">
        <is>
          <t>Ontario Racquet Club</t>
        </is>
      </c>
      <c r="I554" t="inlineStr">
        <is>
          <t>unavailable</t>
        </is>
      </c>
      <c r="J554" s="4" t="n">
        <v>25</v>
      </c>
      <c r="K554" t="inlineStr">
        <is>
          <t>11 / 14</t>
        </is>
      </c>
      <c r="L554" t="inlineStr">
        <is>
          <t>2 / 8</t>
        </is>
      </c>
      <c r="M554" s="5" t="n">
        <v>0.44</v>
      </c>
      <c r="N554" s="5" t="n">
        <v>0.2</v>
      </c>
    </row>
    <row r="555">
      <c r="A555" t="n">
        <v>554</v>
      </c>
      <c r="B555" t="n">
        <v>2012</v>
      </c>
      <c r="C555" t="inlineStr">
        <is>
          <t>Hannah Ines Fischer-Kandelas</t>
        </is>
      </c>
      <c r="D555">
        <f>HYPERLINK("https://ota.tournamentsoftware.com/player-profile/672C977E-EE19-4DD0-AE73-F6FCDD2EE1E1", "Link")</f>
        <v/>
      </c>
      <c r="E555" s="3" t="n">
        <v>62.453</v>
      </c>
      <c r="F555" s="4" t="n">
        <v>4</v>
      </c>
      <c r="G555" t="inlineStr">
        <is>
          <t>Ontario Tennis Association</t>
        </is>
      </c>
      <c r="H555" t="inlineStr">
        <is>
          <t>Wychwood Tennis Club</t>
        </is>
      </c>
      <c r="I555" t="n">
        <v>39.1</v>
      </c>
      <c r="J555" s="4" t="n">
        <v>22</v>
      </c>
      <c r="K555" t="inlineStr">
        <is>
          <t>9 / 13</t>
        </is>
      </c>
      <c r="L555" t="inlineStr">
        <is>
          <t>2 / 7</t>
        </is>
      </c>
      <c r="M555" s="5" t="n">
        <v>0.41</v>
      </c>
      <c r="N555" s="5" t="n">
        <v>0.22</v>
      </c>
    </row>
    <row r="556">
      <c r="A556" t="n">
        <v>555</v>
      </c>
      <c r="B556" t="n">
        <v>2016</v>
      </c>
      <c r="C556" t="inlineStr">
        <is>
          <t>Hayley Bryce</t>
        </is>
      </c>
      <c r="D556">
        <f>HYPERLINK("https://ota.tournamentsoftware.com/player-profile/B433F420-A779-4270-B32A-8DE5FF43BD05", "Link")</f>
        <v/>
      </c>
      <c r="E556" s="3" t="n">
        <v>62.412</v>
      </c>
      <c r="F556" s="4" t="n">
        <v>13</v>
      </c>
      <c r="G556" t="inlineStr">
        <is>
          <t>Ontario Tennis Association</t>
        </is>
      </c>
      <c r="H556" t="inlineStr">
        <is>
          <t>SmartVMC Racquetsports by ACE</t>
        </is>
      </c>
      <c r="I556" t="inlineStr">
        <is>
          <t>unavailable</t>
        </is>
      </c>
      <c r="J556" s="4" t="n">
        <v>80</v>
      </c>
      <c r="K556" t="inlineStr">
        <is>
          <t>36 / 44</t>
        </is>
      </c>
      <c r="L556" t="inlineStr">
        <is>
          <t>19 / 22</t>
        </is>
      </c>
      <c r="M556" s="5" t="n">
        <v>0.45</v>
      </c>
      <c r="N556" s="5" t="n">
        <v>0.46</v>
      </c>
    </row>
    <row r="557">
      <c r="A557" t="n">
        <v>556</v>
      </c>
      <c r="B557" t="n">
        <v>2014</v>
      </c>
      <c r="C557" t="inlineStr">
        <is>
          <t>Chloe Huang</t>
        </is>
      </c>
      <c r="D557">
        <f>HYPERLINK("https://ota.tournamentsoftware.com/player-profile/F00195EB-06BF-48AD-9E24-7FA037871F13", "Link")</f>
        <v/>
      </c>
      <c r="E557" s="3" t="n">
        <v>62.111</v>
      </c>
      <c r="F557" s="4" t="n">
        <v>3</v>
      </c>
      <c r="G557" t="inlineStr">
        <is>
          <t>Ontario Tennis Association</t>
        </is>
      </c>
      <c r="H557" t="inlineStr">
        <is>
          <t>Richmond Hill Country Club</t>
        </is>
      </c>
      <c r="I557" t="n">
        <v>38.8</v>
      </c>
      <c r="J557" s="4" t="n">
        <v>54</v>
      </c>
      <c r="K557" t="inlineStr">
        <is>
          <t>20 / 34</t>
        </is>
      </c>
      <c r="L557" t="inlineStr">
        <is>
          <t>0 / 3</t>
        </is>
      </c>
      <c r="M557" s="5" t="n">
        <v>0.37</v>
      </c>
      <c r="N557" s="5" t="n">
        <v>0</v>
      </c>
    </row>
    <row r="558">
      <c r="A558" t="n">
        <v>557</v>
      </c>
      <c r="B558" t="n">
        <v>2012</v>
      </c>
      <c r="C558" t="inlineStr">
        <is>
          <t>Alice Zhang</t>
        </is>
      </c>
      <c r="D558">
        <f>HYPERLINK("https://ota.tournamentsoftware.com/player-profile/D65C72B6-843B-48BF-A073-AE5080F1EA2D", "Link")</f>
        <v/>
      </c>
      <c r="E558" s="3" t="n">
        <v>61.807</v>
      </c>
      <c r="F558" s="4" t="n">
        <v>4</v>
      </c>
      <c r="G558" t="inlineStr">
        <is>
          <t>Ontario Tennis Association</t>
        </is>
      </c>
      <c r="H558" t="inlineStr">
        <is>
          <t>ACE Tennis - Burlington</t>
        </is>
      </c>
      <c r="I558" t="n">
        <v>37.2</v>
      </c>
      <c r="J558" s="4" t="n">
        <v>10</v>
      </c>
      <c r="K558" t="inlineStr">
        <is>
          <t>2 / 8</t>
        </is>
      </c>
      <c r="L558" t="inlineStr">
        <is>
          <t>2 / 6</t>
        </is>
      </c>
      <c r="M558" s="5" t="n">
        <v>0.2</v>
      </c>
      <c r="N558" s="5" t="n">
        <v>0.25</v>
      </c>
    </row>
    <row r="559">
      <c r="A559" t="n">
        <v>558</v>
      </c>
      <c r="B559" t="n">
        <v>2015</v>
      </c>
      <c r="C559" t="inlineStr">
        <is>
          <t>Clara Surprenant</t>
        </is>
      </c>
      <c r="D559">
        <f>HYPERLINK("https://ota.tournamentsoftware.com/player-profile/82684D26-C7AE-41C6-893D-5E94585A41D7", "Link")</f>
        <v/>
      </c>
      <c r="E559" s="3" t="n">
        <v>60.705</v>
      </c>
      <c r="F559" s="4" t="n">
        <v>6</v>
      </c>
      <c r="G559" t="inlineStr">
        <is>
          <t>Tennis Québec</t>
        </is>
      </c>
      <c r="H559" t="inlineStr">
        <is>
          <t>SANI Sport</t>
        </is>
      </c>
      <c r="I559" t="n">
        <v>36.6</v>
      </c>
      <c r="J559" s="4" t="n">
        <v>85</v>
      </c>
      <c r="K559" t="inlineStr">
        <is>
          <t>40 / 45</t>
        </is>
      </c>
      <c r="L559" t="inlineStr">
        <is>
          <t>2 / 4</t>
        </is>
      </c>
      <c r="M559" s="5" t="n">
        <v>0.47</v>
      </c>
      <c r="N559" s="5" t="n">
        <v>0.33</v>
      </c>
    </row>
    <row r="560">
      <c r="A560" t="n">
        <v>559</v>
      </c>
      <c r="B560" t="n">
        <v>2014</v>
      </c>
      <c r="C560" t="inlineStr">
        <is>
          <t>Minnie Jinwen Xu</t>
        </is>
      </c>
      <c r="D560">
        <f>HYPERLINK("https://ota.tournamentsoftware.com/player-profile/617AABE9-B600-4656-9194-77743DDDC351", "Link")</f>
        <v/>
      </c>
      <c r="E560" s="3" t="n">
        <v>60.695</v>
      </c>
      <c r="F560" s="4" t="n">
        <v>12</v>
      </c>
      <c r="G560" t="inlineStr">
        <is>
          <t>British Columbia</t>
        </is>
      </c>
      <c r="H560" t="inlineStr">
        <is>
          <t>The Tennis Centre</t>
        </is>
      </c>
      <c r="I560" t="n">
        <v>35.4</v>
      </c>
      <c r="J560" s="4" t="n">
        <v>128</v>
      </c>
      <c r="K560" t="inlineStr">
        <is>
          <t>67 / 61</t>
        </is>
      </c>
      <c r="L560" t="inlineStr">
        <is>
          <t>13 / 12</t>
        </is>
      </c>
      <c r="M560" s="5" t="n">
        <v>0.52</v>
      </c>
      <c r="N560" s="5" t="n">
        <v>0.52</v>
      </c>
    </row>
    <row r="561">
      <c r="A561" t="n">
        <v>560</v>
      </c>
      <c r="B561" t="n">
        <v>2016</v>
      </c>
      <c r="C561" t="inlineStr">
        <is>
          <t>Anne Cherednychenko</t>
        </is>
      </c>
      <c r="D561">
        <f>HYPERLINK("https://ota.tournamentsoftware.com/player-profile/8FB2FF81-D0FE-4491-B99E-18BAAFE1E3CD", "Link")</f>
        <v/>
      </c>
      <c r="E561" s="3" t="n">
        <v>60.335</v>
      </c>
      <c r="F561" s="4" t="n">
        <v>9</v>
      </c>
      <c r="G561" t="inlineStr">
        <is>
          <t>Tennis Québec</t>
        </is>
      </c>
      <c r="H561" t="inlineStr">
        <is>
          <t>No Club</t>
        </is>
      </c>
      <c r="I561" t="n">
        <v>35</v>
      </c>
      <c r="J561" s="4" t="n">
        <v>66</v>
      </c>
      <c r="K561" t="inlineStr">
        <is>
          <t>40 / 26</t>
        </is>
      </c>
      <c r="L561" t="inlineStr">
        <is>
          <t>16 / 12</t>
        </is>
      </c>
      <c r="M561" s="5" t="n">
        <v>0.61</v>
      </c>
      <c r="N561" s="5" t="n">
        <v>0.57</v>
      </c>
    </row>
    <row r="562">
      <c r="A562" t="n">
        <v>561</v>
      </c>
      <c r="B562" t="n">
        <v>2016</v>
      </c>
      <c r="C562" t="inlineStr">
        <is>
          <t>Abigail Jianing Zhou</t>
        </is>
      </c>
      <c r="D562">
        <f>HYPERLINK("https://ota.tournamentsoftware.com/player-profile/E53B2389-2E47-459E-9543-5DBB506C324A", "Link")</f>
        <v/>
      </c>
      <c r="E562" s="3" t="n">
        <v>60.24</v>
      </c>
      <c r="F562" s="4" t="n">
        <v>16</v>
      </c>
      <c r="G562" t="inlineStr">
        <is>
          <t>Ontario Tennis Association</t>
        </is>
      </c>
      <c r="H562" t="inlineStr">
        <is>
          <t>Joshua Creek Golf &amp; Tennis</t>
        </is>
      </c>
      <c r="I562" t="n">
        <v>36.8</v>
      </c>
      <c r="J562" s="4" t="n">
        <v>156</v>
      </c>
      <c r="K562" t="inlineStr">
        <is>
          <t>65 / 91</t>
        </is>
      </c>
      <c r="L562" t="inlineStr">
        <is>
          <t>27 / 26</t>
        </is>
      </c>
      <c r="M562" s="5" t="n">
        <v>0.42</v>
      </c>
      <c r="N562" s="5" t="n">
        <v>0.51</v>
      </c>
    </row>
    <row r="563">
      <c r="A563" t="n">
        <v>562</v>
      </c>
      <c r="B563" t="n">
        <v>2016</v>
      </c>
      <c r="C563" t="inlineStr">
        <is>
          <t>Vianna Mostashari</t>
        </is>
      </c>
      <c r="D563">
        <f>HYPERLINK("https://ota.tournamentsoftware.com/player-profile/670B74EC-3F81-45DD-8F9B-AEE768B61639", "Link")</f>
        <v/>
      </c>
      <c r="E563" s="3" t="n">
        <v>60.235</v>
      </c>
      <c r="F563" s="4" t="n">
        <v>11</v>
      </c>
      <c r="G563" t="inlineStr">
        <is>
          <t>British Columbia</t>
        </is>
      </c>
      <c r="H563" t="inlineStr">
        <is>
          <t>North Vancouver Tennis Centre</t>
        </is>
      </c>
      <c r="I563" t="n">
        <v>35.9</v>
      </c>
      <c r="J563" s="4" t="n">
        <v>157</v>
      </c>
      <c r="K563" t="inlineStr">
        <is>
          <t>88 / 69</t>
        </is>
      </c>
      <c r="L563" t="inlineStr">
        <is>
          <t>8 / 16</t>
        </is>
      </c>
      <c r="M563" s="5" t="n">
        <v>0.5600000000000001</v>
      </c>
      <c r="N563" s="5" t="n">
        <v>0.33</v>
      </c>
    </row>
    <row r="564">
      <c r="A564" t="n">
        <v>563</v>
      </c>
      <c r="B564" t="n">
        <v>2015</v>
      </c>
      <c r="C564" t="inlineStr">
        <is>
          <t>Ava Gracia Hurley</t>
        </is>
      </c>
      <c r="D564">
        <f>HYPERLINK("https://ota.tournamentsoftware.com/player-profile/DC3D1043-9FBA-467F-8103-AE9D0DEEF066", "Link")</f>
        <v/>
      </c>
      <c r="E564" s="3" t="n">
        <v>58.941</v>
      </c>
      <c r="F564" s="4" t="n">
        <v>11</v>
      </c>
      <c r="G564" t="inlineStr">
        <is>
          <t>Ontario Tennis Association</t>
        </is>
      </c>
      <c r="H564" t="inlineStr">
        <is>
          <t>Manotick Tennis Club</t>
        </is>
      </c>
      <c r="I564" t="inlineStr">
        <is>
          <t>unavailable</t>
        </is>
      </c>
      <c r="J564" s="4" t="n">
        <v>33</v>
      </c>
      <c r="K564" t="inlineStr">
        <is>
          <t>13 / 20</t>
        </is>
      </c>
      <c r="L564" t="inlineStr">
        <is>
          <t>5 / 9</t>
        </is>
      </c>
      <c r="M564" s="5" t="n">
        <v>0.39</v>
      </c>
      <c r="N564" s="5" t="n">
        <v>0.36</v>
      </c>
    </row>
    <row r="565">
      <c r="A565" t="n">
        <v>564</v>
      </c>
      <c r="B565" t="n">
        <v>2013</v>
      </c>
      <c r="C565" t="inlineStr">
        <is>
          <t>Presley Pellegrino</t>
        </is>
      </c>
      <c r="D565">
        <f>HYPERLINK("https://ota.tournamentsoftware.com/player-profile/A7978533-179E-4FC4-8D48-C160FA6FF2E3", "Link")</f>
        <v/>
      </c>
      <c r="E565" s="3" t="n">
        <v>58.878</v>
      </c>
      <c r="F565" s="4" t="n">
        <v>3</v>
      </c>
      <c r="G565" t="inlineStr">
        <is>
          <t>Ontario Tennis Association</t>
        </is>
      </c>
      <c r="H565" t="inlineStr">
        <is>
          <t>No Club</t>
        </is>
      </c>
      <c r="I565" t="n">
        <v>35.1</v>
      </c>
      <c r="J565" s="4" t="n">
        <v>97</v>
      </c>
      <c r="K565" t="inlineStr">
        <is>
          <t>40 / 57</t>
        </is>
      </c>
      <c r="L565" t="inlineStr">
        <is>
          <t>2 / 2</t>
        </is>
      </c>
      <c r="M565" s="5" t="n">
        <v>0.41</v>
      </c>
      <c r="N565" s="5" t="n">
        <v>0.5</v>
      </c>
    </row>
    <row r="566">
      <c r="A566" t="n">
        <v>565</v>
      </c>
      <c r="B566" t="n">
        <v>2015</v>
      </c>
      <c r="C566" t="inlineStr">
        <is>
          <t>Aria MARTIN</t>
        </is>
      </c>
      <c r="D566">
        <f>HYPERLINK("https://ota.tournamentsoftware.com/player-profile/220708AF-B049-4C3B-83FA-C1AAC60269C5", "Link")</f>
        <v/>
      </c>
      <c r="E566" s="3" t="n">
        <v>58.434</v>
      </c>
      <c r="F566" s="4" t="n">
        <v>16</v>
      </c>
      <c r="G566" t="inlineStr">
        <is>
          <t>British Columbia</t>
        </is>
      </c>
      <c r="H566" t="inlineStr">
        <is>
          <t>Vancouver Lawn Tennis and Badminton Club</t>
        </is>
      </c>
      <c r="I566" t="n">
        <v>35.2</v>
      </c>
      <c r="J566" s="4" t="n">
        <v>133</v>
      </c>
      <c r="K566" t="inlineStr">
        <is>
          <t>53 / 80</t>
        </is>
      </c>
      <c r="L566" t="inlineStr">
        <is>
          <t>24 / 17</t>
        </is>
      </c>
      <c r="M566" s="5" t="n">
        <v>0.4</v>
      </c>
      <c r="N566" s="5" t="n">
        <v>0.59</v>
      </c>
    </row>
    <row r="567">
      <c r="A567" t="n">
        <v>566</v>
      </c>
      <c r="B567" t="n">
        <v>2015</v>
      </c>
      <c r="C567" t="inlineStr">
        <is>
          <t>Maeva Kaur Dhillon</t>
        </is>
      </c>
      <c r="D567">
        <f>HYPERLINK("https://ota.tournamentsoftware.com/player-profile/1E3A662C-1993-423F-99BB-0CD2F93CC62A", "Link")</f>
        <v/>
      </c>
      <c r="E567" s="3" t="n">
        <v>58.125</v>
      </c>
      <c r="F567" s="4" t="n">
        <v>11</v>
      </c>
      <c r="G567" t="inlineStr">
        <is>
          <t>Tennis Alberta</t>
        </is>
      </c>
      <c r="H567" t="inlineStr">
        <is>
          <t>Saville Community Sports Centre</t>
        </is>
      </c>
      <c r="I567" t="n">
        <v>37.4</v>
      </c>
      <c r="J567" s="4" t="n">
        <v>74</v>
      </c>
      <c r="K567" t="inlineStr">
        <is>
          <t>22 / 52</t>
        </is>
      </c>
      <c r="L567" t="inlineStr">
        <is>
          <t>5 / 9</t>
        </is>
      </c>
      <c r="M567" s="5" t="n">
        <v>0.3</v>
      </c>
      <c r="N567" s="5" t="n">
        <v>0.36</v>
      </c>
    </row>
    <row r="568">
      <c r="A568" t="n">
        <v>567</v>
      </c>
      <c r="B568" t="n">
        <v>2012</v>
      </c>
      <c r="C568" t="inlineStr">
        <is>
          <t>Chloe Teng</t>
        </is>
      </c>
      <c r="D568">
        <f>HYPERLINK("https://ota.tournamentsoftware.com/player-profile/F5AC5875-4E89-4D3E-BF17-24986F702240", "Link")</f>
        <v/>
      </c>
      <c r="E568" s="3" t="n">
        <v>57.902</v>
      </c>
      <c r="F568" s="4" t="n">
        <v>11</v>
      </c>
      <c r="G568" t="inlineStr">
        <is>
          <t>Ontario Tennis Association</t>
        </is>
      </c>
      <c r="H568" t="inlineStr">
        <is>
          <t>Tennis Clubs of Canada</t>
        </is>
      </c>
      <c r="I568" t="n">
        <v>38.2</v>
      </c>
      <c r="J568" s="4" t="n">
        <v>43</v>
      </c>
      <c r="K568" t="inlineStr">
        <is>
          <t>11 / 32</t>
        </is>
      </c>
      <c r="L568" t="inlineStr">
        <is>
          <t>8 / 21</t>
        </is>
      </c>
      <c r="M568" s="5" t="n">
        <v>0.26</v>
      </c>
      <c r="N568" s="5" t="n">
        <v>0.28</v>
      </c>
    </row>
    <row r="569">
      <c r="A569" t="n">
        <v>568</v>
      </c>
      <c r="B569" t="n">
        <v>2013</v>
      </c>
      <c r="C569" t="inlineStr">
        <is>
          <t>Gabrielle Galgay</t>
        </is>
      </c>
      <c r="D569">
        <f>HYPERLINK("https://ota.tournamentsoftware.com/player-profile/1A26365B-FAA0-4130-8F92-B67D497E82D9", "Link")</f>
        <v/>
      </c>
      <c r="E569" s="3" t="n">
        <v>57.069</v>
      </c>
      <c r="F569" s="4" t="n">
        <v>4</v>
      </c>
      <c r="G569" t="inlineStr">
        <is>
          <t>Ontario Tennis Association</t>
        </is>
      </c>
      <c r="H569" t="inlineStr">
        <is>
          <t>No Club</t>
        </is>
      </c>
      <c r="I569" t="n">
        <v>34.3</v>
      </c>
      <c r="J569" s="4" t="n">
        <v>10</v>
      </c>
      <c r="K569" t="inlineStr">
        <is>
          <t>4 / 6</t>
        </is>
      </c>
      <c r="L569" t="inlineStr">
        <is>
          <t>1 / 3</t>
        </is>
      </c>
      <c r="M569" s="5" t="n">
        <v>0.4</v>
      </c>
      <c r="N569" s="5" t="n">
        <v>0.25</v>
      </c>
    </row>
    <row r="570">
      <c r="A570" t="n">
        <v>569</v>
      </c>
      <c r="B570" t="n">
        <v>2013</v>
      </c>
      <c r="C570" t="inlineStr">
        <is>
          <t>Noa Anne Broere</t>
        </is>
      </c>
      <c r="D570">
        <f>HYPERLINK("https://ota.tournamentsoftware.com/player-profile/A5724AD9-99FF-4D46-A565-ED1BBCAE83F4", "Link")</f>
        <v/>
      </c>
      <c r="E570" s="3" t="n">
        <v>57.045</v>
      </c>
      <c r="F570" s="4" t="n">
        <v>15</v>
      </c>
      <c r="G570" t="inlineStr">
        <is>
          <t>British Columbia</t>
        </is>
      </c>
      <c r="H570" t="inlineStr">
        <is>
          <t>Vancouver Lawn Tennis and Badminton Club</t>
        </is>
      </c>
      <c r="I570" t="n">
        <v>35</v>
      </c>
      <c r="J570" s="4" t="n">
        <v>75</v>
      </c>
      <c r="K570" t="inlineStr">
        <is>
          <t>30 / 45</t>
        </is>
      </c>
      <c r="L570" t="inlineStr">
        <is>
          <t>9 / 14</t>
        </is>
      </c>
      <c r="M570" s="5" t="n">
        <v>0.4</v>
      </c>
      <c r="N570" s="5" t="n">
        <v>0.39</v>
      </c>
    </row>
    <row r="571">
      <c r="A571" t="n">
        <v>570</v>
      </c>
      <c r="B571" t="n">
        <v>2013</v>
      </c>
      <c r="C571" t="inlineStr">
        <is>
          <t>Grace Christina Lawrence</t>
        </is>
      </c>
      <c r="D571">
        <f>HYPERLINK("https://ota.tournamentsoftware.com/player-profile/9FEF2F9B-F202-41CF-8B36-42B1520055E0", "Link")</f>
        <v/>
      </c>
      <c r="E571" s="3" t="n">
        <v>57.027</v>
      </c>
      <c r="F571" s="4" t="n">
        <v>9</v>
      </c>
      <c r="G571" t="inlineStr">
        <is>
          <t>Ontario Tennis Association</t>
        </is>
      </c>
      <c r="H571" t="inlineStr">
        <is>
          <t>Toronto Lawn Tennis Club</t>
        </is>
      </c>
      <c r="I571" t="n">
        <v>35.9</v>
      </c>
      <c r="J571" s="4" t="n">
        <v>107</v>
      </c>
      <c r="K571" t="inlineStr">
        <is>
          <t>48 / 59</t>
        </is>
      </c>
      <c r="L571" t="inlineStr">
        <is>
          <t>4 / 4</t>
        </is>
      </c>
      <c r="M571" s="5" t="n">
        <v>0.45</v>
      </c>
      <c r="N571" s="5" t="n">
        <v>0.5</v>
      </c>
    </row>
    <row r="572">
      <c r="A572" t="n">
        <v>571</v>
      </c>
      <c r="B572" t="n">
        <v>2014</v>
      </c>
      <c r="C572" t="inlineStr">
        <is>
          <t>Shaghun Dhillon</t>
        </is>
      </c>
      <c r="D572">
        <f>HYPERLINK("https://ota.tournamentsoftware.com/player-profile/97B5DEDE-AA93-468B-902A-462AB9B42432", "Link")</f>
        <v/>
      </c>
      <c r="E572" s="3" t="n">
        <v>56.729</v>
      </c>
      <c r="F572" s="4" t="n">
        <v>12</v>
      </c>
      <c r="G572" t="inlineStr">
        <is>
          <t>Ontario Tennis Association</t>
        </is>
      </c>
      <c r="H572" t="inlineStr">
        <is>
          <t>Premier Racquet Club</t>
        </is>
      </c>
      <c r="I572" t="inlineStr">
        <is>
          <t>unavailable</t>
        </is>
      </c>
      <c r="J572" s="4" t="n">
        <v>57</v>
      </c>
      <c r="K572" t="inlineStr">
        <is>
          <t>32 / 25</t>
        </is>
      </c>
      <c r="L572" t="inlineStr">
        <is>
          <t>26 / 19</t>
        </is>
      </c>
      <c r="M572" s="5" t="n">
        <v>0.5600000000000001</v>
      </c>
      <c r="N572" s="5" t="n">
        <v>0.58</v>
      </c>
    </row>
    <row r="573">
      <c r="A573" t="n">
        <v>572</v>
      </c>
      <c r="B573" t="n">
        <v>2015</v>
      </c>
      <c r="C573" t="inlineStr">
        <is>
          <t>Madeleine Penelope Haun</t>
        </is>
      </c>
      <c r="D573">
        <f>HYPERLINK("https://ota.tournamentsoftware.com/player-profile/6F8A0525-0D8F-4263-8F76-0B8CF4B34D42", "Link")</f>
        <v/>
      </c>
      <c r="E573" s="3" t="n">
        <v>55.31</v>
      </c>
      <c r="F573" s="4" t="n">
        <v>10</v>
      </c>
      <c r="G573" t="inlineStr">
        <is>
          <t>Tennis Alberta</t>
        </is>
      </c>
      <c r="H573" t="inlineStr">
        <is>
          <t>Osten &amp; Victor Alberta Tennis Centre</t>
        </is>
      </c>
      <c r="I573" t="n">
        <v>37.3</v>
      </c>
      <c r="J573" s="4" t="n">
        <v>152</v>
      </c>
      <c r="K573" t="inlineStr">
        <is>
          <t>82 / 70</t>
        </is>
      </c>
      <c r="L573" t="inlineStr">
        <is>
          <t>5 / 8</t>
        </is>
      </c>
      <c r="M573" s="5" t="n">
        <v>0.54</v>
      </c>
      <c r="N573" s="5" t="n">
        <v>0.38</v>
      </c>
    </row>
    <row r="574">
      <c r="A574" t="n">
        <v>573</v>
      </c>
      <c r="B574" t="n">
        <v>2015</v>
      </c>
      <c r="C574" t="inlineStr">
        <is>
          <t>Ziba Forooghian</t>
        </is>
      </c>
      <c r="D574">
        <f>HYPERLINK("https://ota.tournamentsoftware.com/player-profile/F7878057-CB20-46E1-B220-553040C8AC48", "Link")</f>
        <v/>
      </c>
      <c r="E574" s="3" t="n">
        <v>55.163</v>
      </c>
      <c r="F574" s="4" t="n">
        <v>19</v>
      </c>
      <c r="G574" t="inlineStr">
        <is>
          <t>British Columbia</t>
        </is>
      </c>
      <c r="H574" t="inlineStr">
        <is>
          <t>Aura Tennis Academy</t>
        </is>
      </c>
      <c r="I574" t="n">
        <v>36.7</v>
      </c>
      <c r="J574" s="4" t="n">
        <v>81</v>
      </c>
      <c r="K574" t="inlineStr">
        <is>
          <t>27 / 54</t>
        </is>
      </c>
      <c r="L574" t="inlineStr">
        <is>
          <t>14 / 31</t>
        </is>
      </c>
      <c r="M574" s="5" t="n">
        <v>0.33</v>
      </c>
      <c r="N574" s="5" t="n">
        <v>0.31</v>
      </c>
    </row>
    <row r="575">
      <c r="A575" t="n">
        <v>574</v>
      </c>
      <c r="B575" t="n">
        <v>2013</v>
      </c>
      <c r="C575" t="inlineStr">
        <is>
          <t>Helena Nastic</t>
        </is>
      </c>
      <c r="D575">
        <f>HYPERLINK("https://ota.tournamentsoftware.com/player-profile/384CD39C-50E9-4DF1-B1AD-85571147C1F9", "Link")</f>
        <v/>
      </c>
      <c r="E575" s="3" t="n">
        <v>54.864</v>
      </c>
      <c r="F575" s="4" t="n">
        <v>7</v>
      </c>
      <c r="G575" t="inlineStr">
        <is>
          <t>Ontario Tennis Association</t>
        </is>
      </c>
      <c r="H575" t="inlineStr">
        <is>
          <t>Royal City Tennis Club</t>
        </is>
      </c>
      <c r="I575" t="inlineStr">
        <is>
          <t>unavailable</t>
        </is>
      </c>
      <c r="J575" s="4" t="n">
        <v>38</v>
      </c>
      <c r="K575" t="inlineStr">
        <is>
          <t>19 / 19</t>
        </is>
      </c>
      <c r="L575" t="inlineStr">
        <is>
          <t>0 / 5</t>
        </is>
      </c>
      <c r="M575" s="5" t="n">
        <v>0.5</v>
      </c>
      <c r="N575" s="5" t="n">
        <v>0</v>
      </c>
    </row>
    <row r="576">
      <c r="A576" t="n">
        <v>575</v>
      </c>
      <c r="B576" t="n">
        <v>2012</v>
      </c>
      <c r="C576" t="inlineStr">
        <is>
          <t>Karmi Singh</t>
        </is>
      </c>
      <c r="D576">
        <f>HYPERLINK("https://ota.tournamentsoftware.com/player-profile/B68DC1C1-BC37-443E-AB03-601E1E7E72A2", "Link")</f>
        <v/>
      </c>
      <c r="E576" s="3" t="n">
        <v>54.499</v>
      </c>
      <c r="F576" s="4" t="n">
        <v>4</v>
      </c>
      <c r="G576" t="inlineStr">
        <is>
          <t>Ontario Tennis Association</t>
        </is>
      </c>
      <c r="H576" t="inlineStr">
        <is>
          <t>Ontario Racquet Club</t>
        </is>
      </c>
      <c r="I576" t="inlineStr">
        <is>
          <t>unavailable</t>
        </is>
      </c>
      <c r="J576" s="4" t="n">
        <v>59</v>
      </c>
      <c r="K576" t="inlineStr">
        <is>
          <t>26 / 33</t>
        </is>
      </c>
      <c r="L576" t="inlineStr">
        <is>
          <t>1 / 5</t>
        </is>
      </c>
      <c r="M576" s="5" t="n">
        <v>0.44</v>
      </c>
      <c r="N576" s="5" t="n">
        <v>0.17</v>
      </c>
    </row>
    <row r="577">
      <c r="A577" t="n">
        <v>576</v>
      </c>
      <c r="B577" t="n">
        <v>2016</v>
      </c>
      <c r="C577" t="inlineStr">
        <is>
          <t>Xirui Ding</t>
        </is>
      </c>
      <c r="D577">
        <f>HYPERLINK("https://ota.tournamentsoftware.com/player-profile/6DC46DF7-2964-4ED2-9C01-D39C773C942F", "Link")</f>
        <v/>
      </c>
      <c r="E577" s="3" t="n">
        <v>54.085</v>
      </c>
      <c r="F577" s="4" t="n">
        <v>7</v>
      </c>
      <c r="G577" t="inlineStr">
        <is>
          <t>Ontario Tennis Association</t>
        </is>
      </c>
      <c r="H577" t="inlineStr">
        <is>
          <t>Valan Tennis Academy</t>
        </is>
      </c>
      <c r="I577" t="n">
        <v>37.5</v>
      </c>
      <c r="J577" s="4" t="n">
        <v>110</v>
      </c>
      <c r="K577" t="inlineStr">
        <is>
          <t>69 / 41</t>
        </is>
      </c>
      <c r="L577" t="inlineStr">
        <is>
          <t>64 / 32</t>
        </is>
      </c>
      <c r="M577" s="5" t="n">
        <v>0.63</v>
      </c>
      <c r="N577" s="5" t="n">
        <v>0.67</v>
      </c>
    </row>
    <row r="578">
      <c r="A578" t="n">
        <v>577</v>
      </c>
      <c r="B578" t="n">
        <v>2015</v>
      </c>
      <c r="C578" t="inlineStr">
        <is>
          <t>Miadel Flores</t>
        </is>
      </c>
      <c r="D578">
        <f>HYPERLINK("https://ota.tournamentsoftware.com/player-profile/19F5DCB9-D4C1-477E-9443-DA276E9A30BC", "Link")</f>
        <v/>
      </c>
      <c r="E578" s="3" t="n">
        <v>53.935</v>
      </c>
      <c r="F578" s="4" t="n">
        <v>5</v>
      </c>
      <c r="G578" t="inlineStr">
        <is>
          <t>Tennis Québec</t>
        </is>
      </c>
      <c r="H578" t="inlineStr">
        <is>
          <t>No Club</t>
        </is>
      </c>
      <c r="I578" t="n">
        <v>40</v>
      </c>
      <c r="J578" s="4" t="n">
        <v>8</v>
      </c>
      <c r="K578" t="inlineStr">
        <is>
          <t>1 / 7</t>
        </is>
      </c>
      <c r="L578" t="inlineStr">
        <is>
          <t>1 / 7</t>
        </is>
      </c>
      <c r="M578" s="5" t="n">
        <v>0.12</v>
      </c>
      <c r="N578" s="5" t="n">
        <v>0.12</v>
      </c>
    </row>
    <row r="579">
      <c r="A579" t="n">
        <v>578</v>
      </c>
      <c r="B579" t="n">
        <v>2016</v>
      </c>
      <c r="C579" t="inlineStr">
        <is>
          <t>Saanvi Sharma</t>
        </is>
      </c>
      <c r="D579">
        <f>HYPERLINK("https://ota.tournamentsoftware.com/player-profile/CE1D7CD8-1C3C-4F68-B568-48AC24E75437", "Link")</f>
        <v/>
      </c>
      <c r="E579" s="3" t="n">
        <v>53.28</v>
      </c>
      <c r="F579" s="4" t="n">
        <v>4</v>
      </c>
      <c r="G579" t="inlineStr">
        <is>
          <t>Tennis Québec</t>
        </is>
      </c>
      <c r="H579" t="inlineStr">
        <is>
          <t>Tennis Ile- des- Soeurs</t>
        </is>
      </c>
      <c r="I579" t="n">
        <v>37</v>
      </c>
      <c r="J579" s="4" t="n">
        <v>88</v>
      </c>
      <c r="K579" t="inlineStr">
        <is>
          <t>43 / 45</t>
        </is>
      </c>
      <c r="L579" t="inlineStr">
        <is>
          <t>12 / 8</t>
        </is>
      </c>
      <c r="M579" s="5" t="n">
        <v>0.49</v>
      </c>
      <c r="N579" s="5" t="n">
        <v>0.6</v>
      </c>
    </row>
    <row r="580">
      <c r="A580" t="n">
        <v>579</v>
      </c>
      <c r="B580" t="n">
        <v>2013</v>
      </c>
      <c r="C580" t="inlineStr">
        <is>
          <t>Julia Soldatov</t>
        </is>
      </c>
      <c r="D580">
        <f>HYPERLINK("https://ota.tournamentsoftware.com/player-profile/9CDD8F0E-2B06-4818-8B32-A0ED95A9E6DF", "Link")</f>
        <v/>
      </c>
      <c r="E580" s="3" t="n">
        <v>53.274</v>
      </c>
      <c r="F580" s="4" t="n">
        <v>5</v>
      </c>
      <c r="G580" t="inlineStr">
        <is>
          <t>Ontario Tennis Association</t>
        </is>
      </c>
      <c r="H580" t="inlineStr">
        <is>
          <t>Newmarket Community Tennis Club</t>
        </is>
      </c>
      <c r="I580" t="n">
        <v>38.7</v>
      </c>
      <c r="J580" s="4" t="n">
        <v>19</v>
      </c>
      <c r="K580" t="inlineStr">
        <is>
          <t>6 / 13</t>
        </is>
      </c>
      <c r="L580" t="inlineStr">
        <is>
          <t>6 / 13</t>
        </is>
      </c>
      <c r="M580" s="5" t="n">
        <v>0.32</v>
      </c>
      <c r="N580" s="5" t="n">
        <v>0.32</v>
      </c>
    </row>
    <row r="581">
      <c r="A581" t="n">
        <v>580</v>
      </c>
      <c r="B581" t="n">
        <v>2015</v>
      </c>
      <c r="C581" t="inlineStr">
        <is>
          <t>Dania Ahmed</t>
        </is>
      </c>
      <c r="D581">
        <f>HYPERLINK("https://ota.tournamentsoftware.com/player-profile/3A4EF5D7-2C40-4E2A-A979-D3231C03A93C", "Link")</f>
        <v/>
      </c>
      <c r="E581" s="3" t="n">
        <v>53.149</v>
      </c>
      <c r="F581" s="4" t="n">
        <v>11</v>
      </c>
      <c r="G581" t="inlineStr">
        <is>
          <t>Ontario Tennis Association</t>
        </is>
      </c>
      <c r="H581" t="inlineStr">
        <is>
          <t>Waterloo Tennis Club</t>
        </is>
      </c>
      <c r="I581" t="n">
        <v>37.1</v>
      </c>
      <c r="J581" s="4" t="n">
        <v>84</v>
      </c>
      <c r="K581" t="inlineStr">
        <is>
          <t>50 / 34</t>
        </is>
      </c>
      <c r="L581" t="inlineStr">
        <is>
          <t>3 / 9</t>
        </is>
      </c>
      <c r="M581" s="5" t="n">
        <v>0.6</v>
      </c>
      <c r="N581" s="5" t="n">
        <v>0.25</v>
      </c>
    </row>
    <row r="582">
      <c r="A582" t="n">
        <v>581</v>
      </c>
      <c r="B582" t="n">
        <v>2014</v>
      </c>
      <c r="C582" t="inlineStr">
        <is>
          <t>Julia Jzmati</t>
        </is>
      </c>
      <c r="D582">
        <f>HYPERLINK("https://ota.tournamentsoftware.com/player-profile/2AADF196-C892-43B1-9128-5338F8D87E95", "Link")</f>
        <v/>
      </c>
      <c r="E582" s="3" t="n">
        <v>52.454</v>
      </c>
      <c r="F582" s="4" t="n">
        <v>11</v>
      </c>
      <c r="G582" t="inlineStr">
        <is>
          <t>Ontario Tennis Association</t>
        </is>
      </c>
      <c r="H582" t="inlineStr">
        <is>
          <t>Rideau Sports Centre</t>
        </is>
      </c>
      <c r="I582" t="n">
        <v>39.2</v>
      </c>
      <c r="J582" s="4" t="n">
        <v>31</v>
      </c>
      <c r="K582" t="inlineStr">
        <is>
          <t>6 / 25</t>
        </is>
      </c>
      <c r="L582" t="inlineStr">
        <is>
          <t>2 / 10</t>
        </is>
      </c>
      <c r="M582" s="5" t="n">
        <v>0.19</v>
      </c>
      <c r="N582" s="5" t="n">
        <v>0.17</v>
      </c>
    </row>
    <row r="583">
      <c r="A583" t="n">
        <v>582</v>
      </c>
      <c r="B583" t="n">
        <v>2014</v>
      </c>
      <c r="C583" t="inlineStr">
        <is>
          <t>Ann Ha</t>
        </is>
      </c>
      <c r="D583">
        <f>HYPERLINK("https://ota.tournamentsoftware.com/player-profile/139E73DD-882F-4509-9B0C-BB790DA8399D", "Link")</f>
        <v/>
      </c>
      <c r="E583" s="3" t="n">
        <v>50.846</v>
      </c>
      <c r="F583" s="4" t="n">
        <v>3</v>
      </c>
      <c r="G583" t="inlineStr">
        <is>
          <t>Tennis Saskatchewan</t>
        </is>
      </c>
      <c r="H583" t="inlineStr">
        <is>
          <t>Lakewood Indoor Tennis Centre</t>
        </is>
      </c>
      <c r="I583" t="inlineStr">
        <is>
          <t>unavailable</t>
        </is>
      </c>
      <c r="J583" s="4" t="n">
        <v>9</v>
      </c>
      <c r="K583" t="inlineStr">
        <is>
          <t>1 / 8</t>
        </is>
      </c>
      <c r="L583" t="inlineStr">
        <is>
          <t>1 / 8</t>
        </is>
      </c>
      <c r="M583" s="5" t="n">
        <v>0.11</v>
      </c>
      <c r="N583" s="5" t="n">
        <v>0.11</v>
      </c>
    </row>
    <row r="584">
      <c r="A584" t="n">
        <v>583</v>
      </c>
      <c r="B584" t="n">
        <v>2014</v>
      </c>
      <c r="C584" t="inlineStr">
        <is>
          <t>Tara Nastic</t>
        </is>
      </c>
      <c r="D584">
        <f>HYPERLINK("https://ota.tournamentsoftware.com/player-profile/43FF8AFD-A54E-4011-88C7-132B60B568E8", "Link")</f>
        <v/>
      </c>
      <c r="E584" s="3" t="n">
        <v>50.76</v>
      </c>
      <c r="F584" s="4" t="n">
        <v>4</v>
      </c>
      <c r="G584" t="inlineStr">
        <is>
          <t>Ontario Tennis Association</t>
        </is>
      </c>
      <c r="H584" t="inlineStr">
        <is>
          <t>Royal City Tennis Club</t>
        </is>
      </c>
      <c r="I584" t="inlineStr">
        <is>
          <t>unavailable</t>
        </is>
      </c>
      <c r="J584" s="4" t="n">
        <v>19</v>
      </c>
      <c r="K584" t="inlineStr">
        <is>
          <t>4 / 15</t>
        </is>
      </c>
      <c r="L584" t="inlineStr">
        <is>
          <t>1 / 3</t>
        </is>
      </c>
      <c r="M584" s="5" t="n">
        <v>0.21</v>
      </c>
      <c r="N584" s="5" t="n">
        <v>0.25</v>
      </c>
    </row>
    <row r="585">
      <c r="A585" t="n">
        <v>584</v>
      </c>
      <c r="B585" t="n">
        <v>2012</v>
      </c>
      <c r="C585" t="inlineStr">
        <is>
          <t>Elise Chan</t>
        </is>
      </c>
      <c r="D585">
        <f>HYPERLINK("https://ota.tournamentsoftware.com/player-profile/74C14A51-A560-4368-85E6-96F13264726F", "Link")</f>
        <v/>
      </c>
      <c r="E585" s="3" t="n">
        <v>50.266</v>
      </c>
      <c r="F585" s="4" t="n">
        <v>4</v>
      </c>
      <c r="G585" t="inlineStr">
        <is>
          <t>Ontario Tennis Association</t>
        </is>
      </c>
      <c r="H585" t="inlineStr">
        <is>
          <t>Rideau Sports Centre</t>
        </is>
      </c>
      <c r="I585" t="n">
        <v>38.4</v>
      </c>
      <c r="J585" s="4" t="n">
        <v>3</v>
      </c>
      <c r="K585" t="inlineStr">
        <is>
          <t>0 / 3</t>
        </is>
      </c>
      <c r="L585" t="inlineStr">
        <is>
          <t>0 / 3</t>
        </is>
      </c>
      <c r="M585" s="5" t="n">
        <v>0</v>
      </c>
      <c r="N585" s="5" t="n">
        <v>0</v>
      </c>
    </row>
    <row r="586">
      <c r="A586" t="n">
        <v>585</v>
      </c>
      <c r="B586" t="n">
        <v>2014</v>
      </c>
      <c r="C586" t="inlineStr">
        <is>
          <t>Sofia Morisette</t>
        </is>
      </c>
      <c r="D586">
        <f>HYPERLINK("https://ota.tournamentsoftware.com/player-profile/F99611AC-3485-4574-897D-68151916B40D", "Link")</f>
        <v/>
      </c>
      <c r="E586" s="3" t="n">
        <v>50.011</v>
      </c>
      <c r="F586" s="4" t="n">
        <v>4</v>
      </c>
      <c r="G586" t="inlineStr">
        <is>
          <t>British Columbia</t>
        </is>
      </c>
      <c r="H586" t="inlineStr">
        <is>
          <t>Tennis BC Hub @ Richmond</t>
        </is>
      </c>
      <c r="I586" t="n">
        <v>35.8</v>
      </c>
      <c r="J586" s="4" t="n">
        <v>128</v>
      </c>
      <c r="K586" t="inlineStr">
        <is>
          <t>51 / 77</t>
        </is>
      </c>
      <c r="L586" t="inlineStr">
        <is>
          <t>2 / 6</t>
        </is>
      </c>
      <c r="M586" s="5" t="n">
        <v>0.4</v>
      </c>
      <c r="N586" s="5" t="n">
        <v>0.25</v>
      </c>
    </row>
    <row r="587">
      <c r="A587" t="n">
        <v>586</v>
      </c>
      <c r="B587" t="n">
        <v>2014</v>
      </c>
      <c r="C587" t="inlineStr">
        <is>
          <t>Charlotte Adeline Ratchford</t>
        </is>
      </c>
      <c r="D587">
        <f>HYPERLINK("https://ota.tournamentsoftware.com/player-profile/552DF1FC-65F6-48FE-8B31-884C1DC273DB", "Link")</f>
        <v/>
      </c>
      <c r="E587" s="3" t="n">
        <v>49.765</v>
      </c>
      <c r="F587" s="4" t="n">
        <v>17</v>
      </c>
      <c r="G587" t="inlineStr">
        <is>
          <t>British Columbia</t>
        </is>
      </c>
      <c r="H587" t="inlineStr">
        <is>
          <t>Jericho Tennis Club</t>
        </is>
      </c>
      <c r="I587" t="n">
        <v>36.9</v>
      </c>
      <c r="J587" s="4" t="n">
        <v>45</v>
      </c>
      <c r="K587" t="inlineStr">
        <is>
          <t>14 / 31</t>
        </is>
      </c>
      <c r="L587" t="inlineStr">
        <is>
          <t>12 / 26</t>
        </is>
      </c>
      <c r="M587" s="5" t="n">
        <v>0.31</v>
      </c>
      <c r="N587" s="5" t="n">
        <v>0.32</v>
      </c>
    </row>
    <row r="588">
      <c r="A588" t="n">
        <v>587</v>
      </c>
      <c r="B588" t="n">
        <v>2014</v>
      </c>
      <c r="C588" t="inlineStr">
        <is>
          <t>Emma Ghantous</t>
        </is>
      </c>
      <c r="D588">
        <f>HYPERLINK("https://ota.tournamentsoftware.com/player-profile/0EA6BF71-F3BF-4EA7-95F6-B80CD551F4FB", "Link")</f>
        <v/>
      </c>
      <c r="E588" s="3" t="n">
        <v>49.68</v>
      </c>
      <c r="F588" s="4" t="n">
        <v>2</v>
      </c>
      <c r="G588" t="inlineStr">
        <is>
          <t>Tennis Québec</t>
        </is>
      </c>
      <c r="H588" t="inlineStr">
        <is>
          <t>Tennis 13</t>
        </is>
      </c>
      <c r="I588" t="n">
        <v>33.4</v>
      </c>
      <c r="J588" s="4" t="n">
        <v>126</v>
      </c>
      <c r="K588" t="inlineStr">
        <is>
          <t>77 / 49</t>
        </is>
      </c>
      <c r="L588" t="inlineStr">
        <is>
          <t>0 / 0</t>
        </is>
      </c>
      <c r="M588" s="5" t="n">
        <v>0.61</v>
      </c>
      <c r="N588" s="5" t="n">
        <v>0</v>
      </c>
    </row>
    <row r="589">
      <c r="A589" t="n">
        <v>588</v>
      </c>
      <c r="B589" t="n">
        <v>2015</v>
      </c>
      <c r="C589" t="inlineStr">
        <is>
          <t>Sofia Kiselenko</t>
        </is>
      </c>
      <c r="D589">
        <f>HYPERLINK("https://ota.tournamentsoftware.com/player-profile/8164E8EB-17A8-4270-A12B-31EFF18C9343", "Link")</f>
        <v/>
      </c>
      <c r="E589" s="3" t="n">
        <v>49.342</v>
      </c>
      <c r="F589" s="4" t="n">
        <v>16</v>
      </c>
      <c r="G589" t="inlineStr">
        <is>
          <t>Tennis Alberta</t>
        </is>
      </c>
      <c r="H589" t="inlineStr">
        <is>
          <t>Osten &amp; Victor Alberta Tennis Centre</t>
        </is>
      </c>
      <c r="I589" t="n">
        <v>37</v>
      </c>
      <c r="J589" s="4" t="n">
        <v>133</v>
      </c>
      <c r="K589" t="inlineStr">
        <is>
          <t>44 / 89</t>
        </is>
      </c>
      <c r="L589" t="inlineStr">
        <is>
          <t>12 / 15</t>
        </is>
      </c>
      <c r="M589" s="5" t="n">
        <v>0.33</v>
      </c>
      <c r="N589" s="5" t="n">
        <v>0.44</v>
      </c>
    </row>
    <row r="590">
      <c r="A590" t="n">
        <v>589</v>
      </c>
      <c r="B590" t="n">
        <v>2016</v>
      </c>
      <c r="C590" t="inlineStr">
        <is>
          <t>Olivia Yueer Hao</t>
        </is>
      </c>
      <c r="D590">
        <f>HYPERLINK("https://ota.tournamentsoftware.com/player-profile/61C0E090-4E32-499F-86FE-FFD674DD6128", "Link")</f>
        <v/>
      </c>
      <c r="E590" s="3" t="n">
        <v>49.177</v>
      </c>
      <c r="F590" s="4" t="n">
        <v>9</v>
      </c>
      <c r="G590" t="inlineStr">
        <is>
          <t>Ontario Tennis Association</t>
        </is>
      </c>
      <c r="H590" t="inlineStr">
        <is>
          <t>Valan Tennis Academy</t>
        </is>
      </c>
      <c r="I590" t="n">
        <v>38.1</v>
      </c>
      <c r="J590" s="4" t="n">
        <v>73</v>
      </c>
      <c r="K590" t="inlineStr">
        <is>
          <t>33 / 40</t>
        </is>
      </c>
      <c r="L590" t="inlineStr">
        <is>
          <t>29 / 25</t>
        </is>
      </c>
      <c r="M590" s="5" t="n">
        <v>0.45</v>
      </c>
      <c r="N590" s="5" t="n">
        <v>0.54</v>
      </c>
    </row>
    <row r="591">
      <c r="A591" t="n">
        <v>590</v>
      </c>
      <c r="B591" t="n">
        <v>2017</v>
      </c>
      <c r="C591" t="inlineStr">
        <is>
          <t>Vivian Spurrell</t>
        </is>
      </c>
      <c r="D591">
        <f>HYPERLINK("https://ota.tournamentsoftware.com/player-profile/9CFE670B-9D8C-4BC2-8DDB-1C78F17AE1FF", "Link")</f>
        <v/>
      </c>
      <c r="E591" s="3" t="n">
        <v>49.126</v>
      </c>
      <c r="F591" s="4" t="n">
        <v>3</v>
      </c>
      <c r="G591" t="inlineStr">
        <is>
          <t>Tennis Newfoundland &amp; Labrador</t>
        </is>
      </c>
      <c r="H591" t="inlineStr">
        <is>
          <t>Greenbelt Tennis Club</t>
        </is>
      </c>
      <c r="I591" t="inlineStr">
        <is>
          <t>unavailable</t>
        </is>
      </c>
      <c r="J591" s="4" t="n">
        <v>20</v>
      </c>
      <c r="K591" t="inlineStr">
        <is>
          <t>15 / 5</t>
        </is>
      </c>
      <c r="L591" t="inlineStr">
        <is>
          <t>11 / 3</t>
        </is>
      </c>
      <c r="M591" s="5" t="n">
        <v>0.75</v>
      </c>
      <c r="N591" s="5" t="n">
        <v>0.79</v>
      </c>
    </row>
    <row r="592">
      <c r="A592" t="n">
        <v>591</v>
      </c>
      <c r="B592" t="n">
        <v>2014</v>
      </c>
      <c r="C592" t="inlineStr">
        <is>
          <t>Mathilde Langis</t>
        </is>
      </c>
      <c r="D592">
        <f>HYPERLINK("https://ota.tournamentsoftware.com/player-profile/39929D79-FF7E-4461-9561-38C5D88AE666", "Link")</f>
        <v/>
      </c>
      <c r="E592" s="3" t="n">
        <v>48.716</v>
      </c>
      <c r="F592" s="4" t="n">
        <v>5</v>
      </c>
      <c r="G592" t="inlineStr">
        <is>
          <t>Tennis Québec</t>
        </is>
      </c>
      <c r="H592" t="inlineStr">
        <is>
          <t>Académie de tennis UNI(T)</t>
        </is>
      </c>
      <c r="I592" t="n">
        <v>36.2</v>
      </c>
      <c r="J592" s="4" t="n">
        <v>72</v>
      </c>
      <c r="K592" t="inlineStr">
        <is>
          <t>31 / 41</t>
        </is>
      </c>
      <c r="L592" t="inlineStr">
        <is>
          <t>1 / 2</t>
        </is>
      </c>
      <c r="M592" s="5" t="n">
        <v>0.43</v>
      </c>
      <c r="N592" s="5" t="n">
        <v>0.33</v>
      </c>
    </row>
    <row r="593">
      <c r="A593" t="n">
        <v>592</v>
      </c>
      <c r="B593" t="n">
        <v>2015</v>
      </c>
      <c r="C593" t="inlineStr">
        <is>
          <t>Scarlett Chan</t>
        </is>
      </c>
      <c r="D593">
        <f>HYPERLINK("https://ota.tournamentsoftware.com/player-profile/FC173056-E1A0-4194-9722-D15B8524262F", "Link")</f>
        <v/>
      </c>
      <c r="E593" s="3" t="n">
        <v>48.556</v>
      </c>
      <c r="F593" s="4" t="n">
        <v>5</v>
      </c>
      <c r="G593" t="inlineStr">
        <is>
          <t>Ontario Tennis Association</t>
        </is>
      </c>
      <c r="H593" t="inlineStr">
        <is>
          <t>Mayfair East Racquet Club</t>
        </is>
      </c>
      <c r="I593" t="n">
        <v>36.7</v>
      </c>
      <c r="J593" s="4" t="n">
        <v>81</v>
      </c>
      <c r="K593" t="inlineStr">
        <is>
          <t>48 / 33</t>
        </is>
      </c>
      <c r="L593" t="inlineStr">
        <is>
          <t>4 / 7</t>
        </is>
      </c>
      <c r="M593" s="5" t="n">
        <v>0.59</v>
      </c>
      <c r="N593" s="5" t="n">
        <v>0.36</v>
      </c>
    </row>
    <row r="594">
      <c r="A594" t="n">
        <v>593</v>
      </c>
      <c r="B594" t="n">
        <v>2015</v>
      </c>
      <c r="C594" t="inlineStr">
        <is>
          <t>Aubrey Baldinelli</t>
        </is>
      </c>
      <c r="D594">
        <f>HYPERLINK("https://ota.tournamentsoftware.com/player-profile/4C52D449-95CA-49A9-B524-B01117EAD86C", "Link")</f>
        <v/>
      </c>
      <c r="E594" s="3" t="n">
        <v>48.55</v>
      </c>
      <c r="F594" s="4" t="n">
        <v>10</v>
      </c>
      <c r="G594" t="inlineStr">
        <is>
          <t>Ontario Tennis Association</t>
        </is>
      </c>
      <c r="H594" t="inlineStr">
        <is>
          <t>Youngs Sportsplex</t>
        </is>
      </c>
      <c r="I594" t="n">
        <v>37.4</v>
      </c>
      <c r="J594" s="4" t="n">
        <v>43</v>
      </c>
      <c r="K594" t="inlineStr">
        <is>
          <t>22 / 21</t>
        </is>
      </c>
      <c r="L594" t="inlineStr">
        <is>
          <t>5 / 13</t>
        </is>
      </c>
      <c r="M594" s="5" t="n">
        <v>0.51</v>
      </c>
      <c r="N594" s="5" t="n">
        <v>0.28</v>
      </c>
    </row>
    <row r="595">
      <c r="A595" t="n">
        <v>594</v>
      </c>
      <c r="B595" t="n">
        <v>2014</v>
      </c>
      <c r="C595" t="inlineStr">
        <is>
          <t>Tess Marie Trenholm</t>
        </is>
      </c>
      <c r="D595">
        <f>HYPERLINK("https://ota.tournamentsoftware.com/player-profile/37DD9223-BE00-45F7-9DE9-3EA92F74CD7B", "Link")</f>
        <v/>
      </c>
      <c r="E595" s="3" t="n">
        <v>48.421</v>
      </c>
      <c r="F595" s="4" t="n">
        <v>16</v>
      </c>
      <c r="G595" t="inlineStr">
        <is>
          <t>Ontario Tennis Association</t>
        </is>
      </c>
      <c r="H595" t="inlineStr">
        <is>
          <t>Ontario Racquet Club</t>
        </is>
      </c>
      <c r="I595" t="n">
        <v>38</v>
      </c>
      <c r="J595" s="4" t="n">
        <v>96</v>
      </c>
      <c r="K595" t="inlineStr">
        <is>
          <t>27 / 69</t>
        </is>
      </c>
      <c r="L595" t="inlineStr">
        <is>
          <t>8 / 14</t>
        </is>
      </c>
      <c r="M595" s="5" t="n">
        <v>0.28</v>
      </c>
      <c r="N595" s="5" t="n">
        <v>0.36</v>
      </c>
    </row>
    <row r="596">
      <c r="A596" t="n">
        <v>595</v>
      </c>
      <c r="B596" t="n">
        <v>2013</v>
      </c>
      <c r="C596" t="inlineStr">
        <is>
          <t>Gloria Yang</t>
        </is>
      </c>
      <c r="D596">
        <f>HYPERLINK("https://ota.tournamentsoftware.com/player-profile/93D03535-4A4B-4898-A531-8F0DB9BA8BD8", "Link")</f>
        <v/>
      </c>
      <c r="E596" s="3" t="n">
        <v>48.153</v>
      </c>
      <c r="F596" s="4" t="n">
        <v>2</v>
      </c>
      <c r="G596" t="inlineStr">
        <is>
          <t>Tennis Prince Edward Island</t>
        </is>
      </c>
      <c r="H596" t="inlineStr">
        <is>
          <t>Royalty Racquet Centre</t>
        </is>
      </c>
      <c r="I596" t="inlineStr">
        <is>
          <t>unavailable</t>
        </is>
      </c>
      <c r="J596" s="4" t="n">
        <v>24</v>
      </c>
      <c r="K596" t="inlineStr">
        <is>
          <t>11 / 13</t>
        </is>
      </c>
      <c r="L596" t="inlineStr">
        <is>
          <t>7 / 9</t>
        </is>
      </c>
      <c r="M596" s="5" t="n">
        <v>0.46</v>
      </c>
      <c r="N596" s="5" t="n">
        <v>0.44</v>
      </c>
    </row>
    <row r="597">
      <c r="A597" t="n">
        <v>596</v>
      </c>
      <c r="B597" t="n">
        <v>2016</v>
      </c>
      <c r="C597" t="inlineStr">
        <is>
          <t>Chloe Garikimukkula</t>
        </is>
      </c>
      <c r="D597">
        <f>HYPERLINK("https://ota.tournamentsoftware.com/player-profile/8B630DA5-F61E-4159-9316-7EA463790908", "Link")</f>
        <v/>
      </c>
      <c r="E597" s="3" t="n">
        <v>47.448</v>
      </c>
      <c r="F597" s="4" t="n">
        <v>11</v>
      </c>
      <c r="G597" t="inlineStr">
        <is>
          <t>Ontario Tennis Association</t>
        </is>
      </c>
      <c r="H597" t="inlineStr">
        <is>
          <t>Burlington Tennis Club</t>
        </is>
      </c>
      <c r="I597" t="n">
        <v>36.9</v>
      </c>
      <c r="J597" s="4" t="n">
        <v>101</v>
      </c>
      <c r="K597" t="inlineStr">
        <is>
          <t>58 / 43</t>
        </is>
      </c>
      <c r="L597" t="inlineStr">
        <is>
          <t>39 / 28</t>
        </is>
      </c>
      <c r="M597" s="5" t="n">
        <v>0.57</v>
      </c>
      <c r="N597" s="5" t="n">
        <v>0.58</v>
      </c>
    </row>
    <row r="598">
      <c r="A598" t="n">
        <v>597</v>
      </c>
      <c r="B598" t="n">
        <v>2013</v>
      </c>
      <c r="C598" t="inlineStr">
        <is>
          <t>Mengge(Maya) Xu</t>
        </is>
      </c>
      <c r="D598">
        <f>HYPERLINK("https://ota.tournamentsoftware.com/player-profile/9CD6D408-1A72-4E0B-A9C9-DD675B785873", "Link")</f>
        <v/>
      </c>
      <c r="E598" s="3" t="n">
        <v>46.678</v>
      </c>
      <c r="F598" s="4" t="n">
        <v>6</v>
      </c>
      <c r="G598" t="inlineStr">
        <is>
          <t>Ontario Tennis Association</t>
        </is>
      </c>
      <c r="H598" t="inlineStr">
        <is>
          <t>Markham Tennis Club</t>
        </is>
      </c>
      <c r="I598" t="n">
        <v>39.2</v>
      </c>
      <c r="J598" s="4" t="n">
        <v>31</v>
      </c>
      <c r="K598" t="inlineStr">
        <is>
          <t>10 / 21</t>
        </is>
      </c>
      <c r="L598" t="inlineStr">
        <is>
          <t>5 / 9</t>
        </is>
      </c>
      <c r="M598" s="5" t="n">
        <v>0.32</v>
      </c>
      <c r="N598" s="5" t="n">
        <v>0.36</v>
      </c>
    </row>
    <row r="599">
      <c r="A599" t="n">
        <v>598</v>
      </c>
      <c r="B599" t="n">
        <v>2017</v>
      </c>
      <c r="C599" t="inlineStr">
        <is>
          <t>Arianna Fernanda Chacon</t>
        </is>
      </c>
      <c r="D599">
        <f>HYPERLINK("https://ota.tournamentsoftware.com/player-profile/3B36D99D-C9E7-48A2-BC06-6AD3725AC12E", "Link")</f>
        <v/>
      </c>
      <c r="E599" s="3" t="n">
        <v>45.016</v>
      </c>
      <c r="F599" s="4" t="n">
        <v>15</v>
      </c>
      <c r="G599" t="inlineStr">
        <is>
          <t>Tennis Alberta</t>
        </is>
      </c>
      <c r="H599" t="inlineStr">
        <is>
          <t>Aforza</t>
        </is>
      </c>
      <c r="I599" t="n">
        <v>34.8</v>
      </c>
      <c r="J599" s="4" t="n">
        <v>201</v>
      </c>
      <c r="K599" t="inlineStr">
        <is>
          <t>106 / 95</t>
        </is>
      </c>
      <c r="L599" t="inlineStr">
        <is>
          <t>33 / 19</t>
        </is>
      </c>
      <c r="M599" s="5" t="n">
        <v>0.53</v>
      </c>
      <c r="N599" s="5" t="n">
        <v>0.63</v>
      </c>
    </row>
    <row r="600">
      <c r="A600" t="n">
        <v>599</v>
      </c>
      <c r="B600" t="n">
        <v>2012</v>
      </c>
      <c r="C600" t="inlineStr">
        <is>
          <t>Selena Wazelle</t>
        </is>
      </c>
      <c r="D600">
        <f>HYPERLINK("https://ota.tournamentsoftware.com/player-profile/B596341F-BD27-43AF-8888-AAD072F39AFB", "Link")</f>
        <v/>
      </c>
      <c r="E600" s="3" t="n">
        <v>45</v>
      </c>
      <c r="F600" s="4" t="n">
        <v>1</v>
      </c>
      <c r="G600" t="inlineStr">
        <is>
          <t>British Columbia</t>
        </is>
      </c>
      <c r="H600" t="inlineStr">
        <is>
          <t>No Club</t>
        </is>
      </c>
      <c r="I600" t="n">
        <v>30.2</v>
      </c>
      <c r="J600" s="4" t="n">
        <v>159</v>
      </c>
      <c r="K600" t="inlineStr">
        <is>
          <t>89 / 70</t>
        </is>
      </c>
      <c r="L600" t="inlineStr">
        <is>
          <t>0 / 0</t>
        </is>
      </c>
      <c r="M600" s="5" t="n">
        <v>0.5600000000000001</v>
      </c>
      <c r="N600" s="5" t="n">
        <v>0</v>
      </c>
    </row>
    <row r="601">
      <c r="A601" t="n">
        <v>600</v>
      </c>
      <c r="B601" t="n">
        <v>2015</v>
      </c>
      <c r="C601" t="inlineStr">
        <is>
          <t>Kinsley Jade Lin</t>
        </is>
      </c>
      <c r="D601">
        <f>HYPERLINK("https://ota.tournamentsoftware.com/player-profile/1FF4FA2D-412B-4E4A-AE72-948C7BC68D73", "Link")</f>
        <v/>
      </c>
      <c r="E601" s="3" t="n">
        <v>44.956</v>
      </c>
      <c r="F601" s="4" t="n">
        <v>11</v>
      </c>
      <c r="G601" t="inlineStr">
        <is>
          <t>Ontario Tennis Association</t>
        </is>
      </c>
      <c r="H601" t="inlineStr">
        <is>
          <t>The Tennis School</t>
        </is>
      </c>
      <c r="I601" t="n">
        <v>37.6</v>
      </c>
      <c r="J601" s="4" t="n">
        <v>94</v>
      </c>
      <c r="K601" t="inlineStr">
        <is>
          <t>40 / 54</t>
        </is>
      </c>
      <c r="L601" t="inlineStr">
        <is>
          <t>5 / 11</t>
        </is>
      </c>
      <c r="M601" s="5" t="n">
        <v>0.43</v>
      </c>
      <c r="N601" s="5" t="n">
        <v>0.31</v>
      </c>
    </row>
    <row r="602">
      <c r="A602" t="n">
        <v>601</v>
      </c>
      <c r="B602" t="n">
        <v>2015</v>
      </c>
      <c r="C602" t="inlineStr">
        <is>
          <t>LILLIAN LI</t>
        </is>
      </c>
      <c r="D602">
        <f>HYPERLINK("https://ota.tournamentsoftware.com/player-profile/6381808D-332A-4694-9A60-DD4214A2A2F0", "Link")</f>
        <v/>
      </c>
      <c r="E602" s="3" t="n">
        <v>44.713</v>
      </c>
      <c r="F602" s="4" t="n">
        <v>8</v>
      </c>
      <c r="G602" t="inlineStr">
        <is>
          <t>Ontario Tennis Association</t>
        </is>
      </c>
      <c r="H602" t="inlineStr">
        <is>
          <t>Rideau Sports Centre</t>
        </is>
      </c>
      <c r="I602" t="n">
        <v>39.9</v>
      </c>
      <c r="J602" s="4" t="n">
        <v>21</v>
      </c>
      <c r="K602" t="inlineStr">
        <is>
          <t>5 / 16</t>
        </is>
      </c>
      <c r="L602" t="inlineStr">
        <is>
          <t>1 / 9</t>
        </is>
      </c>
      <c r="M602" s="5" t="n">
        <v>0.24</v>
      </c>
      <c r="N602" s="5" t="n">
        <v>0.1</v>
      </c>
    </row>
    <row r="603">
      <c r="A603" t="n">
        <v>602</v>
      </c>
      <c r="B603" t="n">
        <v>2015</v>
      </c>
      <c r="C603" t="inlineStr">
        <is>
          <t>Alexia Lionis</t>
        </is>
      </c>
      <c r="D603">
        <f>HYPERLINK("https://ota.tournamentsoftware.com/player-profile/C2079715-4A8A-4F16-A5F2-10633FCB08AA", "Link")</f>
        <v/>
      </c>
      <c r="E603" s="3" t="n">
        <v>44.665</v>
      </c>
      <c r="F603" s="4" t="n">
        <v>5</v>
      </c>
      <c r="G603" t="inlineStr">
        <is>
          <t>Ontario Tennis Association</t>
        </is>
      </c>
      <c r="H603" t="inlineStr">
        <is>
          <t>Ontario Racquet Club</t>
        </is>
      </c>
      <c r="I603" t="inlineStr">
        <is>
          <t>unavailable</t>
        </is>
      </c>
      <c r="J603" s="4" t="n">
        <v>76</v>
      </c>
      <c r="K603" t="inlineStr">
        <is>
          <t>34 / 42</t>
        </is>
      </c>
      <c r="L603" t="inlineStr">
        <is>
          <t>5 / 8</t>
        </is>
      </c>
      <c r="M603" s="5" t="n">
        <v>0.45</v>
      </c>
      <c r="N603" s="5" t="n">
        <v>0.38</v>
      </c>
    </row>
    <row r="604">
      <c r="A604" t="n">
        <v>603</v>
      </c>
      <c r="B604" t="n">
        <v>2015</v>
      </c>
      <c r="C604" t="inlineStr">
        <is>
          <t>Anna Bella Grozdanovski</t>
        </is>
      </c>
      <c r="D604">
        <f>HYPERLINK("https://ota.tournamentsoftware.com/player-profile/C1BD78E7-5BB0-4BD0-9D53-DA02A232F8A0", "Link")</f>
        <v/>
      </c>
      <c r="E604" s="3" t="n">
        <v>44.028</v>
      </c>
      <c r="F604" s="4" t="n">
        <v>5</v>
      </c>
      <c r="G604" t="inlineStr">
        <is>
          <t>Ontario Tennis Association</t>
        </is>
      </c>
      <c r="H604" t="inlineStr">
        <is>
          <t>No Club</t>
        </is>
      </c>
      <c r="I604" t="n">
        <v>36.9</v>
      </c>
      <c r="J604" s="4" t="n">
        <v>38</v>
      </c>
      <c r="K604" t="inlineStr">
        <is>
          <t>18 / 20</t>
        </is>
      </c>
      <c r="L604" t="inlineStr">
        <is>
          <t>9 / 5</t>
        </is>
      </c>
      <c r="M604" s="5" t="n">
        <v>0.47</v>
      </c>
      <c r="N604" s="5" t="n">
        <v>0.64</v>
      </c>
    </row>
    <row r="605">
      <c r="A605" t="n">
        <v>604</v>
      </c>
      <c r="B605" t="n">
        <v>2014</v>
      </c>
      <c r="C605" t="inlineStr">
        <is>
          <t>Victoria Kycia Block</t>
        </is>
      </c>
      <c r="D605">
        <f>HYPERLINK("https://ota.tournamentsoftware.com/player-profile/1F978CA6-97AC-4A84-BBEB-B431DDD9A28B", "Link")</f>
        <v/>
      </c>
      <c r="E605" s="3" t="n">
        <v>43.73</v>
      </c>
      <c r="F605" s="4" t="n">
        <v>11</v>
      </c>
      <c r="G605" t="inlineStr">
        <is>
          <t>Tennis Alberta</t>
        </is>
      </c>
      <c r="H605" t="inlineStr">
        <is>
          <t>Saville Community Sports Centre</t>
        </is>
      </c>
      <c r="I605" t="n">
        <v>35.3</v>
      </c>
      <c r="J605" s="4" t="n">
        <v>45</v>
      </c>
      <c r="K605" t="inlineStr">
        <is>
          <t>13 / 32</t>
        </is>
      </c>
      <c r="L605" t="inlineStr">
        <is>
          <t>6 / 9</t>
        </is>
      </c>
      <c r="M605" s="5" t="n">
        <v>0.29</v>
      </c>
      <c r="N605" s="5" t="n">
        <v>0.4</v>
      </c>
    </row>
    <row r="606">
      <c r="A606" t="n">
        <v>605</v>
      </c>
      <c r="B606" t="n">
        <v>2014</v>
      </c>
      <c r="C606" t="inlineStr">
        <is>
          <t>Sophie Vivienne Ma</t>
        </is>
      </c>
      <c r="D606">
        <f>HYPERLINK("https://ota.tournamentsoftware.com/player-profile/5BFCC3E7-799D-4957-B35C-26164F771CAB", "Link")</f>
        <v/>
      </c>
      <c r="E606" s="3" t="n">
        <v>43.381</v>
      </c>
      <c r="F606" s="4" t="n">
        <v>8</v>
      </c>
      <c r="G606" t="inlineStr">
        <is>
          <t>Ontario Tennis Association</t>
        </is>
      </c>
      <c r="H606" t="inlineStr">
        <is>
          <t>NYTA Winter Tennis Club</t>
        </is>
      </c>
      <c r="I606" t="n">
        <v>37.4</v>
      </c>
      <c r="J606" s="4" t="n">
        <v>60</v>
      </c>
      <c r="K606" t="inlineStr">
        <is>
          <t>21 / 39</t>
        </is>
      </c>
      <c r="L606" t="inlineStr">
        <is>
          <t>6 / 12</t>
        </is>
      </c>
      <c r="M606" s="5" t="n">
        <v>0.35</v>
      </c>
      <c r="N606" s="5" t="n">
        <v>0.33</v>
      </c>
    </row>
    <row r="607">
      <c r="A607" t="n">
        <v>606</v>
      </c>
      <c r="B607" t="n">
        <v>2013</v>
      </c>
      <c r="C607" t="inlineStr">
        <is>
          <t>Emma Isabella Lamacchia</t>
        </is>
      </c>
      <c r="D607">
        <f>HYPERLINK("https://ota.tournamentsoftware.com/player-profile/13408327-82EC-4D4E-B3D1-9FA084C53782", "Link")</f>
        <v/>
      </c>
      <c r="E607" s="3" t="n">
        <v>43.33</v>
      </c>
      <c r="F607" s="4" t="n">
        <v>3</v>
      </c>
      <c r="G607" t="inlineStr">
        <is>
          <t>Ontario Tennis Association</t>
        </is>
      </c>
      <c r="H607" t="inlineStr">
        <is>
          <t>Advantage Tennis International at Veneto</t>
        </is>
      </c>
      <c r="I607" t="n">
        <v>39.9</v>
      </c>
      <c r="J607" s="4" t="n">
        <v>19</v>
      </c>
      <c r="K607" t="inlineStr">
        <is>
          <t>2 / 17</t>
        </is>
      </c>
      <c r="L607" t="inlineStr">
        <is>
          <t>2 / 17</t>
        </is>
      </c>
      <c r="M607" s="5" t="n">
        <v>0.11</v>
      </c>
      <c r="N607" s="5" t="n">
        <v>0.11</v>
      </c>
    </row>
    <row r="608">
      <c r="A608" t="n">
        <v>607</v>
      </c>
      <c r="B608" t="n">
        <v>2012</v>
      </c>
      <c r="C608" t="inlineStr">
        <is>
          <t>Valeria Taborda - Valverde</t>
        </is>
      </c>
      <c r="D608">
        <f>HYPERLINK("https://ota.tournamentsoftware.com/player-profile/E0201B38-AEE1-4BAC-B0FB-FA389A1FFEA8", "Link")</f>
        <v/>
      </c>
      <c r="E608" s="3" t="n">
        <v>43.272</v>
      </c>
      <c r="F608" s="4" t="n">
        <v>2</v>
      </c>
      <c r="G608" t="inlineStr">
        <is>
          <t>Ontario Tennis Association</t>
        </is>
      </c>
      <c r="H608" t="inlineStr">
        <is>
          <t>Port Hope Racquet Club</t>
        </is>
      </c>
      <c r="I608" t="inlineStr">
        <is>
          <t>unavailable</t>
        </is>
      </c>
      <c r="J608" s="4" t="n">
        <v>35</v>
      </c>
      <c r="K608" t="inlineStr">
        <is>
          <t>13 / 22</t>
        </is>
      </c>
      <c r="L608" t="inlineStr">
        <is>
          <t>1 / 1</t>
        </is>
      </c>
      <c r="M608" s="5" t="n">
        <v>0.37</v>
      </c>
      <c r="N608" s="5" t="n">
        <v>0.5</v>
      </c>
    </row>
    <row r="609">
      <c r="A609" t="n">
        <v>608</v>
      </c>
      <c r="B609" t="n">
        <v>2015</v>
      </c>
      <c r="C609" t="inlineStr">
        <is>
          <t>Charlotte Harvey</t>
        </is>
      </c>
      <c r="D609">
        <f>HYPERLINK("https://ota.tournamentsoftware.com/player-profile/222A5F1C-DAD0-4E2A-B035-6A15561C1E0A", "Link")</f>
        <v/>
      </c>
      <c r="E609" s="3" t="n">
        <v>43.248</v>
      </c>
      <c r="F609" s="4" t="n">
        <v>4</v>
      </c>
      <c r="G609" t="inlineStr">
        <is>
          <t>Tennis Québec</t>
        </is>
      </c>
      <c r="H609" t="inlineStr">
        <is>
          <t>Les Tennis de Rimouski (intérieur)</t>
        </is>
      </c>
      <c r="I609" t="n">
        <v>36.1</v>
      </c>
      <c r="J609" s="4" t="n">
        <v>14</v>
      </c>
      <c r="K609" t="inlineStr">
        <is>
          <t>8 / 6</t>
        </is>
      </c>
      <c r="L609" t="inlineStr">
        <is>
          <t>6 / 5</t>
        </is>
      </c>
      <c r="M609" s="5" t="n">
        <v>0.57</v>
      </c>
      <c r="N609" s="5" t="n">
        <v>0.55</v>
      </c>
    </row>
    <row r="610">
      <c r="A610" t="n">
        <v>609</v>
      </c>
      <c r="B610" t="n">
        <v>2012</v>
      </c>
      <c r="C610" t="inlineStr">
        <is>
          <t>Aurélie Houde</t>
        </is>
      </c>
      <c r="D610">
        <f>HYPERLINK("https://ota.tournamentsoftware.com/player-profile/F697AB49-11E9-42EF-B0E6-5DF0E77AF99C", "Link")</f>
        <v/>
      </c>
      <c r="E610" s="3" t="n">
        <v>43.226</v>
      </c>
      <c r="F610" s="4" t="n">
        <v>5</v>
      </c>
      <c r="G610" t="inlineStr">
        <is>
          <t>Tennis Québec</t>
        </is>
      </c>
      <c r="H610" t="inlineStr">
        <is>
          <t>Association de tennis de Drummondville</t>
        </is>
      </c>
      <c r="I610" t="n">
        <v>39.7</v>
      </c>
      <c r="J610" s="4" t="n">
        <v>22</v>
      </c>
      <c r="K610" t="inlineStr">
        <is>
          <t>1 / 21</t>
        </is>
      </c>
      <c r="L610" t="inlineStr">
        <is>
          <t>0 / 3</t>
        </is>
      </c>
      <c r="M610" s="5" t="n">
        <v>0.05</v>
      </c>
      <c r="N610" s="5" t="n">
        <v>0</v>
      </c>
    </row>
    <row r="611">
      <c r="A611" t="n">
        <v>610</v>
      </c>
      <c r="B611" t="n">
        <v>2013</v>
      </c>
      <c r="C611" t="inlineStr">
        <is>
          <t>Anika Surtani</t>
        </is>
      </c>
      <c r="D611">
        <f>HYPERLINK("https://ota.tournamentsoftware.com/player-profile/8434E356-BD3E-4FDA-9513-46F335FD471C", "Link")</f>
        <v/>
      </c>
      <c r="E611" s="3" t="n">
        <v>42.618</v>
      </c>
      <c r="F611" s="4" t="n">
        <v>6</v>
      </c>
      <c r="G611" t="inlineStr">
        <is>
          <t>Ontario Tennis Association</t>
        </is>
      </c>
      <c r="H611" t="inlineStr">
        <is>
          <t>Boulevard Club</t>
        </is>
      </c>
      <c r="I611" t="inlineStr">
        <is>
          <t>unavailable</t>
        </is>
      </c>
      <c r="J611" s="4" t="n">
        <v>18</v>
      </c>
      <c r="K611" t="inlineStr">
        <is>
          <t>4 / 14</t>
        </is>
      </c>
      <c r="L611" t="inlineStr">
        <is>
          <t>2 / 6</t>
        </is>
      </c>
      <c r="M611" s="5" t="n">
        <v>0.22</v>
      </c>
      <c r="N611" s="5" t="n">
        <v>0.25</v>
      </c>
    </row>
    <row r="612">
      <c r="A612" t="n">
        <v>611</v>
      </c>
      <c r="B612" t="n">
        <v>2014</v>
      </c>
      <c r="C612" t="inlineStr">
        <is>
          <t>Ann-Mayelle Veillard</t>
        </is>
      </c>
      <c r="D612">
        <f>HYPERLINK("https://ota.tournamentsoftware.com/player-profile/C734CB2A-2E7E-46C5-B1F0-69D754EF8527", "Link")</f>
        <v/>
      </c>
      <c r="E612" s="3" t="n">
        <v>42.328</v>
      </c>
      <c r="F612" s="4" t="n">
        <v>11</v>
      </c>
      <c r="G612" t="inlineStr">
        <is>
          <t>Tennis Québec</t>
        </is>
      </c>
      <c r="H612" t="inlineStr">
        <is>
          <t>No Club</t>
        </is>
      </c>
      <c r="I612" t="inlineStr">
        <is>
          <t>unavailable</t>
        </is>
      </c>
      <c r="J612" s="4" t="n">
        <v>22</v>
      </c>
      <c r="K612" t="inlineStr">
        <is>
          <t>10 / 12</t>
        </is>
      </c>
      <c r="L612" t="inlineStr">
        <is>
          <t>10 / 12</t>
        </is>
      </c>
      <c r="M612" s="5" t="n">
        <v>0.45</v>
      </c>
      <c r="N612" s="5" t="n">
        <v>0.45</v>
      </c>
    </row>
    <row r="613">
      <c r="A613" t="n">
        <v>612</v>
      </c>
      <c r="B613" t="n">
        <v>2012</v>
      </c>
      <c r="C613" t="inlineStr">
        <is>
          <t>Mackenzie Quek</t>
        </is>
      </c>
      <c r="D613">
        <f>HYPERLINK("https://ota.tournamentsoftware.com/player-profile/51407A91-7051-4BC3-B583-F0DC1E06E113", "Link")</f>
        <v/>
      </c>
      <c r="E613" s="3" t="n">
        <v>42.274</v>
      </c>
      <c r="F613" s="4" t="n">
        <v>4</v>
      </c>
      <c r="G613" t="inlineStr">
        <is>
          <t>Ontario Tennis Association</t>
        </is>
      </c>
      <c r="H613" t="inlineStr">
        <is>
          <t>Concord Tennis Academy</t>
        </is>
      </c>
      <c r="I613" t="inlineStr">
        <is>
          <t>unavailable</t>
        </is>
      </c>
      <c r="J613" s="4" t="n">
        <v>13</v>
      </c>
      <c r="K613" t="inlineStr">
        <is>
          <t>3 / 10</t>
        </is>
      </c>
      <c r="L613" t="inlineStr">
        <is>
          <t>3 / 10</t>
        </is>
      </c>
      <c r="M613" s="5" t="n">
        <v>0.23</v>
      </c>
      <c r="N613" s="5" t="n">
        <v>0.23</v>
      </c>
    </row>
    <row r="614">
      <c r="A614" t="n">
        <v>613</v>
      </c>
      <c r="B614" t="n">
        <v>2015</v>
      </c>
      <c r="C614" t="inlineStr">
        <is>
          <t>Mia Kojic</t>
        </is>
      </c>
      <c r="D614">
        <f>HYPERLINK("https://ota.tournamentsoftware.com/player-profile/1573DFB3-8189-4CE9-AAAC-9ADF1738AD9C", "Link")</f>
        <v/>
      </c>
      <c r="E614" s="3" t="n">
        <v>41.917</v>
      </c>
      <c r="F614" s="4" t="n">
        <v>8</v>
      </c>
      <c r="G614" t="inlineStr">
        <is>
          <t>Ontario Tennis Association</t>
        </is>
      </c>
      <c r="H614" t="inlineStr">
        <is>
          <t>Ontario Racquet Club</t>
        </is>
      </c>
      <c r="I614" t="n">
        <v>36.7</v>
      </c>
      <c r="J614" s="4" t="n">
        <v>95</v>
      </c>
      <c r="K614" t="inlineStr">
        <is>
          <t>41 / 54</t>
        </is>
      </c>
      <c r="L614" t="inlineStr">
        <is>
          <t>5 / 9</t>
        </is>
      </c>
      <c r="M614" s="5" t="n">
        <v>0.43</v>
      </c>
      <c r="N614" s="5" t="n">
        <v>0.36</v>
      </c>
    </row>
    <row r="615">
      <c r="A615" t="n">
        <v>614</v>
      </c>
      <c r="B615" t="n">
        <v>2014</v>
      </c>
      <c r="C615" t="inlineStr">
        <is>
          <t>Melina Ioannidis</t>
        </is>
      </c>
      <c r="D615">
        <f>HYPERLINK("https://ota.tournamentsoftware.com/player-profile/7105A5E6-611D-4531-9016-F7FBEE3F6368", "Link")</f>
        <v/>
      </c>
      <c r="E615" s="3" t="n">
        <v>41.56</v>
      </c>
      <c r="F615" s="4" t="n">
        <v>6</v>
      </c>
      <c r="G615" t="inlineStr">
        <is>
          <t>Ontario Tennis Association</t>
        </is>
      </c>
      <c r="H615" t="inlineStr">
        <is>
          <t>Aurora Community Tennis Club</t>
        </is>
      </c>
      <c r="I615" t="n">
        <v>37</v>
      </c>
      <c r="J615" s="4" t="n">
        <v>61</v>
      </c>
      <c r="K615" t="inlineStr">
        <is>
          <t>34 / 27</t>
        </is>
      </c>
      <c r="L615" t="inlineStr">
        <is>
          <t>4 / 5</t>
        </is>
      </c>
      <c r="M615" s="5" t="n">
        <v>0.5600000000000001</v>
      </c>
      <c r="N615" s="5" t="n">
        <v>0.44</v>
      </c>
    </row>
    <row r="616">
      <c r="A616" t="n">
        <v>615</v>
      </c>
      <c r="B616" t="n">
        <v>2017</v>
      </c>
      <c r="C616" t="inlineStr">
        <is>
          <t>Aria Bloom</t>
        </is>
      </c>
      <c r="D616">
        <f>HYPERLINK("https://ota.tournamentsoftware.com/player-profile/7C30BE00-7F15-42B9-BA96-B3B2895898A0", "Link")</f>
        <v/>
      </c>
      <c r="E616" s="3" t="n">
        <v>41.346</v>
      </c>
      <c r="F616" s="4" t="n">
        <v>8</v>
      </c>
      <c r="G616" t="inlineStr">
        <is>
          <t>Tennis Alberta</t>
        </is>
      </c>
      <c r="H616" t="inlineStr">
        <is>
          <t>Osten &amp; Victor Alberta Tennis Centre</t>
        </is>
      </c>
      <c r="I616" t="n">
        <v>33.5</v>
      </c>
      <c r="J616" s="4" t="n">
        <v>123</v>
      </c>
      <c r="K616" t="inlineStr">
        <is>
          <t>94 / 29</t>
        </is>
      </c>
      <c r="L616" t="inlineStr">
        <is>
          <t>40 / 6</t>
        </is>
      </c>
      <c r="M616" s="5" t="n">
        <v>0.76</v>
      </c>
      <c r="N616" s="5" t="n">
        <v>0.87</v>
      </c>
    </row>
    <row r="617">
      <c r="A617" t="n">
        <v>616</v>
      </c>
      <c r="B617" t="n">
        <v>2015</v>
      </c>
      <c r="C617" t="inlineStr">
        <is>
          <t>Juliette Tremblay</t>
        </is>
      </c>
      <c r="D617">
        <f>HYPERLINK("https://ota.tournamentsoftware.com/player-profile/94E82DA2-01EF-471F-BB0F-8CEAA1C42076", "Link")</f>
        <v/>
      </c>
      <c r="E617" s="3" t="n">
        <v>41.328</v>
      </c>
      <c r="F617" s="4" t="n">
        <v>9</v>
      </c>
      <c r="G617" t="inlineStr">
        <is>
          <t>Tennis Québec</t>
        </is>
      </c>
      <c r="H617" t="inlineStr">
        <is>
          <t>Tennis Outaouais Performance (TOP)</t>
        </is>
      </c>
      <c r="I617" t="n">
        <v>37.6</v>
      </c>
      <c r="J617" s="4" t="n">
        <v>52</v>
      </c>
      <c r="K617" t="inlineStr">
        <is>
          <t>16 / 36</t>
        </is>
      </c>
      <c r="L617" t="inlineStr">
        <is>
          <t>5 / 11</t>
        </is>
      </c>
      <c r="M617" s="5" t="n">
        <v>0.31</v>
      </c>
      <c r="N617" s="5" t="n">
        <v>0.31</v>
      </c>
    </row>
    <row r="618">
      <c r="A618" t="n">
        <v>617</v>
      </c>
      <c r="B618" t="n">
        <v>2014</v>
      </c>
      <c r="C618" t="inlineStr">
        <is>
          <t>Alena Sui</t>
        </is>
      </c>
      <c r="D618">
        <f>HYPERLINK("https://ota.tournamentsoftware.com/player-profile/92B690E9-D6C6-410C-A457-5AC3927E933A", "Link")</f>
        <v/>
      </c>
      <c r="E618" s="3" t="n">
        <v>41.268</v>
      </c>
      <c r="F618" s="4" t="n">
        <v>11</v>
      </c>
      <c r="G618" t="inlineStr">
        <is>
          <t>British Columbia</t>
        </is>
      </c>
      <c r="H618" t="inlineStr">
        <is>
          <t>No Club</t>
        </is>
      </c>
      <c r="I618" t="n">
        <v>38.5</v>
      </c>
      <c r="J618" s="4" t="n">
        <v>77</v>
      </c>
      <c r="K618" t="inlineStr">
        <is>
          <t>35 / 42</t>
        </is>
      </c>
      <c r="L618" t="inlineStr">
        <is>
          <t>15 / 20</t>
        </is>
      </c>
      <c r="M618" s="5" t="n">
        <v>0.45</v>
      </c>
      <c r="N618" s="5" t="n">
        <v>0.43</v>
      </c>
    </row>
    <row r="619">
      <c r="A619" t="n">
        <v>618</v>
      </c>
      <c r="B619" t="n">
        <v>2016</v>
      </c>
      <c r="C619" t="inlineStr">
        <is>
          <t>Kiara Krishnan</t>
        </is>
      </c>
      <c r="D619">
        <f>HYPERLINK("https://ota.tournamentsoftware.com/player-profile/50D3305E-63D5-4EFB-B53F-B64E463DE26E", "Link")</f>
        <v/>
      </c>
      <c r="E619" s="3" t="n">
        <v>41.04</v>
      </c>
      <c r="F619" s="4" t="n">
        <v>28</v>
      </c>
      <c r="G619" t="inlineStr">
        <is>
          <t>Ontario Tennis Association</t>
        </is>
      </c>
      <c r="H619" t="inlineStr">
        <is>
          <t>Toronto Tennis Academy</t>
        </is>
      </c>
      <c r="I619" t="n">
        <v>37.8</v>
      </c>
      <c r="J619" s="4" t="n">
        <v>247</v>
      </c>
      <c r="K619" t="inlineStr">
        <is>
          <t>98 / 149</t>
        </is>
      </c>
      <c r="L619" t="inlineStr">
        <is>
          <t>11 / 32</t>
        </is>
      </c>
      <c r="M619" s="5" t="n">
        <v>0.4</v>
      </c>
      <c r="N619" s="5" t="n">
        <v>0.26</v>
      </c>
    </row>
    <row r="620">
      <c r="A620" t="n">
        <v>618</v>
      </c>
      <c r="B620" t="n">
        <v>2015</v>
      </c>
      <c r="C620" t="inlineStr">
        <is>
          <t>Lillian Tooryani</t>
        </is>
      </c>
      <c r="D620">
        <f>HYPERLINK("https://ota.tournamentsoftware.com/player-profile/B149ED5D-E26B-4577-8AAB-620DB4A7A85F", "Link")</f>
        <v/>
      </c>
      <c r="E620" s="3" t="n">
        <v>41.04</v>
      </c>
      <c r="F620" s="4" t="n">
        <v>13</v>
      </c>
      <c r="G620" t="inlineStr">
        <is>
          <t>Ontario Tennis Association</t>
        </is>
      </c>
      <c r="H620" t="inlineStr">
        <is>
          <t>Mayfair West Fitness &amp; Racquet Club</t>
        </is>
      </c>
      <c r="I620" t="n">
        <v>37.5</v>
      </c>
      <c r="J620" s="4" t="n">
        <v>44</v>
      </c>
      <c r="K620" t="inlineStr">
        <is>
          <t>17 / 27</t>
        </is>
      </c>
      <c r="L620" t="inlineStr">
        <is>
          <t>14 / 14</t>
        </is>
      </c>
      <c r="M620" s="5" t="n">
        <v>0.39</v>
      </c>
      <c r="N620" s="5" t="n">
        <v>0.5</v>
      </c>
    </row>
    <row r="621">
      <c r="A621" t="n">
        <v>620</v>
      </c>
      <c r="B621" t="n">
        <v>2016</v>
      </c>
      <c r="C621" t="inlineStr">
        <is>
          <t>Melinna Yu Nuo Yang</t>
        </is>
      </c>
      <c r="D621">
        <f>HYPERLINK("https://ota.tournamentsoftware.com/player-profile/6BCCA5B4-7059-414C-A06D-D2936B6A3CC2", "Link")</f>
        <v/>
      </c>
      <c r="E621" s="3" t="n">
        <v>40.8</v>
      </c>
      <c r="F621" s="4" t="n">
        <v>5</v>
      </c>
      <c r="G621" t="inlineStr">
        <is>
          <t>Tennis Québec</t>
        </is>
      </c>
      <c r="H621" t="inlineStr">
        <is>
          <t>Club Sportif Côte-de-Liesse</t>
        </is>
      </c>
      <c r="I621" t="inlineStr">
        <is>
          <t>unavailable</t>
        </is>
      </c>
      <c r="J621" s="4" t="n">
        <v>90</v>
      </c>
      <c r="K621" t="inlineStr">
        <is>
          <t>36 / 54</t>
        </is>
      </c>
      <c r="L621" t="inlineStr">
        <is>
          <t>15 / 12</t>
        </is>
      </c>
      <c r="M621" s="5" t="n">
        <v>0.4</v>
      </c>
      <c r="N621" s="5" t="n">
        <v>0.5600000000000001</v>
      </c>
    </row>
    <row r="622">
      <c r="A622" t="n">
        <v>621</v>
      </c>
      <c r="B622" t="n">
        <v>2013</v>
      </c>
      <c r="C622" t="inlineStr">
        <is>
          <t>Naia Luke</t>
        </is>
      </c>
      <c r="D622">
        <f>HYPERLINK("https://ota.tournamentsoftware.com/player-profile/E8620DEC-5B72-4D85-9171-1F914B105E62", "Link")</f>
        <v/>
      </c>
      <c r="E622" s="3" t="n">
        <v>40.629</v>
      </c>
      <c r="F622" s="4" t="n">
        <v>4</v>
      </c>
      <c r="G622" t="inlineStr">
        <is>
          <t>British Columbia</t>
        </is>
      </c>
      <c r="H622" t="inlineStr">
        <is>
          <t>Jericho Tennis Club</t>
        </is>
      </c>
      <c r="I622" t="n">
        <v>39.7</v>
      </c>
      <c r="J622" s="4" t="n">
        <v>43</v>
      </c>
      <c r="K622" t="inlineStr">
        <is>
          <t>9 / 34</t>
        </is>
      </c>
      <c r="L622" t="inlineStr">
        <is>
          <t>0 / 9</t>
        </is>
      </c>
      <c r="M622" s="5" t="n">
        <v>0.21</v>
      </c>
      <c r="N622" s="5" t="n">
        <v>0</v>
      </c>
    </row>
    <row r="623">
      <c r="A623" t="n">
        <v>622</v>
      </c>
      <c r="B623" t="n">
        <v>2015</v>
      </c>
      <c r="C623" t="inlineStr">
        <is>
          <t>ALICE Wan yee Wong</t>
        </is>
      </c>
      <c r="D623">
        <f>HYPERLINK("https://ota.tournamentsoftware.com/player-profile/1B8AB01B-692B-4E5E-B513-A24155329374", "Link")</f>
        <v/>
      </c>
      <c r="E623" s="3" t="n">
        <v>40.564</v>
      </c>
      <c r="F623" s="4" t="n">
        <v>11</v>
      </c>
      <c r="G623" t="inlineStr">
        <is>
          <t>British Columbia</t>
        </is>
      </c>
      <c r="H623" t="inlineStr">
        <is>
          <t>The Tennis Centre</t>
        </is>
      </c>
      <c r="I623" t="n">
        <v>35</v>
      </c>
      <c r="J623" s="4" t="n">
        <v>118</v>
      </c>
      <c r="K623" t="inlineStr">
        <is>
          <t>56 / 62</t>
        </is>
      </c>
      <c r="L623" t="inlineStr">
        <is>
          <t>16 / 13</t>
        </is>
      </c>
      <c r="M623" s="5" t="n">
        <v>0.47</v>
      </c>
      <c r="N623" s="5" t="n">
        <v>0.55</v>
      </c>
    </row>
    <row r="624">
      <c r="A624" t="n">
        <v>623</v>
      </c>
      <c r="B624" t="n">
        <v>2015</v>
      </c>
      <c r="C624" t="inlineStr">
        <is>
          <t>Mila Anglade</t>
        </is>
      </c>
      <c r="D624">
        <f>HYPERLINK("https://ota.tournamentsoftware.com/player-profile/05635752-0D80-4827-BA70-1CECB2BE0528", "Link")</f>
        <v/>
      </c>
      <c r="E624" s="3" t="n">
        <v>40.12</v>
      </c>
      <c r="F624" s="4" t="n">
        <v>5</v>
      </c>
      <c r="G624" t="inlineStr">
        <is>
          <t>Tennis Québec</t>
        </is>
      </c>
      <c r="H624" t="inlineStr">
        <is>
          <t>Carrefour Multisports</t>
        </is>
      </c>
      <c r="I624" t="inlineStr">
        <is>
          <t>unavailable</t>
        </is>
      </c>
      <c r="J624" s="4" t="n">
        <v>64</v>
      </c>
      <c r="K624" t="inlineStr">
        <is>
          <t>39 / 25</t>
        </is>
      </c>
      <c r="L624" t="inlineStr">
        <is>
          <t>8 / 2</t>
        </is>
      </c>
      <c r="M624" s="5" t="n">
        <v>0.61</v>
      </c>
      <c r="N624" s="5" t="n">
        <v>0.8</v>
      </c>
    </row>
    <row r="625">
      <c r="A625" t="n">
        <v>624</v>
      </c>
      <c r="B625" t="n">
        <v>2014</v>
      </c>
      <c r="C625" t="inlineStr">
        <is>
          <t>Laura Gyori</t>
        </is>
      </c>
      <c r="D625">
        <f>HYPERLINK("https://ota.tournamentsoftware.com/player-profile/5A55107A-8C3C-4255-8453-79017D4120E3", "Link")</f>
        <v/>
      </c>
      <c r="E625" s="3" t="n">
        <v>39.952</v>
      </c>
      <c r="F625" s="4" t="n">
        <v>4</v>
      </c>
      <c r="G625" t="inlineStr">
        <is>
          <t>Ontario Tennis Association</t>
        </is>
      </c>
      <c r="H625" t="inlineStr">
        <is>
          <t>Rideau Sports Centre</t>
        </is>
      </c>
      <c r="I625" t="inlineStr">
        <is>
          <t>unavailable</t>
        </is>
      </c>
      <c r="J625" s="4" t="n">
        <v>17</v>
      </c>
      <c r="K625" t="inlineStr">
        <is>
          <t>6 / 11</t>
        </is>
      </c>
      <c r="L625" t="inlineStr">
        <is>
          <t>2 / 4</t>
        </is>
      </c>
      <c r="M625" s="5" t="n">
        <v>0.35</v>
      </c>
      <c r="N625" s="5" t="n">
        <v>0.33</v>
      </c>
    </row>
    <row r="626">
      <c r="A626" t="n">
        <v>625</v>
      </c>
      <c r="B626" t="n">
        <v>2014</v>
      </c>
      <c r="C626" t="inlineStr">
        <is>
          <t>Chloe Leblond</t>
        </is>
      </c>
      <c r="D626">
        <f>HYPERLINK("https://ota.tournamentsoftware.com/player-profile/B25C8E1B-DD5B-45CB-A94E-27B9E436CCF5", "Link")</f>
        <v/>
      </c>
      <c r="E626" s="3" t="n">
        <v>38.706</v>
      </c>
      <c r="F626" s="4" t="n">
        <v>4</v>
      </c>
      <c r="G626" t="inlineStr">
        <is>
          <t>Ontario Tennis Association</t>
        </is>
      </c>
      <c r="H626" t="inlineStr">
        <is>
          <t>Tam Heather Tennis Club</t>
        </is>
      </c>
      <c r="I626" t="inlineStr">
        <is>
          <t>unavailable</t>
        </is>
      </c>
      <c r="J626" s="4" t="n">
        <v>59</v>
      </c>
      <c r="K626" t="inlineStr">
        <is>
          <t>31 / 28</t>
        </is>
      </c>
      <c r="L626" t="inlineStr">
        <is>
          <t>6 / 4</t>
        </is>
      </c>
      <c r="M626" s="5" t="n">
        <v>0.53</v>
      </c>
      <c r="N626" s="5" t="n">
        <v>0.6</v>
      </c>
    </row>
    <row r="627">
      <c r="A627" t="n">
        <v>626</v>
      </c>
      <c r="B627" t="n">
        <v>2014</v>
      </c>
      <c r="C627" t="inlineStr">
        <is>
          <t>Bo Brisson</t>
        </is>
      </c>
      <c r="D627">
        <f>HYPERLINK("https://ota.tournamentsoftware.com/player-profile/836F9923-C4A5-42E1-8BF0-0788DAB02146", "Link")</f>
        <v/>
      </c>
      <c r="E627" s="3" t="n">
        <v>38.584</v>
      </c>
      <c r="F627" s="4" t="n">
        <v>4</v>
      </c>
      <c r="G627" t="inlineStr">
        <is>
          <t>Ontario Tennis Association</t>
        </is>
      </c>
      <c r="H627" t="inlineStr">
        <is>
          <t>GSM Tennis Club</t>
        </is>
      </c>
      <c r="I627" t="inlineStr">
        <is>
          <t>unavailable</t>
        </is>
      </c>
      <c r="J627" s="4" t="n">
        <v>117</v>
      </c>
      <c r="K627" t="inlineStr">
        <is>
          <t>38 / 79</t>
        </is>
      </c>
      <c r="L627" t="inlineStr">
        <is>
          <t>4 / 3</t>
        </is>
      </c>
      <c r="M627" s="5" t="n">
        <v>0.32</v>
      </c>
      <c r="N627" s="5" t="n">
        <v>0.57</v>
      </c>
    </row>
    <row r="628">
      <c r="A628" t="n">
        <v>627</v>
      </c>
      <c r="B628" t="n">
        <v>2014</v>
      </c>
      <c r="C628" t="inlineStr">
        <is>
          <t>Juliette Viel</t>
        </is>
      </c>
      <c r="D628">
        <f>HYPERLINK("https://ota.tournamentsoftware.com/player-profile/3C42B108-2BA4-41D7-8AE2-19A52170601F", "Link")</f>
        <v/>
      </c>
      <c r="E628" s="3" t="n">
        <v>38.555</v>
      </c>
      <c r="F628" s="4" t="n">
        <v>3</v>
      </c>
      <c r="G628" t="inlineStr">
        <is>
          <t>Tennis Québec</t>
        </is>
      </c>
      <c r="H628" t="inlineStr">
        <is>
          <t>Club de tennis de Rivière-du-Loup</t>
        </is>
      </c>
      <c r="I628" t="n">
        <v>33.7</v>
      </c>
      <c r="J628" s="4" t="n">
        <v>23</v>
      </c>
      <c r="K628" t="inlineStr">
        <is>
          <t>11 / 12</t>
        </is>
      </c>
      <c r="L628" t="inlineStr">
        <is>
          <t>4 / 2</t>
        </is>
      </c>
      <c r="M628" s="5" t="n">
        <v>0.48</v>
      </c>
      <c r="N628" s="5" t="n">
        <v>0.67</v>
      </c>
    </row>
    <row r="629">
      <c r="A629" t="n">
        <v>628</v>
      </c>
      <c r="B629" t="n">
        <v>2013</v>
      </c>
      <c r="C629" t="inlineStr">
        <is>
          <t>Yu Nohara</t>
        </is>
      </c>
      <c r="D629">
        <f>HYPERLINK("https://ota.tournamentsoftware.com/player-profile/4AB57DE3-C832-4B9F-8F8F-AECBF5EE5A81", "Link")</f>
        <v/>
      </c>
      <c r="E629" s="3" t="n">
        <v>38.216</v>
      </c>
      <c r="F629" s="4" t="n">
        <v>4</v>
      </c>
      <c r="G629" t="inlineStr">
        <is>
          <t>British Columbia</t>
        </is>
      </c>
      <c r="H629" t="inlineStr">
        <is>
          <t>Tennis for Life</t>
        </is>
      </c>
      <c r="I629" t="n">
        <v>36.6</v>
      </c>
      <c r="J629" s="4" t="n">
        <v>20</v>
      </c>
      <c r="K629" t="inlineStr">
        <is>
          <t>9 / 11</t>
        </is>
      </c>
      <c r="L629" t="inlineStr">
        <is>
          <t>1 / 3</t>
        </is>
      </c>
      <c r="M629" s="5" t="n">
        <v>0.45</v>
      </c>
      <c r="N629" s="5" t="n">
        <v>0.25</v>
      </c>
    </row>
    <row r="630">
      <c r="A630" t="n">
        <v>629</v>
      </c>
      <c r="B630" t="n">
        <v>2013</v>
      </c>
      <c r="C630" t="inlineStr">
        <is>
          <t>Alexa Ardeleanu</t>
        </is>
      </c>
      <c r="D630">
        <f>HYPERLINK("https://ota.tournamentsoftware.com/player-profile/109D0444-3430-4CBD-A2CA-522592228926", "Link")</f>
        <v/>
      </c>
      <c r="E630" s="3" t="n">
        <v>37.397</v>
      </c>
      <c r="F630" s="4" t="n">
        <v>3</v>
      </c>
      <c r="G630" t="inlineStr">
        <is>
          <t>Ontario Tennis Association</t>
        </is>
      </c>
      <c r="H630" t="inlineStr">
        <is>
          <t>No Club</t>
        </is>
      </c>
      <c r="I630" t="n">
        <v>37.8</v>
      </c>
      <c r="J630" s="4" t="n">
        <v>5</v>
      </c>
      <c r="K630" t="inlineStr">
        <is>
          <t>1 / 4</t>
        </is>
      </c>
      <c r="L630" t="inlineStr">
        <is>
          <t>1 / 4</t>
        </is>
      </c>
      <c r="M630" s="5" t="n">
        <v>0.2</v>
      </c>
      <c r="N630" s="5" t="n">
        <v>0.2</v>
      </c>
    </row>
    <row r="631">
      <c r="A631" t="n">
        <v>630</v>
      </c>
      <c r="B631" t="n">
        <v>2015</v>
      </c>
      <c r="C631" t="inlineStr">
        <is>
          <t>Olivia Mary Hipwell</t>
        </is>
      </c>
      <c r="D631">
        <f>HYPERLINK("https://ota.tournamentsoftware.com/player-profile/1595D3E6-D4CF-4ADE-B136-FD5AC473C7F7", "Link")</f>
        <v/>
      </c>
      <c r="E631" s="3" t="n">
        <v>37.188</v>
      </c>
      <c r="F631" s="4" t="n">
        <v>8</v>
      </c>
      <c r="G631" t="inlineStr">
        <is>
          <t>Ontario Tennis Association</t>
        </is>
      </c>
      <c r="H631" t="inlineStr">
        <is>
          <t>Ontario Racquet Club</t>
        </is>
      </c>
      <c r="I631" t="inlineStr">
        <is>
          <t>unavailable</t>
        </is>
      </c>
      <c r="J631" s="4" t="n">
        <v>81</v>
      </c>
      <c r="K631" t="inlineStr">
        <is>
          <t>28 / 53</t>
        </is>
      </c>
      <c r="L631" t="inlineStr">
        <is>
          <t>4 / 11</t>
        </is>
      </c>
      <c r="M631" s="5" t="n">
        <v>0.35</v>
      </c>
      <c r="N631" s="5" t="n">
        <v>0.27</v>
      </c>
    </row>
    <row r="632">
      <c r="A632" t="n">
        <v>631</v>
      </c>
      <c r="B632" t="n">
        <v>2015</v>
      </c>
      <c r="C632" t="inlineStr">
        <is>
          <t>Sloane Burdick</t>
        </is>
      </c>
      <c r="D632">
        <f>HYPERLINK("https://ota.tournamentsoftware.com/player-profile/B4ED1890-6E53-4FCC-9711-828BDD90CD1F", "Link")</f>
        <v/>
      </c>
      <c r="E632" s="3" t="n">
        <v>36.168</v>
      </c>
      <c r="F632" s="4" t="n">
        <v>8</v>
      </c>
      <c r="G632" t="inlineStr">
        <is>
          <t>British Columbia</t>
        </is>
      </c>
      <c r="H632" t="inlineStr">
        <is>
          <t>Vanguard Tennis Academy</t>
        </is>
      </c>
      <c r="I632" t="n">
        <v>36.8</v>
      </c>
      <c r="J632" s="4" t="n">
        <v>71</v>
      </c>
      <c r="K632" t="inlineStr">
        <is>
          <t>35 / 36</t>
        </is>
      </c>
      <c r="L632" t="inlineStr">
        <is>
          <t>8 / 9</t>
        </is>
      </c>
      <c r="M632" s="5" t="n">
        <v>0.49</v>
      </c>
      <c r="N632" s="5" t="n">
        <v>0.47</v>
      </c>
    </row>
    <row r="633">
      <c r="A633" t="n">
        <v>632</v>
      </c>
      <c r="B633" t="n">
        <v>2014</v>
      </c>
      <c r="C633" t="inlineStr">
        <is>
          <t>Mila Phoebe Madrid</t>
        </is>
      </c>
      <c r="D633">
        <f>HYPERLINK("https://ota.tournamentsoftware.com/player-profile/3994748B-2ED2-4F57-8907-B1AE9B874F9B", "Link")</f>
        <v/>
      </c>
      <c r="E633" s="3" t="n">
        <v>35.857</v>
      </c>
      <c r="F633" s="4" t="n">
        <v>4</v>
      </c>
      <c r="G633" t="inlineStr">
        <is>
          <t>Ontario Tennis Association</t>
        </is>
      </c>
      <c r="H633" t="inlineStr">
        <is>
          <t>Newmarket Winter Tennis Club</t>
        </is>
      </c>
      <c r="I633" t="n">
        <v>37</v>
      </c>
      <c r="J633" s="4" t="n">
        <v>52</v>
      </c>
      <c r="K633" t="inlineStr">
        <is>
          <t>20 / 32</t>
        </is>
      </c>
      <c r="L633" t="inlineStr">
        <is>
          <t>13 / 6</t>
        </is>
      </c>
      <c r="M633" s="5" t="n">
        <v>0.38</v>
      </c>
      <c r="N633" s="5" t="n">
        <v>0.68</v>
      </c>
    </row>
    <row r="634">
      <c r="A634" t="n">
        <v>633</v>
      </c>
      <c r="B634" t="n">
        <v>2013</v>
      </c>
      <c r="C634" t="inlineStr">
        <is>
          <t>Mariya Fedchyshyna</t>
        </is>
      </c>
      <c r="D634">
        <f>HYPERLINK("https://ota.tournamentsoftware.com/player-profile/5A64317A-A412-4DEB-A68D-94CE45EAE2DD", "Link")</f>
        <v/>
      </c>
      <c r="E634" s="3" t="n">
        <v>35.767</v>
      </c>
      <c r="F634" s="4" t="n">
        <v>3</v>
      </c>
      <c r="G634" t="inlineStr">
        <is>
          <t>British Columbia</t>
        </is>
      </c>
      <c r="H634" t="inlineStr">
        <is>
          <t>Oak Bay Recreation Centre</t>
        </is>
      </c>
      <c r="I634" t="inlineStr">
        <is>
          <t>unavailable</t>
        </is>
      </c>
      <c r="J634" s="4" t="n">
        <v>9</v>
      </c>
      <c r="K634" t="inlineStr">
        <is>
          <t>1 / 8</t>
        </is>
      </c>
      <c r="L634" t="inlineStr">
        <is>
          <t>1 / 6</t>
        </is>
      </c>
      <c r="M634" s="5" t="n">
        <v>0.11</v>
      </c>
      <c r="N634" s="5" t="n">
        <v>0.14</v>
      </c>
    </row>
    <row r="635">
      <c r="A635" t="n">
        <v>634</v>
      </c>
      <c r="B635" t="n">
        <v>2015</v>
      </c>
      <c r="C635" t="inlineStr">
        <is>
          <t>Allegra Gill</t>
        </is>
      </c>
      <c r="D635">
        <f>HYPERLINK("https://ota.tournamentsoftware.com/player-profile/74E5B02E-036C-4D6F-B122-5C8FEF79A927", "Link")</f>
        <v/>
      </c>
      <c r="E635" s="3" t="n">
        <v>35.726</v>
      </c>
      <c r="F635" s="4" t="n">
        <v>5</v>
      </c>
      <c r="G635" t="inlineStr">
        <is>
          <t>Ontario Tennis Association</t>
        </is>
      </c>
      <c r="H635" t="inlineStr">
        <is>
          <t>Zekelman Tennis Centre</t>
        </is>
      </c>
      <c r="I635" t="n">
        <v>39.9</v>
      </c>
      <c r="J635" s="4" t="n">
        <v>98</v>
      </c>
      <c r="K635" t="inlineStr">
        <is>
          <t>18 / 80</t>
        </is>
      </c>
      <c r="L635" t="inlineStr">
        <is>
          <t>11 / 18</t>
        </is>
      </c>
      <c r="M635" s="5" t="n">
        <v>0.18</v>
      </c>
      <c r="N635" s="5" t="n">
        <v>0.38</v>
      </c>
    </row>
    <row r="636">
      <c r="A636" t="n">
        <v>635</v>
      </c>
      <c r="B636" t="n">
        <v>2015</v>
      </c>
      <c r="C636" t="inlineStr">
        <is>
          <t>Victoria Guo</t>
        </is>
      </c>
      <c r="D636">
        <f>HYPERLINK("https://ota.tournamentsoftware.com/player-profile/54FA7561-0327-4A42-A5FE-A5519116069C", "Link")</f>
        <v/>
      </c>
      <c r="E636" s="3" t="n">
        <v>35.632</v>
      </c>
      <c r="F636" s="4" t="n">
        <v>4</v>
      </c>
      <c r="G636" t="inlineStr">
        <is>
          <t>Ontario Tennis Association</t>
        </is>
      </c>
      <c r="H636" t="inlineStr">
        <is>
          <t>Craig Henry</t>
        </is>
      </c>
      <c r="I636" t="n">
        <v>39.3</v>
      </c>
      <c r="J636" s="4" t="n">
        <v>27</v>
      </c>
      <c r="K636" t="inlineStr">
        <is>
          <t>10 / 17</t>
        </is>
      </c>
      <c r="L636" t="inlineStr">
        <is>
          <t>1 / 4</t>
        </is>
      </c>
      <c r="M636" s="5" t="n">
        <v>0.37</v>
      </c>
      <c r="N636" s="5" t="n">
        <v>0.2</v>
      </c>
    </row>
    <row r="637">
      <c r="A637" t="n">
        <v>636</v>
      </c>
      <c r="B637" t="n">
        <v>2013</v>
      </c>
      <c r="C637" t="inlineStr">
        <is>
          <t>Mehak Garg</t>
        </is>
      </c>
      <c r="D637">
        <f>HYPERLINK("https://ota.tournamentsoftware.com/player-profile/2FA47597-FC2B-4F26-80C4-912C2FC70064", "Link")</f>
        <v/>
      </c>
      <c r="E637" s="3" t="n">
        <v>35.51</v>
      </c>
      <c r="F637" s="4" t="n">
        <v>1</v>
      </c>
      <c r="G637" t="inlineStr">
        <is>
          <t>Tennis Saskatchewan</t>
        </is>
      </c>
      <c r="H637" t="inlineStr">
        <is>
          <t>Lakewood Indoor Tennis Centre</t>
        </is>
      </c>
      <c r="I637" t="n">
        <v>35.2</v>
      </c>
      <c r="J637" s="4" t="n">
        <v>13</v>
      </c>
      <c r="K637" t="inlineStr">
        <is>
          <t>5 / 8</t>
        </is>
      </c>
      <c r="L637" t="inlineStr">
        <is>
          <t>5 / 8</t>
        </is>
      </c>
      <c r="M637" s="5" t="n">
        <v>0.38</v>
      </c>
      <c r="N637" s="5" t="n">
        <v>0.38</v>
      </c>
    </row>
    <row r="638">
      <c r="A638" t="n">
        <v>637</v>
      </c>
      <c r="B638" t="n">
        <v>2014</v>
      </c>
      <c r="C638" t="inlineStr">
        <is>
          <t>Violette Hébert</t>
        </is>
      </c>
      <c r="D638">
        <f>HYPERLINK("https://ota.tournamentsoftware.com/player-profile/53615BF8-C3DB-4C99-8745-F5A7E4DC7C2E", "Link")</f>
        <v/>
      </c>
      <c r="E638" s="3" t="n">
        <v>35.466</v>
      </c>
      <c r="F638" s="4" t="n">
        <v>10</v>
      </c>
      <c r="G638" t="inlineStr">
        <is>
          <t>Tennis Québec</t>
        </is>
      </c>
      <c r="H638" t="inlineStr">
        <is>
          <t>EB Tennis inc.</t>
        </is>
      </c>
      <c r="I638" t="n">
        <v>39.2</v>
      </c>
      <c r="J638" s="4" t="n">
        <v>49</v>
      </c>
      <c r="K638" t="inlineStr">
        <is>
          <t>14 / 35</t>
        </is>
      </c>
      <c r="L638" t="inlineStr">
        <is>
          <t>4 / 13</t>
        </is>
      </c>
      <c r="M638" s="5" t="n">
        <v>0.29</v>
      </c>
      <c r="N638" s="5" t="n">
        <v>0.24</v>
      </c>
    </row>
    <row r="639">
      <c r="A639" t="n">
        <v>638</v>
      </c>
      <c r="B639" t="n">
        <v>2016</v>
      </c>
      <c r="C639" t="inlineStr">
        <is>
          <t>Jessie DONG</t>
        </is>
      </c>
      <c r="D639">
        <f>HYPERLINK("https://ota.tournamentsoftware.com/player-profile/DD46DDC2-A0FA-4A57-9C2B-207D02D3DFB6", "Link")</f>
        <v/>
      </c>
      <c r="E639" s="3" t="n">
        <v>35.4</v>
      </c>
      <c r="F639" s="4" t="n">
        <v>7</v>
      </c>
      <c r="G639" t="inlineStr">
        <is>
          <t>Ontario Tennis Association</t>
        </is>
      </c>
      <c r="H639" t="inlineStr">
        <is>
          <t>Premier Racquet Clubs – Mississauga</t>
        </is>
      </c>
      <c r="I639" t="n">
        <v>37.5</v>
      </c>
      <c r="J639" s="4" t="n">
        <v>58</v>
      </c>
      <c r="K639" t="inlineStr">
        <is>
          <t>24 / 34</t>
        </is>
      </c>
      <c r="L639" t="inlineStr">
        <is>
          <t>24 / 34</t>
        </is>
      </c>
      <c r="M639" s="5" t="n">
        <v>0.41</v>
      </c>
      <c r="N639" s="5" t="n">
        <v>0.41</v>
      </c>
    </row>
    <row r="640">
      <c r="A640" t="n">
        <v>639</v>
      </c>
      <c r="B640" t="n">
        <v>2016</v>
      </c>
      <c r="C640" t="inlineStr">
        <is>
          <t>Stella Somerville</t>
        </is>
      </c>
      <c r="D640">
        <f>HYPERLINK("https://ota.tournamentsoftware.com/player-profile/87C92774-21A4-4A46-97F9-D656FA91A212", "Link")</f>
        <v/>
      </c>
      <c r="E640" s="3" t="n">
        <v>35.28</v>
      </c>
      <c r="F640" s="4" t="n">
        <v>6</v>
      </c>
      <c r="G640" t="inlineStr">
        <is>
          <t>Ontario Tennis Association</t>
        </is>
      </c>
      <c r="H640" t="inlineStr">
        <is>
          <t>Advantage Tennis International at Veneto</t>
        </is>
      </c>
      <c r="I640" t="n">
        <v>37</v>
      </c>
      <c r="J640" s="4" t="n">
        <v>87</v>
      </c>
      <c r="K640" t="inlineStr">
        <is>
          <t>40 / 47</t>
        </is>
      </c>
      <c r="L640" t="inlineStr">
        <is>
          <t>9 / 9</t>
        </is>
      </c>
      <c r="M640" s="5" t="n">
        <v>0.46</v>
      </c>
      <c r="N640" s="5" t="n">
        <v>0.5</v>
      </c>
    </row>
    <row r="641">
      <c r="A641" t="n">
        <v>640</v>
      </c>
      <c r="B641" t="n">
        <v>2013</v>
      </c>
      <c r="C641" t="inlineStr">
        <is>
          <t>Mathilda Adaline Manning</t>
        </is>
      </c>
      <c r="D641">
        <f>HYPERLINK("https://ota.tournamentsoftware.com/player-profile/68249616-27A6-4807-9978-802C0CDC784E", "Link")</f>
        <v/>
      </c>
      <c r="E641" s="3" t="n">
        <v>35</v>
      </c>
      <c r="F641" s="4" t="n">
        <v>4</v>
      </c>
      <c r="G641" t="inlineStr">
        <is>
          <t>Ontario Tennis Association</t>
        </is>
      </c>
      <c r="H641" t="inlineStr">
        <is>
          <t>Niagara Academy of Tennis</t>
        </is>
      </c>
      <c r="I641" t="n">
        <v>29.1</v>
      </c>
      <c r="J641" s="4" t="n">
        <v>12</v>
      </c>
      <c r="K641" t="inlineStr">
        <is>
          <t>8 / 4</t>
        </is>
      </c>
      <c r="L641" t="inlineStr">
        <is>
          <t>0 / 0</t>
        </is>
      </c>
      <c r="M641" s="5" t="n">
        <v>0.67</v>
      </c>
      <c r="N641" s="5" t="n">
        <v>0</v>
      </c>
    </row>
    <row r="642">
      <c r="A642" t="n">
        <v>641</v>
      </c>
      <c r="B642" t="n">
        <v>2015</v>
      </c>
      <c r="C642" t="inlineStr">
        <is>
          <t>Nya BLANCHARD</t>
        </is>
      </c>
      <c r="D642">
        <f>HYPERLINK("https://ota.tournamentsoftware.com/player-profile/E8E00722-2274-4657-BCF4-B20EEBB0EB21", "Link")</f>
        <v/>
      </c>
      <c r="E642" s="3" t="n">
        <v>34.903</v>
      </c>
      <c r="F642" s="4" t="n">
        <v>6</v>
      </c>
      <c r="G642" t="inlineStr">
        <is>
          <t>Ontario Tennis Association</t>
        </is>
      </c>
      <c r="H642" t="inlineStr">
        <is>
          <t>Ontario Racquet Club</t>
        </is>
      </c>
      <c r="I642" t="n">
        <v>35.7</v>
      </c>
      <c r="J642" s="4" t="n">
        <v>41</v>
      </c>
      <c r="K642" t="inlineStr">
        <is>
          <t>23 / 18</t>
        </is>
      </c>
      <c r="L642" t="inlineStr">
        <is>
          <t>8 / 7</t>
        </is>
      </c>
      <c r="M642" s="5" t="n">
        <v>0.5600000000000001</v>
      </c>
      <c r="N642" s="5" t="n">
        <v>0.53</v>
      </c>
    </row>
    <row r="643">
      <c r="A643" t="n">
        <v>642</v>
      </c>
      <c r="B643" t="n">
        <v>2012</v>
      </c>
      <c r="C643" t="inlineStr">
        <is>
          <t>Capri Metelitsa</t>
        </is>
      </c>
      <c r="D643">
        <f>HYPERLINK("https://ota.tournamentsoftware.com/player-profile/AD54A68E-D415-4925-B832-8287172FB727", "Link")</f>
        <v/>
      </c>
      <c r="E643" s="3" t="n">
        <v>34.735</v>
      </c>
      <c r="F643" s="4" t="n">
        <v>10</v>
      </c>
      <c r="G643" t="inlineStr">
        <is>
          <t>Tennis Alberta</t>
        </is>
      </c>
      <c r="H643" t="inlineStr">
        <is>
          <t>Aforza</t>
        </is>
      </c>
      <c r="I643" t="n">
        <v>36.4</v>
      </c>
      <c r="J643" s="4" t="n">
        <v>50</v>
      </c>
      <c r="K643" t="inlineStr">
        <is>
          <t>23 / 27</t>
        </is>
      </c>
      <c r="L643" t="inlineStr">
        <is>
          <t>2 / 8</t>
        </is>
      </c>
      <c r="M643" s="5" t="n">
        <v>0.46</v>
      </c>
      <c r="N643" s="5" t="n">
        <v>0.2</v>
      </c>
    </row>
    <row r="644">
      <c r="A644" t="n">
        <v>643</v>
      </c>
      <c r="B644" t="n">
        <v>2016</v>
      </c>
      <c r="C644" t="inlineStr">
        <is>
          <t>Eliana Gamboa Puentevella</t>
        </is>
      </c>
      <c r="D644">
        <f>HYPERLINK("https://ota.tournamentsoftware.com/player-profile/F092EBD2-5997-4E03-AED5-C7E2E614192B", "Link")</f>
        <v/>
      </c>
      <c r="E644" s="3" t="n">
        <v>34.342</v>
      </c>
      <c r="F644" s="4" t="n">
        <v>11</v>
      </c>
      <c r="G644" t="inlineStr">
        <is>
          <t>British Columbia</t>
        </is>
      </c>
      <c r="H644" t="inlineStr">
        <is>
          <t>Suncoast Racquet Club</t>
        </is>
      </c>
      <c r="I644" t="n">
        <v>36.6</v>
      </c>
      <c r="J644" s="4" t="n">
        <v>128</v>
      </c>
      <c r="K644" t="inlineStr">
        <is>
          <t>62 / 66</t>
        </is>
      </c>
      <c r="L644" t="inlineStr">
        <is>
          <t>32 / 22</t>
        </is>
      </c>
      <c r="M644" s="5" t="n">
        <v>0.48</v>
      </c>
      <c r="N644" s="5" t="n">
        <v>0.59</v>
      </c>
    </row>
    <row r="645">
      <c r="A645" t="n">
        <v>644</v>
      </c>
      <c r="B645" t="n">
        <v>2013</v>
      </c>
      <c r="C645" t="inlineStr">
        <is>
          <t>Caroline Chuyi Wang</t>
        </is>
      </c>
      <c r="D645">
        <f>HYPERLINK("https://ota.tournamentsoftware.com/player-profile/3F052198-DCE4-4852-8FA0-B0793E67B6FC", "Link")</f>
        <v/>
      </c>
      <c r="E645" s="3" t="n">
        <v>34.166</v>
      </c>
      <c r="F645" s="4" t="n">
        <v>4</v>
      </c>
      <c r="G645" t="inlineStr">
        <is>
          <t>British Columbia</t>
        </is>
      </c>
      <c r="H645" t="inlineStr">
        <is>
          <t>Richmond Country Club</t>
        </is>
      </c>
      <c r="I645" t="n">
        <v>37.9</v>
      </c>
      <c r="J645" s="4" t="n">
        <v>26</v>
      </c>
      <c r="K645" t="inlineStr">
        <is>
          <t>11 / 15</t>
        </is>
      </c>
      <c r="L645" t="inlineStr">
        <is>
          <t>11 / 15</t>
        </is>
      </c>
      <c r="M645" s="5" t="n">
        <v>0.42</v>
      </c>
      <c r="N645" s="5" t="n">
        <v>0.42</v>
      </c>
    </row>
    <row r="646">
      <c r="A646" t="n">
        <v>645</v>
      </c>
      <c r="B646" t="n">
        <v>2014</v>
      </c>
      <c r="C646" t="inlineStr">
        <is>
          <t>Georgena Banquicio</t>
        </is>
      </c>
      <c r="D646">
        <f>HYPERLINK("https://ota.tournamentsoftware.com/player-profile/AB3893CF-B68D-4258-893E-E7C3FB601465", "Link")</f>
        <v/>
      </c>
      <c r="E646" s="3" t="n">
        <v>33.663</v>
      </c>
      <c r="F646" s="4" t="n">
        <v>5</v>
      </c>
      <c r="G646" t="inlineStr">
        <is>
          <t>Tennis New Brunswick</t>
        </is>
      </c>
      <c r="H646" t="inlineStr">
        <is>
          <t>Abony Family Tennis Center</t>
        </is>
      </c>
      <c r="I646" t="n">
        <v>37.4</v>
      </c>
      <c r="J646" s="4" t="n">
        <v>72</v>
      </c>
      <c r="K646" t="inlineStr">
        <is>
          <t>34 / 38</t>
        </is>
      </c>
      <c r="L646" t="inlineStr">
        <is>
          <t>2 / 6</t>
        </is>
      </c>
      <c r="M646" s="5" t="n">
        <v>0.47</v>
      </c>
      <c r="N646" s="5" t="n">
        <v>0.25</v>
      </c>
    </row>
    <row r="647">
      <c r="A647" t="n">
        <v>646</v>
      </c>
      <c r="B647" t="n">
        <v>2013</v>
      </c>
      <c r="C647" t="inlineStr">
        <is>
          <t>SOPHIA MARIA TRULESCU</t>
        </is>
      </c>
      <c r="D647">
        <f>HYPERLINK("https://ota.tournamentsoftware.com/player-profile/A41CCD9F-8BEB-4085-842F-8E5A7DA612FF", "Link")</f>
        <v/>
      </c>
      <c r="E647" s="3" t="n">
        <v>33.35</v>
      </c>
      <c r="F647" s="4" t="n">
        <v>2</v>
      </c>
      <c r="G647" t="inlineStr">
        <is>
          <t>Ontario Tennis Association</t>
        </is>
      </c>
      <c r="H647" t="inlineStr">
        <is>
          <t>Rosedale Tennis Club (Hamilton)</t>
        </is>
      </c>
      <c r="I647" t="n">
        <v>34.4</v>
      </c>
      <c r="J647" s="4" t="n">
        <v>55</v>
      </c>
      <c r="K647" t="inlineStr">
        <is>
          <t>41 / 14</t>
        </is>
      </c>
      <c r="L647" t="inlineStr">
        <is>
          <t>4 / 2</t>
        </is>
      </c>
      <c r="M647" s="5" t="n">
        <v>0.75</v>
      </c>
      <c r="N647" s="5" t="n">
        <v>0.67</v>
      </c>
    </row>
    <row r="648">
      <c r="A648" t="n">
        <v>647</v>
      </c>
      <c r="B648" t="n">
        <v>2014</v>
      </c>
      <c r="C648" t="inlineStr">
        <is>
          <t>Victoria Dorvius</t>
        </is>
      </c>
      <c r="D648">
        <f>HYPERLINK("https://ota.tournamentsoftware.com/player-profile/0742AD15-E29E-4761-9ABC-EF929E7499C5", "Link")</f>
        <v/>
      </c>
      <c r="E648" s="3" t="n">
        <v>33.305</v>
      </c>
      <c r="F648" s="4" t="n">
        <v>3</v>
      </c>
      <c r="G648" t="inlineStr">
        <is>
          <t>Tennis Québec</t>
        </is>
      </c>
      <c r="H648" t="inlineStr">
        <is>
          <t>No Club</t>
        </is>
      </c>
      <c r="I648" t="n">
        <v>40</v>
      </c>
      <c r="J648" s="4" t="n">
        <v>8</v>
      </c>
      <c r="K648" t="inlineStr">
        <is>
          <t>0 / 8</t>
        </is>
      </c>
      <c r="L648" t="inlineStr">
        <is>
          <t>0 / 3</t>
        </is>
      </c>
      <c r="M648" s="5" t="n">
        <v>0</v>
      </c>
      <c r="N648" s="5" t="n">
        <v>0</v>
      </c>
    </row>
    <row r="649">
      <c r="A649" t="n">
        <v>648</v>
      </c>
      <c r="B649" t="n">
        <v>2012</v>
      </c>
      <c r="C649" t="inlineStr">
        <is>
          <t>Elise Weaser</t>
        </is>
      </c>
      <c r="D649">
        <f>HYPERLINK("https://ota.tournamentsoftware.com/player-profile/DA22DB71-D6D8-4605-B329-E9AEA5B14695", "Link")</f>
        <v/>
      </c>
      <c r="E649" s="3" t="n">
        <v>33.264</v>
      </c>
      <c r="F649" s="4" t="n">
        <v>2</v>
      </c>
      <c r="G649" t="inlineStr">
        <is>
          <t>Ontario Tennis Association</t>
        </is>
      </c>
      <c r="H649" t="inlineStr">
        <is>
          <t>Ontario Racquet Club</t>
        </is>
      </c>
      <c r="I649" t="n">
        <v>37.6</v>
      </c>
      <c r="J649" s="4" t="n">
        <v>30</v>
      </c>
      <c r="K649" t="inlineStr">
        <is>
          <t>7 / 23</t>
        </is>
      </c>
      <c r="L649" t="inlineStr">
        <is>
          <t>2 / 2</t>
        </is>
      </c>
      <c r="M649" s="5" t="n">
        <v>0.23</v>
      </c>
      <c r="N649" s="5" t="n">
        <v>0.5</v>
      </c>
    </row>
    <row r="650">
      <c r="A650" t="n">
        <v>649</v>
      </c>
      <c r="B650" t="n">
        <v>2015</v>
      </c>
      <c r="C650" t="inlineStr">
        <is>
          <t>Enlin Fan</t>
        </is>
      </c>
      <c r="D650">
        <f>HYPERLINK("https://ota.tournamentsoftware.com/player-profile/0F38D490-CA76-4A12-BE87-0BAC308EDC74", "Link")</f>
        <v/>
      </c>
      <c r="E650" s="3" t="n">
        <v>32.538</v>
      </c>
      <c r="F650" s="4" t="n">
        <v>6</v>
      </c>
      <c r="G650" t="inlineStr">
        <is>
          <t>British Columbia</t>
        </is>
      </c>
      <c r="H650" t="inlineStr">
        <is>
          <t>The Tennis Centre</t>
        </is>
      </c>
      <c r="I650" t="inlineStr">
        <is>
          <t>unavailable</t>
        </is>
      </c>
      <c r="J650" s="4" t="n">
        <v>93</v>
      </c>
      <c r="K650" t="inlineStr">
        <is>
          <t>42 / 51</t>
        </is>
      </c>
      <c r="L650" t="inlineStr">
        <is>
          <t>7 / 6</t>
        </is>
      </c>
      <c r="M650" s="5" t="n">
        <v>0.45</v>
      </c>
      <c r="N650" s="5" t="n">
        <v>0.54</v>
      </c>
    </row>
    <row r="651">
      <c r="A651" t="n">
        <v>650</v>
      </c>
      <c r="B651" t="n">
        <v>2015</v>
      </c>
      <c r="C651" t="inlineStr">
        <is>
          <t>GAURI BHARDWAJ</t>
        </is>
      </c>
      <c r="D651">
        <f>HYPERLINK("https://ota.tournamentsoftware.com/player-profile/7D0915D9-E26B-4DD0-AA8A-90DD2833C0F8", "Link")</f>
        <v/>
      </c>
      <c r="E651" s="3" t="n">
        <v>32.49</v>
      </c>
      <c r="F651" s="4" t="n">
        <v>6</v>
      </c>
      <c r="G651" t="inlineStr">
        <is>
          <t>Ontario Tennis Association</t>
        </is>
      </c>
      <c r="H651" t="inlineStr">
        <is>
          <t>Premier Racquet Clubs – Mississauga</t>
        </is>
      </c>
      <c r="I651" t="n">
        <v>37.6</v>
      </c>
      <c r="J651" s="4" t="n">
        <v>105</v>
      </c>
      <c r="K651" t="inlineStr">
        <is>
          <t>38 / 67</t>
        </is>
      </c>
      <c r="L651" t="inlineStr">
        <is>
          <t>3 / 3</t>
        </is>
      </c>
      <c r="M651" s="5" t="n">
        <v>0.36</v>
      </c>
      <c r="N651" s="5" t="n">
        <v>0.5</v>
      </c>
    </row>
    <row r="652">
      <c r="A652" t="n">
        <v>651</v>
      </c>
      <c r="B652" t="n">
        <v>2017</v>
      </c>
      <c r="C652" t="inlineStr">
        <is>
          <t>Anastasia Savtchenko</t>
        </is>
      </c>
      <c r="D652">
        <f>HYPERLINK("https://ota.tournamentsoftware.com/player-profile/FF881545-63C4-4D7F-B9E4-0A8D65FB9607", "Link")</f>
        <v/>
      </c>
      <c r="E652" s="3" t="n">
        <v>32.4</v>
      </c>
      <c r="F652" s="4" t="n">
        <v>6</v>
      </c>
      <c r="G652" t="inlineStr">
        <is>
          <t>Ontario Tennis Association</t>
        </is>
      </c>
      <c r="H652" t="inlineStr">
        <is>
          <t>Valan Tennis Academy</t>
        </is>
      </c>
      <c r="I652" t="inlineStr">
        <is>
          <t>unavailable</t>
        </is>
      </c>
      <c r="J652" s="4" t="n">
        <v>95</v>
      </c>
      <c r="K652" t="inlineStr">
        <is>
          <t>53 / 42</t>
        </is>
      </c>
      <c r="L652" t="inlineStr">
        <is>
          <t>17 / 13</t>
        </is>
      </c>
      <c r="M652" s="5" t="n">
        <v>0.5600000000000001</v>
      </c>
      <c r="N652" s="5" t="n">
        <v>0.57</v>
      </c>
    </row>
    <row r="653">
      <c r="A653" t="n">
        <v>652</v>
      </c>
      <c r="B653" t="n">
        <v>2015</v>
      </c>
      <c r="C653" t="inlineStr">
        <is>
          <t>Piper Harrison</t>
        </is>
      </c>
      <c r="D653">
        <f>HYPERLINK("https://ota.tournamentsoftware.com/player-profile/8FD01254-4DB3-4BFF-A784-65DB87717C42", "Link")</f>
        <v/>
      </c>
      <c r="E653" s="3" t="n">
        <v>31.992</v>
      </c>
      <c r="F653" s="4" t="n">
        <v>7</v>
      </c>
      <c r="G653" t="inlineStr">
        <is>
          <t>Ontario Tennis Association</t>
        </is>
      </c>
      <c r="H653" t="inlineStr">
        <is>
          <t>Boulevard Club</t>
        </is>
      </c>
      <c r="I653" t="n">
        <v>38.6</v>
      </c>
      <c r="J653" s="4" t="n">
        <v>56</v>
      </c>
      <c r="K653" t="inlineStr">
        <is>
          <t>18 / 38</t>
        </is>
      </c>
      <c r="L653" t="inlineStr">
        <is>
          <t>6 / 10</t>
        </is>
      </c>
      <c r="M653" s="5" t="n">
        <v>0.32</v>
      </c>
      <c r="N653" s="5" t="n">
        <v>0.38</v>
      </c>
    </row>
    <row r="654">
      <c r="A654" t="n">
        <v>653</v>
      </c>
      <c r="B654" t="n">
        <v>2012</v>
      </c>
      <c r="C654" t="inlineStr">
        <is>
          <t>Rosalie Lanthier</t>
        </is>
      </c>
      <c r="D654">
        <f>HYPERLINK("https://ota.tournamentsoftware.com/player-profile/7853B67E-AF4D-4FFF-9839-6455ACC0C941", "Link")</f>
        <v/>
      </c>
      <c r="E654" s="3" t="n">
        <v>31.759</v>
      </c>
      <c r="F654" s="4" t="n">
        <v>5</v>
      </c>
      <c r="G654" t="inlineStr">
        <is>
          <t>Tennis Québec</t>
        </is>
      </c>
      <c r="H654" t="inlineStr">
        <is>
          <t>EB Tennis inc.</t>
        </is>
      </c>
      <c r="I654" t="n">
        <v>40</v>
      </c>
      <c r="J654" s="4" t="n">
        <v>15</v>
      </c>
      <c r="K654" t="inlineStr">
        <is>
          <t>1 / 14</t>
        </is>
      </c>
      <c r="L654" t="inlineStr">
        <is>
          <t>0 / 4</t>
        </is>
      </c>
      <c r="M654" s="5" t="n">
        <v>0.07000000000000001</v>
      </c>
      <c r="N654" s="5" t="n">
        <v>0</v>
      </c>
    </row>
    <row r="655">
      <c r="A655" t="n">
        <v>654</v>
      </c>
      <c r="B655" t="n">
        <v>2012</v>
      </c>
      <c r="C655" t="inlineStr">
        <is>
          <t>Belen Aldana</t>
        </is>
      </c>
      <c r="D655">
        <f>HYPERLINK("https://ota.tournamentsoftware.com/player-profile/403664F3-E594-4FFF-BEC0-1AF63F2F73E4", "Link")</f>
        <v/>
      </c>
      <c r="E655" s="3" t="n">
        <v>31.724</v>
      </c>
      <c r="F655" s="4" t="n">
        <v>6</v>
      </c>
      <c r="G655" t="inlineStr">
        <is>
          <t>Tennis Québec</t>
        </is>
      </c>
      <c r="H655" t="inlineStr">
        <is>
          <t>SANI Sport</t>
        </is>
      </c>
      <c r="I655" t="n">
        <v>37.9</v>
      </c>
      <c r="J655" s="4" t="n">
        <v>11</v>
      </c>
      <c r="K655" t="inlineStr">
        <is>
          <t>1 / 10</t>
        </is>
      </c>
      <c r="L655" t="inlineStr">
        <is>
          <t>1 / 10</t>
        </is>
      </c>
      <c r="M655" s="5" t="n">
        <v>0.09</v>
      </c>
      <c r="N655" s="5" t="n">
        <v>0.09</v>
      </c>
    </row>
    <row r="656">
      <c r="A656" t="n">
        <v>655</v>
      </c>
      <c r="B656" t="n">
        <v>2016</v>
      </c>
      <c r="C656" t="inlineStr">
        <is>
          <t>Talia Petrovski</t>
        </is>
      </c>
      <c r="D656">
        <f>HYPERLINK("https://ota.tournamentsoftware.com/player-profile/85787F1F-708B-4576-AEFA-F82C6105B16E", "Link")</f>
        <v/>
      </c>
      <c r="E656" s="3" t="n">
        <v>31.234</v>
      </c>
      <c r="F656" s="4" t="n">
        <v>18</v>
      </c>
      <c r="G656" t="inlineStr">
        <is>
          <t>Tennis Alberta</t>
        </is>
      </c>
      <c r="H656" t="inlineStr">
        <is>
          <t>Saville Community Sports Centre</t>
        </is>
      </c>
      <c r="I656" t="n">
        <v>35.5</v>
      </c>
      <c r="J656" s="4" t="n">
        <v>143</v>
      </c>
      <c r="K656" t="inlineStr">
        <is>
          <t>81 / 62</t>
        </is>
      </c>
      <c r="L656" t="inlineStr">
        <is>
          <t>51 / 24</t>
        </is>
      </c>
      <c r="M656" s="5" t="n">
        <v>0.57</v>
      </c>
      <c r="N656" s="5" t="n">
        <v>0.68</v>
      </c>
    </row>
    <row r="657">
      <c r="A657" t="n">
        <v>656</v>
      </c>
      <c r="B657" t="n">
        <v>2014</v>
      </c>
      <c r="C657" t="inlineStr">
        <is>
          <t>Ignatia Walsh</t>
        </is>
      </c>
      <c r="D657">
        <f>HYPERLINK("https://ota.tournamentsoftware.com/player-profile/AEC8F080-693E-4608-867A-22E590A9E567", "Link")</f>
        <v/>
      </c>
      <c r="E657" s="3" t="n">
        <v>30.526</v>
      </c>
      <c r="F657" s="4" t="n">
        <v>14</v>
      </c>
      <c r="G657" t="inlineStr">
        <is>
          <t>Ontario Tennis Association</t>
        </is>
      </c>
      <c r="H657" t="inlineStr">
        <is>
          <t>Premier Racquet Clubs – Mississauga</t>
        </is>
      </c>
      <c r="I657" t="inlineStr">
        <is>
          <t>unavailable</t>
        </is>
      </c>
      <c r="J657" s="4" t="n">
        <v>55</v>
      </c>
      <c r="K657" t="inlineStr">
        <is>
          <t>14 / 41</t>
        </is>
      </c>
      <c r="L657" t="inlineStr">
        <is>
          <t>7 / 17</t>
        </is>
      </c>
      <c r="M657" s="5" t="n">
        <v>0.25</v>
      </c>
      <c r="N657" s="5" t="n">
        <v>0.29</v>
      </c>
    </row>
    <row r="658">
      <c r="A658" t="n">
        <v>657</v>
      </c>
      <c r="B658" t="n">
        <v>2015</v>
      </c>
      <c r="C658" t="inlineStr">
        <is>
          <t>Daisy Dai</t>
        </is>
      </c>
      <c r="D658">
        <f>HYPERLINK("https://ota.tournamentsoftware.com/player-profile/C64DEFB9-4BBC-4AA1-8CC8-9020440935AB", "Link")</f>
        <v/>
      </c>
      <c r="E658" s="3" t="n">
        <v>30.448</v>
      </c>
      <c r="F658" s="4" t="n">
        <v>2</v>
      </c>
      <c r="G658" t="inlineStr">
        <is>
          <t>Tennis Nova Scotia</t>
        </is>
      </c>
      <c r="H658" t="inlineStr">
        <is>
          <t>Atlantic Tennis Centre</t>
        </is>
      </c>
      <c r="I658" t="n">
        <v>33.3</v>
      </c>
      <c r="J658" s="4" t="n">
        <v>23</v>
      </c>
      <c r="K658" t="inlineStr">
        <is>
          <t>16 / 7</t>
        </is>
      </c>
      <c r="L658" t="inlineStr">
        <is>
          <t>4 / 2</t>
        </is>
      </c>
      <c r="M658" s="5" t="n">
        <v>0.7</v>
      </c>
      <c r="N658" s="5" t="n">
        <v>0.67</v>
      </c>
    </row>
    <row r="659">
      <c r="A659" t="n">
        <v>658</v>
      </c>
      <c r="B659" t="n">
        <v>2012</v>
      </c>
      <c r="C659" t="inlineStr">
        <is>
          <t>Remy Quinn Durocher</t>
        </is>
      </c>
      <c r="D659">
        <f>HYPERLINK("https://ota.tournamentsoftware.com/player-profile/64BF8C80-3EDB-464A-896D-5D47CC387451", "Link")</f>
        <v/>
      </c>
      <c r="E659" s="3" t="n">
        <v>29.376</v>
      </c>
      <c r="F659" s="4" t="n">
        <v>1</v>
      </c>
      <c r="G659" t="inlineStr">
        <is>
          <t>Tennis Prince Edward Island</t>
        </is>
      </c>
      <c r="H659" t="inlineStr">
        <is>
          <t>Stratford Tennis Club</t>
        </is>
      </c>
      <c r="I659" t="n">
        <v>39.4</v>
      </c>
      <c r="J659" s="4" t="n">
        <v>13</v>
      </c>
      <c r="K659" t="inlineStr">
        <is>
          <t>2 / 11</t>
        </is>
      </c>
      <c r="L659" t="inlineStr">
        <is>
          <t>1 / 6</t>
        </is>
      </c>
      <c r="M659" s="5" t="n">
        <v>0.15</v>
      </c>
      <c r="N659" s="5" t="n">
        <v>0.14</v>
      </c>
    </row>
    <row r="660">
      <c r="A660" t="n">
        <v>659</v>
      </c>
      <c r="B660" t="n">
        <v>2014</v>
      </c>
      <c r="C660" t="inlineStr">
        <is>
          <t>Mila Levac</t>
        </is>
      </c>
      <c r="D660">
        <f>HYPERLINK("https://ota.tournamentsoftware.com/player-profile/7F793D8E-41D7-4B70-87B7-9D30B32ED35F", "Link")</f>
        <v/>
      </c>
      <c r="E660" s="3" t="n">
        <v>29.368</v>
      </c>
      <c r="F660" s="4" t="n">
        <v>4</v>
      </c>
      <c r="G660" t="inlineStr">
        <is>
          <t>Ontario Tennis Association</t>
        </is>
      </c>
      <c r="H660" t="inlineStr">
        <is>
          <t>Rideau Sports Centre</t>
        </is>
      </c>
      <c r="I660" t="n">
        <v>39.8</v>
      </c>
      <c r="J660" s="4" t="n">
        <v>77</v>
      </c>
      <c r="K660" t="inlineStr">
        <is>
          <t>13 / 64</t>
        </is>
      </c>
      <c r="L660" t="inlineStr">
        <is>
          <t>0 / 4</t>
        </is>
      </c>
      <c r="M660" s="5" t="n">
        <v>0.17</v>
      </c>
      <c r="N660" s="5" t="n">
        <v>0</v>
      </c>
    </row>
    <row r="661">
      <c r="A661" t="n">
        <v>660</v>
      </c>
      <c r="B661" t="n">
        <v>2013</v>
      </c>
      <c r="C661" t="inlineStr">
        <is>
          <t>Brooklyn Desjardins</t>
        </is>
      </c>
      <c r="D661">
        <f>HYPERLINK("https://ota.tournamentsoftware.com/player-profile/EDCAF363-81B5-4378-83DC-E36CD3ACC539", "Link")</f>
        <v/>
      </c>
      <c r="E661" s="3" t="n">
        <v>29.163</v>
      </c>
      <c r="F661" s="4" t="n">
        <v>4</v>
      </c>
      <c r="G661" t="inlineStr">
        <is>
          <t>Tennis Québec</t>
        </is>
      </c>
      <c r="H661" t="inlineStr">
        <is>
          <t>Club Sportif Côte-de-Liesse</t>
        </is>
      </c>
      <c r="I661" t="n">
        <v>37.7</v>
      </c>
      <c r="J661" s="4" t="n">
        <v>49</v>
      </c>
      <c r="K661" t="inlineStr">
        <is>
          <t>19 / 30</t>
        </is>
      </c>
      <c r="L661" t="inlineStr">
        <is>
          <t>0 / 0</t>
        </is>
      </c>
      <c r="M661" s="5" t="n">
        <v>0.39</v>
      </c>
      <c r="N661" s="5" t="n">
        <v>0</v>
      </c>
    </row>
    <row r="662">
      <c r="A662" t="n">
        <v>661</v>
      </c>
      <c r="B662" t="n">
        <v>2016</v>
      </c>
      <c r="C662" t="inlineStr">
        <is>
          <t>Madison Dionne</t>
        </is>
      </c>
      <c r="D662">
        <f>HYPERLINK("https://ota.tournamentsoftware.com/player-profile/E7A43ABD-96E4-46C3-84A5-BAF14D846E4C", "Link")</f>
        <v/>
      </c>
      <c r="E662" s="3" t="n">
        <v>29.157</v>
      </c>
      <c r="F662" s="4" t="n">
        <v>8</v>
      </c>
      <c r="G662" t="inlineStr">
        <is>
          <t>Ontario Tennis Association</t>
        </is>
      </c>
      <c r="H662" t="inlineStr">
        <is>
          <t>Ontario Racquet Club</t>
        </is>
      </c>
      <c r="I662" t="n">
        <v>37</v>
      </c>
      <c r="J662" s="4" t="n">
        <v>100</v>
      </c>
      <c r="K662" t="inlineStr">
        <is>
          <t>32 / 68</t>
        </is>
      </c>
      <c r="L662" t="inlineStr">
        <is>
          <t>16 / 14</t>
        </is>
      </c>
      <c r="M662" s="5" t="n">
        <v>0.32</v>
      </c>
      <c r="N662" s="5" t="n">
        <v>0.53</v>
      </c>
    </row>
    <row r="663">
      <c r="A663" t="n">
        <v>662</v>
      </c>
      <c r="B663" t="n">
        <v>2015</v>
      </c>
      <c r="C663" t="inlineStr">
        <is>
          <t>Iris RuiYing Cen</t>
        </is>
      </c>
      <c r="D663">
        <f>HYPERLINK("https://ota.tournamentsoftware.com/player-profile/D53FD847-C5AE-41A6-BFB8-EE8B251EDFBF", "Link")</f>
        <v/>
      </c>
      <c r="E663" s="3" t="n">
        <v>29.111</v>
      </c>
      <c r="F663" s="4" t="n">
        <v>7</v>
      </c>
      <c r="G663" t="inlineStr">
        <is>
          <t>Ontario Tennis Association</t>
        </is>
      </c>
      <c r="H663" t="inlineStr">
        <is>
          <t>Meadowvale West Tennis Club</t>
        </is>
      </c>
      <c r="I663" t="n">
        <v>38.1</v>
      </c>
      <c r="J663" s="4" t="n">
        <v>77</v>
      </c>
      <c r="K663" t="inlineStr">
        <is>
          <t>20 / 57</t>
        </is>
      </c>
      <c r="L663" t="inlineStr">
        <is>
          <t>2 / 4</t>
        </is>
      </c>
      <c r="M663" s="5" t="n">
        <v>0.26</v>
      </c>
      <c r="N663" s="5" t="n">
        <v>0.33</v>
      </c>
    </row>
    <row r="664">
      <c r="A664" t="n">
        <v>663</v>
      </c>
      <c r="B664" t="n">
        <v>2014</v>
      </c>
      <c r="C664" t="inlineStr">
        <is>
          <t>Mila Khayretdinova</t>
        </is>
      </c>
      <c r="D664">
        <f>HYPERLINK("https://ota.tournamentsoftware.com/player-profile/04DE0A72-CDB6-4637-88E8-378348327654", "Link")</f>
        <v/>
      </c>
      <c r="E664" s="3" t="n">
        <v>28.855</v>
      </c>
      <c r="F664" s="4" t="n">
        <v>6</v>
      </c>
      <c r="G664" t="inlineStr">
        <is>
          <t>Tennis Québec</t>
        </is>
      </c>
      <c r="H664" t="inlineStr">
        <is>
          <t>No Club</t>
        </is>
      </c>
      <c r="I664" t="n">
        <v>39.1</v>
      </c>
      <c r="J664" s="4" t="n">
        <v>41</v>
      </c>
      <c r="K664" t="inlineStr">
        <is>
          <t>3 / 38</t>
        </is>
      </c>
      <c r="L664" t="inlineStr">
        <is>
          <t>3 / 6</t>
        </is>
      </c>
      <c r="M664" s="5" t="n">
        <v>0.07000000000000001</v>
      </c>
      <c r="N664" s="5" t="n">
        <v>0.33</v>
      </c>
    </row>
    <row r="665">
      <c r="A665" t="n">
        <v>664</v>
      </c>
      <c r="B665" t="n">
        <v>2015</v>
      </c>
      <c r="C665" t="inlineStr">
        <is>
          <t>Asena Kiamil</t>
        </is>
      </c>
      <c r="D665">
        <f>HYPERLINK("https://ota.tournamentsoftware.com/player-profile/E9A72281-6B76-4B36-9040-E802436447FA", "Link")</f>
        <v/>
      </c>
      <c r="E665" s="3" t="n">
        <v>28.824</v>
      </c>
      <c r="F665" s="4" t="n">
        <v>6</v>
      </c>
      <c r="G665" t="inlineStr">
        <is>
          <t>Ontario Tennis Association</t>
        </is>
      </c>
      <c r="H665" t="inlineStr">
        <is>
          <t>Royal City Tennis Club</t>
        </is>
      </c>
      <c r="I665" t="n">
        <v>37.8</v>
      </c>
      <c r="J665" s="4" t="n">
        <v>86</v>
      </c>
      <c r="K665" t="inlineStr">
        <is>
          <t>46 / 40</t>
        </is>
      </c>
      <c r="L665" t="inlineStr">
        <is>
          <t>4 / 6</t>
        </is>
      </c>
      <c r="M665" s="5" t="n">
        <v>0.53</v>
      </c>
      <c r="N665" s="5" t="n">
        <v>0.4</v>
      </c>
    </row>
    <row r="666">
      <c r="A666" t="n">
        <v>665</v>
      </c>
      <c r="B666" t="n">
        <v>2013</v>
      </c>
      <c r="C666" t="inlineStr">
        <is>
          <t>TIFFANY ZHENG</t>
        </is>
      </c>
      <c r="D666">
        <f>HYPERLINK("https://ota.tournamentsoftware.com/player-profile/59B34621-D499-450A-BDB3-B38C363BEAD1", "Link")</f>
        <v/>
      </c>
      <c r="E666" s="3" t="n">
        <v>28.481</v>
      </c>
      <c r="F666" s="4" t="n">
        <v>1</v>
      </c>
      <c r="G666" t="inlineStr">
        <is>
          <t>Ontario Tennis Association</t>
        </is>
      </c>
      <c r="H666" t="inlineStr">
        <is>
          <t>Carleton Tennis Centre</t>
        </is>
      </c>
      <c r="I666" t="n">
        <v>34</v>
      </c>
      <c r="J666" s="4" t="n">
        <v>1</v>
      </c>
      <c r="K666" t="inlineStr">
        <is>
          <t>1 / 0</t>
        </is>
      </c>
      <c r="L666" t="inlineStr">
        <is>
          <t>1 / 0</t>
        </is>
      </c>
      <c r="M666" s="5" t="n">
        <v>1</v>
      </c>
      <c r="N666" s="5" t="n">
        <v>1</v>
      </c>
    </row>
    <row r="667">
      <c r="A667" t="n">
        <v>666</v>
      </c>
      <c r="B667" t="n">
        <v>2013</v>
      </c>
      <c r="C667" t="inlineStr">
        <is>
          <t>Meryem Besri Besri</t>
        </is>
      </c>
      <c r="D667">
        <f>HYPERLINK("https://ota.tournamentsoftware.com/player-profile/24E638E5-93ED-46F3-95E6-F944EA4EAAE7", "Link")</f>
        <v/>
      </c>
      <c r="E667" s="3" t="n">
        <v>28.425</v>
      </c>
      <c r="F667" s="4" t="n">
        <v>3</v>
      </c>
      <c r="G667" t="inlineStr">
        <is>
          <t>Tennis Alberta</t>
        </is>
      </c>
      <c r="H667" t="inlineStr">
        <is>
          <t>Calgary - Public</t>
        </is>
      </c>
      <c r="I667" t="n">
        <v>31.9</v>
      </c>
      <c r="J667" s="4" t="n">
        <v>6</v>
      </c>
      <c r="K667" t="inlineStr">
        <is>
          <t>3 / 3</t>
        </is>
      </c>
      <c r="L667" t="inlineStr">
        <is>
          <t>3 / 3</t>
        </is>
      </c>
      <c r="M667" s="5" t="n">
        <v>0.5</v>
      </c>
      <c r="N667" s="5" t="n">
        <v>0.5</v>
      </c>
    </row>
    <row r="668">
      <c r="A668" t="n">
        <v>667</v>
      </c>
      <c r="B668" t="n">
        <v>2016</v>
      </c>
      <c r="C668" t="inlineStr">
        <is>
          <t>Flora Ziyue Wang</t>
        </is>
      </c>
      <c r="D668">
        <f>HYPERLINK("https://ota.tournamentsoftware.com/player-profile/65435931-BBD0-46BD-839E-4188787640BE", "Link")</f>
        <v/>
      </c>
      <c r="E668" s="3" t="n">
        <v>28.368</v>
      </c>
      <c r="F668" s="4" t="n">
        <v>7</v>
      </c>
      <c r="G668" t="inlineStr">
        <is>
          <t>Ontario Tennis Association</t>
        </is>
      </c>
      <c r="H668" t="inlineStr">
        <is>
          <t>Unionville Tennis Club</t>
        </is>
      </c>
      <c r="I668" t="n">
        <v>35.4</v>
      </c>
      <c r="J668" s="4" t="n">
        <v>82</v>
      </c>
      <c r="K668" t="inlineStr">
        <is>
          <t>42 / 40</t>
        </is>
      </c>
      <c r="L668" t="inlineStr">
        <is>
          <t>15 / 9</t>
        </is>
      </c>
      <c r="M668" s="5" t="n">
        <v>0.51</v>
      </c>
      <c r="N668" s="5" t="n">
        <v>0.62</v>
      </c>
    </row>
    <row r="669">
      <c r="A669" t="n">
        <v>668</v>
      </c>
      <c r="B669" t="n">
        <v>2013</v>
      </c>
      <c r="C669" t="inlineStr">
        <is>
          <t>Phoebe Xu</t>
        </is>
      </c>
      <c r="D669">
        <f>HYPERLINK("https://ota.tournamentsoftware.com/player-profile/278C7B40-F6F9-4402-A8BF-F8069FAF9612", "Link")</f>
        <v/>
      </c>
      <c r="E669" s="3" t="n">
        <v>27.864</v>
      </c>
      <c r="F669" s="4" t="n">
        <v>2</v>
      </c>
      <c r="G669" t="inlineStr">
        <is>
          <t>Ontario Tennis Association</t>
        </is>
      </c>
      <c r="H669" t="inlineStr">
        <is>
          <t>Sandy Beach Tennis Club</t>
        </is>
      </c>
      <c r="I669" t="n">
        <v>32</v>
      </c>
      <c r="J669" s="4" t="n">
        <v>89</v>
      </c>
      <c r="K669" t="inlineStr">
        <is>
          <t>50 / 39</t>
        </is>
      </c>
      <c r="L669" t="inlineStr">
        <is>
          <t>1 / 1</t>
        </is>
      </c>
      <c r="M669" s="5" t="n">
        <v>0.5600000000000001</v>
      </c>
      <c r="N669" s="5" t="n">
        <v>0.5</v>
      </c>
    </row>
    <row r="670">
      <c r="A670" t="n">
        <v>669</v>
      </c>
      <c r="B670" t="n">
        <v>2015</v>
      </c>
      <c r="C670" t="inlineStr">
        <is>
          <t>Parine Jani</t>
        </is>
      </c>
      <c r="D670">
        <f>HYPERLINK("https://ota.tournamentsoftware.com/player-profile/DEF6C92A-14C0-4DEB-A4E3-22B40C75E14A", "Link")</f>
        <v/>
      </c>
      <c r="E670" s="3" t="n">
        <v>27.46</v>
      </c>
      <c r="F670" s="4" t="n">
        <v>4</v>
      </c>
      <c r="G670" t="inlineStr">
        <is>
          <t>Ontario Tennis Association</t>
        </is>
      </c>
      <c r="H670" t="inlineStr">
        <is>
          <t>Premier Racquet Club</t>
        </is>
      </c>
      <c r="I670" t="n">
        <v>40</v>
      </c>
      <c r="J670" s="4" t="n">
        <v>42</v>
      </c>
      <c r="K670" t="inlineStr">
        <is>
          <t>7 / 35</t>
        </is>
      </c>
      <c r="L670" t="inlineStr">
        <is>
          <t>1 / 10</t>
        </is>
      </c>
      <c r="M670" s="5" t="n">
        <v>0.17</v>
      </c>
      <c r="N670" s="5" t="n">
        <v>0.09</v>
      </c>
    </row>
    <row r="671">
      <c r="A671" t="n">
        <v>670</v>
      </c>
      <c r="B671" t="n">
        <v>2012</v>
      </c>
      <c r="C671" t="inlineStr">
        <is>
          <t>Emma Gao</t>
        </is>
      </c>
      <c r="D671">
        <f>HYPERLINK("https://ota.tournamentsoftware.com/player-profile/C88BC343-3DFB-493C-85F2-14F8A90F6D68", "Link")</f>
        <v/>
      </c>
      <c r="E671" s="3" t="n">
        <v>27.439</v>
      </c>
      <c r="F671" s="4" t="n">
        <v>3</v>
      </c>
      <c r="G671" t="inlineStr">
        <is>
          <t>British Columbia</t>
        </is>
      </c>
      <c r="H671" t="inlineStr">
        <is>
          <t>Tennis for Life</t>
        </is>
      </c>
      <c r="I671" t="inlineStr">
        <is>
          <t>unavailable</t>
        </is>
      </c>
      <c r="J671" s="4" t="n">
        <v>33</v>
      </c>
      <c r="K671" t="inlineStr">
        <is>
          <t>9 / 24</t>
        </is>
      </c>
      <c r="L671" t="inlineStr">
        <is>
          <t>0 / 5</t>
        </is>
      </c>
      <c r="M671" s="5" t="n">
        <v>0.27</v>
      </c>
      <c r="N671" s="5" t="n">
        <v>0</v>
      </c>
    </row>
    <row r="672">
      <c r="A672" t="n">
        <v>671</v>
      </c>
      <c r="B672" t="n">
        <v>2016</v>
      </c>
      <c r="C672" t="inlineStr">
        <is>
          <t>Yuetian Caroline Guo</t>
        </is>
      </c>
      <c r="D672">
        <f>HYPERLINK("https://ota.tournamentsoftware.com/player-profile/D9EEB088-31A0-4FD1-A91B-A82319998935", "Link")</f>
        <v/>
      </c>
      <c r="E672" s="3" t="n">
        <v>27.299</v>
      </c>
      <c r="F672" s="4" t="n">
        <v>11</v>
      </c>
      <c r="G672" t="inlineStr">
        <is>
          <t>British Columbia</t>
        </is>
      </c>
      <c r="H672" t="inlineStr">
        <is>
          <t>The Tennis Centre</t>
        </is>
      </c>
      <c r="I672" t="n">
        <v>37.2</v>
      </c>
      <c r="J672" s="4" t="n">
        <v>105</v>
      </c>
      <c r="K672" t="inlineStr">
        <is>
          <t>59 / 46</t>
        </is>
      </c>
      <c r="L672" t="inlineStr">
        <is>
          <t>29 / 20</t>
        </is>
      </c>
      <c r="M672" s="5" t="n">
        <v>0.5600000000000001</v>
      </c>
      <c r="N672" s="5" t="n">
        <v>0.59</v>
      </c>
    </row>
    <row r="673">
      <c r="A673" t="n">
        <v>672</v>
      </c>
      <c r="B673" t="n">
        <v>2012</v>
      </c>
      <c r="C673" t="inlineStr">
        <is>
          <t>Adelaide Morgan</t>
        </is>
      </c>
      <c r="D673">
        <f>HYPERLINK("https://ota.tournamentsoftware.com/player-profile/349677AB-87B2-407B-BDFF-04EE8550EE87", "Link")</f>
        <v/>
      </c>
      <c r="E673" s="3" t="n">
        <v>27.259</v>
      </c>
      <c r="F673" s="4" t="n">
        <v>2</v>
      </c>
      <c r="G673" t="inlineStr">
        <is>
          <t>Ontario Tennis Association</t>
        </is>
      </c>
      <c r="H673" t="inlineStr">
        <is>
          <t>Eglinton Flats Winter Tennis Club</t>
        </is>
      </c>
      <c r="I673" t="inlineStr">
        <is>
          <t>unavailable</t>
        </is>
      </c>
      <c r="J673" s="4" t="n">
        <v>17</v>
      </c>
      <c r="K673" t="inlineStr">
        <is>
          <t>5 / 12</t>
        </is>
      </c>
      <c r="L673" t="inlineStr">
        <is>
          <t>0 / 6</t>
        </is>
      </c>
      <c r="M673" s="5" t="n">
        <v>0.29</v>
      </c>
      <c r="N673" s="5" t="n">
        <v>0</v>
      </c>
    </row>
    <row r="674">
      <c r="A674" t="n">
        <v>673</v>
      </c>
      <c r="B674" t="n">
        <v>2016</v>
      </c>
      <c r="C674" t="inlineStr">
        <is>
          <t>Emma Yu</t>
        </is>
      </c>
      <c r="D674">
        <f>HYPERLINK("https://ota.tournamentsoftware.com/player-profile/08E91FF6-D5E8-42FC-9B0D-2002B0263706", "Link")</f>
        <v/>
      </c>
      <c r="E674" s="3" t="n">
        <v>27</v>
      </c>
      <c r="F674" s="4" t="n">
        <v>5</v>
      </c>
      <c r="G674" t="inlineStr">
        <is>
          <t>Tennis Nova Scotia</t>
        </is>
      </c>
      <c r="H674" t="inlineStr">
        <is>
          <t>Atlantic Tennis Centre</t>
        </is>
      </c>
      <c r="I674" t="n">
        <v>36</v>
      </c>
      <c r="J674" s="4" t="n">
        <v>41</v>
      </c>
      <c r="K674" t="inlineStr">
        <is>
          <t>24 / 17</t>
        </is>
      </c>
      <c r="L674" t="inlineStr">
        <is>
          <t>16 / 6</t>
        </is>
      </c>
      <c r="M674" s="5" t="n">
        <v>0.59</v>
      </c>
      <c r="N674" s="5" t="n">
        <v>0.73</v>
      </c>
    </row>
    <row r="675">
      <c r="A675" t="n">
        <v>674</v>
      </c>
      <c r="B675" t="n">
        <v>2012</v>
      </c>
      <c r="C675" t="inlineStr">
        <is>
          <t>Tallulah Oakes</t>
        </is>
      </c>
      <c r="D675">
        <f>HYPERLINK("https://ota.tournamentsoftware.com/player-profile/B5372F0A-C15A-4DDD-A97C-9E3BACE4A05E", "Link")</f>
        <v/>
      </c>
      <c r="E675" s="3" t="n">
        <v>26.613</v>
      </c>
      <c r="F675" s="4" t="n">
        <v>2</v>
      </c>
      <c r="G675" t="inlineStr">
        <is>
          <t>British Columbia</t>
        </is>
      </c>
      <c r="H675" t="inlineStr">
        <is>
          <t>Hollyburn Country Club</t>
        </is>
      </c>
      <c r="I675" t="n">
        <v>35.4</v>
      </c>
      <c r="J675" s="4" t="n">
        <v>72</v>
      </c>
      <c r="K675" t="inlineStr">
        <is>
          <t>27 / 45</t>
        </is>
      </c>
      <c r="L675" t="inlineStr">
        <is>
          <t>1 / 2</t>
        </is>
      </c>
      <c r="M675" s="5" t="n">
        <v>0.38</v>
      </c>
      <c r="N675" s="5" t="n">
        <v>0.33</v>
      </c>
    </row>
    <row r="676">
      <c r="A676" t="n">
        <v>675</v>
      </c>
      <c r="B676" t="n">
        <v>2012</v>
      </c>
      <c r="C676" t="inlineStr">
        <is>
          <t>Kira Karstoff</t>
        </is>
      </c>
      <c r="D676">
        <f>HYPERLINK("https://ota.tournamentsoftware.com/player-profile/1755679B-A50B-4F8F-B603-0578043F7638", "Link")</f>
        <v/>
      </c>
      <c r="E676" s="3" t="n">
        <v>26.611</v>
      </c>
      <c r="F676" s="4" t="n">
        <v>2</v>
      </c>
      <c r="G676" t="inlineStr">
        <is>
          <t>Ontario Tennis Association</t>
        </is>
      </c>
      <c r="H676" t="inlineStr">
        <is>
          <t>Toronto Cricket Skating &amp; Curling</t>
        </is>
      </c>
      <c r="I676" t="inlineStr">
        <is>
          <t>unavailable</t>
        </is>
      </c>
      <c r="J676" s="4" t="n">
        <v>48</v>
      </c>
      <c r="K676" t="inlineStr">
        <is>
          <t>21 / 27</t>
        </is>
      </c>
      <c r="L676" t="inlineStr">
        <is>
          <t>2 / 4</t>
        </is>
      </c>
      <c r="M676" s="5" t="n">
        <v>0.44</v>
      </c>
      <c r="N676" s="5" t="n">
        <v>0.33</v>
      </c>
    </row>
    <row r="677">
      <c r="A677" t="n">
        <v>676</v>
      </c>
      <c r="B677" t="n">
        <v>2013</v>
      </c>
      <c r="C677" t="inlineStr">
        <is>
          <t>Soély Expérience</t>
        </is>
      </c>
      <c r="D677">
        <f>HYPERLINK("https://ota.tournamentsoftware.com/player-profile/91892DC4-7E0E-400F-96DB-9DFFCE855771", "Link")</f>
        <v/>
      </c>
      <c r="E677" s="3" t="n">
        <v>26.568</v>
      </c>
      <c r="F677" s="4" t="n">
        <v>1</v>
      </c>
      <c r="G677" t="inlineStr">
        <is>
          <t>Tennis Québec</t>
        </is>
      </c>
      <c r="H677" t="inlineStr">
        <is>
          <t>Tennis Montréal Excellence</t>
        </is>
      </c>
      <c r="I677" t="n">
        <v>32.8</v>
      </c>
      <c r="J677" s="4" t="n">
        <v>163</v>
      </c>
      <c r="K677" t="inlineStr">
        <is>
          <t>95 / 68</t>
        </is>
      </c>
      <c r="L677" t="inlineStr">
        <is>
          <t>0 / 1</t>
        </is>
      </c>
      <c r="M677" s="5" t="n">
        <v>0.58</v>
      </c>
      <c r="N677" s="5" t="n">
        <v>0</v>
      </c>
    </row>
    <row r="678">
      <c r="A678" t="n">
        <v>676</v>
      </c>
      <c r="B678" t="n">
        <v>2013</v>
      </c>
      <c r="C678" t="inlineStr">
        <is>
          <t>Mayssa Maddouri</t>
        </is>
      </c>
      <c r="D678">
        <f>HYPERLINK("https://ota.tournamentsoftware.com/player-profile/911D4DB6-C985-4A43-8264-359A0386F2C5", "Link")</f>
        <v/>
      </c>
      <c r="E678" s="3" t="n">
        <v>26.568</v>
      </c>
      <c r="F678" s="4" t="n">
        <v>2</v>
      </c>
      <c r="G678" t="inlineStr">
        <is>
          <t>Tennis Québec</t>
        </is>
      </c>
      <c r="H678" t="inlineStr">
        <is>
          <t>EB Tennis inc.</t>
        </is>
      </c>
      <c r="I678" t="inlineStr">
        <is>
          <t>unavailable</t>
        </is>
      </c>
      <c r="J678" s="4" t="n">
        <v>3</v>
      </c>
      <c r="K678" t="inlineStr">
        <is>
          <t>0 / 3</t>
        </is>
      </c>
      <c r="L678" t="inlineStr">
        <is>
          <t>0 / 3</t>
        </is>
      </c>
      <c r="M678" s="5" t="n">
        <v>0</v>
      </c>
      <c r="N678" s="5" t="n">
        <v>0</v>
      </c>
    </row>
    <row r="679">
      <c r="A679" t="n">
        <v>678</v>
      </c>
      <c r="B679" t="n">
        <v>2012</v>
      </c>
      <c r="C679" t="inlineStr">
        <is>
          <t>Juanita Valeria Ruiz</t>
        </is>
      </c>
      <c r="D679">
        <f>HYPERLINK("https://ota.tournamentsoftware.com/player-profile/60CB93B1-F620-4737-8F49-B06F794F4103", "Link")</f>
        <v/>
      </c>
      <c r="E679" s="3" t="n">
        <v>26.426</v>
      </c>
      <c r="F679" s="4" t="n">
        <v>2</v>
      </c>
      <c r="G679" t="inlineStr">
        <is>
          <t>Ontario Tennis Association</t>
        </is>
      </c>
      <c r="H679" t="inlineStr">
        <is>
          <t>No Club</t>
        </is>
      </c>
      <c r="I679" t="inlineStr">
        <is>
          <t>unavailable</t>
        </is>
      </c>
      <c r="J679" s="4" t="n">
        <v>69</v>
      </c>
      <c r="K679" t="inlineStr">
        <is>
          <t>26 / 43</t>
        </is>
      </c>
      <c r="L679" t="inlineStr">
        <is>
          <t>0 / 0</t>
        </is>
      </c>
      <c r="M679" s="5" t="n">
        <v>0.38</v>
      </c>
      <c r="N679" s="5" t="n">
        <v>0</v>
      </c>
    </row>
    <row r="680">
      <c r="A680" t="n">
        <v>679</v>
      </c>
      <c r="B680" t="n">
        <v>2012</v>
      </c>
      <c r="C680" t="inlineStr">
        <is>
          <t>Erica Amy Els</t>
        </is>
      </c>
      <c r="D680">
        <f>HYPERLINK("https://ota.tournamentsoftware.com/player-profile/2D6CC49A-BAE5-4768-9244-8FB4F1D2CABC", "Link")</f>
        <v/>
      </c>
      <c r="E680" s="3" t="n">
        <v>26.417</v>
      </c>
      <c r="F680" s="4" t="n">
        <v>5</v>
      </c>
      <c r="G680" t="inlineStr">
        <is>
          <t>Tennis Alberta</t>
        </is>
      </c>
      <c r="H680" t="inlineStr">
        <is>
          <t>No Club</t>
        </is>
      </c>
      <c r="I680" t="n">
        <v>39.2</v>
      </c>
      <c r="J680" s="4" t="n">
        <v>9</v>
      </c>
      <c r="K680" t="inlineStr">
        <is>
          <t>1 / 8</t>
        </is>
      </c>
      <c r="L680" t="inlineStr">
        <is>
          <t>1 / 8</t>
        </is>
      </c>
      <c r="M680" s="5" t="n">
        <v>0.11</v>
      </c>
      <c r="N680" s="5" t="n">
        <v>0.11</v>
      </c>
    </row>
    <row r="681">
      <c r="A681" t="n">
        <v>680</v>
      </c>
      <c r="B681" t="n">
        <v>2013</v>
      </c>
      <c r="C681" t="inlineStr">
        <is>
          <t>Kate Lalli</t>
        </is>
      </c>
      <c r="D681">
        <f>HYPERLINK("https://ota.tournamentsoftware.com/player-profile/37A0CF8B-C4DF-49F1-946F-E349A3E42015", "Link")</f>
        <v/>
      </c>
      <c r="E681" s="3" t="n">
        <v>26.327</v>
      </c>
      <c r="F681" s="4" t="n">
        <v>3</v>
      </c>
      <c r="G681" t="inlineStr">
        <is>
          <t>Tennis Québec</t>
        </is>
      </c>
      <c r="H681" t="inlineStr">
        <is>
          <t>No Club</t>
        </is>
      </c>
      <c r="I681" t="n">
        <v>37.6</v>
      </c>
      <c r="J681" s="4" t="n">
        <v>15</v>
      </c>
      <c r="K681" t="inlineStr">
        <is>
          <t>4 / 11</t>
        </is>
      </c>
      <c r="L681" t="inlineStr">
        <is>
          <t>1 / 6</t>
        </is>
      </c>
      <c r="M681" s="5" t="n">
        <v>0.27</v>
      </c>
      <c r="N681" s="5" t="n">
        <v>0.14</v>
      </c>
    </row>
    <row r="682">
      <c r="A682" t="n">
        <v>681</v>
      </c>
      <c r="B682" t="n">
        <v>2014</v>
      </c>
      <c r="C682" t="inlineStr">
        <is>
          <t>Audrey Lu</t>
        </is>
      </c>
      <c r="D682">
        <f>HYPERLINK("https://ota.tournamentsoftware.com/player-profile/01588371-7322-467B-AA75-DDD8230D1899", "Link")</f>
        <v/>
      </c>
      <c r="E682" s="3" t="n">
        <v>26.154</v>
      </c>
      <c r="F682" s="4" t="n">
        <v>6</v>
      </c>
      <c r="G682" t="inlineStr">
        <is>
          <t>Ontario Tennis Association</t>
        </is>
      </c>
      <c r="H682" t="inlineStr">
        <is>
          <t>Toronto Cricket Skating &amp; Curling</t>
        </is>
      </c>
      <c r="I682" t="inlineStr">
        <is>
          <t>unavailable</t>
        </is>
      </c>
      <c r="J682" s="4" t="n">
        <v>24</v>
      </c>
      <c r="K682" t="inlineStr">
        <is>
          <t>10 / 14</t>
        </is>
      </c>
      <c r="L682" t="inlineStr">
        <is>
          <t>10 / 11</t>
        </is>
      </c>
      <c r="M682" s="5" t="n">
        <v>0.42</v>
      </c>
      <c r="N682" s="5" t="n">
        <v>0.48</v>
      </c>
    </row>
    <row r="683">
      <c r="A683" t="n">
        <v>682</v>
      </c>
      <c r="B683" t="n">
        <v>2015</v>
      </c>
      <c r="C683" t="inlineStr">
        <is>
          <t>Isadora Xu</t>
        </is>
      </c>
      <c r="D683">
        <f>HYPERLINK("https://ota.tournamentsoftware.com/player-profile/78173253-32AB-4E0D-8618-AEF874C973EC", "Link")</f>
        <v/>
      </c>
      <c r="E683" s="3" t="n">
        <v>25.746</v>
      </c>
      <c r="F683" s="4" t="n">
        <v>11</v>
      </c>
      <c r="G683" t="inlineStr">
        <is>
          <t>British Columbia</t>
        </is>
      </c>
      <c r="H683" t="inlineStr">
        <is>
          <t>Arbutus Club</t>
        </is>
      </c>
      <c r="I683" t="n">
        <v>39.3</v>
      </c>
      <c r="J683" s="4" t="n">
        <v>46</v>
      </c>
      <c r="K683" t="inlineStr">
        <is>
          <t>19 / 27</t>
        </is>
      </c>
      <c r="L683" t="inlineStr">
        <is>
          <t>15 / 21</t>
        </is>
      </c>
      <c r="M683" s="5" t="n">
        <v>0.41</v>
      </c>
      <c r="N683" s="5" t="n">
        <v>0.42</v>
      </c>
    </row>
    <row r="684">
      <c r="A684" t="n">
        <v>683</v>
      </c>
      <c r="B684" t="n">
        <v>2012</v>
      </c>
      <c r="C684" t="inlineStr">
        <is>
          <t>Harper Van Beveren</t>
        </is>
      </c>
      <c r="D684">
        <f>HYPERLINK("https://ota.tournamentsoftware.com/player-profile/5981FBA6-1FF9-4CF8-8DE2-DDB8BFEA4094", "Link")</f>
        <v/>
      </c>
      <c r="E684" s="3" t="n">
        <v>25.531</v>
      </c>
      <c r="F684" s="4" t="n">
        <v>2</v>
      </c>
      <c r="G684" t="inlineStr">
        <is>
          <t>Ontario Tennis Association</t>
        </is>
      </c>
      <c r="H684" t="inlineStr">
        <is>
          <t>Rosedale Tennis Club (Hamilton)</t>
        </is>
      </c>
      <c r="I684" t="inlineStr">
        <is>
          <t>unavailable</t>
        </is>
      </c>
      <c r="J684" s="4" t="n">
        <v>16</v>
      </c>
      <c r="K684" t="inlineStr">
        <is>
          <t>5 / 11</t>
        </is>
      </c>
      <c r="L684" t="inlineStr">
        <is>
          <t>1 / 1</t>
        </is>
      </c>
      <c r="M684" s="5" t="n">
        <v>0.31</v>
      </c>
      <c r="N684" s="5" t="n">
        <v>0.5</v>
      </c>
    </row>
    <row r="685">
      <c r="A685" t="n">
        <v>684</v>
      </c>
      <c r="B685" t="n">
        <v>2014</v>
      </c>
      <c r="C685" t="inlineStr">
        <is>
          <t>kunyou Guan</t>
        </is>
      </c>
      <c r="D685">
        <f>HYPERLINK("https://ota.tournamentsoftware.com/player-profile/1F3E9C6C-8AD9-4B0B-B88C-410B372DBAF5", "Link")</f>
        <v/>
      </c>
      <c r="E685" s="3" t="n">
        <v>25.267</v>
      </c>
      <c r="F685" s="4" t="n">
        <v>6</v>
      </c>
      <c r="G685" t="inlineStr">
        <is>
          <t>Ontario Tennis Association</t>
        </is>
      </c>
      <c r="H685" t="inlineStr">
        <is>
          <t>Mayfair West Fitness &amp; Racquet Club</t>
        </is>
      </c>
      <c r="I685" t="n">
        <v>37.5</v>
      </c>
      <c r="J685" s="4" t="n">
        <v>38</v>
      </c>
      <c r="K685" t="inlineStr">
        <is>
          <t>19 / 19</t>
        </is>
      </c>
      <c r="L685" t="inlineStr">
        <is>
          <t>6 / 8</t>
        </is>
      </c>
      <c r="M685" s="5" t="n">
        <v>0.5</v>
      </c>
      <c r="N685" s="5" t="n">
        <v>0.43</v>
      </c>
    </row>
    <row r="686">
      <c r="A686" t="n">
        <v>685</v>
      </c>
      <c r="B686" t="n">
        <v>2014</v>
      </c>
      <c r="C686" t="inlineStr">
        <is>
          <t>Mia Krusarovski</t>
        </is>
      </c>
      <c r="D686">
        <f>HYPERLINK("https://ota.tournamentsoftware.com/player-profile/BE8F67EB-3C85-4EE8-8915-58C34DCD86C7", "Link")</f>
        <v/>
      </c>
      <c r="E686" s="3" t="n">
        <v>25.17</v>
      </c>
      <c r="F686" s="4" t="n">
        <v>3</v>
      </c>
      <c r="G686" t="inlineStr">
        <is>
          <t>Ontario Tennis Association</t>
        </is>
      </c>
      <c r="H686" t="inlineStr">
        <is>
          <t>Zekelman Tennis Centre</t>
        </is>
      </c>
      <c r="I686" t="n">
        <v>34.8</v>
      </c>
      <c r="J686" s="4" t="n">
        <v>16</v>
      </c>
      <c r="K686" t="inlineStr">
        <is>
          <t>5 / 11</t>
        </is>
      </c>
      <c r="L686" t="inlineStr">
        <is>
          <t>4 / 2</t>
        </is>
      </c>
      <c r="M686" s="5" t="n">
        <v>0.31</v>
      </c>
      <c r="N686" s="5" t="n">
        <v>0.67</v>
      </c>
    </row>
    <row r="687">
      <c r="A687" t="n">
        <v>686</v>
      </c>
      <c r="B687" t="n">
        <v>2014</v>
      </c>
      <c r="C687" t="inlineStr">
        <is>
          <t>Adrianna Rajchel</t>
        </is>
      </c>
      <c r="D687">
        <f>HYPERLINK("https://ota.tournamentsoftware.com/player-profile/CF345FA9-9F2F-4BDB-8B66-131A15D8B231", "Link")</f>
        <v/>
      </c>
      <c r="E687" s="3" t="n">
        <v>24.832</v>
      </c>
      <c r="F687" s="4" t="n">
        <v>3</v>
      </c>
      <c r="G687" t="inlineStr">
        <is>
          <t>Ontario Tennis Association</t>
        </is>
      </c>
      <c r="H687" t="inlineStr">
        <is>
          <t>Carleton Tennis Centre</t>
        </is>
      </c>
      <c r="I687" t="n">
        <v>38.5</v>
      </c>
      <c r="J687" s="4" t="n">
        <v>15</v>
      </c>
      <c r="K687" t="inlineStr">
        <is>
          <t>4 / 11</t>
        </is>
      </c>
      <c r="L687" t="inlineStr">
        <is>
          <t>1 / 3</t>
        </is>
      </c>
      <c r="M687" s="5" t="n">
        <v>0.27</v>
      </c>
      <c r="N687" s="5" t="n">
        <v>0.25</v>
      </c>
    </row>
    <row r="688">
      <c r="A688" t="n">
        <v>687</v>
      </c>
      <c r="B688" t="n">
        <v>2013</v>
      </c>
      <c r="C688" t="inlineStr">
        <is>
          <t>Seher Sharma</t>
        </is>
      </c>
      <c r="D688">
        <f>HYPERLINK("https://ota.tournamentsoftware.com/player-profile/383B0843-9E5F-4A01-8304-C01EA147B7A2", "Link")</f>
        <v/>
      </c>
      <c r="E688" s="3" t="n">
        <v>24.524</v>
      </c>
      <c r="F688" s="4" t="n">
        <v>2</v>
      </c>
      <c r="G688" t="inlineStr">
        <is>
          <t>Ontario Tennis Association</t>
        </is>
      </c>
      <c r="H688" t="inlineStr">
        <is>
          <t>Glendale Tennis Club</t>
        </is>
      </c>
      <c r="I688" t="inlineStr">
        <is>
          <t>unavailable</t>
        </is>
      </c>
      <c r="J688" s="4" t="n">
        <v>17</v>
      </c>
      <c r="K688" t="inlineStr">
        <is>
          <t>4 / 13</t>
        </is>
      </c>
      <c r="L688" t="inlineStr">
        <is>
          <t>0 / 4</t>
        </is>
      </c>
      <c r="M688" s="5" t="n">
        <v>0.24</v>
      </c>
      <c r="N688" s="5" t="n">
        <v>0</v>
      </c>
    </row>
    <row r="689">
      <c r="A689" t="n">
        <v>688</v>
      </c>
      <c r="B689" t="n">
        <v>2015</v>
      </c>
      <c r="C689" t="inlineStr">
        <is>
          <t>Milana Maor</t>
        </is>
      </c>
      <c r="D689">
        <f>HYPERLINK("https://ota.tournamentsoftware.com/player-profile/EFC2E194-22E1-4017-A2E8-0B41E7DB9101", "Link")</f>
        <v/>
      </c>
      <c r="E689" s="3" t="n">
        <v>24.474</v>
      </c>
      <c r="F689" s="4" t="n">
        <v>7</v>
      </c>
      <c r="G689" t="inlineStr">
        <is>
          <t>Ontario Tennis Association</t>
        </is>
      </c>
      <c r="H689" t="inlineStr">
        <is>
          <t>No Club</t>
        </is>
      </c>
      <c r="I689" t="n">
        <v>37</v>
      </c>
      <c r="J689" s="4" t="n">
        <v>56</v>
      </c>
      <c r="K689" t="inlineStr">
        <is>
          <t>23 / 33</t>
        </is>
      </c>
      <c r="L689" t="inlineStr">
        <is>
          <t>6 / 14</t>
        </is>
      </c>
      <c r="M689" s="5" t="n">
        <v>0.41</v>
      </c>
      <c r="N689" s="5" t="n">
        <v>0.3</v>
      </c>
    </row>
    <row r="690">
      <c r="A690" t="n">
        <v>689</v>
      </c>
      <c r="B690" t="n">
        <v>2016</v>
      </c>
      <c r="C690" t="inlineStr">
        <is>
          <t>Ama Marie Elvira Kouadio</t>
        </is>
      </c>
      <c r="D690">
        <f>HYPERLINK("https://ota.tournamentsoftware.com/player-profile/25362040-6649-44FF-A97B-DDFA8FFF0B73", "Link")</f>
        <v/>
      </c>
      <c r="E690" s="3" t="n">
        <v>24.103</v>
      </c>
      <c r="F690" s="4" t="n">
        <v>2</v>
      </c>
      <c r="G690" t="inlineStr">
        <is>
          <t>Tennis Québec</t>
        </is>
      </c>
      <c r="H690" t="inlineStr">
        <is>
          <t>Carrefour Multisports</t>
        </is>
      </c>
      <c r="I690" t="n">
        <v>34.4</v>
      </c>
      <c r="J690" s="4" t="n">
        <v>65</v>
      </c>
      <c r="K690" t="inlineStr">
        <is>
          <t>41 / 24</t>
        </is>
      </c>
      <c r="L690" t="inlineStr">
        <is>
          <t>5 / 4</t>
        </is>
      </c>
      <c r="M690" s="5" t="n">
        <v>0.63</v>
      </c>
      <c r="N690" s="5" t="n">
        <v>0.5600000000000001</v>
      </c>
    </row>
    <row r="691">
      <c r="A691" t="n">
        <v>690</v>
      </c>
      <c r="B691" t="n">
        <v>2012</v>
      </c>
      <c r="C691" t="inlineStr">
        <is>
          <t>Naomi Lau</t>
        </is>
      </c>
      <c r="D691">
        <f>HYPERLINK("https://ota.tournamentsoftware.com/player-profile/0A97F4BF-4260-46FD-AB50-BFA06A31A239", "Link")</f>
        <v/>
      </c>
      <c r="E691" s="3" t="n">
        <v>24.089</v>
      </c>
      <c r="F691" s="4" t="n">
        <v>2</v>
      </c>
      <c r="G691" t="inlineStr">
        <is>
          <t>Ontario Tennis Association</t>
        </is>
      </c>
      <c r="H691" t="inlineStr">
        <is>
          <t>Central Tennis Club</t>
        </is>
      </c>
      <c r="I691" t="n">
        <v>37.2</v>
      </c>
      <c r="J691" s="4" t="n">
        <v>32</v>
      </c>
      <c r="K691" t="inlineStr">
        <is>
          <t>12 / 20</t>
        </is>
      </c>
      <c r="L691" t="inlineStr">
        <is>
          <t>6 / 6</t>
        </is>
      </c>
      <c r="M691" s="5" t="n">
        <v>0.38</v>
      </c>
      <c r="N691" s="5" t="n">
        <v>0.5</v>
      </c>
    </row>
    <row r="692">
      <c r="A692" t="n">
        <v>691</v>
      </c>
      <c r="B692" t="n">
        <v>2015</v>
      </c>
      <c r="C692" t="inlineStr">
        <is>
          <t>Diana Troitska</t>
        </is>
      </c>
      <c r="D692">
        <f>HYPERLINK("https://ota.tournamentsoftware.com/player-profile/6F22C01B-A1B6-4624-8606-C4D0FEB24026", "Link")</f>
        <v/>
      </c>
      <c r="E692" s="3" t="n">
        <v>23.546</v>
      </c>
      <c r="F692" s="4" t="n">
        <v>2</v>
      </c>
      <c r="G692" t="inlineStr">
        <is>
          <t>Tennis Québec</t>
        </is>
      </c>
      <c r="H692" t="inlineStr">
        <is>
          <t>No Club</t>
        </is>
      </c>
      <c r="I692" t="inlineStr">
        <is>
          <t>unavailable</t>
        </is>
      </c>
      <c r="J692" s="4" t="n">
        <v>13</v>
      </c>
      <c r="K692" t="inlineStr">
        <is>
          <t>2 / 11</t>
        </is>
      </c>
      <c r="L692" t="inlineStr">
        <is>
          <t>0 / 1</t>
        </is>
      </c>
      <c r="M692" s="5" t="n">
        <v>0.15</v>
      </c>
      <c r="N692" s="5" t="n">
        <v>0</v>
      </c>
    </row>
    <row r="693">
      <c r="A693" t="n">
        <v>692</v>
      </c>
      <c r="B693" t="n">
        <v>2012</v>
      </c>
      <c r="C693" t="inlineStr">
        <is>
          <t>Nika Yaghoubi</t>
        </is>
      </c>
      <c r="D693">
        <f>HYPERLINK("https://ota.tournamentsoftware.com/player-profile/D6970753-702D-4123-8798-708EAC6B7E32", "Link")</f>
        <v/>
      </c>
      <c r="E693" s="3" t="n">
        <v>23.448</v>
      </c>
      <c r="F693" s="4" t="n">
        <v>2</v>
      </c>
      <c r="G693" t="inlineStr">
        <is>
          <t>Tennis Alberta</t>
        </is>
      </c>
      <c r="H693" t="inlineStr">
        <is>
          <t>Saville Community Sports Centre</t>
        </is>
      </c>
      <c r="I693" t="n">
        <v>35.2</v>
      </c>
      <c r="J693" s="4" t="n">
        <v>12</v>
      </c>
      <c r="K693" t="inlineStr">
        <is>
          <t>6 / 6</t>
        </is>
      </c>
      <c r="L693" t="inlineStr">
        <is>
          <t>6 / 6</t>
        </is>
      </c>
      <c r="M693" s="5" t="n">
        <v>0.5</v>
      </c>
      <c r="N693" s="5" t="n">
        <v>0.5</v>
      </c>
    </row>
    <row r="694">
      <c r="A694" t="n">
        <v>693</v>
      </c>
      <c r="B694" t="n">
        <v>2015</v>
      </c>
      <c r="C694" t="inlineStr">
        <is>
          <t>Cassia Contreras</t>
        </is>
      </c>
      <c r="D694">
        <f>HYPERLINK("https://ota.tournamentsoftware.com/player-profile/84692E6B-274F-4FC9-9179-D4BC6F34FCEE", "Link")</f>
        <v/>
      </c>
      <c r="E694" s="3" t="n">
        <v>23.208</v>
      </c>
      <c r="F694" s="4" t="n">
        <v>4</v>
      </c>
      <c r="G694" t="inlineStr">
        <is>
          <t>Ontario Tennis Association</t>
        </is>
      </c>
      <c r="H694" t="inlineStr">
        <is>
          <t>Toronto Tennis Academy</t>
        </is>
      </c>
      <c r="I694" t="inlineStr">
        <is>
          <t>unavailable</t>
        </is>
      </c>
      <c r="J694" s="4" t="n">
        <v>50</v>
      </c>
      <c r="K694" t="inlineStr">
        <is>
          <t>18 / 32</t>
        </is>
      </c>
      <c r="L694" t="inlineStr">
        <is>
          <t>5 / 7</t>
        </is>
      </c>
      <c r="M694" s="5" t="n">
        <v>0.36</v>
      </c>
      <c r="N694" s="5" t="n">
        <v>0.42</v>
      </c>
    </row>
    <row r="695">
      <c r="A695" t="n">
        <v>694</v>
      </c>
      <c r="B695" t="n">
        <v>2015</v>
      </c>
      <c r="C695" t="inlineStr">
        <is>
          <t>Margot Couture</t>
        </is>
      </c>
      <c r="D695">
        <f>HYPERLINK("https://ota.tournamentsoftware.com/player-profile/7DE265DB-E3E6-4C4E-90BD-199DB99DCAEB", "Link")</f>
        <v/>
      </c>
      <c r="E695" s="3" t="n">
        <v>23.186</v>
      </c>
      <c r="F695" s="4" t="n">
        <v>5</v>
      </c>
      <c r="G695" t="inlineStr">
        <is>
          <t>Tennis Québec</t>
        </is>
      </c>
      <c r="H695" t="inlineStr">
        <is>
          <t>SANI Sport</t>
        </is>
      </c>
      <c r="I695" t="n">
        <v>38.1</v>
      </c>
      <c r="J695" s="4" t="n">
        <v>27</v>
      </c>
      <c r="K695" t="inlineStr">
        <is>
          <t>7 / 20</t>
        </is>
      </c>
      <c r="L695" t="inlineStr">
        <is>
          <t>2 / 5</t>
        </is>
      </c>
      <c r="M695" s="5" t="n">
        <v>0.26</v>
      </c>
      <c r="N695" s="5" t="n">
        <v>0.29</v>
      </c>
    </row>
    <row r="696">
      <c r="A696" t="n">
        <v>695</v>
      </c>
      <c r="B696" t="n">
        <v>2015</v>
      </c>
      <c r="C696" t="inlineStr">
        <is>
          <t>Eliana Green</t>
        </is>
      </c>
      <c r="D696">
        <f>HYPERLINK("https://ota.tournamentsoftware.com/player-profile/6AF8FC12-BD58-4E7C-B446-1CAAB9ADE85D", "Link")</f>
        <v/>
      </c>
      <c r="E696" s="3" t="n">
        <v>23.112</v>
      </c>
      <c r="F696" s="4" t="n">
        <v>1</v>
      </c>
      <c r="G696" t="inlineStr">
        <is>
          <t>Tennis Saskatchewan</t>
        </is>
      </c>
      <c r="H696" t="inlineStr">
        <is>
          <t>Lakeshore Tennis Club</t>
        </is>
      </c>
      <c r="I696" t="n">
        <v>38.1</v>
      </c>
      <c r="J696" s="4" t="n">
        <v>32</v>
      </c>
      <c r="K696" t="inlineStr">
        <is>
          <t>5 / 27</t>
        </is>
      </c>
      <c r="L696" t="inlineStr">
        <is>
          <t>2 / 4</t>
        </is>
      </c>
      <c r="M696" s="5" t="n">
        <v>0.16</v>
      </c>
      <c r="N696" s="5" t="n">
        <v>0.33</v>
      </c>
    </row>
    <row r="697">
      <c r="A697" t="n">
        <v>696</v>
      </c>
      <c r="B697" t="n">
        <v>2014</v>
      </c>
      <c r="C697" t="inlineStr">
        <is>
          <t>Dina Chakri</t>
        </is>
      </c>
      <c r="D697">
        <f>HYPERLINK("https://ota.tournamentsoftware.com/player-profile/8824FD85-93E3-4F7D-8968-FC836D77769D", "Link")</f>
        <v/>
      </c>
      <c r="E697" s="3" t="n">
        <v>22.953</v>
      </c>
      <c r="F697" s="4" t="n">
        <v>7</v>
      </c>
      <c r="G697" t="inlineStr">
        <is>
          <t>Tennis Québec</t>
        </is>
      </c>
      <c r="H697" t="inlineStr">
        <is>
          <t>Tennis 13</t>
        </is>
      </c>
      <c r="I697" t="n">
        <v>38.9</v>
      </c>
      <c r="J697" s="4" t="n">
        <v>10</v>
      </c>
      <c r="K697" t="inlineStr">
        <is>
          <t>2 / 8</t>
        </is>
      </c>
      <c r="L697" t="inlineStr">
        <is>
          <t>2 / 8</t>
        </is>
      </c>
      <c r="M697" s="5" t="n">
        <v>0.2</v>
      </c>
      <c r="N697" s="5" t="n">
        <v>0.2</v>
      </c>
    </row>
    <row r="698">
      <c r="A698" t="n">
        <v>697</v>
      </c>
      <c r="B698" t="n">
        <v>2014</v>
      </c>
      <c r="C698" t="inlineStr">
        <is>
          <t>Jasmine El Ouadi</t>
        </is>
      </c>
      <c r="D698">
        <f>HYPERLINK("https://ota.tournamentsoftware.com/player-profile/FBECFAB6-3ABF-4F1B-AD1C-230CB79A1119", "Link")</f>
        <v/>
      </c>
      <c r="E698" s="3" t="n">
        <v>22.903</v>
      </c>
      <c r="F698" s="4" t="n">
        <v>6</v>
      </c>
      <c r="G698" t="inlineStr">
        <is>
          <t>Tennis Alberta</t>
        </is>
      </c>
      <c r="H698" t="inlineStr">
        <is>
          <t>Calgary - Public</t>
        </is>
      </c>
      <c r="I698" t="n">
        <v>40</v>
      </c>
      <c r="J698" s="4" t="n">
        <v>11</v>
      </c>
      <c r="K698" t="inlineStr">
        <is>
          <t>0 / 11</t>
        </is>
      </c>
      <c r="L698" t="inlineStr">
        <is>
          <t>0 / 3</t>
        </is>
      </c>
      <c r="M698" s="5" t="n">
        <v>0</v>
      </c>
      <c r="N698" s="5" t="n">
        <v>0</v>
      </c>
    </row>
    <row r="699">
      <c r="A699" t="n">
        <v>698</v>
      </c>
      <c r="B699" t="n">
        <v>2015</v>
      </c>
      <c r="C699" t="inlineStr">
        <is>
          <t>Laila Hilmi</t>
        </is>
      </c>
      <c r="D699">
        <f>HYPERLINK("https://ota.tournamentsoftware.com/player-profile/73A707F1-78B1-45FE-A608-D2E6AA82EA8F", "Link")</f>
        <v/>
      </c>
      <c r="E699" s="3" t="n">
        <v>22.595</v>
      </c>
      <c r="F699" s="4" t="n">
        <v>3</v>
      </c>
      <c r="G699" t="inlineStr">
        <is>
          <t>Tennis Québec</t>
        </is>
      </c>
      <c r="H699" t="inlineStr">
        <is>
          <t>Tennis Montréal Excellence</t>
        </is>
      </c>
      <c r="I699" t="inlineStr">
        <is>
          <t>unavailable</t>
        </is>
      </c>
      <c r="J699" s="4" t="n">
        <v>46</v>
      </c>
      <c r="K699" t="inlineStr">
        <is>
          <t>13 / 33</t>
        </is>
      </c>
      <c r="L699" t="inlineStr">
        <is>
          <t>4 / 3</t>
        </is>
      </c>
      <c r="M699" s="5" t="n">
        <v>0.28</v>
      </c>
      <c r="N699" s="5" t="n">
        <v>0.57</v>
      </c>
    </row>
    <row r="700">
      <c r="A700" t="n">
        <v>699</v>
      </c>
      <c r="B700" t="n">
        <v>2012</v>
      </c>
      <c r="C700" t="inlineStr">
        <is>
          <t>Ruike Ni</t>
        </is>
      </c>
      <c r="D700">
        <f>HYPERLINK("https://ota.tournamentsoftware.com/player-profile/862000EB-CE8E-4CA2-BA1E-5441407CA2E5", "Link")</f>
        <v/>
      </c>
      <c r="E700" s="3" t="n">
        <v>22.464</v>
      </c>
      <c r="F700" s="4" t="n">
        <v>2</v>
      </c>
      <c r="G700" t="inlineStr">
        <is>
          <t>British Columbia</t>
        </is>
      </c>
      <c r="H700" t="inlineStr">
        <is>
          <t>Tennis for Life</t>
        </is>
      </c>
      <c r="I700" t="n">
        <v>38.5</v>
      </c>
      <c r="J700" s="4" t="n">
        <v>7</v>
      </c>
      <c r="K700" t="inlineStr">
        <is>
          <t>2 / 5</t>
        </is>
      </c>
      <c r="L700" t="inlineStr">
        <is>
          <t>0 / 2</t>
        </is>
      </c>
      <c r="M700" s="5" t="n">
        <v>0.29</v>
      </c>
      <c r="N700" s="5" t="n">
        <v>0</v>
      </c>
    </row>
    <row r="701">
      <c r="A701" t="n">
        <v>700</v>
      </c>
      <c r="B701" t="n">
        <v>2014</v>
      </c>
      <c r="C701" t="inlineStr">
        <is>
          <t>Ariella Naomi Shegelman</t>
        </is>
      </c>
      <c r="D701">
        <f>HYPERLINK("https://ota.tournamentsoftware.com/player-profile/F4A076BF-B4C6-4301-B22A-3E13FD483AD5", "Link")</f>
        <v/>
      </c>
      <c r="E701" s="3" t="n">
        <v>22.405</v>
      </c>
      <c r="F701" s="4" t="n">
        <v>3</v>
      </c>
      <c r="G701" t="inlineStr">
        <is>
          <t>Ontario Tennis Association</t>
        </is>
      </c>
      <c r="H701" t="inlineStr">
        <is>
          <t>Concord Tennis Academy</t>
        </is>
      </c>
      <c r="I701" t="n">
        <v>35.9</v>
      </c>
      <c r="J701" s="4" t="n">
        <v>28</v>
      </c>
      <c r="K701" t="inlineStr">
        <is>
          <t>14 / 14</t>
        </is>
      </c>
      <c r="L701" t="inlineStr">
        <is>
          <t>4 / 4</t>
        </is>
      </c>
      <c r="M701" s="5" t="n">
        <v>0.5</v>
      </c>
      <c r="N701" s="5" t="n">
        <v>0.5</v>
      </c>
    </row>
    <row r="702">
      <c r="A702" t="n">
        <v>701</v>
      </c>
      <c r="B702" t="n">
        <v>2015</v>
      </c>
      <c r="C702" t="inlineStr">
        <is>
          <t>Nalla Isabella Lteif</t>
        </is>
      </c>
      <c r="D702">
        <f>HYPERLINK("https://ota.tournamentsoftware.com/player-profile/B0DC1A2D-B87B-4E66-A5EE-9C9F6EC668D4", "Link")</f>
        <v/>
      </c>
      <c r="E702" s="3" t="n">
        <v>21.849</v>
      </c>
      <c r="F702" s="4" t="n">
        <v>4</v>
      </c>
      <c r="G702" t="inlineStr">
        <is>
          <t>Tennis Québec</t>
        </is>
      </c>
      <c r="H702" t="inlineStr">
        <is>
          <t>Carrefour Multisports</t>
        </is>
      </c>
      <c r="I702" t="n">
        <v>37.9</v>
      </c>
      <c r="J702" s="4" t="n">
        <v>12</v>
      </c>
      <c r="K702" t="inlineStr">
        <is>
          <t>5 / 7</t>
        </is>
      </c>
      <c r="L702" t="inlineStr">
        <is>
          <t>3 / 4</t>
        </is>
      </c>
      <c r="M702" s="5" t="n">
        <v>0.42</v>
      </c>
      <c r="N702" s="5" t="n">
        <v>0.43</v>
      </c>
    </row>
    <row r="703">
      <c r="A703" t="n">
        <v>702</v>
      </c>
      <c r="B703" t="n">
        <v>2015</v>
      </c>
      <c r="C703" t="inlineStr">
        <is>
          <t>Hannah Lewis</t>
        </is>
      </c>
      <c r="D703">
        <f>HYPERLINK("https://ota.tournamentsoftware.com/player-profile/B25290C5-DB82-4ED0-843D-33516AFF301F", "Link")</f>
        <v/>
      </c>
      <c r="E703" s="3" t="n">
        <v>21.645</v>
      </c>
      <c r="F703" s="4" t="n">
        <v>4</v>
      </c>
      <c r="G703" t="inlineStr">
        <is>
          <t>Ontario Tennis Association</t>
        </is>
      </c>
      <c r="H703" t="inlineStr">
        <is>
          <t>Tam Heather Tennis Club</t>
        </is>
      </c>
      <c r="I703" t="n">
        <v>38.9</v>
      </c>
      <c r="J703" s="4" t="n">
        <v>45</v>
      </c>
      <c r="K703" t="inlineStr">
        <is>
          <t>13 / 32</t>
        </is>
      </c>
      <c r="L703" t="inlineStr">
        <is>
          <t>12 / 15</t>
        </is>
      </c>
      <c r="M703" s="5" t="n">
        <v>0.29</v>
      </c>
      <c r="N703" s="5" t="n">
        <v>0.44</v>
      </c>
    </row>
    <row r="704">
      <c r="A704" t="n">
        <v>703</v>
      </c>
      <c r="B704" t="n">
        <v>2014</v>
      </c>
      <c r="C704" t="inlineStr">
        <is>
          <t>Camila Danielle Arias</t>
        </is>
      </c>
      <c r="D704">
        <f>HYPERLINK("https://ota.tournamentsoftware.com/player-profile/7E2B5B8F-95C7-4374-8F7F-D60E81CAB657", "Link")</f>
        <v/>
      </c>
      <c r="E704" s="3" t="n">
        <v>21.537</v>
      </c>
      <c r="F704" s="4" t="n">
        <v>6</v>
      </c>
      <c r="G704" t="inlineStr">
        <is>
          <t>Tennis Québec</t>
        </is>
      </c>
      <c r="H704" t="inlineStr">
        <is>
          <t>SANI Sport</t>
        </is>
      </c>
      <c r="I704" t="inlineStr">
        <is>
          <t>unavailable</t>
        </is>
      </c>
      <c r="J704" s="4" t="n">
        <v>40</v>
      </c>
      <c r="K704" t="inlineStr">
        <is>
          <t>13 / 27</t>
        </is>
      </c>
      <c r="L704" t="inlineStr">
        <is>
          <t>4 / 4</t>
        </is>
      </c>
      <c r="M704" s="5" t="n">
        <v>0.33</v>
      </c>
      <c r="N704" s="5" t="n">
        <v>0.5</v>
      </c>
    </row>
    <row r="705">
      <c r="A705" t="n">
        <v>704</v>
      </c>
      <c r="B705" t="n">
        <v>2016</v>
      </c>
      <c r="C705" t="inlineStr">
        <is>
          <t>Brielle Han</t>
        </is>
      </c>
      <c r="D705">
        <f>HYPERLINK("https://ota.tournamentsoftware.com/player-profile/76F58D78-6F14-462B-9C79-943F718FD16A", "Link")</f>
        <v/>
      </c>
      <c r="E705" s="3" t="n">
        <v>21.501</v>
      </c>
      <c r="F705" s="4" t="n">
        <v>9</v>
      </c>
      <c r="G705" t="inlineStr">
        <is>
          <t>British Columbia</t>
        </is>
      </c>
      <c r="H705" t="inlineStr">
        <is>
          <t>North Vancouver Tennis Centre</t>
        </is>
      </c>
      <c r="I705" t="inlineStr">
        <is>
          <t>unavailable</t>
        </is>
      </c>
      <c r="J705" s="4" t="n">
        <v>200</v>
      </c>
      <c r="K705" t="inlineStr">
        <is>
          <t>69 / 131</t>
        </is>
      </c>
      <c r="L705" t="inlineStr">
        <is>
          <t>21 / 19</t>
        </is>
      </c>
      <c r="M705" s="5" t="n">
        <v>0.34</v>
      </c>
      <c r="N705" s="5" t="n">
        <v>0.53</v>
      </c>
    </row>
    <row r="706">
      <c r="A706" t="n">
        <v>705</v>
      </c>
      <c r="B706" t="n">
        <v>2015</v>
      </c>
      <c r="C706" t="inlineStr">
        <is>
          <t>Élisa Deschatelets</t>
        </is>
      </c>
      <c r="D706">
        <f>HYPERLINK("https://ota.tournamentsoftware.com/player-profile/C5ECD0AF-5510-44E4-897A-6A3A4D73CDEF", "Link")</f>
        <v/>
      </c>
      <c r="E706" s="3" t="n">
        <v>21.501</v>
      </c>
      <c r="F706" s="4" t="n">
        <v>4</v>
      </c>
      <c r="G706" t="inlineStr">
        <is>
          <t>Tennis Québec</t>
        </is>
      </c>
      <c r="H706" t="inlineStr">
        <is>
          <t>Centre Récréatif Rock Forest / École Tennestrie</t>
        </is>
      </c>
      <c r="I706" t="n">
        <v>40</v>
      </c>
      <c r="J706" s="4" t="n">
        <v>25</v>
      </c>
      <c r="K706" t="inlineStr">
        <is>
          <t>4 / 21</t>
        </is>
      </c>
      <c r="L706" t="inlineStr">
        <is>
          <t>0 / 7</t>
        </is>
      </c>
      <c r="M706" s="5" t="n">
        <v>0.16</v>
      </c>
      <c r="N706" s="5" t="n">
        <v>0</v>
      </c>
    </row>
    <row r="707">
      <c r="A707" t="n">
        <v>706</v>
      </c>
      <c r="B707" t="n">
        <v>2015</v>
      </c>
      <c r="C707" t="inlineStr">
        <is>
          <t>Tara Sepahsalari</t>
        </is>
      </c>
      <c r="D707">
        <f>HYPERLINK("https://ota.tournamentsoftware.com/player-profile/EB26731B-07C8-4C3E-8214-7DD265D4A843", "Link")</f>
        <v/>
      </c>
      <c r="E707" s="3" t="n">
        <v>21.226</v>
      </c>
      <c r="F707" s="4" t="n">
        <v>5</v>
      </c>
      <c r="G707" t="inlineStr">
        <is>
          <t>Tennis Québec</t>
        </is>
      </c>
      <c r="H707" t="inlineStr">
        <is>
          <t>EB Tennis inc.</t>
        </is>
      </c>
      <c r="I707" t="n">
        <v>40</v>
      </c>
      <c r="J707" s="4" t="n">
        <v>33</v>
      </c>
      <c r="K707" t="inlineStr">
        <is>
          <t>5 / 28</t>
        </is>
      </c>
      <c r="L707" t="inlineStr">
        <is>
          <t>1 / 8</t>
        </is>
      </c>
      <c r="M707" s="5" t="n">
        <v>0.15</v>
      </c>
      <c r="N707" s="5" t="n">
        <v>0.11</v>
      </c>
    </row>
    <row r="708">
      <c r="A708" t="n">
        <v>707</v>
      </c>
      <c r="B708" t="n">
        <v>2012</v>
      </c>
      <c r="C708" t="inlineStr">
        <is>
          <t>Elise Landry</t>
        </is>
      </c>
      <c r="D708">
        <f>HYPERLINK("https://ota.tournamentsoftware.com/player-profile/E61A7837-F4EB-4DDA-B26F-2D7CE7910B80", "Link")</f>
        <v/>
      </c>
      <c r="E708" s="3" t="n">
        <v>20.99</v>
      </c>
      <c r="F708" s="4" t="n">
        <v>2</v>
      </c>
      <c r="G708" t="inlineStr">
        <is>
          <t>Ontario Tennis Association</t>
        </is>
      </c>
      <c r="H708" t="inlineStr">
        <is>
          <t>Toronto Tennis City</t>
        </is>
      </c>
      <c r="I708" t="inlineStr">
        <is>
          <t>unavailable</t>
        </is>
      </c>
      <c r="J708" s="4" t="n">
        <v>7</v>
      </c>
      <c r="K708" t="inlineStr">
        <is>
          <t>5 / 2</t>
        </is>
      </c>
      <c r="L708" t="inlineStr">
        <is>
          <t>5 / 2</t>
        </is>
      </c>
      <c r="M708" s="5" t="n">
        <v>0.71</v>
      </c>
      <c r="N708" s="5" t="n">
        <v>0.71</v>
      </c>
    </row>
    <row r="709">
      <c r="A709" t="n">
        <v>708</v>
      </c>
      <c r="B709" t="n">
        <v>2014</v>
      </c>
      <c r="C709" t="inlineStr">
        <is>
          <t>Marie Renaud</t>
        </is>
      </c>
      <c r="D709">
        <f>HYPERLINK("https://ota.tournamentsoftware.com/player-profile/9538BC58-3E12-400B-B7A6-AA4E495D60F5", "Link")</f>
        <v/>
      </c>
      <c r="E709" s="3" t="n">
        <v>20.916</v>
      </c>
      <c r="F709" s="4" t="n">
        <v>2</v>
      </c>
      <c r="G709" t="inlineStr">
        <is>
          <t>Tennis Québec</t>
        </is>
      </c>
      <c r="H709" t="inlineStr">
        <is>
          <t>Les Tennis de Rimouski (intérieur)</t>
        </is>
      </c>
      <c r="I709" t="inlineStr">
        <is>
          <t>unavailable</t>
        </is>
      </c>
      <c r="J709" s="4" t="n">
        <v>6</v>
      </c>
      <c r="K709" t="inlineStr">
        <is>
          <t>2 / 4</t>
        </is>
      </c>
      <c r="L709" t="inlineStr">
        <is>
          <t>2 / 4</t>
        </is>
      </c>
      <c r="M709" s="5" t="n">
        <v>0.33</v>
      </c>
      <c r="N709" s="5" t="n">
        <v>0.33</v>
      </c>
    </row>
    <row r="710">
      <c r="A710" t="n">
        <v>709</v>
      </c>
      <c r="B710" t="n">
        <v>2013</v>
      </c>
      <c r="C710" t="inlineStr">
        <is>
          <t>Vedika P Sant</t>
        </is>
      </c>
      <c r="D710">
        <f>HYPERLINK("https://ota.tournamentsoftware.com/player-profile/37441797-5F95-4518-997F-3F1602AC6E85", "Link")</f>
        <v/>
      </c>
      <c r="E710" s="3" t="n">
        <v>20.667</v>
      </c>
      <c r="F710" s="4" t="n">
        <v>1</v>
      </c>
      <c r="G710" t="inlineStr">
        <is>
          <t>Ontario Tennis Association</t>
        </is>
      </c>
      <c r="H710" t="inlineStr">
        <is>
          <t>Martingrove Tennis Club</t>
        </is>
      </c>
      <c r="I710" t="inlineStr">
        <is>
          <t>unavailable</t>
        </is>
      </c>
      <c r="J710" s="4" t="n">
        <v>8</v>
      </c>
      <c r="K710" t="inlineStr">
        <is>
          <t>2 / 6</t>
        </is>
      </c>
      <c r="L710" t="inlineStr">
        <is>
          <t>0 / 1</t>
        </is>
      </c>
      <c r="M710" s="5" t="n">
        <v>0.25</v>
      </c>
      <c r="N710" s="5" t="n">
        <v>0</v>
      </c>
    </row>
    <row r="711">
      <c r="A711" t="n">
        <v>710</v>
      </c>
      <c r="B711" t="n">
        <v>2016</v>
      </c>
      <c r="C711" t="inlineStr">
        <is>
          <t>Hazel Geng</t>
        </is>
      </c>
      <c r="D711">
        <f>HYPERLINK("https://ota.tournamentsoftware.com/player-profile/00BB4A74-B4FB-4FAC-B874-79D9E778FAAE", "Link")</f>
        <v/>
      </c>
      <c r="E711" s="3" t="n">
        <v>20.417</v>
      </c>
      <c r="F711" s="4" t="n">
        <v>4</v>
      </c>
      <c r="G711" t="inlineStr">
        <is>
          <t>British Columbia</t>
        </is>
      </c>
      <c r="H711" t="inlineStr">
        <is>
          <t>Vancouver Lawn Tennis and Badminton Club</t>
        </is>
      </c>
      <c r="I711" t="n">
        <v>36.1</v>
      </c>
      <c r="J711" s="4" t="n">
        <v>48</v>
      </c>
      <c r="K711" t="inlineStr">
        <is>
          <t>15 / 33</t>
        </is>
      </c>
      <c r="L711" t="inlineStr">
        <is>
          <t>8 / 5</t>
        </is>
      </c>
      <c r="M711" s="5" t="n">
        <v>0.31</v>
      </c>
      <c r="N711" s="5" t="n">
        <v>0.62</v>
      </c>
    </row>
    <row r="712">
      <c r="A712" t="n">
        <v>711</v>
      </c>
      <c r="B712" t="n">
        <v>2013</v>
      </c>
      <c r="C712" t="inlineStr">
        <is>
          <t>Rebecca Maria Marcu</t>
        </is>
      </c>
      <c r="D712">
        <f>HYPERLINK("https://ota.tournamentsoftware.com/player-profile/1A9DB997-6193-4975-8534-F68D4F83BF32", "Link")</f>
        <v/>
      </c>
      <c r="E712" s="3" t="n">
        <v>20.131</v>
      </c>
      <c r="F712" s="4" t="n">
        <v>2</v>
      </c>
      <c r="G712" t="inlineStr">
        <is>
          <t>Ontario Tennis Association</t>
        </is>
      </c>
      <c r="H712" t="inlineStr">
        <is>
          <t>National Capital Tennis Association</t>
        </is>
      </c>
      <c r="I712" t="inlineStr">
        <is>
          <t>unavailable</t>
        </is>
      </c>
      <c r="J712" s="4" t="n">
        <v>4</v>
      </c>
      <c r="K712" t="inlineStr">
        <is>
          <t>1 / 3</t>
        </is>
      </c>
      <c r="L712" t="inlineStr">
        <is>
          <t>0 / 2</t>
        </is>
      </c>
      <c r="M712" s="5" t="n">
        <v>0.25</v>
      </c>
      <c r="N712" s="5" t="n">
        <v>0</v>
      </c>
    </row>
    <row r="713">
      <c r="A713" t="n">
        <v>712</v>
      </c>
      <c r="B713" t="n">
        <v>2014</v>
      </c>
      <c r="C713" t="inlineStr">
        <is>
          <t>Cheryl Elizabeth Ong</t>
        </is>
      </c>
      <c r="D713">
        <f>HYPERLINK("https://ota.tournamentsoftware.com/player-profile/11AC4E6A-0B03-4BB4-ACB7-333E7FD9064F", "Link")</f>
        <v/>
      </c>
      <c r="E713" s="3" t="n">
        <v>20.052</v>
      </c>
      <c r="F713" s="4" t="n">
        <v>9</v>
      </c>
      <c r="G713" t="inlineStr">
        <is>
          <t>British Columbia</t>
        </is>
      </c>
      <c r="H713" t="inlineStr">
        <is>
          <t>Tennis for Life</t>
        </is>
      </c>
      <c r="I713" t="inlineStr">
        <is>
          <t>unavailable</t>
        </is>
      </c>
      <c r="J713" s="4" t="n">
        <v>38</v>
      </c>
      <c r="K713" t="inlineStr">
        <is>
          <t>11 / 27</t>
        </is>
      </c>
      <c r="L713" t="inlineStr">
        <is>
          <t>7 / 11</t>
        </is>
      </c>
      <c r="M713" s="5" t="n">
        <v>0.29</v>
      </c>
      <c r="N713" s="5" t="n">
        <v>0.39</v>
      </c>
    </row>
    <row r="714">
      <c r="A714" t="n">
        <v>713</v>
      </c>
      <c r="B714" t="n">
        <v>2012</v>
      </c>
      <c r="C714" t="inlineStr">
        <is>
          <t>Emily Chai</t>
        </is>
      </c>
      <c r="D714">
        <f>HYPERLINK("https://ota.tournamentsoftware.com/player-profile/0DE38792-F237-4087-A5C1-369B6A3E0088", "Link")</f>
        <v/>
      </c>
      <c r="E714" s="3" t="n">
        <v>19.958</v>
      </c>
      <c r="F714" s="4" t="n">
        <v>2</v>
      </c>
      <c r="G714" t="inlineStr">
        <is>
          <t>Ontario Tennis Association</t>
        </is>
      </c>
      <c r="H714" t="inlineStr">
        <is>
          <t>ON Tennis Toronto No Club</t>
        </is>
      </c>
      <c r="I714" t="n">
        <v>38.4</v>
      </c>
      <c r="J714" s="4" t="n">
        <v>7</v>
      </c>
      <c r="K714" t="inlineStr">
        <is>
          <t>1 / 6</t>
        </is>
      </c>
      <c r="L714" t="inlineStr">
        <is>
          <t>1 / 6</t>
        </is>
      </c>
      <c r="M714" s="5" t="n">
        <v>0.14</v>
      </c>
      <c r="N714" s="5" t="n">
        <v>0.14</v>
      </c>
    </row>
    <row r="715">
      <c r="A715" t="n">
        <v>714</v>
      </c>
      <c r="B715" t="n">
        <v>2014</v>
      </c>
      <c r="C715" t="inlineStr">
        <is>
          <t>Saisha Sharma</t>
        </is>
      </c>
      <c r="D715">
        <f>HYPERLINK("https://ota.tournamentsoftware.com/player-profile/4141EEE9-8372-4477-B6C4-DE0E9616249B", "Link")</f>
        <v/>
      </c>
      <c r="E715" s="3" t="n">
        <v>19.895</v>
      </c>
      <c r="F715" s="4" t="n">
        <v>4</v>
      </c>
      <c r="G715" t="inlineStr">
        <is>
          <t>Ontario Tennis Association</t>
        </is>
      </c>
      <c r="H715" t="inlineStr">
        <is>
          <t>Premier Racquet Clubs – Brampton</t>
        </is>
      </c>
      <c r="I715" t="n">
        <v>38.9</v>
      </c>
      <c r="J715" s="4" t="n">
        <v>20</v>
      </c>
      <c r="K715" t="inlineStr">
        <is>
          <t>11 / 9</t>
        </is>
      </c>
      <c r="L715" t="inlineStr">
        <is>
          <t>11 / 9</t>
        </is>
      </c>
      <c r="M715" s="5" t="n">
        <v>0.55</v>
      </c>
      <c r="N715" s="5" t="n">
        <v>0.55</v>
      </c>
    </row>
    <row r="716">
      <c r="A716" t="n">
        <v>715</v>
      </c>
      <c r="B716" t="n">
        <v>2012</v>
      </c>
      <c r="C716" t="inlineStr">
        <is>
          <t>Yulli Anne Tsang</t>
        </is>
      </c>
      <c r="D716">
        <f>HYPERLINK("https://ota.tournamentsoftware.com/player-profile/E8CCFA74-9017-45A2-B403-724A9977CD1E", "Link")</f>
        <v/>
      </c>
      <c r="E716" s="3" t="n">
        <v>19.768</v>
      </c>
      <c r="F716" s="4" t="n">
        <v>5</v>
      </c>
      <c r="G716" t="inlineStr">
        <is>
          <t>Tennis Alberta</t>
        </is>
      </c>
      <c r="H716" t="inlineStr">
        <is>
          <t>Derrick Golf &amp; Winter Club</t>
        </is>
      </c>
      <c r="I716" t="n">
        <v>35.9</v>
      </c>
      <c r="J716" s="4" t="n">
        <v>28</v>
      </c>
      <c r="K716" t="inlineStr">
        <is>
          <t>9 / 19</t>
        </is>
      </c>
      <c r="L716" t="inlineStr">
        <is>
          <t>4 / 8</t>
        </is>
      </c>
      <c r="M716" s="5" t="n">
        <v>0.32</v>
      </c>
      <c r="N716" s="5" t="n">
        <v>0.33</v>
      </c>
    </row>
    <row r="717">
      <c r="A717" t="n">
        <v>716</v>
      </c>
      <c r="B717" t="n">
        <v>2016</v>
      </c>
      <c r="C717" t="inlineStr">
        <is>
          <t>Heidi Liu</t>
        </is>
      </c>
      <c r="D717">
        <f>HYPERLINK("https://ota.tournamentsoftware.com/player-profile/E3F0466B-50E4-4105-A35A-1BB6B1C1C09C", "Link")</f>
        <v/>
      </c>
      <c r="E717" s="3" t="n">
        <v>19.65</v>
      </c>
      <c r="F717" s="4" t="n">
        <v>7</v>
      </c>
      <c r="G717" t="inlineStr">
        <is>
          <t>British Columbia</t>
        </is>
      </c>
      <c r="H717" t="inlineStr">
        <is>
          <t>UBC Tennis Centre</t>
        </is>
      </c>
      <c r="I717" t="n">
        <v>38</v>
      </c>
      <c r="J717" s="4" t="n">
        <v>79</v>
      </c>
      <c r="K717" t="inlineStr">
        <is>
          <t>45 / 34</t>
        </is>
      </c>
      <c r="L717" t="inlineStr">
        <is>
          <t>22 / 21</t>
        </is>
      </c>
      <c r="M717" s="5" t="n">
        <v>0.57</v>
      </c>
      <c r="N717" s="5" t="n">
        <v>0.51</v>
      </c>
    </row>
    <row r="718">
      <c r="A718" t="n">
        <v>717</v>
      </c>
      <c r="B718" t="n">
        <v>2015</v>
      </c>
      <c r="C718" t="inlineStr">
        <is>
          <t>Isla Cowper</t>
        </is>
      </c>
      <c r="D718">
        <f>HYPERLINK("https://ota.tournamentsoftware.com/player-profile/B4F82BC2-5552-446F-89FC-C5F7C7A674B7", "Link")</f>
        <v/>
      </c>
      <c r="E718" s="3" t="n">
        <v>19.629</v>
      </c>
      <c r="F718" s="4" t="n">
        <v>6</v>
      </c>
      <c r="G718" t="inlineStr">
        <is>
          <t>Ontario Tennis Association</t>
        </is>
      </c>
      <c r="H718" t="inlineStr">
        <is>
          <t>Tam Heather Tennis Club</t>
        </is>
      </c>
      <c r="I718" t="n">
        <v>39</v>
      </c>
      <c r="J718" s="4" t="n">
        <v>73</v>
      </c>
      <c r="K718" t="inlineStr">
        <is>
          <t>32 / 41</t>
        </is>
      </c>
      <c r="L718" t="inlineStr">
        <is>
          <t>12 / 17</t>
        </is>
      </c>
      <c r="M718" s="5" t="n">
        <v>0.44</v>
      </c>
      <c r="N718" s="5" t="n">
        <v>0.41</v>
      </c>
    </row>
    <row r="719">
      <c r="A719" t="n">
        <v>718</v>
      </c>
      <c r="B719" t="n">
        <v>2014</v>
      </c>
      <c r="C719" t="inlineStr">
        <is>
          <t>Mia Baker</t>
        </is>
      </c>
      <c r="D719">
        <f>HYPERLINK("https://ota.tournamentsoftware.com/player-profile/ABFF2DBE-5CD7-451A-B77E-526F2DB67DA2", "Link")</f>
        <v/>
      </c>
      <c r="E719" s="3" t="n">
        <v>19.588</v>
      </c>
      <c r="F719" s="4" t="n">
        <v>9</v>
      </c>
      <c r="G719" t="inlineStr">
        <is>
          <t>Tennis Québec</t>
        </is>
      </c>
      <c r="H719" t="inlineStr">
        <is>
          <t>SANI Sport</t>
        </is>
      </c>
      <c r="I719" t="n">
        <v>40</v>
      </c>
      <c r="J719" s="4" t="n">
        <v>59</v>
      </c>
      <c r="K719" t="inlineStr">
        <is>
          <t>2 / 57</t>
        </is>
      </c>
      <c r="L719" t="inlineStr">
        <is>
          <t>0 / 12</t>
        </is>
      </c>
      <c r="M719" s="5" t="n">
        <v>0.03</v>
      </c>
      <c r="N719" s="5" t="n">
        <v>0</v>
      </c>
    </row>
    <row r="720">
      <c r="A720" t="n">
        <v>719</v>
      </c>
      <c r="B720" t="n">
        <v>2017</v>
      </c>
      <c r="C720" t="inlineStr">
        <is>
          <t>Mackenzie Alexandra Greer</t>
        </is>
      </c>
      <c r="D720">
        <f>HYPERLINK("https://ota.tournamentsoftware.com/player-profile/E975EEBE-CD33-46CE-BFFF-1BB5A6FB8672", "Link")</f>
        <v/>
      </c>
      <c r="E720" s="3" t="n">
        <v>19.44</v>
      </c>
      <c r="F720" s="4" t="n">
        <v>3</v>
      </c>
      <c r="G720" t="inlineStr">
        <is>
          <t>Ontario Tennis Association</t>
        </is>
      </c>
      <c r="H720" t="inlineStr">
        <is>
          <t>Stefanovic Tennis Academy</t>
        </is>
      </c>
      <c r="I720" t="n">
        <v>37.2</v>
      </c>
      <c r="J720" s="4" t="n">
        <v>157</v>
      </c>
      <c r="K720" t="inlineStr">
        <is>
          <t>127 / 30</t>
        </is>
      </c>
      <c r="L720" t="inlineStr">
        <is>
          <t>83 / 12</t>
        </is>
      </c>
      <c r="M720" s="5" t="n">
        <v>0.8100000000000001</v>
      </c>
      <c r="N720" s="5" t="n">
        <v>0.87</v>
      </c>
    </row>
    <row r="721">
      <c r="A721" t="n">
        <v>720</v>
      </c>
      <c r="B721" t="n">
        <v>2014</v>
      </c>
      <c r="C721" t="inlineStr">
        <is>
          <t>Adele Cui</t>
        </is>
      </c>
      <c r="D721">
        <f>HYPERLINK("https://ota.tournamentsoftware.com/player-profile/E096F094-0386-4439-807E-E147F97C754F", "Link")</f>
        <v/>
      </c>
      <c r="E721" s="3" t="n">
        <v>19.024</v>
      </c>
      <c r="F721" s="4" t="n">
        <v>5</v>
      </c>
      <c r="G721" t="inlineStr">
        <is>
          <t>British Columbia</t>
        </is>
      </c>
      <c r="H721" t="inlineStr">
        <is>
          <t>UBC Tennis Centre</t>
        </is>
      </c>
      <c r="I721" t="n">
        <v>35.8</v>
      </c>
      <c r="J721" s="4" t="n">
        <v>80</v>
      </c>
      <c r="K721" t="inlineStr">
        <is>
          <t>46 / 34</t>
        </is>
      </c>
      <c r="L721" t="inlineStr">
        <is>
          <t>1 / 4</t>
        </is>
      </c>
      <c r="M721" s="5" t="n">
        <v>0.57</v>
      </c>
      <c r="N721" s="5" t="n">
        <v>0.2</v>
      </c>
    </row>
    <row r="722">
      <c r="A722" t="n">
        <v>721</v>
      </c>
      <c r="B722" t="n">
        <v>2014</v>
      </c>
      <c r="C722" t="inlineStr">
        <is>
          <t>Camilia Aroub</t>
        </is>
      </c>
      <c r="D722">
        <f>HYPERLINK("https://ota.tournamentsoftware.com/player-profile/7CE0472D-53F2-438D-B060-8BB037C14F01", "Link")</f>
        <v/>
      </c>
      <c r="E722" s="3" t="n">
        <v>18.866</v>
      </c>
      <c r="F722" s="4" t="n">
        <v>8</v>
      </c>
      <c r="G722" t="inlineStr">
        <is>
          <t>Tennis Québec</t>
        </is>
      </c>
      <c r="H722" t="inlineStr">
        <is>
          <t>Club Sportif Côte-de-Liesse</t>
        </is>
      </c>
      <c r="I722" t="n">
        <v>40</v>
      </c>
      <c r="J722" s="4" t="n">
        <v>16</v>
      </c>
      <c r="K722" t="inlineStr">
        <is>
          <t>2 / 14</t>
        </is>
      </c>
      <c r="L722" t="inlineStr">
        <is>
          <t>2 / 11</t>
        </is>
      </c>
      <c r="M722" s="5" t="n">
        <v>0.12</v>
      </c>
      <c r="N722" s="5" t="n">
        <v>0.15</v>
      </c>
    </row>
    <row r="723">
      <c r="A723" t="n">
        <v>722</v>
      </c>
      <c r="B723" t="n">
        <v>2014</v>
      </c>
      <c r="C723" t="inlineStr">
        <is>
          <t>Yuxin Bella Cao</t>
        </is>
      </c>
      <c r="D723">
        <f>HYPERLINK("https://ota.tournamentsoftware.com/player-profile/ECABBEB5-67C3-48F1-8CC6-A7628D8721E8", "Link")</f>
        <v/>
      </c>
      <c r="E723" s="3" t="n">
        <v>18.823</v>
      </c>
      <c r="F723" s="4" t="n">
        <v>4</v>
      </c>
      <c r="G723" t="inlineStr">
        <is>
          <t>Ontario Tennis Association</t>
        </is>
      </c>
      <c r="H723" t="inlineStr">
        <is>
          <t>ACE Tennis - Burlington</t>
        </is>
      </c>
      <c r="I723" t="n">
        <v>38.1</v>
      </c>
      <c r="J723" s="4" t="n">
        <v>40</v>
      </c>
      <c r="K723" t="inlineStr">
        <is>
          <t>12 / 28</t>
        </is>
      </c>
      <c r="L723" t="inlineStr">
        <is>
          <t>2 / 2</t>
        </is>
      </c>
      <c r="M723" s="5" t="n">
        <v>0.3</v>
      </c>
      <c r="N723" s="5" t="n">
        <v>0.5</v>
      </c>
    </row>
    <row r="724">
      <c r="A724" t="n">
        <v>723</v>
      </c>
      <c r="B724" t="n">
        <v>2014</v>
      </c>
      <c r="C724" t="inlineStr">
        <is>
          <t>Olivia V. Jin</t>
        </is>
      </c>
      <c r="D724">
        <f>HYPERLINK("https://ota.tournamentsoftware.com/player-profile/88713252-C9AF-4DC4-B40D-11479A26EE47", "Link")</f>
        <v/>
      </c>
      <c r="E724" s="3" t="n">
        <v>18.821</v>
      </c>
      <c r="F724" s="4" t="n">
        <v>8</v>
      </c>
      <c r="G724" t="inlineStr">
        <is>
          <t>British Columbia</t>
        </is>
      </c>
      <c r="H724" t="inlineStr">
        <is>
          <t>Hollyburn Country Club</t>
        </is>
      </c>
      <c r="I724" t="n">
        <v>35.6</v>
      </c>
      <c r="J724" s="4" t="n">
        <v>85</v>
      </c>
      <c r="K724" t="inlineStr">
        <is>
          <t>26 / 59</t>
        </is>
      </c>
      <c r="L724" t="inlineStr">
        <is>
          <t>6 / 2</t>
        </is>
      </c>
      <c r="M724" s="5" t="n">
        <v>0.31</v>
      </c>
      <c r="N724" s="5" t="n">
        <v>0.75</v>
      </c>
    </row>
    <row r="725">
      <c r="A725" t="n">
        <v>724</v>
      </c>
      <c r="B725" t="n">
        <v>2012</v>
      </c>
      <c r="C725" t="inlineStr">
        <is>
          <t>Maddy Frances Hughes</t>
        </is>
      </c>
      <c r="D725">
        <f>HYPERLINK("https://ota.tournamentsoftware.com/player-profile/78566C46-653E-4667-ADCE-638FA56C318F", "Link")</f>
        <v/>
      </c>
      <c r="E725" s="3" t="n">
        <v>18.771</v>
      </c>
      <c r="F725" s="4" t="n">
        <v>2</v>
      </c>
      <c r="G725" t="inlineStr">
        <is>
          <t>Ontario Tennis Association</t>
        </is>
      </c>
      <c r="H725" t="inlineStr">
        <is>
          <t>Boulevard Club</t>
        </is>
      </c>
      <c r="I725" t="n">
        <v>37.7</v>
      </c>
      <c r="J725" s="4" t="n">
        <v>41</v>
      </c>
      <c r="K725" t="inlineStr">
        <is>
          <t>16 / 25</t>
        </is>
      </c>
      <c r="L725" t="inlineStr">
        <is>
          <t>4 / 7</t>
        </is>
      </c>
      <c r="M725" s="5" t="n">
        <v>0.39</v>
      </c>
      <c r="N725" s="5" t="n">
        <v>0.36</v>
      </c>
    </row>
    <row r="726">
      <c r="A726" t="n">
        <v>725</v>
      </c>
      <c r="B726" t="n">
        <v>2012</v>
      </c>
      <c r="C726" t="inlineStr">
        <is>
          <t>Diya Parkash</t>
        </is>
      </c>
      <c r="D726">
        <f>HYPERLINK("https://ota.tournamentsoftware.com/player-profile/73A3C93B-23D0-4FC2-9B92-CA5DFE4335FD", "Link")</f>
        <v/>
      </c>
      <c r="E726" s="3" t="n">
        <v>18.484</v>
      </c>
      <c r="F726" s="4" t="n">
        <v>1</v>
      </c>
      <c r="G726" t="inlineStr">
        <is>
          <t>Tennis Nova Scotia</t>
        </is>
      </c>
      <c r="H726" t="inlineStr">
        <is>
          <t>HEADSTART</t>
        </is>
      </c>
      <c r="I726" t="n">
        <v>36.8</v>
      </c>
      <c r="J726" s="4" t="n">
        <v>6</v>
      </c>
      <c r="K726" t="inlineStr">
        <is>
          <t>3 / 3</t>
        </is>
      </c>
      <c r="L726" t="inlineStr">
        <is>
          <t>3 / 3</t>
        </is>
      </c>
      <c r="M726" s="5" t="n">
        <v>0.5</v>
      </c>
      <c r="N726" s="5" t="n">
        <v>0.5</v>
      </c>
    </row>
    <row r="727">
      <c r="A727" t="n">
        <v>726</v>
      </c>
      <c r="B727" t="n">
        <v>2013</v>
      </c>
      <c r="C727" t="inlineStr">
        <is>
          <t>Eve Fuemana</t>
        </is>
      </c>
      <c r="D727">
        <f>HYPERLINK("https://ota.tournamentsoftware.com/player-profile/C6B89948-0347-4A82-9588-926B794A08CE", "Link")</f>
        <v/>
      </c>
      <c r="E727" s="3" t="n">
        <v>18.447</v>
      </c>
      <c r="F727" s="4" t="n">
        <v>1</v>
      </c>
      <c r="G727" t="inlineStr">
        <is>
          <t>Ontario Tennis Association</t>
        </is>
      </c>
      <c r="H727" t="inlineStr">
        <is>
          <t>Toronto Tennis City</t>
        </is>
      </c>
      <c r="I727" t="n">
        <v>27.4</v>
      </c>
      <c r="J727" s="4" t="n">
        <v>3</v>
      </c>
      <c r="K727" t="inlineStr">
        <is>
          <t>0 / 3</t>
        </is>
      </c>
      <c r="L727" t="inlineStr">
        <is>
          <t>0 / 1</t>
        </is>
      </c>
      <c r="M727" s="5" t="n">
        <v>0</v>
      </c>
      <c r="N727" s="5" t="n">
        <v>0</v>
      </c>
    </row>
    <row r="728">
      <c r="A728" t="n">
        <v>727</v>
      </c>
      <c r="B728" t="n">
        <v>2014</v>
      </c>
      <c r="C728" t="inlineStr">
        <is>
          <t>Éloïse Renaud</t>
        </is>
      </c>
      <c r="D728">
        <f>HYPERLINK("https://ota.tournamentsoftware.com/player-profile/B18DE2B4-0E8A-4263-8136-FCC7F7A61D01", "Link")</f>
        <v/>
      </c>
      <c r="E728" s="3" t="n">
        <v>18.36</v>
      </c>
      <c r="F728" s="4" t="n">
        <v>4</v>
      </c>
      <c r="G728" t="inlineStr">
        <is>
          <t>Tennis Québec</t>
        </is>
      </c>
      <c r="H728" t="inlineStr">
        <is>
          <t>Tennis 13</t>
        </is>
      </c>
      <c r="I728" t="inlineStr">
        <is>
          <t>unavailable</t>
        </is>
      </c>
      <c r="J728" s="4" t="n">
        <v>8</v>
      </c>
      <c r="K728" t="inlineStr">
        <is>
          <t>4 / 4</t>
        </is>
      </c>
      <c r="L728" t="inlineStr">
        <is>
          <t>1 / 2</t>
        </is>
      </c>
      <c r="M728" s="5" t="n">
        <v>0.5</v>
      </c>
      <c r="N728" s="5" t="n">
        <v>0.33</v>
      </c>
    </row>
    <row r="729">
      <c r="A729" t="n">
        <v>728</v>
      </c>
      <c r="B729" t="n">
        <v>2015</v>
      </c>
      <c r="C729" t="inlineStr">
        <is>
          <t>Simone Tremblay-Roy</t>
        </is>
      </c>
      <c r="D729">
        <f>HYPERLINK("https://ota.tournamentsoftware.com/player-profile/E7E1A20D-ED12-47F1-913D-3022C4BE6070", "Link")</f>
        <v/>
      </c>
      <c r="E729" s="3" t="n">
        <v>18.332</v>
      </c>
      <c r="F729" s="4" t="n">
        <v>2</v>
      </c>
      <c r="G729" t="inlineStr">
        <is>
          <t>Tennis Québec</t>
        </is>
      </c>
      <c r="H729" t="inlineStr">
        <is>
          <t>Club de tennis intérieur Saguenay</t>
        </is>
      </c>
      <c r="I729" t="n">
        <v>37.4</v>
      </c>
      <c r="J729" s="4" t="n">
        <v>7</v>
      </c>
      <c r="K729" t="inlineStr">
        <is>
          <t>4 / 3</t>
        </is>
      </c>
      <c r="L729" t="inlineStr">
        <is>
          <t>1 / 3</t>
        </is>
      </c>
      <c r="M729" s="5" t="n">
        <v>0.57</v>
      </c>
      <c r="N729" s="5" t="n">
        <v>0.25</v>
      </c>
    </row>
    <row r="730">
      <c r="A730" t="n">
        <v>729</v>
      </c>
      <c r="B730" t="n">
        <v>2013</v>
      </c>
      <c r="C730" t="inlineStr">
        <is>
          <t>Blake Beck Sadler</t>
        </is>
      </c>
      <c r="D730">
        <f>HYPERLINK("https://ota.tournamentsoftware.com/player-profile/B44D5381-342B-4AF0-8200-EA0CEE1E54B7", "Link")</f>
        <v/>
      </c>
      <c r="E730" s="3" t="n">
        <v>17.916</v>
      </c>
      <c r="F730" s="4" t="n">
        <v>2</v>
      </c>
      <c r="G730" t="inlineStr">
        <is>
          <t>Ontario Tennis Association</t>
        </is>
      </c>
      <c r="H730" t="inlineStr">
        <is>
          <t>Ontario Racquet Club</t>
        </is>
      </c>
      <c r="I730" t="n">
        <v>35.9</v>
      </c>
      <c r="J730" s="4" t="n">
        <v>22</v>
      </c>
      <c r="K730" t="inlineStr">
        <is>
          <t>12 / 10</t>
        </is>
      </c>
      <c r="L730" t="inlineStr">
        <is>
          <t>1 / 1</t>
        </is>
      </c>
      <c r="M730" s="5" t="n">
        <v>0.55</v>
      </c>
      <c r="N730" s="5" t="n">
        <v>0.5</v>
      </c>
    </row>
    <row r="731">
      <c r="A731" t="n">
        <v>730</v>
      </c>
      <c r="B731" t="n">
        <v>2014</v>
      </c>
      <c r="C731" t="inlineStr">
        <is>
          <t>Sophia Marietta Dee</t>
        </is>
      </c>
      <c r="D731">
        <f>HYPERLINK("https://ota.tournamentsoftware.com/player-profile/C69F5ADB-3749-4D97-A809-250A73BB30C1", "Link")</f>
        <v/>
      </c>
      <c r="E731" s="3" t="n">
        <v>17.903</v>
      </c>
      <c r="F731" s="4" t="n">
        <v>6</v>
      </c>
      <c r="G731" t="inlineStr">
        <is>
          <t>British Columbia</t>
        </is>
      </c>
      <c r="H731" t="inlineStr">
        <is>
          <t>Arbutus Club</t>
        </is>
      </c>
      <c r="I731" t="n">
        <v>36.8</v>
      </c>
      <c r="J731" s="4" t="n">
        <v>40</v>
      </c>
      <c r="K731" t="inlineStr">
        <is>
          <t>14 / 26</t>
        </is>
      </c>
      <c r="L731" t="inlineStr">
        <is>
          <t>5 / 7</t>
        </is>
      </c>
      <c r="M731" s="5" t="n">
        <v>0.35</v>
      </c>
      <c r="N731" s="5" t="n">
        <v>0.42</v>
      </c>
    </row>
    <row r="732">
      <c r="A732" t="n">
        <v>731</v>
      </c>
      <c r="B732" t="n">
        <v>2013</v>
      </c>
      <c r="C732" t="inlineStr">
        <is>
          <t>Lingxi Sun</t>
        </is>
      </c>
      <c r="D732">
        <f>HYPERLINK("https://ota.tournamentsoftware.com/player-profile/09E8E557-02B1-46EF-87E8-A28C42A56E9D", "Link")</f>
        <v/>
      </c>
      <c r="E732" s="3" t="n">
        <v>17.8</v>
      </c>
      <c r="F732" s="4" t="n">
        <v>2</v>
      </c>
      <c r="G732" t="inlineStr">
        <is>
          <t>British Columbia</t>
        </is>
      </c>
      <c r="H732" t="inlineStr">
        <is>
          <t>UBC Tennis Centre</t>
        </is>
      </c>
      <c r="I732" t="n">
        <v>32.5</v>
      </c>
      <c r="J732" s="4" t="n">
        <v>39</v>
      </c>
      <c r="K732" t="inlineStr">
        <is>
          <t>23 / 16</t>
        </is>
      </c>
      <c r="L732" t="inlineStr">
        <is>
          <t>0 / 0</t>
        </is>
      </c>
      <c r="M732" s="5" t="n">
        <v>0.59</v>
      </c>
      <c r="N732" s="5" t="n">
        <v>0</v>
      </c>
    </row>
    <row r="733">
      <c r="A733" t="n">
        <v>732</v>
      </c>
      <c r="B733" t="n">
        <v>2013</v>
      </c>
      <c r="C733" t="inlineStr">
        <is>
          <t>Robin Lee</t>
        </is>
      </c>
      <c r="D733">
        <f>HYPERLINK("https://ota.tournamentsoftware.com/player-profile/0DB12770-F2FF-469C-87ED-5B5A242C6A08", "Link")</f>
        <v/>
      </c>
      <c r="E733" s="3" t="n">
        <v>17.748</v>
      </c>
      <c r="F733" s="4" t="n">
        <v>3</v>
      </c>
      <c r="G733" t="inlineStr">
        <is>
          <t>Ontario Tennis Association</t>
        </is>
      </c>
      <c r="H733" t="inlineStr">
        <is>
          <t>No Club</t>
        </is>
      </c>
      <c r="I733" t="n">
        <v>39.3</v>
      </c>
      <c r="J733" s="4" t="n">
        <v>58</v>
      </c>
      <c r="K733" t="inlineStr">
        <is>
          <t>11 / 47</t>
        </is>
      </c>
      <c r="L733" t="inlineStr">
        <is>
          <t>0 / 0</t>
        </is>
      </c>
      <c r="M733" s="5" t="n">
        <v>0.19</v>
      </c>
      <c r="N733" s="5" t="n">
        <v>0</v>
      </c>
    </row>
    <row r="734">
      <c r="A734" t="n">
        <v>733</v>
      </c>
      <c r="B734" t="n">
        <v>2017</v>
      </c>
      <c r="C734" t="inlineStr">
        <is>
          <t>Safiatou Ntentie Nchange</t>
        </is>
      </c>
      <c r="D734">
        <f>HYPERLINK("https://ota.tournamentsoftware.com/player-profile/5B1E15AE-3503-449A-B482-B98077F40A43", "Link")</f>
        <v/>
      </c>
      <c r="E734" s="3" t="n">
        <v>17.41</v>
      </c>
      <c r="F734" s="4" t="n">
        <v>7</v>
      </c>
      <c r="G734" t="inlineStr">
        <is>
          <t>Tennis Alberta</t>
        </is>
      </c>
      <c r="H734" t="inlineStr">
        <is>
          <t>No Club</t>
        </is>
      </c>
      <c r="I734" t="n">
        <v>35.8</v>
      </c>
      <c r="J734" s="4" t="n">
        <v>39</v>
      </c>
      <c r="K734" t="inlineStr">
        <is>
          <t>27 / 12</t>
        </is>
      </c>
      <c r="L734" t="inlineStr">
        <is>
          <t>23 / 11</t>
        </is>
      </c>
      <c r="M734" s="5" t="n">
        <v>0.6899999999999999</v>
      </c>
      <c r="N734" s="5" t="n">
        <v>0.68</v>
      </c>
    </row>
    <row r="735">
      <c r="A735" t="n">
        <v>734</v>
      </c>
      <c r="B735" t="n">
        <v>2014</v>
      </c>
      <c r="C735" t="inlineStr">
        <is>
          <t>Emma Jingya Xi</t>
        </is>
      </c>
      <c r="D735">
        <f>HYPERLINK("https://ota.tournamentsoftware.com/player-profile/540C86FB-2BC4-4357-8C94-AA0A3EEBDC22", "Link")</f>
        <v/>
      </c>
      <c r="E735" s="3" t="n">
        <v>17.4</v>
      </c>
      <c r="F735" s="4" t="n">
        <v>2</v>
      </c>
      <c r="G735" t="inlineStr">
        <is>
          <t>Ontario Tennis Association</t>
        </is>
      </c>
      <c r="H735" t="inlineStr">
        <is>
          <t>ACE Tennis - Burlington</t>
        </is>
      </c>
      <c r="I735" t="inlineStr">
        <is>
          <t>unavailable</t>
        </is>
      </c>
      <c r="J735" s="4" t="n">
        <v>40</v>
      </c>
      <c r="K735" t="inlineStr">
        <is>
          <t>14 / 26</t>
        </is>
      </c>
      <c r="L735" t="inlineStr">
        <is>
          <t>1 / 4</t>
        </is>
      </c>
      <c r="M735" s="5" t="n">
        <v>0.35</v>
      </c>
      <c r="N735" s="5" t="n">
        <v>0.2</v>
      </c>
    </row>
    <row r="736">
      <c r="A736" t="n">
        <v>735</v>
      </c>
      <c r="B736" t="n">
        <v>2013</v>
      </c>
      <c r="C736" t="inlineStr">
        <is>
          <t>Lily Pilipowicz</t>
        </is>
      </c>
      <c r="D736">
        <f>HYPERLINK("https://ota.tournamentsoftware.com/player-profile/B42CFB1E-4A07-4108-A904-8512C36C48D8", "Link")</f>
        <v/>
      </c>
      <c r="E736" s="3" t="n">
        <v>17.313</v>
      </c>
      <c r="F736" s="4" t="n">
        <v>4</v>
      </c>
      <c r="G736" t="inlineStr">
        <is>
          <t>Tennis Alberta</t>
        </is>
      </c>
      <c r="H736" t="inlineStr">
        <is>
          <t>Aforza</t>
        </is>
      </c>
      <c r="I736" t="n">
        <v>34</v>
      </c>
      <c r="J736" s="4" t="n">
        <v>40</v>
      </c>
      <c r="K736" t="inlineStr">
        <is>
          <t>19 / 21</t>
        </is>
      </c>
      <c r="L736" t="inlineStr">
        <is>
          <t>0 / 1</t>
        </is>
      </c>
      <c r="M736" s="5" t="n">
        <v>0.47</v>
      </c>
      <c r="N736" s="5" t="n">
        <v>0</v>
      </c>
    </row>
    <row r="737">
      <c r="A737" t="n">
        <v>736</v>
      </c>
      <c r="B737" t="n">
        <v>2014</v>
      </c>
      <c r="C737" t="inlineStr">
        <is>
          <t>Rehmat Kaur Sandhar</t>
        </is>
      </c>
      <c r="D737">
        <f>HYPERLINK("https://ota.tournamentsoftware.com/player-profile/F8357E3D-210F-40E0-BA8A-8FFDBD0DC17E", "Link")</f>
        <v/>
      </c>
      <c r="E737" s="3" t="n">
        <v>17.28</v>
      </c>
      <c r="F737" s="4" t="n">
        <v>2</v>
      </c>
      <c r="G737" t="inlineStr">
        <is>
          <t>Ontario Tennis Association</t>
        </is>
      </c>
      <c r="H737" t="inlineStr">
        <is>
          <t>ON Tennis Toronto No Club</t>
        </is>
      </c>
      <c r="I737" t="n">
        <v>36.8</v>
      </c>
      <c r="J737" s="4" t="n">
        <v>34</v>
      </c>
      <c r="K737" t="inlineStr">
        <is>
          <t>16 / 18</t>
        </is>
      </c>
      <c r="L737" t="inlineStr">
        <is>
          <t>16 / 15</t>
        </is>
      </c>
      <c r="M737" s="5" t="n">
        <v>0.47</v>
      </c>
      <c r="N737" s="5" t="n">
        <v>0.52</v>
      </c>
    </row>
    <row r="738">
      <c r="A738" t="n">
        <v>736</v>
      </c>
      <c r="B738" t="n">
        <v>2016</v>
      </c>
      <c r="C738" t="inlineStr">
        <is>
          <t>Nourine Chebitou</t>
        </is>
      </c>
      <c r="D738">
        <f>HYPERLINK("https://ota.tournamentsoftware.com/player-profile/7B847012-F77E-40EE-A816-39ABE1031DA9", "Link")</f>
        <v/>
      </c>
      <c r="E738" s="3" t="n">
        <v>17.28</v>
      </c>
      <c r="F738" s="4" t="n">
        <v>1</v>
      </c>
      <c r="G738" t="inlineStr">
        <is>
          <t>Tennis Québec</t>
        </is>
      </c>
      <c r="H738" t="inlineStr">
        <is>
          <t>SANI Sport</t>
        </is>
      </c>
      <c r="I738" t="n">
        <v>37.3</v>
      </c>
      <c r="J738" s="4" t="n">
        <v>5</v>
      </c>
      <c r="K738" t="inlineStr">
        <is>
          <t>1 / 4</t>
        </is>
      </c>
      <c r="L738" t="inlineStr">
        <is>
          <t>1 / 1</t>
        </is>
      </c>
      <c r="M738" s="5" t="n">
        <v>0.2</v>
      </c>
      <c r="N738" s="5" t="n">
        <v>0.5</v>
      </c>
    </row>
    <row r="739">
      <c r="A739" t="n">
        <v>736</v>
      </c>
      <c r="B739" t="n">
        <v>2016</v>
      </c>
      <c r="C739" t="inlineStr">
        <is>
          <t>Yanya Zhao</t>
        </is>
      </c>
      <c r="D739">
        <f>HYPERLINK("https://ota.tournamentsoftware.com/player-profile/60E4C9B4-B466-467C-B9D3-335A318BE74C", "Link")</f>
        <v/>
      </c>
      <c r="E739" s="3" t="n">
        <v>17.28</v>
      </c>
      <c r="F739" s="4" t="n">
        <v>3</v>
      </c>
      <c r="G739" t="inlineStr">
        <is>
          <t>Ontario Tennis Association</t>
        </is>
      </c>
      <c r="H739" t="inlineStr">
        <is>
          <t>Valan Tennis Academy</t>
        </is>
      </c>
      <c r="I739" t="n">
        <v>36.5</v>
      </c>
      <c r="J739" s="4" t="n">
        <v>89</v>
      </c>
      <c r="K739" t="inlineStr">
        <is>
          <t>56 / 33</t>
        </is>
      </c>
      <c r="L739" t="inlineStr">
        <is>
          <t>56 / 33</t>
        </is>
      </c>
      <c r="M739" s="5" t="n">
        <v>0.63</v>
      </c>
      <c r="N739" s="5" t="n">
        <v>0.63</v>
      </c>
    </row>
    <row r="740">
      <c r="A740" t="n">
        <v>739</v>
      </c>
      <c r="B740" t="n">
        <v>2012</v>
      </c>
      <c r="C740" t="inlineStr">
        <is>
          <t>Emily Solc</t>
        </is>
      </c>
      <c r="D740">
        <f>HYPERLINK("https://ota.tournamentsoftware.com/player-profile/0117F9E7-8DFA-459F-859A-F7CFC440388D", "Link")</f>
        <v/>
      </c>
      <c r="E740" s="3" t="n">
        <v>17.16</v>
      </c>
      <c r="F740" s="4" t="n">
        <v>1</v>
      </c>
      <c r="G740" t="inlineStr">
        <is>
          <t>Ontario Tennis Association</t>
        </is>
      </c>
      <c r="H740" t="inlineStr">
        <is>
          <t>Ajax Tennis Club</t>
        </is>
      </c>
      <c r="I740" t="n">
        <v>35.7</v>
      </c>
      <c r="J740" s="4" t="n">
        <v>15</v>
      </c>
      <c r="K740" t="inlineStr">
        <is>
          <t>6 / 9</t>
        </is>
      </c>
      <c r="L740" t="inlineStr">
        <is>
          <t>0 / 0</t>
        </is>
      </c>
      <c r="M740" s="5" t="n">
        <v>0.4</v>
      </c>
      <c r="N740" s="5" t="n">
        <v>0</v>
      </c>
    </row>
    <row r="741">
      <c r="A741" t="n">
        <v>740</v>
      </c>
      <c r="B741" t="n">
        <v>2015</v>
      </c>
      <c r="C741" t="inlineStr">
        <is>
          <t>Maggie Yang</t>
        </is>
      </c>
      <c r="D741">
        <f>HYPERLINK("https://ota.tournamentsoftware.com/player-profile/1188855E-2EBD-473C-B3CD-74B3CDDF9042", "Link")</f>
        <v/>
      </c>
      <c r="E741" s="3" t="n">
        <v>17.037</v>
      </c>
      <c r="F741" s="4" t="n">
        <v>3</v>
      </c>
      <c r="G741" t="inlineStr">
        <is>
          <t>Ontario Tennis Association</t>
        </is>
      </c>
      <c r="H741" t="inlineStr">
        <is>
          <t>Royal City Tennis Club</t>
        </is>
      </c>
      <c r="I741" t="n">
        <v>35.7</v>
      </c>
      <c r="J741" s="4" t="n">
        <v>29</v>
      </c>
      <c r="K741" t="inlineStr">
        <is>
          <t>11 / 18</t>
        </is>
      </c>
      <c r="L741" t="inlineStr">
        <is>
          <t>2 / 3</t>
        </is>
      </c>
      <c r="M741" s="5" t="n">
        <v>0.38</v>
      </c>
      <c r="N741" s="5" t="n">
        <v>0.4</v>
      </c>
    </row>
    <row r="742">
      <c r="A742" t="n">
        <v>741</v>
      </c>
      <c r="B742" t="n">
        <v>2016</v>
      </c>
      <c r="C742" t="inlineStr">
        <is>
          <t>Madison Prsa</t>
        </is>
      </c>
      <c r="D742">
        <f>HYPERLINK("https://ota.tournamentsoftware.com/player-profile/E90BB9E9-F58B-415B-8202-1B024EFB9E36", "Link")</f>
        <v/>
      </c>
      <c r="E742" s="3" t="n">
        <v>16.848</v>
      </c>
      <c r="F742" s="4" t="n">
        <v>5</v>
      </c>
      <c r="G742" t="inlineStr">
        <is>
          <t>Ontario Tennis Association</t>
        </is>
      </c>
      <c r="H742" t="inlineStr">
        <is>
          <t>Advantage Tennis International at Veneto</t>
        </is>
      </c>
      <c r="I742" t="n">
        <v>37.3</v>
      </c>
      <c r="J742" s="4" t="n">
        <v>142</v>
      </c>
      <c r="K742" t="inlineStr">
        <is>
          <t>54 / 88</t>
        </is>
      </c>
      <c r="L742" t="inlineStr">
        <is>
          <t>13 / 20</t>
        </is>
      </c>
      <c r="M742" s="5" t="n">
        <v>0.38</v>
      </c>
      <c r="N742" s="5" t="n">
        <v>0.39</v>
      </c>
    </row>
    <row r="743">
      <c r="A743" t="n">
        <v>742</v>
      </c>
      <c r="B743" t="n">
        <v>2013</v>
      </c>
      <c r="C743" t="inlineStr">
        <is>
          <t>Vasta Keshavarz</t>
        </is>
      </c>
      <c r="D743">
        <f>HYPERLINK("https://ota.tournamentsoftware.com/player-profile/601A80FC-EABC-4AF6-9B13-BEBCF22814BA", "Link")</f>
        <v/>
      </c>
      <c r="E743" s="3" t="n">
        <v>16.603</v>
      </c>
      <c r="F743" s="4" t="n">
        <v>4</v>
      </c>
      <c r="G743" t="inlineStr">
        <is>
          <t>British Columbia</t>
        </is>
      </c>
      <c r="H743" t="inlineStr">
        <is>
          <t>North Vancouver Tennis Centre</t>
        </is>
      </c>
      <c r="I743" t="inlineStr">
        <is>
          <t>unavailable</t>
        </is>
      </c>
      <c r="J743" s="4" t="n">
        <v>40</v>
      </c>
      <c r="K743" t="inlineStr">
        <is>
          <t>14 / 26</t>
        </is>
      </c>
      <c r="L743" t="inlineStr">
        <is>
          <t>6 / 19</t>
        </is>
      </c>
      <c r="M743" s="5" t="n">
        <v>0.35</v>
      </c>
      <c r="N743" s="5" t="n">
        <v>0.24</v>
      </c>
    </row>
    <row r="744">
      <c r="A744" t="n">
        <v>743</v>
      </c>
      <c r="B744" t="n">
        <v>2015</v>
      </c>
      <c r="C744" t="inlineStr">
        <is>
          <t>Léa Anténor</t>
        </is>
      </c>
      <c r="D744">
        <f>HYPERLINK("https://ota.tournamentsoftware.com/player-profile/C5888674-E1AF-487D-88CD-4864B4B9365E", "Link")</f>
        <v/>
      </c>
      <c r="E744" s="3" t="n">
        <v>16.489</v>
      </c>
      <c r="F744" s="4" t="n">
        <v>3</v>
      </c>
      <c r="G744" t="inlineStr">
        <is>
          <t>Tennis Québec</t>
        </is>
      </c>
      <c r="H744" t="inlineStr">
        <is>
          <t>No Club</t>
        </is>
      </c>
      <c r="I744" t="inlineStr">
        <is>
          <t>unavailable</t>
        </is>
      </c>
      <c r="J744" s="4" t="n">
        <v>2</v>
      </c>
      <c r="K744" t="inlineStr">
        <is>
          <t>0 / 2</t>
        </is>
      </c>
      <c r="L744" t="inlineStr">
        <is>
          <t>0 / 2</t>
        </is>
      </c>
      <c r="M744" s="5" t="n">
        <v>0</v>
      </c>
      <c r="N744" s="5" t="n">
        <v>0</v>
      </c>
    </row>
    <row r="745">
      <c r="A745" t="n">
        <v>744</v>
      </c>
      <c r="B745" t="n">
        <v>2014</v>
      </c>
      <c r="C745" t="inlineStr">
        <is>
          <t>Livia Hu</t>
        </is>
      </c>
      <c r="D745">
        <f>HYPERLINK("https://ota.tournamentsoftware.com/player-profile/F0626954-59DE-45D2-AE30-FCA903A00699", "Link")</f>
        <v/>
      </c>
      <c r="E745" s="3" t="n">
        <v>16.459</v>
      </c>
      <c r="F745" s="4" t="n">
        <v>2</v>
      </c>
      <c r="G745" t="inlineStr">
        <is>
          <t>Tennis Saskatchewan</t>
        </is>
      </c>
      <c r="H745" t="inlineStr">
        <is>
          <t>No Club</t>
        </is>
      </c>
      <c r="I745" t="n">
        <v>29.5</v>
      </c>
      <c r="J745" s="4" t="n">
        <v>41</v>
      </c>
      <c r="K745" t="inlineStr">
        <is>
          <t>25 / 16</t>
        </is>
      </c>
      <c r="L745" t="inlineStr">
        <is>
          <t>7 / 4</t>
        </is>
      </c>
      <c r="M745" s="5" t="n">
        <v>0.61</v>
      </c>
      <c r="N745" s="5" t="n">
        <v>0.64</v>
      </c>
    </row>
    <row r="746">
      <c r="A746" t="n">
        <v>745</v>
      </c>
      <c r="B746" t="n">
        <v>2015</v>
      </c>
      <c r="C746" t="inlineStr">
        <is>
          <t>Margaux Eile</t>
        </is>
      </c>
      <c r="D746">
        <f>HYPERLINK("https://ota.tournamentsoftware.com/player-profile/9023DCCB-FDAB-4759-A4C9-E99C2FD3C6AD", "Link")</f>
        <v/>
      </c>
      <c r="E746" s="3" t="n">
        <v>16.313</v>
      </c>
      <c r="F746" s="4" t="n">
        <v>6</v>
      </c>
      <c r="G746" t="inlineStr">
        <is>
          <t>Tennis Québec</t>
        </is>
      </c>
      <c r="H746" t="inlineStr">
        <is>
          <t>Midtown Le Sporting Club Sanctuaire</t>
        </is>
      </c>
      <c r="I746" t="inlineStr">
        <is>
          <t>unavailable</t>
        </is>
      </c>
      <c r="J746" s="4" t="n">
        <v>25</v>
      </c>
      <c r="K746" t="inlineStr">
        <is>
          <t>2 / 23</t>
        </is>
      </c>
      <c r="L746" t="inlineStr">
        <is>
          <t>0 / 6</t>
        </is>
      </c>
      <c r="M746" s="5" t="n">
        <v>0.08</v>
      </c>
      <c r="N746" s="5" t="n">
        <v>0</v>
      </c>
    </row>
    <row r="747">
      <c r="A747" t="n">
        <v>746</v>
      </c>
      <c r="B747" t="n">
        <v>2012</v>
      </c>
      <c r="C747" t="inlineStr">
        <is>
          <t>Allison Wu</t>
        </is>
      </c>
      <c r="D747">
        <f>HYPERLINK("https://ota.tournamentsoftware.com/player-profile/5B6A5CCB-4E85-427C-99E0-E2078ED2493C", "Link")</f>
        <v/>
      </c>
      <c r="E747" s="3" t="n">
        <v>15.968</v>
      </c>
      <c r="F747" s="4" t="n">
        <v>3</v>
      </c>
      <c r="G747" t="inlineStr">
        <is>
          <t>British Columbia</t>
        </is>
      </c>
      <c r="H747" t="inlineStr">
        <is>
          <t>Coquitlam Tennis Club</t>
        </is>
      </c>
      <c r="I747" t="n">
        <v>39.4</v>
      </c>
      <c r="J747" s="4" t="n">
        <v>54</v>
      </c>
      <c r="K747" t="inlineStr">
        <is>
          <t>9 / 45</t>
        </is>
      </c>
      <c r="L747" t="inlineStr">
        <is>
          <t>0 / 4</t>
        </is>
      </c>
      <c r="M747" s="5" t="n">
        <v>0.17</v>
      </c>
      <c r="N747" s="5" t="n">
        <v>0</v>
      </c>
    </row>
    <row r="748">
      <c r="A748" t="n">
        <v>747</v>
      </c>
      <c r="B748" t="n">
        <v>2014</v>
      </c>
      <c r="C748" t="inlineStr">
        <is>
          <t>Anabelle Duchesne</t>
        </is>
      </c>
      <c r="D748">
        <f>HYPERLINK("https://ota.tournamentsoftware.com/player-profile/3D9B7A28-72A0-4133-925D-142C95DC7FA9", "Link")</f>
        <v/>
      </c>
      <c r="E748" s="3" t="n">
        <v>15.937</v>
      </c>
      <c r="F748" s="4" t="n">
        <v>2</v>
      </c>
      <c r="G748" t="inlineStr">
        <is>
          <t>Tennis Québec</t>
        </is>
      </c>
      <c r="H748" t="inlineStr">
        <is>
          <t>Les Tennis de Rimouski (intérieur)</t>
        </is>
      </c>
      <c r="I748" t="n">
        <v>40</v>
      </c>
      <c r="J748" s="4" t="n">
        <v>6</v>
      </c>
      <c r="K748" t="inlineStr">
        <is>
          <t>0 / 6</t>
        </is>
      </c>
      <c r="L748" t="inlineStr">
        <is>
          <t>0 / 6</t>
        </is>
      </c>
      <c r="M748" s="5" t="n">
        <v>0</v>
      </c>
      <c r="N748" s="5" t="n">
        <v>0</v>
      </c>
    </row>
    <row r="749">
      <c r="A749" t="n">
        <v>748</v>
      </c>
      <c r="B749" t="n">
        <v>2014</v>
      </c>
      <c r="C749" t="inlineStr">
        <is>
          <t>Precious J. Mutiku</t>
        </is>
      </c>
      <c r="D749">
        <f>HYPERLINK("https://ota.tournamentsoftware.com/player-profile/60A61325-C72A-4622-B3AF-5291E7A5657A", "Link")</f>
        <v/>
      </c>
      <c r="E749" s="3" t="n">
        <v>15.059</v>
      </c>
      <c r="F749" s="4" t="n">
        <v>1</v>
      </c>
      <c r="G749" t="inlineStr">
        <is>
          <t>Tennis Manitoba</t>
        </is>
      </c>
      <c r="H749" t="inlineStr">
        <is>
          <t>Taylor Tennis</t>
        </is>
      </c>
      <c r="I749" t="n">
        <v>37</v>
      </c>
      <c r="J749" s="4" t="n">
        <v>3</v>
      </c>
      <c r="K749" t="inlineStr">
        <is>
          <t>1 / 2</t>
        </is>
      </c>
      <c r="L749" t="inlineStr">
        <is>
          <t>0 / 1</t>
        </is>
      </c>
      <c r="M749" s="5" t="n">
        <v>0.33</v>
      </c>
      <c r="N749" s="5" t="n">
        <v>0</v>
      </c>
    </row>
    <row r="750">
      <c r="A750" t="n">
        <v>749</v>
      </c>
      <c r="B750" t="n">
        <v>2013</v>
      </c>
      <c r="C750" t="inlineStr">
        <is>
          <t>Kensington Gavin</t>
        </is>
      </c>
      <c r="D750">
        <f>HYPERLINK("https://ota.tournamentsoftware.com/player-profile/A4C08F5F-BDB2-4714-9F20-18E924F0B20C", "Link")</f>
        <v/>
      </c>
      <c r="E750" s="3" t="n">
        <v>15</v>
      </c>
      <c r="F750" s="4" t="n">
        <v>1</v>
      </c>
      <c r="G750" t="inlineStr">
        <is>
          <t>British Columbia</t>
        </is>
      </c>
      <c r="H750" t="inlineStr">
        <is>
          <t>No Club</t>
        </is>
      </c>
      <c r="I750" t="n">
        <v>33.1</v>
      </c>
      <c r="J750" s="4" t="n">
        <v>121</v>
      </c>
      <c r="K750" t="inlineStr">
        <is>
          <t>70 / 51</t>
        </is>
      </c>
      <c r="L750" t="inlineStr">
        <is>
          <t>0 / 0</t>
        </is>
      </c>
      <c r="M750" s="5" t="n">
        <v>0.58</v>
      </c>
      <c r="N750" s="5" t="n">
        <v>0</v>
      </c>
    </row>
    <row r="751">
      <c r="A751" t="n">
        <v>750</v>
      </c>
      <c r="B751" t="n">
        <v>2012</v>
      </c>
      <c r="C751" t="inlineStr">
        <is>
          <t>Saaya Isabella Thompson</t>
        </is>
      </c>
      <c r="D751">
        <f>HYPERLINK("https://ota.tournamentsoftware.com/player-profile/E9B78A0F-EA3C-42B6-B795-AA591E989391", "Link")</f>
        <v/>
      </c>
      <c r="E751" s="3" t="n">
        <v>14.686</v>
      </c>
      <c r="F751" s="4" t="n">
        <v>2</v>
      </c>
      <c r="G751" t="inlineStr">
        <is>
          <t>British Columbia</t>
        </is>
      </c>
      <c r="H751" t="inlineStr">
        <is>
          <t>UBC Tennis Centre</t>
        </is>
      </c>
      <c r="I751" t="n">
        <v>38.8</v>
      </c>
      <c r="J751" s="4" t="n">
        <v>7</v>
      </c>
      <c r="K751" t="inlineStr">
        <is>
          <t>1 / 6</t>
        </is>
      </c>
      <c r="L751" t="inlineStr">
        <is>
          <t>0 / 3</t>
        </is>
      </c>
      <c r="M751" s="5" t="n">
        <v>0.14</v>
      </c>
      <c r="N751" s="5" t="n">
        <v>0</v>
      </c>
    </row>
    <row r="752">
      <c r="A752" t="n">
        <v>751</v>
      </c>
      <c r="B752" t="n">
        <v>2012</v>
      </c>
      <c r="C752" t="inlineStr">
        <is>
          <t>Navia Kaylynn Barlow</t>
        </is>
      </c>
      <c r="D752">
        <f>HYPERLINK("https://ota.tournamentsoftware.com/player-profile/44A25362-E73B-4E09-954B-7A375954482B", "Link")</f>
        <v/>
      </c>
      <c r="E752" s="3" t="n">
        <v>14.647</v>
      </c>
      <c r="F752" s="4" t="n">
        <v>3</v>
      </c>
      <c r="G752" t="inlineStr">
        <is>
          <t>Tennis Alberta</t>
        </is>
      </c>
      <c r="H752" t="inlineStr">
        <is>
          <t>Derrick Golf &amp; Winter Club</t>
        </is>
      </c>
      <c r="I752" t="inlineStr">
        <is>
          <t>unavailable</t>
        </is>
      </c>
      <c r="J752" s="4" t="n">
        <v>6</v>
      </c>
      <c r="K752" t="inlineStr">
        <is>
          <t>2 / 4</t>
        </is>
      </c>
      <c r="L752" t="inlineStr">
        <is>
          <t>2 / 4</t>
        </is>
      </c>
      <c r="M752" s="5" t="n">
        <v>0.33</v>
      </c>
      <c r="N752" s="5" t="n">
        <v>0.33</v>
      </c>
    </row>
    <row r="753">
      <c r="A753" t="n">
        <v>752</v>
      </c>
      <c r="B753" t="n">
        <v>2015</v>
      </c>
      <c r="C753" t="inlineStr">
        <is>
          <t>Mira Akhoundova</t>
        </is>
      </c>
      <c r="D753">
        <f>HYPERLINK("https://ota.tournamentsoftware.com/player-profile/DFAA2C12-ED04-42F9-9711-F91A6745B43A", "Link")</f>
        <v/>
      </c>
      <c r="E753" s="3" t="n">
        <v>14.585</v>
      </c>
      <c r="F753" s="4" t="n">
        <v>3</v>
      </c>
      <c r="G753" t="inlineStr">
        <is>
          <t>Ontario Tennis Association</t>
        </is>
      </c>
      <c r="H753" t="inlineStr">
        <is>
          <t>Marilyn Redvers Tennis Club</t>
        </is>
      </c>
      <c r="I753" t="n">
        <v>40</v>
      </c>
      <c r="J753" s="4" t="n">
        <v>28</v>
      </c>
      <c r="K753" t="inlineStr">
        <is>
          <t>14 / 14</t>
        </is>
      </c>
      <c r="L753" t="inlineStr">
        <is>
          <t>5 / 9</t>
        </is>
      </c>
      <c r="M753" s="5" t="n">
        <v>0.5</v>
      </c>
      <c r="N753" s="5" t="n">
        <v>0.36</v>
      </c>
    </row>
    <row r="754">
      <c r="A754" t="n">
        <v>753</v>
      </c>
      <c r="B754" t="n">
        <v>2017</v>
      </c>
      <c r="C754" t="inlineStr">
        <is>
          <t>Erika ko</t>
        </is>
      </c>
      <c r="D754">
        <f>HYPERLINK("https://ota.tournamentsoftware.com/player-profile/63E3DB95-CFC7-47F5-8461-E32C50FD6342", "Link")</f>
        <v/>
      </c>
      <c r="E754" s="3" t="n">
        <v>14.4</v>
      </c>
      <c r="F754" s="4" t="n">
        <v>6</v>
      </c>
      <c r="G754" t="inlineStr">
        <is>
          <t>British Columbia</t>
        </is>
      </c>
      <c r="H754" t="inlineStr">
        <is>
          <t>Richmond Country Club</t>
        </is>
      </c>
      <c r="I754" t="n">
        <v>37.9</v>
      </c>
      <c r="J754" s="4" t="n">
        <v>135</v>
      </c>
      <c r="K754" t="inlineStr">
        <is>
          <t>61 / 74</t>
        </is>
      </c>
      <c r="L754" t="inlineStr">
        <is>
          <t>4 / 8</t>
        </is>
      </c>
      <c r="M754" s="5" t="n">
        <v>0.45</v>
      </c>
      <c r="N754" s="5" t="n">
        <v>0.33</v>
      </c>
    </row>
    <row r="755">
      <c r="A755" t="n">
        <v>754</v>
      </c>
      <c r="B755" t="n">
        <v>2015</v>
      </c>
      <c r="C755" t="inlineStr">
        <is>
          <t>Nadia Mnyusiwalla</t>
        </is>
      </c>
      <c r="D755">
        <f>HYPERLINK("https://ota.tournamentsoftware.com/player-profile/0DB52458-FB00-472A-BE89-03A77FEBF08E", "Link")</f>
        <v/>
      </c>
      <c r="E755" s="3" t="n">
        <v>14.381</v>
      </c>
      <c r="F755" s="4" t="n">
        <v>3</v>
      </c>
      <c r="G755" t="inlineStr">
        <is>
          <t>Ontario Tennis Association</t>
        </is>
      </c>
      <c r="H755" t="inlineStr">
        <is>
          <t>Waterloo Tennis Club</t>
        </is>
      </c>
      <c r="I755" t="inlineStr">
        <is>
          <t>unavailable</t>
        </is>
      </c>
      <c r="J755" s="4" t="n">
        <v>54</v>
      </c>
      <c r="K755" t="inlineStr">
        <is>
          <t>15 / 39</t>
        </is>
      </c>
      <c r="L755" t="inlineStr">
        <is>
          <t>2 / 14</t>
        </is>
      </c>
      <c r="M755" s="5" t="n">
        <v>0.28</v>
      </c>
      <c r="N755" s="5" t="n">
        <v>0.12</v>
      </c>
    </row>
    <row r="756">
      <c r="A756" t="n">
        <v>755</v>
      </c>
      <c r="B756" t="n">
        <v>2014</v>
      </c>
      <c r="C756" t="inlineStr">
        <is>
          <t>Elise Hiu-Wing Lin</t>
        </is>
      </c>
      <c r="D756">
        <f>HYPERLINK("https://ota.tournamentsoftware.com/player-profile/6079C290-F004-492F-BD70-120B06A08264", "Link")</f>
        <v/>
      </c>
      <c r="E756" s="3" t="n">
        <v>14.283</v>
      </c>
      <c r="F756" s="4" t="n">
        <v>4</v>
      </c>
      <c r="G756" t="inlineStr">
        <is>
          <t>British Columbia</t>
        </is>
      </c>
      <c r="H756" t="inlineStr">
        <is>
          <t>No Club</t>
        </is>
      </c>
      <c r="I756" t="n">
        <v>36.3</v>
      </c>
      <c r="J756" s="4" t="n">
        <v>47</v>
      </c>
      <c r="K756" t="inlineStr">
        <is>
          <t>17 / 30</t>
        </is>
      </c>
      <c r="L756" t="inlineStr">
        <is>
          <t>4 / 5</t>
        </is>
      </c>
      <c r="M756" s="5" t="n">
        <v>0.36</v>
      </c>
      <c r="N756" s="5" t="n">
        <v>0.44</v>
      </c>
    </row>
    <row r="757">
      <c r="A757" t="n">
        <v>756</v>
      </c>
      <c r="B757" t="n">
        <v>2012</v>
      </c>
      <c r="C757" t="inlineStr">
        <is>
          <t>Nora Skogen</t>
        </is>
      </c>
      <c r="D757">
        <f>HYPERLINK("https://ota.tournamentsoftware.com/player-profile/84E488EE-ABCE-4936-AC77-DCF33DA7BE52", "Link")</f>
        <v/>
      </c>
      <c r="E757" s="3" t="n">
        <v>14.256</v>
      </c>
      <c r="F757" s="4" t="n">
        <v>1</v>
      </c>
      <c r="G757" t="inlineStr">
        <is>
          <t>British Columbia</t>
        </is>
      </c>
      <c r="H757" t="inlineStr">
        <is>
          <t>Hollyburn Country Club</t>
        </is>
      </c>
      <c r="I757" t="n">
        <v>32.3</v>
      </c>
      <c r="J757" s="4" t="n">
        <v>164</v>
      </c>
      <c r="K757" t="inlineStr">
        <is>
          <t>79 / 85</t>
        </is>
      </c>
      <c r="L757" t="inlineStr">
        <is>
          <t>1 / 1</t>
        </is>
      </c>
      <c r="M757" s="5" t="n">
        <v>0.48</v>
      </c>
      <c r="N757" s="5" t="n">
        <v>0.5</v>
      </c>
    </row>
    <row r="758">
      <c r="A758" t="n">
        <v>757</v>
      </c>
      <c r="B758" t="n">
        <v>2013</v>
      </c>
      <c r="C758" t="inlineStr">
        <is>
          <t>Aylin Iskenderova</t>
        </is>
      </c>
      <c r="D758">
        <f>HYPERLINK("https://ota.tournamentsoftware.com/player-profile/07B240E6-A596-4F2A-90A6-63993B9F2568", "Link")</f>
        <v/>
      </c>
      <c r="E758" s="3" t="n">
        <v>14.11</v>
      </c>
      <c r="F758" s="4" t="n">
        <v>1</v>
      </c>
      <c r="G758" t="inlineStr">
        <is>
          <t>Ontario Tennis Association</t>
        </is>
      </c>
      <c r="H758" t="inlineStr">
        <is>
          <t>Concord Tennis Academy</t>
        </is>
      </c>
      <c r="I758" t="n">
        <v>39.8</v>
      </c>
      <c r="J758" s="4" t="n">
        <v>14</v>
      </c>
      <c r="K758" t="inlineStr">
        <is>
          <t>6 / 8</t>
        </is>
      </c>
      <c r="L758" t="inlineStr">
        <is>
          <t>0 / 2</t>
        </is>
      </c>
      <c r="M758" s="5" t="n">
        <v>0.43</v>
      </c>
      <c r="N758" s="5" t="n">
        <v>0</v>
      </c>
    </row>
    <row r="759">
      <c r="A759" t="n">
        <v>757</v>
      </c>
      <c r="B759" t="n">
        <v>2012</v>
      </c>
      <c r="C759" t="inlineStr">
        <is>
          <t>Renee Burton</t>
        </is>
      </c>
      <c r="D759">
        <f>HYPERLINK("https://ota.tournamentsoftware.com/player-profile/88D51E75-4EAF-4390-8A85-9E01D5A7B97C", "Link")</f>
        <v/>
      </c>
      <c r="E759" s="3" t="n">
        <v>14.11</v>
      </c>
      <c r="F759" s="4" t="n">
        <v>1</v>
      </c>
      <c r="G759" t="inlineStr">
        <is>
          <t>Ontario Tennis Association</t>
        </is>
      </c>
      <c r="H759" t="inlineStr">
        <is>
          <t>ACE Tennis - Burlington</t>
        </is>
      </c>
      <c r="I759" t="n">
        <v>35.9</v>
      </c>
      <c r="J759" s="4" t="n">
        <v>13</v>
      </c>
      <c r="K759" t="inlineStr">
        <is>
          <t>9 / 4</t>
        </is>
      </c>
      <c r="L759" t="inlineStr">
        <is>
          <t>9 / 4</t>
        </is>
      </c>
      <c r="M759" s="5" t="n">
        <v>0.6899999999999999</v>
      </c>
      <c r="N759" s="5" t="n">
        <v>0.6899999999999999</v>
      </c>
    </row>
    <row r="760">
      <c r="A760" t="n">
        <v>759</v>
      </c>
      <c r="B760" t="n">
        <v>2012</v>
      </c>
      <c r="C760" t="inlineStr">
        <is>
          <t>Julia Michelle Cipriano</t>
        </is>
      </c>
      <c r="D760">
        <f>HYPERLINK("https://ota.tournamentsoftware.com/player-profile/EC29FADF-ECEA-4CC3-AE9B-2987D1E47266", "Link")</f>
        <v/>
      </c>
      <c r="E760" s="3" t="n">
        <v>13.725</v>
      </c>
      <c r="F760" s="4" t="n">
        <v>2</v>
      </c>
      <c r="G760" t="inlineStr">
        <is>
          <t>British Columbia</t>
        </is>
      </c>
      <c r="H760" t="inlineStr">
        <is>
          <t>West Vancouver Tennis Club</t>
        </is>
      </c>
      <c r="I760" t="n">
        <v>37</v>
      </c>
      <c r="J760" s="4" t="n">
        <v>18</v>
      </c>
      <c r="K760" t="inlineStr">
        <is>
          <t>8 / 10</t>
        </is>
      </c>
      <c r="L760" t="inlineStr">
        <is>
          <t>6 / 6</t>
        </is>
      </c>
      <c r="M760" s="5" t="n">
        <v>0.44</v>
      </c>
      <c r="N760" s="5" t="n">
        <v>0.5</v>
      </c>
    </row>
    <row r="761">
      <c r="A761" t="n">
        <v>760</v>
      </c>
      <c r="B761" t="n">
        <v>2016</v>
      </c>
      <c r="C761" t="inlineStr">
        <is>
          <t>Joud Marmash</t>
        </is>
      </c>
      <c r="D761">
        <f>HYPERLINK("https://ota.tournamentsoftware.com/player-profile/7F8FB01C-3EB1-48B9-B051-119BB01F4118", "Link")</f>
        <v/>
      </c>
      <c r="E761" s="3" t="n">
        <v>13.68</v>
      </c>
      <c r="F761" s="4" t="n">
        <v>6</v>
      </c>
      <c r="G761" t="inlineStr">
        <is>
          <t>Ontario Tennis Association</t>
        </is>
      </c>
      <c r="H761" t="inlineStr">
        <is>
          <t>Zekelman Tennis Centre</t>
        </is>
      </c>
      <c r="I761" t="n">
        <v>38.1</v>
      </c>
      <c r="J761" s="4" t="n">
        <v>18</v>
      </c>
      <c r="K761" t="inlineStr">
        <is>
          <t>5 / 13</t>
        </is>
      </c>
      <c r="L761" t="inlineStr">
        <is>
          <t>5 / 13</t>
        </is>
      </c>
      <c r="M761" s="5" t="n">
        <v>0.28</v>
      </c>
      <c r="N761" s="5" t="n">
        <v>0.28</v>
      </c>
    </row>
    <row r="762">
      <c r="A762" t="n">
        <v>761</v>
      </c>
      <c r="B762" t="n">
        <v>2014</v>
      </c>
      <c r="C762" t="inlineStr">
        <is>
          <t>Mia Mengchen Sun</t>
        </is>
      </c>
      <c r="D762">
        <f>HYPERLINK("https://ota.tournamentsoftware.com/player-profile/BFD3D157-D2B6-45BF-BE92-CACB69CCC59C", "Link")</f>
        <v/>
      </c>
      <c r="E762" s="3" t="n">
        <v>13.578</v>
      </c>
      <c r="F762" s="4" t="n">
        <v>4</v>
      </c>
      <c r="G762" t="inlineStr">
        <is>
          <t>Ontario Tennis Association</t>
        </is>
      </c>
      <c r="H762" t="inlineStr">
        <is>
          <t>Markham Tennis Club</t>
        </is>
      </c>
      <c r="I762" t="n">
        <v>37.9</v>
      </c>
      <c r="J762" s="4" t="n">
        <v>51</v>
      </c>
      <c r="K762" t="inlineStr">
        <is>
          <t>32 / 19</t>
        </is>
      </c>
      <c r="L762" t="inlineStr">
        <is>
          <t>0 / 0</t>
        </is>
      </c>
      <c r="M762" s="5" t="n">
        <v>0.63</v>
      </c>
      <c r="N762" s="5" t="n">
        <v>0</v>
      </c>
    </row>
    <row r="763">
      <c r="A763" t="n">
        <v>762</v>
      </c>
      <c r="B763" t="n">
        <v>2013</v>
      </c>
      <c r="C763" t="inlineStr">
        <is>
          <t>Nitya Myneni</t>
        </is>
      </c>
      <c r="D763">
        <f>HYPERLINK("https://ota.tournamentsoftware.com/player-profile/482EDD14-11AD-4221-B031-4CDB8348AC62", "Link")</f>
        <v/>
      </c>
      <c r="E763" s="3" t="n">
        <v>13.478</v>
      </c>
      <c r="F763" s="4" t="n">
        <v>2</v>
      </c>
      <c r="G763" t="inlineStr">
        <is>
          <t>British Columbia</t>
        </is>
      </c>
      <c r="H763" t="inlineStr">
        <is>
          <t>The Tennis Centre</t>
        </is>
      </c>
      <c r="I763" t="n">
        <v>40</v>
      </c>
      <c r="J763" s="4" t="n">
        <v>26</v>
      </c>
      <c r="K763" t="inlineStr">
        <is>
          <t>8 / 18</t>
        </is>
      </c>
      <c r="L763" t="inlineStr">
        <is>
          <t>0 / 4</t>
        </is>
      </c>
      <c r="M763" s="5" t="n">
        <v>0.31</v>
      </c>
      <c r="N763" s="5" t="n">
        <v>0</v>
      </c>
    </row>
    <row r="764">
      <c r="A764" t="n">
        <v>763</v>
      </c>
      <c r="B764" t="n">
        <v>2013</v>
      </c>
      <c r="C764" t="inlineStr">
        <is>
          <t>Hailey Johnson</t>
        </is>
      </c>
      <c r="D764">
        <f>HYPERLINK("https://ota.tournamentsoftware.com/player-profile/D4247C6C-DBD8-41D1-867E-D35290341BA8", "Link")</f>
        <v/>
      </c>
      <c r="E764" s="3" t="n">
        <v>13.23</v>
      </c>
      <c r="F764" s="4" t="n">
        <v>2</v>
      </c>
      <c r="G764" t="inlineStr">
        <is>
          <t>British Columbia</t>
        </is>
      </c>
      <c r="H764" t="inlineStr">
        <is>
          <t>Tennis for Life</t>
        </is>
      </c>
      <c r="I764" t="inlineStr">
        <is>
          <t>unavailable</t>
        </is>
      </c>
      <c r="J764" s="4" t="n">
        <v>49</v>
      </c>
      <c r="K764" t="inlineStr">
        <is>
          <t>28 / 21</t>
        </is>
      </c>
      <c r="L764" t="inlineStr">
        <is>
          <t>1 / 1</t>
        </is>
      </c>
      <c r="M764" s="5" t="n">
        <v>0.57</v>
      </c>
      <c r="N764" s="5" t="n">
        <v>0.5</v>
      </c>
    </row>
    <row r="765">
      <c r="A765" t="n">
        <v>764</v>
      </c>
      <c r="B765" t="n">
        <v>2014</v>
      </c>
      <c r="C765" t="inlineStr">
        <is>
          <t>Olivia Duthoit</t>
        </is>
      </c>
      <c r="D765">
        <f>HYPERLINK("https://ota.tournamentsoftware.com/player-profile/7ADA0A6D-C257-4896-AEB0-8E053AAA4B48", "Link")</f>
        <v/>
      </c>
      <c r="E765" s="3" t="n">
        <v>13.092</v>
      </c>
      <c r="F765" s="4" t="n">
        <v>2</v>
      </c>
      <c r="G765" t="inlineStr">
        <is>
          <t>Tennis Québec</t>
        </is>
      </c>
      <c r="H765" t="inlineStr">
        <is>
          <t>Club Avantage Multi-sports / Académie de tennis Hérisset Bordeleau</t>
        </is>
      </c>
      <c r="I765" t="n">
        <v>36</v>
      </c>
      <c r="J765" s="4" t="n">
        <v>20</v>
      </c>
      <c r="K765" t="inlineStr">
        <is>
          <t>4 / 16</t>
        </is>
      </c>
      <c r="L765" t="inlineStr">
        <is>
          <t>3 / 4</t>
        </is>
      </c>
      <c r="M765" s="5" t="n">
        <v>0.2</v>
      </c>
      <c r="N765" s="5" t="n">
        <v>0.43</v>
      </c>
    </row>
    <row r="766">
      <c r="A766" t="n">
        <v>765</v>
      </c>
      <c r="B766" t="n">
        <v>2013</v>
      </c>
      <c r="C766" t="inlineStr">
        <is>
          <t>caitlin wong</t>
        </is>
      </c>
      <c r="D766">
        <f>HYPERLINK("https://ota.tournamentsoftware.com/player-profile/A6697051-116D-4981-AA23-11E1BF963FD3", "Link")</f>
        <v/>
      </c>
      <c r="E766" s="3" t="n">
        <v>13</v>
      </c>
      <c r="F766" s="4" t="n">
        <v>1</v>
      </c>
      <c r="G766" t="inlineStr">
        <is>
          <t>Ontario Tennis Association</t>
        </is>
      </c>
      <c r="H766" t="inlineStr">
        <is>
          <t>Blackmore Tennis Club</t>
        </is>
      </c>
      <c r="I766" t="n">
        <v>37.2</v>
      </c>
      <c r="J766" s="4" t="n">
        <v>56</v>
      </c>
      <c r="K766" t="inlineStr">
        <is>
          <t>29 / 27</t>
        </is>
      </c>
      <c r="L766" t="inlineStr">
        <is>
          <t>0 / 0</t>
        </is>
      </c>
      <c r="M766" s="5" t="n">
        <v>0.52</v>
      </c>
      <c r="N766" s="5" t="n">
        <v>0</v>
      </c>
    </row>
    <row r="767">
      <c r="A767" t="n">
        <v>766</v>
      </c>
      <c r="B767" t="n">
        <v>2012</v>
      </c>
      <c r="C767" t="inlineStr">
        <is>
          <t>Ai-Ni Amelia Cheng</t>
        </is>
      </c>
      <c r="D767">
        <f>HYPERLINK("https://ota.tournamentsoftware.com/player-profile/040F8D36-CAF3-4E90-85FB-8F17F2F92E8F", "Link")</f>
        <v/>
      </c>
      <c r="E767" s="3" t="n">
        <v>12.906</v>
      </c>
      <c r="F767" s="4" t="n">
        <v>1</v>
      </c>
      <c r="G767" t="inlineStr">
        <is>
          <t>Ontario Tennis Association</t>
        </is>
      </c>
      <c r="H767" t="inlineStr">
        <is>
          <t>ON West Central No Club</t>
        </is>
      </c>
      <c r="I767" t="n">
        <v>38.5</v>
      </c>
      <c r="J767" s="4" t="n">
        <v>7</v>
      </c>
      <c r="K767" t="inlineStr">
        <is>
          <t>4 / 3</t>
        </is>
      </c>
      <c r="L767" t="inlineStr">
        <is>
          <t>0 / 2</t>
        </is>
      </c>
      <c r="M767" s="5" t="n">
        <v>0.57</v>
      </c>
      <c r="N767" s="5" t="n">
        <v>0</v>
      </c>
    </row>
    <row r="768">
      <c r="A768" t="n">
        <v>767</v>
      </c>
      <c r="B768" t="n">
        <v>2016</v>
      </c>
      <c r="C768" t="inlineStr">
        <is>
          <t>Delia Stoian</t>
        </is>
      </c>
      <c r="D768">
        <f>HYPERLINK("https://ota.tournamentsoftware.com/player-profile/97BF71BC-EF3B-40A8-B2A8-4211E6570024", "Link")</f>
        <v/>
      </c>
      <c r="E768" s="3" t="n">
        <v>12.871</v>
      </c>
      <c r="F768" s="4" t="n">
        <v>2</v>
      </c>
      <c r="G768" t="inlineStr">
        <is>
          <t>Tennis Québec</t>
        </is>
      </c>
      <c r="H768" t="inlineStr">
        <is>
          <t>SANI Sport</t>
        </is>
      </c>
      <c r="I768" t="n">
        <v>37.1</v>
      </c>
      <c r="J768" s="4" t="n">
        <v>84</v>
      </c>
      <c r="K768" t="inlineStr">
        <is>
          <t>48 / 36</t>
        </is>
      </c>
      <c r="L768" t="inlineStr">
        <is>
          <t>20 / 15</t>
        </is>
      </c>
      <c r="M768" s="5" t="n">
        <v>0.57</v>
      </c>
      <c r="N768" s="5" t="n">
        <v>0.57</v>
      </c>
    </row>
    <row r="769">
      <c r="A769" t="n">
        <v>768</v>
      </c>
      <c r="B769" t="n">
        <v>2015</v>
      </c>
      <c r="C769" t="inlineStr">
        <is>
          <t>Juliette Merino</t>
        </is>
      </c>
      <c r="D769">
        <f>HYPERLINK("https://ota.tournamentsoftware.com/player-profile/E3FBD49F-6297-464B-AD97-8C82D2E93FB7", "Link")</f>
        <v/>
      </c>
      <c r="E769" s="3" t="n">
        <v>12.817</v>
      </c>
      <c r="F769" s="4" t="n">
        <v>2</v>
      </c>
      <c r="G769" t="inlineStr">
        <is>
          <t>Ontario Tennis Association</t>
        </is>
      </c>
      <c r="H769" t="inlineStr">
        <is>
          <t>Ontario Racquet Club</t>
        </is>
      </c>
      <c r="I769" t="inlineStr">
        <is>
          <t>unavailable</t>
        </is>
      </c>
      <c r="J769" s="4" t="n">
        <v>33</v>
      </c>
      <c r="K769" t="inlineStr">
        <is>
          <t>12 / 21</t>
        </is>
      </c>
      <c r="L769" t="inlineStr">
        <is>
          <t>3 / 7</t>
        </is>
      </c>
      <c r="M769" s="5" t="n">
        <v>0.36</v>
      </c>
      <c r="N769" s="5" t="n">
        <v>0.3</v>
      </c>
    </row>
    <row r="770">
      <c r="A770" t="n">
        <v>769</v>
      </c>
      <c r="B770" t="n">
        <v>2013</v>
      </c>
      <c r="C770" t="inlineStr">
        <is>
          <t>Addison Gilbertson</t>
        </is>
      </c>
      <c r="D770">
        <f>HYPERLINK("https://ota.tournamentsoftware.com/player-profile/C50AF072-EF16-4516-9D5D-42DF1D345F44", "Link")</f>
        <v/>
      </c>
      <c r="E770" s="3" t="n">
        <v>12.687</v>
      </c>
      <c r="F770" s="4" t="n">
        <v>5</v>
      </c>
      <c r="G770" t="inlineStr">
        <is>
          <t>Tennis Alberta</t>
        </is>
      </c>
      <c r="H770" t="inlineStr">
        <is>
          <t>Royal Glenora Club</t>
        </is>
      </c>
      <c r="I770" t="n">
        <v>38.1</v>
      </c>
      <c r="J770" s="4" t="n">
        <v>48</v>
      </c>
      <c r="K770" t="inlineStr">
        <is>
          <t>18 / 30</t>
        </is>
      </c>
      <c r="L770" t="inlineStr">
        <is>
          <t>1 / 4</t>
        </is>
      </c>
      <c r="M770" s="5" t="n">
        <v>0.38</v>
      </c>
      <c r="N770" s="5" t="n">
        <v>0.2</v>
      </c>
    </row>
    <row r="771">
      <c r="A771" t="n">
        <v>770</v>
      </c>
      <c r="B771" t="n">
        <v>2015</v>
      </c>
      <c r="C771" t="inlineStr">
        <is>
          <t>Mirra Tverskaia</t>
        </is>
      </c>
      <c r="D771">
        <f>HYPERLINK("https://ota.tournamentsoftware.com/player-profile/A09D283B-5C23-4F54-A304-0C0125F7637B", "Link")</f>
        <v/>
      </c>
      <c r="E771" s="3" t="n">
        <v>12.632</v>
      </c>
      <c r="F771" s="4" t="n">
        <v>3</v>
      </c>
      <c r="G771" t="inlineStr">
        <is>
          <t>Tennis Prince Edward Island</t>
        </is>
      </c>
      <c r="H771" t="inlineStr">
        <is>
          <t>Royalty Racquet Centre</t>
        </is>
      </c>
      <c r="I771" t="inlineStr">
        <is>
          <t>unavailable</t>
        </is>
      </c>
      <c r="J771" s="4" t="n">
        <v>39</v>
      </c>
      <c r="K771" t="inlineStr">
        <is>
          <t>14 / 25</t>
        </is>
      </c>
      <c r="L771" t="inlineStr">
        <is>
          <t>0 / 1</t>
        </is>
      </c>
      <c r="M771" s="5" t="n">
        <v>0.36</v>
      </c>
      <c r="N771" s="5" t="n">
        <v>0</v>
      </c>
    </row>
    <row r="772">
      <c r="A772" t="n">
        <v>771</v>
      </c>
      <c r="B772" t="n">
        <v>2015</v>
      </c>
      <c r="C772" t="inlineStr">
        <is>
          <t>Amelia Alexei</t>
        </is>
      </c>
      <c r="D772">
        <f>HYPERLINK("https://ota.tournamentsoftware.com/player-profile/7C4A6760-7216-46E2-B5F7-A7F51935EA6B", "Link")</f>
        <v/>
      </c>
      <c r="E772" s="3" t="n">
        <v>12.6</v>
      </c>
      <c r="F772" s="4" t="n">
        <v>1</v>
      </c>
      <c r="G772" t="inlineStr">
        <is>
          <t>Ontario Tennis Association</t>
        </is>
      </c>
      <c r="H772" t="inlineStr">
        <is>
          <t>Toronto Tennis Academy</t>
        </is>
      </c>
      <c r="I772" t="n">
        <v>37.3</v>
      </c>
      <c r="J772" s="4" t="n">
        <v>95</v>
      </c>
      <c r="K772" t="inlineStr">
        <is>
          <t>63 / 32</t>
        </is>
      </c>
      <c r="L772" t="inlineStr">
        <is>
          <t>0 / 0</t>
        </is>
      </c>
      <c r="M772" s="5" t="n">
        <v>0.66</v>
      </c>
      <c r="N772" s="5" t="n">
        <v>0</v>
      </c>
    </row>
    <row r="773">
      <c r="A773" t="n">
        <v>772</v>
      </c>
      <c r="B773" t="n">
        <v>2015</v>
      </c>
      <c r="C773" t="inlineStr">
        <is>
          <t>Charlotte Huiyan Li</t>
        </is>
      </c>
      <c r="D773">
        <f>HYPERLINK("https://ota.tournamentsoftware.com/player-profile/150EC5E4-980E-4649-9619-E10B11D9BA5E", "Link")</f>
        <v/>
      </c>
      <c r="E773" s="3" t="n">
        <v>12.528</v>
      </c>
      <c r="F773" s="4" t="n">
        <v>3</v>
      </c>
      <c r="G773" t="inlineStr">
        <is>
          <t>British Columbia</t>
        </is>
      </c>
      <c r="H773" t="inlineStr">
        <is>
          <t>Tennis for Life</t>
        </is>
      </c>
      <c r="I773" t="n">
        <v>36.2</v>
      </c>
      <c r="J773" s="4" t="n">
        <v>39</v>
      </c>
      <c r="K773" t="inlineStr">
        <is>
          <t>15 / 24</t>
        </is>
      </c>
      <c r="L773" t="inlineStr">
        <is>
          <t>2 / 2</t>
        </is>
      </c>
      <c r="M773" s="5" t="n">
        <v>0.38</v>
      </c>
      <c r="N773" s="5" t="n">
        <v>0.5</v>
      </c>
    </row>
    <row r="774">
      <c r="A774" t="n">
        <v>773</v>
      </c>
      <c r="B774" t="n">
        <v>2013</v>
      </c>
      <c r="C774" t="inlineStr">
        <is>
          <t>Kashvi Chaudhary</t>
        </is>
      </c>
      <c r="D774">
        <f>HYPERLINK("https://ota.tournamentsoftware.com/player-profile/0597AAB7-43E9-42CF-B00B-4928F8A2A1CD", "Link")</f>
        <v/>
      </c>
      <c r="E774" s="3" t="n">
        <v>12.479</v>
      </c>
      <c r="F774" s="4" t="n">
        <v>3</v>
      </c>
      <c r="G774" t="inlineStr">
        <is>
          <t>Ontario Tennis Association</t>
        </is>
      </c>
      <c r="H774" t="inlineStr">
        <is>
          <t>Brampton Tennis Club</t>
        </is>
      </c>
      <c r="I774" t="n">
        <v>39.9</v>
      </c>
      <c r="J774" s="4" t="n">
        <v>14</v>
      </c>
      <c r="K774" t="inlineStr">
        <is>
          <t>2 / 12</t>
        </is>
      </c>
      <c r="L774" t="inlineStr">
        <is>
          <t>0 / 0</t>
        </is>
      </c>
      <c r="M774" s="5" t="n">
        <v>0.14</v>
      </c>
      <c r="N774" s="5" t="n">
        <v>0</v>
      </c>
    </row>
    <row r="775">
      <c r="A775" t="n">
        <v>774</v>
      </c>
      <c r="B775" t="n">
        <v>2013</v>
      </c>
      <c r="C775" t="inlineStr">
        <is>
          <t>Felicia Mingfei Li</t>
        </is>
      </c>
      <c r="D775">
        <f>HYPERLINK("https://ota.tournamentsoftware.com/player-profile/32F60D7D-3E57-4800-9C5C-282147021863", "Link")</f>
        <v/>
      </c>
      <c r="E775" s="3" t="n">
        <v>12.378</v>
      </c>
      <c r="F775" s="4" t="n">
        <v>2</v>
      </c>
      <c r="G775" t="inlineStr">
        <is>
          <t>Ontario Tennis Association</t>
        </is>
      </c>
      <c r="H775" t="inlineStr">
        <is>
          <t>Marilyn Redvers Tennis Club</t>
        </is>
      </c>
      <c r="I775" t="n">
        <v>39.7</v>
      </c>
      <c r="J775" s="4" t="n">
        <v>31</v>
      </c>
      <c r="K775" t="inlineStr">
        <is>
          <t>9 / 22</t>
        </is>
      </c>
      <c r="L775" t="inlineStr">
        <is>
          <t>0 / 2</t>
        </is>
      </c>
      <c r="M775" s="5" t="n">
        <v>0.29</v>
      </c>
      <c r="N775" s="5" t="n">
        <v>0</v>
      </c>
    </row>
    <row r="776">
      <c r="A776" t="n">
        <v>775</v>
      </c>
      <c r="B776" t="n">
        <v>2012</v>
      </c>
      <c r="C776" t="inlineStr">
        <is>
          <t>Anzhuo Yi</t>
        </is>
      </c>
      <c r="D776">
        <f>HYPERLINK("https://ota.tournamentsoftware.com/player-profile/60444867-D5FF-4226-8841-4058D520099B", "Link")</f>
        <v/>
      </c>
      <c r="E776" s="3" t="n">
        <v>12.336</v>
      </c>
      <c r="F776" s="4" t="n">
        <v>1</v>
      </c>
      <c r="G776" t="inlineStr">
        <is>
          <t>Ontario Tennis Association</t>
        </is>
      </c>
      <c r="H776" t="inlineStr">
        <is>
          <t>Premier Racquet Clubs – Mississauga</t>
        </is>
      </c>
      <c r="I776" t="n">
        <v>37.7</v>
      </c>
      <c r="J776" s="4" t="n">
        <v>8</v>
      </c>
      <c r="K776" t="inlineStr">
        <is>
          <t>2 / 6</t>
        </is>
      </c>
      <c r="L776" t="inlineStr">
        <is>
          <t>2 / 6</t>
        </is>
      </c>
      <c r="M776" s="5" t="n">
        <v>0.25</v>
      </c>
      <c r="N776" s="5" t="n">
        <v>0.25</v>
      </c>
    </row>
    <row r="777">
      <c r="A777" t="n">
        <v>776</v>
      </c>
      <c r="B777" t="n">
        <v>2013</v>
      </c>
      <c r="C777" t="inlineStr">
        <is>
          <t>Aura Hayer</t>
        </is>
      </c>
      <c r="D777">
        <f>HYPERLINK("https://ota.tournamentsoftware.com/player-profile/969F22DA-6980-4E13-BAE2-6BD2D0C08F88", "Link")</f>
        <v/>
      </c>
      <c r="E777" s="3" t="n">
        <v>12.138</v>
      </c>
      <c r="F777" s="4" t="n">
        <v>2</v>
      </c>
      <c r="G777" t="inlineStr">
        <is>
          <t>British Columbia</t>
        </is>
      </c>
      <c r="H777" t="inlineStr">
        <is>
          <t>Sunshine Hills Tennis Club</t>
        </is>
      </c>
      <c r="I777" t="n">
        <v>38.6</v>
      </c>
      <c r="J777" s="4" t="n">
        <v>103</v>
      </c>
      <c r="K777" t="inlineStr">
        <is>
          <t>32 / 71</t>
        </is>
      </c>
      <c r="L777" t="inlineStr">
        <is>
          <t>2 / 5</t>
        </is>
      </c>
      <c r="M777" s="5" t="n">
        <v>0.31</v>
      </c>
      <c r="N777" s="5" t="n">
        <v>0.29</v>
      </c>
    </row>
    <row r="778">
      <c r="A778" t="n">
        <v>777</v>
      </c>
      <c r="B778" t="n">
        <v>2016</v>
      </c>
      <c r="C778" t="inlineStr">
        <is>
          <t>Eiman Javaid Khan</t>
        </is>
      </c>
      <c r="D778">
        <f>HYPERLINK("https://ota.tournamentsoftware.com/player-profile/417EBA88-24AB-42AB-9421-1764C4FCA777", "Link")</f>
        <v/>
      </c>
      <c r="E778" s="3" t="n">
        <v>12</v>
      </c>
      <c r="F778" s="4" t="n">
        <v>2</v>
      </c>
      <c r="G778" t="inlineStr">
        <is>
          <t>Tennis Newfoundland &amp; Labrador</t>
        </is>
      </c>
      <c r="H778" t="inlineStr">
        <is>
          <t>Greenbelt Tennis Club</t>
        </is>
      </c>
      <c r="I778" t="inlineStr">
        <is>
          <t>unavailable</t>
        </is>
      </c>
      <c r="J778" s="4" t="n">
        <v>16</v>
      </c>
      <c r="K778" t="inlineStr">
        <is>
          <t>5 / 11</t>
        </is>
      </c>
      <c r="L778" t="inlineStr">
        <is>
          <t>4 / 7</t>
        </is>
      </c>
      <c r="M778" s="5" t="n">
        <v>0.31</v>
      </c>
      <c r="N778" s="5" t="n">
        <v>0.36</v>
      </c>
    </row>
    <row r="779">
      <c r="A779" t="n">
        <v>778</v>
      </c>
      <c r="B779" t="n">
        <v>2014</v>
      </c>
      <c r="C779" t="inlineStr">
        <is>
          <t>Kayla Caden</t>
        </is>
      </c>
      <c r="D779">
        <f>HYPERLINK("https://ota.tournamentsoftware.com/player-profile/EB31E71A-90E6-4B10-9538-33BC7B66EA6E", "Link")</f>
        <v/>
      </c>
      <c r="E779" s="3" t="n">
        <v>11.809</v>
      </c>
      <c r="F779" s="4" t="n">
        <v>3</v>
      </c>
      <c r="G779" t="inlineStr">
        <is>
          <t>Tennis Québec</t>
        </is>
      </c>
      <c r="H779" t="inlineStr">
        <is>
          <t>Club de tennis St-Lambert</t>
        </is>
      </c>
      <c r="I779" t="n">
        <v>38.1</v>
      </c>
      <c r="J779" s="4" t="n">
        <v>11</v>
      </c>
      <c r="K779" t="inlineStr">
        <is>
          <t>4 / 7</t>
        </is>
      </c>
      <c r="L779" t="inlineStr">
        <is>
          <t>2 / 3</t>
        </is>
      </c>
      <c r="M779" s="5" t="n">
        <v>0.36</v>
      </c>
      <c r="N779" s="5" t="n">
        <v>0.4</v>
      </c>
    </row>
    <row r="780">
      <c r="A780" t="n">
        <v>779</v>
      </c>
      <c r="B780" t="n">
        <v>2012</v>
      </c>
      <c r="C780" t="inlineStr">
        <is>
          <t>Angel Wen</t>
        </is>
      </c>
      <c r="D780">
        <f>HYPERLINK("https://ota.tournamentsoftware.com/player-profile/2BF37F0F-B2BA-4533-859D-5AFB82154AAC", "Link")</f>
        <v/>
      </c>
      <c r="E780" s="3" t="n">
        <v>11.664</v>
      </c>
      <c r="F780" s="4" t="n">
        <v>1</v>
      </c>
      <c r="G780" t="inlineStr">
        <is>
          <t>Tennis Nova Scotia</t>
        </is>
      </c>
      <c r="H780" t="inlineStr">
        <is>
          <t>Atlantic Tennis Centre</t>
        </is>
      </c>
      <c r="I780" t="n">
        <v>36.9</v>
      </c>
      <c r="J780" s="4" t="n">
        <v>2</v>
      </c>
      <c r="K780" t="inlineStr">
        <is>
          <t>0 / 2</t>
        </is>
      </c>
      <c r="L780" t="inlineStr">
        <is>
          <t>0 / 0</t>
        </is>
      </c>
      <c r="M780" s="5" t="n">
        <v>0</v>
      </c>
      <c r="N780" s="5" t="n">
        <v>0</v>
      </c>
    </row>
    <row r="781">
      <c r="A781" t="n">
        <v>780</v>
      </c>
      <c r="B781" t="n">
        <v>2013</v>
      </c>
      <c r="C781" t="inlineStr">
        <is>
          <t>Giselle Christine Lambert</t>
        </is>
      </c>
      <c r="D781">
        <f>HYPERLINK("https://ota.tournamentsoftware.com/player-profile/2E2CA1C3-86CC-418F-BF1B-9B9E4D99F292", "Link")</f>
        <v/>
      </c>
      <c r="E781" s="3" t="n">
        <v>11.48</v>
      </c>
      <c r="F781" s="4" t="n">
        <v>2</v>
      </c>
      <c r="G781" t="inlineStr">
        <is>
          <t>British Columbia</t>
        </is>
      </c>
      <c r="H781" t="inlineStr">
        <is>
          <t>Hollyburn Country Club</t>
        </is>
      </c>
      <c r="I781" t="n">
        <v>36.9</v>
      </c>
      <c r="J781" s="4" t="n">
        <v>44</v>
      </c>
      <c r="K781" t="inlineStr">
        <is>
          <t>10 / 34</t>
        </is>
      </c>
      <c r="L781" t="inlineStr">
        <is>
          <t>0 / 0</t>
        </is>
      </c>
      <c r="M781" s="5" t="n">
        <v>0.23</v>
      </c>
      <c r="N781" s="5" t="n">
        <v>0</v>
      </c>
    </row>
    <row r="782">
      <c r="A782" t="n">
        <v>781</v>
      </c>
      <c r="B782" t="n">
        <v>2016</v>
      </c>
      <c r="C782" t="inlineStr">
        <is>
          <t>Harper Whitehead</t>
        </is>
      </c>
      <c r="D782">
        <f>HYPERLINK("https://ota.tournamentsoftware.com/player-profile/11F4D113-D7D4-48BC-9EC5-3040B116C96D", "Link")</f>
        <v/>
      </c>
      <c r="E782" s="3" t="n">
        <v>11.448</v>
      </c>
      <c r="F782" s="4" t="n">
        <v>9</v>
      </c>
      <c r="G782" t="inlineStr">
        <is>
          <t>Tennis Nova Scotia</t>
        </is>
      </c>
      <c r="H782" t="inlineStr">
        <is>
          <t>Atlantic Tennis Centre</t>
        </is>
      </c>
      <c r="I782" t="n">
        <v>38.2</v>
      </c>
      <c r="J782" s="4" t="n">
        <v>80</v>
      </c>
      <c r="K782" t="inlineStr">
        <is>
          <t>35 / 45</t>
        </is>
      </c>
      <c r="L782" t="inlineStr">
        <is>
          <t>10 / 15</t>
        </is>
      </c>
      <c r="M782" s="5" t="n">
        <v>0.44</v>
      </c>
      <c r="N782" s="5" t="n">
        <v>0.4</v>
      </c>
    </row>
    <row r="783">
      <c r="A783" t="n">
        <v>782</v>
      </c>
      <c r="B783" t="n">
        <v>2015</v>
      </c>
      <c r="C783" t="inlineStr">
        <is>
          <t>Cléony Le</t>
        </is>
      </c>
      <c r="D783">
        <f>HYPERLINK("https://ota.tournamentsoftware.com/player-profile/D1C4971B-CB54-436E-9303-C69424DC84AC", "Link")</f>
        <v/>
      </c>
      <c r="E783" s="3" t="n">
        <v>11.429</v>
      </c>
      <c r="F783" s="4" t="n">
        <v>1</v>
      </c>
      <c r="G783" t="inlineStr">
        <is>
          <t>Tennis Québec</t>
        </is>
      </c>
      <c r="H783" t="inlineStr">
        <is>
          <t>Centre récréatif de Repentigny / Académie Tennis Momentum</t>
        </is>
      </c>
      <c r="I783" t="n">
        <v>37</v>
      </c>
      <c r="J783" s="4" t="n">
        <v>32</v>
      </c>
      <c r="K783" t="inlineStr">
        <is>
          <t>15 / 17</t>
        </is>
      </c>
      <c r="L783" t="inlineStr">
        <is>
          <t>0 / 1</t>
        </is>
      </c>
      <c r="M783" s="5" t="n">
        <v>0.47</v>
      </c>
      <c r="N783" s="5" t="n">
        <v>0</v>
      </c>
    </row>
    <row r="784">
      <c r="A784" t="n">
        <v>783</v>
      </c>
      <c r="B784" t="n">
        <v>2012</v>
      </c>
      <c r="C784" t="inlineStr">
        <is>
          <t>Charley Burgess</t>
        </is>
      </c>
      <c r="D784">
        <f>HYPERLINK("https://ota.tournamentsoftware.com/player-profile/F7818ED5-A370-4D5D-9CAE-03309F03D5FD", "Link")</f>
        <v/>
      </c>
      <c r="E784" s="3" t="n">
        <v>11.301</v>
      </c>
      <c r="F784" s="4" t="n">
        <v>3</v>
      </c>
      <c r="G784" t="inlineStr">
        <is>
          <t>Tennis Alberta</t>
        </is>
      </c>
      <c r="H784" t="inlineStr">
        <is>
          <t>The Glencoe Club</t>
        </is>
      </c>
      <c r="I784" t="inlineStr">
        <is>
          <t>unavailable</t>
        </is>
      </c>
      <c r="J784" s="4" t="n">
        <v>52</v>
      </c>
      <c r="K784" t="inlineStr">
        <is>
          <t>23 / 29</t>
        </is>
      </c>
      <c r="L784" t="inlineStr">
        <is>
          <t>0 / 0</t>
        </is>
      </c>
      <c r="M784" s="5" t="n">
        <v>0.44</v>
      </c>
      <c r="N784" s="5" t="n">
        <v>0</v>
      </c>
    </row>
    <row r="785">
      <c r="A785" t="n">
        <v>784</v>
      </c>
      <c r="B785" t="n">
        <v>2014</v>
      </c>
      <c r="C785" t="inlineStr">
        <is>
          <t>Neiva George</t>
        </is>
      </c>
      <c r="D785">
        <f>HYPERLINK("https://ota.tournamentsoftware.com/player-profile/1A9BA311-0F1E-40A7-9341-ECED97AEEBBD", "Link")</f>
        <v/>
      </c>
      <c r="E785" s="3" t="n">
        <v>11.286</v>
      </c>
      <c r="F785" s="4" t="n">
        <v>2</v>
      </c>
      <c r="G785" t="inlineStr">
        <is>
          <t>Ontario Tennis Association</t>
        </is>
      </c>
      <c r="H785" t="inlineStr">
        <is>
          <t>Headwaters Racquet Club</t>
        </is>
      </c>
      <c r="I785" t="n">
        <v>38.2</v>
      </c>
      <c r="J785" s="4" t="n">
        <v>47</v>
      </c>
      <c r="K785" t="inlineStr">
        <is>
          <t>23 / 24</t>
        </is>
      </c>
      <c r="L785" t="inlineStr">
        <is>
          <t>7 / 6</t>
        </is>
      </c>
      <c r="M785" s="5" t="n">
        <v>0.49</v>
      </c>
      <c r="N785" s="5" t="n">
        <v>0.54</v>
      </c>
    </row>
    <row r="786">
      <c r="A786" t="n">
        <v>785</v>
      </c>
      <c r="B786" t="n">
        <v>2016</v>
      </c>
      <c r="C786" t="inlineStr">
        <is>
          <t>Emma Hao</t>
        </is>
      </c>
      <c r="D786">
        <f>HYPERLINK("https://ota.tournamentsoftware.com/player-profile/144D222A-CD06-4355-817D-B27D5DB62B85", "Link")</f>
        <v/>
      </c>
      <c r="E786" s="3" t="n">
        <v>11.141</v>
      </c>
      <c r="F786" s="4" t="n">
        <v>4</v>
      </c>
      <c r="G786" t="inlineStr">
        <is>
          <t>Ontario Tennis Association</t>
        </is>
      </c>
      <c r="H786" t="inlineStr">
        <is>
          <t>Toronto Tennis City</t>
        </is>
      </c>
      <c r="I786" t="n">
        <v>38.1</v>
      </c>
      <c r="J786" s="4" t="n">
        <v>69</v>
      </c>
      <c r="K786" t="inlineStr">
        <is>
          <t>36 / 33</t>
        </is>
      </c>
      <c r="L786" t="inlineStr">
        <is>
          <t>16 / 9</t>
        </is>
      </c>
      <c r="M786" s="5" t="n">
        <v>0.52</v>
      </c>
      <c r="N786" s="5" t="n">
        <v>0.64</v>
      </c>
    </row>
    <row r="787">
      <c r="A787" t="n">
        <v>786</v>
      </c>
      <c r="B787" t="n">
        <v>2015</v>
      </c>
      <c r="C787" t="inlineStr">
        <is>
          <t>Marissa Grisedale</t>
        </is>
      </c>
      <c r="D787">
        <f>HYPERLINK("https://ota.tournamentsoftware.com/player-profile/FACB5C24-4DB7-463B-A373-69C70E1AC8E4", "Link")</f>
        <v/>
      </c>
      <c r="E787" s="3" t="n">
        <v>11.043</v>
      </c>
      <c r="F787" s="4" t="n">
        <v>3</v>
      </c>
      <c r="G787" t="inlineStr">
        <is>
          <t>British Columbia</t>
        </is>
      </c>
      <c r="H787" t="inlineStr">
        <is>
          <t>Commons Racquet Club at Predator Ridge</t>
        </is>
      </c>
      <c r="I787" t="n">
        <v>37.2</v>
      </c>
      <c r="J787" s="4" t="n">
        <v>40</v>
      </c>
      <c r="K787" t="inlineStr">
        <is>
          <t>20 / 20</t>
        </is>
      </c>
      <c r="L787" t="inlineStr">
        <is>
          <t>3 / 5</t>
        </is>
      </c>
      <c r="M787" s="5" t="n">
        <v>0.5</v>
      </c>
      <c r="N787" s="5" t="n">
        <v>0.38</v>
      </c>
    </row>
    <row r="788">
      <c r="A788" t="n">
        <v>787</v>
      </c>
      <c r="B788" t="n">
        <v>2012</v>
      </c>
      <c r="C788" t="inlineStr">
        <is>
          <t>Maya Chow</t>
        </is>
      </c>
      <c r="D788">
        <f>HYPERLINK("https://ota.tournamentsoftware.com/player-profile/FE33DD51-BEAF-4E17-BDBB-2558B4A2AFE6", "Link")</f>
        <v/>
      </c>
      <c r="E788" s="3" t="n">
        <v>11.011</v>
      </c>
      <c r="F788" s="4" t="n">
        <v>1</v>
      </c>
      <c r="G788" t="inlineStr">
        <is>
          <t>Ontario Tennis Association</t>
        </is>
      </c>
      <c r="H788" t="inlineStr">
        <is>
          <t>ACE Tennis - Toronto Tennis City</t>
        </is>
      </c>
      <c r="I788" t="n">
        <v>34.6</v>
      </c>
      <c r="J788" s="4" t="n">
        <v>16</v>
      </c>
      <c r="K788" t="inlineStr">
        <is>
          <t>10 / 6</t>
        </is>
      </c>
      <c r="L788" t="inlineStr">
        <is>
          <t>10 / 6</t>
        </is>
      </c>
      <c r="M788" s="5" t="n">
        <v>0.62</v>
      </c>
      <c r="N788" s="5" t="n">
        <v>0.62</v>
      </c>
    </row>
    <row r="789">
      <c r="A789" t="n">
        <v>788</v>
      </c>
      <c r="B789" t="n">
        <v>2015</v>
      </c>
      <c r="C789" t="inlineStr">
        <is>
          <t>Fabiola Antonella Sanchez Ferreyra</t>
        </is>
      </c>
      <c r="D789">
        <f>HYPERLINK("https://ota.tournamentsoftware.com/player-profile/B37A6388-D965-4303-A37E-1111875A98DF", "Link")</f>
        <v/>
      </c>
      <c r="E789" s="3" t="n">
        <v>10.873</v>
      </c>
      <c r="F789" s="4" t="n">
        <v>1</v>
      </c>
      <c r="G789" t="inlineStr">
        <is>
          <t>Tennis Québec</t>
        </is>
      </c>
      <c r="H789" t="inlineStr">
        <is>
          <t>SANI Sport</t>
        </is>
      </c>
      <c r="I789" t="n">
        <v>39.4</v>
      </c>
      <c r="J789" s="4" t="n">
        <v>12</v>
      </c>
      <c r="K789" t="inlineStr">
        <is>
          <t>7 / 5</t>
        </is>
      </c>
      <c r="L789" t="inlineStr">
        <is>
          <t>0 / 1</t>
        </is>
      </c>
      <c r="M789" s="5" t="n">
        <v>0.58</v>
      </c>
      <c r="N789" s="5" t="n">
        <v>0</v>
      </c>
    </row>
    <row r="790">
      <c r="A790" t="n">
        <v>789</v>
      </c>
      <c r="B790" t="n">
        <v>2016</v>
      </c>
      <c r="C790" t="inlineStr">
        <is>
          <t>Archini Bera</t>
        </is>
      </c>
      <c r="D790">
        <f>HYPERLINK("https://ota.tournamentsoftware.com/player-profile/6FA68B83-6E0E-4A78-81A0-6004576A8E6E", "Link")</f>
        <v/>
      </c>
      <c r="E790" s="3" t="n">
        <v>10.8</v>
      </c>
      <c r="F790" s="4" t="n">
        <v>3</v>
      </c>
      <c r="G790" t="inlineStr">
        <is>
          <t>Ontario Tennis Association</t>
        </is>
      </c>
      <c r="H790" t="inlineStr">
        <is>
          <t>Rideau Sports Centre</t>
        </is>
      </c>
      <c r="I790" t="inlineStr">
        <is>
          <t>unavailable</t>
        </is>
      </c>
      <c r="J790" s="4" t="n">
        <v>50</v>
      </c>
      <c r="K790" t="inlineStr">
        <is>
          <t>30 / 20</t>
        </is>
      </c>
      <c r="L790" t="inlineStr">
        <is>
          <t>27 / 11</t>
        </is>
      </c>
      <c r="M790" s="5" t="n">
        <v>0.6</v>
      </c>
      <c r="N790" s="5" t="n">
        <v>0.71</v>
      </c>
    </row>
    <row r="791">
      <c r="A791" t="n">
        <v>789</v>
      </c>
      <c r="B791" t="n">
        <v>2015</v>
      </c>
      <c r="C791" t="inlineStr">
        <is>
          <t>Tamara Amad</t>
        </is>
      </c>
      <c r="D791">
        <f>HYPERLINK("https://ota.tournamentsoftware.com/player-profile/4DB13A7D-F9F2-45DD-AAD4-FA9987D24AC9", "Link")</f>
        <v/>
      </c>
      <c r="E791" s="3" t="n">
        <v>10.8</v>
      </c>
      <c r="F791" s="4" t="n">
        <v>1</v>
      </c>
      <c r="G791" t="inlineStr">
        <is>
          <t>Ontario Tennis Association</t>
        </is>
      </c>
      <c r="H791" t="inlineStr">
        <is>
          <t>Ontario Racquet Club</t>
        </is>
      </c>
      <c r="I791" t="inlineStr">
        <is>
          <t>unavailable</t>
        </is>
      </c>
      <c r="J791" s="4" t="n">
        <v>20</v>
      </c>
      <c r="K791" t="inlineStr">
        <is>
          <t>12 / 8</t>
        </is>
      </c>
      <c r="L791" t="inlineStr">
        <is>
          <t>3 / 3</t>
        </is>
      </c>
      <c r="M791" s="5" t="n">
        <v>0.6</v>
      </c>
      <c r="N791" s="5" t="n">
        <v>0.5</v>
      </c>
    </row>
    <row r="792">
      <c r="A792" t="n">
        <v>789</v>
      </c>
      <c r="B792" t="n">
        <v>2016</v>
      </c>
      <c r="C792" t="inlineStr">
        <is>
          <t>Christina Chen</t>
        </is>
      </c>
      <c r="D792">
        <f>HYPERLINK("https://ota.tournamentsoftware.com/player-profile/77F19A45-EF05-4CCE-896B-44A6BEF594C7", "Link")</f>
        <v/>
      </c>
      <c r="E792" s="3" t="n">
        <v>10.8</v>
      </c>
      <c r="F792" s="4" t="n">
        <v>2</v>
      </c>
      <c r="G792" t="inlineStr">
        <is>
          <t>Ontario Tennis Association</t>
        </is>
      </c>
      <c r="H792" t="inlineStr">
        <is>
          <t>No Club</t>
        </is>
      </c>
      <c r="I792" t="n">
        <v>39.6</v>
      </c>
      <c r="J792" s="4" t="n">
        <v>73</v>
      </c>
      <c r="K792" t="inlineStr">
        <is>
          <t>7 / 66</t>
        </is>
      </c>
      <c r="L792" t="inlineStr">
        <is>
          <t>3 / 13</t>
        </is>
      </c>
      <c r="M792" s="5" t="n">
        <v>0.1</v>
      </c>
      <c r="N792" s="5" t="n">
        <v>0.19</v>
      </c>
    </row>
    <row r="793">
      <c r="A793" t="n">
        <v>789</v>
      </c>
      <c r="B793" t="n">
        <v>2015</v>
      </c>
      <c r="C793" t="inlineStr">
        <is>
          <t>Meera Ramanathan</t>
        </is>
      </c>
      <c r="D793">
        <f>HYPERLINK("https://ota.tournamentsoftware.com/player-profile/4BFD1C94-F572-47D9-8892-3117B37D58A1", "Link")</f>
        <v/>
      </c>
      <c r="E793" s="3" t="n">
        <v>10.8</v>
      </c>
      <c r="F793" s="4" t="n">
        <v>1</v>
      </c>
      <c r="G793" t="inlineStr">
        <is>
          <t>Ontario Tennis Association</t>
        </is>
      </c>
      <c r="H793" t="inlineStr">
        <is>
          <t>Rideau Sports Centre</t>
        </is>
      </c>
      <c r="I793" t="n">
        <v>38.7</v>
      </c>
      <c r="J793" s="4" t="n">
        <v>7</v>
      </c>
      <c r="K793" t="inlineStr">
        <is>
          <t>3 / 4</t>
        </is>
      </c>
      <c r="L793" t="inlineStr">
        <is>
          <t>3 / 4</t>
        </is>
      </c>
      <c r="M793" s="5" t="n">
        <v>0.43</v>
      </c>
      <c r="N793" s="5" t="n">
        <v>0.43</v>
      </c>
    </row>
    <row r="794">
      <c r="A794" t="n">
        <v>789</v>
      </c>
      <c r="B794" t="n">
        <v>2012</v>
      </c>
      <c r="C794" t="inlineStr">
        <is>
          <t>Jiayi Emma Wang</t>
        </is>
      </c>
      <c r="D794">
        <f>HYPERLINK("https://ota.tournamentsoftware.com/player-profile/C6ED9D5C-83AD-4AC9-9DCE-1D21A2304573", "Link")</f>
        <v/>
      </c>
      <c r="E794" s="3" t="n">
        <v>10.8</v>
      </c>
      <c r="F794" s="4" t="n">
        <v>1</v>
      </c>
      <c r="G794" t="inlineStr">
        <is>
          <t>British Columbia</t>
        </is>
      </c>
      <c r="H794" t="inlineStr">
        <is>
          <t>No Club</t>
        </is>
      </c>
      <c r="I794" t="inlineStr">
        <is>
          <t>unavailable</t>
        </is>
      </c>
      <c r="J794" s="4" t="n">
        <v>12</v>
      </c>
      <c r="K794" t="inlineStr">
        <is>
          <t>2 / 10</t>
        </is>
      </c>
      <c r="L794" t="inlineStr">
        <is>
          <t>1 / 1</t>
        </is>
      </c>
      <c r="M794" s="5" t="n">
        <v>0.17</v>
      </c>
      <c r="N794" s="5" t="n">
        <v>0.5</v>
      </c>
    </row>
    <row r="795">
      <c r="A795" t="n">
        <v>794</v>
      </c>
      <c r="B795" t="n">
        <v>2012</v>
      </c>
      <c r="C795" t="inlineStr">
        <is>
          <t>Sofia Kalchenko</t>
        </is>
      </c>
      <c r="D795">
        <f>HYPERLINK("https://ota.tournamentsoftware.com/player-profile/95371403-EC89-475C-B20A-60F935026FFA", "Link")</f>
        <v/>
      </c>
      <c r="E795" s="3" t="n">
        <v>10.627</v>
      </c>
      <c r="F795" s="4" t="n">
        <v>4</v>
      </c>
      <c r="G795" t="inlineStr">
        <is>
          <t>Tennis Alberta</t>
        </is>
      </c>
      <c r="H795" t="inlineStr">
        <is>
          <t>Aforza</t>
        </is>
      </c>
      <c r="I795" t="inlineStr">
        <is>
          <t>unavailable</t>
        </is>
      </c>
      <c r="J795" s="4" t="n">
        <v>41</v>
      </c>
      <c r="K795" t="inlineStr">
        <is>
          <t>20 / 21</t>
        </is>
      </c>
      <c r="L795" t="inlineStr">
        <is>
          <t>3 / 1</t>
        </is>
      </c>
      <c r="M795" s="5" t="n">
        <v>0.49</v>
      </c>
      <c r="N795" s="5" t="n">
        <v>0.75</v>
      </c>
    </row>
    <row r="796">
      <c r="A796" t="n">
        <v>795</v>
      </c>
      <c r="B796" t="n">
        <v>2014</v>
      </c>
      <c r="C796" t="inlineStr">
        <is>
          <t>Madelyn Palsat</t>
        </is>
      </c>
      <c r="D796">
        <f>HYPERLINK("https://ota.tournamentsoftware.com/player-profile/B7A28D92-CC5D-460E-A752-75C63DAB2E9F", "Link")</f>
        <v/>
      </c>
      <c r="E796" s="3" t="n">
        <v>10.44</v>
      </c>
      <c r="F796" s="4" t="n">
        <v>7</v>
      </c>
      <c r="G796" t="inlineStr">
        <is>
          <t>Tennis Alberta</t>
        </is>
      </c>
      <c r="H796" t="inlineStr">
        <is>
          <t>Royal Glenora Club</t>
        </is>
      </c>
      <c r="I796" t="n">
        <v>37.1</v>
      </c>
      <c r="J796" s="4" t="n">
        <v>19</v>
      </c>
      <c r="K796" t="inlineStr">
        <is>
          <t>9 / 10</t>
        </is>
      </c>
      <c r="L796" t="inlineStr">
        <is>
          <t>9 / 10</t>
        </is>
      </c>
      <c r="M796" s="5" t="n">
        <v>0.47</v>
      </c>
      <c r="N796" s="5" t="n">
        <v>0.47</v>
      </c>
    </row>
    <row r="797">
      <c r="A797" t="n">
        <v>796</v>
      </c>
      <c r="B797" t="n">
        <v>2015</v>
      </c>
      <c r="C797" t="inlineStr">
        <is>
          <t>Emmanuelle Farah Kwin Onana</t>
        </is>
      </c>
      <c r="D797">
        <f>HYPERLINK("https://ota.tournamentsoftware.com/player-profile/7931DDBA-D7CA-40E8-97CF-DF1CA8113B24", "Link")</f>
        <v/>
      </c>
      <c r="E797" s="3" t="n">
        <v>10.368</v>
      </c>
      <c r="F797" s="4" t="n">
        <v>1</v>
      </c>
      <c r="G797" t="inlineStr">
        <is>
          <t>Tennis Québec</t>
        </is>
      </c>
      <c r="H797" t="inlineStr">
        <is>
          <t>Club de tennis de Gatineau</t>
        </is>
      </c>
      <c r="I797" t="inlineStr">
        <is>
          <t>unavailable</t>
        </is>
      </c>
      <c r="J797" s="4" t="n">
        <v>13</v>
      </c>
      <c r="K797" t="inlineStr">
        <is>
          <t>6 / 7</t>
        </is>
      </c>
      <c r="L797" t="inlineStr">
        <is>
          <t>0 / 1</t>
        </is>
      </c>
      <c r="M797" s="5" t="n">
        <v>0.46</v>
      </c>
      <c r="N797" s="5" t="n">
        <v>0</v>
      </c>
    </row>
    <row r="798">
      <c r="A798" t="n">
        <v>796</v>
      </c>
      <c r="B798" t="n">
        <v>2015</v>
      </c>
      <c r="C798" t="inlineStr">
        <is>
          <t>ALYSSA MA</t>
        </is>
      </c>
      <c r="D798">
        <f>HYPERLINK("https://ota.tournamentsoftware.com/player-profile/7C80CDC4-31A2-4667-A2A3-AE7AD2699300", "Link")</f>
        <v/>
      </c>
      <c r="E798" s="3" t="n">
        <v>10.368</v>
      </c>
      <c r="F798" s="4" t="n">
        <v>2</v>
      </c>
      <c r="G798" t="inlineStr">
        <is>
          <t>Ontario Tennis Association</t>
        </is>
      </c>
      <c r="H798" t="inlineStr">
        <is>
          <t>Blackmore Tennis Club</t>
        </is>
      </c>
      <c r="I798" t="n">
        <v>37.3</v>
      </c>
      <c r="J798" s="4" t="n">
        <v>15</v>
      </c>
      <c r="K798" t="inlineStr">
        <is>
          <t>7 / 8</t>
        </is>
      </c>
      <c r="L798" t="inlineStr">
        <is>
          <t>1 / 5</t>
        </is>
      </c>
      <c r="M798" s="5" t="n">
        <v>0.47</v>
      </c>
      <c r="N798" s="5" t="n">
        <v>0.17</v>
      </c>
    </row>
    <row r="799">
      <c r="A799" t="n">
        <v>796</v>
      </c>
      <c r="B799" t="n">
        <v>2016</v>
      </c>
      <c r="C799" t="inlineStr">
        <is>
          <t>Alice Trépanier</t>
        </is>
      </c>
      <c r="D799">
        <f>HYPERLINK("https://ota.tournamentsoftware.com/player-profile/005FD3B5-057F-4BFE-B6D1-1D3CC87FBA27", "Link")</f>
        <v/>
      </c>
      <c r="E799" s="3" t="n">
        <v>10.368</v>
      </c>
      <c r="F799" s="4" t="n">
        <v>1</v>
      </c>
      <c r="G799" t="inlineStr">
        <is>
          <t>Tennis Québec</t>
        </is>
      </c>
      <c r="H799" t="inlineStr">
        <is>
          <t>Centre Récréatif Rock Forest</t>
        </is>
      </c>
      <c r="I799" t="inlineStr">
        <is>
          <t>unavailable</t>
        </is>
      </c>
      <c r="J799" s="4" t="n">
        <v>33</v>
      </c>
      <c r="K799" t="inlineStr">
        <is>
          <t>14 / 19</t>
        </is>
      </c>
      <c r="L799" t="inlineStr">
        <is>
          <t>10 / 11</t>
        </is>
      </c>
      <c r="M799" s="5" t="n">
        <v>0.42</v>
      </c>
      <c r="N799" s="5" t="n">
        <v>0.48</v>
      </c>
    </row>
    <row r="800">
      <c r="A800" t="n">
        <v>799</v>
      </c>
      <c r="B800" t="n">
        <v>2014</v>
      </c>
      <c r="C800" t="inlineStr">
        <is>
          <t>Flore Laferrière</t>
        </is>
      </c>
      <c r="D800">
        <f>HYPERLINK("https://ota.tournamentsoftware.com/player-profile/14AB607F-E600-4113-85A8-3FA78DC9A248", "Link")</f>
        <v/>
      </c>
      <c r="E800" s="3" t="n">
        <v>10.149</v>
      </c>
      <c r="F800" s="4" t="n">
        <v>3</v>
      </c>
      <c r="G800" t="inlineStr">
        <is>
          <t>Tennis Québec</t>
        </is>
      </c>
      <c r="H800" t="inlineStr">
        <is>
          <t>Tennis 3R- l’Academie l’échange</t>
        </is>
      </c>
      <c r="I800" t="n">
        <v>39.6</v>
      </c>
      <c r="J800" s="4" t="n">
        <v>8</v>
      </c>
      <c r="K800" t="inlineStr">
        <is>
          <t>1 / 7</t>
        </is>
      </c>
      <c r="L800" t="inlineStr">
        <is>
          <t>0 / 3</t>
        </is>
      </c>
      <c r="M800" s="5" t="n">
        <v>0.12</v>
      </c>
      <c r="N800" s="5" t="n">
        <v>0</v>
      </c>
    </row>
    <row r="801">
      <c r="A801" t="n">
        <v>800</v>
      </c>
      <c r="B801" t="n">
        <v>2015</v>
      </c>
      <c r="C801" t="inlineStr">
        <is>
          <t>Autumn VandeCoevering</t>
        </is>
      </c>
      <c r="D801">
        <f>HYPERLINK("https://ota.tournamentsoftware.com/player-profile/1CD9DDAD-A036-4365-A97E-F88D56D4B94B", "Link")</f>
        <v/>
      </c>
      <c r="E801" s="3" t="n">
        <v>10.146</v>
      </c>
      <c r="F801" s="4" t="n">
        <v>2</v>
      </c>
      <c r="G801" t="inlineStr">
        <is>
          <t>Ontario Tennis Association</t>
        </is>
      </c>
      <c r="H801" t="inlineStr">
        <is>
          <t>Greenhills Golf Club</t>
        </is>
      </c>
      <c r="I801" t="inlineStr">
        <is>
          <t>unavailable</t>
        </is>
      </c>
      <c r="J801" s="4" t="n">
        <v>6</v>
      </c>
      <c r="K801" t="inlineStr">
        <is>
          <t>2 / 4</t>
        </is>
      </c>
      <c r="L801" t="inlineStr">
        <is>
          <t>2 / 4</t>
        </is>
      </c>
      <c r="M801" s="5" t="n">
        <v>0.33</v>
      </c>
      <c r="N801" s="5" t="n">
        <v>0.33</v>
      </c>
    </row>
    <row r="802">
      <c r="A802" t="n">
        <v>801</v>
      </c>
      <c r="B802" t="n">
        <v>2015</v>
      </c>
      <c r="C802" t="inlineStr">
        <is>
          <t>Jaelynn Lumandas</t>
        </is>
      </c>
      <c r="D802">
        <f>HYPERLINK("https://ota.tournamentsoftware.com/player-profile/586CE1E5-E974-4A42-B919-DE1FC94F6144", "Link")</f>
        <v/>
      </c>
      <c r="E802" s="3" t="n">
        <v>10.137</v>
      </c>
      <c r="F802" s="4" t="n">
        <v>3</v>
      </c>
      <c r="G802" t="inlineStr">
        <is>
          <t>Tennis Alberta</t>
        </is>
      </c>
      <c r="H802" t="inlineStr">
        <is>
          <t>Saville Community Sports Centre</t>
        </is>
      </c>
      <c r="I802" t="n">
        <v>40</v>
      </c>
      <c r="J802" s="4" t="n">
        <v>25</v>
      </c>
      <c r="K802" t="inlineStr">
        <is>
          <t>1 / 24</t>
        </is>
      </c>
      <c r="L802" t="inlineStr">
        <is>
          <t>0 / 4</t>
        </is>
      </c>
      <c r="M802" s="5" t="n">
        <v>0.04</v>
      </c>
      <c r="N802" s="5" t="n">
        <v>0</v>
      </c>
    </row>
    <row r="803">
      <c r="A803" t="n">
        <v>802</v>
      </c>
      <c r="B803" t="n">
        <v>2013</v>
      </c>
      <c r="C803" t="inlineStr">
        <is>
          <t>Kate Sumner</t>
        </is>
      </c>
      <c r="D803">
        <f>HYPERLINK("https://ota.tournamentsoftware.com/player-profile/42BF9410-8926-4C81-9B50-F1262CEF0360", "Link")</f>
        <v/>
      </c>
      <c r="E803" s="3" t="n">
        <v>9.978999999999999</v>
      </c>
      <c r="F803" s="4" t="n">
        <v>2</v>
      </c>
      <c r="G803" t="inlineStr">
        <is>
          <t>Ontario Tennis Association</t>
        </is>
      </c>
      <c r="H803" t="inlineStr">
        <is>
          <t>Toronto Cricket Skating &amp; Curling</t>
        </is>
      </c>
      <c r="I803" t="inlineStr">
        <is>
          <t>unavailable</t>
        </is>
      </c>
      <c r="J803" s="4" t="inlineStr"/>
      <c r="K803" t="inlineStr">
        <is>
          <t>unavailable</t>
        </is>
      </c>
      <c r="L803" t="inlineStr">
        <is>
          <t>unavailable</t>
        </is>
      </c>
      <c r="M803" s="5" t="inlineStr"/>
      <c r="N803" s="5" t="inlineStr"/>
    </row>
    <row r="804">
      <c r="A804" t="n">
        <v>803</v>
      </c>
      <c r="B804" t="n">
        <v>2013</v>
      </c>
      <c r="C804" t="inlineStr">
        <is>
          <t>Anastasia Gorceac</t>
        </is>
      </c>
      <c r="D804">
        <f>HYPERLINK("https://ota.tournamentsoftware.com/player-profile/34DB6E68-DC2D-46A3-9FCF-82A58A1EDBE3", "Link")</f>
        <v/>
      </c>
      <c r="E804" s="3" t="n">
        <v>9.612</v>
      </c>
      <c r="F804" s="4" t="n">
        <v>2</v>
      </c>
      <c r="G804" t="inlineStr">
        <is>
          <t>Tennis Québec</t>
        </is>
      </c>
      <c r="H804" t="inlineStr">
        <is>
          <t>No Club</t>
        </is>
      </c>
      <c r="I804" t="n">
        <v>37.9</v>
      </c>
      <c r="J804" s="4" t="n">
        <v>8</v>
      </c>
      <c r="K804" t="inlineStr">
        <is>
          <t>4 / 4</t>
        </is>
      </c>
      <c r="L804" t="inlineStr">
        <is>
          <t>0 / 0</t>
        </is>
      </c>
      <c r="M804" s="5" t="n">
        <v>0.5</v>
      </c>
      <c r="N804" s="5" t="n">
        <v>0</v>
      </c>
    </row>
    <row r="805">
      <c r="A805" t="n">
        <v>804</v>
      </c>
      <c r="B805" t="n">
        <v>2015</v>
      </c>
      <c r="C805" t="inlineStr">
        <is>
          <t>Violet Rose Divell</t>
        </is>
      </c>
      <c r="D805">
        <f>HYPERLINK("https://ota.tournamentsoftware.com/player-profile/264EFCE5-2D5B-4014-A1E4-CF0F958237B9", "Link")</f>
        <v/>
      </c>
      <c r="E805" s="3" t="n">
        <v>9.598000000000001</v>
      </c>
      <c r="F805" s="4" t="n">
        <v>3</v>
      </c>
      <c r="G805" t="inlineStr">
        <is>
          <t>Tennis Québec</t>
        </is>
      </c>
      <c r="H805" t="inlineStr">
        <is>
          <t>Académie de tennis UNI(T)</t>
        </is>
      </c>
      <c r="I805" t="n">
        <v>39.4</v>
      </c>
      <c r="J805" s="4" t="n">
        <v>6</v>
      </c>
      <c r="K805" t="inlineStr">
        <is>
          <t>1 / 5</t>
        </is>
      </c>
      <c r="L805" t="inlineStr">
        <is>
          <t>1 / 5</t>
        </is>
      </c>
      <c r="M805" s="5" t="n">
        <v>0.17</v>
      </c>
      <c r="N805" s="5" t="n">
        <v>0.17</v>
      </c>
    </row>
    <row r="806">
      <c r="A806" t="n">
        <v>805</v>
      </c>
      <c r="B806" t="n">
        <v>2013</v>
      </c>
      <c r="C806" t="inlineStr">
        <is>
          <t>Yujin Cao</t>
        </is>
      </c>
      <c r="D806">
        <f>HYPERLINK("https://ota.tournamentsoftware.com/player-profile/8260D181-2742-4015-AD52-73D66B6FD70A", "Link")</f>
        <v/>
      </c>
      <c r="E806" s="3" t="n">
        <v>9.59</v>
      </c>
      <c r="F806" s="4" t="n">
        <v>2</v>
      </c>
      <c r="G806" t="inlineStr">
        <is>
          <t>Tennis Québec</t>
        </is>
      </c>
      <c r="H806" t="inlineStr">
        <is>
          <t>Tennis 13</t>
        </is>
      </c>
      <c r="I806" t="inlineStr">
        <is>
          <t>unavailable</t>
        </is>
      </c>
      <c r="J806" s="4" t="n">
        <v>5</v>
      </c>
      <c r="K806" t="inlineStr">
        <is>
          <t>2 / 3</t>
        </is>
      </c>
      <c r="L806" t="inlineStr">
        <is>
          <t>0 / 1</t>
        </is>
      </c>
      <c r="M806" s="5" t="n">
        <v>0.4</v>
      </c>
      <c r="N806" s="5" t="n">
        <v>0</v>
      </c>
    </row>
    <row r="807">
      <c r="A807" t="n">
        <v>806</v>
      </c>
      <c r="B807" t="n">
        <v>2012</v>
      </c>
      <c r="C807" t="inlineStr">
        <is>
          <t>Eya Louati</t>
        </is>
      </c>
      <c r="D807">
        <f>HYPERLINK("https://ota.tournamentsoftware.com/player-profile/679317D4-2CCC-4345-A8E0-4E4AB637C148", "Link")</f>
        <v/>
      </c>
      <c r="E807" s="3" t="n">
        <v>9.504</v>
      </c>
      <c r="F807" s="4" t="n">
        <v>1</v>
      </c>
      <c r="G807" t="inlineStr">
        <is>
          <t>Tennis Québec</t>
        </is>
      </c>
      <c r="H807" t="inlineStr">
        <is>
          <t>SANI Sport</t>
        </is>
      </c>
      <c r="I807" t="inlineStr">
        <is>
          <t>unavailable</t>
        </is>
      </c>
      <c r="J807" s="4" t="n">
        <v>90</v>
      </c>
      <c r="K807" t="inlineStr">
        <is>
          <t>28 / 62</t>
        </is>
      </c>
      <c r="L807" t="inlineStr">
        <is>
          <t>1 / 2</t>
        </is>
      </c>
      <c r="M807" s="5" t="n">
        <v>0.31</v>
      </c>
      <c r="N807" s="5" t="n">
        <v>0.33</v>
      </c>
    </row>
    <row r="808">
      <c r="A808" t="n">
        <v>807</v>
      </c>
      <c r="B808" t="n">
        <v>2014</v>
      </c>
      <c r="C808" t="inlineStr">
        <is>
          <t>Yingshan Zoey Chen</t>
        </is>
      </c>
      <c r="D808">
        <f>HYPERLINK("https://ota.tournamentsoftware.com/player-profile/A4F9AF2C-7FB4-474F-BA3A-0E1AB32672E3", "Link")</f>
        <v/>
      </c>
      <c r="E808" s="3" t="n">
        <v>9.414999999999999</v>
      </c>
      <c r="F808" s="4" t="n">
        <v>3</v>
      </c>
      <c r="G808" t="inlineStr">
        <is>
          <t>Ontario Tennis Association</t>
        </is>
      </c>
      <c r="H808" t="inlineStr">
        <is>
          <t>Thornhill Country Club</t>
        </is>
      </c>
      <c r="I808" t="n">
        <v>38.5</v>
      </c>
      <c r="J808" s="4" t="n">
        <v>24</v>
      </c>
      <c r="K808" t="inlineStr">
        <is>
          <t>5 / 19</t>
        </is>
      </c>
      <c r="L808" t="inlineStr">
        <is>
          <t>2 / 4</t>
        </is>
      </c>
      <c r="M808" s="5" t="n">
        <v>0.21</v>
      </c>
      <c r="N808" s="5" t="n">
        <v>0.33</v>
      </c>
    </row>
    <row r="809">
      <c r="A809" t="n">
        <v>808</v>
      </c>
      <c r="B809" t="n">
        <v>2013</v>
      </c>
      <c r="C809" t="inlineStr">
        <is>
          <t>Harper Thompson</t>
        </is>
      </c>
      <c r="D809">
        <f>HYPERLINK("https://ota.tournamentsoftware.com/player-profile/D930EA05-6917-4BB8-9AD8-DE7F29C99324", "Link")</f>
        <v/>
      </c>
      <c r="E809" s="3" t="n">
        <v>8.938000000000001</v>
      </c>
      <c r="F809" s="4" t="n">
        <v>3</v>
      </c>
      <c r="G809" t="inlineStr">
        <is>
          <t>Tennis Alberta</t>
        </is>
      </c>
      <c r="H809" t="inlineStr">
        <is>
          <t>The Glencoe Club</t>
        </is>
      </c>
      <c r="I809" t="inlineStr">
        <is>
          <t>unavailable</t>
        </is>
      </c>
      <c r="J809" s="4" t="n">
        <v>44</v>
      </c>
      <c r="K809" t="inlineStr">
        <is>
          <t>2 / 42</t>
        </is>
      </c>
      <c r="L809" t="inlineStr">
        <is>
          <t>0 / 2</t>
        </is>
      </c>
      <c r="M809" s="5" t="n">
        <v>0.05</v>
      </c>
      <c r="N809" s="5" t="n">
        <v>0</v>
      </c>
    </row>
    <row r="810">
      <c r="A810" t="n">
        <v>809</v>
      </c>
      <c r="B810" t="n">
        <v>2014</v>
      </c>
      <c r="C810" t="inlineStr">
        <is>
          <t>Avery Rose Kon</t>
        </is>
      </c>
      <c r="D810">
        <f>HYPERLINK("https://ota.tournamentsoftware.com/player-profile/3F621439-578C-4BDD-A8A2-880ECC795615", "Link")</f>
        <v/>
      </c>
      <c r="E810" s="3" t="n">
        <v>8.888</v>
      </c>
      <c r="F810" s="4" t="n">
        <v>2</v>
      </c>
      <c r="G810" t="inlineStr">
        <is>
          <t>Ontario Tennis Association</t>
        </is>
      </c>
      <c r="H810" t="inlineStr">
        <is>
          <t>Toronto Lawn Tennis Club</t>
        </is>
      </c>
      <c r="I810" t="n">
        <v>36.6</v>
      </c>
      <c r="J810" s="4" t="n">
        <v>8</v>
      </c>
      <c r="K810" t="inlineStr">
        <is>
          <t>1 / 7</t>
        </is>
      </c>
      <c r="L810" t="inlineStr">
        <is>
          <t>0 / 2</t>
        </is>
      </c>
      <c r="M810" s="5" t="n">
        <v>0.12</v>
      </c>
      <c r="N810" s="5" t="n">
        <v>0</v>
      </c>
    </row>
    <row r="811">
      <c r="A811" t="n">
        <v>810</v>
      </c>
      <c r="B811" t="n">
        <v>2014</v>
      </c>
      <c r="C811" t="inlineStr">
        <is>
          <t>Annabelle Zhao</t>
        </is>
      </c>
      <c r="D811">
        <f>HYPERLINK("https://ota.tournamentsoftware.com/player-profile/F9367D16-E3B7-41BB-810F-85E4C6371542", "Link")</f>
        <v/>
      </c>
      <c r="E811" s="3" t="n">
        <v>8.882999999999999</v>
      </c>
      <c r="F811" s="4" t="n">
        <v>3</v>
      </c>
      <c r="G811" t="inlineStr">
        <is>
          <t>British Columbia</t>
        </is>
      </c>
      <c r="H811" t="inlineStr">
        <is>
          <t>The Tennis Centre</t>
        </is>
      </c>
      <c r="I811" t="n">
        <v>39</v>
      </c>
      <c r="J811" s="4" t="n">
        <v>61</v>
      </c>
      <c r="K811" t="inlineStr">
        <is>
          <t>30 / 31</t>
        </is>
      </c>
      <c r="L811" t="inlineStr">
        <is>
          <t>10 / 8</t>
        </is>
      </c>
      <c r="M811" s="5" t="n">
        <v>0.49</v>
      </c>
      <c r="N811" s="5" t="n">
        <v>0.5600000000000001</v>
      </c>
    </row>
    <row r="812">
      <c r="A812" t="n">
        <v>811</v>
      </c>
      <c r="B812" t="n">
        <v>2014</v>
      </c>
      <c r="C812" t="inlineStr">
        <is>
          <t>Jylian May II Mauricio Luces</t>
        </is>
      </c>
      <c r="D812">
        <f>HYPERLINK("https://ota.tournamentsoftware.com/player-profile/EE4C1547-2DEF-4E96-BA65-F8069863F09D", "Link")</f>
        <v/>
      </c>
      <c r="E812" s="3" t="n">
        <v>8.861000000000001</v>
      </c>
      <c r="F812" s="4" t="n">
        <v>7</v>
      </c>
      <c r="G812" t="inlineStr">
        <is>
          <t>Tennis Alberta</t>
        </is>
      </c>
      <c r="H812" t="inlineStr">
        <is>
          <t>Osten &amp; Victor Alberta Tennis Centre</t>
        </is>
      </c>
      <c r="I812" t="inlineStr">
        <is>
          <t>unavailable</t>
        </is>
      </c>
      <c r="J812" s="4" t="n">
        <v>33</v>
      </c>
      <c r="K812" t="inlineStr">
        <is>
          <t>6 / 27</t>
        </is>
      </c>
      <c r="L812" t="inlineStr">
        <is>
          <t>2 / 8</t>
        </is>
      </c>
      <c r="M812" s="5" t="n">
        <v>0.18</v>
      </c>
      <c r="N812" s="5" t="n">
        <v>0.2</v>
      </c>
    </row>
    <row r="813">
      <c r="A813" t="n">
        <v>812</v>
      </c>
      <c r="B813" t="n">
        <v>2015</v>
      </c>
      <c r="C813" t="inlineStr">
        <is>
          <t>Olive Allen</t>
        </is>
      </c>
      <c r="D813">
        <f>HYPERLINK("https://ota.tournamentsoftware.com/player-profile/B0709DF4-F657-4BE5-870B-1467DB919D18", "Link")</f>
        <v/>
      </c>
      <c r="E813" s="3" t="n">
        <v>8.744999999999999</v>
      </c>
      <c r="F813" s="4" t="n">
        <v>3</v>
      </c>
      <c r="G813" t="inlineStr">
        <is>
          <t>British Columbia</t>
        </is>
      </c>
      <c r="H813" t="inlineStr">
        <is>
          <t>Hollyburn Country Club</t>
        </is>
      </c>
      <c r="I813" t="n">
        <v>40</v>
      </c>
      <c r="J813" s="4" t="n">
        <v>38</v>
      </c>
      <c r="K813" t="inlineStr">
        <is>
          <t>13 / 25</t>
        </is>
      </c>
      <c r="L813" t="inlineStr">
        <is>
          <t>4 / 9</t>
        </is>
      </c>
      <c r="M813" s="5" t="n">
        <v>0.34</v>
      </c>
      <c r="N813" s="5" t="n">
        <v>0.31</v>
      </c>
    </row>
    <row r="814">
      <c r="A814" t="n">
        <v>813</v>
      </c>
      <c r="B814" t="n">
        <v>2015</v>
      </c>
      <c r="C814" t="inlineStr">
        <is>
          <t>Isabella Maria Galati</t>
        </is>
      </c>
      <c r="D814">
        <f>HYPERLINK("https://ota.tournamentsoftware.com/player-profile/401ED85D-9EDD-4DED-B064-33902C7F4DF4", "Link")</f>
        <v/>
      </c>
      <c r="E814" s="3" t="n">
        <v>8.694000000000001</v>
      </c>
      <c r="F814" s="4" t="n">
        <v>2</v>
      </c>
      <c r="G814" t="inlineStr">
        <is>
          <t>Ontario Tennis Association</t>
        </is>
      </c>
      <c r="H814" t="inlineStr">
        <is>
          <t>Pickering Tennis Academy</t>
        </is>
      </c>
      <c r="I814" t="n">
        <v>37.7</v>
      </c>
      <c r="J814" s="4" t="n">
        <v>24</v>
      </c>
      <c r="K814" t="inlineStr">
        <is>
          <t>11 / 13</t>
        </is>
      </c>
      <c r="L814" t="inlineStr">
        <is>
          <t>5 / 2</t>
        </is>
      </c>
      <c r="M814" s="5" t="n">
        <v>0.46</v>
      </c>
      <c r="N814" s="5" t="n">
        <v>0.71</v>
      </c>
    </row>
    <row r="815">
      <c r="A815" t="n">
        <v>814</v>
      </c>
      <c r="B815" t="n">
        <v>2015</v>
      </c>
      <c r="C815" t="inlineStr">
        <is>
          <t>Chloe Brown</t>
        </is>
      </c>
      <c r="D815">
        <f>HYPERLINK("https://ota.tournamentsoftware.com/player-profile/E3B2C995-F41E-4C95-81DE-7B219EF03CBD", "Link")</f>
        <v/>
      </c>
      <c r="E815" s="3" t="n">
        <v>8.640000000000001</v>
      </c>
      <c r="F815" s="4" t="n">
        <v>3</v>
      </c>
      <c r="G815" t="inlineStr">
        <is>
          <t>British Columbia</t>
        </is>
      </c>
      <c r="H815" t="inlineStr">
        <is>
          <t>Commons Racquet Club at Predator Ridge</t>
        </is>
      </c>
      <c r="I815" t="n">
        <v>38.5</v>
      </c>
      <c r="J815" s="4" t="n">
        <v>25</v>
      </c>
      <c r="K815" t="inlineStr">
        <is>
          <t>10 / 15</t>
        </is>
      </c>
      <c r="L815" t="inlineStr">
        <is>
          <t>7 / 5</t>
        </is>
      </c>
      <c r="M815" s="5" t="n">
        <v>0.4</v>
      </c>
      <c r="N815" s="5" t="n">
        <v>0.58</v>
      </c>
    </row>
    <row r="816">
      <c r="A816" t="n">
        <v>814</v>
      </c>
      <c r="B816" t="n">
        <v>2014</v>
      </c>
      <c r="C816" t="inlineStr">
        <is>
          <t>Candice Cui</t>
        </is>
      </c>
      <c r="D816">
        <f>HYPERLINK("https://ota.tournamentsoftware.com/player-profile/389A79F0-4AEE-4BAD-A33E-98A21CD35738", "Link")</f>
        <v/>
      </c>
      <c r="E816" s="3" t="n">
        <v>8.640000000000001</v>
      </c>
      <c r="F816" s="4" t="n">
        <v>2</v>
      </c>
      <c r="G816" t="inlineStr">
        <is>
          <t>British Columbia</t>
        </is>
      </c>
      <c r="H816" t="inlineStr">
        <is>
          <t>Okanagan Mission Tennis Club Kelowna</t>
        </is>
      </c>
      <c r="I816" t="inlineStr">
        <is>
          <t>unavailable</t>
        </is>
      </c>
      <c r="J816" s="4" t="n">
        <v>30</v>
      </c>
      <c r="K816" t="inlineStr">
        <is>
          <t>11 / 19</t>
        </is>
      </c>
      <c r="L816" t="inlineStr">
        <is>
          <t>2 / 2</t>
        </is>
      </c>
      <c r="M816" s="5" t="n">
        <v>0.37</v>
      </c>
      <c r="N816" s="5" t="n">
        <v>0.5</v>
      </c>
    </row>
    <row r="817">
      <c r="A817" t="n">
        <v>816</v>
      </c>
      <c r="B817" t="n">
        <v>2013</v>
      </c>
      <c r="C817" t="inlineStr">
        <is>
          <t>Nya Robinson</t>
        </is>
      </c>
      <c r="D817">
        <f>HYPERLINK("https://ota.tournamentsoftware.com/player-profile/FCE45E04-6DF1-4A68-89D1-ACB65286BF31", "Link")</f>
        <v/>
      </c>
      <c r="E817" s="3" t="n">
        <v>8.449999999999999</v>
      </c>
      <c r="F817" s="4" t="n">
        <v>5</v>
      </c>
      <c r="G817" t="inlineStr">
        <is>
          <t>Tennis Alberta</t>
        </is>
      </c>
      <c r="H817" t="inlineStr">
        <is>
          <t>Osten &amp; Victor Alberta Tennis Centre</t>
        </is>
      </c>
      <c r="I817" t="n">
        <v>38.1</v>
      </c>
      <c r="J817" s="4" t="n">
        <v>17</v>
      </c>
      <c r="K817" t="inlineStr">
        <is>
          <t>7 / 10</t>
        </is>
      </c>
      <c r="L817" t="inlineStr">
        <is>
          <t>2 / 1</t>
        </is>
      </c>
      <c r="M817" s="5" t="n">
        <v>0.41</v>
      </c>
      <c r="N817" s="5" t="n">
        <v>0.67</v>
      </c>
    </row>
    <row r="818">
      <c r="A818" t="n">
        <v>817</v>
      </c>
      <c r="B818" t="n">
        <v>2013</v>
      </c>
      <c r="C818" t="inlineStr">
        <is>
          <t>KIanna Jia Christianson</t>
        </is>
      </c>
      <c r="D818">
        <f>HYPERLINK("https://ota.tournamentsoftware.com/player-profile/A76E75A0-5CAF-4017-8B3C-2D69366CF0FB", "Link")</f>
        <v/>
      </c>
      <c r="E818" s="3" t="n">
        <v>8.423999999999999</v>
      </c>
      <c r="F818" s="4" t="n">
        <v>1</v>
      </c>
      <c r="G818" t="inlineStr">
        <is>
          <t>British Columbia</t>
        </is>
      </c>
      <c r="H818" t="inlineStr">
        <is>
          <t>City of Burnaby</t>
        </is>
      </c>
      <c r="I818" t="n">
        <v>40</v>
      </c>
      <c r="J818" s="4" t="n">
        <v>10</v>
      </c>
      <c r="K818" t="inlineStr">
        <is>
          <t>5 / 5</t>
        </is>
      </c>
      <c r="L818" t="inlineStr">
        <is>
          <t>2 / 3</t>
        </is>
      </c>
      <c r="M818" s="5" t="n">
        <v>0.5</v>
      </c>
      <c r="N818" s="5" t="n">
        <v>0.4</v>
      </c>
    </row>
    <row r="819">
      <c r="A819" t="n">
        <v>817</v>
      </c>
      <c r="B819" t="n">
        <v>2012</v>
      </c>
      <c r="C819" t="inlineStr">
        <is>
          <t>Elisha Lee</t>
        </is>
      </c>
      <c r="D819">
        <f>HYPERLINK("https://ota.tournamentsoftware.com/player-profile/0D8F1552-F5AE-4BBB-B462-7DFD495EA5D1", "Link")</f>
        <v/>
      </c>
      <c r="E819" s="3" t="n">
        <v>8.423999999999999</v>
      </c>
      <c r="F819" s="4" t="n">
        <v>1</v>
      </c>
      <c r="G819" t="inlineStr">
        <is>
          <t>British Columbia</t>
        </is>
      </c>
      <c r="H819" t="inlineStr">
        <is>
          <t>Great West Fitness and Racquets Club</t>
        </is>
      </c>
      <c r="I819" t="n">
        <v>37.9</v>
      </c>
      <c r="J819" s="4" t="n">
        <v>52</v>
      </c>
      <c r="K819" t="inlineStr">
        <is>
          <t>21 / 31</t>
        </is>
      </c>
      <c r="L819" t="inlineStr">
        <is>
          <t>11 / 14</t>
        </is>
      </c>
      <c r="M819" s="5" t="n">
        <v>0.4</v>
      </c>
      <c r="N819" s="5" t="n">
        <v>0.44</v>
      </c>
    </row>
    <row r="820">
      <c r="A820" t="n">
        <v>817</v>
      </c>
      <c r="B820" t="n">
        <v>2012</v>
      </c>
      <c r="C820" t="inlineStr">
        <is>
          <t>LUCY HA</t>
        </is>
      </c>
      <c r="D820">
        <f>HYPERLINK("https://ota.tournamentsoftware.com/player-profile/5289FB1D-8B94-446A-83C5-187068CE2F5D", "Link")</f>
        <v/>
      </c>
      <c r="E820" s="3" t="n">
        <v>8.423999999999999</v>
      </c>
      <c r="F820" s="4" t="n">
        <v>2</v>
      </c>
      <c r="G820" t="inlineStr">
        <is>
          <t>British Columbia</t>
        </is>
      </c>
      <c r="H820" t="inlineStr">
        <is>
          <t>Tennis BC Hub @ Richmond</t>
        </is>
      </c>
      <c r="I820" t="n">
        <v>37.7</v>
      </c>
      <c r="J820" s="4" t="n">
        <v>28</v>
      </c>
      <c r="K820" t="inlineStr">
        <is>
          <t>4 / 24</t>
        </is>
      </c>
      <c r="L820" t="inlineStr">
        <is>
          <t>0 / 2</t>
        </is>
      </c>
      <c r="M820" s="5" t="n">
        <v>0.14</v>
      </c>
      <c r="N820" s="5" t="n">
        <v>0</v>
      </c>
    </row>
    <row r="821">
      <c r="A821" t="n">
        <v>820</v>
      </c>
      <c r="B821" t="n">
        <v>2016</v>
      </c>
      <c r="C821" t="inlineStr">
        <is>
          <t>Samantha Bronwyn Daniell</t>
        </is>
      </c>
      <c r="D821">
        <f>HYPERLINK("https://ota.tournamentsoftware.com/player-profile/7D796AB4-F8DD-43AD-8451-41C0A3E3949A", "Link")</f>
        <v/>
      </c>
      <c r="E821" s="3" t="n">
        <v>8.371</v>
      </c>
      <c r="F821" s="4" t="n">
        <v>8</v>
      </c>
      <c r="G821" t="inlineStr">
        <is>
          <t>British Columbia</t>
        </is>
      </c>
      <c r="H821" t="inlineStr">
        <is>
          <t>The Tennis Centre</t>
        </is>
      </c>
      <c r="I821" t="n">
        <v>37.7</v>
      </c>
      <c r="J821" s="4" t="n">
        <v>124</v>
      </c>
      <c r="K821" t="inlineStr">
        <is>
          <t>62 / 62</t>
        </is>
      </c>
      <c r="L821" t="inlineStr">
        <is>
          <t>30 / 24</t>
        </is>
      </c>
      <c r="M821" s="5" t="n">
        <v>0.5</v>
      </c>
      <c r="N821" s="5" t="n">
        <v>0.5600000000000001</v>
      </c>
    </row>
    <row r="822">
      <c r="A822" t="n">
        <v>821</v>
      </c>
      <c r="B822" t="n">
        <v>2015</v>
      </c>
      <c r="C822" t="inlineStr">
        <is>
          <t>Mila Sofia Galvez Bourgeois-Charbonneau</t>
        </is>
      </c>
      <c r="D822">
        <f>HYPERLINK("https://ota.tournamentsoftware.com/player-profile/4F9CCD8C-A7BD-4FA0-B17A-3689BD230A0C", "Link")</f>
        <v/>
      </c>
      <c r="E822" s="3" t="n">
        <v>8.298</v>
      </c>
      <c r="F822" s="4" t="n">
        <v>2</v>
      </c>
      <c r="G822" t="inlineStr">
        <is>
          <t>Tennis Québec</t>
        </is>
      </c>
      <c r="H822" t="inlineStr">
        <is>
          <t>AA Autre club</t>
        </is>
      </c>
      <c r="I822" t="n">
        <v>37.3</v>
      </c>
      <c r="J822" s="4" t="n">
        <v>10</v>
      </c>
      <c r="K822" t="inlineStr">
        <is>
          <t>5 / 5</t>
        </is>
      </c>
      <c r="L822" t="inlineStr">
        <is>
          <t>5 / 2</t>
        </is>
      </c>
      <c r="M822" s="5" t="n">
        <v>0.5</v>
      </c>
      <c r="N822" s="5" t="n">
        <v>0.71</v>
      </c>
    </row>
    <row r="823">
      <c r="A823" t="n">
        <v>822</v>
      </c>
      <c r="B823" t="n">
        <v>2016</v>
      </c>
      <c r="C823" t="inlineStr">
        <is>
          <t>Peiyu(Cici) Li</t>
        </is>
      </c>
      <c r="D823">
        <f>HYPERLINK("https://ota.tournamentsoftware.com/player-profile/C4571297-B444-4579-A011-D24753628021", "Link")</f>
        <v/>
      </c>
      <c r="E823" s="3" t="n">
        <v>8.156000000000001</v>
      </c>
      <c r="F823" s="4" t="n">
        <v>7</v>
      </c>
      <c r="G823" t="inlineStr">
        <is>
          <t>Tennis Nova Scotia</t>
        </is>
      </c>
      <c r="H823" t="inlineStr">
        <is>
          <t>Atlantic Tennis Centre</t>
        </is>
      </c>
      <c r="I823" t="n">
        <v>39.2</v>
      </c>
      <c r="J823" s="4" t="n">
        <v>50</v>
      </c>
      <c r="K823" t="inlineStr">
        <is>
          <t>18 / 32</t>
        </is>
      </c>
      <c r="L823" t="inlineStr">
        <is>
          <t>10 / 22</t>
        </is>
      </c>
      <c r="M823" s="5" t="n">
        <v>0.36</v>
      </c>
      <c r="N823" s="5" t="n">
        <v>0.31</v>
      </c>
    </row>
    <row r="824">
      <c r="A824" t="n">
        <v>823</v>
      </c>
      <c r="B824" t="n">
        <v>2016</v>
      </c>
      <c r="C824" t="inlineStr">
        <is>
          <t>Scarlett Prsa</t>
        </is>
      </c>
      <c r="D824">
        <f>HYPERLINK("https://ota.tournamentsoftware.com/player-profile/CDBDFDF5-0DDE-4F1C-B33B-F163CF134B52", "Link")</f>
        <v/>
      </c>
      <c r="E824" s="3" t="n">
        <v>8.105</v>
      </c>
      <c r="F824" s="4" t="n">
        <v>5</v>
      </c>
      <c r="G824" t="inlineStr">
        <is>
          <t>Ontario Tennis Association</t>
        </is>
      </c>
      <c r="H824" t="inlineStr">
        <is>
          <t>Advantage Tennis International at Veneto</t>
        </is>
      </c>
      <c r="I824" t="n">
        <v>38.5</v>
      </c>
      <c r="J824" s="4" t="n">
        <v>137</v>
      </c>
      <c r="K824" t="inlineStr">
        <is>
          <t>52 / 85</t>
        </is>
      </c>
      <c r="L824" t="inlineStr">
        <is>
          <t>16 / 19</t>
        </is>
      </c>
      <c r="M824" s="5" t="n">
        <v>0.38</v>
      </c>
      <c r="N824" s="5" t="n">
        <v>0.46</v>
      </c>
    </row>
    <row r="825">
      <c r="A825" t="n">
        <v>824</v>
      </c>
      <c r="B825" t="n">
        <v>2015</v>
      </c>
      <c r="C825" t="inlineStr">
        <is>
          <t>Sofia Belyavskaya</t>
        </is>
      </c>
      <c r="D825">
        <f>HYPERLINK("https://ota.tournamentsoftware.com/player-profile/103C1284-54D3-4E14-8B3B-D860AD353A8C", "Link")</f>
        <v/>
      </c>
      <c r="E825" s="3" t="n">
        <v>8.045999999999999</v>
      </c>
      <c r="F825" s="4" t="n">
        <v>3</v>
      </c>
      <c r="G825" t="inlineStr">
        <is>
          <t>British Columbia</t>
        </is>
      </c>
      <c r="H825" t="inlineStr">
        <is>
          <t>The Tennis Centre</t>
        </is>
      </c>
      <c r="I825" t="n">
        <v>37.2</v>
      </c>
      <c r="J825" s="4" t="n">
        <v>88</v>
      </c>
      <c r="K825" t="inlineStr">
        <is>
          <t>35 / 53</t>
        </is>
      </c>
      <c r="L825" t="inlineStr">
        <is>
          <t>2 / 5</t>
        </is>
      </c>
      <c r="M825" s="5" t="n">
        <v>0.4</v>
      </c>
      <c r="N825" s="5" t="n">
        <v>0.29</v>
      </c>
    </row>
    <row r="826">
      <c r="A826" t="n">
        <v>825</v>
      </c>
      <c r="B826" t="n">
        <v>2013</v>
      </c>
      <c r="C826" t="inlineStr">
        <is>
          <t>Anaya Mohammed Shurrab</t>
        </is>
      </c>
      <c r="D826">
        <f>HYPERLINK("https://ota.tournamentsoftware.com/player-profile/A4BA7F79-3B20-4355-B83D-7B81774D6C97", "Link")</f>
        <v/>
      </c>
      <c r="E826" s="3" t="n">
        <v>8.01</v>
      </c>
      <c r="F826" s="4" t="n">
        <v>1</v>
      </c>
      <c r="G826" t="inlineStr">
        <is>
          <t>Ontario Tennis Association</t>
        </is>
      </c>
      <c r="H826" t="inlineStr">
        <is>
          <t>Sudbury Indoor Tennis Centre</t>
        </is>
      </c>
      <c r="I826" t="n">
        <v>38.8</v>
      </c>
      <c r="J826" s="4" t="n">
        <v>2</v>
      </c>
      <c r="K826" t="inlineStr">
        <is>
          <t>0 / 2</t>
        </is>
      </c>
      <c r="L826" t="inlineStr">
        <is>
          <t>0 / 0</t>
        </is>
      </c>
      <c r="M826" s="5" t="n">
        <v>0</v>
      </c>
      <c r="N826" s="5" t="n">
        <v>0</v>
      </c>
    </row>
    <row r="827">
      <c r="A827" t="n">
        <v>826</v>
      </c>
      <c r="B827" t="n">
        <v>2015</v>
      </c>
      <c r="C827" t="inlineStr">
        <is>
          <t>Lyskha Ann Louis</t>
        </is>
      </c>
      <c r="D827">
        <f>HYPERLINK("https://ota.tournamentsoftware.com/player-profile/E63460EF-56D0-4F3C-845C-D047E7B9C366", "Link")</f>
        <v/>
      </c>
      <c r="E827" s="3" t="n">
        <v>7.906</v>
      </c>
      <c r="F827" s="4" t="n">
        <v>2</v>
      </c>
      <c r="G827" t="inlineStr">
        <is>
          <t>Tennis Québec</t>
        </is>
      </c>
      <c r="H827" t="inlineStr">
        <is>
          <t>Tennis 13</t>
        </is>
      </c>
      <c r="I827" t="n">
        <v>36.4</v>
      </c>
      <c r="J827" s="4" t="n">
        <v>9</v>
      </c>
      <c r="K827" t="inlineStr">
        <is>
          <t>4 / 5</t>
        </is>
      </c>
      <c r="L827" t="inlineStr">
        <is>
          <t>4 / 2</t>
        </is>
      </c>
      <c r="M827" s="5" t="n">
        <v>0.44</v>
      </c>
      <c r="N827" s="5" t="n">
        <v>0.67</v>
      </c>
    </row>
    <row r="828">
      <c r="A828" t="n">
        <v>827</v>
      </c>
      <c r="B828" t="n">
        <v>2014</v>
      </c>
      <c r="C828" t="inlineStr">
        <is>
          <t>Gloriana Shiqi Zhang</t>
        </is>
      </c>
      <c r="D828">
        <f>HYPERLINK("https://ota.tournamentsoftware.com/player-profile/2717E828-0882-43B7-ADDB-D078FFA580CF", "Link")</f>
        <v/>
      </c>
      <c r="E828" s="3" t="n">
        <v>7.776</v>
      </c>
      <c r="F828" s="4" t="n">
        <v>2</v>
      </c>
      <c r="G828" t="inlineStr">
        <is>
          <t>British Columbia</t>
        </is>
      </c>
      <c r="H828" t="inlineStr">
        <is>
          <t>Hollyburn Country Club</t>
        </is>
      </c>
      <c r="I828" t="inlineStr">
        <is>
          <t>unavailable</t>
        </is>
      </c>
      <c r="J828" s="4" t="n">
        <v>32</v>
      </c>
      <c r="K828" t="inlineStr">
        <is>
          <t>5 / 27</t>
        </is>
      </c>
      <c r="L828" t="inlineStr">
        <is>
          <t>0 / 0</t>
        </is>
      </c>
      <c r="M828" s="5" t="n">
        <v>0.16</v>
      </c>
      <c r="N828" s="5" t="n">
        <v>0</v>
      </c>
    </row>
    <row r="829">
      <c r="A829" t="n">
        <v>828</v>
      </c>
      <c r="B829" t="n">
        <v>2015</v>
      </c>
      <c r="C829" t="inlineStr">
        <is>
          <t>Dani Banquicio</t>
        </is>
      </c>
      <c r="D829">
        <f>HYPERLINK("https://ota.tournamentsoftware.com/player-profile/46430071-90F3-4471-A44B-9BE4F31E2D72", "Link")</f>
        <v/>
      </c>
      <c r="E829" s="3" t="n">
        <v>7.652</v>
      </c>
      <c r="F829" s="4" t="n">
        <v>2</v>
      </c>
      <c r="G829" t="inlineStr">
        <is>
          <t>Tennis New Brunswick</t>
        </is>
      </c>
      <c r="H829" t="inlineStr">
        <is>
          <t>Abony Family Tennis Center</t>
        </is>
      </c>
      <c r="I829" t="n">
        <v>40</v>
      </c>
      <c r="J829" s="4" t="n">
        <v>54</v>
      </c>
      <c r="K829" t="inlineStr">
        <is>
          <t>17 / 37</t>
        </is>
      </c>
      <c r="L829" t="inlineStr">
        <is>
          <t>3 / 7</t>
        </is>
      </c>
      <c r="M829" s="5" t="n">
        <v>0.31</v>
      </c>
      <c r="N829" s="5" t="n">
        <v>0.3</v>
      </c>
    </row>
    <row r="830">
      <c r="A830" t="n">
        <v>829</v>
      </c>
      <c r="B830" t="n">
        <v>2014</v>
      </c>
      <c r="C830" t="inlineStr">
        <is>
          <t>Audrey Dionne-Chen</t>
        </is>
      </c>
      <c r="D830">
        <f>HYPERLINK("https://ota.tournamentsoftware.com/player-profile/7AE565BD-506E-4133-AA69-F89B361E38C0", "Link")</f>
        <v/>
      </c>
      <c r="E830" s="3" t="n">
        <v>7.552</v>
      </c>
      <c r="F830" s="4" t="n">
        <v>1</v>
      </c>
      <c r="G830" t="inlineStr">
        <is>
          <t>Ontario Tennis Association</t>
        </is>
      </c>
      <c r="H830" t="inlineStr">
        <is>
          <t>Rideau Sports Centre</t>
        </is>
      </c>
      <c r="I830" t="n">
        <v>39.4</v>
      </c>
      <c r="J830" s="4" t="n">
        <v>14</v>
      </c>
      <c r="K830" t="inlineStr">
        <is>
          <t>4 / 10</t>
        </is>
      </c>
      <c r="L830" t="inlineStr">
        <is>
          <t>0 / 1</t>
        </is>
      </c>
      <c r="M830" s="5" t="n">
        <v>0.29</v>
      </c>
      <c r="N830" s="5" t="n">
        <v>0</v>
      </c>
    </row>
    <row r="831">
      <c r="A831" t="n">
        <v>830</v>
      </c>
      <c r="B831" t="n">
        <v>2015</v>
      </c>
      <c r="C831" t="inlineStr">
        <is>
          <t>Ivana Novatus Nguma</t>
        </is>
      </c>
      <c r="D831">
        <f>HYPERLINK("https://ota.tournamentsoftware.com/player-profile/152EACD1-B447-4FFD-B45D-419526079F6E", "Link")</f>
        <v/>
      </c>
      <c r="E831" s="3" t="n">
        <v>7.507</v>
      </c>
      <c r="F831" s="4" t="n">
        <v>2</v>
      </c>
      <c r="G831" t="inlineStr">
        <is>
          <t>Tennis Alberta</t>
        </is>
      </c>
      <c r="H831" t="inlineStr">
        <is>
          <t>Calgary Tennis Society</t>
        </is>
      </c>
      <c r="I831" t="n">
        <v>37.7</v>
      </c>
      <c r="J831" s="4" t="n">
        <v>24</v>
      </c>
      <c r="K831" t="inlineStr">
        <is>
          <t>12 / 12</t>
        </is>
      </c>
      <c r="L831" t="inlineStr">
        <is>
          <t>8 / 4</t>
        </is>
      </c>
      <c r="M831" s="5" t="n">
        <v>0.5</v>
      </c>
      <c r="N831" s="5" t="n">
        <v>0.67</v>
      </c>
    </row>
    <row r="832">
      <c r="A832" t="n">
        <v>831</v>
      </c>
      <c r="B832" t="n">
        <v>2014</v>
      </c>
      <c r="C832" t="inlineStr">
        <is>
          <t>Abigale Julia Dioszeghy Beatty</t>
        </is>
      </c>
      <c r="D832">
        <f>HYPERLINK("https://ota.tournamentsoftware.com/player-profile/3376BA08-B4B7-40B5-A81E-8F995772526B", "Link")</f>
        <v/>
      </c>
      <c r="E832" s="3" t="n">
        <v>7.222</v>
      </c>
      <c r="F832" s="4" t="n">
        <v>6</v>
      </c>
      <c r="G832" t="inlineStr">
        <is>
          <t>Tennis Alberta</t>
        </is>
      </c>
      <c r="H832" t="inlineStr">
        <is>
          <t>Royal Glenora Club</t>
        </is>
      </c>
      <c r="I832" t="n">
        <v>37.3</v>
      </c>
      <c r="J832" s="4" t="n">
        <v>16</v>
      </c>
      <c r="K832" t="inlineStr">
        <is>
          <t>8 / 8</t>
        </is>
      </c>
      <c r="L832" t="inlineStr">
        <is>
          <t>8 / 8</t>
        </is>
      </c>
      <c r="M832" s="5" t="n">
        <v>0.5</v>
      </c>
      <c r="N832" s="5" t="n">
        <v>0.5</v>
      </c>
    </row>
    <row r="833">
      <c r="A833" t="n">
        <v>832</v>
      </c>
      <c r="B833" t="n">
        <v>2017</v>
      </c>
      <c r="C833" t="inlineStr">
        <is>
          <t>Kaja Gacanin</t>
        </is>
      </c>
      <c r="D833">
        <f>HYPERLINK("https://ota.tournamentsoftware.com/player-profile/51158AF8-F463-4974-AE1F-B1924D114B2F", "Link")</f>
        <v/>
      </c>
      <c r="E833" s="3" t="n">
        <v>6.84</v>
      </c>
      <c r="F833" s="4" t="n">
        <v>2</v>
      </c>
      <c r="G833" t="inlineStr">
        <is>
          <t>Ontario Tennis Association</t>
        </is>
      </c>
      <c r="H833" t="inlineStr">
        <is>
          <t>Zekelman Tennis Centre</t>
        </is>
      </c>
      <c r="I833" t="n">
        <v>38.6</v>
      </c>
      <c r="J833" s="4" t="n">
        <v>7</v>
      </c>
      <c r="K833" t="inlineStr">
        <is>
          <t>2 / 5</t>
        </is>
      </c>
      <c r="L833" t="inlineStr">
        <is>
          <t>2 / 5</t>
        </is>
      </c>
      <c r="M833" s="5" t="n">
        <v>0.29</v>
      </c>
      <c r="N833" s="5" t="n">
        <v>0.29</v>
      </c>
    </row>
    <row r="834">
      <c r="A834" t="n">
        <v>833</v>
      </c>
      <c r="B834" t="n">
        <v>2015</v>
      </c>
      <c r="C834" t="inlineStr">
        <is>
          <t>Ruby Mika Szakacs</t>
        </is>
      </c>
      <c r="D834">
        <f>HYPERLINK("https://ota.tournamentsoftware.com/player-profile/200B8C95-20A4-4F60-90C6-7E30A84EAEA7", "Link")</f>
        <v/>
      </c>
      <c r="E834" s="3" t="n">
        <v>6.607</v>
      </c>
      <c r="F834" s="4" t="n">
        <v>2</v>
      </c>
      <c r="G834" t="inlineStr">
        <is>
          <t>Ontario Tennis Association</t>
        </is>
      </c>
      <c r="H834" t="inlineStr">
        <is>
          <t>No Club</t>
        </is>
      </c>
      <c r="I834" t="n">
        <v>39.4</v>
      </c>
      <c r="J834" s="4" t="n">
        <v>55</v>
      </c>
      <c r="K834" t="inlineStr">
        <is>
          <t>28 / 27</t>
        </is>
      </c>
      <c r="L834" t="inlineStr">
        <is>
          <t>0 / 4</t>
        </is>
      </c>
      <c r="M834" s="5" t="n">
        <v>0.51</v>
      </c>
      <c r="N834" s="5" t="n">
        <v>0</v>
      </c>
    </row>
    <row r="835">
      <c r="A835" t="n">
        <v>833</v>
      </c>
      <c r="B835" t="n">
        <v>2014</v>
      </c>
      <c r="C835" t="inlineStr">
        <is>
          <t>Mantian Ellie Ni</t>
        </is>
      </c>
      <c r="D835">
        <f>HYPERLINK("https://ota.tournamentsoftware.com/player-profile/7FD8D72E-3679-4613-A482-A282508BEA32", "Link")</f>
        <v/>
      </c>
      <c r="E835" s="3" t="n">
        <v>6.607</v>
      </c>
      <c r="F835" s="4" t="n">
        <v>2</v>
      </c>
      <c r="G835" t="inlineStr">
        <is>
          <t>Ontario Tennis Association</t>
        </is>
      </c>
      <c r="H835" t="inlineStr">
        <is>
          <t>Premier Racquet Club</t>
        </is>
      </c>
      <c r="I835" t="n">
        <v>39.5</v>
      </c>
      <c r="J835" s="4" t="n">
        <v>23</v>
      </c>
      <c r="K835" t="inlineStr">
        <is>
          <t>7 / 16</t>
        </is>
      </c>
      <c r="L835" t="inlineStr">
        <is>
          <t>3 / 4</t>
        </is>
      </c>
      <c r="M835" s="5" t="n">
        <v>0.3</v>
      </c>
      <c r="N835" s="5" t="n">
        <v>0.43</v>
      </c>
    </row>
    <row r="836">
      <c r="A836" t="n">
        <v>835</v>
      </c>
      <c r="B836" t="n">
        <v>2016</v>
      </c>
      <c r="C836" t="inlineStr">
        <is>
          <t>Charlotte Gordovin</t>
        </is>
      </c>
      <c r="D836">
        <f>HYPERLINK("https://ota.tournamentsoftware.com/player-profile/961D5F8B-09E8-477B-A5D4-F4815570D913", "Link")</f>
        <v/>
      </c>
      <c r="E836" s="3" t="n">
        <v>6.48</v>
      </c>
      <c r="F836" s="4" t="n">
        <v>3</v>
      </c>
      <c r="G836" t="inlineStr">
        <is>
          <t>Ontario Tennis Association</t>
        </is>
      </c>
      <c r="H836" t="inlineStr">
        <is>
          <t>ON Tennis Toronto No Club</t>
        </is>
      </c>
      <c r="I836" t="inlineStr">
        <is>
          <t>unavailable</t>
        </is>
      </c>
      <c r="J836" s="4" t="n">
        <v>84</v>
      </c>
      <c r="K836" t="inlineStr">
        <is>
          <t>41 / 43</t>
        </is>
      </c>
      <c r="L836" t="inlineStr">
        <is>
          <t>14 / 16</t>
        </is>
      </c>
      <c r="M836" s="5" t="n">
        <v>0.49</v>
      </c>
      <c r="N836" s="5" t="n">
        <v>0.47</v>
      </c>
    </row>
    <row r="837">
      <c r="A837" t="n">
        <v>835</v>
      </c>
      <c r="B837" t="n">
        <v>2014</v>
      </c>
      <c r="C837" t="inlineStr">
        <is>
          <t>Mila Isaeva</t>
        </is>
      </c>
      <c r="D837">
        <f>HYPERLINK("https://ota.tournamentsoftware.com/player-profile/318B72C3-8E32-46E5-B532-524E3B59755C", "Link")</f>
        <v/>
      </c>
      <c r="E837" s="3" t="n">
        <v>6.48</v>
      </c>
      <c r="F837" s="4" t="n">
        <v>1</v>
      </c>
      <c r="G837" t="inlineStr">
        <is>
          <t>Ontario Tennis Association</t>
        </is>
      </c>
      <c r="H837" t="inlineStr">
        <is>
          <t>Tam Heather Tennis Club</t>
        </is>
      </c>
      <c r="I837" t="n">
        <v>38.3</v>
      </c>
      <c r="J837" s="4" t="n">
        <v>18</v>
      </c>
      <c r="K837" t="inlineStr">
        <is>
          <t>10 / 8</t>
        </is>
      </c>
      <c r="L837" t="inlineStr">
        <is>
          <t>8 / 5</t>
        </is>
      </c>
      <c r="M837" s="5" t="n">
        <v>0.5600000000000001</v>
      </c>
      <c r="N837" s="5" t="n">
        <v>0.62</v>
      </c>
    </row>
    <row r="838">
      <c r="A838" t="n">
        <v>835</v>
      </c>
      <c r="B838" t="n">
        <v>2014</v>
      </c>
      <c r="C838" t="inlineStr">
        <is>
          <t>Vira Beskupska</t>
        </is>
      </c>
      <c r="D838">
        <f>HYPERLINK("https://ota.tournamentsoftware.com/player-profile/116FA89C-68A6-4FE9-ADC6-34260809351C", "Link")</f>
        <v/>
      </c>
      <c r="E838" s="3" t="n">
        <v>6.48</v>
      </c>
      <c r="F838" s="4" t="n">
        <v>1</v>
      </c>
      <c r="G838" t="inlineStr">
        <is>
          <t>Ontario Tennis Association</t>
        </is>
      </c>
      <c r="H838" t="inlineStr">
        <is>
          <t>Tennis Centre West Ottawa</t>
        </is>
      </c>
      <c r="I838" t="n">
        <v>38.7</v>
      </c>
      <c r="J838" s="4" t="n">
        <v>3</v>
      </c>
      <c r="K838" t="inlineStr">
        <is>
          <t>0 / 3</t>
        </is>
      </c>
      <c r="L838" t="inlineStr">
        <is>
          <t>0 / 3</t>
        </is>
      </c>
      <c r="M838" s="5" t="n">
        <v>0</v>
      </c>
      <c r="N838" s="5" t="n">
        <v>0</v>
      </c>
    </row>
    <row r="839">
      <c r="A839" t="n">
        <v>835</v>
      </c>
      <c r="B839" t="n">
        <v>2013</v>
      </c>
      <c r="C839" t="inlineStr">
        <is>
          <t>Juliana Pena</t>
        </is>
      </c>
      <c r="D839">
        <f>HYPERLINK("https://ota.tournamentsoftware.com/player-profile/8F1CA811-953C-4FAC-980B-55D7FE7A6E50", "Link")</f>
        <v/>
      </c>
      <c r="E839" s="3" t="n">
        <v>6.48</v>
      </c>
      <c r="F839" s="4" t="n">
        <v>1</v>
      </c>
      <c r="G839" t="inlineStr">
        <is>
          <t>Tennis Québec</t>
        </is>
      </c>
      <c r="H839" t="inlineStr">
        <is>
          <t>Tennis Québec (région Montréal Ouest)</t>
        </is>
      </c>
      <c r="I839" t="inlineStr">
        <is>
          <t>unavailable</t>
        </is>
      </c>
      <c r="J839" s="4" t="n">
        <v>10</v>
      </c>
      <c r="K839" t="inlineStr">
        <is>
          <t>3 / 7</t>
        </is>
      </c>
      <c r="L839" t="inlineStr">
        <is>
          <t>0 / 0</t>
        </is>
      </c>
      <c r="M839" s="5" t="n">
        <v>0.3</v>
      </c>
      <c r="N839" s="5" t="n">
        <v>0</v>
      </c>
    </row>
    <row r="840">
      <c r="A840" t="n">
        <v>835</v>
      </c>
      <c r="B840" t="n">
        <v>2014</v>
      </c>
      <c r="C840" t="inlineStr">
        <is>
          <t>Elina Chai</t>
        </is>
      </c>
      <c r="D840">
        <f>HYPERLINK("https://ota.tournamentsoftware.com/player-profile/93EB3F3A-118C-460C-AB18-42D8F042E5A9", "Link")</f>
        <v/>
      </c>
      <c r="E840" s="3" t="n">
        <v>6.48</v>
      </c>
      <c r="F840" s="4" t="n">
        <v>1</v>
      </c>
      <c r="G840" t="inlineStr">
        <is>
          <t>Ontario Tennis Association</t>
        </is>
      </c>
      <c r="H840" t="inlineStr">
        <is>
          <t>ACE Tennis - Toronto Tennis City</t>
        </is>
      </c>
      <c r="I840" t="n">
        <v>38.5</v>
      </c>
      <c r="J840" s="4" t="n">
        <v>6</v>
      </c>
      <c r="K840" t="inlineStr">
        <is>
          <t>4 / 2</t>
        </is>
      </c>
      <c r="L840" t="inlineStr">
        <is>
          <t>4 / 2</t>
        </is>
      </c>
      <c r="M840" s="5" t="n">
        <v>0.67</v>
      </c>
      <c r="N840" s="5" t="n">
        <v>0.67</v>
      </c>
    </row>
    <row r="841">
      <c r="A841" t="n">
        <v>835</v>
      </c>
      <c r="B841" t="n">
        <v>2017</v>
      </c>
      <c r="C841" t="inlineStr">
        <is>
          <t>Riley Yang</t>
        </is>
      </c>
      <c r="D841">
        <f>HYPERLINK("https://ota.tournamentsoftware.com/player-profile/26AD4F6A-B4DE-4D98-85C5-1F82427AD36B", "Link")</f>
        <v/>
      </c>
      <c r="E841" s="3" t="n">
        <v>6.48</v>
      </c>
      <c r="F841" s="4" t="n">
        <v>1</v>
      </c>
      <c r="G841" t="inlineStr">
        <is>
          <t>Ontario Tennis Association</t>
        </is>
      </c>
      <c r="H841" t="inlineStr">
        <is>
          <t>Mayfair West Fitness &amp; Racquet Club</t>
        </is>
      </c>
      <c r="I841" t="inlineStr">
        <is>
          <t>unavailable</t>
        </is>
      </c>
      <c r="J841" s="4" t="n">
        <v>175</v>
      </c>
      <c r="K841" t="inlineStr">
        <is>
          <t>93 / 82</t>
        </is>
      </c>
      <c r="L841" t="inlineStr">
        <is>
          <t>57 / 38</t>
        </is>
      </c>
      <c r="M841" s="5" t="n">
        <v>0.53</v>
      </c>
      <c r="N841" s="5" t="n">
        <v>0.6</v>
      </c>
    </row>
    <row r="842">
      <c r="A842" t="n">
        <v>835</v>
      </c>
      <c r="B842" t="n">
        <v>2015</v>
      </c>
      <c r="C842" t="inlineStr">
        <is>
          <t>Catherine Qu</t>
        </is>
      </c>
      <c r="D842">
        <f>HYPERLINK("https://ota.tournamentsoftware.com/player-profile/6BFBAA24-1779-441C-B7FC-7EF81219D270", "Link")</f>
        <v/>
      </c>
      <c r="E842" s="3" t="n">
        <v>6.48</v>
      </c>
      <c r="F842" s="4" t="n">
        <v>1</v>
      </c>
      <c r="G842" t="inlineStr">
        <is>
          <t>Ontario Tennis Association</t>
        </is>
      </c>
      <c r="H842" t="inlineStr">
        <is>
          <t>Royal City Tennis Club</t>
        </is>
      </c>
      <c r="I842" t="n">
        <v>36.4</v>
      </c>
      <c r="J842" s="4" t="n">
        <v>19</v>
      </c>
      <c r="K842" t="inlineStr">
        <is>
          <t>3 / 16</t>
        </is>
      </c>
      <c r="L842" t="inlineStr">
        <is>
          <t>1 / 1</t>
        </is>
      </c>
      <c r="M842" s="5" t="n">
        <v>0.16</v>
      </c>
      <c r="N842" s="5" t="n">
        <v>0.5</v>
      </c>
    </row>
    <row r="843">
      <c r="A843" t="n">
        <v>842</v>
      </c>
      <c r="B843" t="n">
        <v>2015</v>
      </c>
      <c r="C843" t="inlineStr">
        <is>
          <t>Rowan Ferris</t>
        </is>
      </c>
      <c r="D843">
        <f>HYPERLINK("https://ota.tournamentsoftware.com/player-profile/48292DD6-1A8C-41C7-997E-9A5C5BD68EFF", "Link")</f>
        <v/>
      </c>
      <c r="E843" s="3" t="n">
        <v>6.478</v>
      </c>
      <c r="F843" s="4" t="n">
        <v>2</v>
      </c>
      <c r="G843" t="inlineStr">
        <is>
          <t>Tennis Alberta</t>
        </is>
      </c>
      <c r="H843" t="inlineStr">
        <is>
          <t>Medicine Hat Tennis Club</t>
        </is>
      </c>
      <c r="I843" t="n">
        <v>39.3</v>
      </c>
      <c r="J843" s="4" t="n">
        <v>10</v>
      </c>
      <c r="K843" t="inlineStr">
        <is>
          <t>3 / 7</t>
        </is>
      </c>
      <c r="L843" t="inlineStr">
        <is>
          <t>1 / 3</t>
        </is>
      </c>
      <c r="M843" s="5" t="n">
        <v>0.3</v>
      </c>
      <c r="N843" s="5" t="n">
        <v>0.25</v>
      </c>
    </row>
    <row r="844">
      <c r="A844" t="n">
        <v>843</v>
      </c>
      <c r="B844" t="n">
        <v>2015</v>
      </c>
      <c r="C844" t="inlineStr">
        <is>
          <t>Niveah Watt-Shelton</t>
        </is>
      </c>
      <c r="D844">
        <f>HYPERLINK("https://ota.tournamentsoftware.com/player-profile/2142B288-43FF-46B4-8037-BD18E957E823", "Link")</f>
        <v/>
      </c>
      <c r="E844" s="3" t="n">
        <v>6.33</v>
      </c>
      <c r="F844" s="4" t="n">
        <v>2</v>
      </c>
      <c r="G844" t="inlineStr">
        <is>
          <t>British Columbia</t>
        </is>
      </c>
      <c r="H844" t="inlineStr">
        <is>
          <t>UBC Tennis Centre</t>
        </is>
      </c>
      <c r="I844" t="inlineStr">
        <is>
          <t>unavailable</t>
        </is>
      </c>
      <c r="J844" s="4" t="n">
        <v>58</v>
      </c>
      <c r="K844" t="inlineStr">
        <is>
          <t>28 / 30</t>
        </is>
      </c>
      <c r="L844" t="inlineStr">
        <is>
          <t>8 / 8</t>
        </is>
      </c>
      <c r="M844" s="5" t="n">
        <v>0.48</v>
      </c>
      <c r="N844" s="5" t="n">
        <v>0.5</v>
      </c>
    </row>
    <row r="845">
      <c r="A845" t="n">
        <v>844</v>
      </c>
      <c r="B845" t="n">
        <v>2012</v>
      </c>
      <c r="C845" t="inlineStr">
        <is>
          <t>Feiran Zhang</t>
        </is>
      </c>
      <c r="D845">
        <f>HYPERLINK("https://ota.tournamentsoftware.com/player-profile/8FFC114F-FEF3-40BF-AF97-E338D1EA4209", "Link")</f>
        <v/>
      </c>
      <c r="E845" s="3" t="n">
        <v>6.248</v>
      </c>
      <c r="F845" s="4" t="n">
        <v>1</v>
      </c>
      <c r="G845" t="inlineStr">
        <is>
          <t>British Columbia</t>
        </is>
      </c>
      <c r="H845" t="inlineStr">
        <is>
          <t>No Club</t>
        </is>
      </c>
      <c r="I845" t="n">
        <v>38.1</v>
      </c>
      <c r="J845" s="4" t="n">
        <v>14</v>
      </c>
      <c r="K845" t="inlineStr">
        <is>
          <t>5 / 9</t>
        </is>
      </c>
      <c r="L845" t="inlineStr">
        <is>
          <t>2 / 3</t>
        </is>
      </c>
      <c r="M845" s="5" t="n">
        <v>0.36</v>
      </c>
      <c r="N845" s="5" t="n">
        <v>0.4</v>
      </c>
    </row>
    <row r="846">
      <c r="A846" t="n">
        <v>844</v>
      </c>
      <c r="B846" t="n">
        <v>2012</v>
      </c>
      <c r="C846" t="inlineStr">
        <is>
          <t>Huiran Zhang</t>
        </is>
      </c>
      <c r="D846">
        <f>HYPERLINK("https://ota.tournamentsoftware.com/player-profile/1E917C5C-2B33-48E2-908B-A812DD532CD4", "Link")</f>
        <v/>
      </c>
      <c r="E846" s="3" t="n">
        <v>6.248</v>
      </c>
      <c r="F846" s="4" t="n">
        <v>1</v>
      </c>
      <c r="G846" t="inlineStr">
        <is>
          <t>British Columbia</t>
        </is>
      </c>
      <c r="H846" t="inlineStr">
        <is>
          <t>No Club</t>
        </is>
      </c>
      <c r="I846" t="n">
        <v>37.6</v>
      </c>
      <c r="J846" s="4" t="n">
        <v>13</v>
      </c>
      <c r="K846" t="inlineStr">
        <is>
          <t>2 / 11</t>
        </is>
      </c>
      <c r="L846" t="inlineStr">
        <is>
          <t>1 / 4</t>
        </is>
      </c>
      <c r="M846" s="5" t="n">
        <v>0.15</v>
      </c>
      <c r="N846" s="5" t="n">
        <v>0.2</v>
      </c>
    </row>
    <row r="847">
      <c r="A847" t="n">
        <v>846</v>
      </c>
      <c r="B847" t="n">
        <v>2015</v>
      </c>
      <c r="C847" t="inlineStr">
        <is>
          <t>Lydia Hilborn</t>
        </is>
      </c>
      <c r="D847">
        <f>HYPERLINK("https://ota.tournamentsoftware.com/player-profile/30626EFD-AB33-4307-B2FA-1CF205F3C271", "Link")</f>
        <v/>
      </c>
      <c r="E847" s="3" t="n">
        <v>6.23</v>
      </c>
      <c r="F847" s="4" t="n">
        <v>1</v>
      </c>
      <c r="G847" t="inlineStr">
        <is>
          <t>Ontario Tennis Association</t>
        </is>
      </c>
      <c r="H847" t="inlineStr">
        <is>
          <t>Cutten Fields</t>
        </is>
      </c>
      <c r="I847" t="n">
        <v>37.5</v>
      </c>
      <c r="J847" s="4" t="n">
        <v>50</v>
      </c>
      <c r="K847" t="inlineStr">
        <is>
          <t>23 / 27</t>
        </is>
      </c>
      <c r="L847" t="inlineStr">
        <is>
          <t>0 / 0</t>
        </is>
      </c>
      <c r="M847" s="5" t="n">
        <v>0.46</v>
      </c>
      <c r="N847" s="5" t="n">
        <v>0</v>
      </c>
    </row>
    <row r="848">
      <c r="A848" t="n">
        <v>847</v>
      </c>
      <c r="B848" t="n">
        <v>2015</v>
      </c>
      <c r="C848" t="inlineStr">
        <is>
          <t>Allison Zhang</t>
        </is>
      </c>
      <c r="D848">
        <f>HYPERLINK("https://ota.tournamentsoftware.com/player-profile/7EED065B-4139-4D18-B6C0-4800BB20D171", "Link")</f>
        <v/>
      </c>
      <c r="E848" s="3" t="n">
        <v>6</v>
      </c>
      <c r="F848" s="4" t="n">
        <v>1</v>
      </c>
      <c r="G848" t="inlineStr">
        <is>
          <t>Ontario Tennis Association</t>
        </is>
      </c>
      <c r="H848" t="inlineStr">
        <is>
          <t>No Club</t>
        </is>
      </c>
      <c r="I848" t="inlineStr">
        <is>
          <t>unavailable</t>
        </is>
      </c>
      <c r="J848" s="4" t="n">
        <v>23</v>
      </c>
      <c r="K848" t="inlineStr">
        <is>
          <t>4 / 19</t>
        </is>
      </c>
      <c r="L848" t="inlineStr">
        <is>
          <t>0 / 0</t>
        </is>
      </c>
      <c r="M848" s="5" t="n">
        <v>0.17</v>
      </c>
      <c r="N848" s="5" t="n">
        <v>0</v>
      </c>
    </row>
    <row r="849">
      <c r="A849" t="n">
        <v>847</v>
      </c>
      <c r="B849" t="n">
        <v>2014</v>
      </c>
      <c r="C849" t="inlineStr">
        <is>
          <t>Dina Karahotzitis</t>
        </is>
      </c>
      <c r="D849">
        <f>HYPERLINK("https://ota.tournamentsoftware.com/player-profile/741C9055-B842-4064-A339-E591B8FD72C4", "Link")</f>
        <v/>
      </c>
      <c r="E849" s="3" t="n">
        <v>6</v>
      </c>
      <c r="F849" s="4" t="n">
        <v>1</v>
      </c>
      <c r="G849" t="inlineStr">
        <is>
          <t>Ontario Tennis Association</t>
        </is>
      </c>
      <c r="H849" t="inlineStr">
        <is>
          <t>Mayfair West Fitness &amp; Racquet Club</t>
        </is>
      </c>
      <c r="I849" t="n">
        <v>34.9</v>
      </c>
      <c r="J849" s="4" t="n">
        <v>19</v>
      </c>
      <c r="K849" t="inlineStr">
        <is>
          <t>0 / 19</t>
        </is>
      </c>
      <c r="L849" t="inlineStr">
        <is>
          <t>0 / 0</t>
        </is>
      </c>
      <c r="M849" s="5" t="n">
        <v>0</v>
      </c>
      <c r="N849" s="5" t="n">
        <v>0</v>
      </c>
    </row>
    <row r="850">
      <c r="A850" t="n">
        <v>849</v>
      </c>
      <c r="B850" t="n">
        <v>2015</v>
      </c>
      <c r="C850" t="inlineStr">
        <is>
          <t>Vera Nino</t>
        </is>
      </c>
      <c r="D850">
        <f>HYPERLINK("https://ota.tournamentsoftware.com/player-profile/081EF9A9-B991-431D-B2FC-AC8426BD2711", "Link")</f>
        <v/>
      </c>
      <c r="E850" s="3" t="n">
        <v>5.803</v>
      </c>
      <c r="F850" s="4" t="n">
        <v>1</v>
      </c>
      <c r="G850" t="inlineStr">
        <is>
          <t>Ontario Tennis Association</t>
        </is>
      </c>
      <c r="H850" t="inlineStr">
        <is>
          <t>Zekelman Tennis Centre</t>
        </is>
      </c>
      <c r="I850" t="inlineStr">
        <is>
          <t>unavailable</t>
        </is>
      </c>
      <c r="J850" s="4" t="n">
        <v>6</v>
      </c>
      <c r="K850" t="inlineStr">
        <is>
          <t>0 / 6</t>
        </is>
      </c>
      <c r="L850" t="inlineStr">
        <is>
          <t>0 / 6</t>
        </is>
      </c>
      <c r="M850" s="5" t="n">
        <v>0</v>
      </c>
      <c r="N850" s="5" t="n">
        <v>0</v>
      </c>
    </row>
    <row r="851">
      <c r="A851" t="n">
        <v>850</v>
      </c>
      <c r="B851" t="n">
        <v>2012</v>
      </c>
      <c r="C851" t="inlineStr">
        <is>
          <t>Emma Thomson</t>
        </is>
      </c>
      <c r="D851">
        <f>HYPERLINK("https://ota.tournamentsoftware.com/player-profile/EE28DE8E-EE8A-4FBB-885B-733BCB8A08C4", "Link")</f>
        <v/>
      </c>
      <c r="E851" s="3" t="n">
        <v>5.404</v>
      </c>
      <c r="F851" s="4" t="n">
        <v>3</v>
      </c>
      <c r="G851" t="inlineStr">
        <is>
          <t>Tennis Alberta</t>
        </is>
      </c>
      <c r="H851" t="inlineStr">
        <is>
          <t>Osten &amp; Victor Alberta Tennis Centre</t>
        </is>
      </c>
      <c r="I851" t="inlineStr">
        <is>
          <t>unavailable</t>
        </is>
      </c>
      <c r="J851" s="4" t="n">
        <v>6</v>
      </c>
      <c r="K851" t="inlineStr">
        <is>
          <t>1 / 5</t>
        </is>
      </c>
      <c r="L851" t="inlineStr">
        <is>
          <t>1 / 1</t>
        </is>
      </c>
      <c r="M851" s="5" t="n">
        <v>0.17</v>
      </c>
      <c r="N851" s="5" t="n">
        <v>0.5</v>
      </c>
    </row>
    <row r="852">
      <c r="A852" t="n">
        <v>851</v>
      </c>
      <c r="B852" t="n">
        <v>2014</v>
      </c>
      <c r="C852" t="inlineStr">
        <is>
          <t>Alexandra Ciacoi-Pop</t>
        </is>
      </c>
      <c r="D852">
        <f>HYPERLINK("https://ota.tournamentsoftware.com/player-profile/4F87B1A1-F52A-4C8C-8C6B-776A59CC6D03", "Link")</f>
        <v/>
      </c>
      <c r="E852" s="3" t="n">
        <v>5.125</v>
      </c>
      <c r="F852" s="4" t="n">
        <v>1</v>
      </c>
      <c r="G852" t="inlineStr">
        <is>
          <t>Ontario Tennis Association</t>
        </is>
      </c>
      <c r="H852" t="inlineStr">
        <is>
          <t>Parkway Valley Tennis Club</t>
        </is>
      </c>
      <c r="I852" t="n">
        <v>38.8</v>
      </c>
      <c r="J852" s="4" t="n">
        <v>28</v>
      </c>
      <c r="K852" t="inlineStr">
        <is>
          <t>11 / 17</t>
        </is>
      </c>
      <c r="L852" t="inlineStr">
        <is>
          <t>7 / 12</t>
        </is>
      </c>
      <c r="M852" s="5" t="n">
        <v>0.39</v>
      </c>
      <c r="N852" s="5" t="n">
        <v>0.37</v>
      </c>
    </row>
    <row r="853">
      <c r="A853" t="n">
        <v>851</v>
      </c>
      <c r="B853" t="n">
        <v>2016</v>
      </c>
      <c r="C853" t="inlineStr">
        <is>
          <t>Marusya Bakaeva</t>
        </is>
      </c>
      <c r="D853">
        <f>HYPERLINK("https://ota.tournamentsoftware.com/player-profile/B7C51186-F387-4E99-B849-E8275BB7C0E9", "Link")</f>
        <v/>
      </c>
      <c r="E853" s="3" t="n">
        <v>5.125</v>
      </c>
      <c r="F853" s="4" t="n">
        <v>2</v>
      </c>
      <c r="G853" t="inlineStr">
        <is>
          <t>Ontario Tennis Association</t>
        </is>
      </c>
      <c r="H853" t="inlineStr">
        <is>
          <t>Toronto Tennis City</t>
        </is>
      </c>
      <c r="I853" t="n">
        <v>37.2</v>
      </c>
      <c r="J853" s="4" t="n">
        <v>16</v>
      </c>
      <c r="K853" t="inlineStr">
        <is>
          <t>6 / 10</t>
        </is>
      </c>
      <c r="L853" t="inlineStr">
        <is>
          <t>3 / 6</t>
        </is>
      </c>
      <c r="M853" s="5" t="n">
        <v>0.38</v>
      </c>
      <c r="N853" s="5" t="n">
        <v>0.33</v>
      </c>
    </row>
    <row r="854">
      <c r="A854" t="n">
        <v>853</v>
      </c>
      <c r="B854" t="n">
        <v>2012</v>
      </c>
      <c r="C854" t="inlineStr">
        <is>
          <t>Frankie Hunsberger</t>
        </is>
      </c>
      <c r="D854">
        <f>HYPERLINK("https://ota.tournamentsoftware.com/player-profile/288F03A3-20CB-46BE-B35D-7428B5B7FA35", "Link")</f>
        <v/>
      </c>
      <c r="E854" s="3" t="n">
        <v>5.054</v>
      </c>
      <c r="F854" s="4" t="n">
        <v>2</v>
      </c>
      <c r="G854" t="inlineStr">
        <is>
          <t>British Columbia</t>
        </is>
      </c>
      <c r="H854" t="inlineStr">
        <is>
          <t>North Shore Winter Club</t>
        </is>
      </c>
      <c r="I854" t="n">
        <v>38.6</v>
      </c>
      <c r="J854" s="4" t="n">
        <v>18</v>
      </c>
      <c r="K854" t="inlineStr">
        <is>
          <t>10 / 8</t>
        </is>
      </c>
      <c r="L854" t="inlineStr">
        <is>
          <t>3 / 2</t>
        </is>
      </c>
      <c r="M854" s="5" t="n">
        <v>0.5600000000000001</v>
      </c>
      <c r="N854" s="5" t="n">
        <v>0.6</v>
      </c>
    </row>
    <row r="855">
      <c r="A855" t="n">
        <v>854</v>
      </c>
      <c r="B855" t="n">
        <v>2015</v>
      </c>
      <c r="C855" t="inlineStr">
        <is>
          <t>Cynthia Wang</t>
        </is>
      </c>
      <c r="D855">
        <f>HYPERLINK("https://ota.tournamentsoftware.com/player-profile/C8736B80-1071-4F4F-86B0-CA7FB630F618", "Link")</f>
        <v/>
      </c>
      <c r="E855" s="3" t="n">
        <v>5</v>
      </c>
      <c r="F855" s="4" t="n">
        <v>1</v>
      </c>
      <c r="G855" t="inlineStr">
        <is>
          <t>Ontario Tennis Association</t>
        </is>
      </c>
      <c r="H855" t="inlineStr">
        <is>
          <t>SmartVMC Racquetsports by ACE</t>
        </is>
      </c>
      <c r="I855" t="n">
        <v>37.3</v>
      </c>
      <c r="J855" s="4" t="n">
        <v>3</v>
      </c>
      <c r="K855" t="inlineStr">
        <is>
          <t>0 / 3</t>
        </is>
      </c>
      <c r="L855" t="inlineStr">
        <is>
          <t>0 / 0</t>
        </is>
      </c>
      <c r="M855" s="5" t="n">
        <v>0</v>
      </c>
      <c r="N855" s="5" t="n">
        <v>0</v>
      </c>
    </row>
    <row r="856">
      <c r="A856" t="n">
        <v>854</v>
      </c>
      <c r="B856" t="n">
        <v>2014</v>
      </c>
      <c r="C856" t="inlineStr">
        <is>
          <t>Mackenzie Lee</t>
        </is>
      </c>
      <c r="D856">
        <f>HYPERLINK("https://ota.tournamentsoftware.com/player-profile/7734E749-B5B7-4067-9AE1-B5CB58EFDC1A", "Link")</f>
        <v/>
      </c>
      <c r="E856" s="3" t="n">
        <v>5</v>
      </c>
      <c r="F856" s="4" t="n">
        <v>1</v>
      </c>
      <c r="G856" t="inlineStr">
        <is>
          <t>Ontario Tennis Association</t>
        </is>
      </c>
      <c r="H856" t="inlineStr">
        <is>
          <t>Toronto Lawn Tennis Club</t>
        </is>
      </c>
      <c r="I856" t="inlineStr">
        <is>
          <t>unavailable</t>
        </is>
      </c>
      <c r="J856" s="4" t="n">
        <v>13</v>
      </c>
      <c r="K856" t="inlineStr">
        <is>
          <t>5 / 8</t>
        </is>
      </c>
      <c r="L856" t="inlineStr">
        <is>
          <t>4 / 3</t>
        </is>
      </c>
      <c r="M856" s="5" t="n">
        <v>0.38</v>
      </c>
      <c r="N856" s="5" t="n">
        <v>0.57</v>
      </c>
    </row>
    <row r="857">
      <c r="A857" t="n">
        <v>854</v>
      </c>
      <c r="B857" t="n">
        <v>2013</v>
      </c>
      <c r="C857" t="inlineStr">
        <is>
          <t>Barbara Li</t>
        </is>
      </c>
      <c r="D857">
        <f>HYPERLINK("https://ota.tournamentsoftware.com/player-profile/FFEAFA99-A203-4A57-A5C8-1E0592A53A81", "Link")</f>
        <v/>
      </c>
      <c r="E857" s="3" t="n">
        <v>5</v>
      </c>
      <c r="F857" s="4" t="n">
        <v>1</v>
      </c>
      <c r="G857" t="inlineStr">
        <is>
          <t>British Columbia</t>
        </is>
      </c>
      <c r="H857" t="inlineStr">
        <is>
          <t>Hollyburn Country Club</t>
        </is>
      </c>
      <c r="I857" t="n">
        <v>39.7</v>
      </c>
      <c r="J857" s="4" t="n">
        <v>13</v>
      </c>
      <c r="K857" t="inlineStr">
        <is>
          <t>3 / 10</t>
        </is>
      </c>
      <c r="L857" t="inlineStr">
        <is>
          <t>0 / 0</t>
        </is>
      </c>
      <c r="M857" s="5" t="n">
        <v>0.23</v>
      </c>
      <c r="N857" s="5" t="n">
        <v>0</v>
      </c>
    </row>
    <row r="858">
      <c r="A858" t="n">
        <v>854</v>
      </c>
      <c r="B858" t="n">
        <v>2014</v>
      </c>
      <c r="C858" t="inlineStr">
        <is>
          <t>Freya Run Rutledge</t>
        </is>
      </c>
      <c r="D858">
        <f>HYPERLINK("https://ota.tournamentsoftware.com/player-profile/76B60137-7272-4F42-A455-109E20840062", "Link")</f>
        <v/>
      </c>
      <c r="E858" s="3" t="n">
        <v>5</v>
      </c>
      <c r="F858" s="4" t="n">
        <v>1</v>
      </c>
      <c r="G858" t="inlineStr">
        <is>
          <t>Ontario Tennis Association</t>
        </is>
      </c>
      <c r="H858" t="inlineStr">
        <is>
          <t>Boulevard Club</t>
        </is>
      </c>
      <c r="I858" t="n">
        <v>34.9</v>
      </c>
      <c r="J858" s="4" t="n">
        <v>14</v>
      </c>
      <c r="K858" t="inlineStr">
        <is>
          <t>0 / 14</t>
        </is>
      </c>
      <c r="L858" t="inlineStr">
        <is>
          <t>0 / 1</t>
        </is>
      </c>
      <c r="M858" s="5" t="n">
        <v>0</v>
      </c>
      <c r="N858" s="5" t="n">
        <v>0</v>
      </c>
    </row>
    <row r="859">
      <c r="A859" t="n">
        <v>858</v>
      </c>
      <c r="B859" t="n">
        <v>2014</v>
      </c>
      <c r="C859" t="inlineStr">
        <is>
          <t>Alicia Januario</t>
        </is>
      </c>
      <c r="D859">
        <f>HYPERLINK("https://ota.tournamentsoftware.com/player-profile/C042725A-21A9-463F-848F-04CEA3B56FE5", "Link")</f>
        <v/>
      </c>
      <c r="E859" s="3" t="n">
        <v>4.927</v>
      </c>
      <c r="F859" s="4" t="n">
        <v>2</v>
      </c>
      <c r="G859" t="inlineStr">
        <is>
          <t>Tennis Québec</t>
        </is>
      </c>
      <c r="H859" t="inlineStr">
        <is>
          <t>No Club</t>
        </is>
      </c>
      <c r="I859" t="n">
        <v>37.7</v>
      </c>
      <c r="J859" s="4" t="n">
        <v>6</v>
      </c>
      <c r="K859" t="inlineStr">
        <is>
          <t>1 / 5</t>
        </is>
      </c>
      <c r="L859" t="inlineStr">
        <is>
          <t>1 / 5</t>
        </is>
      </c>
      <c r="M859" s="5" t="n">
        <v>0.17</v>
      </c>
      <c r="N859" s="5" t="n">
        <v>0.17</v>
      </c>
    </row>
    <row r="860">
      <c r="A860" t="n">
        <v>859</v>
      </c>
      <c r="B860" t="n">
        <v>2014</v>
      </c>
      <c r="C860" t="inlineStr">
        <is>
          <t>Emma Sun</t>
        </is>
      </c>
      <c r="D860">
        <f>HYPERLINK("https://ota.tournamentsoftware.com/player-profile/872E410F-742F-4F80-9387-6C15C73FE92E", "Link")</f>
        <v/>
      </c>
      <c r="E860" s="3" t="n">
        <v>4.806</v>
      </c>
      <c r="F860" s="4" t="n">
        <v>1</v>
      </c>
      <c r="G860" t="inlineStr">
        <is>
          <t>Ontario Tennis Association</t>
        </is>
      </c>
      <c r="H860" t="inlineStr">
        <is>
          <t>Valan Tennis Academy</t>
        </is>
      </c>
      <c r="I860" t="n">
        <v>38.5</v>
      </c>
      <c r="J860" s="4" t="n">
        <v>18</v>
      </c>
      <c r="K860" t="inlineStr">
        <is>
          <t>10 / 8</t>
        </is>
      </c>
      <c r="L860" t="inlineStr">
        <is>
          <t>1 / 1</t>
        </is>
      </c>
      <c r="M860" s="5" t="n">
        <v>0.5600000000000001</v>
      </c>
      <c r="N860" s="5" t="n">
        <v>0.5</v>
      </c>
    </row>
    <row r="861">
      <c r="A861" t="n">
        <v>859</v>
      </c>
      <c r="B861" t="n">
        <v>2014</v>
      </c>
      <c r="C861" t="inlineStr">
        <is>
          <t>Iris Li</t>
        </is>
      </c>
      <c r="D861">
        <f>HYPERLINK("https://ota.tournamentsoftware.com/player-profile/CC36F5CC-203F-4A28-B27C-068A0E15610C", "Link")</f>
        <v/>
      </c>
      <c r="E861" s="3" t="n">
        <v>4.806</v>
      </c>
      <c r="F861" s="4" t="n">
        <v>2</v>
      </c>
      <c r="G861" t="inlineStr">
        <is>
          <t>British Columbia</t>
        </is>
      </c>
      <c r="H861" t="inlineStr">
        <is>
          <t>Tennis for Life</t>
        </is>
      </c>
      <c r="I861" t="n">
        <v>39.6</v>
      </c>
      <c r="J861" s="4" t="n">
        <v>43</v>
      </c>
      <c r="K861" t="inlineStr">
        <is>
          <t>17 / 26</t>
        </is>
      </c>
      <c r="L861" t="inlineStr">
        <is>
          <t>8 / 4</t>
        </is>
      </c>
      <c r="M861" s="5" t="n">
        <v>0.4</v>
      </c>
      <c r="N861" s="5" t="n">
        <v>0.67</v>
      </c>
    </row>
    <row r="862">
      <c r="A862" t="n">
        <v>859</v>
      </c>
      <c r="B862" t="n">
        <v>2013</v>
      </c>
      <c r="C862" t="inlineStr">
        <is>
          <t>Grâce-David Adzo TRAORÉ</t>
        </is>
      </c>
      <c r="D862">
        <f>HYPERLINK("https://ota.tournamentsoftware.com/player-profile/2A96F5BB-709B-450E-A0CA-0442985A8D03", "Link")</f>
        <v/>
      </c>
      <c r="E862" s="3" t="n">
        <v>4.806</v>
      </c>
      <c r="F862" s="4" t="n">
        <v>1</v>
      </c>
      <c r="G862" t="inlineStr">
        <is>
          <t>Tennis Québec</t>
        </is>
      </c>
      <c r="H862" t="inlineStr">
        <is>
          <t>QC AutreClub</t>
        </is>
      </c>
      <c r="I862" t="inlineStr">
        <is>
          <t>unavailable</t>
        </is>
      </c>
      <c r="J862" s="4" t="n">
        <v>1</v>
      </c>
      <c r="K862" t="inlineStr">
        <is>
          <t>0 / 1</t>
        </is>
      </c>
      <c r="L862" t="inlineStr">
        <is>
          <t>0 / 0</t>
        </is>
      </c>
      <c r="M862" s="5" t="n">
        <v>0</v>
      </c>
      <c r="N862" s="5" t="n">
        <v>0</v>
      </c>
    </row>
    <row r="863">
      <c r="A863" t="n">
        <v>859</v>
      </c>
      <c r="B863" t="n">
        <v>2014</v>
      </c>
      <c r="C863" t="inlineStr">
        <is>
          <t>Hannah Kucherawy</t>
        </is>
      </c>
      <c r="D863">
        <f>HYPERLINK("https://ota.tournamentsoftware.com/player-profile/E2ACD595-E7E5-40E3-935D-57DCECB8E04C", "Link")</f>
        <v/>
      </c>
      <c r="E863" s="3" t="n">
        <v>4.806</v>
      </c>
      <c r="F863" s="4" t="n">
        <v>1</v>
      </c>
      <c r="G863" t="inlineStr">
        <is>
          <t>Ontario Tennis Association</t>
        </is>
      </c>
      <c r="H863" t="inlineStr">
        <is>
          <t>Simcoe Tennis</t>
        </is>
      </c>
      <c r="I863" t="n">
        <v>35.6</v>
      </c>
      <c r="J863" s="4" t="n">
        <v>23</v>
      </c>
      <c r="K863" t="inlineStr">
        <is>
          <t>3 / 20</t>
        </is>
      </c>
      <c r="L863" t="inlineStr">
        <is>
          <t>1 / 1</t>
        </is>
      </c>
      <c r="M863" s="5" t="n">
        <v>0.13</v>
      </c>
      <c r="N863" s="5" t="n">
        <v>0.5</v>
      </c>
    </row>
    <row r="864">
      <c r="A864" t="n">
        <v>863</v>
      </c>
      <c r="B864" t="n">
        <v>2012</v>
      </c>
      <c r="C864" t="inlineStr">
        <is>
          <t>Katie Elizabeth Furlan</t>
        </is>
      </c>
      <c r="D864">
        <f>HYPERLINK("https://ota.tournamentsoftware.com/player-profile/CB36C2DA-0DAF-44E4-AE44-0A925ED0DFC0", "Link")</f>
        <v/>
      </c>
      <c r="E864" s="3" t="n">
        <v>4.538</v>
      </c>
      <c r="F864" s="4" t="n">
        <v>4</v>
      </c>
      <c r="G864" t="inlineStr">
        <is>
          <t>Tennis Alberta</t>
        </is>
      </c>
      <c r="H864" t="inlineStr">
        <is>
          <t>The Glencoe Club</t>
        </is>
      </c>
      <c r="I864" t="n">
        <v>38.4</v>
      </c>
      <c r="J864" s="4" t="n">
        <v>25</v>
      </c>
      <c r="K864" t="inlineStr">
        <is>
          <t>6 / 19</t>
        </is>
      </c>
      <c r="L864" t="inlineStr">
        <is>
          <t>0 / 2</t>
        </is>
      </c>
      <c r="M864" s="5" t="n">
        <v>0.24</v>
      </c>
      <c r="N864" s="5" t="n">
        <v>0</v>
      </c>
    </row>
    <row r="865">
      <c r="A865" t="n">
        <v>864</v>
      </c>
      <c r="B865" t="n">
        <v>2016</v>
      </c>
      <c r="C865" t="inlineStr">
        <is>
          <t>Michelle Hiu Tung Law</t>
        </is>
      </c>
      <c r="D865">
        <f>HYPERLINK("https://ota.tournamentsoftware.com/player-profile/6B7246D7-C656-43B4-A93A-54E15E04D73D", "Link")</f>
        <v/>
      </c>
      <c r="E865" s="3" t="n">
        <v>4.536</v>
      </c>
      <c r="F865" s="4" t="n">
        <v>9</v>
      </c>
      <c r="G865" t="inlineStr">
        <is>
          <t>Tennis Alberta</t>
        </is>
      </c>
      <c r="H865" t="inlineStr">
        <is>
          <t>Saville Community Sports Centre</t>
        </is>
      </c>
      <c r="I865" t="n">
        <v>38.4</v>
      </c>
      <c r="J865" s="4" t="n">
        <v>77</v>
      </c>
      <c r="K865" t="inlineStr">
        <is>
          <t>31 / 46</t>
        </is>
      </c>
      <c r="L865" t="inlineStr">
        <is>
          <t>12 / 18</t>
        </is>
      </c>
      <c r="M865" s="5" t="n">
        <v>0.4</v>
      </c>
      <c r="N865" s="5" t="n">
        <v>0.4</v>
      </c>
    </row>
    <row r="866">
      <c r="A866" t="n">
        <v>865</v>
      </c>
      <c r="B866" t="n">
        <v>2013</v>
      </c>
      <c r="C866" t="inlineStr">
        <is>
          <t>rafaela pena</t>
        </is>
      </c>
      <c r="D866">
        <f>HYPERLINK("https://ota.tournamentsoftware.com/player-profile/A4EAF82E-5402-4B2B-B03B-0E790D9A9F99", "Link")</f>
        <v/>
      </c>
      <c r="E866" s="3" t="n">
        <v>4.29</v>
      </c>
      <c r="F866" s="4" t="n">
        <v>1</v>
      </c>
      <c r="G866" t="inlineStr">
        <is>
          <t>Tennis Québec</t>
        </is>
      </c>
      <c r="H866" t="inlineStr">
        <is>
          <t>Tennis Québec (région Montréal Ouest)</t>
        </is>
      </c>
      <c r="I866" t="inlineStr">
        <is>
          <t>unavailable</t>
        </is>
      </c>
      <c r="J866" s="4" t="n">
        <v>10</v>
      </c>
      <c r="K866" t="inlineStr">
        <is>
          <t>4 / 6</t>
        </is>
      </c>
      <c r="L866" t="inlineStr">
        <is>
          <t>0 / 0</t>
        </is>
      </c>
      <c r="M866" s="5" t="n">
        <v>0.4</v>
      </c>
      <c r="N866" s="5" t="n">
        <v>0</v>
      </c>
    </row>
    <row r="867">
      <c r="A867" t="n">
        <v>866</v>
      </c>
      <c r="B867" t="n">
        <v>2012</v>
      </c>
      <c r="C867" t="inlineStr">
        <is>
          <t>Lucia Racquel Deagle</t>
        </is>
      </c>
      <c r="D867">
        <f>HYPERLINK("https://ota.tournamentsoftware.com/player-profile/9262B9F2-035F-451E-8B86-6E98C95AB597", "Link")</f>
        <v/>
      </c>
      <c r="E867" s="3" t="n">
        <v>4.173</v>
      </c>
      <c r="F867" s="4" t="n">
        <v>2</v>
      </c>
      <c r="G867" t="inlineStr">
        <is>
          <t>Tennis Alberta</t>
        </is>
      </c>
      <c r="H867" t="inlineStr">
        <is>
          <t>Aforza</t>
        </is>
      </c>
      <c r="I867" t="n">
        <v>39.2</v>
      </c>
      <c r="J867" s="4" t="n">
        <v>17</v>
      </c>
      <c r="K867" t="inlineStr">
        <is>
          <t>1 / 16</t>
        </is>
      </c>
      <c r="L867" t="inlineStr">
        <is>
          <t>0 / 0</t>
        </is>
      </c>
      <c r="M867" s="5" t="n">
        <v>0.06</v>
      </c>
      <c r="N867" s="5" t="n">
        <v>0</v>
      </c>
    </row>
    <row r="868">
      <c r="A868" t="n">
        <v>867</v>
      </c>
      <c r="B868" t="n">
        <v>2015</v>
      </c>
      <c r="C868" t="inlineStr">
        <is>
          <t>Ruhi Juneja</t>
        </is>
      </c>
      <c r="D868">
        <f>HYPERLINK("https://ota.tournamentsoftware.com/player-profile/E7A03006-4960-4A35-8B80-22CB122EB413", "Link")</f>
        <v/>
      </c>
      <c r="E868" s="3" t="n">
        <v>4.166</v>
      </c>
      <c r="F868" s="4" t="n">
        <v>5</v>
      </c>
      <c r="G868" t="inlineStr">
        <is>
          <t>Tennis Alberta</t>
        </is>
      </c>
      <c r="H868" t="inlineStr">
        <is>
          <t>IQ Tennis and Pickleball Centre</t>
        </is>
      </c>
      <c r="I868" t="n">
        <v>40</v>
      </c>
      <c r="J868" s="4" t="n">
        <v>8</v>
      </c>
      <c r="K868" t="inlineStr">
        <is>
          <t>1 / 7</t>
        </is>
      </c>
      <c r="L868" t="inlineStr">
        <is>
          <t>1 / 7</t>
        </is>
      </c>
      <c r="M868" s="5" t="n">
        <v>0.12</v>
      </c>
      <c r="N868" s="5" t="n">
        <v>0.12</v>
      </c>
    </row>
    <row r="869">
      <c r="A869" t="n">
        <v>868</v>
      </c>
      <c r="B869" t="n">
        <v>2016</v>
      </c>
      <c r="C869" t="inlineStr">
        <is>
          <t>Keira El-Kettaneh</t>
        </is>
      </c>
      <c r="D869">
        <f>HYPERLINK("https://ota.tournamentsoftware.com/player-profile/A820994B-A350-4155-A437-EF3139C3E02A", "Link")</f>
        <v/>
      </c>
      <c r="E869" s="3" t="n">
        <v>4.077</v>
      </c>
      <c r="F869" s="4" t="n">
        <v>4</v>
      </c>
      <c r="G869" t="inlineStr">
        <is>
          <t>Ontario Tennis Association</t>
        </is>
      </c>
      <c r="H869" t="inlineStr">
        <is>
          <t>Toronto Tennis City</t>
        </is>
      </c>
      <c r="I869" t="inlineStr">
        <is>
          <t>unavailable</t>
        </is>
      </c>
      <c r="J869" s="4" t="inlineStr"/>
      <c r="K869" t="inlineStr">
        <is>
          <t>unavailable</t>
        </is>
      </c>
      <c r="L869" t="inlineStr">
        <is>
          <t>unavailable</t>
        </is>
      </c>
      <c r="M869" s="5" t="inlineStr"/>
      <c r="N869" s="5" t="inlineStr"/>
    </row>
    <row r="870">
      <c r="A870" t="n">
        <v>868</v>
      </c>
      <c r="B870" t="n">
        <v>2015</v>
      </c>
      <c r="C870" t="inlineStr">
        <is>
          <t>Emmy Judge</t>
        </is>
      </c>
      <c r="D870">
        <f>HYPERLINK("https://ota.tournamentsoftware.com/player-profile/553284DE-2D65-4837-B86A-2230DB300AC5", "Link")</f>
        <v/>
      </c>
      <c r="E870" s="3" t="n">
        <v>4.077</v>
      </c>
      <c r="F870" s="4" t="n">
        <v>1</v>
      </c>
      <c r="G870" t="inlineStr">
        <is>
          <t>Ontario Tennis Association</t>
        </is>
      </c>
      <c r="H870" t="inlineStr">
        <is>
          <t>No Club</t>
        </is>
      </c>
      <c r="I870" t="inlineStr">
        <is>
          <t>unavailable</t>
        </is>
      </c>
      <c r="J870" s="4" t="n">
        <v>4</v>
      </c>
      <c r="K870" t="inlineStr">
        <is>
          <t>0 / 4</t>
        </is>
      </c>
      <c r="L870" t="inlineStr">
        <is>
          <t>0 / 4</t>
        </is>
      </c>
      <c r="M870" s="5" t="n">
        <v>0</v>
      </c>
      <c r="N870" s="5" t="n">
        <v>0</v>
      </c>
    </row>
    <row r="871">
      <c r="A871" t="n">
        <v>868</v>
      </c>
      <c r="B871" t="n">
        <v>2016</v>
      </c>
      <c r="C871" t="inlineStr">
        <is>
          <t>Elena Vukovic</t>
        </is>
      </c>
      <c r="D871">
        <f>HYPERLINK("https://ota.tournamentsoftware.com/player-profile/80B75DE2-D271-4234-BD86-FA7911D1C524", "Link")</f>
        <v/>
      </c>
      <c r="E871" s="3" t="n">
        <v>4.077</v>
      </c>
      <c r="F871" s="4" t="n">
        <v>1</v>
      </c>
      <c r="G871" t="inlineStr">
        <is>
          <t>Ontario Tennis Association</t>
        </is>
      </c>
      <c r="H871" t="inlineStr">
        <is>
          <t>Mayfair West Fitness &amp; Racquet Club</t>
        </is>
      </c>
      <c r="I871" t="n">
        <v>38.9</v>
      </c>
      <c r="J871" s="4" t="n">
        <v>61</v>
      </c>
      <c r="K871" t="inlineStr">
        <is>
          <t>21 / 40</t>
        </is>
      </c>
      <c r="L871" t="inlineStr">
        <is>
          <t>13 / 22</t>
        </is>
      </c>
      <c r="M871" s="5" t="n">
        <v>0.34</v>
      </c>
      <c r="N871" s="5" t="n">
        <v>0.37</v>
      </c>
    </row>
    <row r="872">
      <c r="A872" t="n">
        <v>871</v>
      </c>
      <c r="B872" t="n">
        <v>2013</v>
      </c>
      <c r="C872" t="inlineStr">
        <is>
          <t>Xi Niu</t>
        </is>
      </c>
      <c r="D872">
        <f>HYPERLINK("https://ota.tournamentsoftware.com/player-profile/B2759B21-5521-4528-9454-D7FF201653DE", "Link")</f>
        <v/>
      </c>
      <c r="E872" s="3" t="n">
        <v>4</v>
      </c>
      <c r="F872" s="4" t="n">
        <v>1</v>
      </c>
      <c r="G872" t="inlineStr">
        <is>
          <t>British Columbia</t>
        </is>
      </c>
      <c r="H872" t="inlineStr">
        <is>
          <t>No Club</t>
        </is>
      </c>
      <c r="I872" t="inlineStr">
        <is>
          <t>unavailable</t>
        </is>
      </c>
      <c r="J872" s="4" t="n">
        <v>3</v>
      </c>
      <c r="K872" t="inlineStr">
        <is>
          <t>0 / 3</t>
        </is>
      </c>
      <c r="L872" t="inlineStr">
        <is>
          <t>0 / 0</t>
        </is>
      </c>
      <c r="M872" s="5" t="n">
        <v>0</v>
      </c>
      <c r="N872" s="5" t="n">
        <v>0</v>
      </c>
    </row>
    <row r="873">
      <c r="A873" t="n">
        <v>871</v>
      </c>
      <c r="B873" t="n">
        <v>2014</v>
      </c>
      <c r="C873" t="inlineStr">
        <is>
          <t>Sophia Zhao</t>
        </is>
      </c>
      <c r="D873">
        <f>HYPERLINK("https://ota.tournamentsoftware.com/player-profile/388D9D37-AB69-4888-AB07-C709FC6BB450", "Link")</f>
        <v/>
      </c>
      <c r="E873" s="3" t="n">
        <v>4</v>
      </c>
      <c r="F873" s="4" t="n">
        <v>1</v>
      </c>
      <c r="G873" t="inlineStr">
        <is>
          <t>British Columbia</t>
        </is>
      </c>
      <c r="H873" t="inlineStr">
        <is>
          <t>Hollyburn Country Club</t>
        </is>
      </c>
      <c r="I873" t="inlineStr">
        <is>
          <t>unavailable</t>
        </is>
      </c>
      <c r="J873" s="4" t="n">
        <v>3</v>
      </c>
      <c r="K873" t="inlineStr">
        <is>
          <t>0 / 3</t>
        </is>
      </c>
      <c r="L873" t="inlineStr">
        <is>
          <t>0 / 0</t>
        </is>
      </c>
      <c r="M873" s="5" t="n">
        <v>0</v>
      </c>
      <c r="N873" s="5" t="n">
        <v>0</v>
      </c>
    </row>
    <row r="874">
      <c r="A874" t="n">
        <v>871</v>
      </c>
      <c r="B874" t="n">
        <v>2014</v>
      </c>
      <c r="C874" t="inlineStr">
        <is>
          <t>Sophia Jaffer</t>
        </is>
      </c>
      <c r="D874">
        <f>HYPERLINK("https://ota.tournamentsoftware.com/player-profile/264F2E7F-0F8D-4B4E-875F-FAAFDB4E9D43", "Link")</f>
        <v/>
      </c>
      <c r="E874" s="3" t="n">
        <v>4</v>
      </c>
      <c r="F874" s="4" t="n">
        <v>1</v>
      </c>
      <c r="G874" t="inlineStr">
        <is>
          <t>British Columbia</t>
        </is>
      </c>
      <c r="H874" t="inlineStr">
        <is>
          <t>Hollyburn Country Club</t>
        </is>
      </c>
      <c r="I874" t="n">
        <v>38.6</v>
      </c>
      <c r="J874" s="4" t="n">
        <v>20</v>
      </c>
      <c r="K874" t="inlineStr">
        <is>
          <t>7 / 13</t>
        </is>
      </c>
      <c r="L874" t="inlineStr">
        <is>
          <t>7 / 8</t>
        </is>
      </c>
      <c r="M874" s="5" t="n">
        <v>0.35</v>
      </c>
      <c r="N874" s="5" t="n">
        <v>0.47</v>
      </c>
    </row>
    <row r="875">
      <c r="A875" t="n">
        <v>874</v>
      </c>
      <c r="B875" t="n">
        <v>2016</v>
      </c>
      <c r="C875" t="inlineStr">
        <is>
          <t>Ella Luo</t>
        </is>
      </c>
      <c r="D875">
        <f>HYPERLINK("https://ota.tournamentsoftware.com/player-profile/3031CAE1-D7FD-42C8-B04F-2247B30476FE", "Link")</f>
        <v/>
      </c>
      <c r="E875" s="3" t="n">
        <v>3.931</v>
      </c>
      <c r="F875" s="4" t="n">
        <v>3</v>
      </c>
      <c r="G875" t="inlineStr">
        <is>
          <t>Tennis Alberta</t>
        </is>
      </c>
      <c r="H875" t="inlineStr">
        <is>
          <t>Saville Community Sports Centre</t>
        </is>
      </c>
      <c r="I875" t="n">
        <v>38.3</v>
      </c>
      <c r="J875" s="4" t="n">
        <v>30</v>
      </c>
      <c r="K875" t="inlineStr">
        <is>
          <t>12 / 18</t>
        </is>
      </c>
      <c r="L875" t="inlineStr">
        <is>
          <t>12 / 14</t>
        </is>
      </c>
      <c r="M875" s="5" t="n">
        <v>0.4</v>
      </c>
      <c r="N875" s="5" t="n">
        <v>0.46</v>
      </c>
    </row>
    <row r="876">
      <c r="A876" t="n">
        <v>875</v>
      </c>
      <c r="B876" t="n">
        <v>2013</v>
      </c>
      <c r="C876" t="inlineStr">
        <is>
          <t>Vittoria Veronica Noce</t>
        </is>
      </c>
      <c r="D876">
        <f>HYPERLINK("https://ota.tournamentsoftware.com/player-profile/00D388D4-0B24-4339-9B51-BDB96207A30D", "Link")</f>
        <v/>
      </c>
      <c r="E876" s="3" t="n">
        <v>3.889</v>
      </c>
      <c r="F876" s="4" t="n">
        <v>3</v>
      </c>
      <c r="G876" t="inlineStr">
        <is>
          <t>Tennis Alberta</t>
        </is>
      </c>
      <c r="H876" t="inlineStr">
        <is>
          <t>Derrick Golf &amp; Winter Club</t>
        </is>
      </c>
      <c r="I876" t="n">
        <v>37.1</v>
      </c>
      <c r="J876" s="4" t="n">
        <v>51</v>
      </c>
      <c r="K876" t="inlineStr">
        <is>
          <t>13 / 38</t>
        </is>
      </c>
      <c r="L876" t="inlineStr">
        <is>
          <t>3 / 5</t>
        </is>
      </c>
      <c r="M876" s="5" t="n">
        <v>0.25</v>
      </c>
      <c r="N876" s="5" t="n">
        <v>0.38</v>
      </c>
    </row>
    <row r="877">
      <c r="A877" t="n">
        <v>876</v>
      </c>
      <c r="B877" t="n">
        <v>2013</v>
      </c>
      <c r="C877" t="inlineStr">
        <is>
          <t>Amy Duo</t>
        </is>
      </c>
      <c r="D877">
        <f>HYPERLINK("https://ota.tournamentsoftware.com/player-profile/71495656-F9AD-402C-B368-62609F5D70B9", "Link")</f>
        <v/>
      </c>
      <c r="E877" s="3" t="n">
        <v>3.888</v>
      </c>
      <c r="F877" s="4" t="n">
        <v>1</v>
      </c>
      <c r="G877" t="inlineStr">
        <is>
          <t>British Columbia</t>
        </is>
      </c>
      <c r="H877" t="inlineStr">
        <is>
          <t>North Shore Winter Club</t>
        </is>
      </c>
      <c r="I877" t="inlineStr">
        <is>
          <t>unavailable</t>
        </is>
      </c>
      <c r="J877" s="4" t="n">
        <v>29</v>
      </c>
      <c r="K877" t="inlineStr">
        <is>
          <t>10 / 19</t>
        </is>
      </c>
      <c r="L877" t="inlineStr">
        <is>
          <t>2 / 2</t>
        </is>
      </c>
      <c r="M877" s="5" t="n">
        <v>0.34</v>
      </c>
      <c r="N877" s="5" t="n">
        <v>0.5</v>
      </c>
    </row>
    <row r="878">
      <c r="A878" t="n">
        <v>876</v>
      </c>
      <c r="B878" t="n">
        <v>2017</v>
      </c>
      <c r="C878" t="inlineStr">
        <is>
          <t>Nysa Iyer</t>
        </is>
      </c>
      <c r="D878">
        <f>HYPERLINK("https://ota.tournamentsoftware.com/player-profile/7133F3A1-6724-4B35-BBF9-2DFB20E0D933", "Link")</f>
        <v/>
      </c>
      <c r="E878" s="3" t="n">
        <v>3.888</v>
      </c>
      <c r="F878" s="4" t="n">
        <v>3</v>
      </c>
      <c r="G878" t="inlineStr">
        <is>
          <t>Tennis Alberta</t>
        </is>
      </c>
      <c r="H878" t="inlineStr">
        <is>
          <t>No Club</t>
        </is>
      </c>
      <c r="I878" t="n">
        <v>38.1</v>
      </c>
      <c r="J878" s="4" t="n">
        <v>65</v>
      </c>
      <c r="K878" t="inlineStr">
        <is>
          <t>32 / 33</t>
        </is>
      </c>
      <c r="L878" t="inlineStr">
        <is>
          <t>15 / 12</t>
        </is>
      </c>
      <c r="M878" s="5" t="n">
        <v>0.49</v>
      </c>
      <c r="N878" s="5" t="n">
        <v>0.5600000000000001</v>
      </c>
    </row>
    <row r="879">
      <c r="A879" t="n">
        <v>876</v>
      </c>
      <c r="B879" t="n">
        <v>2015</v>
      </c>
      <c r="C879" t="inlineStr">
        <is>
          <t>Maya Clara Shakra</t>
        </is>
      </c>
      <c r="D879">
        <f>HYPERLINK("https://ota.tournamentsoftware.com/player-profile/50FA5A17-1808-42C0-B8C3-34766E9151A2", "Link")</f>
        <v/>
      </c>
      <c r="E879" s="3" t="n">
        <v>3.888</v>
      </c>
      <c r="F879" s="4" t="n">
        <v>1</v>
      </c>
      <c r="G879" t="inlineStr">
        <is>
          <t>Ontario Tennis Association</t>
        </is>
      </c>
      <c r="H879" t="inlineStr">
        <is>
          <t>Toronto Tennis Academy</t>
        </is>
      </c>
      <c r="I879" t="inlineStr">
        <is>
          <t>unavailable</t>
        </is>
      </c>
      <c r="J879" s="4" t="n">
        <v>44</v>
      </c>
      <c r="K879" t="inlineStr">
        <is>
          <t>14 / 30</t>
        </is>
      </c>
      <c r="L879" t="inlineStr">
        <is>
          <t>3 / 6</t>
        </is>
      </c>
      <c r="M879" s="5" t="n">
        <v>0.32</v>
      </c>
      <c r="N879" s="5" t="n">
        <v>0.33</v>
      </c>
    </row>
    <row r="880">
      <c r="A880" t="n">
        <v>876</v>
      </c>
      <c r="B880" t="n">
        <v>2016</v>
      </c>
      <c r="C880" t="inlineStr">
        <is>
          <t>Yuxuan Niu</t>
        </is>
      </c>
      <c r="D880">
        <f>HYPERLINK("https://ota.tournamentsoftware.com/player-profile/49C2723D-DBBA-48CA-B20D-69A550E45FB4", "Link")</f>
        <v/>
      </c>
      <c r="E880" s="3" t="n">
        <v>3.888</v>
      </c>
      <c r="F880" s="4" t="n">
        <v>2</v>
      </c>
      <c r="G880" t="inlineStr">
        <is>
          <t>Ontario Tennis Association</t>
        </is>
      </c>
      <c r="H880" t="inlineStr">
        <is>
          <t>Premier Racquet Clubs – Mississauga</t>
        </is>
      </c>
      <c r="I880" t="inlineStr">
        <is>
          <t>unavailable</t>
        </is>
      </c>
      <c r="J880" s="4" t="n">
        <v>19</v>
      </c>
      <c r="K880" t="inlineStr">
        <is>
          <t>13 / 6</t>
        </is>
      </c>
      <c r="L880" t="inlineStr">
        <is>
          <t>13 / 6</t>
        </is>
      </c>
      <c r="M880" s="5" t="n">
        <v>0.68</v>
      </c>
      <c r="N880" s="5" t="n">
        <v>0.68</v>
      </c>
    </row>
    <row r="881">
      <c r="A881" t="n">
        <v>876</v>
      </c>
      <c r="B881" t="n">
        <v>2015</v>
      </c>
      <c r="C881" t="inlineStr">
        <is>
          <t>JIAYI LIN</t>
        </is>
      </c>
      <c r="D881">
        <f>HYPERLINK("https://ota.tournamentsoftware.com/player-profile/9025A036-DFDA-4A69-B03F-EEE43D14A3C3", "Link")</f>
        <v/>
      </c>
      <c r="E881" s="3" t="n">
        <v>3.888</v>
      </c>
      <c r="F881" s="4" t="n">
        <v>1</v>
      </c>
      <c r="G881" t="inlineStr">
        <is>
          <t>Ontario Tennis Association</t>
        </is>
      </c>
      <c r="H881" t="inlineStr">
        <is>
          <t>Mayfair Parkway Racquet Club</t>
        </is>
      </c>
      <c r="I881" t="n">
        <v>38.6</v>
      </c>
      <c r="J881" s="4" t="n">
        <v>2</v>
      </c>
      <c r="K881" t="inlineStr">
        <is>
          <t>0 / 2</t>
        </is>
      </c>
      <c r="L881" t="inlineStr">
        <is>
          <t>0 / 2</t>
        </is>
      </c>
      <c r="M881" s="5" t="n">
        <v>0</v>
      </c>
      <c r="N881" s="5" t="n">
        <v>0</v>
      </c>
    </row>
    <row r="882">
      <c r="A882" t="n">
        <v>876</v>
      </c>
      <c r="B882" t="n">
        <v>2015</v>
      </c>
      <c r="C882" t="inlineStr">
        <is>
          <t>Olivia Franchi</t>
        </is>
      </c>
      <c r="D882">
        <f>HYPERLINK("https://ota.tournamentsoftware.com/player-profile/71DEE53D-92D1-4C5D-A9AE-0F02860DD189", "Link")</f>
        <v/>
      </c>
      <c r="E882" s="3" t="n">
        <v>3.888</v>
      </c>
      <c r="F882" s="4" t="n">
        <v>1</v>
      </c>
      <c r="G882" t="inlineStr">
        <is>
          <t>Ontario Tennis Association</t>
        </is>
      </c>
      <c r="H882" t="inlineStr">
        <is>
          <t>Barrie North Winter Tennis</t>
        </is>
      </c>
      <c r="I882" t="n">
        <v>37.6</v>
      </c>
      <c r="J882" s="4" t="n">
        <v>14</v>
      </c>
      <c r="K882" t="inlineStr">
        <is>
          <t>0 / 14</t>
        </is>
      </c>
      <c r="L882" t="inlineStr">
        <is>
          <t>0 / 2</t>
        </is>
      </c>
      <c r="M882" s="5" t="n">
        <v>0</v>
      </c>
      <c r="N882" s="5" t="n">
        <v>0</v>
      </c>
    </row>
    <row r="883">
      <c r="A883" t="n">
        <v>876</v>
      </c>
      <c r="B883" t="n">
        <v>2014</v>
      </c>
      <c r="C883" t="inlineStr">
        <is>
          <t>Yanxi Chen</t>
        </is>
      </c>
      <c r="D883">
        <f>HYPERLINK("https://ota.tournamentsoftware.com/player-profile/E6571B14-6651-4CD3-A420-8263947DBA1E", "Link")</f>
        <v/>
      </c>
      <c r="E883" s="3" t="n">
        <v>3.888</v>
      </c>
      <c r="F883" s="4" t="n">
        <v>1</v>
      </c>
      <c r="G883" t="inlineStr">
        <is>
          <t>British Columbia</t>
        </is>
      </c>
      <c r="H883" t="inlineStr">
        <is>
          <t>West Vancouver Tennis Club</t>
        </is>
      </c>
      <c r="I883" t="n">
        <v>38.6</v>
      </c>
      <c r="J883" s="4" t="n">
        <v>10</v>
      </c>
      <c r="K883" t="inlineStr">
        <is>
          <t>5 / 5</t>
        </is>
      </c>
      <c r="L883" t="inlineStr">
        <is>
          <t>3 / 3</t>
        </is>
      </c>
      <c r="M883" s="5" t="n">
        <v>0.5</v>
      </c>
      <c r="N883" s="5" t="n">
        <v>0.5</v>
      </c>
    </row>
    <row r="884">
      <c r="A884" t="n">
        <v>883</v>
      </c>
      <c r="B884" t="n">
        <v>2014</v>
      </c>
      <c r="C884" t="inlineStr">
        <is>
          <t>Tillya Villeneuve</t>
        </is>
      </c>
      <c r="D884">
        <f>HYPERLINK("https://ota.tournamentsoftware.com/player-profile/B96926BC-0825-4914-B6C7-E7906E4AC960", "Link")</f>
        <v/>
      </c>
      <c r="E884" s="3" t="n">
        <v>3.845</v>
      </c>
      <c r="F884" s="4" t="n">
        <v>5</v>
      </c>
      <c r="G884" t="inlineStr">
        <is>
          <t>Tennis Alberta</t>
        </is>
      </c>
      <c r="H884" t="inlineStr">
        <is>
          <t>Aforza</t>
        </is>
      </c>
      <c r="I884" t="inlineStr">
        <is>
          <t>unavailable</t>
        </is>
      </c>
      <c r="J884" s="4" t="n">
        <v>11</v>
      </c>
      <c r="K884" t="inlineStr">
        <is>
          <t>4 / 7</t>
        </is>
      </c>
      <c r="L884" t="inlineStr">
        <is>
          <t>4 / 7</t>
        </is>
      </c>
      <c r="M884" s="5" t="n">
        <v>0.36</v>
      </c>
      <c r="N884" s="5" t="n">
        <v>0.36</v>
      </c>
    </row>
    <row r="885">
      <c r="A885" t="n">
        <v>884</v>
      </c>
      <c r="B885" t="n">
        <v>2014</v>
      </c>
      <c r="C885" t="inlineStr">
        <is>
          <t>Baani Kaur Saini</t>
        </is>
      </c>
      <c r="D885">
        <f>HYPERLINK("https://ota.tournamentsoftware.com/player-profile/F8A85050-87CB-4D78-BB4D-4D11F0D18229", "Link")</f>
        <v/>
      </c>
      <c r="E885" s="3" t="n">
        <v>3.806</v>
      </c>
      <c r="F885" s="4" t="n">
        <v>1</v>
      </c>
      <c r="G885" t="inlineStr">
        <is>
          <t>Ontario Tennis Association</t>
        </is>
      </c>
      <c r="H885" t="inlineStr">
        <is>
          <t>Bramalea Tennis Club</t>
        </is>
      </c>
      <c r="I885" t="n">
        <v>39.3</v>
      </c>
      <c r="J885" s="4" t="n">
        <v>5</v>
      </c>
      <c r="K885" t="inlineStr">
        <is>
          <t>0 / 5</t>
        </is>
      </c>
      <c r="L885" t="inlineStr">
        <is>
          <t>0 / 0</t>
        </is>
      </c>
      <c r="M885" s="5" t="n">
        <v>0</v>
      </c>
      <c r="N885" s="5" t="n">
        <v>0</v>
      </c>
    </row>
    <row r="886">
      <c r="A886" t="n">
        <v>885</v>
      </c>
      <c r="B886" t="n">
        <v>2014</v>
      </c>
      <c r="C886" t="inlineStr">
        <is>
          <t>Della Lynn Bulmer</t>
        </is>
      </c>
      <c r="D886">
        <f>HYPERLINK("https://ota.tournamentsoftware.com/player-profile/6487BDBD-D547-439D-A14A-BDB7B38FD35A", "Link")</f>
        <v/>
      </c>
      <c r="E886" s="3" t="n">
        <v>3.763</v>
      </c>
      <c r="F886" s="4" t="n">
        <v>1</v>
      </c>
      <c r="G886" t="inlineStr">
        <is>
          <t>British Columbia</t>
        </is>
      </c>
      <c r="H886" t="inlineStr">
        <is>
          <t>Nelson Tennis Club</t>
        </is>
      </c>
      <c r="I886" t="n">
        <v>39.5</v>
      </c>
      <c r="J886" s="4" t="n">
        <v>2</v>
      </c>
      <c r="K886" t="inlineStr">
        <is>
          <t>0 / 2</t>
        </is>
      </c>
      <c r="L886" t="inlineStr">
        <is>
          <t>0 / 2</t>
        </is>
      </c>
      <c r="M886" s="5" t="n">
        <v>0</v>
      </c>
      <c r="N886" s="5" t="n">
        <v>0</v>
      </c>
    </row>
    <row r="887">
      <c r="A887" t="n">
        <v>886</v>
      </c>
      <c r="B887" t="n">
        <v>2014</v>
      </c>
      <c r="C887" t="inlineStr">
        <is>
          <t>Charlotte Lanthier</t>
        </is>
      </c>
      <c r="D887">
        <f>HYPERLINK("https://ota.tournamentsoftware.com/player-profile/930A92EC-BBE2-40FD-8684-CB6F18EAD19A", "Link")</f>
        <v/>
      </c>
      <c r="E887" s="3" t="n">
        <v>3.758</v>
      </c>
      <c r="F887" s="4" t="n">
        <v>5</v>
      </c>
      <c r="G887" t="inlineStr">
        <is>
          <t>Tennis Québec</t>
        </is>
      </c>
      <c r="H887" t="inlineStr">
        <is>
          <t>EB Tennis inc.</t>
        </is>
      </c>
      <c r="I887" t="n">
        <v>39.6</v>
      </c>
      <c r="J887" s="4" t="n">
        <v>6</v>
      </c>
      <c r="K887" t="inlineStr">
        <is>
          <t>0 / 6</t>
        </is>
      </c>
      <c r="L887" t="inlineStr">
        <is>
          <t>0 / 4</t>
        </is>
      </c>
      <c r="M887" s="5" t="n">
        <v>0</v>
      </c>
      <c r="N887" s="5" t="n">
        <v>0</v>
      </c>
    </row>
    <row r="888">
      <c r="A888" t="n">
        <v>886</v>
      </c>
      <c r="B888" t="n">
        <v>2015</v>
      </c>
      <c r="C888" t="inlineStr">
        <is>
          <t>Tamara Skayem</t>
        </is>
      </c>
      <c r="D888">
        <f>HYPERLINK("https://ota.tournamentsoftware.com/player-profile/C90206C3-DC6E-4BE3-938F-C8608F20CDD6", "Link")</f>
        <v/>
      </c>
      <c r="E888" s="3" t="n">
        <v>3.758</v>
      </c>
      <c r="F888" s="4" t="n">
        <v>1</v>
      </c>
      <c r="G888" t="inlineStr">
        <is>
          <t>Tennis Québec</t>
        </is>
      </c>
      <c r="H888" t="inlineStr">
        <is>
          <t>Club Sportif Côte-de-Liesse</t>
        </is>
      </c>
      <c r="I888" t="inlineStr">
        <is>
          <t>unavailable</t>
        </is>
      </c>
      <c r="J888" s="4" t="n">
        <v>3</v>
      </c>
      <c r="K888" t="inlineStr">
        <is>
          <t>1 / 2</t>
        </is>
      </c>
      <c r="L888" t="inlineStr">
        <is>
          <t>1 / 2</t>
        </is>
      </c>
      <c r="M888" s="5" t="n">
        <v>0.33</v>
      </c>
      <c r="N888" s="5" t="n">
        <v>0.33</v>
      </c>
    </row>
    <row r="889">
      <c r="A889" t="n">
        <v>888</v>
      </c>
      <c r="B889" t="n">
        <v>2013</v>
      </c>
      <c r="C889" t="inlineStr">
        <is>
          <t>Apphia Anderson</t>
        </is>
      </c>
      <c r="D889">
        <f>HYPERLINK("https://ota.tournamentsoftware.com/player-profile/557E4D67-D9E9-47B3-800F-DB2194C8FCA3", "Link")</f>
        <v/>
      </c>
      <c r="E889" s="3" t="n">
        <v>3.629</v>
      </c>
      <c r="F889" s="4" t="n">
        <v>2</v>
      </c>
      <c r="G889" t="inlineStr">
        <is>
          <t>Tennis Alberta</t>
        </is>
      </c>
      <c r="H889" t="inlineStr">
        <is>
          <t>No Club</t>
        </is>
      </c>
      <c r="I889" t="inlineStr">
        <is>
          <t>unavailable</t>
        </is>
      </c>
      <c r="J889" s="4" t="n">
        <v>3</v>
      </c>
      <c r="K889" t="inlineStr">
        <is>
          <t>0 / 3</t>
        </is>
      </c>
      <c r="L889" t="inlineStr">
        <is>
          <t>0 / 3</t>
        </is>
      </c>
      <c r="M889" s="5" t="n">
        <v>0</v>
      </c>
      <c r="N889" s="5" t="n">
        <v>0</v>
      </c>
    </row>
    <row r="890">
      <c r="A890" t="n">
        <v>888</v>
      </c>
      <c r="B890" t="n">
        <v>2014</v>
      </c>
      <c r="C890" t="inlineStr">
        <is>
          <t>Kaira Ankit Arora</t>
        </is>
      </c>
      <c r="D890">
        <f>HYPERLINK("https://ota.tournamentsoftware.com/player-profile/48CDC473-6B50-4781-BB3F-2B72F12C6320", "Link")</f>
        <v/>
      </c>
      <c r="E890" s="3" t="n">
        <v>3.629</v>
      </c>
      <c r="F890" s="4" t="n">
        <v>1</v>
      </c>
      <c r="G890" t="inlineStr">
        <is>
          <t>Ontario Tennis Association</t>
        </is>
      </c>
      <c r="H890" t="inlineStr">
        <is>
          <t>Mohawk Tennis Club</t>
        </is>
      </c>
      <c r="I890" t="n">
        <v>39.1</v>
      </c>
      <c r="J890" s="4" t="n">
        <v>26</v>
      </c>
      <c r="K890" t="inlineStr">
        <is>
          <t>2 / 24</t>
        </is>
      </c>
      <c r="L890" t="inlineStr">
        <is>
          <t>0 / 3</t>
        </is>
      </c>
      <c r="M890" s="5" t="n">
        <v>0.08</v>
      </c>
      <c r="N890" s="5" t="n">
        <v>0</v>
      </c>
    </row>
    <row r="891">
      <c r="A891" t="n">
        <v>890</v>
      </c>
      <c r="B891" t="n">
        <v>2015</v>
      </c>
      <c r="C891" t="inlineStr">
        <is>
          <t>Lea Youssef</t>
        </is>
      </c>
      <c r="D891">
        <f>HYPERLINK("https://ota.tournamentsoftware.com/player-profile/DC3DBF03-8EF5-4959-B08E-EE226DB25DE6", "Link")</f>
        <v/>
      </c>
      <c r="E891" s="3" t="n">
        <v>3.471</v>
      </c>
      <c r="F891" s="4" t="n">
        <v>1</v>
      </c>
      <c r="G891" t="inlineStr">
        <is>
          <t>Tennis Québec</t>
        </is>
      </c>
      <c r="H891" t="inlineStr">
        <is>
          <t>Tennis 13</t>
        </is>
      </c>
      <c r="I891" t="inlineStr">
        <is>
          <t>unavailable</t>
        </is>
      </c>
      <c r="J891" s="4" t="n">
        <v>2</v>
      </c>
      <c r="K891" t="inlineStr">
        <is>
          <t>0 / 2</t>
        </is>
      </c>
      <c r="L891" t="inlineStr">
        <is>
          <t>0 / 2</t>
        </is>
      </c>
      <c r="M891" s="5" t="n">
        <v>0</v>
      </c>
      <c r="N891" s="5" t="n">
        <v>0</v>
      </c>
    </row>
    <row r="892">
      <c r="A892" t="n">
        <v>891</v>
      </c>
      <c r="B892" t="n">
        <v>2012</v>
      </c>
      <c r="C892" t="inlineStr">
        <is>
          <t>Hannah Grace Burrows</t>
        </is>
      </c>
      <c r="D892">
        <f>HYPERLINK("https://ota.tournamentsoftware.com/player-profile/A4FFA0A4-EAE7-43E6-AF92-E22114BE5D8B", "Link")</f>
        <v/>
      </c>
      <c r="E892" s="3" t="n">
        <v>3.421</v>
      </c>
      <c r="F892" s="4" t="n">
        <v>2</v>
      </c>
      <c r="G892" t="inlineStr">
        <is>
          <t>Tennis Alberta</t>
        </is>
      </c>
      <c r="H892" t="inlineStr">
        <is>
          <t>The Glencoe Club</t>
        </is>
      </c>
      <c r="I892" t="n">
        <v>38.8</v>
      </c>
      <c r="J892" s="4" t="n">
        <v>28</v>
      </c>
      <c r="K892" t="inlineStr">
        <is>
          <t>6 / 22</t>
        </is>
      </c>
      <c r="L892" t="inlineStr">
        <is>
          <t>0 / 2</t>
        </is>
      </c>
      <c r="M892" s="5" t="n">
        <v>0.21</v>
      </c>
      <c r="N892" s="5" t="n">
        <v>0</v>
      </c>
    </row>
    <row r="893">
      <c r="A893" t="n">
        <v>892</v>
      </c>
      <c r="B893" t="n">
        <v>2015</v>
      </c>
      <c r="C893" t="inlineStr">
        <is>
          <t>Jade Adepetu</t>
        </is>
      </c>
      <c r="D893">
        <f>HYPERLINK("https://ota.tournamentsoftware.com/player-profile/44B25337-8306-4D62-BB4F-8BAB0C726BA7", "Link")</f>
        <v/>
      </c>
      <c r="E893" s="3" t="n">
        <v>3.326</v>
      </c>
      <c r="F893" s="4" t="n">
        <v>4</v>
      </c>
      <c r="G893" t="inlineStr">
        <is>
          <t>Tennis Alberta</t>
        </is>
      </c>
      <c r="H893" t="inlineStr">
        <is>
          <t>Osten &amp; Victor Alberta Tennis Centre</t>
        </is>
      </c>
      <c r="I893" t="inlineStr">
        <is>
          <t>unavailable</t>
        </is>
      </c>
      <c r="J893" s="4" t="n">
        <v>25</v>
      </c>
      <c r="K893" t="inlineStr">
        <is>
          <t>6 / 19</t>
        </is>
      </c>
      <c r="L893" t="inlineStr">
        <is>
          <t>5 / 9</t>
        </is>
      </c>
      <c r="M893" s="5" t="n">
        <v>0.24</v>
      </c>
      <c r="N893" s="5" t="n">
        <v>0.36</v>
      </c>
    </row>
    <row r="894">
      <c r="A894" t="n">
        <v>893</v>
      </c>
      <c r="B894" t="n">
        <v>2016</v>
      </c>
      <c r="C894" t="inlineStr">
        <is>
          <t>Jaclyn Zhang</t>
        </is>
      </c>
      <c r="D894">
        <f>HYPERLINK("https://ota.tournamentsoftware.com/player-profile/E6E9780C-ACDE-4CFD-B134-4984C266BCEB", "Link")</f>
        <v/>
      </c>
      <c r="E894" s="3" t="n">
        <v>3.24</v>
      </c>
      <c r="F894" s="4" t="n">
        <v>4</v>
      </c>
      <c r="G894" t="inlineStr">
        <is>
          <t>British Columbia</t>
        </is>
      </c>
      <c r="H894" t="inlineStr">
        <is>
          <t>UBC Tennis Centre</t>
        </is>
      </c>
      <c r="I894" t="n">
        <v>40</v>
      </c>
      <c r="J894" s="4" t="n">
        <v>73</v>
      </c>
      <c r="K894" t="inlineStr">
        <is>
          <t>42 / 31</t>
        </is>
      </c>
      <c r="L894" t="inlineStr">
        <is>
          <t>16 / 19</t>
        </is>
      </c>
      <c r="M894" s="5" t="n">
        <v>0.58</v>
      </c>
      <c r="N894" s="5" t="n">
        <v>0.46</v>
      </c>
    </row>
    <row r="895">
      <c r="A895" t="n">
        <v>893</v>
      </c>
      <c r="B895" t="n">
        <v>2016</v>
      </c>
      <c r="C895" t="inlineStr">
        <is>
          <t>Bella Huang</t>
        </is>
      </c>
      <c r="D895">
        <f>HYPERLINK("https://ota.tournamentsoftware.com/player-profile/468B6432-F842-48F8-9A02-3A80761D962B", "Link")</f>
        <v/>
      </c>
      <c r="E895" s="3" t="n">
        <v>3.24</v>
      </c>
      <c r="F895" s="4" t="n">
        <v>1</v>
      </c>
      <c r="G895" t="inlineStr">
        <is>
          <t>British Columbia</t>
        </is>
      </c>
      <c r="H895" t="inlineStr">
        <is>
          <t>Richmond Country Club</t>
        </is>
      </c>
      <c r="I895" t="n">
        <v>38.1</v>
      </c>
      <c r="J895" s="4" t="n">
        <v>33</v>
      </c>
      <c r="K895" t="inlineStr">
        <is>
          <t>10 / 23</t>
        </is>
      </c>
      <c r="L895" t="inlineStr">
        <is>
          <t>2 / 3</t>
        </is>
      </c>
      <c r="M895" s="5" t="n">
        <v>0.3</v>
      </c>
      <c r="N895" s="5" t="n">
        <v>0.4</v>
      </c>
    </row>
    <row r="896">
      <c r="A896" t="n">
        <v>893</v>
      </c>
      <c r="B896" t="n">
        <v>2015</v>
      </c>
      <c r="C896" t="inlineStr">
        <is>
          <t>Alison Kao</t>
        </is>
      </c>
      <c r="D896">
        <f>HYPERLINK("https://ota.tournamentsoftware.com/player-profile/BAEC89E7-F54C-49F7-AA56-227606797D02", "Link")</f>
        <v/>
      </c>
      <c r="E896" s="3" t="n">
        <v>3.24</v>
      </c>
      <c r="F896" s="4" t="n">
        <v>3</v>
      </c>
      <c r="G896" t="inlineStr">
        <is>
          <t>Tennis Alberta</t>
        </is>
      </c>
      <c r="H896" t="inlineStr">
        <is>
          <t>Osten &amp; Victor Alberta Tennis Centre</t>
        </is>
      </c>
      <c r="I896" t="n">
        <v>40</v>
      </c>
      <c r="J896" s="4" t="n">
        <v>40</v>
      </c>
      <c r="K896" t="inlineStr">
        <is>
          <t>18 / 22</t>
        </is>
      </c>
      <c r="L896" t="inlineStr">
        <is>
          <t>8 / 7</t>
        </is>
      </c>
      <c r="M896" s="5" t="n">
        <v>0.45</v>
      </c>
      <c r="N896" s="5" t="n">
        <v>0.53</v>
      </c>
    </row>
    <row r="897">
      <c r="A897" t="n">
        <v>896</v>
      </c>
      <c r="B897" t="n">
        <v>2014</v>
      </c>
      <c r="C897" t="inlineStr">
        <is>
          <t>Amaara Bhardwaj</t>
        </is>
      </c>
      <c r="D897">
        <f>HYPERLINK("https://ota.tournamentsoftware.com/player-profile/5E30A7A6-4E75-4094-9C50-E36BC2D57510", "Link")</f>
        <v/>
      </c>
      <c r="E897" s="3" t="n">
        <v>3.098</v>
      </c>
      <c r="F897" s="4" t="n">
        <v>1</v>
      </c>
      <c r="G897" t="inlineStr">
        <is>
          <t>British Columbia</t>
        </is>
      </c>
      <c r="H897" t="inlineStr">
        <is>
          <t>No Club</t>
        </is>
      </c>
      <c r="I897" t="inlineStr">
        <is>
          <t>unavailable</t>
        </is>
      </c>
      <c r="J897" s="4" t="inlineStr"/>
      <c r="K897" t="inlineStr">
        <is>
          <t>unavailable</t>
        </is>
      </c>
      <c r="L897" t="inlineStr">
        <is>
          <t>unavailable</t>
        </is>
      </c>
      <c r="M897" s="5" t="inlineStr"/>
      <c r="N897" s="5" t="inlineStr"/>
    </row>
    <row r="898">
      <c r="A898" t="n">
        <v>896</v>
      </c>
      <c r="B898" t="n">
        <v>2014</v>
      </c>
      <c r="C898" t="inlineStr">
        <is>
          <t>Arya Thompson</t>
        </is>
      </c>
      <c r="D898">
        <f>HYPERLINK("https://ota.tournamentsoftware.com/player-profile/89293F3A-9DD8-44F1-B165-EB1978E7BEF9", "Link")</f>
        <v/>
      </c>
      <c r="E898" s="3" t="n">
        <v>3.098</v>
      </c>
      <c r="F898" s="4" t="n">
        <v>2</v>
      </c>
      <c r="G898" t="inlineStr">
        <is>
          <t>British Columbia</t>
        </is>
      </c>
      <c r="H898" t="inlineStr">
        <is>
          <t>UBC Tennis Centre</t>
        </is>
      </c>
      <c r="I898" t="n">
        <v>39.5</v>
      </c>
      <c r="J898" s="4" t="n">
        <v>10</v>
      </c>
      <c r="K898" t="inlineStr">
        <is>
          <t>1 / 9</t>
        </is>
      </c>
      <c r="L898" t="inlineStr">
        <is>
          <t>0 / 4</t>
        </is>
      </c>
      <c r="M898" s="5" t="n">
        <v>0.1</v>
      </c>
      <c r="N898" s="5" t="n">
        <v>0</v>
      </c>
    </row>
    <row r="899">
      <c r="A899" t="n">
        <v>898</v>
      </c>
      <c r="B899" t="n">
        <v>2014</v>
      </c>
      <c r="C899" t="inlineStr">
        <is>
          <t>Arianna Shiyong Zhang</t>
        </is>
      </c>
      <c r="D899">
        <f>HYPERLINK("https://ota.tournamentsoftware.com/player-profile/534D64C5-0604-4070-B56D-0E5A49B9F850", "Link")</f>
        <v/>
      </c>
      <c r="E899" s="3" t="n">
        <v>3.075</v>
      </c>
      <c r="F899" s="4" t="n">
        <v>1</v>
      </c>
      <c r="G899" t="inlineStr">
        <is>
          <t>British Columbia</t>
        </is>
      </c>
      <c r="H899" t="inlineStr">
        <is>
          <t>Hollyburn Country Club</t>
        </is>
      </c>
      <c r="I899" t="inlineStr">
        <is>
          <t>unavailable</t>
        </is>
      </c>
      <c r="J899" s="4" t="n">
        <v>34</v>
      </c>
      <c r="K899" t="inlineStr">
        <is>
          <t>13 / 21</t>
        </is>
      </c>
      <c r="L899" t="inlineStr">
        <is>
          <t>0 / 0</t>
        </is>
      </c>
      <c r="M899" s="5" t="n">
        <v>0.38</v>
      </c>
      <c r="N899" s="5" t="n">
        <v>0</v>
      </c>
    </row>
    <row r="900">
      <c r="A900" t="n">
        <v>898</v>
      </c>
      <c r="B900" t="n">
        <v>2013</v>
      </c>
      <c r="C900" t="inlineStr">
        <is>
          <t>Eve Bussière</t>
        </is>
      </c>
      <c r="D900">
        <f>HYPERLINK("https://ota.tournamentsoftware.com/player-profile/01D291A9-D1EC-4A34-907D-E221D9B25023", "Link")</f>
        <v/>
      </c>
      <c r="E900" s="3" t="n">
        <v>3.075</v>
      </c>
      <c r="F900" s="4" t="n">
        <v>1</v>
      </c>
      <c r="G900" t="inlineStr">
        <is>
          <t>Tennis Québec</t>
        </is>
      </c>
      <c r="H900" t="inlineStr">
        <is>
          <t>No Club</t>
        </is>
      </c>
      <c r="I900" t="inlineStr">
        <is>
          <t>unavailable</t>
        </is>
      </c>
      <c r="J900" s="4" t="n">
        <v>10</v>
      </c>
      <c r="K900" t="inlineStr">
        <is>
          <t>2 / 8</t>
        </is>
      </c>
      <c r="L900" t="inlineStr">
        <is>
          <t>0 / 0</t>
        </is>
      </c>
      <c r="M900" s="5" t="n">
        <v>0.2</v>
      </c>
      <c r="N900" s="5" t="n">
        <v>0</v>
      </c>
    </row>
    <row r="901">
      <c r="A901" t="n">
        <v>900</v>
      </c>
      <c r="B901" t="n">
        <v>2014</v>
      </c>
      <c r="C901" t="inlineStr">
        <is>
          <t>Evelyn Jewell Rautenbach</t>
        </is>
      </c>
      <c r="D901">
        <f>HYPERLINK("https://ota.tournamentsoftware.com/player-profile/867F5D6A-BB9A-4FEB-A95E-565609563C13", "Link")</f>
        <v/>
      </c>
      <c r="E901" s="3" t="n">
        <v>2.618</v>
      </c>
      <c r="F901" s="4" t="n">
        <v>2</v>
      </c>
      <c r="G901" t="inlineStr">
        <is>
          <t>Tennis Alberta</t>
        </is>
      </c>
      <c r="H901" t="inlineStr">
        <is>
          <t>The Glencoe Club</t>
        </is>
      </c>
      <c r="I901" t="n">
        <v>36.6</v>
      </c>
      <c r="J901" s="4" t="n">
        <v>34</v>
      </c>
      <c r="K901" t="inlineStr">
        <is>
          <t>14 / 20</t>
        </is>
      </c>
      <c r="L901" t="inlineStr">
        <is>
          <t>1 / 1</t>
        </is>
      </c>
      <c r="M901" s="5" t="n">
        <v>0.41</v>
      </c>
      <c r="N901" s="5" t="n">
        <v>0.5</v>
      </c>
    </row>
  </sheetData>
  <autoFilter ref="A1:N9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19.9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Brielle Amey</t>
        </is>
      </c>
      <c r="D4">
        <f>HYPERLINK("https://ota.tournamentsoftware.com/player-profile/11C037E9-F5E8-42BC-A8A0-6F4982B8329D", "Link")</f>
        <v/>
      </c>
      <c r="E4" s="3" t="n">
        <v>10198.4</v>
      </c>
      <c r="F4" s="4" t="n">
        <v>13</v>
      </c>
      <c r="G4" t="inlineStr">
        <is>
          <t>Ontario Tennis Association</t>
        </is>
      </c>
      <c r="H4" t="inlineStr">
        <is>
          <t>City of Kitchener</t>
        </is>
      </c>
      <c r="I4" t="n">
        <v>18.1</v>
      </c>
      <c r="J4" s="4" t="n">
        <v>31</v>
      </c>
      <c r="K4" t="inlineStr">
        <is>
          <t>23 / 8</t>
        </is>
      </c>
      <c r="L4" t="inlineStr">
        <is>
          <t>0 / 0</t>
        </is>
      </c>
      <c r="M4" s="5" t="n">
        <v>0.74</v>
      </c>
      <c r="N4" s="5" t="n">
        <v>0</v>
      </c>
    </row>
    <row r="5">
      <c r="A5" t="n">
        <v>4</v>
      </c>
      <c r="B5" t="n">
        <v>2012</v>
      </c>
      <c r="C5" t="inlineStr">
        <is>
          <t>Emma Cuirassier</t>
        </is>
      </c>
      <c r="D5">
        <f>HYPERLINK("https://ota.tournamentsoftware.com/player-profile/88442A27-D4CA-4614-86BE-89F6BAFA4C36", "Link")</f>
        <v/>
      </c>
      <c r="E5" s="3" t="n">
        <v>9585.811</v>
      </c>
      <c r="F5" s="4" t="n">
        <v>11</v>
      </c>
      <c r="G5" t="inlineStr">
        <is>
          <t>Tennis Québec</t>
        </is>
      </c>
      <c r="H5" t="inlineStr">
        <is>
          <t>Tennis Montréal Excellence</t>
        </is>
      </c>
      <c r="I5" t="n">
        <v>19.2</v>
      </c>
      <c r="J5" s="4" t="n">
        <v>304</v>
      </c>
      <c r="K5" t="inlineStr">
        <is>
          <t>198 / 106</t>
        </is>
      </c>
      <c r="L5" t="inlineStr">
        <is>
          <t>10 / 4</t>
        </is>
      </c>
      <c r="M5" s="5" t="n">
        <v>0.65</v>
      </c>
      <c r="N5" s="5" t="n">
        <v>0.71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21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17.8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Emma Ciobanu</t>
        </is>
      </c>
      <c r="D7">
        <f>HYPERLINK("https://ota.tournamentsoftware.com/player-profile/3FF64A25-D930-4C5E-8E36-3F04D7602157", "Link")</f>
        <v/>
      </c>
      <c r="E7" s="3" t="n">
        <v>8554.24</v>
      </c>
      <c r="F7" s="4" t="n">
        <v>18</v>
      </c>
      <c r="G7" t="inlineStr">
        <is>
          <t>Tennis Québec</t>
        </is>
      </c>
      <c r="H7" t="inlineStr">
        <is>
          <t>No Club</t>
        </is>
      </c>
      <c r="I7" t="n">
        <v>21.6</v>
      </c>
      <c r="J7" s="4" t="n">
        <v>445</v>
      </c>
      <c r="K7" t="inlineStr">
        <is>
          <t>254 / 191</t>
        </is>
      </c>
      <c r="L7" t="inlineStr">
        <is>
          <t>12 / 9</t>
        </is>
      </c>
      <c r="M7" s="5" t="n">
        <v>0.57</v>
      </c>
      <c r="N7" s="5" t="n">
        <v>0.57</v>
      </c>
    </row>
    <row r="8">
      <c r="A8" t="n">
        <v>7</v>
      </c>
      <c r="B8" t="n">
        <v>2012</v>
      </c>
      <c r="C8" t="inlineStr">
        <is>
          <t>Victoria Koniouchine</t>
        </is>
      </c>
      <c r="D8">
        <f>HYPERLINK("https://ota.tournamentsoftware.com/player-profile/4F2575CB-84B4-4072-ABEF-7652A7E74DBA", "Link")</f>
        <v/>
      </c>
      <c r="E8" s="3" t="n">
        <v>8177</v>
      </c>
      <c r="F8" s="4" t="n">
        <v>14</v>
      </c>
      <c r="G8" t="inlineStr">
        <is>
          <t>Tennis Québec</t>
        </is>
      </c>
      <c r="H8" t="inlineStr">
        <is>
          <t>Tennis Montréal Excellence</t>
        </is>
      </c>
      <c r="I8" t="n">
        <v>20.8</v>
      </c>
      <c r="J8" s="4" t="n">
        <v>380</v>
      </c>
      <c r="K8" t="inlineStr">
        <is>
          <t>244 / 136</t>
        </is>
      </c>
      <c r="L8" t="inlineStr">
        <is>
          <t>22 / 6</t>
        </is>
      </c>
      <c r="M8" s="5" t="n">
        <v>0.64</v>
      </c>
      <c r="N8" s="5" t="n">
        <v>0.79</v>
      </c>
    </row>
    <row r="9">
      <c r="A9" t="n">
        <v>8</v>
      </c>
      <c r="B9" t="n">
        <v>2012</v>
      </c>
      <c r="C9" t="inlineStr">
        <is>
          <t>Ruijing Chen</t>
        </is>
      </c>
      <c r="D9">
        <f>HYPERLINK("https://ota.tournamentsoftware.com/player-profile/CF3F9020-5B8A-4448-8412-B206DFD70D34", "Link")</f>
        <v/>
      </c>
      <c r="E9" s="3" t="n">
        <v>8026.067</v>
      </c>
      <c r="F9" s="4" t="n">
        <v>20</v>
      </c>
      <c r="G9" t="inlineStr">
        <is>
          <t>British Columbia</t>
        </is>
      </c>
      <c r="H9" t="inlineStr">
        <is>
          <t>North Vancouver Tennis Centre</t>
        </is>
      </c>
      <c r="I9" t="n">
        <v>20.5</v>
      </c>
      <c r="J9" s="4" t="n">
        <v>272</v>
      </c>
      <c r="K9" t="inlineStr">
        <is>
          <t>158 / 114</t>
        </is>
      </c>
      <c r="L9" t="inlineStr">
        <is>
          <t>40 / 19</t>
        </is>
      </c>
      <c r="M9" s="5" t="n">
        <v>0.58</v>
      </c>
      <c r="N9" s="5" t="n">
        <v>0.68</v>
      </c>
    </row>
    <row r="10">
      <c r="A10" t="n">
        <v>9</v>
      </c>
      <c r="B10" t="n">
        <v>2012</v>
      </c>
      <c r="C10" t="inlineStr">
        <is>
          <t>Karina Swaminath</t>
        </is>
      </c>
      <c r="D10">
        <f>HYPERLINK("https://ota.tournamentsoftware.com/player-profile/4DB9D061-D74F-4482-87A3-9C7480D14EFD", "Link")</f>
        <v/>
      </c>
      <c r="E10" s="3" t="n">
        <v>7284.4</v>
      </c>
      <c r="F10" s="4" t="n">
        <v>20</v>
      </c>
      <c r="G10" t="inlineStr">
        <is>
          <t>Ontario Tennis Association</t>
        </is>
      </c>
      <c r="H10" t="inlineStr">
        <is>
          <t>Premier Racquet Clubs – Mississauga</t>
        </is>
      </c>
      <c r="I10" t="n">
        <v>20.7</v>
      </c>
      <c r="J10" s="4" t="n">
        <v>318</v>
      </c>
      <c r="K10" t="inlineStr">
        <is>
          <t>206 / 112</t>
        </is>
      </c>
      <c r="L10" t="inlineStr">
        <is>
          <t>43 / 19</t>
        </is>
      </c>
      <c r="M10" s="5" t="n">
        <v>0.65</v>
      </c>
      <c r="N10" s="5" t="n">
        <v>0.6899999999999999</v>
      </c>
    </row>
    <row r="11">
      <c r="A11" t="n">
        <v>10</v>
      </c>
      <c r="B11" t="n">
        <v>2013</v>
      </c>
      <c r="C11" t="inlineStr">
        <is>
          <t>Callie Raharinosy</t>
        </is>
      </c>
      <c r="D11">
        <f>HYPERLINK("https://ota.tournamentsoftware.com/player-profile/C3BB19C9-39F8-4DF4-A576-AAB3D92B85C3", "Link")</f>
        <v/>
      </c>
      <c r="E11" s="3" t="n">
        <v>7178.294</v>
      </c>
      <c r="F11" s="4" t="n">
        <v>13</v>
      </c>
      <c r="G11" t="inlineStr">
        <is>
          <t>Ontario Tennis Association</t>
        </is>
      </c>
      <c r="H11" t="inlineStr">
        <is>
          <t>Richmondhill Golf &amp; Country Club</t>
        </is>
      </c>
      <c r="I11" t="n">
        <v>20.7</v>
      </c>
      <c r="J11" s="4" t="n">
        <v>243</v>
      </c>
      <c r="K11" t="inlineStr">
        <is>
          <t>157 / 86</t>
        </is>
      </c>
      <c r="L11" t="inlineStr">
        <is>
          <t>26 / 11</t>
        </is>
      </c>
      <c r="M11" s="5" t="n">
        <v>0.65</v>
      </c>
      <c r="N11" s="5" t="n">
        <v>0.7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6870.005</v>
      </c>
      <c r="F12" s="4" t="n">
        <v>21</v>
      </c>
      <c r="G12" t="inlineStr">
        <is>
          <t>British Columbia</t>
        </is>
      </c>
      <c r="H12" t="inlineStr">
        <is>
          <t>Kamloops Tennis Centre</t>
        </is>
      </c>
      <c r="I12" t="n">
        <v>20</v>
      </c>
      <c r="J12" s="4" t="n">
        <v>240</v>
      </c>
      <c r="K12" t="inlineStr">
        <is>
          <t>161 / 79</t>
        </is>
      </c>
      <c r="L12" t="inlineStr">
        <is>
          <t>40 / 17</t>
        </is>
      </c>
      <c r="M12" s="5" t="n">
        <v>0.67</v>
      </c>
      <c r="N12" s="5" t="n">
        <v>0.7</v>
      </c>
    </row>
    <row r="13">
      <c r="A13" t="n">
        <v>12</v>
      </c>
      <c r="B13" t="n">
        <v>2012</v>
      </c>
      <c r="C13" t="inlineStr">
        <is>
          <t>Elise Chen</t>
        </is>
      </c>
      <c r="D13">
        <f>HYPERLINK("https://ota.tournamentsoftware.com/player-profile/8E8A2CD5-37E0-4690-A780-846D1895BB0A", "Link")</f>
        <v/>
      </c>
      <c r="E13" s="3" t="n">
        <v>6210.149</v>
      </c>
      <c r="F13" s="4" t="n">
        <v>18</v>
      </c>
      <c r="G13" t="inlineStr">
        <is>
          <t>Tennis Québec</t>
        </is>
      </c>
      <c r="H13" t="inlineStr">
        <is>
          <t>AA Autre club</t>
        </is>
      </c>
      <c r="I13" t="n">
        <v>20.5</v>
      </c>
      <c r="J13" s="4" t="n">
        <v>341</v>
      </c>
      <c r="K13" t="inlineStr">
        <is>
          <t>225 / 116</t>
        </is>
      </c>
      <c r="L13" t="inlineStr">
        <is>
          <t>44 / 14</t>
        </is>
      </c>
      <c r="M13" s="5" t="n">
        <v>0.66</v>
      </c>
      <c r="N13" s="5" t="n">
        <v>0.76</v>
      </c>
    </row>
    <row r="14">
      <c r="A14" t="n">
        <v>13</v>
      </c>
      <c r="B14" t="n">
        <v>2012</v>
      </c>
      <c r="C14" t="inlineStr">
        <is>
          <t>kendra zhang</t>
        </is>
      </c>
      <c r="D14">
        <f>HYPERLINK("https://ota.tournamentsoftware.com/player-profile/23508257-17E1-4A1F-A208-90A41A8C5BC8", "Link")</f>
        <v/>
      </c>
      <c r="E14" s="3" t="n">
        <v>6085.707</v>
      </c>
      <c r="F14" s="4" t="n">
        <v>16</v>
      </c>
      <c r="G14" t="inlineStr">
        <is>
          <t>Tennis Alberta</t>
        </is>
      </c>
      <c r="H14" t="inlineStr">
        <is>
          <t>Osten &amp; Victor Alberta Tennis Centre</t>
        </is>
      </c>
      <c r="I14" t="n">
        <v>20.2</v>
      </c>
      <c r="J14" s="4" t="n">
        <v>315</v>
      </c>
      <c r="K14" t="inlineStr">
        <is>
          <t>248 / 67</t>
        </is>
      </c>
      <c r="L14" t="inlineStr">
        <is>
          <t>39 / 5</t>
        </is>
      </c>
      <c r="M14" s="5" t="n">
        <v>0.79</v>
      </c>
      <c r="N14" s="5" t="n">
        <v>0.89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14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20.7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5765.184</v>
      </c>
      <c r="F16" s="4" t="n">
        <v>16</v>
      </c>
      <c r="G16" t="inlineStr">
        <is>
          <t>Ontario Tennis Association</t>
        </is>
      </c>
      <c r="H16" t="inlineStr">
        <is>
          <t>Guildwood Tennis Club</t>
        </is>
      </c>
      <c r="I16" t="n">
        <v>20.2</v>
      </c>
      <c r="J16" s="4" t="n">
        <v>260</v>
      </c>
      <c r="K16" t="inlineStr">
        <is>
          <t>163 / 97</t>
        </is>
      </c>
      <c r="L16" t="inlineStr">
        <is>
          <t>35 / 15</t>
        </is>
      </c>
      <c r="M16" s="5" t="n">
        <v>0.63</v>
      </c>
      <c r="N16" s="5" t="n">
        <v>0.7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22</v>
      </c>
      <c r="G17" t="inlineStr">
        <is>
          <t>British Columbia</t>
        </is>
      </c>
      <c r="H17" t="inlineStr">
        <is>
          <t>North Vancouver Tennis Centre</t>
        </is>
      </c>
      <c r="I17" t="n">
        <v>22.2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23</v>
      </c>
      <c r="G18" t="inlineStr">
        <is>
          <t>Ontario Tennis Association</t>
        </is>
      </c>
      <c r="H18" t="inlineStr">
        <is>
          <t>North Toronto Tennis Club</t>
        </is>
      </c>
      <c r="I18" t="n">
        <v>21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20</v>
      </c>
      <c r="G20" t="inlineStr">
        <is>
          <t>Ontario Tennis Association</t>
        </is>
      </c>
      <c r="H20" t="inlineStr">
        <is>
          <t>10XTO</t>
        </is>
      </c>
      <c r="I20" t="n">
        <v>21.5</v>
      </c>
      <c r="J20" s="4" t="n">
        <v>343</v>
      </c>
      <c r="K20" t="inlineStr">
        <is>
          <t>237 / 106</t>
        </is>
      </c>
      <c r="L20" t="inlineStr">
        <is>
          <t>45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13</v>
      </c>
      <c r="G21" t="inlineStr">
        <is>
          <t>British Columbia</t>
        </is>
      </c>
      <c r="H21" t="inlineStr">
        <is>
          <t>Jericho Tennis Club</t>
        </is>
      </c>
      <c r="I21" t="n">
        <v>21.4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13</v>
      </c>
      <c r="G22" t="inlineStr">
        <is>
          <t>British Columbia</t>
        </is>
      </c>
      <c r="H22" t="inlineStr">
        <is>
          <t>No Club</t>
        </is>
      </c>
      <c r="I22" t="n">
        <v>21.4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22</v>
      </c>
      <c r="G23" t="inlineStr">
        <is>
          <t>Tennis Québec</t>
        </is>
      </c>
      <c r="H23" t="inlineStr">
        <is>
          <t>Tennis 13</t>
        </is>
      </c>
      <c r="I23" t="n">
        <v>22.5</v>
      </c>
      <c r="J23" s="4" t="n">
        <v>312</v>
      </c>
      <c r="K23" t="inlineStr">
        <is>
          <t>196 / 116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15</v>
      </c>
      <c r="G24" t="inlineStr">
        <is>
          <t>British Columbia</t>
        </is>
      </c>
      <c r="H24" t="inlineStr">
        <is>
          <t>Burnaby Tennis Club</t>
        </is>
      </c>
      <c r="I24" t="n">
        <v>22.3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mackenzie zeidel</t>
        </is>
      </c>
      <c r="D25">
        <f>HYPERLINK("https://ota.tournamentsoftware.com/player-profile/3BADD9C6-CD9A-4858-8E91-EA11AA267135", "Link")</f>
        <v/>
      </c>
      <c r="E25" s="3" t="n">
        <v>3863.288</v>
      </c>
      <c r="F25" s="4" t="n">
        <v>11</v>
      </c>
      <c r="G25" t="inlineStr">
        <is>
          <t>Ontario Tennis Association</t>
        </is>
      </c>
      <c r="H25" t="inlineStr">
        <is>
          <t>Toronto Cricket Skating &amp; Curling</t>
        </is>
      </c>
      <c r="I25" t="n">
        <v>21.3</v>
      </c>
      <c r="J25" s="4" t="n">
        <v>258</v>
      </c>
      <c r="K25" t="inlineStr">
        <is>
          <t>172 / 86</t>
        </is>
      </c>
      <c r="L25" t="inlineStr">
        <is>
          <t>25 / 13</t>
        </is>
      </c>
      <c r="M25" s="5" t="n">
        <v>0.67</v>
      </c>
      <c r="N25" s="5" t="n">
        <v>0.66</v>
      </c>
    </row>
    <row r="26">
      <c r="A26" t="n">
        <v>25</v>
      </c>
      <c r="B26" t="n">
        <v>2013</v>
      </c>
      <c r="C26" t="inlineStr">
        <is>
          <t>Nadine Belmabrouk</t>
        </is>
      </c>
      <c r="D26">
        <f>HYPERLINK("https://ota.tournamentsoftware.com/player-profile/D855A2D9-8E65-4961-858B-62D00F053DDA", "Link")</f>
        <v/>
      </c>
      <c r="E26" s="3" t="n">
        <v>3642.089</v>
      </c>
      <c r="F26" s="4" t="n">
        <v>15</v>
      </c>
      <c r="G26" t="inlineStr">
        <is>
          <t>Tennis Québec</t>
        </is>
      </c>
      <c r="H26" t="inlineStr">
        <is>
          <t>Tennis Ile- des- Soeurs</t>
        </is>
      </c>
      <c r="I26" t="n">
        <v>22.6</v>
      </c>
      <c r="J26" s="4" t="n">
        <v>268</v>
      </c>
      <c r="K26" t="inlineStr">
        <is>
          <t>181 / 87</t>
        </is>
      </c>
      <c r="L26" t="inlineStr">
        <is>
          <t>42 / 16</t>
        </is>
      </c>
      <c r="M26" s="5" t="n">
        <v>0.68</v>
      </c>
      <c r="N26" s="5" t="n">
        <v>0.72</v>
      </c>
    </row>
    <row r="27">
      <c r="A27" t="n">
        <v>26</v>
      </c>
      <c r="B27" t="n">
        <v>2014</v>
      </c>
      <c r="C27" t="inlineStr">
        <is>
          <t>Yoyo Siyi Li</t>
        </is>
      </c>
      <c r="D27">
        <f>HYPERLINK("https://ota.tournamentsoftware.com/player-profile/E0E18831-EA34-4F88-BD1F-E79079687846", "Link")</f>
        <v/>
      </c>
      <c r="E27" s="3" t="n">
        <v>3589.518</v>
      </c>
      <c r="F27" s="4" t="n">
        <v>12</v>
      </c>
      <c r="G27" t="inlineStr">
        <is>
          <t>Tennis Saskatchewan</t>
        </is>
      </c>
      <c r="H27" t="inlineStr">
        <is>
          <t>Lakeshore Tennis Club</t>
        </is>
      </c>
      <c r="I27" t="inlineStr">
        <is>
          <t>unavailable</t>
        </is>
      </c>
      <c r="J27" s="4" t="n">
        <v>250</v>
      </c>
      <c r="K27" t="inlineStr">
        <is>
          <t>175 / 75</t>
        </is>
      </c>
      <c r="L27" t="inlineStr">
        <is>
          <t>57 / 12</t>
        </is>
      </c>
      <c r="M27" s="5" t="n">
        <v>0.7</v>
      </c>
      <c r="N27" s="5" t="n">
        <v>0.83</v>
      </c>
    </row>
    <row r="28">
      <c r="A28" t="n">
        <v>27</v>
      </c>
      <c r="B28" t="n">
        <v>2012</v>
      </c>
      <c r="C28" t="inlineStr">
        <is>
          <t>Hailey MacDonald</t>
        </is>
      </c>
      <c r="D28">
        <f>HYPERLINK("https://ota.tournamentsoftware.com/player-profile/7B752A16-6837-4A5A-AFD8-83F950F37834", "Link")</f>
        <v/>
      </c>
      <c r="E28" s="3" t="n">
        <v>3466.484</v>
      </c>
      <c r="F28" s="4" t="n">
        <v>14</v>
      </c>
      <c r="G28" t="inlineStr">
        <is>
          <t>Ontario Tennis Association</t>
        </is>
      </c>
      <c r="H28" t="inlineStr">
        <is>
          <t>Advantage Tennis International at Veneto</t>
        </is>
      </c>
      <c r="I28" t="n">
        <v>24</v>
      </c>
      <c r="J28" s="4" t="n">
        <v>331</v>
      </c>
      <c r="K28" t="inlineStr">
        <is>
          <t>227 / 104</t>
        </is>
      </c>
      <c r="L28" t="inlineStr">
        <is>
          <t>23 / 9</t>
        </is>
      </c>
      <c r="M28" s="5" t="n">
        <v>0.6899999999999999</v>
      </c>
      <c r="N28" s="5" t="n">
        <v>0.72</v>
      </c>
    </row>
    <row r="29">
      <c r="A29" t="n">
        <v>28</v>
      </c>
      <c r="B29" t="n">
        <v>2012</v>
      </c>
      <c r="C29" t="inlineStr">
        <is>
          <t>Victoria Cui</t>
        </is>
      </c>
      <c r="D29">
        <f>HYPERLINK("https://ota.tournamentsoftware.com/player-profile/0645977B-E01D-437B-A80F-04D3BC7B5871", "Link")</f>
        <v/>
      </c>
      <c r="E29" s="3" t="n">
        <v>3377.16</v>
      </c>
      <c r="F29" s="4" t="n">
        <v>21</v>
      </c>
      <c r="G29" t="inlineStr">
        <is>
          <t>Ontario Tennis Association</t>
        </is>
      </c>
      <c r="H29" t="inlineStr">
        <is>
          <t>Mayfair East Racquet Club</t>
        </is>
      </c>
      <c r="I29" t="n">
        <v>23.9</v>
      </c>
      <c r="J29" s="4" t="n">
        <v>254</v>
      </c>
      <c r="K29" t="inlineStr">
        <is>
          <t>163 / 91</t>
        </is>
      </c>
      <c r="L29" t="inlineStr">
        <is>
          <t>35 / 18</t>
        </is>
      </c>
      <c r="M29" s="5" t="n">
        <v>0.64</v>
      </c>
      <c r="N29" s="5" t="n">
        <v>0.66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20</v>
      </c>
      <c r="G30" t="inlineStr">
        <is>
          <t>Tennis Alberta</t>
        </is>
      </c>
      <c r="H30" t="inlineStr">
        <is>
          <t>Aforza</t>
        </is>
      </c>
      <c r="I30" t="n">
        <v>22.9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22.7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27</v>
      </c>
      <c r="G32" t="inlineStr">
        <is>
          <t>Tennis Québec</t>
        </is>
      </c>
      <c r="H32" t="inlineStr">
        <is>
          <t>SANI Sport</t>
        </is>
      </c>
      <c r="I32" t="n">
        <v>23.7</v>
      </c>
      <c r="J32" s="4" t="n">
        <v>384</v>
      </c>
      <c r="K32" t="inlineStr">
        <is>
          <t>238 / 146</t>
        </is>
      </c>
      <c r="L32" t="inlineStr">
        <is>
          <t>47 / 27</t>
        </is>
      </c>
      <c r="M32" s="5" t="n">
        <v>0.62</v>
      </c>
      <c r="N32" s="5" t="n">
        <v>0.64</v>
      </c>
    </row>
    <row r="33">
      <c r="A33" t="n">
        <v>32</v>
      </c>
      <c r="B33" t="n">
        <v>2013</v>
      </c>
      <c r="C33" t="inlineStr">
        <is>
          <t>Valesca Calabrese</t>
        </is>
      </c>
      <c r="D33">
        <f>HYPERLINK("https://ota.tournamentsoftware.com/player-profile/B0833DD4-B006-4DA5-A204-F5A1B4F3FABB", "Link")</f>
        <v/>
      </c>
      <c r="E33" s="3" t="n">
        <v>3053.02</v>
      </c>
      <c r="F33" s="4" t="n">
        <v>23</v>
      </c>
      <c r="G33" t="inlineStr">
        <is>
          <t>Ontario Tennis Association</t>
        </is>
      </c>
      <c r="H33" t="inlineStr">
        <is>
          <t>Kingston Racquet Centre</t>
        </is>
      </c>
      <c r="I33" t="n">
        <v>23.8</v>
      </c>
      <c r="J33" s="4" t="n">
        <v>271</v>
      </c>
      <c r="K33" t="inlineStr">
        <is>
          <t>182 / 89</t>
        </is>
      </c>
      <c r="L33" t="inlineStr">
        <is>
          <t>33 / 13</t>
        </is>
      </c>
      <c r="M33" s="5" t="n">
        <v>0.67</v>
      </c>
      <c r="N33" s="5" t="n">
        <v>0.72</v>
      </c>
    </row>
    <row r="34">
      <c r="A34" t="n">
        <v>33</v>
      </c>
      <c r="B34" t="n">
        <v>2012</v>
      </c>
      <c r="C34" t="inlineStr">
        <is>
          <t>Sophie Rachel Murray</t>
        </is>
      </c>
      <c r="D34">
        <f>HYPERLINK("https://ota.tournamentsoftware.com/player-profile/ADAA4094-7084-435C-80A6-9DA79EB19D3F", "Link")</f>
        <v/>
      </c>
      <c r="E34" s="3" t="n">
        <v>2878.56</v>
      </c>
      <c r="F34" s="4" t="n">
        <v>17</v>
      </c>
      <c r="G34" t="inlineStr">
        <is>
          <t>Tennis Alberta</t>
        </is>
      </c>
      <c r="H34" t="inlineStr">
        <is>
          <t>Osten &amp; Victor Alberta Tennis Centre</t>
        </is>
      </c>
      <c r="I34" t="n">
        <v>21.5</v>
      </c>
      <c r="J34" s="4" t="n">
        <v>322</v>
      </c>
      <c r="K34" t="inlineStr">
        <is>
          <t>194 / 128</t>
        </is>
      </c>
      <c r="L34" t="inlineStr">
        <is>
          <t>20 / 6</t>
        </is>
      </c>
      <c r="M34" s="5" t="n">
        <v>0.6</v>
      </c>
      <c r="N34" s="5" t="n">
        <v>0.77</v>
      </c>
    </row>
    <row r="35">
      <c r="A35" t="n">
        <v>34</v>
      </c>
      <c r="B35" t="n">
        <v>2013</v>
      </c>
      <c r="C35" t="inlineStr">
        <is>
          <t>Mia Zhou</t>
        </is>
      </c>
      <c r="D35">
        <f>HYPERLINK("https://ota.tournamentsoftware.com/player-profile/88191DA6-771E-497F-B932-CBADA674D329", "Link")</f>
        <v/>
      </c>
      <c r="E35" s="3" t="n">
        <v>2807.223</v>
      </c>
      <c r="F35" s="4" t="n">
        <v>23</v>
      </c>
      <c r="G35" t="inlineStr">
        <is>
          <t>Ontario Tennis Association</t>
        </is>
      </c>
      <c r="H35" t="inlineStr">
        <is>
          <t>Richmondhill Golf &amp; Country Club</t>
        </is>
      </c>
      <c r="I35" t="n">
        <v>23.6</v>
      </c>
      <c r="J35" s="4" t="n">
        <v>261</v>
      </c>
      <c r="K35" t="inlineStr">
        <is>
          <t>146 / 115</t>
        </is>
      </c>
      <c r="L35" t="inlineStr">
        <is>
          <t>45 / 27</t>
        </is>
      </c>
      <c r="M35" s="5" t="n">
        <v>0.5600000000000001</v>
      </c>
      <c r="N35" s="5" t="n">
        <v>0.62</v>
      </c>
    </row>
    <row r="36">
      <c r="A36" t="n">
        <v>35</v>
      </c>
      <c r="B36" t="n">
        <v>2012</v>
      </c>
      <c r="C36" t="inlineStr">
        <is>
          <t>Misaki Rukovanjski</t>
        </is>
      </c>
      <c r="D36">
        <f>HYPERLINK("https://ota.tournamentsoftware.com/player-profile/CECDBF80-C74F-40ED-B426-04CA75BF14C1", "Link")</f>
        <v/>
      </c>
      <c r="E36" s="3" t="n">
        <v>2485.998</v>
      </c>
      <c r="F36" s="4" t="n">
        <v>23</v>
      </c>
      <c r="G36" t="inlineStr">
        <is>
          <t>Ontario Tennis Association</t>
        </is>
      </c>
      <c r="H36" t="inlineStr">
        <is>
          <t>No Club</t>
        </is>
      </c>
      <c r="I36" t="n">
        <v>24.3</v>
      </c>
      <c r="J36" s="4" t="n">
        <v>276</v>
      </c>
      <c r="K36" t="inlineStr">
        <is>
          <t>176 / 100</t>
        </is>
      </c>
      <c r="L36" t="inlineStr">
        <is>
          <t>32 / 20</t>
        </is>
      </c>
      <c r="M36" s="5" t="n">
        <v>0.64</v>
      </c>
      <c r="N36" s="5" t="n">
        <v>0.62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2464.817</v>
      </c>
      <c r="F37" s="4" t="n">
        <v>16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24.2</v>
      </c>
      <c r="J37" s="4" t="n">
        <v>179</v>
      </c>
      <c r="K37" t="inlineStr">
        <is>
          <t>95 / 84</t>
        </is>
      </c>
      <c r="L37" t="inlineStr">
        <is>
          <t>25 / 18</t>
        </is>
      </c>
      <c r="M37" s="5" t="n">
        <v>0.53</v>
      </c>
      <c r="N37" s="5" t="n">
        <v>0.58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24.5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10</v>
      </c>
      <c r="G39" t="inlineStr">
        <is>
          <t>Ontario Tennis Association</t>
        </is>
      </c>
      <c r="H39" t="inlineStr">
        <is>
          <t>Carleton Tennis Centre</t>
        </is>
      </c>
      <c r="I39" t="n">
        <v>26.9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25.3</v>
      </c>
      <c r="J40" s="4" t="n">
        <v>221</v>
      </c>
      <c r="K40" t="inlineStr">
        <is>
          <t>120 / 101</t>
        </is>
      </c>
      <c r="L40" t="inlineStr">
        <is>
          <t>23 / 16</t>
        </is>
      </c>
      <c r="M40" s="5" t="n">
        <v>0.54</v>
      </c>
      <c r="N40" s="5" t="n">
        <v>0.59</v>
      </c>
    </row>
    <row r="41">
      <c r="A41" t="n">
        <v>40</v>
      </c>
      <c r="B41" t="n">
        <v>2012</v>
      </c>
      <c r="C41" t="inlineStr">
        <is>
          <t>Xinyi Kwan</t>
        </is>
      </c>
      <c r="D41">
        <f>HYPERLINK("https://ota.tournamentsoftware.com/player-profile/5146AC8F-EF0E-4E7A-A6A0-D65D12E5BF6E", "Link")</f>
        <v/>
      </c>
      <c r="E41" s="3" t="n">
        <v>2308.904</v>
      </c>
      <c r="F41" s="4" t="n">
        <v>21</v>
      </c>
      <c r="G41" t="inlineStr">
        <is>
          <t>Ontario Tennis Association</t>
        </is>
      </c>
      <c r="H41" t="inlineStr">
        <is>
          <t>Burlington Hall Sporting Club</t>
        </is>
      </c>
      <c r="I41" t="n">
        <v>22.2</v>
      </c>
      <c r="J41" s="4" t="n">
        <v>212</v>
      </c>
      <c r="K41" t="inlineStr">
        <is>
          <t>104 / 108</t>
        </is>
      </c>
      <c r="L41" t="inlineStr">
        <is>
          <t>27 / 19</t>
        </is>
      </c>
      <c r="M41" s="5" t="n">
        <v>0.49</v>
      </c>
      <c r="N41" s="5" t="n">
        <v>0.59</v>
      </c>
    </row>
    <row r="42">
      <c r="A42" t="n">
        <v>41</v>
      </c>
      <c r="B42" t="n">
        <v>2013</v>
      </c>
      <c r="C42" t="inlineStr">
        <is>
          <t>YASMINE SOUISSI</t>
        </is>
      </c>
      <c r="D42">
        <f>HYPERLINK("https://ota.tournamentsoftware.com/player-profile/1B8E66F9-8E72-48A5-A280-1ADD14488B21", "Link")</f>
        <v/>
      </c>
      <c r="E42" s="3" t="n">
        <v>2224.521</v>
      </c>
      <c r="F42" s="4" t="n">
        <v>9</v>
      </c>
      <c r="G42" t="inlineStr">
        <is>
          <t>Tennis Québec</t>
        </is>
      </c>
      <c r="H42" t="inlineStr">
        <is>
          <t>Tennis 13</t>
        </is>
      </c>
      <c r="I42" t="n">
        <v>22.3</v>
      </c>
      <c r="J42" s="4" t="n">
        <v>248</v>
      </c>
      <c r="K42" t="inlineStr">
        <is>
          <t>167 / 81</t>
        </is>
      </c>
      <c r="L42" t="inlineStr">
        <is>
          <t>24 / 13</t>
        </is>
      </c>
      <c r="M42" s="5" t="n">
        <v>0.67</v>
      </c>
      <c r="N42" s="5" t="n">
        <v>0.65</v>
      </c>
    </row>
    <row r="43">
      <c r="A43" t="n">
        <v>42</v>
      </c>
      <c r="B43" t="n">
        <v>2014</v>
      </c>
      <c r="C43" t="inlineStr">
        <is>
          <t>Adelina Tanashikova</t>
        </is>
      </c>
      <c r="D43">
        <f>HYPERLINK("https://ota.tournamentsoftware.com/player-profile/AD7F41D2-B208-4518-963D-851BBA4276F4", "Link")</f>
        <v/>
      </c>
      <c r="E43" s="3" t="n">
        <v>2209.809</v>
      </c>
      <c r="F43" s="4" t="n">
        <v>14</v>
      </c>
      <c r="G43" t="inlineStr">
        <is>
          <t>Ontario Tennis Association</t>
        </is>
      </c>
      <c r="H43" t="inlineStr">
        <is>
          <t>No Club</t>
        </is>
      </c>
      <c r="I43" t="n">
        <v>24.4</v>
      </c>
      <c r="J43" s="4" t="n">
        <v>271</v>
      </c>
      <c r="K43" t="inlineStr">
        <is>
          <t>147 / 124</t>
        </is>
      </c>
      <c r="L43" t="inlineStr">
        <is>
          <t>30 / 7</t>
        </is>
      </c>
      <c r="M43" s="5" t="n">
        <v>0.54</v>
      </c>
      <c r="N43" s="5" t="n">
        <v>0.8100000000000001</v>
      </c>
    </row>
    <row r="44">
      <c r="A44" t="n">
        <v>43</v>
      </c>
      <c r="B44" t="n">
        <v>2012</v>
      </c>
      <c r="C44" t="inlineStr">
        <is>
          <t>Marilyn deBruin-Sawutz</t>
        </is>
      </c>
      <c r="D44">
        <f>HYPERLINK("https://ota.tournamentsoftware.com/player-profile/3DC26724-8571-4345-A75C-D904297288CB", "Link")</f>
        <v/>
      </c>
      <c r="E44" s="3" t="n">
        <v>2134.817</v>
      </c>
      <c r="F44" s="4" t="n">
        <v>26</v>
      </c>
      <c r="G44" t="inlineStr">
        <is>
          <t>Ontario Tennis Association</t>
        </is>
      </c>
      <c r="H44" t="inlineStr">
        <is>
          <t>Advantage Tennis International at Veneto</t>
        </is>
      </c>
      <c r="I44" t="n">
        <v>23.7</v>
      </c>
      <c r="J44" s="4" t="n">
        <v>295</v>
      </c>
      <c r="K44" t="inlineStr">
        <is>
          <t>155 / 140</t>
        </is>
      </c>
      <c r="L44" t="inlineStr">
        <is>
          <t>34 / 21</t>
        </is>
      </c>
      <c r="M44" s="5" t="n">
        <v>0.53</v>
      </c>
      <c r="N44" s="5" t="n">
        <v>0.62</v>
      </c>
    </row>
    <row r="45">
      <c r="A45" t="n">
        <v>44</v>
      </c>
      <c r="B45" t="n">
        <v>2014</v>
      </c>
      <c r="C45" t="inlineStr">
        <is>
          <t>SOPHIA JIAJIA DENG</t>
        </is>
      </c>
      <c r="D45">
        <f>HYPERLINK("https://ota.tournamentsoftware.com/player-profile/FE6DD2AD-9E29-4128-BE09-D1E88B84D2C8", "Link")</f>
        <v/>
      </c>
      <c r="E45" s="3" t="n">
        <v>2125.702</v>
      </c>
      <c r="F45" s="4" t="n">
        <v>15</v>
      </c>
      <c r="G45" t="inlineStr">
        <is>
          <t>Ontario Tennis Association</t>
        </is>
      </c>
      <c r="H45" t="inlineStr">
        <is>
          <t>Peak Performance Tennis Academy</t>
        </is>
      </c>
      <c r="I45" t="n">
        <v>25.1</v>
      </c>
      <c r="J45" s="4" t="n">
        <v>186</v>
      </c>
      <c r="K45" t="inlineStr">
        <is>
          <t>137 / 49</t>
        </is>
      </c>
      <c r="L45" t="inlineStr">
        <is>
          <t>37 / 15</t>
        </is>
      </c>
      <c r="M45" s="5" t="n">
        <v>0.74</v>
      </c>
      <c r="N45" s="5" t="n">
        <v>0.71</v>
      </c>
    </row>
    <row r="46">
      <c r="A46" t="n">
        <v>45</v>
      </c>
      <c r="B46" t="n">
        <v>2014</v>
      </c>
      <c r="C46" t="inlineStr">
        <is>
          <t>Fiona Huang</t>
        </is>
      </c>
      <c r="D46">
        <f>HYPERLINK("https://ota.tournamentsoftware.com/player-profile/701ADA13-714A-48E5-B54F-4DB9E25DBDB3", "Link")</f>
        <v/>
      </c>
      <c r="E46" s="3" t="n">
        <v>2111.25</v>
      </c>
      <c r="F46" s="4" t="n">
        <v>14</v>
      </c>
      <c r="G46" t="inlineStr">
        <is>
          <t>British Columbia</t>
        </is>
      </c>
      <c r="H46" t="inlineStr">
        <is>
          <t>No Club</t>
        </is>
      </c>
      <c r="I46" t="n">
        <v>25.2</v>
      </c>
      <c r="J46" s="4" t="n">
        <v>223</v>
      </c>
      <c r="K46" t="inlineStr">
        <is>
          <t>142 / 81</t>
        </is>
      </c>
      <c r="L46" t="inlineStr">
        <is>
          <t>34 / 14</t>
        </is>
      </c>
      <c r="M46" s="5" t="n">
        <v>0.64</v>
      </c>
      <c r="N46" s="5" t="n">
        <v>0.71</v>
      </c>
    </row>
    <row r="47">
      <c r="A47" t="n">
        <v>46</v>
      </c>
      <c r="B47" t="n">
        <v>2014</v>
      </c>
      <c r="C47" t="inlineStr">
        <is>
          <t>Roseline Nana</t>
        </is>
      </c>
      <c r="D47">
        <f>HYPERLINK("https://ota.tournamentsoftware.com/player-profile/B0A425C4-2F23-4C29-8447-4FFBF9D90967", "Link")</f>
        <v/>
      </c>
      <c r="E47" s="3" t="n">
        <v>1993.2</v>
      </c>
      <c r="F47" s="4" t="n">
        <v>27</v>
      </c>
      <c r="G47" t="inlineStr">
        <is>
          <t>Tennis Québec</t>
        </is>
      </c>
      <c r="H47" t="inlineStr">
        <is>
          <t>Tennis Montréal Excellence</t>
        </is>
      </c>
      <c r="I47" t="n">
        <v>25.1</v>
      </c>
      <c r="J47" s="4" t="n">
        <v>193</v>
      </c>
      <c r="K47" t="inlineStr">
        <is>
          <t>137 / 56</t>
        </is>
      </c>
      <c r="L47" t="inlineStr">
        <is>
          <t>50 / 17</t>
        </is>
      </c>
      <c r="M47" s="5" t="n">
        <v>0.71</v>
      </c>
      <c r="N47" s="5" t="n">
        <v>0.75</v>
      </c>
    </row>
    <row r="48">
      <c r="A48" t="n">
        <v>47</v>
      </c>
      <c r="B48" t="n">
        <v>2014</v>
      </c>
      <c r="C48" t="inlineStr">
        <is>
          <t>Wilma Wai Bo Yue</t>
        </is>
      </c>
      <c r="D48">
        <f>HYPERLINK("https://ota.tournamentsoftware.com/player-profile/6CAEB488-574A-45E0-B597-01F96FA5C987", "Link")</f>
        <v/>
      </c>
      <c r="E48" s="3" t="n">
        <v>1945.112</v>
      </c>
      <c r="F48" s="4" t="n">
        <v>13</v>
      </c>
      <c r="G48" t="inlineStr">
        <is>
          <t>Ontario Tennis Association</t>
        </is>
      </c>
      <c r="H48" t="inlineStr">
        <is>
          <t>No Club</t>
        </is>
      </c>
      <c r="I48" t="n">
        <v>26.9</v>
      </c>
      <c r="J48" s="4" t="n">
        <v>209</v>
      </c>
      <c r="K48" t="inlineStr">
        <is>
          <t>151 / 58</t>
        </is>
      </c>
      <c r="L48" t="inlineStr">
        <is>
          <t>36 / 12</t>
        </is>
      </c>
      <c r="M48" s="5" t="n">
        <v>0.72</v>
      </c>
      <c r="N48" s="5" t="n">
        <v>0.75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17.6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25.5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1836.281</v>
      </c>
      <c r="F51" s="4" t="n">
        <v>16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25.2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13</v>
      </c>
      <c r="G52" t="inlineStr">
        <is>
          <t>Ontario Tennis Association</t>
        </is>
      </c>
      <c r="H52" t="inlineStr">
        <is>
          <t>Rexall Centre</t>
        </is>
      </c>
      <c r="I52" t="n">
        <v>24.9</v>
      </c>
      <c r="J52" s="4" t="n">
        <v>222</v>
      </c>
      <c r="K52" t="inlineStr">
        <is>
          <t>138 / 84</t>
        </is>
      </c>
      <c r="L52" t="inlineStr">
        <is>
          <t>37 / 15</t>
        </is>
      </c>
      <c r="M52" s="5" t="n">
        <v>0.62</v>
      </c>
      <c r="N52" s="5" t="n">
        <v>0.71</v>
      </c>
    </row>
    <row r="53">
      <c r="A53" t="n">
        <v>52</v>
      </c>
      <c r="B53" t="n">
        <v>2012</v>
      </c>
      <c r="C53" t="inlineStr">
        <is>
          <t>Daria Glinna</t>
        </is>
      </c>
      <c r="D53">
        <f>HYPERLINK("https://ota.tournamentsoftware.com/player-profile/75F31A41-BD9F-46AC-A064-06ECE54741E7", "Link")</f>
        <v/>
      </c>
      <c r="E53" s="3" t="n">
        <v>1760.552</v>
      </c>
      <c r="F53" s="4" t="n">
        <v>13</v>
      </c>
      <c r="G53" t="inlineStr">
        <is>
          <t>Ontario Tennis Association</t>
        </is>
      </c>
      <c r="H53" t="inlineStr">
        <is>
          <t>Premier Racquet Clubs – Mississauga</t>
        </is>
      </c>
      <c r="I53" t="n">
        <v>28.2</v>
      </c>
      <c r="J53" s="4" t="n">
        <v>158</v>
      </c>
      <c r="K53" t="inlineStr">
        <is>
          <t>59 / 99</t>
        </is>
      </c>
      <c r="L53" t="inlineStr">
        <is>
          <t>4 / 8</t>
        </is>
      </c>
      <c r="M53" s="5" t="n">
        <v>0.37</v>
      </c>
      <c r="N53" s="5" t="n">
        <v>0.33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1747.487</v>
      </c>
      <c r="F54" s="4" t="n">
        <v>7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35</v>
      </c>
      <c r="K54" t="inlineStr">
        <is>
          <t>21 / 14</t>
        </is>
      </c>
      <c r="L54" t="inlineStr">
        <is>
          <t>8 / 5</t>
        </is>
      </c>
      <c r="M54" s="5" t="n">
        <v>0.6</v>
      </c>
      <c r="N54" s="5" t="n">
        <v>0.62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1744</v>
      </c>
      <c r="F55" s="4" t="n">
        <v>26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27.7</v>
      </c>
      <c r="J55" s="4" t="n">
        <v>274</v>
      </c>
      <c r="K55" t="inlineStr">
        <is>
          <t>169 / 105</t>
        </is>
      </c>
      <c r="L55" t="inlineStr">
        <is>
          <t>25 / 15</t>
        </is>
      </c>
      <c r="M55" s="5" t="n">
        <v>0.62</v>
      </c>
      <c r="N55" s="5" t="n">
        <v>0.62</v>
      </c>
    </row>
    <row r="56">
      <c r="A56" t="n">
        <v>55</v>
      </c>
      <c r="B56" t="n">
        <v>2012</v>
      </c>
      <c r="C56" t="inlineStr">
        <is>
          <t>Allyson Experience</t>
        </is>
      </c>
      <c r="D56">
        <f>HYPERLINK("https://ota.tournamentsoftware.com/player-profile/9A5D0B4A-A8C7-47DA-8CAD-CA25D28C69CE", "Link")</f>
        <v/>
      </c>
      <c r="E56" s="3" t="n">
        <v>1725.227</v>
      </c>
      <c r="F56" s="4" t="n">
        <v>23</v>
      </c>
      <c r="G56" t="inlineStr">
        <is>
          <t>Tennis Québec</t>
        </is>
      </c>
      <c r="H56" t="inlineStr">
        <is>
          <t>Tennis Montréal Excellence</t>
        </is>
      </c>
      <c r="I56" t="n">
        <v>26.4</v>
      </c>
      <c r="J56" s="4" t="n">
        <v>264</v>
      </c>
      <c r="K56" t="inlineStr">
        <is>
          <t>123 / 141</t>
        </is>
      </c>
      <c r="L56" t="inlineStr">
        <is>
          <t>22 / 22</t>
        </is>
      </c>
      <c r="M56" s="5" t="n">
        <v>0.47</v>
      </c>
      <c r="N56" s="5" t="n">
        <v>0.5</v>
      </c>
    </row>
    <row r="57">
      <c r="A57" t="n">
        <v>56</v>
      </c>
      <c r="B57" t="n">
        <v>2013</v>
      </c>
      <c r="C57" t="inlineStr">
        <is>
          <t>Haeun (Emily) Jo</t>
        </is>
      </c>
      <c r="D57">
        <f>HYPERLINK("https://ota.tournamentsoftware.com/player-profile/BBD49A71-6CAE-4AC7-908B-9DB5263DA715", "Link")</f>
        <v/>
      </c>
      <c r="E57" s="3" t="n">
        <v>1714.8</v>
      </c>
      <c r="F57" s="4" t="n">
        <v>13</v>
      </c>
      <c r="G57" t="inlineStr">
        <is>
          <t>Tennis Nova Scotia</t>
        </is>
      </c>
      <c r="H57" t="inlineStr">
        <is>
          <t>Atlantic Tennis Centre</t>
        </is>
      </c>
      <c r="I57" t="n">
        <v>25.5</v>
      </c>
      <c r="J57" s="4" t="n">
        <v>288</v>
      </c>
      <c r="K57" t="inlineStr">
        <is>
          <t>192 / 96</t>
        </is>
      </c>
      <c r="L57" t="inlineStr">
        <is>
          <t>43 / 17</t>
        </is>
      </c>
      <c r="M57" s="5" t="n">
        <v>0.67</v>
      </c>
      <c r="N57" s="5" t="n">
        <v>0.72</v>
      </c>
    </row>
    <row r="58">
      <c r="A58" t="n">
        <v>57</v>
      </c>
      <c r="B58" t="n">
        <v>2013</v>
      </c>
      <c r="C58" t="inlineStr">
        <is>
          <t>xiayue(Cecelia) Bi</t>
        </is>
      </c>
      <c r="D58">
        <f>HYPERLINK("https://ota.tournamentsoftware.com/player-profile/081CD41C-A9E4-4340-A239-2D92F6639919", "Link")</f>
        <v/>
      </c>
      <c r="E58" s="3" t="n">
        <v>1681.279</v>
      </c>
      <c r="F58" s="4" t="n">
        <v>13</v>
      </c>
      <c r="G58" t="inlineStr">
        <is>
          <t>British Columbia</t>
        </is>
      </c>
      <c r="H58" t="inlineStr">
        <is>
          <t>North Vancouver Tennis Centre</t>
        </is>
      </c>
      <c r="I58" t="n">
        <v>24.4</v>
      </c>
      <c r="J58" s="4" t="n">
        <v>248</v>
      </c>
      <c r="K58" t="inlineStr">
        <is>
          <t>158 / 90</t>
        </is>
      </c>
      <c r="L58" t="inlineStr">
        <is>
          <t>19 / 22</t>
        </is>
      </c>
      <c r="M58" s="5" t="n">
        <v>0.64</v>
      </c>
      <c r="N58" s="5" t="n">
        <v>0.46</v>
      </c>
    </row>
    <row r="59">
      <c r="A59" t="n">
        <v>58</v>
      </c>
      <c r="B59" t="n">
        <v>2014</v>
      </c>
      <c r="C59" t="inlineStr">
        <is>
          <t>Naomi Danyod</t>
        </is>
      </c>
      <c r="D59">
        <f>HYPERLINK("https://ota.tournamentsoftware.com/player-profile/2037E4D8-F8CE-4A2B-858E-7FBBA84F2BC7", "Link")</f>
        <v/>
      </c>
      <c r="E59" s="3" t="n">
        <v>1674.084</v>
      </c>
      <c r="F59" s="4" t="n">
        <v>18</v>
      </c>
      <c r="G59" t="inlineStr">
        <is>
          <t>Tennis Québec</t>
        </is>
      </c>
      <c r="H59" t="inlineStr">
        <is>
          <t>Rouge et Or - Université Laval</t>
        </is>
      </c>
      <c r="I59" t="n">
        <v>26</v>
      </c>
      <c r="J59" s="4" t="n">
        <v>164</v>
      </c>
      <c r="K59" t="inlineStr">
        <is>
          <t>105 / 59</t>
        </is>
      </c>
      <c r="L59" t="inlineStr">
        <is>
          <t>35 / 20</t>
        </is>
      </c>
      <c r="M59" s="5" t="n">
        <v>0.64</v>
      </c>
      <c r="N59" s="5" t="n">
        <v>0.64</v>
      </c>
    </row>
    <row r="60">
      <c r="A60" t="n">
        <v>59</v>
      </c>
      <c r="B60" t="n">
        <v>2013</v>
      </c>
      <c r="C60" t="inlineStr">
        <is>
          <t>Adèle Juneau</t>
        </is>
      </c>
      <c r="D60">
        <f>HYPERLINK("https://ota.tournamentsoftware.com/player-profile/3A8C3EB0-444C-4108-A91E-FC74701A660D", "Link")</f>
        <v/>
      </c>
      <c r="E60" s="3" t="n">
        <v>1669.437</v>
      </c>
      <c r="F60" s="4" t="n">
        <v>16</v>
      </c>
      <c r="G60" t="inlineStr">
        <is>
          <t>Tennis Québec</t>
        </is>
      </c>
      <c r="H60" t="inlineStr">
        <is>
          <t>Tennis 13 / Académie Ménard et associé</t>
        </is>
      </c>
      <c r="I60" t="n">
        <v>24.9</v>
      </c>
      <c r="J60" s="4" t="n">
        <v>335</v>
      </c>
      <c r="K60" t="inlineStr">
        <is>
          <t>188 / 147</t>
        </is>
      </c>
      <c r="L60" t="inlineStr">
        <is>
          <t>19 / 22</t>
        </is>
      </c>
      <c r="M60" s="5" t="n">
        <v>0.5600000000000001</v>
      </c>
      <c r="N60" s="5" t="n">
        <v>0.46</v>
      </c>
    </row>
    <row r="61">
      <c r="A61" t="n">
        <v>60</v>
      </c>
      <c r="B61" t="n">
        <v>2013</v>
      </c>
      <c r="C61" t="inlineStr">
        <is>
          <t>Elena Rusic</t>
        </is>
      </c>
      <c r="D61">
        <f>HYPERLINK("https://ota.tournamentsoftware.com/player-profile/C202F0BA-61C5-459D-993A-2D56C17C2B04", "Link")</f>
        <v/>
      </c>
      <c r="E61" s="3" t="n">
        <v>1612.81</v>
      </c>
      <c r="F61" s="4" t="n">
        <v>22</v>
      </c>
      <c r="G61" t="inlineStr">
        <is>
          <t>Ontario Tennis Association</t>
        </is>
      </c>
      <c r="H61" t="inlineStr">
        <is>
          <t>Joshua Creek Golf &amp; Tennis</t>
        </is>
      </c>
      <c r="I61" t="n">
        <v>26.6</v>
      </c>
      <c r="J61" s="4" t="n">
        <v>258</v>
      </c>
      <c r="K61" t="inlineStr">
        <is>
          <t>183 / 75</t>
        </is>
      </c>
      <c r="L61" t="inlineStr">
        <is>
          <t>24 / 20</t>
        </is>
      </c>
      <c r="M61" s="5" t="n">
        <v>0.71</v>
      </c>
      <c r="N61" s="5" t="n">
        <v>0.55</v>
      </c>
    </row>
    <row r="62">
      <c r="A62" t="n">
        <v>61</v>
      </c>
      <c r="B62" t="n">
        <v>2012</v>
      </c>
      <c r="C62" t="inlineStr">
        <is>
          <t>Annika Richards</t>
        </is>
      </c>
      <c r="D62">
        <f>HYPERLINK("https://ota.tournamentsoftware.com/player-profile/CFED81F9-9EA3-48DF-84C4-507456D5D68B", "Link")</f>
        <v/>
      </c>
      <c r="E62" s="3" t="n">
        <v>1580.813</v>
      </c>
      <c r="F62" s="4" t="n">
        <v>17</v>
      </c>
      <c r="G62" t="inlineStr">
        <is>
          <t>Ontario Tennis Association</t>
        </is>
      </c>
      <c r="H62" t="inlineStr">
        <is>
          <t>Toronto Cricket Skating &amp; Curling</t>
        </is>
      </c>
      <c r="I62" t="n">
        <v>27.4</v>
      </c>
      <c r="J62" s="4" t="n">
        <v>189</v>
      </c>
      <c r="K62" t="inlineStr">
        <is>
          <t>81 / 108</t>
        </is>
      </c>
      <c r="L62" t="inlineStr">
        <is>
          <t>8 / 17</t>
        </is>
      </c>
      <c r="M62" s="5" t="n">
        <v>0.43</v>
      </c>
      <c r="N62" s="5" t="n">
        <v>0.32</v>
      </c>
    </row>
    <row r="63">
      <c r="A63" t="n">
        <v>62</v>
      </c>
      <c r="B63" t="n">
        <v>2013</v>
      </c>
      <c r="C63" t="inlineStr">
        <is>
          <t>Alexane Deschênes</t>
        </is>
      </c>
      <c r="D63">
        <f>HYPERLINK("https://ota.tournamentsoftware.com/player-profile/124D1E6B-E463-4461-A5D1-9C844DE2C6D9", "Link")</f>
        <v/>
      </c>
      <c r="E63" s="3" t="n">
        <v>1534.592</v>
      </c>
      <c r="F63" s="4" t="n">
        <v>22</v>
      </c>
      <c r="G63" t="inlineStr">
        <is>
          <t>Tennis Québec</t>
        </is>
      </c>
      <c r="H63" t="inlineStr">
        <is>
          <t>Centre récréatif de Repentigny / Académie Tennis Momentum</t>
        </is>
      </c>
      <c r="I63" t="n">
        <v>25.3</v>
      </c>
      <c r="J63" s="4" t="n">
        <v>293</v>
      </c>
      <c r="K63" t="inlineStr">
        <is>
          <t>156 / 137</t>
        </is>
      </c>
      <c r="L63" t="inlineStr">
        <is>
          <t>36 / 35</t>
        </is>
      </c>
      <c r="M63" s="5" t="n">
        <v>0.53</v>
      </c>
      <c r="N63" s="5" t="n">
        <v>0.51</v>
      </c>
    </row>
    <row r="64">
      <c r="A64" t="n">
        <v>63</v>
      </c>
      <c r="B64" t="n">
        <v>2013</v>
      </c>
      <c r="C64" t="inlineStr">
        <is>
          <t>Varvara Lutsyk</t>
        </is>
      </c>
      <c r="D64">
        <f>HYPERLINK("https://ota.tournamentsoftware.com/player-profile/5197490D-6996-4375-892E-2696E508FF34", "Link")</f>
        <v/>
      </c>
      <c r="E64" s="3" t="n">
        <v>1491.991</v>
      </c>
      <c r="F64" s="4" t="n">
        <v>19</v>
      </c>
      <c r="G64" t="inlineStr">
        <is>
          <t>Tennis Québec</t>
        </is>
      </c>
      <c r="H64" t="inlineStr">
        <is>
          <t>Club Sportif Côte-de-Liesse</t>
        </is>
      </c>
      <c r="I64" t="n">
        <v>24.9</v>
      </c>
      <c r="J64" s="4" t="n">
        <v>210</v>
      </c>
      <c r="K64" t="inlineStr">
        <is>
          <t>137 / 73</t>
        </is>
      </c>
      <c r="L64" t="inlineStr">
        <is>
          <t>31 / 17</t>
        </is>
      </c>
      <c r="M64" s="5" t="n">
        <v>0.65</v>
      </c>
      <c r="N64" s="5" t="n">
        <v>0.65</v>
      </c>
    </row>
    <row r="65">
      <c r="A65" t="n">
        <v>64</v>
      </c>
      <c r="B65" t="n">
        <v>2012</v>
      </c>
      <c r="C65" t="inlineStr">
        <is>
          <t>Natalie Le'er Sang</t>
        </is>
      </c>
      <c r="D65">
        <f>HYPERLINK("https://ota.tournamentsoftware.com/player-profile/993E5845-6FAB-4557-A6F0-C3D60CD8BB97", "Link")</f>
        <v/>
      </c>
      <c r="E65" s="3" t="n">
        <v>1488.96</v>
      </c>
      <c r="F65" s="4" t="n">
        <v>16</v>
      </c>
      <c r="G65" t="inlineStr">
        <is>
          <t>British Columbia</t>
        </is>
      </c>
      <c r="H65" t="inlineStr">
        <is>
          <t>No Club</t>
        </is>
      </c>
      <c r="I65" t="n">
        <v>25.5</v>
      </c>
      <c r="J65" s="4" t="n">
        <v>111</v>
      </c>
      <c r="K65" t="inlineStr">
        <is>
          <t>78 / 33</t>
        </is>
      </c>
      <c r="L65" t="inlineStr">
        <is>
          <t>21 / 19</t>
        </is>
      </c>
      <c r="M65" s="5" t="n">
        <v>0.7</v>
      </c>
      <c r="N65" s="5" t="n">
        <v>0.53</v>
      </c>
    </row>
    <row r="66">
      <c r="A66" t="n">
        <v>65</v>
      </c>
      <c r="B66" t="n">
        <v>2012</v>
      </c>
      <c r="C66" t="inlineStr">
        <is>
          <t>Kelly L Zhang</t>
        </is>
      </c>
      <c r="D66">
        <f>HYPERLINK("https://ota.tournamentsoftware.com/player-profile/2504E03B-B05C-4307-B90E-F3F72DD94827", "Link")</f>
        <v/>
      </c>
      <c r="E66" s="3" t="n">
        <v>1476.763</v>
      </c>
      <c r="F66" s="4" t="n">
        <v>22</v>
      </c>
      <c r="G66" t="inlineStr">
        <is>
          <t>Ontario Tennis Association</t>
        </is>
      </c>
      <c r="H66" t="inlineStr">
        <is>
          <t>NYTA Winter Tennis Club</t>
        </is>
      </c>
      <c r="I66" t="n">
        <v>28.1</v>
      </c>
      <c r="J66" s="4" t="n">
        <v>188</v>
      </c>
      <c r="K66" t="inlineStr">
        <is>
          <t>92 / 96</t>
        </is>
      </c>
      <c r="L66" t="inlineStr">
        <is>
          <t>25 / 18</t>
        </is>
      </c>
      <c r="M66" s="5" t="n">
        <v>0.49</v>
      </c>
      <c r="N66" s="5" t="n">
        <v>0.58</v>
      </c>
    </row>
    <row r="67">
      <c r="A67" t="n">
        <v>66</v>
      </c>
      <c r="B67" t="n">
        <v>2013</v>
      </c>
      <c r="C67" t="inlineStr">
        <is>
          <t>Avery Badyal</t>
        </is>
      </c>
      <c r="D67">
        <f>HYPERLINK("https://ota.tournamentsoftware.com/player-profile/9486479F-C8FD-48FB-BCCD-0246C53A632C", "Link")</f>
        <v/>
      </c>
      <c r="E67" s="3" t="n">
        <v>1469.906</v>
      </c>
      <c r="F67" s="4" t="n">
        <v>12</v>
      </c>
      <c r="G67" t="inlineStr">
        <is>
          <t>British Columbia</t>
        </is>
      </c>
      <c r="H67" t="inlineStr">
        <is>
          <t>The Tennis Centre</t>
        </is>
      </c>
      <c r="I67" t="n">
        <v>25.3</v>
      </c>
      <c r="J67" s="4" t="n">
        <v>239</v>
      </c>
      <c r="K67" t="inlineStr">
        <is>
          <t>145 / 94</t>
        </is>
      </c>
      <c r="L67" t="inlineStr">
        <is>
          <t>17 / 19</t>
        </is>
      </c>
      <c r="M67" s="5" t="n">
        <v>0.61</v>
      </c>
      <c r="N67" s="5" t="n">
        <v>0.47</v>
      </c>
    </row>
    <row r="68">
      <c r="A68" t="n">
        <v>67</v>
      </c>
      <c r="B68" t="n">
        <v>2014</v>
      </c>
      <c r="C68" t="inlineStr">
        <is>
          <t>jocelyn ai</t>
        </is>
      </c>
      <c r="D68">
        <f>HYPERLINK("https://ota.tournamentsoftware.com/player-profile/EADED953-942B-4335-BE21-C0DE8F31626D", "Link")</f>
        <v/>
      </c>
      <c r="E68" s="3" t="n">
        <v>1450.912</v>
      </c>
      <c r="F68" s="4" t="n">
        <v>20</v>
      </c>
      <c r="G68" t="inlineStr">
        <is>
          <t>Ontario Tennis Association</t>
        </is>
      </c>
      <c r="H68" t="inlineStr">
        <is>
          <t>No Club</t>
        </is>
      </c>
      <c r="I68" t="n">
        <v>27.1</v>
      </c>
      <c r="J68" s="4" t="n">
        <v>220</v>
      </c>
      <c r="K68" t="inlineStr">
        <is>
          <t>133 / 87</t>
        </is>
      </c>
      <c r="L68" t="inlineStr">
        <is>
          <t>39 / 24</t>
        </is>
      </c>
      <c r="M68" s="5" t="n">
        <v>0.6</v>
      </c>
      <c r="N68" s="5" t="n">
        <v>0.62</v>
      </c>
    </row>
    <row r="69">
      <c r="A69" t="n">
        <v>68</v>
      </c>
      <c r="B69" t="n">
        <v>2012</v>
      </c>
      <c r="C69" t="inlineStr">
        <is>
          <t>Karina Zhang</t>
        </is>
      </c>
      <c r="D69">
        <f>HYPERLINK("https://ota.tournamentsoftware.com/player-profile/7BB53E38-BBB9-4E1E-B8A2-8EFC2E762653", "Link")</f>
        <v/>
      </c>
      <c r="E69" s="3" t="n">
        <v>1427.367</v>
      </c>
      <c r="F69" s="4" t="n">
        <v>26</v>
      </c>
      <c r="G69" t="inlineStr">
        <is>
          <t>Ontario Tennis Association</t>
        </is>
      </c>
      <c r="H69" t="inlineStr">
        <is>
          <t>Richmondhill Golf &amp; Country Club</t>
        </is>
      </c>
      <c r="I69" t="n">
        <v>24.5</v>
      </c>
      <c r="J69" s="4" t="n">
        <v>211</v>
      </c>
      <c r="K69" t="inlineStr">
        <is>
          <t>131 / 80</t>
        </is>
      </c>
      <c r="L69" t="inlineStr">
        <is>
          <t>31 / 24</t>
        </is>
      </c>
      <c r="M69" s="5" t="n">
        <v>0.62</v>
      </c>
      <c r="N69" s="5" t="n">
        <v>0.5600000000000001</v>
      </c>
    </row>
    <row r="70">
      <c r="A70" t="n">
        <v>69</v>
      </c>
      <c r="B70" t="n">
        <v>2014</v>
      </c>
      <c r="C70" t="inlineStr">
        <is>
          <t>Amelia Grace Balasuriya</t>
        </is>
      </c>
      <c r="D70">
        <f>HYPERLINK("https://ota.tournamentsoftware.com/player-profile/741A3060-1EA3-4E29-A0BE-1717DEF32CEA", "Link")</f>
        <v/>
      </c>
      <c r="E70" s="3" t="n">
        <v>1414.433</v>
      </c>
      <c r="F70" s="4" t="n">
        <v>24</v>
      </c>
      <c r="G70" t="inlineStr">
        <is>
          <t>Ontario Tennis Association</t>
        </is>
      </c>
      <c r="H70" t="inlineStr">
        <is>
          <t>The Supreme Court Tennis Club</t>
        </is>
      </c>
      <c r="I70" t="n">
        <v>26.8</v>
      </c>
      <c r="J70" s="4" t="n">
        <v>267</v>
      </c>
      <c r="K70" t="inlineStr">
        <is>
          <t>172 / 95</t>
        </is>
      </c>
      <c r="L70" t="inlineStr">
        <is>
          <t>49 / 25</t>
        </is>
      </c>
      <c r="M70" s="5" t="n">
        <v>0.64</v>
      </c>
      <c r="N70" s="5" t="n">
        <v>0.66</v>
      </c>
    </row>
    <row r="71">
      <c r="A71" t="n">
        <v>70</v>
      </c>
      <c r="B71" t="n">
        <v>2012</v>
      </c>
      <c r="C71" t="inlineStr">
        <is>
          <t>Olivia Escobar</t>
        </is>
      </c>
      <c r="D71">
        <f>HYPERLINK("https://ota.tournamentsoftware.com/player-profile/9E3A15EA-D947-4048-B7A7-6C2437D34132", "Link")</f>
        <v/>
      </c>
      <c r="E71" s="3" t="n">
        <v>1405</v>
      </c>
      <c r="F71" s="4" t="n">
        <v>38</v>
      </c>
      <c r="G71" t="inlineStr">
        <is>
          <t>Tennis Québec</t>
        </is>
      </c>
      <c r="H71" t="inlineStr">
        <is>
          <t>Tennis Ile- des- Soeurs</t>
        </is>
      </c>
      <c r="I71" t="n">
        <v>26.8</v>
      </c>
      <c r="J71" s="4" t="n">
        <v>348</v>
      </c>
      <c r="K71" t="inlineStr">
        <is>
          <t>132 / 216</t>
        </is>
      </c>
      <c r="L71" t="inlineStr">
        <is>
          <t>19 / 24</t>
        </is>
      </c>
      <c r="M71" s="5" t="n">
        <v>0.38</v>
      </c>
      <c r="N71" s="5" t="n">
        <v>0.44</v>
      </c>
    </row>
    <row r="72">
      <c r="A72" t="n">
        <v>71</v>
      </c>
      <c r="B72" t="n">
        <v>2013</v>
      </c>
      <c r="C72" t="inlineStr">
        <is>
          <t>Dewa Ayu Devin Sum</t>
        </is>
      </c>
      <c r="D72">
        <f>HYPERLINK("https://ota.tournamentsoftware.com/player-profile/9DB24D5C-3B5C-4B40-BE7E-B331240C1B21", "Link")</f>
        <v/>
      </c>
      <c r="E72" s="3" t="n">
        <v>1397.453</v>
      </c>
      <c r="F72" s="4" t="n">
        <v>30</v>
      </c>
      <c r="G72" t="inlineStr">
        <is>
          <t>Ontario Tennis Association</t>
        </is>
      </c>
      <c r="H72" t="inlineStr">
        <is>
          <t>Premier Racquet Clubs – Mississauga</t>
        </is>
      </c>
      <c r="I72" t="n">
        <v>28</v>
      </c>
      <c r="J72" s="4" t="n">
        <v>181</v>
      </c>
      <c r="K72" t="inlineStr">
        <is>
          <t>93 / 88</t>
        </is>
      </c>
      <c r="L72" t="inlineStr">
        <is>
          <t>27 / 23</t>
        </is>
      </c>
      <c r="M72" s="5" t="n">
        <v>0.51</v>
      </c>
      <c r="N72" s="5" t="n">
        <v>0.54</v>
      </c>
    </row>
    <row r="73">
      <c r="A73" t="n">
        <v>72</v>
      </c>
      <c r="B73" t="n">
        <v>2012</v>
      </c>
      <c r="C73" t="inlineStr">
        <is>
          <t>Zahava Olszynko</t>
        </is>
      </c>
      <c r="D73">
        <f>HYPERLINK("https://ota.tournamentsoftware.com/player-profile/B6F84042-B29D-4CD8-984E-787094BFA8A4", "Link")</f>
        <v/>
      </c>
      <c r="E73" s="3" t="n">
        <v>1396.116</v>
      </c>
      <c r="F73" s="4" t="n">
        <v>31</v>
      </c>
      <c r="G73" t="inlineStr">
        <is>
          <t>Ontario Tennis Association</t>
        </is>
      </c>
      <c r="H73" t="inlineStr">
        <is>
          <t>Rideau Sports Centre</t>
        </is>
      </c>
      <c r="I73" t="n">
        <v>26.2</v>
      </c>
      <c r="J73" s="4" t="n">
        <v>231</v>
      </c>
      <c r="K73" t="inlineStr">
        <is>
          <t>127 / 104</t>
        </is>
      </c>
      <c r="L73" t="inlineStr">
        <is>
          <t>35 / 24</t>
        </is>
      </c>
      <c r="M73" s="5" t="n">
        <v>0.55</v>
      </c>
      <c r="N73" s="5" t="n">
        <v>0.59</v>
      </c>
    </row>
    <row r="74">
      <c r="A74" t="n">
        <v>73</v>
      </c>
      <c r="B74" t="n">
        <v>2013</v>
      </c>
      <c r="C74" t="inlineStr">
        <is>
          <t>Eleanor Victoria Paura</t>
        </is>
      </c>
      <c r="D74">
        <f>HYPERLINK("https://ota.tournamentsoftware.com/player-profile/4D9EBB83-94D7-44A3-BD6F-1D98EF9559DF", "Link")</f>
        <v/>
      </c>
      <c r="E74" s="3" t="n">
        <v>1376.144</v>
      </c>
      <c r="F74" s="4" t="n">
        <v>11</v>
      </c>
      <c r="G74" t="inlineStr">
        <is>
          <t>Tennis Saskatchewan</t>
        </is>
      </c>
      <c r="H74" t="inlineStr">
        <is>
          <t>Lakeshore Tennis Club</t>
        </is>
      </c>
      <c r="I74" t="n">
        <v>29.8</v>
      </c>
      <c r="J74" s="4" t="n">
        <v>196</v>
      </c>
      <c r="K74" t="inlineStr">
        <is>
          <t>85 / 111</t>
        </is>
      </c>
      <c r="L74" t="inlineStr">
        <is>
          <t>27 / 22</t>
        </is>
      </c>
      <c r="M74" s="5" t="n">
        <v>0.43</v>
      </c>
      <c r="N74" s="5" t="n">
        <v>0.55</v>
      </c>
    </row>
    <row r="75">
      <c r="A75" t="n">
        <v>74</v>
      </c>
      <c r="B75" t="n">
        <v>2014</v>
      </c>
      <c r="C75" t="inlineStr">
        <is>
          <t>Emma Allen</t>
        </is>
      </c>
      <c r="D75">
        <f>HYPERLINK("https://ota.tournamentsoftware.com/player-profile/5640B61E-0EE7-4BB3-ABC3-AD9CB508E4E9", "Link")</f>
        <v/>
      </c>
      <c r="E75" s="3" t="n">
        <v>1351.651</v>
      </c>
      <c r="F75" s="4" t="n">
        <v>20</v>
      </c>
      <c r="G75" t="inlineStr">
        <is>
          <t>Ontario Tennis Association</t>
        </is>
      </c>
      <c r="H75" t="inlineStr">
        <is>
          <t>Joshua Creek Golf &amp; Tennis</t>
        </is>
      </c>
      <c r="I75" t="n">
        <v>27</v>
      </c>
      <c r="J75" s="4" t="n">
        <v>260</v>
      </c>
      <c r="K75" t="inlineStr">
        <is>
          <t>187 / 73</t>
        </is>
      </c>
      <c r="L75" t="inlineStr">
        <is>
          <t>39 / 21</t>
        </is>
      </c>
      <c r="M75" s="5" t="n">
        <v>0.72</v>
      </c>
      <c r="N75" s="5" t="n">
        <v>0.65</v>
      </c>
    </row>
    <row r="76">
      <c r="A76" t="n">
        <v>75</v>
      </c>
      <c r="B76" t="n">
        <v>2014</v>
      </c>
      <c r="C76" t="inlineStr">
        <is>
          <t>Nanette Du</t>
        </is>
      </c>
      <c r="D76">
        <f>HYPERLINK("https://ota.tournamentsoftware.com/player-profile/53190390-CC68-4E5E-8079-A41733ADF41A", "Link")</f>
        <v/>
      </c>
      <c r="E76" s="3" t="n">
        <v>1337.773</v>
      </c>
      <c r="F76" s="4" t="n">
        <v>16</v>
      </c>
      <c r="G76" t="inlineStr">
        <is>
          <t>Ontario Tennis Association</t>
        </is>
      </c>
      <c r="H76" t="inlineStr">
        <is>
          <t>Advantage Tennis International at Veneto</t>
        </is>
      </c>
      <c r="I76" t="n">
        <v>28.1</v>
      </c>
      <c r="J76" s="4" t="n">
        <v>151</v>
      </c>
      <c r="K76" t="inlineStr">
        <is>
          <t>94 / 57</t>
        </is>
      </c>
      <c r="L76" t="inlineStr">
        <is>
          <t>28 / 13</t>
        </is>
      </c>
      <c r="M76" s="5" t="n">
        <v>0.62</v>
      </c>
      <c r="N76" s="5" t="n">
        <v>0.68</v>
      </c>
    </row>
    <row r="77">
      <c r="A77" t="n">
        <v>76</v>
      </c>
      <c r="B77" t="n">
        <v>2013</v>
      </c>
      <c r="C77" t="inlineStr">
        <is>
          <t>Charlotte Dawes</t>
        </is>
      </c>
      <c r="D77">
        <f>HYPERLINK("https://ota.tournamentsoftware.com/player-profile/F2AC6B3A-37CF-4522-9228-9A614DED4E6F", "Link")</f>
        <v/>
      </c>
      <c r="E77" s="3" t="n">
        <v>1333.136</v>
      </c>
      <c r="F77" s="4" t="n">
        <v>14</v>
      </c>
      <c r="G77" t="inlineStr">
        <is>
          <t>Tennis Alberta</t>
        </is>
      </c>
      <c r="H77" t="inlineStr">
        <is>
          <t>Osten &amp; Victor Alberta Tennis Centre</t>
        </is>
      </c>
      <c r="I77" t="n">
        <v>26.5</v>
      </c>
      <c r="J77" s="4" t="n">
        <v>225</v>
      </c>
      <c r="K77" t="inlineStr">
        <is>
          <t>112 / 113</t>
        </is>
      </c>
      <c r="L77" t="inlineStr">
        <is>
          <t>25 / 18</t>
        </is>
      </c>
      <c r="M77" s="5" t="n">
        <v>0.5</v>
      </c>
      <c r="N77" s="5" t="n">
        <v>0.58</v>
      </c>
    </row>
    <row r="78">
      <c r="A78" t="n">
        <v>77</v>
      </c>
      <c r="B78" t="n">
        <v>2013</v>
      </c>
      <c r="C78" t="inlineStr">
        <is>
          <t>Iris Fu</t>
        </is>
      </c>
      <c r="D78">
        <f>HYPERLINK("https://ota.tournamentsoftware.com/player-profile/0A3A4B5A-8950-4E67-BAA9-3F132754A3FD", "Link")</f>
        <v/>
      </c>
      <c r="E78" s="3" t="n">
        <v>1301.76</v>
      </c>
      <c r="F78" s="4" t="n">
        <v>17</v>
      </c>
      <c r="G78" t="inlineStr">
        <is>
          <t>Ontario Tennis Association</t>
        </is>
      </c>
      <c r="H78" t="inlineStr">
        <is>
          <t>Premier Racquet Clubs – Mississauga</t>
        </is>
      </c>
      <c r="I78" t="inlineStr">
        <is>
          <t>unavailable</t>
        </is>
      </c>
      <c r="J78" s="4" t="n">
        <v>246</v>
      </c>
      <c r="K78" t="inlineStr">
        <is>
          <t>143 / 103</t>
        </is>
      </c>
      <c r="L78" t="inlineStr">
        <is>
          <t>28 / 13</t>
        </is>
      </c>
      <c r="M78" s="5" t="n">
        <v>0.58</v>
      </c>
      <c r="N78" s="5" t="n">
        <v>0.68</v>
      </c>
    </row>
    <row r="79">
      <c r="A79" t="n">
        <v>78</v>
      </c>
      <c r="B79" t="n">
        <v>2012</v>
      </c>
      <c r="C79" t="inlineStr">
        <is>
          <t>Alessia Lungu</t>
        </is>
      </c>
      <c r="D79">
        <f>HYPERLINK("https://ota.tournamentsoftware.com/player-profile/99FF719F-9C8F-4394-BE76-5455D457977A", "Link")</f>
        <v/>
      </c>
      <c r="E79" s="3" t="n">
        <v>1212.805</v>
      </c>
      <c r="F79" s="4" t="n">
        <v>9</v>
      </c>
      <c r="G79" t="inlineStr">
        <is>
          <t>Ontario Tennis Association</t>
        </is>
      </c>
      <c r="H79" t="inlineStr">
        <is>
          <t>Joshua Creek Golf &amp; Tennis</t>
        </is>
      </c>
      <c r="I79" t="n">
        <v>23.3</v>
      </c>
      <c r="J79" s="4" t="n">
        <v>181</v>
      </c>
      <c r="K79" t="inlineStr">
        <is>
          <t>116 / 65</t>
        </is>
      </c>
      <c r="L79" t="inlineStr">
        <is>
          <t>5 / 3</t>
        </is>
      </c>
      <c r="M79" s="5" t="n">
        <v>0.64</v>
      </c>
      <c r="N79" s="5" t="n">
        <v>0.62</v>
      </c>
    </row>
    <row r="80">
      <c r="A80" t="n">
        <v>79</v>
      </c>
      <c r="B80" t="n">
        <v>2012</v>
      </c>
      <c r="C80" t="inlineStr">
        <is>
          <t>Emilie Chen</t>
        </is>
      </c>
      <c r="D80">
        <f>HYPERLINK("https://ota.tournamentsoftware.com/player-profile/829AD033-5D37-4AE8-9F34-8C50F25B20C3", "Link")</f>
        <v/>
      </c>
      <c r="E80" s="3" t="n">
        <v>1210.891</v>
      </c>
      <c r="F80" s="4" t="n">
        <v>12</v>
      </c>
      <c r="G80" t="inlineStr">
        <is>
          <t>Ontario Tennis Association</t>
        </is>
      </c>
      <c r="H80" t="inlineStr">
        <is>
          <t>Toronto Cricket Skating &amp; Curling</t>
        </is>
      </c>
      <c r="I80" t="n">
        <v>26.2</v>
      </c>
      <c r="J80" s="4" t="n">
        <v>216</v>
      </c>
      <c r="K80" t="inlineStr">
        <is>
          <t>90 / 126</t>
        </is>
      </c>
      <c r="L80" t="inlineStr">
        <is>
          <t>13 / 14</t>
        </is>
      </c>
      <c r="M80" s="5" t="n">
        <v>0.42</v>
      </c>
      <c r="N80" s="5" t="n">
        <v>0.48</v>
      </c>
    </row>
    <row r="81">
      <c r="A81" t="n">
        <v>80</v>
      </c>
      <c r="B81" t="n">
        <v>2014</v>
      </c>
      <c r="C81" t="inlineStr">
        <is>
          <t>Naella Sehic</t>
        </is>
      </c>
      <c r="D81">
        <f>HYPERLINK("https://ota.tournamentsoftware.com/player-profile/C86BA5BA-97F0-463B-BBE7-6A41452E0D47", "Link")</f>
        <v/>
      </c>
      <c r="E81" s="3" t="n">
        <v>1206.241</v>
      </c>
      <c r="F81" s="4" t="n">
        <v>20</v>
      </c>
      <c r="G81" t="inlineStr">
        <is>
          <t>Tennis Québec</t>
        </is>
      </c>
      <c r="H81" t="inlineStr">
        <is>
          <t>Tennis Ile- des- Soeurs</t>
        </is>
      </c>
      <c r="I81" t="n">
        <v>25.9</v>
      </c>
      <c r="J81" s="4" t="n">
        <v>300</v>
      </c>
      <c r="K81" t="inlineStr">
        <is>
          <t>185 / 115</t>
        </is>
      </c>
      <c r="L81" t="inlineStr">
        <is>
          <t>48 / 16</t>
        </is>
      </c>
      <c r="M81" s="5" t="n">
        <v>0.62</v>
      </c>
      <c r="N81" s="5" t="n">
        <v>0.75</v>
      </c>
    </row>
    <row r="82">
      <c r="A82" t="n">
        <v>81</v>
      </c>
      <c r="B82" t="n">
        <v>2014</v>
      </c>
      <c r="C82" t="inlineStr">
        <is>
          <t>Ruoran Hou</t>
        </is>
      </c>
      <c r="D82">
        <f>HYPERLINK("https://ota.tournamentsoftware.com/player-profile/01D9A845-667C-4EDB-ABF5-CFE1C5418675", "Link")</f>
        <v/>
      </c>
      <c r="E82" s="3" t="n">
        <v>1181.094</v>
      </c>
      <c r="F82" s="4" t="n">
        <v>15</v>
      </c>
      <c r="G82" t="inlineStr">
        <is>
          <t>Tennis Nova Scotia</t>
        </is>
      </c>
      <c r="H82" t="inlineStr">
        <is>
          <t>Atlantic Tennis Centre</t>
        </is>
      </c>
      <c r="I82" t="n">
        <v>29.6</v>
      </c>
      <c r="J82" s="4" t="n">
        <v>238</v>
      </c>
      <c r="K82" t="inlineStr">
        <is>
          <t>138 / 100</t>
        </is>
      </c>
      <c r="L82" t="inlineStr">
        <is>
          <t>40 / 27</t>
        </is>
      </c>
      <c r="M82" s="5" t="n">
        <v>0.58</v>
      </c>
      <c r="N82" s="5" t="n">
        <v>0.6</v>
      </c>
    </row>
    <row r="83">
      <c r="A83" t="n">
        <v>82</v>
      </c>
      <c r="B83" t="n">
        <v>2012</v>
      </c>
      <c r="C83" t="inlineStr">
        <is>
          <t>Ashlee Hanul Yoo</t>
        </is>
      </c>
      <c r="D83">
        <f>HYPERLINK("https://ota.tournamentsoftware.com/player-profile/BA09F220-C66B-4A96-9C0C-1BEE71ADDA56", "Link")</f>
        <v/>
      </c>
      <c r="E83" s="3" t="n">
        <v>1170.503</v>
      </c>
      <c r="F83" s="4" t="n">
        <v>13</v>
      </c>
      <c r="G83" t="inlineStr">
        <is>
          <t>British Columbia</t>
        </is>
      </c>
      <c r="H83" t="inlineStr">
        <is>
          <t>No Club</t>
        </is>
      </c>
      <c r="I83" t="inlineStr">
        <is>
          <t>unavailable</t>
        </is>
      </c>
      <c r="J83" s="4" t="n">
        <v>205</v>
      </c>
      <c r="K83" t="inlineStr">
        <is>
          <t>109 / 96</t>
        </is>
      </c>
      <c r="L83" t="inlineStr">
        <is>
          <t>18 / 18</t>
        </is>
      </c>
      <c r="M83" s="5" t="n">
        <v>0.53</v>
      </c>
      <c r="N83" s="5" t="n">
        <v>0.5</v>
      </c>
    </row>
    <row r="84">
      <c r="A84" t="n">
        <v>83</v>
      </c>
      <c r="B84" t="n">
        <v>2013</v>
      </c>
      <c r="C84" t="inlineStr">
        <is>
          <t>Halo Boyu Li</t>
        </is>
      </c>
      <c r="D84">
        <f>HYPERLINK("https://ota.tournamentsoftware.com/player-profile/42371346-12B9-439B-B9EB-FB5DD0ABCB73", "Link")</f>
        <v/>
      </c>
      <c r="E84" s="3" t="n">
        <v>1165.149</v>
      </c>
      <c r="F84" s="4" t="n">
        <v>11</v>
      </c>
      <c r="G84" t="inlineStr">
        <is>
          <t>Tennis Saskatchewan</t>
        </is>
      </c>
      <c r="H84" t="inlineStr">
        <is>
          <t>No Club</t>
        </is>
      </c>
      <c r="I84" t="n">
        <v>31</v>
      </c>
      <c r="J84" s="4" t="n">
        <v>181</v>
      </c>
      <c r="K84" t="inlineStr">
        <is>
          <t>79 / 102</t>
        </is>
      </c>
      <c r="L84" t="inlineStr">
        <is>
          <t>29 / 27</t>
        </is>
      </c>
      <c r="M84" s="5" t="n">
        <v>0.44</v>
      </c>
      <c r="N84" s="5" t="n">
        <v>0.52</v>
      </c>
    </row>
    <row r="85">
      <c r="A85" t="n">
        <v>84</v>
      </c>
      <c r="B85" t="n">
        <v>2012</v>
      </c>
      <c r="C85" t="inlineStr">
        <is>
          <t>Alexsandra Stanislavksy</t>
        </is>
      </c>
      <c r="D85">
        <f>HYPERLINK("https://ota.tournamentsoftware.com/player-profile/A067EDC1-6B71-4023-8C13-88CA87AA808B", "Link")</f>
        <v/>
      </c>
      <c r="E85" s="3" t="n">
        <v>1142.629</v>
      </c>
      <c r="F85" s="4" t="n">
        <v>31</v>
      </c>
      <c r="G85" t="inlineStr">
        <is>
          <t>Ontario Tennis Association</t>
        </is>
      </c>
      <c r="H85" t="inlineStr">
        <is>
          <t>No Club</t>
        </is>
      </c>
      <c r="I85" t="n">
        <v>28.6</v>
      </c>
      <c r="J85" s="4" t="n">
        <v>196</v>
      </c>
      <c r="K85" t="inlineStr">
        <is>
          <t>88 / 108</t>
        </is>
      </c>
      <c r="L85" t="inlineStr">
        <is>
          <t>25 / 27</t>
        </is>
      </c>
      <c r="M85" s="5" t="n">
        <v>0.45</v>
      </c>
      <c r="N85" s="5" t="n">
        <v>0.48</v>
      </c>
    </row>
    <row r="86">
      <c r="A86" t="n">
        <v>85</v>
      </c>
      <c r="B86" t="n">
        <v>2013</v>
      </c>
      <c r="C86" t="inlineStr">
        <is>
          <t>Chloé Normandin</t>
        </is>
      </c>
      <c r="D86">
        <f>HYPERLINK("https://ota.tournamentsoftware.com/player-profile/A22608C6-6D99-476C-9EC7-9A31F3CACB0A", "Link")</f>
        <v/>
      </c>
      <c r="E86" s="3" t="n">
        <v>1139.173</v>
      </c>
      <c r="F86" s="4" t="n">
        <v>23</v>
      </c>
      <c r="G86" t="inlineStr">
        <is>
          <t>Tennis Québec</t>
        </is>
      </c>
      <c r="H86" t="inlineStr">
        <is>
          <t>Tennis Ile- des- Soeurs</t>
        </is>
      </c>
      <c r="I86" t="n">
        <v>26.1</v>
      </c>
      <c r="J86" s="4" t="n">
        <v>269</v>
      </c>
      <c r="K86" t="inlineStr">
        <is>
          <t>148 / 121</t>
        </is>
      </c>
      <c r="L86" t="inlineStr">
        <is>
          <t>37 / 21</t>
        </is>
      </c>
      <c r="M86" s="5" t="n">
        <v>0.55</v>
      </c>
      <c r="N86" s="5" t="n">
        <v>0.64</v>
      </c>
    </row>
    <row r="87">
      <c r="A87" t="n">
        <v>86</v>
      </c>
      <c r="B87" t="n">
        <v>2012</v>
      </c>
      <c r="C87" t="inlineStr">
        <is>
          <t>Kate Louise Violet Dee</t>
        </is>
      </c>
      <c r="D87">
        <f>HYPERLINK("https://ota.tournamentsoftware.com/player-profile/807F7468-99D8-4717-B3DF-3F2ED69EFA0A", "Link")</f>
        <v/>
      </c>
      <c r="E87" s="3" t="n">
        <v>1135.533</v>
      </c>
      <c r="F87" s="4" t="n">
        <v>11</v>
      </c>
      <c r="G87" t="inlineStr">
        <is>
          <t>British Columbia</t>
        </is>
      </c>
      <c r="H87" t="inlineStr">
        <is>
          <t>North Vancouver Tennis Centre</t>
        </is>
      </c>
      <c r="I87" t="n">
        <v>25.8</v>
      </c>
      <c r="J87" s="4" t="n">
        <v>244</v>
      </c>
      <c r="K87" t="inlineStr">
        <is>
          <t>136 / 108</t>
        </is>
      </c>
      <c r="L87" t="inlineStr">
        <is>
          <t>14 / 16</t>
        </is>
      </c>
      <c r="M87" s="5" t="n">
        <v>0.5600000000000001</v>
      </c>
      <c r="N87" s="5" t="n">
        <v>0.47</v>
      </c>
    </row>
    <row r="88">
      <c r="A88" t="n">
        <v>87</v>
      </c>
      <c r="B88" t="n">
        <v>2012</v>
      </c>
      <c r="C88" t="inlineStr">
        <is>
          <t>Adrienne Keaton Nelson</t>
        </is>
      </c>
      <c r="D88">
        <f>HYPERLINK("https://ota.tournamentsoftware.com/player-profile/1D977DD3-331D-4977-B4D6-E3202A6C56BD", "Link")</f>
        <v/>
      </c>
      <c r="E88" s="3" t="n">
        <v>1117.411</v>
      </c>
      <c r="F88" s="4" t="n">
        <v>43</v>
      </c>
      <c r="G88" t="inlineStr">
        <is>
          <t>Ontario Tennis Association</t>
        </is>
      </c>
      <c r="H88" t="inlineStr">
        <is>
          <t>Blackmore Tennis Club</t>
        </is>
      </c>
      <c r="I88" t="n">
        <v>27</v>
      </c>
      <c r="J88" s="4" t="n">
        <v>235</v>
      </c>
      <c r="K88" t="inlineStr">
        <is>
          <t>114 / 121</t>
        </is>
      </c>
      <c r="L88" t="inlineStr">
        <is>
          <t>28 / 26</t>
        </is>
      </c>
      <c r="M88" s="5" t="n">
        <v>0.49</v>
      </c>
      <c r="N88" s="5" t="n">
        <v>0.52</v>
      </c>
    </row>
    <row r="89">
      <c r="A89" t="n">
        <v>88</v>
      </c>
      <c r="B89" t="n">
        <v>2013</v>
      </c>
      <c r="C89" t="inlineStr">
        <is>
          <t>Cindy Liu</t>
        </is>
      </c>
      <c r="D89">
        <f>HYPERLINK("https://ota.tournamentsoftware.com/player-profile/89018759-835F-4CE0-A297-3449F2A42D00", "Link")</f>
        <v/>
      </c>
      <c r="E89" s="3" t="n">
        <v>1113.273</v>
      </c>
      <c r="F89" s="4" t="n">
        <v>23</v>
      </c>
      <c r="G89" t="inlineStr">
        <is>
          <t>British Columbia</t>
        </is>
      </c>
      <c r="H89" t="inlineStr">
        <is>
          <t>The Tennis Centre</t>
        </is>
      </c>
      <c r="I89" t="n">
        <v>25.9</v>
      </c>
      <c r="J89" s="4" t="n">
        <v>197</v>
      </c>
      <c r="K89" t="inlineStr">
        <is>
          <t>104 / 93</t>
        </is>
      </c>
      <c r="L89" t="inlineStr">
        <is>
          <t>34 / 20</t>
        </is>
      </c>
      <c r="M89" s="5" t="n">
        <v>0.53</v>
      </c>
      <c r="N89" s="5" t="n">
        <v>0.63</v>
      </c>
    </row>
    <row r="90">
      <c r="A90" t="n">
        <v>89</v>
      </c>
      <c r="B90" t="n">
        <v>2015</v>
      </c>
      <c r="C90" t="inlineStr">
        <is>
          <t>Sofia Tabunshchyk</t>
        </is>
      </c>
      <c r="D90">
        <f>HYPERLINK("https://ota.tournamentsoftware.com/player-profile/3714FE82-9045-425F-937B-7104A43D57F9", "Link")</f>
        <v/>
      </c>
      <c r="E90" s="3" t="n">
        <v>1098.18</v>
      </c>
      <c r="F90" s="4" t="n">
        <v>37</v>
      </c>
      <c r="G90" t="inlineStr">
        <is>
          <t>Ontario Tennis Association</t>
        </is>
      </c>
      <c r="H90" t="inlineStr">
        <is>
          <t>ACE Tennis - Burlington</t>
        </is>
      </c>
      <c r="I90" t="inlineStr">
        <is>
          <t>unavailable</t>
        </is>
      </c>
      <c r="J90" s="4" t="n">
        <v>330</v>
      </c>
      <c r="K90" t="inlineStr">
        <is>
          <t>165 / 165</t>
        </is>
      </c>
      <c r="L90" t="inlineStr">
        <is>
          <t>55 / 29</t>
        </is>
      </c>
      <c r="M90" s="5" t="n">
        <v>0.5</v>
      </c>
      <c r="N90" s="5" t="n">
        <v>0.65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19</v>
      </c>
      <c r="G91" t="inlineStr">
        <is>
          <t>Tennis Alberta</t>
        </is>
      </c>
      <c r="H91" t="inlineStr">
        <is>
          <t>Saville Community Sports Centre</t>
        </is>
      </c>
      <c r="I91" t="n">
        <v>26.5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29</v>
      </c>
      <c r="G92" t="inlineStr">
        <is>
          <t>Ontario Tennis Association</t>
        </is>
      </c>
      <c r="H92" t="inlineStr">
        <is>
          <t>Blackmore Tennis Club</t>
        </is>
      </c>
      <c r="I92" t="n">
        <v>30.4</v>
      </c>
      <c r="J92" s="4" t="n">
        <v>220</v>
      </c>
      <c r="K92" t="inlineStr">
        <is>
          <t>124 / 96</t>
        </is>
      </c>
      <c r="L92" t="inlineStr">
        <is>
          <t>33 / 22</t>
        </is>
      </c>
      <c r="M92" s="5" t="n">
        <v>0.5600000000000001</v>
      </c>
      <c r="N92" s="5" t="n">
        <v>0.6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19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2014</v>
      </c>
      <c r="C95" t="inlineStr">
        <is>
          <t>Victoria Markova</t>
        </is>
      </c>
      <c r="D95">
        <f>HYPERLINK("https://ota.tournamentsoftware.com/player-profile/DE909631-ADF4-4157-ABE4-0097B95C4307", "Link")</f>
        <v/>
      </c>
      <c r="E95" s="3" t="n">
        <v>1059.342</v>
      </c>
      <c r="F95" s="4" t="n">
        <v>25</v>
      </c>
      <c r="G95" t="inlineStr">
        <is>
          <t>Tennis Québec</t>
        </is>
      </c>
      <c r="H95" t="inlineStr">
        <is>
          <t>Carrefour Multisports</t>
        </is>
      </c>
      <c r="I95" t="n">
        <v>28.8</v>
      </c>
      <c r="J95" s="4" t="n">
        <v>232</v>
      </c>
      <c r="K95" t="inlineStr">
        <is>
          <t>128 / 104</t>
        </is>
      </c>
      <c r="L95" t="inlineStr">
        <is>
          <t>42 / 26</t>
        </is>
      </c>
      <c r="M95" s="5" t="n">
        <v>0.55</v>
      </c>
      <c r="N95" s="5" t="n">
        <v>0.62</v>
      </c>
    </row>
    <row r="96">
      <c r="A96" t="n">
        <v>95</v>
      </c>
      <c r="B96" t="n">
        <v>2014</v>
      </c>
      <c r="C96" t="inlineStr">
        <is>
          <t>JOANNA QIHENG FEI</t>
        </is>
      </c>
      <c r="D96">
        <f>HYPERLINK("https://ota.tournamentsoftware.com/player-profile/1DD48A17-96B6-42F9-8D67-EE4CBF6DFA95", "Link")</f>
        <v/>
      </c>
      <c r="E96" s="3" t="n">
        <v>1051.658</v>
      </c>
      <c r="F96" s="4" t="n">
        <v>20</v>
      </c>
      <c r="G96" t="inlineStr">
        <is>
          <t>British Columbia</t>
        </is>
      </c>
      <c r="H96" t="inlineStr">
        <is>
          <t>Richmond Country Club</t>
        </is>
      </c>
      <c r="I96" t="n">
        <v>25.5</v>
      </c>
      <c r="J96" s="4" t="n">
        <v>268</v>
      </c>
      <c r="K96" t="inlineStr">
        <is>
          <t>133 / 135</t>
        </is>
      </c>
      <c r="L96" t="inlineStr">
        <is>
          <t>40 / 19</t>
        </is>
      </c>
      <c r="M96" s="5" t="n">
        <v>0.5</v>
      </c>
      <c r="N96" s="5" t="n">
        <v>0.68</v>
      </c>
    </row>
    <row r="97">
      <c r="A97" t="n">
        <v>96</v>
      </c>
      <c r="B97" t="n">
        <v>2012</v>
      </c>
      <c r="C97" t="inlineStr">
        <is>
          <t>Margarita Ter-Grigoryan</t>
        </is>
      </c>
      <c r="D97">
        <f>HYPERLINK("https://ota.tournamentsoftware.com/player-profile/A86B3E87-30AA-4D57-86CF-572CF663421E", "Link")</f>
        <v/>
      </c>
      <c r="E97" s="3" t="n">
        <v>1020.42</v>
      </c>
      <c r="F97" s="4" t="n">
        <v>14</v>
      </c>
      <c r="G97" t="inlineStr">
        <is>
          <t>Tennis Saskatchewan</t>
        </is>
      </c>
      <c r="H97" t="inlineStr">
        <is>
          <t>No Club</t>
        </is>
      </c>
      <c r="I97" t="n">
        <v>30</v>
      </c>
      <c r="J97" s="4" t="n">
        <v>130</v>
      </c>
      <c r="K97" t="inlineStr">
        <is>
          <t>70 / 60</t>
        </is>
      </c>
      <c r="L97" t="inlineStr">
        <is>
          <t>30 / 30</t>
        </is>
      </c>
      <c r="M97" s="5" t="n">
        <v>0.54</v>
      </c>
      <c r="N97" s="5" t="n">
        <v>0.5</v>
      </c>
    </row>
    <row r="98">
      <c r="A98" t="n">
        <v>97</v>
      </c>
      <c r="B98" t="n">
        <v>2012</v>
      </c>
      <c r="C98" t="inlineStr">
        <is>
          <t>Maia-Alexandra Popa</t>
        </is>
      </c>
      <c r="D98">
        <f>HYPERLINK("https://ota.tournamentsoftware.com/player-profile/1D5E0C32-9DDE-4B44-ADF9-FDB75BF638BC", "Link")</f>
        <v/>
      </c>
      <c r="E98" s="3" t="n">
        <v>992.261</v>
      </c>
      <c r="F98" s="4" t="n">
        <v>21</v>
      </c>
      <c r="G98" t="inlineStr">
        <is>
          <t>Ontario Tennis Association</t>
        </is>
      </c>
      <c r="H98" t="inlineStr">
        <is>
          <t>No Club</t>
        </is>
      </c>
      <c r="I98" t="n">
        <v>26.2</v>
      </c>
      <c r="J98" s="4" t="n">
        <v>207</v>
      </c>
      <c r="K98" t="inlineStr">
        <is>
          <t>109 / 98</t>
        </is>
      </c>
      <c r="L98" t="inlineStr">
        <is>
          <t>27 / 13</t>
        </is>
      </c>
      <c r="M98" s="5" t="n">
        <v>0.53</v>
      </c>
      <c r="N98" s="5" t="n">
        <v>0.68</v>
      </c>
    </row>
    <row r="99">
      <c r="A99" t="n">
        <v>98</v>
      </c>
      <c r="B99" t="n">
        <v>2013</v>
      </c>
      <c r="C99" t="inlineStr">
        <is>
          <t>Aubrianna Ellen York</t>
        </is>
      </c>
      <c r="D99">
        <f>HYPERLINK("https://ota.tournamentsoftware.com/player-profile/FDFD6FEF-AD8B-4B1E-ADE3-15417E1BCF05", "Link")</f>
        <v/>
      </c>
      <c r="E99" s="3" t="n">
        <v>970.944</v>
      </c>
      <c r="F99" s="4" t="n">
        <v>18</v>
      </c>
      <c r="G99" t="inlineStr">
        <is>
          <t>Tennis Alberta</t>
        </is>
      </c>
      <c r="H99" t="inlineStr">
        <is>
          <t>Aforza</t>
        </is>
      </c>
      <c r="I99" t="n">
        <v>28.1</v>
      </c>
      <c r="J99" s="4" t="n">
        <v>214</v>
      </c>
      <c r="K99" t="inlineStr">
        <is>
          <t>113 / 101</t>
        </is>
      </c>
      <c r="L99" t="inlineStr">
        <is>
          <t>28 / 19</t>
        </is>
      </c>
      <c r="M99" s="5" t="n">
        <v>0.53</v>
      </c>
      <c r="N99" s="5" t="n">
        <v>0.6</v>
      </c>
    </row>
    <row r="100">
      <c r="A100" t="n">
        <v>99</v>
      </c>
      <c r="B100" t="n">
        <v>2014</v>
      </c>
      <c r="C100" t="inlineStr">
        <is>
          <t>Qiuyue Li</t>
        </is>
      </c>
      <c r="D100">
        <f>HYPERLINK("https://ota.tournamentsoftware.com/player-profile/20DDEF60-3700-4387-8C53-C32DB7F857D4", "Link")</f>
        <v/>
      </c>
      <c r="E100" s="3" t="n">
        <v>961.8</v>
      </c>
      <c r="F100" s="4" t="n">
        <v>5</v>
      </c>
      <c r="G100" t="inlineStr">
        <is>
          <t>Ontario Tennis Association</t>
        </is>
      </c>
      <c r="H100" t="inlineStr">
        <is>
          <t>No Club</t>
        </is>
      </c>
      <c r="I100" t="n">
        <v>26.7</v>
      </c>
      <c r="J100" s="4" t="n">
        <v>26</v>
      </c>
      <c r="K100" t="inlineStr">
        <is>
          <t>24 / 2</t>
        </is>
      </c>
      <c r="L100" t="inlineStr">
        <is>
          <t>14 / 1</t>
        </is>
      </c>
      <c r="M100" s="5" t="n">
        <v>0.92</v>
      </c>
      <c r="N100" s="5" t="n">
        <v>0.93</v>
      </c>
    </row>
    <row r="101">
      <c r="A101" t="n">
        <v>100</v>
      </c>
      <c r="B101" t="n">
        <v>2012</v>
      </c>
      <c r="C101" t="inlineStr">
        <is>
          <t>Chloe Lou Friesen</t>
        </is>
      </c>
      <c r="D101">
        <f>HYPERLINK("https://ota.tournamentsoftware.com/player-profile/A0A11672-F1E8-4BD3-A43A-BB82984EDDA5", "Link")</f>
        <v/>
      </c>
      <c r="E101" s="3" t="n">
        <v>959.691</v>
      </c>
      <c r="F101" s="4" t="n">
        <v>17</v>
      </c>
      <c r="G101" t="inlineStr">
        <is>
          <t>British Columbia</t>
        </is>
      </c>
      <c r="H101" t="inlineStr">
        <is>
          <t>Vancouver Lawn Tennis and Badminton Club</t>
        </is>
      </c>
      <c r="I101" t="n">
        <v>26</v>
      </c>
      <c r="J101" s="4" t="n">
        <v>235</v>
      </c>
      <c r="K101" t="inlineStr">
        <is>
          <t>129 / 106</t>
        </is>
      </c>
      <c r="L101" t="inlineStr">
        <is>
          <t>24 / 16</t>
        </is>
      </c>
      <c r="M101" s="5" t="n">
        <v>0.55</v>
      </c>
      <c r="N101" s="5" t="n">
        <v>0.6</v>
      </c>
    </row>
    <row r="102">
      <c r="A102" t="n">
        <v>101</v>
      </c>
      <c r="B102" t="n">
        <v>2015</v>
      </c>
      <c r="C102" t="inlineStr">
        <is>
          <t>Evelyn J.C. Liu</t>
        </is>
      </c>
      <c r="D102">
        <f>HYPERLINK("https://ota.tournamentsoftware.com/player-profile/193F9EEB-1528-48A2-A0D8-C6448E62254A", "Link")</f>
        <v/>
      </c>
      <c r="E102" s="3" t="n">
        <v>945.349</v>
      </c>
      <c r="F102" s="4" t="n">
        <v>17</v>
      </c>
      <c r="G102" t="inlineStr">
        <is>
          <t>British Columbia</t>
        </is>
      </c>
      <c r="H102" t="inlineStr">
        <is>
          <t>Vancouver Lawn Tennis and Badminton Club</t>
        </is>
      </c>
      <c r="I102" t="n">
        <v>27</v>
      </c>
      <c r="J102" s="4" t="n">
        <v>271</v>
      </c>
      <c r="K102" t="inlineStr">
        <is>
          <t>152 / 119</t>
        </is>
      </c>
      <c r="L102" t="inlineStr">
        <is>
          <t>41 / 22</t>
        </is>
      </c>
      <c r="M102" s="5" t="n">
        <v>0.5600000000000001</v>
      </c>
      <c r="N102" s="5" t="n">
        <v>0.65</v>
      </c>
    </row>
    <row r="103">
      <c r="A103" t="n">
        <v>102</v>
      </c>
      <c r="B103" t="n">
        <v>2015</v>
      </c>
      <c r="C103" t="inlineStr">
        <is>
          <t>Aahana Guha</t>
        </is>
      </c>
      <c r="D103">
        <f>HYPERLINK("https://ota.tournamentsoftware.com/player-profile/B6BFAEC0-924F-4635-B45C-E700061D4B03", "Link")</f>
        <v/>
      </c>
      <c r="E103" s="3" t="n">
        <v>944.747</v>
      </c>
      <c r="F103" s="4" t="n">
        <v>12</v>
      </c>
      <c r="G103" t="inlineStr">
        <is>
          <t>Tennis Saskatchewan</t>
        </is>
      </c>
      <c r="H103" t="inlineStr">
        <is>
          <t>Lakeshore Tennis Club</t>
        </is>
      </c>
      <c r="I103" t="n">
        <v>30.8</v>
      </c>
      <c r="J103" s="4" t="n">
        <v>171</v>
      </c>
      <c r="K103" t="inlineStr">
        <is>
          <t>90 / 81</t>
        </is>
      </c>
      <c r="L103" t="inlineStr">
        <is>
          <t>34 / 23</t>
        </is>
      </c>
      <c r="M103" s="5" t="n">
        <v>0.53</v>
      </c>
      <c r="N103" s="5" t="n">
        <v>0.6</v>
      </c>
    </row>
    <row r="104">
      <c r="A104" t="n">
        <v>103</v>
      </c>
      <c r="B104" t="n">
        <v>2012</v>
      </c>
      <c r="C104" t="inlineStr">
        <is>
          <t>Laura Patsynka</t>
        </is>
      </c>
      <c r="D104">
        <f>HYPERLINK("https://ota.tournamentsoftware.com/player-profile/49340E93-6E30-4683-9E0F-4D50A1C584F1", "Link")</f>
        <v/>
      </c>
      <c r="E104" s="3" t="n">
        <v>932.872</v>
      </c>
      <c r="F104" s="4" t="n">
        <v>28</v>
      </c>
      <c r="G104" t="inlineStr">
        <is>
          <t>Ontario Tennis Association</t>
        </is>
      </c>
      <c r="H104" t="inlineStr">
        <is>
          <t>SmartVMC Racquetsports by ACE</t>
        </is>
      </c>
      <c r="I104" t="inlineStr">
        <is>
          <t>unavailable</t>
        </is>
      </c>
      <c r="J104" s="4" t="n">
        <v>201</v>
      </c>
      <c r="K104" t="inlineStr">
        <is>
          <t>79 / 122</t>
        </is>
      </c>
      <c r="L104" t="inlineStr">
        <is>
          <t>10 / 23</t>
        </is>
      </c>
      <c r="M104" s="5" t="n">
        <v>0.39</v>
      </c>
      <c r="N104" s="5" t="n">
        <v>0.3</v>
      </c>
    </row>
    <row r="105">
      <c r="A105" t="n">
        <v>104</v>
      </c>
      <c r="B105" t="n">
        <v>2013</v>
      </c>
      <c r="C105" t="inlineStr">
        <is>
          <t>Akshara Bavanaka</t>
        </is>
      </c>
      <c r="D105">
        <f>HYPERLINK("https://ota.tournamentsoftware.com/player-profile/DB56F65D-8A18-4169-BE31-18F89B25E14B", "Link")</f>
        <v/>
      </c>
      <c r="E105" s="3" t="n">
        <v>923.843</v>
      </c>
      <c r="F105" s="4" t="n">
        <v>37</v>
      </c>
      <c r="G105" t="inlineStr">
        <is>
          <t>Ontario Tennis Association</t>
        </is>
      </c>
      <c r="H105" t="inlineStr">
        <is>
          <t>Advantage Tennis International at Veneto</t>
        </is>
      </c>
      <c r="I105" t="n">
        <v>30.3</v>
      </c>
      <c r="J105" s="4" t="n">
        <v>237</v>
      </c>
      <c r="K105" t="inlineStr">
        <is>
          <t>121 / 116</t>
        </is>
      </c>
      <c r="L105" t="inlineStr">
        <is>
          <t>20 / 25</t>
        </is>
      </c>
      <c r="M105" s="5" t="n">
        <v>0.51</v>
      </c>
      <c r="N105" s="5" t="n">
        <v>0.44</v>
      </c>
    </row>
    <row r="106">
      <c r="A106" t="n">
        <v>105</v>
      </c>
      <c r="B106" t="n">
        <v>2013</v>
      </c>
      <c r="C106" t="inlineStr">
        <is>
          <t>Amelia Karapalevski</t>
        </is>
      </c>
      <c r="D106">
        <f>HYPERLINK("https://ota.tournamentsoftware.com/player-profile/FA2D2790-6EBD-4928-94F7-17F54621E2B4", "Link")</f>
        <v/>
      </c>
      <c r="E106" s="3" t="n">
        <v>896.6180000000001</v>
      </c>
      <c r="F106" s="4" t="n">
        <v>33</v>
      </c>
      <c r="G106" t="inlineStr">
        <is>
          <t>Ontario Tennis Association</t>
        </is>
      </c>
      <c r="H106" t="inlineStr">
        <is>
          <t>SmartVMC Racquetsports by ACE</t>
        </is>
      </c>
      <c r="I106" t="n">
        <v>28.1</v>
      </c>
      <c r="J106" s="4" t="n">
        <v>221</v>
      </c>
      <c r="K106" t="inlineStr">
        <is>
          <t>128 / 93</t>
        </is>
      </c>
      <c r="L106" t="inlineStr">
        <is>
          <t>34 / 22</t>
        </is>
      </c>
      <c r="M106" s="5" t="n">
        <v>0.58</v>
      </c>
      <c r="N106" s="5" t="n">
        <v>0.61</v>
      </c>
    </row>
    <row r="107">
      <c r="A107" t="n">
        <v>106</v>
      </c>
      <c r="B107" t="n">
        <v>2013</v>
      </c>
      <c r="C107" t="inlineStr">
        <is>
          <t>Mia Nikolovska</t>
        </is>
      </c>
      <c r="D107">
        <f>HYPERLINK("https://ota.tournamentsoftware.com/player-profile/52158395-8ADB-4430-ABAA-C56A79756D09", "Link")</f>
        <v/>
      </c>
      <c r="E107" s="3" t="n">
        <v>895.96</v>
      </c>
      <c r="F107" s="4" t="n">
        <v>36</v>
      </c>
      <c r="G107" t="inlineStr">
        <is>
          <t>Ontario Tennis Association</t>
        </is>
      </c>
      <c r="H107" t="inlineStr">
        <is>
          <t>No Club</t>
        </is>
      </c>
      <c r="I107" t="inlineStr">
        <is>
          <t>unavailable</t>
        </is>
      </c>
      <c r="J107" s="4" t="n">
        <v>366</v>
      </c>
      <c r="K107" t="inlineStr">
        <is>
          <t>223 / 143</t>
        </is>
      </c>
      <c r="L107" t="inlineStr">
        <is>
          <t>33 / 22</t>
        </is>
      </c>
      <c r="M107" s="5" t="n">
        <v>0.61</v>
      </c>
      <c r="N107" s="5" t="n">
        <v>0.6</v>
      </c>
    </row>
    <row r="108">
      <c r="A108" t="n">
        <v>107</v>
      </c>
      <c r="B108" t="n">
        <v>2015</v>
      </c>
      <c r="C108" t="inlineStr">
        <is>
          <t>Emilie Joly</t>
        </is>
      </c>
      <c r="D108">
        <f>HYPERLINK("https://ota.tournamentsoftware.com/player-profile/57736008-B9CA-4FCE-BEF6-90222787F336", "Link")</f>
        <v/>
      </c>
      <c r="E108" s="3" t="n">
        <v>865.3150000000001</v>
      </c>
      <c r="F108" s="4" t="n">
        <v>17</v>
      </c>
      <c r="G108" t="inlineStr">
        <is>
          <t>Ontario Tennis Association</t>
        </is>
      </c>
      <c r="H108" t="inlineStr">
        <is>
          <t>Kingston Racquet Centre</t>
        </is>
      </c>
      <c r="I108" t="n">
        <v>27.5</v>
      </c>
      <c r="J108" s="4" t="n">
        <v>224</v>
      </c>
      <c r="K108" t="inlineStr">
        <is>
          <t>156 / 68</t>
        </is>
      </c>
      <c r="L108" t="inlineStr">
        <is>
          <t>33 / 8</t>
        </is>
      </c>
      <c r="M108" s="5" t="n">
        <v>0.7</v>
      </c>
      <c r="N108" s="5" t="n">
        <v>0.8</v>
      </c>
    </row>
    <row r="109">
      <c r="A109" t="n">
        <v>108</v>
      </c>
      <c r="B109" t="n">
        <v>2012</v>
      </c>
      <c r="C109" t="inlineStr">
        <is>
          <t>Jaydalie Isaac</t>
        </is>
      </c>
      <c r="D109">
        <f>HYPERLINK("https://ota.tournamentsoftware.com/player-profile/A56DDC7B-03D0-424A-907D-63A363906F9A", "Link")</f>
        <v/>
      </c>
      <c r="E109" s="3" t="n">
        <v>851.111</v>
      </c>
      <c r="F109" s="4" t="n">
        <v>13</v>
      </c>
      <c r="G109" t="inlineStr">
        <is>
          <t>Tennis Québec</t>
        </is>
      </c>
      <c r="H109" t="inlineStr">
        <is>
          <t>No Club</t>
        </is>
      </c>
      <c r="I109" t="n">
        <v>28</v>
      </c>
      <c r="J109" s="4" t="n">
        <v>235</v>
      </c>
      <c r="K109" t="inlineStr">
        <is>
          <t>111 / 124</t>
        </is>
      </c>
      <c r="L109" t="inlineStr">
        <is>
          <t>21 / 12</t>
        </is>
      </c>
      <c r="M109" s="5" t="n">
        <v>0.47</v>
      </c>
      <c r="N109" s="5" t="n">
        <v>0.64</v>
      </c>
    </row>
    <row r="110">
      <c r="A110" t="n">
        <v>109</v>
      </c>
      <c r="B110" t="n">
        <v>2013</v>
      </c>
      <c r="C110" t="inlineStr">
        <is>
          <t>Jeanne Lampron</t>
        </is>
      </c>
      <c r="D110">
        <f>HYPERLINK("https://ota.tournamentsoftware.com/player-profile/DBA36429-C15E-4F24-9832-7D6BA94887C6", "Link")</f>
        <v/>
      </c>
      <c r="E110" s="3" t="n">
        <v>850.005</v>
      </c>
      <c r="F110" s="4" t="n">
        <v>24</v>
      </c>
      <c r="G110" t="inlineStr">
        <is>
          <t>Tennis Québec</t>
        </is>
      </c>
      <c r="H110" t="inlineStr">
        <is>
          <t>Tennis Montréal Excellence</t>
        </is>
      </c>
      <c r="I110" t="n">
        <v>26.5</v>
      </c>
      <c r="J110" s="4" t="n">
        <v>133</v>
      </c>
      <c r="K110" t="inlineStr">
        <is>
          <t>63 / 70</t>
        </is>
      </c>
      <c r="L110" t="inlineStr">
        <is>
          <t>28 / 23</t>
        </is>
      </c>
      <c r="M110" s="5" t="n">
        <v>0.47</v>
      </c>
      <c r="N110" s="5" t="n">
        <v>0.55</v>
      </c>
    </row>
    <row r="111">
      <c r="A111" t="n">
        <v>110</v>
      </c>
      <c r="B111" t="n">
        <v>2012</v>
      </c>
      <c r="C111" t="inlineStr">
        <is>
          <t>Estelle Kroupetski</t>
        </is>
      </c>
      <c r="D111">
        <f>HYPERLINK("https://ota.tournamentsoftware.com/player-profile/7A8D0D40-A77C-429C-81D6-05DC21DB8D28", "Link")</f>
        <v/>
      </c>
      <c r="E111" s="3" t="n">
        <v>846.264</v>
      </c>
      <c r="F111" s="4" t="n">
        <v>18</v>
      </c>
      <c r="G111" t="inlineStr">
        <is>
          <t>Ontario Tennis Association</t>
        </is>
      </c>
      <c r="H111" t="inlineStr">
        <is>
          <t>Ontario Racquet Club</t>
        </is>
      </c>
      <c r="I111" t="n">
        <v>28</v>
      </c>
      <c r="J111" s="4" t="n">
        <v>145</v>
      </c>
      <c r="K111" t="inlineStr">
        <is>
          <t>72 / 73</t>
        </is>
      </c>
      <c r="L111" t="inlineStr">
        <is>
          <t>28 / 11</t>
        </is>
      </c>
      <c r="M111" s="5" t="n">
        <v>0.5</v>
      </c>
      <c r="N111" s="5" t="n">
        <v>0.72</v>
      </c>
    </row>
    <row r="112">
      <c r="A112" t="n">
        <v>111</v>
      </c>
      <c r="B112" t="n">
        <v>2012</v>
      </c>
      <c r="C112" t="inlineStr">
        <is>
          <t>Emma Abdou</t>
        </is>
      </c>
      <c r="D112">
        <f>HYPERLINK("https://ota.tournamentsoftware.com/player-profile/FD6387AB-774D-491E-8A68-CE4DD20FAEF7", "Link")</f>
        <v/>
      </c>
      <c r="E112" s="3" t="n">
        <v>837.727</v>
      </c>
      <c r="F112" s="4" t="n">
        <v>35</v>
      </c>
      <c r="G112" t="inlineStr">
        <is>
          <t>Ontario Tennis Association</t>
        </is>
      </c>
      <c r="H112" t="inlineStr">
        <is>
          <t>Granite Club</t>
        </is>
      </c>
      <c r="I112" t="n">
        <v>29.7</v>
      </c>
      <c r="J112" s="4" t="n">
        <v>214</v>
      </c>
      <c r="K112" t="inlineStr">
        <is>
          <t>102 / 112</t>
        </is>
      </c>
      <c r="L112" t="inlineStr">
        <is>
          <t>34 / 29</t>
        </is>
      </c>
      <c r="M112" s="5" t="n">
        <v>0.48</v>
      </c>
      <c r="N112" s="5" t="n">
        <v>0.54</v>
      </c>
    </row>
    <row r="113">
      <c r="A113" t="n">
        <v>112</v>
      </c>
      <c r="B113" t="n">
        <v>2014</v>
      </c>
      <c r="C113" t="inlineStr">
        <is>
          <t>Thanida (Belle) Shaipanich</t>
        </is>
      </c>
      <c r="D113">
        <f>HYPERLINK("https://ota.tournamentsoftware.com/player-profile/98546C72-5CCA-44E8-AFB9-20B9D560E5E3", "Link")</f>
        <v/>
      </c>
      <c r="E113" s="3" t="n">
        <v>835.515</v>
      </c>
      <c r="F113" s="4" t="n">
        <v>15</v>
      </c>
      <c r="G113" t="inlineStr">
        <is>
          <t>British Columbia</t>
        </is>
      </c>
      <c r="H113" t="inlineStr">
        <is>
          <t>UBC Tennis Centre</t>
        </is>
      </c>
      <c r="I113" t="n">
        <v>27.7</v>
      </c>
      <c r="J113" s="4" t="n">
        <v>206</v>
      </c>
      <c r="K113" t="inlineStr">
        <is>
          <t>148 / 58</t>
        </is>
      </c>
      <c r="L113" t="inlineStr">
        <is>
          <t>31 / 21</t>
        </is>
      </c>
      <c r="M113" s="5" t="n">
        <v>0.72</v>
      </c>
      <c r="N113" s="5" t="n">
        <v>0.6</v>
      </c>
    </row>
    <row r="114">
      <c r="A114" t="n">
        <v>113</v>
      </c>
      <c r="B114" t="n">
        <v>2012</v>
      </c>
      <c r="C114" t="inlineStr">
        <is>
          <t>Zenaida May Kolesnikov</t>
        </is>
      </c>
      <c r="D114">
        <f>HYPERLINK("https://ota.tournamentsoftware.com/player-profile/0D20CA06-CC79-483F-87DD-AD6F5FC76972", "Link")</f>
        <v/>
      </c>
      <c r="E114" s="3" t="n">
        <v>834.88</v>
      </c>
      <c r="F114" s="4" t="n">
        <v>5</v>
      </c>
      <c r="G114" t="inlineStr">
        <is>
          <t>Ontario Tennis Association</t>
        </is>
      </c>
      <c r="H114" t="inlineStr">
        <is>
          <t>Kew Gardens Tennis Club</t>
        </is>
      </c>
      <c r="I114" t="n">
        <v>24.3</v>
      </c>
      <c r="J114" s="4" t="n">
        <v>87</v>
      </c>
      <c r="K114" t="inlineStr">
        <is>
          <t>67 / 20</t>
        </is>
      </c>
      <c r="L114" t="inlineStr">
        <is>
          <t>13 / 3</t>
        </is>
      </c>
      <c r="M114" s="5" t="n">
        <v>0.77</v>
      </c>
      <c r="N114" s="5" t="n">
        <v>0.8100000000000001</v>
      </c>
    </row>
    <row r="115">
      <c r="A115" t="n">
        <v>114</v>
      </c>
      <c r="B115" t="n">
        <v>2013</v>
      </c>
      <c r="C115" t="inlineStr">
        <is>
          <t>Natalia Sena</t>
        </is>
      </c>
      <c r="D115">
        <f>HYPERLINK("https://ota.tournamentsoftware.com/player-profile/D89592D5-D2EA-499E-9A9C-8B20B391C761", "Link")</f>
        <v/>
      </c>
      <c r="E115" s="3" t="n">
        <v>830.0940000000001</v>
      </c>
      <c r="F115" s="4" t="n">
        <v>29</v>
      </c>
      <c r="G115" t="inlineStr">
        <is>
          <t>Tennis Québec</t>
        </is>
      </c>
      <c r="H115" t="inlineStr">
        <is>
          <t>No Club</t>
        </is>
      </c>
      <c r="I115" t="n">
        <v>28.9</v>
      </c>
      <c r="J115" s="4" t="n">
        <v>92</v>
      </c>
      <c r="K115" t="inlineStr">
        <is>
          <t>47 / 45</t>
        </is>
      </c>
      <c r="L115" t="inlineStr">
        <is>
          <t>28 / 16</t>
        </is>
      </c>
      <c r="M115" s="5" t="n">
        <v>0.51</v>
      </c>
      <c r="N115" s="5" t="n">
        <v>0.64</v>
      </c>
    </row>
    <row r="116">
      <c r="A116" t="n">
        <v>115</v>
      </c>
      <c r="B116" t="n">
        <v>2014</v>
      </c>
      <c r="C116" t="inlineStr">
        <is>
          <t>Edwina Ed Xue</t>
        </is>
      </c>
      <c r="D116">
        <f>HYPERLINK("https://ota.tournamentsoftware.com/player-profile/16F3FDF7-F098-4A63-9D5F-87B196D248B5", "Link")</f>
        <v/>
      </c>
      <c r="E116" s="3" t="n">
        <v>821.777</v>
      </c>
      <c r="F116" s="4" t="n">
        <v>22</v>
      </c>
      <c r="G116" t="inlineStr">
        <is>
          <t>Ontario Tennis Association</t>
        </is>
      </c>
      <c r="H116" t="inlineStr">
        <is>
          <t>Granite Club</t>
        </is>
      </c>
      <c r="I116" t="n">
        <v>28.6</v>
      </c>
      <c r="J116" s="4" t="n">
        <v>288</v>
      </c>
      <c r="K116" t="inlineStr">
        <is>
          <t>169 / 119</t>
        </is>
      </c>
      <c r="L116" t="inlineStr">
        <is>
          <t>29 / 23</t>
        </is>
      </c>
      <c r="M116" s="5" t="n">
        <v>0.59</v>
      </c>
      <c r="N116" s="5" t="n">
        <v>0.5600000000000001</v>
      </c>
    </row>
    <row r="117">
      <c r="A117" t="n">
        <v>116</v>
      </c>
      <c r="B117" t="n">
        <v>2014</v>
      </c>
      <c r="C117" t="inlineStr">
        <is>
          <t>Nyah Morgan</t>
        </is>
      </c>
      <c r="D117">
        <f>HYPERLINK("https://ota.tournamentsoftware.com/player-profile/D9CA028A-3366-4954-9B65-F9840B84F93D", "Link")</f>
        <v/>
      </c>
      <c r="E117" s="3" t="n">
        <v>794.096</v>
      </c>
      <c r="F117" s="4" t="n">
        <v>22</v>
      </c>
      <c r="G117" t="inlineStr">
        <is>
          <t>Ontario Tennis Association</t>
        </is>
      </c>
      <c r="H117" t="inlineStr">
        <is>
          <t>Premier Racquet Clubs – Mississauga</t>
        </is>
      </c>
      <c r="I117" t="n">
        <v>28.3</v>
      </c>
      <c r="J117" s="4" t="n">
        <v>208</v>
      </c>
      <c r="K117" t="inlineStr">
        <is>
          <t>133 / 75</t>
        </is>
      </c>
      <c r="L117" t="inlineStr">
        <is>
          <t>31 / 19</t>
        </is>
      </c>
      <c r="M117" s="5" t="n">
        <v>0.64</v>
      </c>
      <c r="N117" s="5" t="n">
        <v>0.62</v>
      </c>
    </row>
    <row r="118">
      <c r="A118" t="n">
        <v>117</v>
      </c>
      <c r="B118" t="n">
        <v>2013</v>
      </c>
      <c r="C118" t="inlineStr">
        <is>
          <t>Melanie Moon</t>
        </is>
      </c>
      <c r="D118">
        <f>HYPERLINK("https://ota.tournamentsoftware.com/player-profile/90FC60A1-D48C-4A9A-97D8-A17B60CF6D4A", "Link")</f>
        <v/>
      </c>
      <c r="E118" s="3" t="n">
        <v>784.8390000000001</v>
      </c>
      <c r="F118" s="4" t="n">
        <v>15</v>
      </c>
      <c r="G118" t="inlineStr">
        <is>
          <t>British Columbia</t>
        </is>
      </c>
      <c r="H118" t="inlineStr">
        <is>
          <t>Vancouver Lawn Tennis and Badminton Club</t>
        </is>
      </c>
      <c r="I118" t="n">
        <v>28.3</v>
      </c>
      <c r="J118" s="4" t="n">
        <v>236</v>
      </c>
      <c r="K118" t="inlineStr">
        <is>
          <t>119 / 117</t>
        </is>
      </c>
      <c r="L118" t="inlineStr">
        <is>
          <t>10 / 17</t>
        </is>
      </c>
      <c r="M118" s="5" t="n">
        <v>0.5</v>
      </c>
      <c r="N118" s="5" t="n">
        <v>0.37</v>
      </c>
    </row>
    <row r="119">
      <c r="A119" t="n">
        <v>118</v>
      </c>
      <c r="B119" t="n">
        <v>2013</v>
      </c>
      <c r="C119" t="inlineStr">
        <is>
          <t>Élianne Bouchard</t>
        </is>
      </c>
      <c r="D119">
        <f>HYPERLINK("https://ota.tournamentsoftware.com/player-profile/44233F45-64EC-49B2-AA72-859E176C2987", "Link")</f>
        <v/>
      </c>
      <c r="E119" s="3" t="n">
        <v>784.313</v>
      </c>
      <c r="F119" s="4" t="n">
        <v>30</v>
      </c>
      <c r="G119" t="inlineStr">
        <is>
          <t>Tennis Québec</t>
        </is>
      </c>
      <c r="H119" t="inlineStr">
        <is>
          <t>Tennis Interclub Piedmont</t>
        </is>
      </c>
      <c r="I119" t="n">
        <v>29.3</v>
      </c>
      <c r="J119" s="4" t="n">
        <v>249</v>
      </c>
      <c r="K119" t="inlineStr">
        <is>
          <t>118 / 131</t>
        </is>
      </c>
      <c r="L119" t="inlineStr">
        <is>
          <t>32 / 23</t>
        </is>
      </c>
      <c r="M119" s="5" t="n">
        <v>0.47</v>
      </c>
      <c r="N119" s="5" t="n">
        <v>0.58</v>
      </c>
    </row>
    <row r="120">
      <c r="A120" t="n">
        <v>119</v>
      </c>
      <c r="B120" t="n">
        <v>2012</v>
      </c>
      <c r="C120" t="inlineStr">
        <is>
          <t>Penelope Brandt</t>
        </is>
      </c>
      <c r="D120">
        <f>HYPERLINK("https://ota.tournamentsoftware.com/player-profile/AA2E46A9-EC33-4492-A527-0C8E0CA405B0", "Link")</f>
        <v/>
      </c>
      <c r="E120" s="3" t="n">
        <v>784.1559999999999</v>
      </c>
      <c r="F120" s="4" t="n">
        <v>25</v>
      </c>
      <c r="G120" t="inlineStr">
        <is>
          <t>Tennis Québec</t>
        </is>
      </c>
      <c r="H120" t="inlineStr">
        <is>
          <t>SANI Sport</t>
        </is>
      </c>
      <c r="I120" t="n">
        <v>27.9</v>
      </c>
      <c r="J120" s="4" t="n">
        <v>248</v>
      </c>
      <c r="K120" t="inlineStr">
        <is>
          <t>125 / 123</t>
        </is>
      </c>
      <c r="L120" t="inlineStr">
        <is>
          <t>34 / 22</t>
        </is>
      </c>
      <c r="M120" s="5" t="n">
        <v>0.5</v>
      </c>
      <c r="N120" s="5" t="n">
        <v>0.61</v>
      </c>
    </row>
    <row r="121">
      <c r="A121" t="n">
        <v>120</v>
      </c>
      <c r="B121" t="n">
        <v>2013</v>
      </c>
      <c r="C121" t="inlineStr">
        <is>
          <t>Navya Chawla</t>
        </is>
      </c>
      <c r="D121">
        <f>HYPERLINK("https://ota.tournamentsoftware.com/player-profile/26838C23-66D4-4CAD-825B-C69620EB242D", "Link")</f>
        <v/>
      </c>
      <c r="E121" s="3" t="n">
        <v>777.96</v>
      </c>
      <c r="F121" s="4" t="n">
        <v>18</v>
      </c>
      <c r="G121" t="inlineStr">
        <is>
          <t>Tennis Alberta</t>
        </is>
      </c>
      <c r="H121" t="inlineStr">
        <is>
          <t>Osten &amp; Victor Alberta Tennis Centre</t>
        </is>
      </c>
      <c r="I121" t="n">
        <v>24.6</v>
      </c>
      <c r="J121" s="4" t="n">
        <v>281</v>
      </c>
      <c r="K121" t="inlineStr">
        <is>
          <t>178 / 103</t>
        </is>
      </c>
      <c r="L121" t="inlineStr">
        <is>
          <t>14 / 13</t>
        </is>
      </c>
      <c r="M121" s="5" t="n">
        <v>0.63</v>
      </c>
      <c r="N121" s="5" t="n">
        <v>0.52</v>
      </c>
    </row>
    <row r="122">
      <c r="A122" t="n">
        <v>121</v>
      </c>
      <c r="B122" t="n">
        <v>2015</v>
      </c>
      <c r="C122" t="inlineStr">
        <is>
          <t>Olivia Lu</t>
        </is>
      </c>
      <c r="D122">
        <f>HYPERLINK("https://ota.tournamentsoftware.com/player-profile/807CAE71-A1FD-4ED2-952F-E0EDBF0E66E6", "Link")</f>
        <v/>
      </c>
      <c r="E122" s="3" t="n">
        <v>767.184</v>
      </c>
      <c r="F122" s="4" t="n">
        <v>23</v>
      </c>
      <c r="G122" t="inlineStr">
        <is>
          <t>Ontario Tennis Association</t>
        </is>
      </c>
      <c r="H122" t="inlineStr">
        <is>
          <t>Advantage Tennis International at Veneto</t>
        </is>
      </c>
      <c r="I122" t="n">
        <v>30.7</v>
      </c>
      <c r="J122" s="4" t="n">
        <v>164</v>
      </c>
      <c r="K122" t="inlineStr">
        <is>
          <t>95 / 69</t>
        </is>
      </c>
      <c r="L122" t="inlineStr">
        <is>
          <t>28 / 17</t>
        </is>
      </c>
      <c r="M122" s="5" t="n">
        <v>0.58</v>
      </c>
      <c r="N122" s="5" t="n">
        <v>0.62</v>
      </c>
    </row>
    <row r="123">
      <c r="A123" t="n">
        <v>122</v>
      </c>
      <c r="B123" t="n">
        <v>2014</v>
      </c>
      <c r="C123" t="inlineStr">
        <is>
          <t>Fengfei ZHANG</t>
        </is>
      </c>
      <c r="D123">
        <f>HYPERLINK("https://ota.tournamentsoftware.com/player-profile/AB18AFB2-DEDF-42AF-BFB1-458553AF250C", "Link")</f>
        <v/>
      </c>
      <c r="E123" s="3" t="n">
        <v>766.082</v>
      </c>
      <c r="F123" s="4" t="n">
        <v>31</v>
      </c>
      <c r="G123" t="inlineStr">
        <is>
          <t>Tennis Québec</t>
        </is>
      </c>
      <c r="H123" t="inlineStr">
        <is>
          <t>Tennis Ile- des- Soeurs</t>
        </is>
      </c>
      <c r="I123" t="n">
        <v>29.4</v>
      </c>
      <c r="J123" s="4" t="n">
        <v>241</v>
      </c>
      <c r="K123" t="inlineStr">
        <is>
          <t>109 / 132</t>
        </is>
      </c>
      <c r="L123" t="inlineStr">
        <is>
          <t>40 / 32</t>
        </is>
      </c>
      <c r="M123" s="5" t="n">
        <v>0.45</v>
      </c>
      <c r="N123" s="5" t="n">
        <v>0.5600000000000001</v>
      </c>
    </row>
    <row r="124">
      <c r="A124" t="n">
        <v>123</v>
      </c>
      <c r="B124" t="n">
        <v>2012</v>
      </c>
      <c r="C124" t="inlineStr">
        <is>
          <t>Lourdes Valentina Haun</t>
        </is>
      </c>
      <c r="D124">
        <f>HYPERLINK("https://ota.tournamentsoftware.com/player-profile/97D1640C-AAFD-43B2-8C9A-BAA1649A3937", "Link")</f>
        <v/>
      </c>
      <c r="E124" s="3" t="n">
        <v>761.729</v>
      </c>
      <c r="F124" s="4" t="n">
        <v>14</v>
      </c>
      <c r="G124" t="inlineStr">
        <is>
          <t>Tennis Alberta</t>
        </is>
      </c>
      <c r="H124" t="inlineStr">
        <is>
          <t>Osten &amp; Victor Alberta Tennis Centre</t>
        </is>
      </c>
      <c r="I124" t="n">
        <v>26.2</v>
      </c>
      <c r="J124" s="4" t="n">
        <v>292</v>
      </c>
      <c r="K124" t="inlineStr">
        <is>
          <t>170 / 122</t>
        </is>
      </c>
      <c r="L124" t="inlineStr">
        <is>
          <t>21 / 16</t>
        </is>
      </c>
      <c r="M124" s="5" t="n">
        <v>0.58</v>
      </c>
      <c r="N124" s="5" t="n">
        <v>0.57</v>
      </c>
    </row>
    <row r="125">
      <c r="A125" t="n">
        <v>124</v>
      </c>
      <c r="B125" t="n">
        <v>2012</v>
      </c>
      <c r="C125" t="inlineStr">
        <is>
          <t>Victoria Chow</t>
        </is>
      </c>
      <c r="D125">
        <f>HYPERLINK("https://ota.tournamentsoftware.com/player-profile/7A966C5F-11C4-49ED-9F9D-2B1D18AB7E3B", "Link")</f>
        <v/>
      </c>
      <c r="E125" s="3" t="n">
        <v>743.375</v>
      </c>
      <c r="F125" s="4" t="n">
        <v>21</v>
      </c>
      <c r="G125" t="inlineStr">
        <is>
          <t>Ontario Tennis Association</t>
        </is>
      </c>
      <c r="H125" t="inlineStr">
        <is>
          <t>No Club</t>
        </is>
      </c>
      <c r="I125" t="inlineStr">
        <is>
          <t>unavailable</t>
        </is>
      </c>
      <c r="J125" s="4" t="n">
        <v>280</v>
      </c>
      <c r="K125" t="inlineStr">
        <is>
          <t>142 / 138</t>
        </is>
      </c>
      <c r="L125" t="inlineStr">
        <is>
          <t>16 / 24</t>
        </is>
      </c>
      <c r="M125" s="5" t="n">
        <v>0.51</v>
      </c>
      <c r="N125" s="5" t="n">
        <v>0.4</v>
      </c>
    </row>
    <row r="126">
      <c r="A126" t="n">
        <v>125</v>
      </c>
      <c r="B126" t="n">
        <v>2014</v>
      </c>
      <c r="C126" t="inlineStr">
        <is>
          <t>Michelle Zhang</t>
        </is>
      </c>
      <c r="D126">
        <f>HYPERLINK("https://ota.tournamentsoftware.com/player-profile/9912697B-2876-4A36-8F98-3B7F524694E1", "Link")</f>
        <v/>
      </c>
      <c r="E126" s="3" t="n">
        <v>738.6799999999999</v>
      </c>
      <c r="F126" s="4" t="n">
        <v>12</v>
      </c>
      <c r="G126" t="inlineStr">
        <is>
          <t>Tennis Nova Scotia</t>
        </is>
      </c>
      <c r="H126" t="inlineStr">
        <is>
          <t>Atlantic Tennis Centre</t>
        </is>
      </c>
      <c r="I126" t="n">
        <v>30.2</v>
      </c>
      <c r="J126" s="4" t="n">
        <v>159</v>
      </c>
      <c r="K126" t="inlineStr">
        <is>
          <t>89 / 70</t>
        </is>
      </c>
      <c r="L126" t="inlineStr">
        <is>
          <t>27 / 29</t>
        </is>
      </c>
      <c r="M126" s="5" t="n">
        <v>0.5600000000000001</v>
      </c>
      <c r="N126" s="5" t="n">
        <v>0.48</v>
      </c>
    </row>
    <row r="127">
      <c r="A127" t="n">
        <v>126</v>
      </c>
      <c r="B127" t="n">
        <v>2013</v>
      </c>
      <c r="C127" t="inlineStr">
        <is>
          <t>Sonya Resnikova</t>
        </is>
      </c>
      <c r="D127">
        <f>HYPERLINK("https://ota.tournamentsoftware.com/player-profile/083F5EEA-6E2D-488B-B778-27E4248C2F0D", "Link")</f>
        <v/>
      </c>
      <c r="E127" s="3" t="n">
        <v>725.702</v>
      </c>
      <c r="F127" s="4" t="n">
        <v>28</v>
      </c>
      <c r="G127" t="inlineStr">
        <is>
          <t>Ontario Tennis Association</t>
        </is>
      </c>
      <c r="H127" t="inlineStr">
        <is>
          <t>SmartVMC Racquetsports by ACE</t>
        </is>
      </c>
      <c r="I127" t="n">
        <v>31.3</v>
      </c>
      <c r="J127" s="4" t="n">
        <v>91</v>
      </c>
      <c r="K127" t="inlineStr">
        <is>
          <t>58 / 33</t>
        </is>
      </c>
      <c r="L127" t="inlineStr">
        <is>
          <t>26 / 19</t>
        </is>
      </c>
      <c r="M127" s="5" t="n">
        <v>0.64</v>
      </c>
      <c r="N127" s="5" t="n">
        <v>0.58</v>
      </c>
    </row>
    <row r="128">
      <c r="A128" t="n">
        <v>127</v>
      </c>
      <c r="B128" t="n">
        <v>2012</v>
      </c>
      <c r="C128" t="inlineStr">
        <is>
          <t>Joanna Pananchickal</t>
        </is>
      </c>
      <c r="D128">
        <f>HYPERLINK("https://ota.tournamentsoftware.com/player-profile/6487D297-D67D-4189-9D3C-05A8EA398E60", "Link")</f>
        <v/>
      </c>
      <c r="E128" s="3" t="n">
        <v>722.931</v>
      </c>
      <c r="F128" s="4" t="n">
        <v>12</v>
      </c>
      <c r="G128" t="inlineStr">
        <is>
          <t>Ontario Tennis Association</t>
        </is>
      </c>
      <c r="H128" t="inlineStr">
        <is>
          <t>No Club</t>
        </is>
      </c>
      <c r="I128" t="n">
        <v>30.6</v>
      </c>
      <c r="J128" s="4" t="n">
        <v>66</v>
      </c>
      <c r="K128" t="inlineStr">
        <is>
          <t>31 / 35</t>
        </is>
      </c>
      <c r="L128" t="inlineStr">
        <is>
          <t>13 / 7</t>
        </is>
      </c>
      <c r="M128" s="5" t="n">
        <v>0.47</v>
      </c>
      <c r="N128" s="5" t="n">
        <v>0.65</v>
      </c>
    </row>
    <row r="129">
      <c r="A129" t="n">
        <v>128</v>
      </c>
      <c r="B129" t="n">
        <v>2012</v>
      </c>
      <c r="C129" t="inlineStr">
        <is>
          <t>Meika Sebastian</t>
        </is>
      </c>
      <c r="D129">
        <f>HYPERLINK("https://ota.tournamentsoftware.com/player-profile/0CA7407B-419A-43BA-82FB-32200AA68BA2", "Link")</f>
        <v/>
      </c>
      <c r="E129" s="3" t="n">
        <v>719.111</v>
      </c>
      <c r="F129" s="4" t="n">
        <v>8</v>
      </c>
      <c r="G129" t="inlineStr">
        <is>
          <t>Ontario Tennis Association</t>
        </is>
      </c>
      <c r="H129" t="inlineStr">
        <is>
          <t>City of Kingston</t>
        </is>
      </c>
      <c r="I129" t="n">
        <v>24.8</v>
      </c>
      <c r="J129" s="4" t="n">
        <v>287</v>
      </c>
      <c r="K129" t="inlineStr">
        <is>
          <t>147 / 140</t>
        </is>
      </c>
      <c r="L129" t="inlineStr">
        <is>
          <t>0 / 4</t>
        </is>
      </c>
      <c r="M129" s="5" t="n">
        <v>0.51</v>
      </c>
      <c r="N129" s="5" t="n">
        <v>0</v>
      </c>
    </row>
    <row r="130">
      <c r="A130" t="n">
        <v>129</v>
      </c>
      <c r="B130" t="n">
        <v>2014</v>
      </c>
      <c r="C130" t="inlineStr">
        <is>
          <t>Nuanyi Li</t>
        </is>
      </c>
      <c r="D130">
        <f>HYPERLINK("https://ota.tournamentsoftware.com/player-profile/341DA394-9039-4254-B369-B8C52872A168", "Link")</f>
        <v/>
      </c>
      <c r="E130" s="3" t="n">
        <v>710.697</v>
      </c>
      <c r="F130" s="4" t="n">
        <v>29</v>
      </c>
      <c r="G130" t="inlineStr">
        <is>
          <t>Ontario Tennis Association</t>
        </is>
      </c>
      <c r="H130" t="inlineStr">
        <is>
          <t>Fainblum Tennis Academy</t>
        </is>
      </c>
      <c r="I130" t="n">
        <v>28.4</v>
      </c>
      <c r="J130" s="4" t="n">
        <v>289</v>
      </c>
      <c r="K130" t="inlineStr">
        <is>
          <t>179 / 110</t>
        </is>
      </c>
      <c r="L130" t="inlineStr">
        <is>
          <t>28 / 27</t>
        </is>
      </c>
      <c r="M130" s="5" t="n">
        <v>0.62</v>
      </c>
      <c r="N130" s="5" t="n">
        <v>0.51</v>
      </c>
    </row>
    <row r="131">
      <c r="A131" t="n">
        <v>130</v>
      </c>
      <c r="B131" t="n">
        <v>2012</v>
      </c>
      <c r="C131" t="inlineStr">
        <is>
          <t>Dina Yijia Zhang</t>
        </is>
      </c>
      <c r="D131">
        <f>HYPERLINK("https://ota.tournamentsoftware.com/player-profile/CF7261D5-5723-40A9-853D-2B21D7A35985", "Link")</f>
        <v/>
      </c>
      <c r="E131" s="3" t="n">
        <v>703.611</v>
      </c>
      <c r="F131" s="4" t="n">
        <v>9</v>
      </c>
      <c r="G131" t="inlineStr">
        <is>
          <t>Tennis Nova Scotia</t>
        </is>
      </c>
      <c r="H131" t="inlineStr">
        <is>
          <t>HEADSTART</t>
        </is>
      </c>
      <c r="I131" t="n">
        <v>30.7</v>
      </c>
      <c r="J131" s="4" t="n">
        <v>160</v>
      </c>
      <c r="K131" t="inlineStr">
        <is>
          <t>66 / 94</t>
        </is>
      </c>
      <c r="L131" t="inlineStr">
        <is>
          <t>10 / 15</t>
        </is>
      </c>
      <c r="M131" s="5" t="n">
        <v>0.41</v>
      </c>
      <c r="N131" s="5" t="n">
        <v>0.4</v>
      </c>
    </row>
    <row r="132">
      <c r="A132" t="n">
        <v>131</v>
      </c>
      <c r="B132" t="n">
        <v>2013</v>
      </c>
      <c r="C132" t="inlineStr">
        <is>
          <t>Elena Vamoser</t>
        </is>
      </c>
      <c r="D132">
        <f>HYPERLINK("https://ota.tournamentsoftware.com/player-profile/F839ADA6-2875-4712-9FE7-C958E075D669", "Link")</f>
        <v/>
      </c>
      <c r="E132" s="3" t="n">
        <v>697.77</v>
      </c>
      <c r="F132" s="4" t="n">
        <v>25</v>
      </c>
      <c r="G132" t="inlineStr">
        <is>
          <t>Ontario Tennis Association</t>
        </is>
      </c>
      <c r="H132" t="inlineStr">
        <is>
          <t>ACE Tennis - Burlington</t>
        </is>
      </c>
      <c r="I132" t="n">
        <v>30.6</v>
      </c>
      <c r="J132" s="4" t="n">
        <v>129</v>
      </c>
      <c r="K132" t="inlineStr">
        <is>
          <t>74 / 55</t>
        </is>
      </c>
      <c r="L132" t="inlineStr">
        <is>
          <t>15 / 18</t>
        </is>
      </c>
      <c r="M132" s="5" t="n">
        <v>0.57</v>
      </c>
      <c r="N132" s="5" t="n">
        <v>0.45</v>
      </c>
    </row>
    <row r="133">
      <c r="A133" t="n">
        <v>132</v>
      </c>
      <c r="B133" t="n">
        <v>2016</v>
      </c>
      <c r="C133" t="inlineStr">
        <is>
          <t>Kaili Ear Gui</t>
        </is>
      </c>
      <c r="D133">
        <f>HYPERLINK("https://ota.tournamentsoftware.com/player-profile/6E1FCBA7-1BA6-4DCA-9440-D121E3710638", "Link")</f>
        <v/>
      </c>
      <c r="E133" s="3" t="n">
        <v>695.772</v>
      </c>
      <c r="F133" s="4" t="n">
        <v>13</v>
      </c>
      <c r="G133" t="inlineStr">
        <is>
          <t>Tennis Saskatchewan</t>
        </is>
      </c>
      <c r="H133" t="inlineStr">
        <is>
          <t>Lakeshore Tennis Club</t>
        </is>
      </c>
      <c r="I133" t="n">
        <v>31.7</v>
      </c>
      <c r="J133" s="4" t="n">
        <v>147</v>
      </c>
      <c r="K133" t="inlineStr">
        <is>
          <t>84 / 63</t>
        </is>
      </c>
      <c r="L133" t="inlineStr">
        <is>
          <t>35 / 30</t>
        </is>
      </c>
      <c r="M133" s="5" t="n">
        <v>0.57</v>
      </c>
      <c r="N133" s="5" t="n">
        <v>0.54</v>
      </c>
    </row>
    <row r="134">
      <c r="A134" t="n">
        <v>133</v>
      </c>
      <c r="B134" t="n">
        <v>2012</v>
      </c>
      <c r="C134" t="inlineStr">
        <is>
          <t>Avea Ungureanu Pinto</t>
        </is>
      </c>
      <c r="D134">
        <f>HYPERLINK("https://ota.tournamentsoftware.com/player-profile/527FEC9E-D920-4439-9E01-51A3CFDED939", "Link")</f>
        <v/>
      </c>
      <c r="E134" s="3" t="n">
        <v>681.7809999999999</v>
      </c>
      <c r="F134" s="4" t="n">
        <v>26</v>
      </c>
      <c r="G134" t="inlineStr">
        <is>
          <t>Ontario Tennis Association</t>
        </is>
      </c>
      <c r="H134" t="inlineStr">
        <is>
          <t>Mayfair East Racquet Club</t>
        </is>
      </c>
      <c r="I134" t="n">
        <v>28.3</v>
      </c>
      <c r="J134" s="4" t="n">
        <v>144</v>
      </c>
      <c r="K134" t="inlineStr">
        <is>
          <t>78 / 66</t>
        </is>
      </c>
      <c r="L134" t="inlineStr">
        <is>
          <t>23 / 17</t>
        </is>
      </c>
      <c r="M134" s="5" t="n">
        <v>0.54</v>
      </c>
      <c r="N134" s="5" t="n">
        <v>0.57</v>
      </c>
    </row>
    <row r="135">
      <c r="A135" t="n">
        <v>134</v>
      </c>
      <c r="B135" t="n">
        <v>2012</v>
      </c>
      <c r="C135" t="inlineStr">
        <is>
          <t>Anna Lucenti</t>
        </is>
      </c>
      <c r="D135">
        <f>HYPERLINK("https://ota.tournamentsoftware.com/player-profile/332E40CD-AB90-41CE-81C3-858501B2FAD3", "Link")</f>
        <v/>
      </c>
      <c r="E135" s="3" t="n">
        <v>680.645</v>
      </c>
      <c r="F135" s="4" t="n">
        <v>28</v>
      </c>
      <c r="G135" t="inlineStr">
        <is>
          <t>Ontario Tennis Association</t>
        </is>
      </c>
      <c r="H135" t="inlineStr">
        <is>
          <t>SmartVMC Racquetsports by ACE</t>
        </is>
      </c>
      <c r="I135" t="n">
        <v>30.6</v>
      </c>
      <c r="J135" s="4" t="n">
        <v>138</v>
      </c>
      <c r="K135" t="inlineStr">
        <is>
          <t>59 / 79</t>
        </is>
      </c>
      <c r="L135" t="inlineStr">
        <is>
          <t>26 / 16</t>
        </is>
      </c>
      <c r="M135" s="5" t="n">
        <v>0.43</v>
      </c>
      <c r="N135" s="5" t="n">
        <v>0.62</v>
      </c>
    </row>
    <row r="136">
      <c r="A136" t="n">
        <v>135</v>
      </c>
      <c r="B136" t="n">
        <v>2013</v>
      </c>
      <c r="C136" t="inlineStr">
        <is>
          <t>Leyan Isabella Yik Sum Leung</t>
        </is>
      </c>
      <c r="D136">
        <f>HYPERLINK("https://ota.tournamentsoftware.com/player-profile/7FB2D792-ABB2-4F05-B9D4-757321E9FA35", "Link")</f>
        <v/>
      </c>
      <c r="E136" s="3" t="n">
        <v>663.989</v>
      </c>
      <c r="F136" s="4" t="n">
        <v>21</v>
      </c>
      <c r="G136" t="inlineStr">
        <is>
          <t>British Columbia</t>
        </is>
      </c>
      <c r="H136" t="inlineStr">
        <is>
          <t>Vanguard Tennis Academy</t>
        </is>
      </c>
      <c r="I136" t="n">
        <v>27.2</v>
      </c>
      <c r="J136" s="4" t="n">
        <v>127</v>
      </c>
      <c r="K136" t="inlineStr">
        <is>
          <t>82 / 45</t>
        </is>
      </c>
      <c r="L136" t="inlineStr">
        <is>
          <t>32 / 17</t>
        </is>
      </c>
      <c r="M136" s="5" t="n">
        <v>0.65</v>
      </c>
      <c r="N136" s="5" t="n">
        <v>0.65</v>
      </c>
    </row>
    <row r="137">
      <c r="A137" t="n">
        <v>136</v>
      </c>
      <c r="B137" t="n">
        <v>2012</v>
      </c>
      <c r="C137" t="inlineStr">
        <is>
          <t>Cindy Zixuan Li</t>
        </is>
      </c>
      <c r="D137">
        <f>HYPERLINK("https://ota.tournamentsoftware.com/player-profile/23E61DC5-74BF-4612-8E7F-7DA0B013D911", "Link")</f>
        <v/>
      </c>
      <c r="E137" s="3" t="n">
        <v>661.299</v>
      </c>
      <c r="F137" s="4" t="n">
        <v>9</v>
      </c>
      <c r="G137" t="inlineStr">
        <is>
          <t>British Columbia</t>
        </is>
      </c>
      <c r="H137" t="inlineStr">
        <is>
          <t>Vanguard Tennis Academy</t>
        </is>
      </c>
      <c r="I137" t="n">
        <v>27.2</v>
      </c>
      <c r="J137" s="4" t="n">
        <v>137</v>
      </c>
      <c r="K137" t="inlineStr">
        <is>
          <t>69 / 68</t>
        </is>
      </c>
      <c r="L137" t="inlineStr">
        <is>
          <t>8 / 7</t>
        </is>
      </c>
      <c r="M137" s="5" t="n">
        <v>0.5</v>
      </c>
      <c r="N137" s="5" t="n">
        <v>0.53</v>
      </c>
    </row>
    <row r="138">
      <c r="A138" t="n">
        <v>137</v>
      </c>
      <c r="B138" t="n">
        <v>2012</v>
      </c>
      <c r="C138" t="inlineStr">
        <is>
          <t>Luisa Victoria Davis</t>
        </is>
      </c>
      <c r="D138">
        <f>HYPERLINK("https://ota.tournamentsoftware.com/player-profile/F5AE6D4A-50BA-4E57-AD34-589189161D57", "Link")</f>
        <v/>
      </c>
      <c r="E138" s="3" t="n">
        <v>656.047</v>
      </c>
      <c r="F138" s="4" t="n">
        <v>12</v>
      </c>
      <c r="G138" t="inlineStr">
        <is>
          <t>Ontario Tennis Association</t>
        </is>
      </c>
      <c r="H138" t="inlineStr">
        <is>
          <t>Mayfair West Fitness &amp; Racquet Club</t>
        </is>
      </c>
      <c r="I138" t="inlineStr">
        <is>
          <t>unavailable</t>
        </is>
      </c>
      <c r="J138" s="4" t="n">
        <v>200</v>
      </c>
      <c r="K138" t="inlineStr">
        <is>
          <t>128 / 72</t>
        </is>
      </c>
      <c r="L138" t="inlineStr">
        <is>
          <t>6 / 10</t>
        </is>
      </c>
      <c r="M138" s="5" t="n">
        <v>0.64</v>
      </c>
      <c r="N138" s="5" t="n">
        <v>0.38</v>
      </c>
    </row>
    <row r="139">
      <c r="A139" t="n">
        <v>138</v>
      </c>
      <c r="B139" t="n">
        <v>2012</v>
      </c>
      <c r="C139" t="inlineStr">
        <is>
          <t>Margot de Candé</t>
        </is>
      </c>
      <c r="D139">
        <f>HYPERLINK("https://ota.tournamentsoftware.com/player-profile/695315EE-6360-44B7-9352-E2A867A09DAD", "Link")</f>
        <v/>
      </c>
      <c r="E139" s="3" t="n">
        <v>647.8</v>
      </c>
      <c r="F139" s="4" t="n">
        <v>15</v>
      </c>
      <c r="G139" t="inlineStr">
        <is>
          <t>Tennis Québec</t>
        </is>
      </c>
      <c r="H139" t="inlineStr">
        <is>
          <t>Tennis Ile- des- Soeurs</t>
        </is>
      </c>
      <c r="I139" t="n">
        <v>29.8</v>
      </c>
      <c r="J139" s="4" t="n">
        <v>123</v>
      </c>
      <c r="K139" t="inlineStr">
        <is>
          <t>59 / 64</t>
        </is>
      </c>
      <c r="L139" t="inlineStr">
        <is>
          <t>18 / 7</t>
        </is>
      </c>
      <c r="M139" s="5" t="n">
        <v>0.48</v>
      </c>
      <c r="N139" s="5" t="n">
        <v>0.72</v>
      </c>
    </row>
    <row r="140">
      <c r="A140" t="n">
        <v>139</v>
      </c>
      <c r="B140" t="n">
        <v>2012</v>
      </c>
      <c r="C140" t="inlineStr">
        <is>
          <t>Chloe Fischer</t>
        </is>
      </c>
      <c r="D140">
        <f>HYPERLINK("https://ota.tournamentsoftware.com/player-profile/4F19921D-D25C-4DFA-8A7D-90DE48FEB722", "Link")</f>
        <v/>
      </c>
      <c r="E140" s="3" t="n">
        <v>646.653</v>
      </c>
      <c r="F140" s="4" t="n">
        <v>20</v>
      </c>
      <c r="G140" t="inlineStr">
        <is>
          <t>Ontario Tennis Association</t>
        </is>
      </c>
      <c r="H140" t="inlineStr">
        <is>
          <t>No Club</t>
        </is>
      </c>
      <c r="I140" t="n">
        <v>33.1</v>
      </c>
      <c r="J140" s="4" t="n">
        <v>220</v>
      </c>
      <c r="K140" t="inlineStr">
        <is>
          <t>102 / 118</t>
        </is>
      </c>
      <c r="L140" t="inlineStr">
        <is>
          <t>6 / 23</t>
        </is>
      </c>
      <c r="M140" s="5" t="n">
        <v>0.46</v>
      </c>
      <c r="N140" s="5" t="n">
        <v>0.21</v>
      </c>
    </row>
    <row r="141">
      <c r="A141" t="n">
        <v>140</v>
      </c>
      <c r="B141" t="n">
        <v>2015</v>
      </c>
      <c r="C141" t="inlineStr">
        <is>
          <t>Sofia Chan</t>
        </is>
      </c>
      <c r="D141">
        <f>HYPERLINK("https://ota.tournamentsoftware.com/player-profile/62C41ADF-8A1D-416E-AAF9-4C80ECB74645", "Link")</f>
        <v/>
      </c>
      <c r="E141" s="3" t="n">
        <v>643.928</v>
      </c>
      <c r="F141" s="4" t="n">
        <v>31</v>
      </c>
      <c r="G141" t="inlineStr">
        <is>
          <t>Ontario Tennis Association</t>
        </is>
      </c>
      <c r="H141" t="inlineStr">
        <is>
          <t>No Club</t>
        </is>
      </c>
      <c r="I141" t="n">
        <v>30.3</v>
      </c>
      <c r="J141" s="4" t="n">
        <v>158</v>
      </c>
      <c r="K141" t="inlineStr">
        <is>
          <t>100 / 58</t>
        </is>
      </c>
      <c r="L141" t="inlineStr">
        <is>
          <t>43 / 27</t>
        </is>
      </c>
      <c r="M141" s="5" t="n">
        <v>0.63</v>
      </c>
      <c r="N141" s="5" t="n">
        <v>0.61</v>
      </c>
    </row>
    <row r="142">
      <c r="A142" t="n">
        <v>141</v>
      </c>
      <c r="B142" t="n">
        <v>2015</v>
      </c>
      <c r="C142" t="inlineStr">
        <is>
          <t>Amy Jiao</t>
        </is>
      </c>
      <c r="D142">
        <f>HYPERLINK("https://ota.tournamentsoftware.com/player-profile/5977984B-8EC9-4812-BCFA-CD93C4FFD7AF", "Link")</f>
        <v/>
      </c>
      <c r="E142" s="3" t="n">
        <v>641.838</v>
      </c>
      <c r="F142" s="4" t="n">
        <v>24</v>
      </c>
      <c r="G142" t="inlineStr">
        <is>
          <t>Ontario Tennis Association</t>
        </is>
      </c>
      <c r="H142" t="inlineStr">
        <is>
          <t>Rideau Sports Centre</t>
        </is>
      </c>
      <c r="I142" t="n">
        <v>29.5</v>
      </c>
      <c r="J142" s="4" t="n">
        <v>299</v>
      </c>
      <c r="K142" t="inlineStr">
        <is>
          <t>169 / 130</t>
        </is>
      </c>
      <c r="L142" t="inlineStr">
        <is>
          <t>50 / 28</t>
        </is>
      </c>
      <c r="M142" s="5" t="n">
        <v>0.57</v>
      </c>
      <c r="N142" s="5" t="n">
        <v>0.64</v>
      </c>
    </row>
    <row r="143">
      <c r="A143" t="n">
        <v>142</v>
      </c>
      <c r="B143" t="n">
        <v>2012</v>
      </c>
      <c r="C143" t="inlineStr">
        <is>
          <t>Madison Tam</t>
        </is>
      </c>
      <c r="D143">
        <f>HYPERLINK("https://ota.tournamentsoftware.com/player-profile/827C7FCD-2D7D-406E-B5C0-29D0720096DC", "Link")</f>
        <v/>
      </c>
      <c r="E143" s="3" t="n">
        <v>638.2</v>
      </c>
      <c r="F143" s="4" t="n">
        <v>18</v>
      </c>
      <c r="G143" t="inlineStr">
        <is>
          <t>Ontario Tennis Association</t>
        </is>
      </c>
      <c r="H143" t="inlineStr">
        <is>
          <t>Sir Winston Churchill Tennis Club</t>
        </is>
      </c>
      <c r="I143" t="n">
        <v>29.1</v>
      </c>
      <c r="J143" s="4" t="n">
        <v>441</v>
      </c>
      <c r="K143" t="inlineStr">
        <is>
          <t>316 / 125</t>
        </is>
      </c>
      <c r="L143" t="inlineStr">
        <is>
          <t>19 / 10</t>
        </is>
      </c>
      <c r="M143" s="5" t="n">
        <v>0.72</v>
      </c>
      <c r="N143" s="5" t="n">
        <v>0.66</v>
      </c>
    </row>
    <row r="144">
      <c r="A144" t="n">
        <v>143</v>
      </c>
      <c r="B144" t="n">
        <v>2014</v>
      </c>
      <c r="C144" t="inlineStr">
        <is>
          <t>Emmanuella Ibrahim</t>
        </is>
      </c>
      <c r="D144">
        <f>HYPERLINK("https://ota.tournamentsoftware.com/player-profile/8CFFE2B1-9508-4CB2-8E6A-6761AA8394EA", "Link")</f>
        <v/>
      </c>
      <c r="E144" s="3" t="n">
        <v>628.717</v>
      </c>
      <c r="F144" s="4" t="n">
        <v>18</v>
      </c>
      <c r="G144" t="inlineStr">
        <is>
          <t>Tennis Alberta</t>
        </is>
      </c>
      <c r="H144" t="inlineStr">
        <is>
          <t>Aforza</t>
        </is>
      </c>
      <c r="I144" t="inlineStr">
        <is>
          <t>unavailable</t>
        </is>
      </c>
      <c r="J144" s="4" t="n">
        <v>190</v>
      </c>
      <c r="K144" t="inlineStr">
        <is>
          <t>137 / 53</t>
        </is>
      </c>
      <c r="L144" t="inlineStr">
        <is>
          <t>39 / 16</t>
        </is>
      </c>
      <c r="M144" s="5" t="n">
        <v>0.72</v>
      </c>
      <c r="N144" s="5" t="n">
        <v>0.71</v>
      </c>
    </row>
    <row r="145">
      <c r="A145" t="n">
        <v>144</v>
      </c>
      <c r="B145" t="n">
        <v>2012</v>
      </c>
      <c r="C145" t="inlineStr">
        <is>
          <t>Yutong (Olivia) Ha</t>
        </is>
      </c>
      <c r="D145">
        <f>HYPERLINK("https://ota.tournamentsoftware.com/player-profile/53AE0DB5-1F76-4FB8-9870-3B236A9DAA97", "Link")</f>
        <v/>
      </c>
      <c r="E145" s="3" t="n">
        <v>624.7430000000001</v>
      </c>
      <c r="F145" s="4" t="n">
        <v>15</v>
      </c>
      <c r="G145" t="inlineStr">
        <is>
          <t>Ontario Tennis Association</t>
        </is>
      </c>
      <c r="H145" t="inlineStr">
        <is>
          <t>Richmondhill Golf &amp; Country Club</t>
        </is>
      </c>
      <c r="I145" t="inlineStr">
        <is>
          <t>unavailable</t>
        </is>
      </c>
      <c r="J145" s="4" t="n">
        <v>195</v>
      </c>
      <c r="K145" t="inlineStr">
        <is>
          <t>84 / 111</t>
        </is>
      </c>
      <c r="L145" t="inlineStr">
        <is>
          <t>6 / 16</t>
        </is>
      </c>
      <c r="M145" s="5" t="n">
        <v>0.43</v>
      </c>
      <c r="N145" s="5" t="n">
        <v>0.27</v>
      </c>
    </row>
    <row r="146">
      <c r="A146" t="n">
        <v>145</v>
      </c>
      <c r="B146" t="n">
        <v>2012</v>
      </c>
      <c r="C146" t="inlineStr">
        <is>
          <t>Riddhi Jha</t>
        </is>
      </c>
      <c r="D146">
        <f>HYPERLINK("https://ota.tournamentsoftware.com/player-profile/3B4B01BB-2AAD-49DD-B186-312576B12DC9", "Link")</f>
        <v/>
      </c>
      <c r="E146" s="3" t="n">
        <v>622.258</v>
      </c>
      <c r="F146" s="4" t="n">
        <v>14</v>
      </c>
      <c r="G146" t="inlineStr">
        <is>
          <t>Ontario Tennis Association</t>
        </is>
      </c>
      <c r="H146" t="inlineStr">
        <is>
          <t>Bramalea Tennis Club</t>
        </is>
      </c>
      <c r="I146" t="n">
        <v>30.7</v>
      </c>
      <c r="J146" s="4" t="n">
        <v>241</v>
      </c>
      <c r="K146" t="inlineStr">
        <is>
          <t>89 / 152</t>
        </is>
      </c>
      <c r="L146" t="inlineStr">
        <is>
          <t>18 / 11</t>
        </is>
      </c>
      <c r="M146" s="5" t="n">
        <v>0.37</v>
      </c>
      <c r="N146" s="5" t="n">
        <v>0.62</v>
      </c>
    </row>
    <row r="147">
      <c r="A147" t="n">
        <v>146</v>
      </c>
      <c r="B147" t="n">
        <v>2012</v>
      </c>
      <c r="C147" t="inlineStr">
        <is>
          <t>Marisol Hilal</t>
        </is>
      </c>
      <c r="D147">
        <f>HYPERLINK("https://ota.tournamentsoftware.com/player-profile/A59841ED-F3F4-4773-A197-5502453988FE", "Link")</f>
        <v/>
      </c>
      <c r="E147" s="3" t="n">
        <v>621.989</v>
      </c>
      <c r="F147" s="4" t="n">
        <v>33</v>
      </c>
      <c r="G147" t="inlineStr">
        <is>
          <t>Tennis Québec</t>
        </is>
      </c>
      <c r="H147" t="inlineStr">
        <is>
          <t>Carrefour Multisports</t>
        </is>
      </c>
      <c r="I147" t="n">
        <v>29.8</v>
      </c>
      <c r="J147" s="4" t="n">
        <v>290</v>
      </c>
      <c r="K147" t="inlineStr">
        <is>
          <t>117 / 173</t>
        </is>
      </c>
      <c r="L147" t="inlineStr">
        <is>
          <t>18 / 27</t>
        </is>
      </c>
      <c r="M147" s="5" t="n">
        <v>0.4</v>
      </c>
      <c r="N147" s="5" t="n">
        <v>0.4</v>
      </c>
    </row>
    <row r="148">
      <c r="A148" t="n">
        <v>147</v>
      </c>
      <c r="B148" t="n">
        <v>2014</v>
      </c>
      <c r="C148" t="inlineStr">
        <is>
          <t>Evelyn Wang</t>
        </is>
      </c>
      <c r="D148">
        <f>HYPERLINK("https://ota.tournamentsoftware.com/player-profile/3A43E7FB-647C-4296-8E8D-106421DC2080", "Link")</f>
        <v/>
      </c>
      <c r="E148" s="3" t="n">
        <v>615.356</v>
      </c>
      <c r="F148" s="4" t="n">
        <v>16</v>
      </c>
      <c r="G148" t="inlineStr">
        <is>
          <t>British Columbia</t>
        </is>
      </c>
      <c r="H148" t="inlineStr">
        <is>
          <t>UBC Tennis Centre</t>
        </is>
      </c>
      <c r="I148" t="n">
        <v>28.3</v>
      </c>
      <c r="J148" s="4" t="n">
        <v>248</v>
      </c>
      <c r="K148" t="inlineStr">
        <is>
          <t>125 / 123</t>
        </is>
      </c>
      <c r="L148" t="inlineStr">
        <is>
          <t>29 / 24</t>
        </is>
      </c>
      <c r="M148" s="5" t="n">
        <v>0.5</v>
      </c>
      <c r="N148" s="5" t="n">
        <v>0.55</v>
      </c>
    </row>
    <row r="149">
      <c r="A149" t="n">
        <v>148</v>
      </c>
      <c r="B149" t="n">
        <v>2015</v>
      </c>
      <c r="C149" t="inlineStr">
        <is>
          <t>Emma Yin</t>
        </is>
      </c>
      <c r="D149">
        <f>HYPERLINK("https://ota.tournamentsoftware.com/player-profile/F90E2576-5989-4051-9E1F-45C789378967", "Link")</f>
        <v/>
      </c>
      <c r="E149" s="3" t="n">
        <v>613.705</v>
      </c>
      <c r="F149" s="4" t="n">
        <v>11</v>
      </c>
      <c r="G149" t="inlineStr">
        <is>
          <t>Tennis Saskatchewan</t>
        </is>
      </c>
      <c r="H149" t="inlineStr">
        <is>
          <t>Lakeshore Tennis Club</t>
        </is>
      </c>
      <c r="I149" t="n">
        <v>30.1</v>
      </c>
      <c r="J149" s="4" t="n">
        <v>157</v>
      </c>
      <c r="K149" t="inlineStr">
        <is>
          <t>80 / 77</t>
        </is>
      </c>
      <c r="L149" t="inlineStr">
        <is>
          <t>34 / 22</t>
        </is>
      </c>
      <c r="M149" s="5" t="n">
        <v>0.51</v>
      </c>
      <c r="N149" s="5" t="n">
        <v>0.61</v>
      </c>
    </row>
    <row r="150">
      <c r="A150" t="n">
        <v>149</v>
      </c>
      <c r="B150" t="n">
        <v>2014</v>
      </c>
      <c r="C150" t="inlineStr">
        <is>
          <t>Alice Yu-Qi Ren</t>
        </is>
      </c>
      <c r="D150">
        <f>HYPERLINK("https://ota.tournamentsoftware.com/player-profile/FE127D3B-825E-4C4F-9666-BA4529348FE4", "Link")</f>
        <v/>
      </c>
      <c r="E150" s="3" t="n">
        <v>610.301</v>
      </c>
      <c r="F150" s="4" t="n">
        <v>19</v>
      </c>
      <c r="G150" t="inlineStr">
        <is>
          <t>Tennis Alberta</t>
        </is>
      </c>
      <c r="H150" t="inlineStr">
        <is>
          <t>Saville Community Sports Centre</t>
        </is>
      </c>
      <c r="I150" t="n">
        <v>28.2</v>
      </c>
      <c r="J150" s="4" t="n">
        <v>208</v>
      </c>
      <c r="K150" t="inlineStr">
        <is>
          <t>142 / 66</t>
        </is>
      </c>
      <c r="L150" t="inlineStr">
        <is>
          <t>39 / 17</t>
        </is>
      </c>
      <c r="M150" s="5" t="n">
        <v>0.68</v>
      </c>
      <c r="N150" s="5" t="n">
        <v>0.7</v>
      </c>
    </row>
    <row r="151">
      <c r="A151" t="n">
        <v>150</v>
      </c>
      <c r="B151" t="n">
        <v>2012</v>
      </c>
      <c r="C151" t="inlineStr">
        <is>
          <t>OLIVIA JUNHAN CAO</t>
        </is>
      </c>
      <c r="D151">
        <f>HYPERLINK("https://ota.tournamentsoftware.com/player-profile/3D68BE77-5DE2-40D9-BCC3-C836A764F3EF", "Link")</f>
        <v/>
      </c>
      <c r="E151" s="3" t="n">
        <v>608.6</v>
      </c>
      <c r="F151" s="4" t="n">
        <v>20</v>
      </c>
      <c r="G151" t="inlineStr">
        <is>
          <t>British Columbia</t>
        </is>
      </c>
      <c r="H151" t="inlineStr">
        <is>
          <t>Richmond Country Club</t>
        </is>
      </c>
      <c r="I151" t="n">
        <v>27.3</v>
      </c>
      <c r="J151" s="4" t="n">
        <v>150</v>
      </c>
      <c r="K151" t="inlineStr">
        <is>
          <t>102 / 48</t>
        </is>
      </c>
      <c r="L151" t="inlineStr">
        <is>
          <t>39 / 17</t>
        </is>
      </c>
      <c r="M151" s="5" t="n">
        <v>0.68</v>
      </c>
      <c r="N151" s="5" t="n">
        <v>0.7</v>
      </c>
    </row>
    <row r="152">
      <c r="A152" t="n">
        <v>151</v>
      </c>
      <c r="B152" t="n">
        <v>2014</v>
      </c>
      <c r="C152" t="inlineStr">
        <is>
          <t>Naomi Iamandi</t>
        </is>
      </c>
      <c r="D152">
        <f>HYPERLINK("https://ota.tournamentsoftware.com/player-profile/5653599F-FFB6-46FA-B574-E53D7FBC278E", "Link")</f>
        <v/>
      </c>
      <c r="E152" s="3" t="n">
        <v>607.422</v>
      </c>
      <c r="F152" s="4" t="n">
        <v>22</v>
      </c>
      <c r="G152" t="inlineStr">
        <is>
          <t>Ontario Tennis Association</t>
        </is>
      </c>
      <c r="H152" t="inlineStr">
        <is>
          <t>Joshua Creek Golf &amp; Tennis</t>
        </is>
      </c>
      <c r="I152" t="n">
        <v>30.3</v>
      </c>
      <c r="J152" s="4" t="n">
        <v>232</v>
      </c>
      <c r="K152" t="inlineStr">
        <is>
          <t>125 / 107</t>
        </is>
      </c>
      <c r="L152" t="inlineStr">
        <is>
          <t>16 / 26</t>
        </is>
      </c>
      <c r="M152" s="5" t="n">
        <v>0.54</v>
      </c>
      <c r="N152" s="5" t="n">
        <v>0.38</v>
      </c>
    </row>
    <row r="153">
      <c r="A153" t="n">
        <v>152</v>
      </c>
      <c r="B153" t="n">
        <v>2013</v>
      </c>
      <c r="C153" t="inlineStr">
        <is>
          <t>Blaire Ming min kaminski</t>
        </is>
      </c>
      <c r="D153">
        <f>HYPERLINK("https://ota.tournamentsoftware.com/player-profile/F1255585-993D-4DBF-ADE9-E5818DCBA131", "Link")</f>
        <v/>
      </c>
      <c r="E153" s="3" t="n">
        <v>601.103</v>
      </c>
      <c r="F153" s="4" t="n">
        <v>16</v>
      </c>
      <c r="G153" t="inlineStr">
        <is>
          <t>Tennis Alberta</t>
        </is>
      </c>
      <c r="H153" t="inlineStr">
        <is>
          <t>Osten &amp; Victor Alberta Tennis Centre</t>
        </is>
      </c>
      <c r="I153" t="inlineStr">
        <is>
          <t>unavailable</t>
        </is>
      </c>
      <c r="J153" s="4" t="n">
        <v>124</v>
      </c>
      <c r="K153" t="inlineStr">
        <is>
          <t>60 / 64</t>
        </is>
      </c>
      <c r="L153" t="inlineStr">
        <is>
          <t>15 / 13</t>
        </is>
      </c>
      <c r="M153" s="5" t="n">
        <v>0.48</v>
      </c>
      <c r="N153" s="5" t="n">
        <v>0.54</v>
      </c>
    </row>
    <row r="154">
      <c r="A154" t="n">
        <v>153</v>
      </c>
      <c r="B154" t="n">
        <v>2013</v>
      </c>
      <c r="C154" t="inlineStr">
        <is>
          <t>Chloe Elizabeth Kotorobai</t>
        </is>
      </c>
      <c r="D154">
        <f>HYPERLINK("https://ota.tournamentsoftware.com/player-profile/FA516D57-03A4-4F2E-810D-864F5732F5CE", "Link")</f>
        <v/>
      </c>
      <c r="E154" s="3" t="n">
        <v>596.04</v>
      </c>
      <c r="F154" s="4" t="n">
        <v>21</v>
      </c>
      <c r="G154" t="inlineStr">
        <is>
          <t>Ontario Tennis Association</t>
        </is>
      </c>
      <c r="H154" t="inlineStr">
        <is>
          <t>City of Stoney Creek</t>
        </is>
      </c>
      <c r="I154" t="n">
        <v>31.6</v>
      </c>
      <c r="J154" s="4" t="n">
        <v>94</v>
      </c>
      <c r="K154" t="inlineStr">
        <is>
          <t>37 / 57</t>
        </is>
      </c>
      <c r="L154" t="inlineStr">
        <is>
          <t>9 / 16</t>
        </is>
      </c>
      <c r="M154" s="5" t="n">
        <v>0.39</v>
      </c>
      <c r="N154" s="5" t="n">
        <v>0.36</v>
      </c>
    </row>
    <row r="155">
      <c r="A155" t="n">
        <v>154</v>
      </c>
      <c r="B155" t="n">
        <v>2013</v>
      </c>
      <c r="C155" t="inlineStr">
        <is>
          <t>Maliah Morgan</t>
        </is>
      </c>
      <c r="D155">
        <f>HYPERLINK("https://ota.tournamentsoftware.com/player-profile/9A3C1326-AE04-42FE-BCE6-AF95D32715F8", "Link")</f>
        <v/>
      </c>
      <c r="E155" s="3" t="n">
        <v>592.035</v>
      </c>
      <c r="F155" s="4" t="n">
        <v>19</v>
      </c>
      <c r="G155" t="inlineStr">
        <is>
          <t>Ontario Tennis Association</t>
        </is>
      </c>
      <c r="H155" t="inlineStr">
        <is>
          <t>Joshua Creek Golf &amp; Tennis</t>
        </is>
      </c>
      <c r="I155" t="n">
        <v>29.2</v>
      </c>
      <c r="J155" s="4" t="n">
        <v>193</v>
      </c>
      <c r="K155" t="inlineStr">
        <is>
          <t>115 / 78</t>
        </is>
      </c>
      <c r="L155" t="inlineStr">
        <is>
          <t>15 / 15</t>
        </is>
      </c>
      <c r="M155" s="5" t="n">
        <v>0.6</v>
      </c>
      <c r="N155" s="5" t="n">
        <v>0.5</v>
      </c>
    </row>
    <row r="156">
      <c r="A156" t="n">
        <v>155</v>
      </c>
      <c r="B156" t="n">
        <v>2013</v>
      </c>
      <c r="C156" t="inlineStr">
        <is>
          <t>Bianca Nestor</t>
        </is>
      </c>
      <c r="D156">
        <f>HYPERLINK("https://ota.tournamentsoftware.com/player-profile/8BAE5D37-8145-43F6-9016-30DDC5E4E994", "Link")</f>
        <v/>
      </c>
      <c r="E156" s="3" t="n">
        <v>587.992</v>
      </c>
      <c r="F156" s="4" t="n">
        <v>21</v>
      </c>
      <c r="G156" t="inlineStr">
        <is>
          <t>Ontario Tennis Association</t>
        </is>
      </c>
      <c r="H156" t="inlineStr">
        <is>
          <t>Toronto Lawn Tennis Club</t>
        </is>
      </c>
      <c r="I156" t="n">
        <v>30.5</v>
      </c>
      <c r="J156" s="4" t="n">
        <v>199</v>
      </c>
      <c r="K156" t="inlineStr">
        <is>
          <t>96 / 103</t>
        </is>
      </c>
      <c r="L156" t="inlineStr">
        <is>
          <t>15 / 17</t>
        </is>
      </c>
      <c r="M156" s="5" t="n">
        <v>0.48</v>
      </c>
      <c r="N156" s="5" t="n">
        <v>0.47</v>
      </c>
    </row>
    <row r="157">
      <c r="A157" t="n">
        <v>156</v>
      </c>
      <c r="B157" t="n">
        <v>2013</v>
      </c>
      <c r="C157" t="inlineStr">
        <is>
          <t>Zoe Yeung</t>
        </is>
      </c>
      <c r="D157">
        <f>HYPERLINK("https://ota.tournamentsoftware.com/player-profile/69712725-5DA5-49A3-9C42-5A05BBB6B230", "Link")</f>
        <v/>
      </c>
      <c r="E157" s="3" t="n">
        <v>583.942</v>
      </c>
      <c r="F157" s="4" t="n">
        <v>16</v>
      </c>
      <c r="G157" t="inlineStr">
        <is>
          <t>Tennis Alberta</t>
        </is>
      </c>
      <c r="H157" t="inlineStr">
        <is>
          <t>Osten &amp; Victor Alberta Tennis Centre</t>
        </is>
      </c>
      <c r="I157" t="n">
        <v>29.2</v>
      </c>
      <c r="J157" s="4" t="n">
        <v>184</v>
      </c>
      <c r="K157" t="inlineStr">
        <is>
          <t>87 / 97</t>
        </is>
      </c>
      <c r="L157" t="inlineStr">
        <is>
          <t>13 / 16</t>
        </is>
      </c>
      <c r="M157" s="5" t="n">
        <v>0.47</v>
      </c>
      <c r="N157" s="5" t="n">
        <v>0.45</v>
      </c>
    </row>
    <row r="158">
      <c r="A158" t="n">
        <v>157</v>
      </c>
      <c r="B158" t="n">
        <v>2014</v>
      </c>
      <c r="C158" t="inlineStr">
        <is>
          <t>Veronica Mourlatov</t>
        </is>
      </c>
      <c r="D158">
        <f>HYPERLINK("https://ota.tournamentsoftware.com/player-profile/B6154A4C-BA94-41F6-A39C-E106D7116C1A", "Link")</f>
        <v/>
      </c>
      <c r="E158" s="3" t="n">
        <v>583.4</v>
      </c>
      <c r="F158" s="4" t="n">
        <v>33</v>
      </c>
      <c r="G158" t="inlineStr">
        <is>
          <t>Ontario Tennis Association</t>
        </is>
      </c>
      <c r="H158" t="inlineStr">
        <is>
          <t>SmartVMC Racquetsports by ACE</t>
        </is>
      </c>
      <c r="I158" t="n">
        <v>30.6</v>
      </c>
      <c r="J158" s="4" t="n">
        <v>219</v>
      </c>
      <c r="K158" t="inlineStr">
        <is>
          <t>139 / 80</t>
        </is>
      </c>
      <c r="L158" t="inlineStr">
        <is>
          <t>42 / 17</t>
        </is>
      </c>
      <c r="M158" s="5" t="n">
        <v>0.63</v>
      </c>
      <c r="N158" s="5" t="n">
        <v>0.71</v>
      </c>
    </row>
    <row r="159">
      <c r="A159" t="n">
        <v>158</v>
      </c>
      <c r="B159" t="n">
        <v>2012</v>
      </c>
      <c r="C159" t="inlineStr">
        <is>
          <t>Malia Lee Datta</t>
        </is>
      </c>
      <c r="D159">
        <f>HYPERLINK("https://ota.tournamentsoftware.com/player-profile/0FC1E5E7-0316-49C4-95C5-C429E3032398", "Link")</f>
        <v/>
      </c>
      <c r="E159" s="3" t="n">
        <v>583.375</v>
      </c>
      <c r="F159" s="4" t="n">
        <v>17</v>
      </c>
      <c r="G159" t="inlineStr">
        <is>
          <t>Tennis Alberta</t>
        </is>
      </c>
      <c r="H159" t="inlineStr">
        <is>
          <t>Osten &amp; Victor Alberta Tennis Centre</t>
        </is>
      </c>
      <c r="I159" t="n">
        <v>28.6</v>
      </c>
      <c r="J159" s="4" t="n">
        <v>149</v>
      </c>
      <c r="K159" t="inlineStr">
        <is>
          <t>64 / 85</t>
        </is>
      </c>
      <c r="L159" t="inlineStr">
        <is>
          <t>13 / 18</t>
        </is>
      </c>
      <c r="M159" s="5" t="n">
        <v>0.43</v>
      </c>
      <c r="N159" s="5" t="n">
        <v>0.42</v>
      </c>
    </row>
    <row r="160">
      <c r="A160" t="n">
        <v>159</v>
      </c>
      <c r="B160" t="n">
        <v>2014</v>
      </c>
      <c r="C160" t="inlineStr">
        <is>
          <t>Adrianna Gianvito</t>
        </is>
      </c>
      <c r="D160">
        <f>HYPERLINK("https://ota.tournamentsoftware.com/player-profile/1412F0F4-82D3-410D-980E-969EFE386B01", "Link")</f>
        <v/>
      </c>
      <c r="E160" s="3" t="n">
        <v>579.152</v>
      </c>
      <c r="F160" s="4" t="n">
        <v>21</v>
      </c>
      <c r="G160" t="inlineStr">
        <is>
          <t>Tennis Québec</t>
        </is>
      </c>
      <c r="H160" t="inlineStr">
        <is>
          <t>No Club</t>
        </is>
      </c>
      <c r="I160" t="inlineStr">
        <is>
          <t>unavailable</t>
        </is>
      </c>
      <c r="J160" s="4" t="n">
        <v>148</v>
      </c>
      <c r="K160" t="inlineStr">
        <is>
          <t>78 / 70</t>
        </is>
      </c>
      <c r="L160" t="inlineStr">
        <is>
          <t>28 / 18</t>
        </is>
      </c>
      <c r="M160" s="5" t="n">
        <v>0.53</v>
      </c>
      <c r="N160" s="5" t="n">
        <v>0.61</v>
      </c>
    </row>
    <row r="161">
      <c r="A161" t="n">
        <v>160</v>
      </c>
      <c r="B161" t="n">
        <v>2012</v>
      </c>
      <c r="C161" t="inlineStr">
        <is>
          <t>Eliana Cantin</t>
        </is>
      </c>
      <c r="D161">
        <f>HYPERLINK("https://ota.tournamentsoftware.com/player-profile/D4DBD3FF-74D7-4D84-BB8F-104CA729E69E", "Link")</f>
        <v/>
      </c>
      <c r="E161" s="3" t="n">
        <v>579.148</v>
      </c>
      <c r="F161" s="4" t="n">
        <v>14</v>
      </c>
      <c r="G161" t="inlineStr">
        <is>
          <t>Tennis Québec</t>
        </is>
      </c>
      <c r="H161" t="inlineStr">
        <is>
          <t>Centre récréatif de Repentigny / Académie Tennis Momentum</t>
        </is>
      </c>
      <c r="I161" t="n">
        <v>29.1</v>
      </c>
      <c r="J161" s="4" t="n">
        <v>186</v>
      </c>
      <c r="K161" t="inlineStr">
        <is>
          <t>91 / 95</t>
        </is>
      </c>
      <c r="L161" t="inlineStr">
        <is>
          <t>9 / 16</t>
        </is>
      </c>
      <c r="M161" s="5" t="n">
        <v>0.49</v>
      </c>
      <c r="N161" s="5" t="n">
        <v>0.36</v>
      </c>
    </row>
    <row r="162">
      <c r="A162" t="n">
        <v>161</v>
      </c>
      <c r="B162" t="n">
        <v>2013</v>
      </c>
      <c r="C162" t="inlineStr">
        <is>
          <t>Mathilde Labeeuw</t>
        </is>
      </c>
      <c r="D162">
        <f>HYPERLINK("https://ota.tournamentsoftware.com/player-profile/ACCBCF37-0334-4ED1-B564-DFD6E35F3445", "Link")</f>
        <v/>
      </c>
      <c r="E162" s="3" t="n">
        <v>578.7809999999999</v>
      </c>
      <c r="F162" s="4" t="n">
        <v>22</v>
      </c>
      <c r="G162" t="inlineStr">
        <is>
          <t>Tennis Québec</t>
        </is>
      </c>
      <c r="H162" t="inlineStr">
        <is>
          <t>SANI Sport</t>
        </is>
      </c>
      <c r="I162" t="n">
        <v>30.4</v>
      </c>
      <c r="J162" s="4" t="n">
        <v>195</v>
      </c>
      <c r="K162" t="inlineStr">
        <is>
          <t>93 / 102</t>
        </is>
      </c>
      <c r="L162" t="inlineStr">
        <is>
          <t>15 / 16</t>
        </is>
      </c>
      <c r="M162" s="5" t="n">
        <v>0.48</v>
      </c>
      <c r="N162" s="5" t="n">
        <v>0.48</v>
      </c>
    </row>
    <row r="163">
      <c r="A163" t="n">
        <v>162</v>
      </c>
      <c r="B163" t="n">
        <v>2012</v>
      </c>
      <c r="C163" t="inlineStr">
        <is>
          <t>Caroline ChuYun Yang</t>
        </is>
      </c>
      <c r="D163">
        <f>HYPERLINK("https://ota.tournamentsoftware.com/player-profile/973A8D96-42F5-42BC-9DF2-0A195E1A983F", "Link")</f>
        <v/>
      </c>
      <c r="E163" s="3" t="n">
        <v>574.0700000000001</v>
      </c>
      <c r="F163" s="4" t="n">
        <v>20</v>
      </c>
      <c r="G163" t="inlineStr">
        <is>
          <t>British Columbia</t>
        </is>
      </c>
      <c r="H163" t="inlineStr">
        <is>
          <t>The Tennis Centre</t>
        </is>
      </c>
      <c r="I163" t="n">
        <v>28.6</v>
      </c>
      <c r="J163" s="4" t="n">
        <v>265</v>
      </c>
      <c r="K163" t="inlineStr">
        <is>
          <t>159 / 106</t>
        </is>
      </c>
      <c r="L163" t="inlineStr">
        <is>
          <t>27 / 20</t>
        </is>
      </c>
      <c r="M163" s="5" t="n">
        <v>0.6</v>
      </c>
      <c r="N163" s="5" t="n">
        <v>0.57</v>
      </c>
    </row>
    <row r="164">
      <c r="A164" t="n">
        <v>163</v>
      </c>
      <c r="B164" t="n">
        <v>2014</v>
      </c>
      <c r="C164" t="inlineStr">
        <is>
          <t>Sophie Lu</t>
        </is>
      </c>
      <c r="D164">
        <f>HYPERLINK("https://ota.tournamentsoftware.com/player-profile/5C3C8ABA-3BF6-4232-B65C-B26C16207D0A", "Link")</f>
        <v/>
      </c>
      <c r="E164" s="3" t="n">
        <v>569.085</v>
      </c>
      <c r="F164" s="4" t="n">
        <v>18</v>
      </c>
      <c r="G164" t="inlineStr">
        <is>
          <t>Tennis Québec</t>
        </is>
      </c>
      <c r="H164" t="inlineStr">
        <is>
          <t>Tennis Ile- des- Soeurs</t>
        </is>
      </c>
      <c r="I164" t="inlineStr">
        <is>
          <t>unavailable</t>
        </is>
      </c>
      <c r="J164" s="4" t="n">
        <v>210</v>
      </c>
      <c r="K164" t="inlineStr">
        <is>
          <t>107 / 103</t>
        </is>
      </c>
      <c r="L164" t="inlineStr">
        <is>
          <t>36 / 24</t>
        </is>
      </c>
      <c r="M164" s="5" t="n">
        <v>0.51</v>
      </c>
      <c r="N164" s="5" t="n">
        <v>0.6</v>
      </c>
    </row>
    <row r="165">
      <c r="A165" t="n">
        <v>164</v>
      </c>
      <c r="B165" t="n">
        <v>2012</v>
      </c>
      <c r="C165" t="inlineStr">
        <is>
          <t>Alexandra Dorobantu</t>
        </is>
      </c>
      <c r="D165">
        <f>HYPERLINK("https://ota.tournamentsoftware.com/player-profile/CE7FB59F-F5CB-4CA3-A3EB-27DC05EB2B7D", "Link")</f>
        <v/>
      </c>
      <c r="E165" s="3" t="n">
        <v>568.771</v>
      </c>
      <c r="F165" s="4" t="n">
        <v>13</v>
      </c>
      <c r="G165" t="inlineStr">
        <is>
          <t>Tennis Alberta</t>
        </is>
      </c>
      <c r="H165" t="inlineStr">
        <is>
          <t>Saville Community Sports Centre</t>
        </is>
      </c>
      <c r="I165" t="inlineStr">
        <is>
          <t>unavailable</t>
        </is>
      </c>
      <c r="J165" s="4" t="n">
        <v>156</v>
      </c>
      <c r="K165" t="inlineStr">
        <is>
          <t>76 / 80</t>
        </is>
      </c>
      <c r="L165" t="inlineStr">
        <is>
          <t>14 / 17</t>
        </is>
      </c>
      <c r="M165" s="5" t="n">
        <v>0.49</v>
      </c>
      <c r="N165" s="5" t="n">
        <v>0.45</v>
      </c>
    </row>
    <row r="166">
      <c r="A166" t="n">
        <v>165</v>
      </c>
      <c r="B166" t="n">
        <v>2015</v>
      </c>
      <c r="C166" t="inlineStr">
        <is>
          <t>Alexia Djomo</t>
        </is>
      </c>
      <c r="D166">
        <f>HYPERLINK("https://ota.tournamentsoftware.com/player-profile/DCE433A3-22C1-4484-BA5B-62931094794E", "Link")</f>
        <v/>
      </c>
      <c r="E166" s="3" t="n">
        <v>559.021</v>
      </c>
      <c r="F166" s="4" t="n">
        <v>13</v>
      </c>
      <c r="G166" t="inlineStr">
        <is>
          <t>Tennis Manitoba</t>
        </is>
      </c>
      <c r="H166" t="inlineStr">
        <is>
          <t>Winnipeg Winter Club</t>
        </is>
      </c>
      <c r="I166" t="n">
        <v>33</v>
      </c>
      <c r="J166" s="4" t="n">
        <v>78</v>
      </c>
      <c r="K166" t="inlineStr">
        <is>
          <t>31 / 47</t>
        </is>
      </c>
      <c r="L166" t="inlineStr">
        <is>
          <t>24 / 28</t>
        </is>
      </c>
      <c r="M166" s="5" t="n">
        <v>0.4</v>
      </c>
      <c r="N166" s="5" t="n">
        <v>0.46</v>
      </c>
    </row>
    <row r="167">
      <c r="A167" t="n">
        <v>166</v>
      </c>
      <c r="B167" t="n">
        <v>2015</v>
      </c>
      <c r="C167" t="inlineStr">
        <is>
          <t>NELIA BERKOUD</t>
        </is>
      </c>
      <c r="D167">
        <f>HYPERLINK("https://ota.tournamentsoftware.com/player-profile/2E73021E-DEDD-484B-95FC-00429D223FB2", "Link")</f>
        <v/>
      </c>
      <c r="E167" s="3" t="n">
        <v>554.133</v>
      </c>
      <c r="F167" s="4" t="n">
        <v>23</v>
      </c>
      <c r="G167" t="inlineStr">
        <is>
          <t>Tennis Québec</t>
        </is>
      </c>
      <c r="H167" t="inlineStr">
        <is>
          <t>Carrefour Multisports</t>
        </is>
      </c>
      <c r="I167" t="n">
        <v>30.3</v>
      </c>
      <c r="J167" s="4" t="n">
        <v>142</v>
      </c>
      <c r="K167" t="inlineStr">
        <is>
          <t>87 / 55</t>
        </is>
      </c>
      <c r="L167" t="inlineStr">
        <is>
          <t>31 / 27</t>
        </is>
      </c>
      <c r="M167" s="5" t="n">
        <v>0.61</v>
      </c>
      <c r="N167" s="5" t="n">
        <v>0.53</v>
      </c>
    </row>
    <row r="168">
      <c r="A168" t="n">
        <v>167</v>
      </c>
      <c r="B168" t="n">
        <v>2015</v>
      </c>
      <c r="C168" t="inlineStr">
        <is>
          <t>Grace Wang</t>
        </is>
      </c>
      <c r="D168">
        <f>HYPERLINK("https://ota.tournamentsoftware.com/player-profile/2F68C1DC-1A19-4E3A-AF58-6DC4541843F2", "Link")</f>
        <v/>
      </c>
      <c r="E168" s="3" t="n">
        <v>553.759</v>
      </c>
      <c r="F168" s="4" t="n">
        <v>25</v>
      </c>
      <c r="G168" t="inlineStr">
        <is>
          <t>British Columbia</t>
        </is>
      </c>
      <c r="H168" t="inlineStr">
        <is>
          <t>No Club</t>
        </is>
      </c>
      <c r="I168" t="n">
        <v>28.7</v>
      </c>
      <c r="J168" s="4" t="n">
        <v>242</v>
      </c>
      <c r="K168" t="inlineStr">
        <is>
          <t>145 / 97</t>
        </is>
      </c>
      <c r="L168" t="inlineStr">
        <is>
          <t>44 / 24</t>
        </is>
      </c>
      <c r="M168" s="5" t="n">
        <v>0.6</v>
      </c>
      <c r="N168" s="5" t="n">
        <v>0.65</v>
      </c>
    </row>
    <row r="169">
      <c r="A169" t="n">
        <v>168</v>
      </c>
      <c r="B169" t="n">
        <v>2014</v>
      </c>
      <c r="C169" t="inlineStr">
        <is>
          <t>Charlie Thomas-Simard</t>
        </is>
      </c>
      <c r="D169">
        <f>HYPERLINK("https://ota.tournamentsoftware.com/player-profile/E101E3D0-39D8-4861-AB44-D9BE1C346E1E", "Link")</f>
        <v/>
      </c>
      <c r="E169" s="3" t="n">
        <v>550.771</v>
      </c>
      <c r="F169" s="4" t="n">
        <v>21</v>
      </c>
      <c r="G169" t="inlineStr">
        <is>
          <t>Tennis Québec</t>
        </is>
      </c>
      <c r="H169" t="inlineStr">
        <is>
          <t>Club Avantage Multi-sports / Académie de tennis Hérisset Bordeleau</t>
        </is>
      </c>
      <c r="I169" t="n">
        <v>31.5</v>
      </c>
      <c r="J169" s="4" t="n">
        <v>121</v>
      </c>
      <c r="K169" t="inlineStr">
        <is>
          <t>65 / 56</t>
        </is>
      </c>
      <c r="L169" t="inlineStr">
        <is>
          <t>29 / 28</t>
        </is>
      </c>
      <c r="M169" s="5" t="n">
        <v>0.54</v>
      </c>
      <c r="N169" s="5" t="n">
        <v>0.51</v>
      </c>
    </row>
    <row r="170">
      <c r="A170" t="n">
        <v>169</v>
      </c>
      <c r="B170" t="n">
        <v>2012</v>
      </c>
      <c r="C170" t="inlineStr">
        <is>
          <t>Yuehan DONG</t>
        </is>
      </c>
      <c r="D170">
        <f>HYPERLINK("https://ota.tournamentsoftware.com/player-profile/F5996998-771E-46C9-A222-1C90911DD4C3", "Link")</f>
        <v/>
      </c>
      <c r="E170" s="3" t="n">
        <v>534.77</v>
      </c>
      <c r="F170" s="4" t="n">
        <v>26</v>
      </c>
      <c r="G170" t="inlineStr">
        <is>
          <t>Ontario Tennis Association</t>
        </is>
      </c>
      <c r="H170" t="inlineStr">
        <is>
          <t>Fainblum Tennis Academy</t>
        </is>
      </c>
      <c r="I170" t="n">
        <v>31.8</v>
      </c>
      <c r="J170" s="4" t="n">
        <v>125</v>
      </c>
      <c r="K170" t="inlineStr">
        <is>
          <t>56 / 69</t>
        </is>
      </c>
      <c r="L170" t="inlineStr">
        <is>
          <t>8 / 18</t>
        </is>
      </c>
      <c r="M170" s="5" t="n">
        <v>0.45</v>
      </c>
      <c r="N170" s="5" t="n">
        <v>0.31</v>
      </c>
    </row>
    <row r="171">
      <c r="A171" t="n">
        <v>170</v>
      </c>
      <c r="B171" t="n">
        <v>2015</v>
      </c>
      <c r="C171" t="inlineStr">
        <is>
          <t>Alyanna Jane Principe</t>
        </is>
      </c>
      <c r="D171">
        <f>HYPERLINK("https://ota.tournamentsoftware.com/player-profile/DF18434B-FE2E-4647-9481-0DA91B5C9B92", "Link")</f>
        <v/>
      </c>
      <c r="E171" s="3" t="n">
        <v>532.043</v>
      </c>
      <c r="F171" s="4" t="n">
        <v>21</v>
      </c>
      <c r="G171" t="inlineStr">
        <is>
          <t>British Columbia</t>
        </is>
      </c>
      <c r="H171" t="inlineStr">
        <is>
          <t>The Tennis Centre</t>
        </is>
      </c>
      <c r="I171" t="n">
        <v>28.4</v>
      </c>
      <c r="J171" s="4" t="n">
        <v>238</v>
      </c>
      <c r="K171" t="inlineStr">
        <is>
          <t>156 / 82</t>
        </is>
      </c>
      <c r="L171" t="inlineStr">
        <is>
          <t>34 / 23</t>
        </is>
      </c>
      <c r="M171" s="5" t="n">
        <v>0.66</v>
      </c>
      <c r="N171" s="5" t="n">
        <v>0.6</v>
      </c>
    </row>
    <row r="172">
      <c r="A172" t="n">
        <v>171</v>
      </c>
      <c r="B172" t="n">
        <v>2013</v>
      </c>
      <c r="C172" t="inlineStr">
        <is>
          <t>Sonya Notta</t>
        </is>
      </c>
      <c r="D172">
        <f>HYPERLINK("https://ota.tournamentsoftware.com/player-profile/6AF626BE-D8F1-4939-AF03-813D0A17EE25", "Link")</f>
        <v/>
      </c>
      <c r="E172" s="3" t="n">
        <v>530.568</v>
      </c>
      <c r="F172" s="4" t="n">
        <v>8</v>
      </c>
      <c r="G172" t="inlineStr">
        <is>
          <t>Ontario Tennis Association</t>
        </is>
      </c>
      <c r="H172" t="inlineStr">
        <is>
          <t>Mayfair East Racquet Club</t>
        </is>
      </c>
      <c r="I172" t="inlineStr">
        <is>
          <t>unavailable</t>
        </is>
      </c>
      <c r="J172" s="4" t="n">
        <v>78</v>
      </c>
      <c r="K172" t="inlineStr">
        <is>
          <t>53 / 25</t>
        </is>
      </c>
      <c r="L172" t="inlineStr">
        <is>
          <t>10 / 3</t>
        </is>
      </c>
      <c r="M172" s="5" t="n">
        <v>0.68</v>
      </c>
      <c r="N172" s="5" t="n">
        <v>0.77</v>
      </c>
    </row>
    <row r="173">
      <c r="A173" t="n">
        <v>172</v>
      </c>
      <c r="B173" t="n">
        <v>2014</v>
      </c>
      <c r="C173" t="inlineStr">
        <is>
          <t>Laetitia Thuy Van Nguyen</t>
        </is>
      </c>
      <c r="D173">
        <f>HYPERLINK("https://ota.tournamentsoftware.com/player-profile/B151CB64-D12D-48B2-8087-4EABB50157E8", "Link")</f>
        <v/>
      </c>
      <c r="E173" s="3" t="n">
        <v>522.812</v>
      </c>
      <c r="F173" s="4" t="n">
        <v>22</v>
      </c>
      <c r="G173" t="inlineStr">
        <is>
          <t>Tennis Québec</t>
        </is>
      </c>
      <c r="H173" t="inlineStr">
        <is>
          <t>Tennis Outaouais Performance (TOP)</t>
        </is>
      </c>
      <c r="I173" t="n">
        <v>30.1</v>
      </c>
      <c r="J173" s="4" t="n">
        <v>218</v>
      </c>
      <c r="K173" t="inlineStr">
        <is>
          <t>119 / 99</t>
        </is>
      </c>
      <c r="L173" t="inlineStr">
        <is>
          <t>33 / 24</t>
        </is>
      </c>
      <c r="M173" s="5" t="n">
        <v>0.55</v>
      </c>
      <c r="N173" s="5" t="n">
        <v>0.58</v>
      </c>
    </row>
    <row r="174">
      <c r="A174" t="n">
        <v>173</v>
      </c>
      <c r="B174" t="n">
        <v>2012</v>
      </c>
      <c r="C174" t="inlineStr">
        <is>
          <t>Meeth Kaur Rai</t>
        </is>
      </c>
      <c r="D174">
        <f>HYPERLINK("https://ota.tournamentsoftware.com/player-profile/3C191393-570A-4DF7-80D4-0613143CE54B", "Link")</f>
        <v/>
      </c>
      <c r="E174" s="3" t="n">
        <v>517.12</v>
      </c>
      <c r="F174" s="4" t="n">
        <v>18</v>
      </c>
      <c r="G174" t="inlineStr">
        <is>
          <t>British Columbia</t>
        </is>
      </c>
      <c r="H174" t="inlineStr">
        <is>
          <t>No Club</t>
        </is>
      </c>
      <c r="I174" t="n">
        <v>28.4</v>
      </c>
      <c r="J174" s="4" t="n">
        <v>230</v>
      </c>
      <c r="K174" t="inlineStr">
        <is>
          <t>126 / 104</t>
        </is>
      </c>
      <c r="L174" t="inlineStr">
        <is>
          <t>16 / 27</t>
        </is>
      </c>
      <c r="M174" s="5" t="n">
        <v>0.55</v>
      </c>
      <c r="N174" s="5" t="n">
        <v>0.37</v>
      </c>
    </row>
    <row r="175">
      <c r="A175" t="n">
        <v>174</v>
      </c>
      <c r="B175" t="n">
        <v>2012</v>
      </c>
      <c r="C175" t="inlineStr">
        <is>
          <t>Daniella Kulemin</t>
        </is>
      </c>
      <c r="D175">
        <f>HYPERLINK("https://ota.tournamentsoftware.com/player-profile/665847C2-A172-4164-B9E1-C1030269B793", "Link")</f>
        <v/>
      </c>
      <c r="E175" s="3" t="n">
        <v>515.465</v>
      </c>
      <c r="F175" s="4" t="n">
        <v>21</v>
      </c>
      <c r="G175" t="inlineStr">
        <is>
          <t>Ontario Tennis Association</t>
        </is>
      </c>
      <c r="H175" t="inlineStr">
        <is>
          <t>Concord Tennis Academy</t>
        </is>
      </c>
      <c r="I175" t="n">
        <v>30.5</v>
      </c>
      <c r="J175" s="4" t="n">
        <v>59</v>
      </c>
      <c r="K175" t="inlineStr">
        <is>
          <t>27 / 32</t>
        </is>
      </c>
      <c r="L175" t="inlineStr">
        <is>
          <t>17 / 18</t>
        </is>
      </c>
      <c r="M175" s="5" t="n">
        <v>0.46</v>
      </c>
      <c r="N175" s="5" t="n">
        <v>0.49</v>
      </c>
    </row>
    <row r="176">
      <c r="A176" t="n">
        <v>175</v>
      </c>
      <c r="B176" t="n">
        <v>2012</v>
      </c>
      <c r="C176" t="inlineStr">
        <is>
          <t>Ira Karthi</t>
        </is>
      </c>
      <c r="D176">
        <f>HYPERLINK("https://ota.tournamentsoftware.com/player-profile/87DFD688-7475-43FD-B605-7E13CDDC471C", "Link")</f>
        <v/>
      </c>
      <c r="E176" s="3" t="n">
        <v>515.125</v>
      </c>
      <c r="F176" s="4" t="n">
        <v>20</v>
      </c>
      <c r="G176" t="inlineStr">
        <is>
          <t>Ontario Tennis Association</t>
        </is>
      </c>
      <c r="H176" t="inlineStr">
        <is>
          <t>Sandy Beach Tennis Club</t>
        </is>
      </c>
      <c r="I176" t="n">
        <v>32.2</v>
      </c>
      <c r="J176" s="4" t="n">
        <v>76</v>
      </c>
      <c r="K176" t="inlineStr">
        <is>
          <t>23 / 53</t>
        </is>
      </c>
      <c r="L176" t="inlineStr">
        <is>
          <t>12 / 15</t>
        </is>
      </c>
      <c r="M176" s="5" t="n">
        <v>0.3</v>
      </c>
      <c r="N176" s="5" t="n">
        <v>0.44</v>
      </c>
    </row>
    <row r="177">
      <c r="A177" t="n">
        <v>176</v>
      </c>
      <c r="B177" t="n">
        <v>2013</v>
      </c>
      <c r="C177" t="inlineStr">
        <is>
          <t>Nelly Campagna</t>
        </is>
      </c>
      <c r="D177">
        <f>HYPERLINK("https://ota.tournamentsoftware.com/player-profile/57A742FF-F88B-4C14-A895-DA6559972095", "Link")</f>
        <v/>
      </c>
      <c r="E177" s="3" t="n">
        <v>514.603</v>
      </c>
      <c r="F177" s="4" t="n">
        <v>19</v>
      </c>
      <c r="G177" t="inlineStr">
        <is>
          <t>Tennis Québec</t>
        </is>
      </c>
      <c r="H177" t="inlineStr">
        <is>
          <t>Centre récréatif de Repentigny / Académie Tennis Momentum</t>
        </is>
      </c>
      <c r="I177" t="n">
        <v>29.6</v>
      </c>
      <c r="J177" s="4" t="n">
        <v>167</v>
      </c>
      <c r="K177" t="inlineStr">
        <is>
          <t>89 / 78</t>
        </is>
      </c>
      <c r="L177" t="inlineStr">
        <is>
          <t>21 / 16</t>
        </is>
      </c>
      <c r="M177" s="5" t="n">
        <v>0.53</v>
      </c>
      <c r="N177" s="5" t="n">
        <v>0.57</v>
      </c>
    </row>
    <row r="178">
      <c r="A178" t="n">
        <v>177</v>
      </c>
      <c r="B178" t="n">
        <v>2013</v>
      </c>
      <c r="C178" t="inlineStr">
        <is>
          <t>Mariela Ibrahim</t>
        </is>
      </c>
      <c r="D178">
        <f>HYPERLINK("https://ota.tournamentsoftware.com/player-profile/D80C965C-4117-4C2C-9F46-F371E9E47454", "Link")</f>
        <v/>
      </c>
      <c r="E178" s="3" t="n">
        <v>509.242</v>
      </c>
      <c r="F178" s="4" t="n">
        <v>30</v>
      </c>
      <c r="G178" t="inlineStr">
        <is>
          <t>Ontario Tennis Association</t>
        </is>
      </c>
      <c r="H178" t="inlineStr">
        <is>
          <t>Concord Tennis Academy</t>
        </is>
      </c>
      <c r="I178" t="inlineStr">
        <is>
          <t>unavailable</t>
        </is>
      </c>
      <c r="J178" s="4" t="n">
        <v>107</v>
      </c>
      <c r="K178" t="inlineStr">
        <is>
          <t>61 / 46</t>
        </is>
      </c>
      <c r="L178" t="inlineStr">
        <is>
          <t>27 / 20</t>
        </is>
      </c>
      <c r="M178" s="5" t="n">
        <v>0.57</v>
      </c>
      <c r="N178" s="5" t="n">
        <v>0.57</v>
      </c>
    </row>
    <row r="179">
      <c r="A179" t="n">
        <v>178</v>
      </c>
      <c r="B179" t="n">
        <v>2012</v>
      </c>
      <c r="C179" t="inlineStr">
        <is>
          <t>Emma Sun</t>
        </is>
      </c>
      <c r="D179">
        <f>HYPERLINK("https://ota.tournamentsoftware.com/player-profile/00B8EFA4-17DF-49B4-90DE-B5A577BC8620", "Link")</f>
        <v/>
      </c>
      <c r="E179" s="3" t="n">
        <v>503.724</v>
      </c>
      <c r="F179" s="4" t="n">
        <v>15</v>
      </c>
      <c r="G179" t="inlineStr">
        <is>
          <t>British Columbia</t>
        </is>
      </c>
      <c r="H179" t="inlineStr">
        <is>
          <t>The Tennis Centre</t>
        </is>
      </c>
      <c r="I179" t="n">
        <v>27.6</v>
      </c>
      <c r="J179" s="4" t="n">
        <v>260</v>
      </c>
      <c r="K179" t="inlineStr">
        <is>
          <t>124 / 136</t>
        </is>
      </c>
      <c r="L179" t="inlineStr">
        <is>
          <t>15 / 15</t>
        </is>
      </c>
      <c r="M179" s="5" t="n">
        <v>0.48</v>
      </c>
      <c r="N179" s="5" t="n">
        <v>0.5</v>
      </c>
    </row>
    <row r="180">
      <c r="A180" t="n">
        <v>179</v>
      </c>
      <c r="B180" t="n">
        <v>2014</v>
      </c>
      <c r="C180" t="inlineStr">
        <is>
          <t>Hanna Julia Barta</t>
        </is>
      </c>
      <c r="D180">
        <f>HYPERLINK("https://ota.tournamentsoftware.com/player-profile/BAF4D69B-39E5-4A7E-BB04-5AF0EDC7734B", "Link")</f>
        <v/>
      </c>
      <c r="E180" s="3" t="n">
        <v>500.277</v>
      </c>
      <c r="F180" s="4" t="n">
        <v>27</v>
      </c>
      <c r="G180" t="inlineStr">
        <is>
          <t>Ontario Tennis Association</t>
        </is>
      </c>
      <c r="H180" t="inlineStr">
        <is>
          <t>Advantage Tennis International at Veneto</t>
        </is>
      </c>
      <c r="I180" t="n">
        <v>31.9</v>
      </c>
      <c r="J180" s="4" t="n">
        <v>211</v>
      </c>
      <c r="K180" t="inlineStr">
        <is>
          <t>105 / 106</t>
        </is>
      </c>
      <c r="L180" t="inlineStr">
        <is>
          <t>25 / 20</t>
        </is>
      </c>
      <c r="M180" s="5" t="n">
        <v>0.5</v>
      </c>
      <c r="N180" s="5" t="n">
        <v>0.5600000000000001</v>
      </c>
    </row>
    <row r="181">
      <c r="A181" t="n">
        <v>180</v>
      </c>
      <c r="B181" t="n">
        <v>2012</v>
      </c>
      <c r="C181" t="inlineStr">
        <is>
          <t>Alexandra Bayentin</t>
        </is>
      </c>
      <c r="D181">
        <f>HYPERLINK("https://ota.tournamentsoftware.com/player-profile/EFF894D9-35F7-45C9-9C57-06584708D213", "Link")</f>
        <v/>
      </c>
      <c r="E181" s="3" t="n">
        <v>499.016</v>
      </c>
      <c r="F181" s="4" t="n">
        <v>14</v>
      </c>
      <c r="G181" t="inlineStr">
        <is>
          <t>Tennis Alberta</t>
        </is>
      </c>
      <c r="H181" t="inlineStr">
        <is>
          <t>Osten &amp; Victor Alberta Tennis Centre</t>
        </is>
      </c>
      <c r="I181" t="n">
        <v>29.1</v>
      </c>
      <c r="J181" s="4" t="n">
        <v>167</v>
      </c>
      <c r="K181" t="inlineStr">
        <is>
          <t>81 / 86</t>
        </is>
      </c>
      <c r="L181" t="inlineStr">
        <is>
          <t>11 / 12</t>
        </is>
      </c>
      <c r="M181" s="5" t="n">
        <v>0.49</v>
      </c>
      <c r="N181" s="5" t="n">
        <v>0.48</v>
      </c>
    </row>
    <row r="182">
      <c r="A182" t="n">
        <v>181</v>
      </c>
      <c r="B182" t="n">
        <v>2015</v>
      </c>
      <c r="C182" t="inlineStr">
        <is>
          <t>Abbey Crump</t>
        </is>
      </c>
      <c r="D182">
        <f>HYPERLINK("https://ota.tournamentsoftware.com/player-profile/92F0423F-2B57-40B1-A6AA-5C7DC6477800", "Link")</f>
        <v/>
      </c>
      <c r="E182" s="3" t="n">
        <v>493.889</v>
      </c>
      <c r="F182" s="4" t="n">
        <v>16</v>
      </c>
      <c r="G182" t="inlineStr">
        <is>
          <t>Ontario Tennis Association</t>
        </is>
      </c>
      <c r="H182" t="inlineStr">
        <is>
          <t>Joshua Creek Golf &amp; Tennis</t>
        </is>
      </c>
      <c r="I182" t="n">
        <v>30.7</v>
      </c>
      <c r="J182" s="4" t="n">
        <v>146</v>
      </c>
      <c r="K182" t="inlineStr">
        <is>
          <t>120 / 26</t>
        </is>
      </c>
      <c r="L182" t="inlineStr">
        <is>
          <t>28 / 15</t>
        </is>
      </c>
      <c r="M182" s="5" t="n">
        <v>0.82</v>
      </c>
      <c r="N182" s="5" t="n">
        <v>0.65</v>
      </c>
    </row>
    <row r="183">
      <c r="A183" t="n">
        <v>182</v>
      </c>
      <c r="B183" t="n">
        <v>2013</v>
      </c>
      <c r="C183" t="inlineStr">
        <is>
          <t>Livia Seguin</t>
        </is>
      </c>
      <c r="D183">
        <f>HYPERLINK("https://ota.tournamentsoftware.com/player-profile/2B987274-8A56-4EE6-B85D-948871231CC0", "Link")</f>
        <v/>
      </c>
      <c r="E183" s="3" t="n">
        <v>493.701</v>
      </c>
      <c r="F183" s="4" t="n">
        <v>37</v>
      </c>
      <c r="G183" t="inlineStr">
        <is>
          <t>Tennis Québec</t>
        </is>
      </c>
      <c r="H183" t="inlineStr">
        <is>
          <t>Tennis Interclub Piedmont</t>
        </is>
      </c>
      <c r="I183" t="n">
        <v>32.7</v>
      </c>
      <c r="J183" s="4" t="n">
        <v>136</v>
      </c>
      <c r="K183" t="inlineStr">
        <is>
          <t>43 / 93</t>
        </is>
      </c>
      <c r="L183" t="inlineStr">
        <is>
          <t>19 / 32</t>
        </is>
      </c>
      <c r="M183" s="5" t="n">
        <v>0.32</v>
      </c>
      <c r="N183" s="5" t="n">
        <v>0.37</v>
      </c>
    </row>
    <row r="184">
      <c r="A184" t="n">
        <v>183</v>
      </c>
      <c r="B184" t="n">
        <v>2013</v>
      </c>
      <c r="C184" t="inlineStr">
        <is>
          <t>Mila Anna Kodjian</t>
        </is>
      </c>
      <c r="D184">
        <f>HYPERLINK("https://ota.tournamentsoftware.com/player-profile/CE1F1BC7-04CB-4652-A947-AF91FA03ECD5", "Link")</f>
        <v/>
      </c>
      <c r="E184" s="3" t="n">
        <v>491.4</v>
      </c>
      <c r="F184" s="4" t="n">
        <v>18</v>
      </c>
      <c r="G184" t="inlineStr">
        <is>
          <t>Ontario Tennis Association</t>
        </is>
      </c>
      <c r="H184" t="inlineStr">
        <is>
          <t>Rosethorn Tennis Club</t>
        </is>
      </c>
      <c r="I184" t="n">
        <v>31.6</v>
      </c>
      <c r="J184" s="4" t="n">
        <v>114</v>
      </c>
      <c r="K184" t="inlineStr">
        <is>
          <t>66 / 48</t>
        </is>
      </c>
      <c r="L184" t="inlineStr">
        <is>
          <t>25 / 10</t>
        </is>
      </c>
      <c r="M184" s="5" t="n">
        <v>0.58</v>
      </c>
      <c r="N184" s="5" t="n">
        <v>0.71</v>
      </c>
    </row>
    <row r="185">
      <c r="A185" t="n">
        <v>184</v>
      </c>
      <c r="B185" t="n">
        <v>2012</v>
      </c>
      <c r="C185" t="inlineStr">
        <is>
          <t>Maya Sophia Abdullah</t>
        </is>
      </c>
      <c r="D185">
        <f>HYPERLINK("https://ota.tournamentsoftware.com/player-profile/6169AD2A-5AC2-4220-8B87-C5D54BAF6AD4", "Link")</f>
        <v/>
      </c>
      <c r="E185" s="3" t="n">
        <v>485.934</v>
      </c>
      <c r="F185" s="4" t="n">
        <v>20</v>
      </c>
      <c r="G185" t="inlineStr">
        <is>
          <t>Tennis Alberta</t>
        </is>
      </c>
      <c r="H185" t="inlineStr">
        <is>
          <t>Aforza</t>
        </is>
      </c>
      <c r="I185" t="n">
        <v>31.6</v>
      </c>
      <c r="J185" s="4" t="n">
        <v>61</v>
      </c>
      <c r="K185" t="inlineStr">
        <is>
          <t>30 / 31</t>
        </is>
      </c>
      <c r="L185" t="inlineStr">
        <is>
          <t>18 / 19</t>
        </is>
      </c>
      <c r="M185" s="5" t="n">
        <v>0.49</v>
      </c>
      <c r="N185" s="5" t="n">
        <v>0.49</v>
      </c>
    </row>
    <row r="186">
      <c r="A186" t="n">
        <v>185</v>
      </c>
      <c r="B186" t="n">
        <v>2014</v>
      </c>
      <c r="C186" t="inlineStr">
        <is>
          <t>Naima Majumdar-Moreau</t>
        </is>
      </c>
      <c r="D186">
        <f>HYPERLINK("https://ota.tournamentsoftware.com/player-profile/DCA02929-B08F-46CE-9CFE-852A987CEBF8", "Link")</f>
        <v/>
      </c>
      <c r="E186" s="3" t="n">
        <v>485.9</v>
      </c>
      <c r="F186" s="4" t="n">
        <v>30</v>
      </c>
      <c r="G186" t="inlineStr">
        <is>
          <t>Tennis Québec</t>
        </is>
      </c>
      <c r="H186" t="inlineStr">
        <is>
          <t>Tennis Ile- des- Soeurs</t>
        </is>
      </c>
      <c r="I186" t="inlineStr">
        <is>
          <t>unavailable</t>
        </is>
      </c>
      <c r="J186" s="4" t="n">
        <v>161</v>
      </c>
      <c r="K186" t="inlineStr">
        <is>
          <t>76 / 85</t>
        </is>
      </c>
      <c r="L186" t="inlineStr">
        <is>
          <t>30 / 29</t>
        </is>
      </c>
      <c r="M186" s="5" t="n">
        <v>0.47</v>
      </c>
      <c r="N186" s="5" t="n">
        <v>0.51</v>
      </c>
    </row>
    <row r="187">
      <c r="A187" t="n">
        <v>186</v>
      </c>
      <c r="B187" t="n">
        <v>2015</v>
      </c>
      <c r="C187" t="inlineStr">
        <is>
          <t>Elina Wang</t>
        </is>
      </c>
      <c r="D187">
        <f>HYPERLINK("https://ota.tournamentsoftware.com/player-profile/D1A88E02-8A26-413B-866E-8A72948B268F", "Link")</f>
        <v/>
      </c>
      <c r="E187" s="3" t="n">
        <v>482.596</v>
      </c>
      <c r="F187" s="4" t="n">
        <v>20</v>
      </c>
      <c r="G187" t="inlineStr">
        <is>
          <t>Ontario Tennis Association</t>
        </is>
      </c>
      <c r="H187" t="inlineStr">
        <is>
          <t>Richmondhill Golf &amp; Country Club</t>
        </is>
      </c>
      <c r="I187" t="n">
        <v>30.5</v>
      </c>
      <c r="J187" s="4" t="n">
        <v>232</v>
      </c>
      <c r="K187" t="inlineStr">
        <is>
          <t>153 / 79</t>
        </is>
      </c>
      <c r="L187" t="inlineStr">
        <is>
          <t>36 / 14</t>
        </is>
      </c>
      <c r="M187" s="5" t="n">
        <v>0.66</v>
      </c>
      <c r="N187" s="5" t="n">
        <v>0.72</v>
      </c>
    </row>
    <row r="188">
      <c r="A188" t="n">
        <v>187</v>
      </c>
      <c r="B188" t="n">
        <v>2013</v>
      </c>
      <c r="C188" t="inlineStr">
        <is>
          <t>Alexandra Choe</t>
        </is>
      </c>
      <c r="D188">
        <f>HYPERLINK("https://ota.tournamentsoftware.com/player-profile/0BFF8F09-A612-40D9-B491-E305A472672B", "Link")</f>
        <v/>
      </c>
      <c r="E188" s="3" t="n">
        <v>481.947</v>
      </c>
      <c r="F188" s="4" t="n">
        <v>14</v>
      </c>
      <c r="G188" t="inlineStr">
        <is>
          <t>Ontario Tennis Association</t>
        </is>
      </c>
      <c r="H188" t="inlineStr">
        <is>
          <t>Joshua Creek Golf &amp; Tennis</t>
        </is>
      </c>
      <c r="I188" t="n">
        <v>30</v>
      </c>
      <c r="J188" s="4" t="n">
        <v>221</v>
      </c>
      <c r="K188" t="inlineStr">
        <is>
          <t>135 / 86</t>
        </is>
      </c>
      <c r="L188" t="inlineStr">
        <is>
          <t>8 / 4</t>
        </is>
      </c>
      <c r="M188" s="5" t="n">
        <v>0.61</v>
      </c>
      <c r="N188" s="5" t="n">
        <v>0.67</v>
      </c>
    </row>
    <row r="189">
      <c r="A189" t="n">
        <v>188</v>
      </c>
      <c r="B189" t="n">
        <v>2014</v>
      </c>
      <c r="C189" t="inlineStr">
        <is>
          <t>Anica Yachun Liu</t>
        </is>
      </c>
      <c r="D189">
        <f>HYPERLINK("https://ota.tournamentsoftware.com/player-profile/B58148E6-4895-4918-B4B6-ADFAA5FEE0D2", "Link")</f>
        <v/>
      </c>
      <c r="E189" s="3" t="n">
        <v>479.105</v>
      </c>
      <c r="F189" s="4" t="n">
        <v>23</v>
      </c>
      <c r="G189" t="inlineStr">
        <is>
          <t>Tennis Alberta</t>
        </is>
      </c>
      <c r="H189" t="inlineStr">
        <is>
          <t>Saville Community Sports Centre</t>
        </is>
      </c>
      <c r="I189" t="n">
        <v>29.4</v>
      </c>
      <c r="J189" s="4" t="n">
        <v>224</v>
      </c>
      <c r="K189" t="inlineStr">
        <is>
          <t>111 / 113</t>
        </is>
      </c>
      <c r="L189" t="inlineStr">
        <is>
          <t>30 / 35</t>
        </is>
      </c>
      <c r="M189" s="5" t="n">
        <v>0.5</v>
      </c>
      <c r="N189" s="5" t="n">
        <v>0.46</v>
      </c>
    </row>
    <row r="190">
      <c r="A190" t="n">
        <v>189</v>
      </c>
      <c r="B190" t="n">
        <v>2013</v>
      </c>
      <c r="C190" t="inlineStr">
        <is>
          <t>Juliana Sophie Ho</t>
        </is>
      </c>
      <c r="D190">
        <f>HYPERLINK("https://ota.tournamentsoftware.com/player-profile/D79AC720-EA55-42CC-ACCB-558E5C86D00C", "Link")</f>
        <v/>
      </c>
      <c r="E190" s="3" t="n">
        <v>468.722</v>
      </c>
      <c r="F190" s="4" t="n">
        <v>29</v>
      </c>
      <c r="G190" t="inlineStr">
        <is>
          <t>Ontario Tennis Association</t>
        </is>
      </c>
      <c r="H190" t="inlineStr">
        <is>
          <t>Ontario Racquet Club</t>
        </is>
      </c>
      <c r="I190" t="n">
        <v>32.3</v>
      </c>
      <c r="J190" s="4" t="n">
        <v>143</v>
      </c>
      <c r="K190" t="inlineStr">
        <is>
          <t>73 / 70</t>
        </is>
      </c>
      <c r="L190" t="inlineStr">
        <is>
          <t>21 / 19</t>
        </is>
      </c>
      <c r="M190" s="5" t="n">
        <v>0.51</v>
      </c>
      <c r="N190" s="5" t="n">
        <v>0.53</v>
      </c>
    </row>
    <row r="191">
      <c r="A191" t="n">
        <v>190</v>
      </c>
      <c r="B191" t="n">
        <v>2012</v>
      </c>
      <c r="C191" t="inlineStr">
        <is>
          <t>Izibeyle Bhopal</t>
        </is>
      </c>
      <c r="D191">
        <f>HYPERLINK("https://ota.tournamentsoftware.com/player-profile/E9C7A60A-D097-4925-9456-764C57DCF01A", "Link")</f>
        <v/>
      </c>
      <c r="E191" s="3" t="n">
        <v>468.448</v>
      </c>
      <c r="F191" s="4" t="n">
        <v>2</v>
      </c>
      <c r="G191" t="inlineStr">
        <is>
          <t>British Columbia</t>
        </is>
      </c>
      <c r="H191" t="inlineStr">
        <is>
          <t>Bear Mountain Tennis Centre</t>
        </is>
      </c>
      <c r="I191" t="n">
        <v>24.4</v>
      </c>
      <c r="J191" s="4" t="n">
        <v>64</v>
      </c>
      <c r="K191" t="inlineStr">
        <is>
          <t>39 / 25</t>
        </is>
      </c>
      <c r="L191" t="inlineStr">
        <is>
          <t>4 / 0</t>
        </is>
      </c>
      <c r="M191" s="5" t="n">
        <v>0.61</v>
      </c>
      <c r="N191" s="5" t="n">
        <v>1</v>
      </c>
    </row>
    <row r="192">
      <c r="A192" t="n">
        <v>191</v>
      </c>
      <c r="B192" t="n">
        <v>2014</v>
      </c>
      <c r="C192" t="inlineStr">
        <is>
          <t>Eva Larose</t>
        </is>
      </c>
      <c r="D192">
        <f>HYPERLINK("https://ota.tournamentsoftware.com/player-profile/BC2D4F14-515B-4F2A-AD3B-8DA03F3E5E5B", "Link")</f>
        <v/>
      </c>
      <c r="E192" s="3" t="n">
        <v>466.782</v>
      </c>
      <c r="F192" s="4" t="n">
        <v>22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165</v>
      </c>
      <c r="K192" t="inlineStr">
        <is>
          <t>96 / 69</t>
        </is>
      </c>
      <c r="L192" t="inlineStr">
        <is>
          <t>43 / 19</t>
        </is>
      </c>
      <c r="M192" s="5" t="n">
        <v>0.58</v>
      </c>
      <c r="N192" s="5" t="n">
        <v>0.6899999999999999</v>
      </c>
    </row>
    <row r="193">
      <c r="A193" t="n">
        <v>192</v>
      </c>
      <c r="B193" t="n">
        <v>2016</v>
      </c>
      <c r="C193" t="inlineStr">
        <is>
          <t>Alisha Goel</t>
        </is>
      </c>
      <c r="D193">
        <f>HYPERLINK("https://ota.tournamentsoftware.com/player-profile/7F9E9DD0-77A1-4F40-B2B5-C4B89592B089", "Link")</f>
        <v/>
      </c>
      <c r="E193" s="3" t="n">
        <v>459.47</v>
      </c>
      <c r="F193" s="4" t="n">
        <v>25</v>
      </c>
      <c r="G193" t="inlineStr">
        <is>
          <t>Ontario Tennis Association</t>
        </is>
      </c>
      <c r="H193" t="inlineStr">
        <is>
          <t>The Supreme Court Tennis Club</t>
        </is>
      </c>
      <c r="I193" t="n">
        <v>32.7</v>
      </c>
      <c r="J193" s="4" t="n">
        <v>182</v>
      </c>
      <c r="K193" t="inlineStr">
        <is>
          <t>123 / 59</t>
        </is>
      </c>
      <c r="L193" t="inlineStr">
        <is>
          <t>36 / 21</t>
        </is>
      </c>
      <c r="M193" s="5" t="n">
        <v>0.68</v>
      </c>
      <c r="N193" s="5" t="n">
        <v>0.63</v>
      </c>
    </row>
    <row r="194">
      <c r="A194" t="n">
        <v>193</v>
      </c>
      <c r="B194" t="n">
        <v>2012</v>
      </c>
      <c r="C194" t="inlineStr">
        <is>
          <t>MISHIKA SURESH BALAJI</t>
        </is>
      </c>
      <c r="D194">
        <f>HYPERLINK("https://ota.tournamentsoftware.com/player-profile/B11C615C-6BB8-4655-BCAA-370D01C186B1", "Link")</f>
        <v/>
      </c>
      <c r="E194" s="3" t="n">
        <v>448</v>
      </c>
      <c r="F194" s="4" t="n">
        <v>17</v>
      </c>
      <c r="G194" t="inlineStr">
        <is>
          <t>Tennis Nova Scotia</t>
        </is>
      </c>
      <c r="H194" t="inlineStr">
        <is>
          <t>Atlantic Tennis Centre</t>
        </is>
      </c>
      <c r="I194" t="n">
        <v>28.2</v>
      </c>
      <c r="J194" s="4" t="n">
        <v>171</v>
      </c>
      <c r="K194" t="inlineStr">
        <is>
          <t>89 / 82</t>
        </is>
      </c>
      <c r="L194" t="inlineStr">
        <is>
          <t>24 / 14</t>
        </is>
      </c>
      <c r="M194" s="5" t="n">
        <v>0.52</v>
      </c>
      <c r="N194" s="5" t="n">
        <v>0.63</v>
      </c>
    </row>
    <row r="195">
      <c r="A195" t="n">
        <v>194</v>
      </c>
      <c r="B195" t="n">
        <v>2013</v>
      </c>
      <c r="C195" t="inlineStr">
        <is>
          <t>Bianca Bordogna</t>
        </is>
      </c>
      <c r="D195">
        <f>HYPERLINK("https://ota.tournamentsoftware.com/player-profile/71A0B4E7-3A92-4F64-82D6-42A032600DC7", "Link")</f>
        <v/>
      </c>
      <c r="E195" s="3" t="n">
        <v>447.08</v>
      </c>
      <c r="F195" s="4" t="n">
        <v>15</v>
      </c>
      <c r="G195" t="inlineStr">
        <is>
          <t>Ontario Tennis Association</t>
        </is>
      </c>
      <c r="H195" t="inlineStr">
        <is>
          <t>Carleton Tennis Centre</t>
        </is>
      </c>
      <c r="I195" t="n">
        <v>31.5</v>
      </c>
      <c r="J195" s="4" t="n">
        <v>110</v>
      </c>
      <c r="K195" t="inlineStr">
        <is>
          <t>57 / 53</t>
        </is>
      </c>
      <c r="L195" t="inlineStr">
        <is>
          <t>14 / 13</t>
        </is>
      </c>
      <c r="M195" s="5" t="n">
        <v>0.52</v>
      </c>
      <c r="N195" s="5" t="n">
        <v>0.52</v>
      </c>
    </row>
    <row r="196">
      <c r="A196" t="n">
        <v>195</v>
      </c>
      <c r="B196" t="n">
        <v>2015</v>
      </c>
      <c r="C196" t="inlineStr">
        <is>
          <t>Sunandita Pal</t>
        </is>
      </c>
      <c r="D196">
        <f>HYPERLINK("https://ota.tournamentsoftware.com/player-profile/10185E41-C6E2-4C6A-9A47-A3AF6C77F2A4", "Link")</f>
        <v/>
      </c>
      <c r="E196" s="3" t="n">
        <v>444.977</v>
      </c>
      <c r="F196" s="4" t="n">
        <v>27</v>
      </c>
      <c r="G196" t="inlineStr">
        <is>
          <t>Ontario Tennis Association</t>
        </is>
      </c>
      <c r="H196" t="inlineStr">
        <is>
          <t>No Club</t>
        </is>
      </c>
      <c r="I196" t="n">
        <v>32.8</v>
      </c>
      <c r="J196" s="4" t="n">
        <v>236</v>
      </c>
      <c r="K196" t="inlineStr">
        <is>
          <t>112 / 124</t>
        </is>
      </c>
      <c r="L196" t="inlineStr">
        <is>
          <t>28 / 23</t>
        </is>
      </c>
      <c r="M196" s="5" t="n">
        <v>0.47</v>
      </c>
      <c r="N196" s="5" t="n">
        <v>0.55</v>
      </c>
    </row>
    <row r="197">
      <c r="A197" t="n">
        <v>196</v>
      </c>
      <c r="B197" t="n">
        <v>2013</v>
      </c>
      <c r="C197" t="inlineStr">
        <is>
          <t>Rihanna Kulyk</t>
        </is>
      </c>
      <c r="D197">
        <f>HYPERLINK("https://ota.tournamentsoftware.com/player-profile/6E1703BA-DB25-4B47-9BB7-314BDDCFDBAC", "Link")</f>
        <v/>
      </c>
      <c r="E197" s="3" t="n">
        <v>444.665</v>
      </c>
      <c r="F197" s="4" t="n">
        <v>24</v>
      </c>
      <c r="G197" t="inlineStr">
        <is>
          <t>Tennis Québec</t>
        </is>
      </c>
      <c r="H197" t="inlineStr">
        <is>
          <t>Tennis Ile- des- Soeurs</t>
        </is>
      </c>
      <c r="I197" t="inlineStr">
        <is>
          <t>unavailable</t>
        </is>
      </c>
      <c r="J197" s="4" t="n">
        <v>241</v>
      </c>
      <c r="K197" t="inlineStr">
        <is>
          <t>106 / 135</t>
        </is>
      </c>
      <c r="L197" t="inlineStr">
        <is>
          <t>13 / 21</t>
        </is>
      </c>
      <c r="M197" s="5" t="n">
        <v>0.44</v>
      </c>
      <c r="N197" s="5" t="n">
        <v>0.38</v>
      </c>
    </row>
    <row r="198">
      <c r="A198" t="n">
        <v>197</v>
      </c>
      <c r="B198" t="n">
        <v>2014</v>
      </c>
      <c r="C198" t="inlineStr">
        <is>
          <t>KENZA JERBI</t>
        </is>
      </c>
      <c r="D198">
        <f>HYPERLINK("https://ota.tournamentsoftware.com/player-profile/C6A8B859-96DA-46D9-A270-B08DA27DDE5C", "Link")</f>
        <v/>
      </c>
      <c r="E198" s="3" t="n">
        <v>442.895</v>
      </c>
      <c r="F198" s="4" t="n">
        <v>15</v>
      </c>
      <c r="G198" t="inlineStr">
        <is>
          <t>Tennis Québec</t>
        </is>
      </c>
      <c r="H198" t="inlineStr">
        <is>
          <t>Tennis Montréal Excellence</t>
        </is>
      </c>
      <c r="I198" t="n">
        <v>31.9</v>
      </c>
      <c r="J198" s="4" t="n">
        <v>108</v>
      </c>
      <c r="K198" t="inlineStr">
        <is>
          <t>65 / 43</t>
        </is>
      </c>
      <c r="L198" t="inlineStr">
        <is>
          <t>7 / 11</t>
        </is>
      </c>
      <c r="M198" s="5" t="n">
        <v>0.6</v>
      </c>
      <c r="N198" s="5" t="n">
        <v>0.39</v>
      </c>
    </row>
    <row r="199">
      <c r="A199" t="n">
        <v>198</v>
      </c>
      <c r="B199" t="n">
        <v>2012</v>
      </c>
      <c r="C199" t="inlineStr">
        <is>
          <t>Ella Zhao</t>
        </is>
      </c>
      <c r="D199">
        <f>HYPERLINK("https://ota.tournamentsoftware.com/player-profile/4CFC4B61-0F67-4AD7-8CC6-03CC7A224737", "Link")</f>
        <v/>
      </c>
      <c r="E199" s="3" t="n">
        <v>442.478</v>
      </c>
      <c r="F199" s="4" t="n">
        <v>9</v>
      </c>
      <c r="G199" t="inlineStr">
        <is>
          <t>British Columbia</t>
        </is>
      </c>
      <c r="H199" t="inlineStr">
        <is>
          <t>North Shore Winter Club</t>
        </is>
      </c>
      <c r="I199" t="n">
        <v>26.9</v>
      </c>
      <c r="J199" s="4" t="n">
        <v>121</v>
      </c>
      <c r="K199" t="inlineStr">
        <is>
          <t>89 / 32</t>
        </is>
      </c>
      <c r="L199" t="inlineStr">
        <is>
          <t>9 / 7</t>
        </is>
      </c>
      <c r="M199" s="5" t="n">
        <v>0.74</v>
      </c>
      <c r="N199" s="5" t="n">
        <v>0.5600000000000001</v>
      </c>
    </row>
    <row r="200">
      <c r="A200" t="n">
        <v>199</v>
      </c>
      <c r="B200" t="n">
        <v>2013</v>
      </c>
      <c r="C200" t="inlineStr">
        <is>
          <t>Audrey Yiyi Xu</t>
        </is>
      </c>
      <c r="D200">
        <f>HYPERLINK("https://ota.tournamentsoftware.com/player-profile/25D8C643-E3DC-418B-948B-22520C94F8E3", "Link")</f>
        <v/>
      </c>
      <c r="E200" s="3" t="n">
        <v>440.022</v>
      </c>
      <c r="F200" s="4" t="n">
        <v>21</v>
      </c>
      <c r="G200" t="inlineStr">
        <is>
          <t>Ontario Tennis Association</t>
        </is>
      </c>
      <c r="H200" t="inlineStr">
        <is>
          <t>Joshua Creek Golf &amp; Tennis</t>
        </is>
      </c>
      <c r="I200" t="n">
        <v>32.4</v>
      </c>
      <c r="J200" s="4" t="n">
        <v>141</v>
      </c>
      <c r="K200" t="inlineStr">
        <is>
          <t>61 / 80</t>
        </is>
      </c>
      <c r="L200" t="inlineStr">
        <is>
          <t>22 / 16</t>
        </is>
      </c>
      <c r="M200" s="5" t="n">
        <v>0.43</v>
      </c>
      <c r="N200" s="5" t="n">
        <v>0.58</v>
      </c>
    </row>
    <row r="201">
      <c r="A201" t="n">
        <v>200</v>
      </c>
      <c r="B201" t="n">
        <v>2014</v>
      </c>
      <c r="C201" t="inlineStr">
        <is>
          <t>Sara Liao</t>
        </is>
      </c>
      <c r="D201">
        <f>HYPERLINK("https://ota.tournamentsoftware.com/player-profile/A86A9BCB-375D-415C-BD04-3D7638B2F6E8", "Link")</f>
        <v/>
      </c>
      <c r="E201" s="3" t="n">
        <v>436.642</v>
      </c>
      <c r="F201" s="4" t="n">
        <v>35</v>
      </c>
      <c r="G201" t="inlineStr">
        <is>
          <t>Ontario Tennis Association</t>
        </is>
      </c>
      <c r="H201" t="inlineStr">
        <is>
          <t>Ontario Racquet Club</t>
        </is>
      </c>
      <c r="I201" t="n">
        <v>32.5</v>
      </c>
      <c r="J201" s="4" t="n">
        <v>122</v>
      </c>
      <c r="K201" t="inlineStr">
        <is>
          <t>60 / 62</t>
        </is>
      </c>
      <c r="L201" t="inlineStr">
        <is>
          <t>33 / 29</t>
        </is>
      </c>
      <c r="M201" s="5" t="n">
        <v>0.49</v>
      </c>
      <c r="N201" s="5" t="n">
        <v>0.53</v>
      </c>
    </row>
    <row r="202">
      <c r="A202" t="n">
        <v>201</v>
      </c>
      <c r="B202" t="n">
        <v>2015</v>
      </c>
      <c r="C202" t="inlineStr">
        <is>
          <t>Tina liu</t>
        </is>
      </c>
      <c r="D202">
        <f>HYPERLINK("https://ota.tournamentsoftware.com/player-profile/E7D1FBAC-8033-480E-A688-28CBCEF6D907", "Link")</f>
        <v/>
      </c>
      <c r="E202" s="3" t="n">
        <v>436.506</v>
      </c>
      <c r="F202" s="4" t="n">
        <v>28</v>
      </c>
      <c r="G202" t="inlineStr">
        <is>
          <t>Ontario Tennis Association</t>
        </is>
      </c>
      <c r="H202" t="inlineStr">
        <is>
          <t>No Club</t>
        </is>
      </c>
      <c r="I202" t="n">
        <v>32.6</v>
      </c>
      <c r="J202" s="4" t="n">
        <v>200</v>
      </c>
      <c r="K202" t="inlineStr">
        <is>
          <t>128 / 72</t>
        </is>
      </c>
      <c r="L202" t="inlineStr">
        <is>
          <t>32 / 19</t>
        </is>
      </c>
      <c r="M202" s="5" t="n">
        <v>0.64</v>
      </c>
      <c r="N202" s="5" t="n">
        <v>0.63</v>
      </c>
    </row>
    <row r="203">
      <c r="A203" t="n">
        <v>202</v>
      </c>
      <c r="B203" t="n">
        <v>2014</v>
      </c>
      <c r="C203" t="inlineStr">
        <is>
          <t>Maeva Cantin</t>
        </is>
      </c>
      <c r="D203">
        <f>HYPERLINK("https://ota.tournamentsoftware.com/player-profile/B46D6374-4A68-4FB0-8516-4056AFA1047A", "Link")</f>
        <v/>
      </c>
      <c r="E203" s="3" t="n">
        <v>433.008</v>
      </c>
      <c r="F203" s="4" t="n">
        <v>17</v>
      </c>
      <c r="G203" t="inlineStr">
        <is>
          <t>Tennis Québec</t>
        </is>
      </c>
      <c r="H203" t="inlineStr">
        <is>
          <t>Centre récréatif de Repentigny / Académie Tennis Momentum</t>
        </is>
      </c>
      <c r="I203" t="n">
        <v>30.7</v>
      </c>
      <c r="J203" s="4" t="n">
        <v>152</v>
      </c>
      <c r="K203" t="inlineStr">
        <is>
          <t>82 / 70</t>
        </is>
      </c>
      <c r="L203" t="inlineStr">
        <is>
          <t>29 / 17</t>
        </is>
      </c>
      <c r="M203" s="5" t="n">
        <v>0.54</v>
      </c>
      <c r="N203" s="5" t="n">
        <v>0.63</v>
      </c>
    </row>
    <row r="204">
      <c r="A204" t="n">
        <v>203</v>
      </c>
      <c r="B204" t="n">
        <v>2013</v>
      </c>
      <c r="C204" t="inlineStr">
        <is>
          <t>Rosemarie Gagnon</t>
        </is>
      </c>
      <c r="D204">
        <f>HYPERLINK("https://ota.tournamentsoftware.com/player-profile/55A370D6-4FAD-414D-9E3D-2889C644855A", "Link")</f>
        <v/>
      </c>
      <c r="E204" s="3" t="n">
        <v>429.244</v>
      </c>
      <c r="F204" s="4" t="n">
        <v>22</v>
      </c>
      <c r="G204" t="inlineStr">
        <is>
          <t>Tennis Québec</t>
        </is>
      </c>
      <c r="H204" t="inlineStr">
        <is>
          <t>Club de tennis intérieur Saguenay / École de tennis Delisle-Poirel</t>
        </is>
      </c>
      <c r="I204" t="n">
        <v>32.2</v>
      </c>
      <c r="J204" s="4" t="n">
        <v>112</v>
      </c>
      <c r="K204" t="inlineStr">
        <is>
          <t>50 / 62</t>
        </is>
      </c>
      <c r="L204" t="inlineStr">
        <is>
          <t>12 / 17</t>
        </is>
      </c>
      <c r="M204" s="5" t="n">
        <v>0.45</v>
      </c>
      <c r="N204" s="5" t="n">
        <v>0.41</v>
      </c>
    </row>
    <row r="205">
      <c r="A205" t="n">
        <v>204</v>
      </c>
      <c r="B205" t="n">
        <v>2012</v>
      </c>
      <c r="C205" t="inlineStr">
        <is>
          <t>Milena Mavrin</t>
        </is>
      </c>
      <c r="D205">
        <f>HYPERLINK("https://ota.tournamentsoftware.com/player-profile/E6DED1E8-57C3-4627-8D59-94A636610A6B", "Link")</f>
        <v/>
      </c>
      <c r="E205" s="3" t="n">
        <v>427.8</v>
      </c>
      <c r="F205" s="4" t="n">
        <v>26</v>
      </c>
      <c r="G205" t="inlineStr">
        <is>
          <t>Ontario Tennis Association</t>
        </is>
      </c>
      <c r="H205" t="inlineStr">
        <is>
          <t>Blackmore Tennis Club</t>
        </is>
      </c>
      <c r="I205" t="n">
        <v>31.9</v>
      </c>
      <c r="J205" s="4" t="n">
        <v>78</v>
      </c>
      <c r="K205" t="inlineStr">
        <is>
          <t>36 / 42</t>
        </is>
      </c>
      <c r="L205" t="inlineStr">
        <is>
          <t>28 / 22</t>
        </is>
      </c>
      <c r="M205" s="5" t="n">
        <v>0.46</v>
      </c>
      <c r="N205" s="5" t="n">
        <v>0.5600000000000001</v>
      </c>
    </row>
    <row r="206">
      <c r="A206" t="n">
        <v>205</v>
      </c>
      <c r="B206" t="n">
        <v>2012</v>
      </c>
      <c r="C206" t="inlineStr">
        <is>
          <t>Tiffany Ren Jun Cao</t>
        </is>
      </c>
      <c r="D206">
        <f>HYPERLINK("https://ota.tournamentsoftware.com/player-profile/07B17DA5-DD47-4C90-B575-478C58AD7465", "Link")</f>
        <v/>
      </c>
      <c r="E206" s="3" t="n">
        <v>426.413</v>
      </c>
      <c r="F206" s="4" t="n">
        <v>21</v>
      </c>
      <c r="G206" t="inlineStr">
        <is>
          <t>British Columbia</t>
        </is>
      </c>
      <c r="H206" t="inlineStr">
        <is>
          <t>Richmond Country Club</t>
        </is>
      </c>
      <c r="I206" t="n">
        <v>29.8</v>
      </c>
      <c r="J206" s="4" t="n">
        <v>207</v>
      </c>
      <c r="K206" t="inlineStr">
        <is>
          <t>105 / 102</t>
        </is>
      </c>
      <c r="L206" t="inlineStr">
        <is>
          <t>18 / 22</t>
        </is>
      </c>
      <c r="M206" s="5" t="n">
        <v>0.51</v>
      </c>
      <c r="N206" s="5" t="n">
        <v>0.45</v>
      </c>
    </row>
    <row r="207">
      <c r="A207" t="n">
        <v>206</v>
      </c>
      <c r="B207" t="n">
        <v>2014</v>
      </c>
      <c r="C207" t="inlineStr">
        <is>
          <t>Katelyn Li</t>
        </is>
      </c>
      <c r="D207">
        <f>HYPERLINK("https://ota.tournamentsoftware.com/player-profile/4A74B151-256A-40ED-9F9D-F00036EDD0A5", "Link")</f>
        <v/>
      </c>
      <c r="E207" s="3" t="n">
        <v>419.141</v>
      </c>
      <c r="F207" s="4" t="n">
        <v>24</v>
      </c>
      <c r="G207" t="inlineStr">
        <is>
          <t>Ontario Tennis Association</t>
        </is>
      </c>
      <c r="H207" t="inlineStr">
        <is>
          <t>Burlington Hall Sporting Club</t>
        </is>
      </c>
      <c r="I207" t="inlineStr">
        <is>
          <t>unavailable</t>
        </is>
      </c>
      <c r="J207" s="4" t="n">
        <v>135</v>
      </c>
      <c r="K207" t="inlineStr">
        <is>
          <t>63 / 72</t>
        </is>
      </c>
      <c r="L207" t="inlineStr">
        <is>
          <t>22 / 22</t>
        </is>
      </c>
      <c r="M207" s="5" t="n">
        <v>0.47</v>
      </c>
      <c r="N207" s="5" t="n">
        <v>0.5</v>
      </c>
    </row>
    <row r="208">
      <c r="A208" t="n">
        <v>207</v>
      </c>
      <c r="B208" t="n">
        <v>2014</v>
      </c>
      <c r="C208" t="inlineStr">
        <is>
          <t>Erin Yida Li</t>
        </is>
      </c>
      <c r="D208">
        <f>HYPERLINK("https://ota.tournamentsoftware.com/player-profile/48592A27-18BE-4C04-BE24-73F536B6D5D5", "Link")</f>
        <v/>
      </c>
      <c r="E208" s="3" t="n">
        <v>416.184</v>
      </c>
      <c r="F208" s="4" t="n">
        <v>21</v>
      </c>
      <c r="G208" t="inlineStr">
        <is>
          <t>Ontario Tennis Association</t>
        </is>
      </c>
      <c r="H208" t="inlineStr">
        <is>
          <t>Richmondhill Golf &amp; Country Club</t>
        </is>
      </c>
      <c r="I208" t="n">
        <v>32.3</v>
      </c>
      <c r="J208" s="4" t="n">
        <v>88</v>
      </c>
      <c r="K208" t="inlineStr">
        <is>
          <t>44 / 44</t>
        </is>
      </c>
      <c r="L208" t="inlineStr">
        <is>
          <t>21 / 19</t>
        </is>
      </c>
      <c r="M208" s="5" t="n">
        <v>0.5</v>
      </c>
      <c r="N208" s="5" t="n">
        <v>0.53</v>
      </c>
    </row>
    <row r="209">
      <c r="A209" t="n">
        <v>208</v>
      </c>
      <c r="B209" t="n">
        <v>2014</v>
      </c>
      <c r="C209" t="inlineStr">
        <is>
          <t>Sophia Pavlovska</t>
        </is>
      </c>
      <c r="D209">
        <f>HYPERLINK("https://ota.tournamentsoftware.com/player-profile/5C58F1EE-F291-431D-AC00-FB9096274E0A", "Link")</f>
        <v/>
      </c>
      <c r="E209" s="3" t="n">
        <v>413.785</v>
      </c>
      <c r="F209" s="4" t="n">
        <v>13</v>
      </c>
      <c r="G209" t="inlineStr">
        <is>
          <t>Tennis New Brunswick</t>
        </is>
      </c>
      <c r="H209" t="inlineStr">
        <is>
          <t>Dieppe</t>
        </is>
      </c>
      <c r="I209" t="n">
        <v>32.4</v>
      </c>
      <c r="J209" s="4" t="n">
        <v>178</v>
      </c>
      <c r="K209" t="inlineStr">
        <is>
          <t>66 / 112</t>
        </is>
      </c>
      <c r="L209" t="inlineStr">
        <is>
          <t>18 / 17</t>
        </is>
      </c>
      <c r="M209" s="5" t="n">
        <v>0.37</v>
      </c>
      <c r="N209" s="5" t="n">
        <v>0.51</v>
      </c>
    </row>
    <row r="210">
      <c r="A210" t="n">
        <v>209</v>
      </c>
      <c r="B210" t="n">
        <v>2013</v>
      </c>
      <c r="C210" t="inlineStr">
        <is>
          <t>Isidora Trkulja</t>
        </is>
      </c>
      <c r="D210">
        <f>HYPERLINK("https://ota.tournamentsoftware.com/player-profile/1A3F3EE8-FB93-483C-A52C-E761E6FA42CE", "Link")</f>
        <v/>
      </c>
      <c r="E210" s="3" t="n">
        <v>413.395</v>
      </c>
      <c r="F210" s="4" t="n">
        <v>8</v>
      </c>
      <c r="G210" t="inlineStr">
        <is>
          <t>Tennis Alberta</t>
        </is>
      </c>
      <c r="H210" t="inlineStr">
        <is>
          <t>Saville Community Sports Centre</t>
        </is>
      </c>
      <c r="I210" t="n">
        <v>26.2</v>
      </c>
      <c r="J210" s="4" t="n">
        <v>194</v>
      </c>
      <c r="K210" t="inlineStr">
        <is>
          <t>125 / 69</t>
        </is>
      </c>
      <c r="L210" t="inlineStr">
        <is>
          <t>8 / 6</t>
        </is>
      </c>
      <c r="M210" s="5" t="n">
        <v>0.64</v>
      </c>
      <c r="N210" s="5" t="n">
        <v>0.57</v>
      </c>
    </row>
    <row r="211">
      <c r="A211" t="n">
        <v>210</v>
      </c>
      <c r="B211" t="n">
        <v>2013</v>
      </c>
      <c r="C211" t="inlineStr">
        <is>
          <t>Coralie D'Amours</t>
        </is>
      </c>
      <c r="D211">
        <f>HYPERLINK("https://ota.tournamentsoftware.com/player-profile/35A6230C-9F9D-4861-B1DB-6367FB38A039", "Link")</f>
        <v/>
      </c>
      <c r="E211" s="3" t="n">
        <v>408.39</v>
      </c>
      <c r="F211" s="4" t="n">
        <v>16</v>
      </c>
      <c r="G211" t="inlineStr">
        <is>
          <t>Ontario Tennis Association</t>
        </is>
      </c>
      <c r="H211" t="inlineStr">
        <is>
          <t>Rideau Sports Centre</t>
        </is>
      </c>
      <c r="I211" t="n">
        <v>32.9</v>
      </c>
      <c r="J211" s="4" t="n">
        <v>62</v>
      </c>
      <c r="K211" t="inlineStr">
        <is>
          <t>22 / 40</t>
        </is>
      </c>
      <c r="L211" t="inlineStr">
        <is>
          <t>14 / 18</t>
        </is>
      </c>
      <c r="M211" s="5" t="n">
        <v>0.35</v>
      </c>
      <c r="N211" s="5" t="n">
        <v>0.44</v>
      </c>
    </row>
    <row r="212">
      <c r="A212" t="n">
        <v>211</v>
      </c>
      <c r="B212" t="n">
        <v>2013</v>
      </c>
      <c r="C212" t="inlineStr">
        <is>
          <t>Arya Kaur Dhillon</t>
        </is>
      </c>
      <c r="D212">
        <f>HYPERLINK("https://ota.tournamentsoftware.com/player-profile/3DBC0BDE-C3D6-40A5-992E-F7274098EF5D", "Link")</f>
        <v/>
      </c>
      <c r="E212" s="3" t="n">
        <v>405.446</v>
      </c>
      <c r="F212" s="4" t="n">
        <v>18</v>
      </c>
      <c r="G212" t="inlineStr">
        <is>
          <t>Tennis Alberta</t>
        </is>
      </c>
      <c r="H212" t="inlineStr">
        <is>
          <t>Saville Community Sports Centre</t>
        </is>
      </c>
      <c r="I212" t="n">
        <v>29.5</v>
      </c>
      <c r="J212" s="4" t="n">
        <v>173</v>
      </c>
      <c r="K212" t="inlineStr">
        <is>
          <t>85 / 88</t>
        </is>
      </c>
      <c r="L212" t="inlineStr">
        <is>
          <t>23 / 20</t>
        </is>
      </c>
      <c r="M212" s="5" t="n">
        <v>0.49</v>
      </c>
      <c r="N212" s="5" t="n">
        <v>0.53</v>
      </c>
    </row>
    <row r="213">
      <c r="A213" t="n">
        <v>212</v>
      </c>
      <c r="B213" t="n">
        <v>2014</v>
      </c>
      <c r="C213" t="inlineStr">
        <is>
          <t>Ema Zonjic</t>
        </is>
      </c>
      <c r="D213">
        <f>HYPERLINK("https://ota.tournamentsoftware.com/player-profile/42A43C76-E08F-4134-B876-2E9D05859D92", "Link")</f>
        <v/>
      </c>
      <c r="E213" s="3" t="n">
        <v>401.725</v>
      </c>
      <c r="F213" s="4" t="n">
        <v>26</v>
      </c>
      <c r="G213" t="inlineStr">
        <is>
          <t>Ontario Tennis Association</t>
        </is>
      </c>
      <c r="H213" t="inlineStr">
        <is>
          <t>Rideau Sports Centre</t>
        </is>
      </c>
      <c r="I213" t="n">
        <v>30.8</v>
      </c>
      <c r="J213" s="4" t="n">
        <v>190</v>
      </c>
      <c r="K213" t="inlineStr">
        <is>
          <t>109 / 81</t>
        </is>
      </c>
      <c r="L213" t="inlineStr">
        <is>
          <t>41 / 24</t>
        </is>
      </c>
      <c r="M213" s="5" t="n">
        <v>0.57</v>
      </c>
      <c r="N213" s="5" t="n">
        <v>0.63</v>
      </c>
    </row>
    <row r="214">
      <c r="A214" t="n">
        <v>213</v>
      </c>
      <c r="B214" t="n">
        <v>2013</v>
      </c>
      <c r="C214" t="inlineStr">
        <is>
          <t>Rachel Daniel</t>
        </is>
      </c>
      <c r="D214">
        <f>HYPERLINK("https://ota.tournamentsoftware.com/player-profile/C70279D5-586C-4A9D-94CC-EB9551085FF4", "Link")</f>
        <v/>
      </c>
      <c r="E214" s="3" t="n">
        <v>398.854</v>
      </c>
      <c r="F214" s="4" t="n">
        <v>19</v>
      </c>
      <c r="G214" t="inlineStr">
        <is>
          <t>Ontario Tennis Association</t>
        </is>
      </c>
      <c r="H214" t="inlineStr">
        <is>
          <t>Advantage Tennis International at Veneto</t>
        </is>
      </c>
      <c r="I214" t="n">
        <v>32.8</v>
      </c>
      <c r="J214" s="4" t="n">
        <v>100</v>
      </c>
      <c r="K214" t="inlineStr">
        <is>
          <t>39 / 61</t>
        </is>
      </c>
      <c r="L214" t="inlineStr">
        <is>
          <t>9 / 12</t>
        </is>
      </c>
      <c r="M214" s="5" t="n">
        <v>0.39</v>
      </c>
      <c r="N214" s="5" t="n">
        <v>0.43</v>
      </c>
    </row>
    <row r="215">
      <c r="A215" t="n">
        <v>214</v>
      </c>
      <c r="B215" t="n">
        <v>2012</v>
      </c>
      <c r="C215" t="inlineStr">
        <is>
          <t>Victoria Perez Vargas</t>
        </is>
      </c>
      <c r="D215">
        <f>HYPERLINK("https://ota.tournamentsoftware.com/player-profile/6649B15F-628D-4ED7-81D6-AEB9036DF19A", "Link")</f>
        <v/>
      </c>
      <c r="E215" s="3" t="n">
        <v>396.088</v>
      </c>
      <c r="F215" s="4" t="n">
        <v>25</v>
      </c>
      <c r="G215" t="inlineStr">
        <is>
          <t>Tennis Québec</t>
        </is>
      </c>
      <c r="H215" t="inlineStr">
        <is>
          <t>Centre récréatif de Repentigny / Académie Tennis Momentum</t>
        </is>
      </c>
      <c r="I215" t="n">
        <v>32.3</v>
      </c>
      <c r="J215" s="4" t="n">
        <v>109</v>
      </c>
      <c r="K215" t="inlineStr">
        <is>
          <t>55 / 54</t>
        </is>
      </c>
      <c r="L215" t="inlineStr">
        <is>
          <t>30 / 17</t>
        </is>
      </c>
      <c r="M215" s="5" t="n">
        <v>0.5</v>
      </c>
      <c r="N215" s="5" t="n">
        <v>0.64</v>
      </c>
    </row>
    <row r="216">
      <c r="A216" t="n">
        <v>215</v>
      </c>
      <c r="B216" t="n">
        <v>2013</v>
      </c>
      <c r="C216" t="inlineStr">
        <is>
          <t>Élisabeth Circé</t>
        </is>
      </c>
      <c r="D216">
        <f>HYPERLINK("https://ota.tournamentsoftware.com/player-profile/6616439A-F3CD-4D57-876F-DCE4AC4B88C9", "Link")</f>
        <v/>
      </c>
      <c r="E216" s="3" t="n">
        <v>392.873</v>
      </c>
      <c r="F216" s="4" t="n">
        <v>27</v>
      </c>
      <c r="G216" t="inlineStr">
        <is>
          <t>Tennis Québec</t>
        </is>
      </c>
      <c r="H216" t="inlineStr">
        <is>
          <t>Tennis Interclub Piedmont</t>
        </is>
      </c>
      <c r="I216" t="inlineStr">
        <is>
          <t>unavailable</t>
        </is>
      </c>
      <c r="J216" s="4" t="n">
        <v>148</v>
      </c>
      <c r="K216" t="inlineStr">
        <is>
          <t>49 / 99</t>
        </is>
      </c>
      <c r="L216" t="inlineStr">
        <is>
          <t>15 / 23</t>
        </is>
      </c>
      <c r="M216" s="5" t="n">
        <v>0.33</v>
      </c>
      <c r="N216" s="5" t="n">
        <v>0.39</v>
      </c>
    </row>
    <row r="217">
      <c r="A217" t="n">
        <v>216</v>
      </c>
      <c r="B217" t="n">
        <v>2014</v>
      </c>
      <c r="C217" t="inlineStr">
        <is>
          <t>Isabella Quintero-Gonzalez</t>
        </is>
      </c>
      <c r="D217">
        <f>HYPERLINK("https://ota.tournamentsoftware.com/player-profile/7215E114-BC9E-4292-9B97-03B766DB64EA", "Link")</f>
        <v/>
      </c>
      <c r="E217" s="3" t="n">
        <v>392.276</v>
      </c>
      <c r="F217" s="4" t="n">
        <v>13</v>
      </c>
      <c r="G217" t="inlineStr">
        <is>
          <t>Tennis Nova Scotia</t>
        </is>
      </c>
      <c r="H217" t="inlineStr">
        <is>
          <t>Atlantic Tennis Centre</t>
        </is>
      </c>
      <c r="I217" t="n">
        <v>32.1</v>
      </c>
      <c r="J217" s="4" t="n">
        <v>130</v>
      </c>
      <c r="K217" t="inlineStr">
        <is>
          <t>66 / 64</t>
        </is>
      </c>
      <c r="L217" t="inlineStr">
        <is>
          <t>30 / 24</t>
        </is>
      </c>
      <c r="M217" s="5" t="n">
        <v>0.51</v>
      </c>
      <c r="N217" s="5" t="n">
        <v>0.5600000000000001</v>
      </c>
    </row>
    <row r="218">
      <c r="A218" t="n">
        <v>217</v>
      </c>
      <c r="B218" t="n">
        <v>2015</v>
      </c>
      <c r="C218" t="inlineStr">
        <is>
          <t>Mila Caporusso</t>
        </is>
      </c>
      <c r="D218">
        <f>HYPERLINK("https://ota.tournamentsoftware.com/player-profile/71A1C940-3E73-49DA-929B-3B90328FC4BC", "Link")</f>
        <v/>
      </c>
      <c r="E218" s="3" t="n">
        <v>392.138</v>
      </c>
      <c r="F218" s="4" t="n">
        <v>9</v>
      </c>
      <c r="G218" t="inlineStr">
        <is>
          <t>Tennis Québec</t>
        </is>
      </c>
      <c r="H218" t="inlineStr">
        <is>
          <t>Tennis 13 / Académie Ménard et associé</t>
        </is>
      </c>
      <c r="I218" t="n">
        <v>30.7</v>
      </c>
      <c r="J218" s="4" t="n">
        <v>112</v>
      </c>
      <c r="K218" t="inlineStr">
        <is>
          <t>73 / 39</t>
        </is>
      </c>
      <c r="L218" t="inlineStr">
        <is>
          <t>11 / 11</t>
        </is>
      </c>
      <c r="M218" s="5" t="n">
        <v>0.65</v>
      </c>
      <c r="N218" s="5" t="n">
        <v>0.5</v>
      </c>
    </row>
    <row r="219">
      <c r="A219" t="n">
        <v>218</v>
      </c>
      <c r="B219" t="n">
        <v>2013</v>
      </c>
      <c r="C219" t="inlineStr">
        <is>
          <t>Ria Tamber</t>
        </is>
      </c>
      <c r="D219">
        <f>HYPERLINK("https://ota.tournamentsoftware.com/player-profile/4A086BBB-EEC2-48A4-BDDA-142D9D4A3534", "Link")</f>
        <v/>
      </c>
      <c r="E219" s="3" t="n">
        <v>391.555</v>
      </c>
      <c r="F219" s="4" t="n">
        <v>25</v>
      </c>
      <c r="G219" t="inlineStr">
        <is>
          <t>Ontario Tennis Association</t>
        </is>
      </c>
      <c r="H219" t="inlineStr">
        <is>
          <t>Premier Racquet Clubs – Mississauga</t>
        </is>
      </c>
      <c r="I219" t="inlineStr">
        <is>
          <t>unavailable</t>
        </is>
      </c>
      <c r="J219" s="4" t="n">
        <v>101</v>
      </c>
      <c r="K219" t="inlineStr">
        <is>
          <t>44 / 57</t>
        </is>
      </c>
      <c r="L219" t="inlineStr">
        <is>
          <t>17 / 17</t>
        </is>
      </c>
      <c r="M219" s="5" t="n">
        <v>0.44</v>
      </c>
      <c r="N219" s="5" t="n">
        <v>0.5</v>
      </c>
    </row>
    <row r="220">
      <c r="A220" t="n">
        <v>219</v>
      </c>
      <c r="B220" t="n">
        <v>2014</v>
      </c>
      <c r="C220" t="inlineStr">
        <is>
          <t>Olivia Zhang</t>
        </is>
      </c>
      <c r="D220">
        <f>HYPERLINK("https://ota.tournamentsoftware.com/player-profile/8A1E61A8-3535-4F88-8C90-68A511D75AC2", "Link")</f>
        <v/>
      </c>
      <c r="E220" s="3" t="n">
        <v>388.8</v>
      </c>
      <c r="F220" s="4" t="n">
        <v>20</v>
      </c>
      <c r="G220" t="inlineStr">
        <is>
          <t>Ontario Tennis Association</t>
        </is>
      </c>
      <c r="H220" t="inlineStr">
        <is>
          <t>Richmondhill Golf &amp; Country Club</t>
        </is>
      </c>
      <c r="I220" t="n">
        <v>30.4</v>
      </c>
      <c r="J220" s="4" t="n">
        <v>102</v>
      </c>
      <c r="K220" t="inlineStr">
        <is>
          <t>61 / 41</t>
        </is>
      </c>
      <c r="L220" t="inlineStr">
        <is>
          <t>30 / 18</t>
        </is>
      </c>
      <c r="M220" s="5" t="n">
        <v>0.6</v>
      </c>
      <c r="N220" s="5" t="n">
        <v>0.62</v>
      </c>
    </row>
    <row r="221">
      <c r="A221" t="n">
        <v>220</v>
      </c>
      <c r="B221" t="n">
        <v>2012</v>
      </c>
      <c r="C221" t="inlineStr">
        <is>
          <t>Aliya Star Michel</t>
        </is>
      </c>
      <c r="D221">
        <f>HYPERLINK("https://ota.tournamentsoftware.com/player-profile/B34E6AA6-2962-4DB5-93DB-BCA4DBF97316", "Link")</f>
        <v/>
      </c>
      <c r="E221" s="3" t="n">
        <v>386.865</v>
      </c>
      <c r="F221" s="4" t="n">
        <v>6</v>
      </c>
      <c r="G221" t="inlineStr">
        <is>
          <t>Tennis Québec</t>
        </is>
      </c>
      <c r="H221" t="inlineStr">
        <is>
          <t>Carrefour Multisports</t>
        </is>
      </c>
      <c r="I221" t="n">
        <v>30</v>
      </c>
      <c r="J221" s="4" t="n">
        <v>184</v>
      </c>
      <c r="K221" t="inlineStr">
        <is>
          <t>96 / 88</t>
        </is>
      </c>
      <c r="L221" t="inlineStr">
        <is>
          <t>2 / 2</t>
        </is>
      </c>
      <c r="M221" s="5" t="n">
        <v>0.52</v>
      </c>
      <c r="N221" s="5" t="n">
        <v>0.5</v>
      </c>
    </row>
    <row r="222">
      <c r="A222" t="n">
        <v>221</v>
      </c>
      <c r="B222" t="n">
        <v>2013</v>
      </c>
      <c r="C222" t="inlineStr">
        <is>
          <t>EMMA ANTONIA DOBREAN</t>
        </is>
      </c>
      <c r="D222">
        <f>HYPERLINK("https://ota.tournamentsoftware.com/player-profile/A556E1FC-8159-42C1-A5DB-35375535B6F4", "Link")</f>
        <v/>
      </c>
      <c r="E222" s="3" t="n">
        <v>386.415</v>
      </c>
      <c r="F222" s="4" t="n">
        <v>3</v>
      </c>
      <c r="G222" t="inlineStr">
        <is>
          <t>Ontario Tennis Association</t>
        </is>
      </c>
      <c r="H222" t="inlineStr">
        <is>
          <t>No Club</t>
        </is>
      </c>
      <c r="I222" t="inlineStr">
        <is>
          <t>unavailable</t>
        </is>
      </c>
      <c r="J222" s="4" t="n">
        <v>137</v>
      </c>
      <c r="K222" t="inlineStr">
        <is>
          <t>98 / 39</t>
        </is>
      </c>
      <c r="L222" t="inlineStr">
        <is>
          <t>2 / 3</t>
        </is>
      </c>
      <c r="M222" s="5" t="n">
        <v>0.72</v>
      </c>
      <c r="N222" s="5" t="n">
        <v>0.4</v>
      </c>
    </row>
    <row r="223">
      <c r="A223" t="n">
        <v>222</v>
      </c>
      <c r="B223" t="n">
        <v>2014</v>
      </c>
      <c r="C223" t="inlineStr">
        <is>
          <t>anne xie</t>
        </is>
      </c>
      <c r="D223">
        <f>HYPERLINK("https://ota.tournamentsoftware.com/player-profile/FA9126B9-8D97-4D5E-9E34-8893BB836AE1", "Link")</f>
        <v/>
      </c>
      <c r="E223" s="3" t="n">
        <v>378.598</v>
      </c>
      <c r="F223" s="4" t="n">
        <v>25</v>
      </c>
      <c r="G223" t="inlineStr">
        <is>
          <t>British Columbia</t>
        </is>
      </c>
      <c r="H223" t="inlineStr">
        <is>
          <t>North Vancouver Tennis Centre</t>
        </is>
      </c>
      <c r="I223" t="n">
        <v>29.2</v>
      </c>
      <c r="J223" s="4" t="n">
        <v>261</v>
      </c>
      <c r="K223" t="inlineStr">
        <is>
          <t>127 / 134</t>
        </is>
      </c>
      <c r="L223" t="inlineStr">
        <is>
          <t>30 / 26</t>
        </is>
      </c>
      <c r="M223" s="5" t="n">
        <v>0.49</v>
      </c>
      <c r="N223" s="5" t="n">
        <v>0.54</v>
      </c>
    </row>
    <row r="224">
      <c r="A224" t="n">
        <v>223</v>
      </c>
      <c r="B224" t="n">
        <v>2012</v>
      </c>
      <c r="C224" t="inlineStr">
        <is>
          <t>Trisha Singh</t>
        </is>
      </c>
      <c r="D224">
        <f>HYPERLINK("https://ota.tournamentsoftware.com/player-profile/CA831513-6963-4556-B8FD-4D148748EB19", "Link")</f>
        <v/>
      </c>
      <c r="E224" s="3" t="n">
        <v>369.855</v>
      </c>
      <c r="F224" s="4" t="n">
        <v>18</v>
      </c>
      <c r="G224" t="inlineStr">
        <is>
          <t>Ontario Tennis Association</t>
        </is>
      </c>
      <c r="H224" t="inlineStr">
        <is>
          <t>Rideau Sports Centre</t>
        </is>
      </c>
      <c r="I224" t="n">
        <v>31.5</v>
      </c>
      <c r="J224" s="4" t="n">
        <v>96</v>
      </c>
      <c r="K224" t="inlineStr">
        <is>
          <t>44 / 52</t>
        </is>
      </c>
      <c r="L224" t="inlineStr">
        <is>
          <t>12 / 18</t>
        </is>
      </c>
      <c r="M224" s="5" t="n">
        <v>0.46</v>
      </c>
      <c r="N224" s="5" t="n">
        <v>0.4</v>
      </c>
    </row>
    <row r="225">
      <c r="A225" t="n">
        <v>224</v>
      </c>
      <c r="B225" t="n">
        <v>2013</v>
      </c>
      <c r="C225" t="inlineStr">
        <is>
          <t>Noelle Coyne</t>
        </is>
      </c>
      <c r="D225">
        <f>HYPERLINK("https://ota.tournamentsoftware.com/player-profile/F9F10EB5-F22D-4997-85F1-78377170C70A", "Link")</f>
        <v/>
      </c>
      <c r="E225" s="3" t="n">
        <v>367.853</v>
      </c>
      <c r="F225" s="4" t="n">
        <v>26</v>
      </c>
      <c r="G225" t="inlineStr">
        <is>
          <t>Tennis Alberta</t>
        </is>
      </c>
      <c r="H225" t="inlineStr">
        <is>
          <t>Osten &amp; Victor Alberta Tennis Centre</t>
        </is>
      </c>
      <c r="I225" t="n">
        <v>31.9</v>
      </c>
      <c r="J225" s="4" t="n">
        <v>122</v>
      </c>
      <c r="K225" t="inlineStr">
        <is>
          <t>51 / 71</t>
        </is>
      </c>
      <c r="L225" t="inlineStr">
        <is>
          <t>23 / 32</t>
        </is>
      </c>
      <c r="M225" s="5" t="n">
        <v>0.42</v>
      </c>
      <c r="N225" s="5" t="n">
        <v>0.42</v>
      </c>
    </row>
    <row r="226">
      <c r="A226" t="n">
        <v>225</v>
      </c>
      <c r="B226" t="n">
        <v>2013</v>
      </c>
      <c r="C226" t="inlineStr">
        <is>
          <t>Mary Grace MacDonnell Doak</t>
        </is>
      </c>
      <c r="D226">
        <f>HYPERLINK("https://ota.tournamentsoftware.com/player-profile/7E3C3388-CB92-4FE9-B0C8-FE6415D966E4", "Link")</f>
        <v/>
      </c>
      <c r="E226" s="3" t="n">
        <v>366.079</v>
      </c>
      <c r="F226" s="4" t="n">
        <v>17</v>
      </c>
      <c r="G226" t="inlineStr">
        <is>
          <t>Ontario Tennis Association</t>
        </is>
      </c>
      <c r="H226" t="inlineStr">
        <is>
          <t>St. James Tennis Club</t>
        </is>
      </c>
      <c r="I226" t="n">
        <v>36.3</v>
      </c>
      <c r="J226" s="4" t="n">
        <v>146</v>
      </c>
      <c r="K226" t="inlineStr">
        <is>
          <t>69 / 77</t>
        </is>
      </c>
      <c r="L226" t="inlineStr">
        <is>
          <t>5 / 15</t>
        </is>
      </c>
      <c r="M226" s="5" t="n">
        <v>0.47</v>
      </c>
      <c r="N226" s="5" t="n">
        <v>0.25</v>
      </c>
    </row>
    <row r="227">
      <c r="A227" t="n">
        <v>226</v>
      </c>
      <c r="B227" t="n">
        <v>2012</v>
      </c>
      <c r="C227" t="inlineStr">
        <is>
          <t>Naomi Brown</t>
        </is>
      </c>
      <c r="D227">
        <f>HYPERLINK("https://ota.tournamentsoftware.com/player-profile/3302BB60-F05F-49BC-8E90-BE5B9A063576", "Link")</f>
        <v/>
      </c>
      <c r="E227" s="3" t="n">
        <v>349.554</v>
      </c>
      <c r="F227" s="4" t="n">
        <v>10</v>
      </c>
      <c r="G227" t="inlineStr">
        <is>
          <t>Ontario Tennis Association</t>
        </is>
      </c>
      <c r="H227" t="inlineStr">
        <is>
          <t>Milton Tennis Club</t>
        </is>
      </c>
      <c r="I227" t="inlineStr">
        <is>
          <t>unavailable</t>
        </is>
      </c>
      <c r="J227" s="4" t="n">
        <v>84</v>
      </c>
      <c r="K227" t="inlineStr">
        <is>
          <t>38 / 46</t>
        </is>
      </c>
      <c r="L227" t="inlineStr">
        <is>
          <t>10 / 8</t>
        </is>
      </c>
      <c r="M227" s="5" t="n">
        <v>0.45</v>
      </c>
      <c r="N227" s="5" t="n">
        <v>0.5600000000000001</v>
      </c>
    </row>
    <row r="228">
      <c r="A228" t="n">
        <v>227</v>
      </c>
      <c r="B228" t="n">
        <v>2014</v>
      </c>
      <c r="C228" t="inlineStr">
        <is>
          <t>Hailey Zhou</t>
        </is>
      </c>
      <c r="D228">
        <f>HYPERLINK("https://ota.tournamentsoftware.com/player-profile/3046278B-E91E-4DE6-B598-5CD7D202AA49", "Link")</f>
        <v/>
      </c>
      <c r="E228" s="3" t="n">
        <v>344.77</v>
      </c>
      <c r="F228" s="4" t="n">
        <v>38</v>
      </c>
      <c r="G228" t="inlineStr">
        <is>
          <t>Ontario Tennis Association</t>
        </is>
      </c>
      <c r="H228" t="inlineStr">
        <is>
          <t>Advantage Tennis International at Veneto</t>
        </is>
      </c>
      <c r="I228" t="n">
        <v>33.5</v>
      </c>
      <c r="J228" s="4" t="n">
        <v>88</v>
      </c>
      <c r="K228" t="inlineStr">
        <is>
          <t>44 / 44</t>
        </is>
      </c>
      <c r="L228" t="inlineStr">
        <is>
          <t>34 / 32</t>
        </is>
      </c>
      <c r="M228" s="5" t="n">
        <v>0.5</v>
      </c>
      <c r="N228" s="5" t="n">
        <v>0.52</v>
      </c>
    </row>
    <row r="229">
      <c r="A229" t="n">
        <v>228</v>
      </c>
      <c r="B229" t="n">
        <v>2012</v>
      </c>
      <c r="C229" t="inlineStr">
        <is>
          <t>Sneha Sahiba Bhatti</t>
        </is>
      </c>
      <c r="D229">
        <f>HYPERLINK("https://ota.tournamentsoftware.com/player-profile/16EA0E7B-0025-4333-9A2A-28395C436A40", "Link")</f>
        <v/>
      </c>
      <c r="E229" s="3" t="n">
        <v>343.767</v>
      </c>
      <c r="F229" s="4" t="n">
        <v>17</v>
      </c>
      <c r="G229" t="inlineStr">
        <is>
          <t>British Columbia</t>
        </is>
      </c>
      <c r="H229" t="inlineStr">
        <is>
          <t>Coquitlam Tennis Club</t>
        </is>
      </c>
      <c r="I229" t="n">
        <v>30.3</v>
      </c>
      <c r="J229" s="4" t="n">
        <v>188</v>
      </c>
      <c r="K229" t="inlineStr">
        <is>
          <t>93 / 95</t>
        </is>
      </c>
      <c r="L229" t="inlineStr">
        <is>
          <t>15 / 21</t>
        </is>
      </c>
      <c r="M229" s="5" t="n">
        <v>0.49</v>
      </c>
      <c r="N229" s="5" t="n">
        <v>0.42</v>
      </c>
    </row>
    <row r="230">
      <c r="A230" t="n">
        <v>229</v>
      </c>
      <c r="B230" t="n">
        <v>2015</v>
      </c>
      <c r="C230" t="inlineStr">
        <is>
          <t>Clara Fanoos</t>
        </is>
      </c>
      <c r="D230">
        <f>HYPERLINK("https://ota.tournamentsoftware.com/player-profile/4AE431B3-C9E6-49D8-8003-48666B13F94B", "Link")</f>
        <v/>
      </c>
      <c r="E230" s="3" t="n">
        <v>342.309</v>
      </c>
      <c r="F230" s="4" t="n">
        <v>22</v>
      </c>
      <c r="G230" t="inlineStr">
        <is>
          <t>Tennis Québec</t>
        </is>
      </c>
      <c r="H230" t="inlineStr">
        <is>
          <t>Rouge et Or - Université Laval</t>
        </is>
      </c>
      <c r="I230" t="n">
        <v>30.6</v>
      </c>
      <c r="J230" s="4" t="n">
        <v>196</v>
      </c>
      <c r="K230" t="inlineStr">
        <is>
          <t>120 / 76</t>
        </is>
      </c>
      <c r="L230" t="inlineStr">
        <is>
          <t>32 / 20</t>
        </is>
      </c>
      <c r="M230" s="5" t="n">
        <v>0.61</v>
      </c>
      <c r="N230" s="5" t="n">
        <v>0.62</v>
      </c>
    </row>
    <row r="231">
      <c r="A231" t="n">
        <v>230</v>
      </c>
      <c r="B231" t="n">
        <v>2012</v>
      </c>
      <c r="C231" t="inlineStr">
        <is>
          <t>Ariyana Usharah Mahanandan</t>
        </is>
      </c>
      <c r="D231">
        <f>HYPERLINK("https://ota.tournamentsoftware.com/player-profile/FE0B9224-EA2B-4B60-AB52-7A0A2ACA90DA", "Link")</f>
        <v/>
      </c>
      <c r="E231" s="3" t="n">
        <v>340.822</v>
      </c>
      <c r="F231" s="4" t="n">
        <v>23</v>
      </c>
      <c r="G231" t="inlineStr">
        <is>
          <t>Ontario Tennis Association</t>
        </is>
      </c>
      <c r="H231" t="inlineStr">
        <is>
          <t>Premier Racquet Clubs – Mississauga</t>
        </is>
      </c>
      <c r="I231" t="inlineStr">
        <is>
          <t>unavailable</t>
        </is>
      </c>
      <c r="J231" s="4" t="n">
        <v>139</v>
      </c>
      <c r="K231" t="inlineStr">
        <is>
          <t>59 / 80</t>
        </is>
      </c>
      <c r="L231" t="inlineStr">
        <is>
          <t>13 / 22</t>
        </is>
      </c>
      <c r="M231" s="5" t="n">
        <v>0.42</v>
      </c>
      <c r="N231" s="5" t="n">
        <v>0.37</v>
      </c>
    </row>
    <row r="232">
      <c r="A232" t="n">
        <v>231</v>
      </c>
      <c r="B232" t="n">
        <v>2012</v>
      </c>
      <c r="C232" t="inlineStr">
        <is>
          <t>Anne-Frédérique Jacob</t>
        </is>
      </c>
      <c r="D232">
        <f>HYPERLINK("https://ota.tournamentsoftware.com/player-profile/6FDF9E24-9EF2-40B8-AA29-4E8DB70822F9", "Link")</f>
        <v/>
      </c>
      <c r="E232" s="3" t="n">
        <v>339.237</v>
      </c>
      <c r="F232" s="4" t="n">
        <v>15</v>
      </c>
      <c r="G232" t="inlineStr">
        <is>
          <t>Tennis Québec</t>
        </is>
      </c>
      <c r="H232" t="inlineStr">
        <is>
          <t>SANI Sport</t>
        </is>
      </c>
      <c r="I232" t="n">
        <v>30.4</v>
      </c>
      <c r="J232" s="4" t="n">
        <v>147</v>
      </c>
      <c r="K232" t="inlineStr">
        <is>
          <t>73 / 74</t>
        </is>
      </c>
      <c r="L232" t="inlineStr">
        <is>
          <t>5 / 11</t>
        </is>
      </c>
      <c r="M232" s="5" t="n">
        <v>0.5</v>
      </c>
      <c r="N232" s="5" t="n">
        <v>0.31</v>
      </c>
    </row>
    <row r="233">
      <c r="A233" t="n">
        <v>232</v>
      </c>
      <c r="B233" t="n">
        <v>2014</v>
      </c>
      <c r="C233" t="inlineStr">
        <is>
          <t>Isabelle Prusinkiewicz</t>
        </is>
      </c>
      <c r="D233">
        <f>HYPERLINK("https://ota.tournamentsoftware.com/player-profile/15F8CE0F-EF62-4029-B13B-F131581B8B29", "Link")</f>
        <v/>
      </c>
      <c r="E233" s="3" t="n">
        <v>338.545</v>
      </c>
      <c r="F233" s="4" t="n">
        <v>24</v>
      </c>
      <c r="G233" t="inlineStr">
        <is>
          <t>Tennis Alberta</t>
        </is>
      </c>
      <c r="H233" t="inlineStr">
        <is>
          <t>Aforza</t>
        </is>
      </c>
      <c r="I233" t="n">
        <v>32.1</v>
      </c>
      <c r="J233" s="4" t="n">
        <v>178</v>
      </c>
      <c r="K233" t="inlineStr">
        <is>
          <t>102 / 76</t>
        </is>
      </c>
      <c r="L233" t="inlineStr">
        <is>
          <t>30 / 20</t>
        </is>
      </c>
      <c r="M233" s="5" t="n">
        <v>0.57</v>
      </c>
      <c r="N233" s="5" t="n">
        <v>0.6</v>
      </c>
    </row>
    <row r="234">
      <c r="A234" t="n">
        <v>233</v>
      </c>
      <c r="B234" t="n">
        <v>2015</v>
      </c>
      <c r="C234" t="inlineStr">
        <is>
          <t>Mia Louise LADEWIG</t>
        </is>
      </c>
      <c r="D234">
        <f>HYPERLINK("https://ota.tournamentsoftware.com/player-profile/25055713-74C7-482D-8A9B-00D94FB7068B", "Link")</f>
        <v/>
      </c>
      <c r="E234" s="3" t="n">
        <v>337.743</v>
      </c>
      <c r="F234" s="4" t="n">
        <v>23</v>
      </c>
      <c r="G234" t="inlineStr">
        <is>
          <t>British Columbia</t>
        </is>
      </c>
      <c r="H234" t="inlineStr">
        <is>
          <t>North Vancouver Tennis Centre</t>
        </is>
      </c>
      <c r="I234" t="n">
        <v>29.3</v>
      </c>
      <c r="J234" s="4" t="n">
        <v>228</v>
      </c>
      <c r="K234" t="inlineStr">
        <is>
          <t>145 / 83</t>
        </is>
      </c>
      <c r="L234" t="inlineStr">
        <is>
          <t>35 / 21</t>
        </is>
      </c>
      <c r="M234" s="5" t="n">
        <v>0.64</v>
      </c>
      <c r="N234" s="5" t="n">
        <v>0.62</v>
      </c>
    </row>
    <row r="235">
      <c r="A235" t="n">
        <v>234</v>
      </c>
      <c r="B235" t="n">
        <v>2013</v>
      </c>
      <c r="C235" t="inlineStr">
        <is>
          <t>Jessica Rosemary Hill</t>
        </is>
      </c>
      <c r="D235">
        <f>HYPERLINK("https://ota.tournamentsoftware.com/player-profile/9F68BF9A-4FFA-4754-8023-C9F4ABCF0003", "Link")</f>
        <v/>
      </c>
      <c r="E235" s="3" t="n">
        <v>336.999</v>
      </c>
      <c r="F235" s="4" t="n">
        <v>21</v>
      </c>
      <c r="G235" t="inlineStr">
        <is>
          <t>British Columbia</t>
        </is>
      </c>
      <c r="H235" t="inlineStr">
        <is>
          <t>Vancouver International Tennis Academy</t>
        </is>
      </c>
      <c r="I235" t="n">
        <v>30.6</v>
      </c>
      <c r="J235" s="4" t="n">
        <v>167</v>
      </c>
      <c r="K235" t="inlineStr">
        <is>
          <t>93 / 74</t>
        </is>
      </c>
      <c r="L235" t="inlineStr">
        <is>
          <t>23 / 19</t>
        </is>
      </c>
      <c r="M235" s="5" t="n">
        <v>0.5600000000000001</v>
      </c>
      <c r="N235" s="5" t="n">
        <v>0.55</v>
      </c>
    </row>
    <row r="236">
      <c r="A236" t="n">
        <v>235</v>
      </c>
      <c r="B236" t="n">
        <v>2013</v>
      </c>
      <c r="C236" t="inlineStr">
        <is>
          <t>Alina Luo</t>
        </is>
      </c>
      <c r="D236">
        <f>HYPERLINK("https://ota.tournamentsoftware.com/player-profile/848C25E0-4CBB-4051-8AB5-C8460313D4A3", "Link")</f>
        <v/>
      </c>
      <c r="E236" s="3" t="n">
        <v>336.847</v>
      </c>
      <c r="F236" s="4" t="n">
        <v>22</v>
      </c>
      <c r="G236" t="inlineStr">
        <is>
          <t>Tennis Québec</t>
        </is>
      </c>
      <c r="H236" t="inlineStr">
        <is>
          <t>SANI Sport</t>
        </is>
      </c>
      <c r="I236" t="n">
        <v>32.5</v>
      </c>
      <c r="J236" s="4" t="n">
        <v>218</v>
      </c>
      <c r="K236" t="inlineStr">
        <is>
          <t>104 / 114</t>
        </is>
      </c>
      <c r="L236" t="inlineStr">
        <is>
          <t>4 / 17</t>
        </is>
      </c>
      <c r="M236" s="5" t="n">
        <v>0.48</v>
      </c>
      <c r="N236" s="5" t="n">
        <v>0.19</v>
      </c>
    </row>
    <row r="237">
      <c r="A237" t="n">
        <v>236</v>
      </c>
      <c r="B237" t="n">
        <v>2014</v>
      </c>
      <c r="C237" t="inlineStr">
        <is>
          <t>Eva Paquette</t>
        </is>
      </c>
      <c r="D237">
        <f>HYPERLINK("https://ota.tournamentsoftware.com/player-profile/631BF8EC-5FD6-41F7-A4BC-1B4980693D40", "Link")</f>
        <v/>
      </c>
      <c r="E237" s="3" t="n">
        <v>336.645</v>
      </c>
      <c r="F237" s="4" t="n">
        <v>33</v>
      </c>
      <c r="G237" t="inlineStr">
        <is>
          <t>Tennis Québec</t>
        </is>
      </c>
      <c r="H237" t="inlineStr">
        <is>
          <t>Club Sportif Côte-de-Liesse</t>
        </is>
      </c>
      <c r="I237" t="n">
        <v>32.2</v>
      </c>
      <c r="J237" s="4" t="n">
        <v>208</v>
      </c>
      <c r="K237" t="inlineStr">
        <is>
          <t>105 / 103</t>
        </is>
      </c>
      <c r="L237" t="inlineStr">
        <is>
          <t>41 / 28</t>
        </is>
      </c>
      <c r="M237" s="5" t="n">
        <v>0.5</v>
      </c>
      <c r="N237" s="5" t="n">
        <v>0.59</v>
      </c>
    </row>
    <row r="238">
      <c r="A238" t="n">
        <v>237</v>
      </c>
      <c r="B238" t="n">
        <v>2013</v>
      </c>
      <c r="C238" t="inlineStr">
        <is>
          <t>Anastazia De Lain</t>
        </is>
      </c>
      <c r="D238">
        <f>HYPERLINK("https://ota.tournamentsoftware.com/player-profile/BEE8D838-8464-4CCF-9268-D0D58F108999", "Link")</f>
        <v/>
      </c>
      <c r="E238" s="3" t="n">
        <v>335.359</v>
      </c>
      <c r="F238" s="4" t="n">
        <v>21</v>
      </c>
      <c r="G238" t="inlineStr">
        <is>
          <t>Tennis Québec</t>
        </is>
      </c>
      <c r="H238" t="inlineStr">
        <is>
          <t>EB Tennis inc.</t>
        </is>
      </c>
      <c r="I238" t="n">
        <v>36.6</v>
      </c>
      <c r="J238" s="4" t="n">
        <v>174</v>
      </c>
      <c r="K238" t="inlineStr">
        <is>
          <t>37 / 137</t>
        </is>
      </c>
      <c r="L238" t="inlineStr">
        <is>
          <t>4 / 23</t>
        </is>
      </c>
      <c r="M238" s="5" t="n">
        <v>0.21</v>
      </c>
      <c r="N238" s="5" t="n">
        <v>0.15</v>
      </c>
    </row>
    <row r="239">
      <c r="A239" t="n">
        <v>238</v>
      </c>
      <c r="B239" t="n">
        <v>2013</v>
      </c>
      <c r="C239" t="inlineStr">
        <is>
          <t>Kmar ELHOUIJ</t>
        </is>
      </c>
      <c r="D239">
        <f>HYPERLINK("https://ota.tournamentsoftware.com/player-profile/D690466C-B3D9-45B2-B453-BA40F436A5C1", "Link")</f>
        <v/>
      </c>
      <c r="E239" s="3" t="n">
        <v>335.176</v>
      </c>
      <c r="F239" s="4" t="n">
        <v>4</v>
      </c>
      <c r="G239" t="inlineStr">
        <is>
          <t>Tennis New Brunswick</t>
        </is>
      </c>
      <c r="H239" t="inlineStr">
        <is>
          <t>No Club</t>
        </is>
      </c>
      <c r="I239" t="n">
        <v>28.4</v>
      </c>
      <c r="J239" s="4" t="n">
        <v>42</v>
      </c>
      <c r="K239" t="inlineStr">
        <is>
          <t>30 / 12</t>
        </is>
      </c>
      <c r="L239" t="inlineStr">
        <is>
          <t>19 / 9</t>
        </is>
      </c>
      <c r="M239" s="5" t="n">
        <v>0.71</v>
      </c>
      <c r="N239" s="5" t="n">
        <v>0.68</v>
      </c>
    </row>
    <row r="240">
      <c r="A240" t="n">
        <v>239</v>
      </c>
      <c r="B240" t="n">
        <v>2014</v>
      </c>
      <c r="C240" t="inlineStr">
        <is>
          <t>Alaia Grace Serravalle</t>
        </is>
      </c>
      <c r="D240">
        <f>HYPERLINK("https://ota.tournamentsoftware.com/player-profile/EDBCEC0C-45DE-4DFD-B17A-C176B306FC97", "Link")</f>
        <v/>
      </c>
      <c r="E240" s="3" t="n">
        <v>333.24</v>
      </c>
      <c r="F240" s="4" t="n">
        <v>24</v>
      </c>
      <c r="G240" t="inlineStr">
        <is>
          <t>Ontario Tennis Association</t>
        </is>
      </c>
      <c r="H240" t="inlineStr">
        <is>
          <t>Youngs Sportsplex</t>
        </is>
      </c>
      <c r="I240" t="n">
        <v>32.7</v>
      </c>
      <c r="J240" s="4" t="n">
        <v>62</v>
      </c>
      <c r="K240" t="inlineStr">
        <is>
          <t>35 / 27</t>
        </is>
      </c>
      <c r="L240" t="inlineStr">
        <is>
          <t>23 / 18</t>
        </is>
      </c>
      <c r="M240" s="5" t="n">
        <v>0.5600000000000001</v>
      </c>
      <c r="N240" s="5" t="n">
        <v>0.5600000000000001</v>
      </c>
    </row>
    <row r="241">
      <c r="A241" t="n">
        <v>240</v>
      </c>
      <c r="B241" t="n">
        <v>2012</v>
      </c>
      <c r="C241" t="inlineStr">
        <is>
          <t>Yunia Bartha</t>
        </is>
      </c>
      <c r="D241">
        <f>HYPERLINK("https://ota.tournamentsoftware.com/player-profile/3A2980C0-C922-4870-A2B4-18E74AC903C2", "Link")</f>
        <v/>
      </c>
      <c r="E241" s="3" t="n">
        <v>332.284</v>
      </c>
      <c r="F241" s="4" t="n">
        <v>25</v>
      </c>
      <c r="G241" t="inlineStr">
        <is>
          <t>Tennis Québec</t>
        </is>
      </c>
      <c r="H241" t="inlineStr">
        <is>
          <t>Club Sportif Côte-de-Liesse</t>
        </is>
      </c>
      <c r="I241" t="n">
        <v>32.7</v>
      </c>
      <c r="J241" s="4" t="n">
        <v>142</v>
      </c>
      <c r="K241" t="inlineStr">
        <is>
          <t>56 / 86</t>
        </is>
      </c>
      <c r="L241" t="inlineStr">
        <is>
          <t>12 / 22</t>
        </is>
      </c>
      <c r="M241" s="5" t="n">
        <v>0.39</v>
      </c>
      <c r="N241" s="5" t="n">
        <v>0.35</v>
      </c>
    </row>
    <row r="242">
      <c r="A242" t="n">
        <v>241</v>
      </c>
      <c r="B242" t="n">
        <v>2013</v>
      </c>
      <c r="C242" t="inlineStr">
        <is>
          <t>Aicha Ben Ali</t>
        </is>
      </c>
      <c r="D242">
        <f>HYPERLINK("https://ota.tournamentsoftware.com/player-profile/87F8F2BE-10FE-41D7-8382-85524C1D5D23", "Link")</f>
        <v/>
      </c>
      <c r="E242" s="3" t="n">
        <v>330.988</v>
      </c>
      <c r="F242" s="4" t="n">
        <v>9</v>
      </c>
      <c r="G242" t="inlineStr">
        <is>
          <t>Tennis Saskatchewan</t>
        </is>
      </c>
      <c r="H242" t="inlineStr">
        <is>
          <t>Lakeshore Tennis Club</t>
        </is>
      </c>
      <c r="I242" t="inlineStr">
        <is>
          <t>unavailable</t>
        </is>
      </c>
      <c r="J242" s="4" t="n">
        <v>31</v>
      </c>
      <c r="K242" t="inlineStr">
        <is>
          <t>4 / 27</t>
        </is>
      </c>
      <c r="L242" t="inlineStr">
        <is>
          <t>4 / 23</t>
        </is>
      </c>
      <c r="M242" s="5" t="n">
        <v>0.13</v>
      </c>
      <c r="N242" s="5" t="n">
        <v>0.15</v>
      </c>
    </row>
    <row r="243">
      <c r="A243" t="n">
        <v>242</v>
      </c>
      <c r="B243" t="n">
        <v>2014</v>
      </c>
      <c r="C243" t="inlineStr">
        <is>
          <t>Vrishti Gehlot</t>
        </is>
      </c>
      <c r="D243">
        <f>HYPERLINK("https://ota.tournamentsoftware.com/player-profile/8D59FB71-FC68-41E0-B69F-920C29B60AD3", "Link")</f>
        <v/>
      </c>
      <c r="E243" s="3" t="n">
        <v>322.528</v>
      </c>
      <c r="F243" s="4" t="n">
        <v>26</v>
      </c>
      <c r="G243" t="inlineStr">
        <is>
          <t>Ontario Tennis Association</t>
        </is>
      </c>
      <c r="H243" t="inlineStr">
        <is>
          <t>Premier Racquet Clubs – Mississauga</t>
        </is>
      </c>
      <c r="I243" t="n">
        <v>32.9</v>
      </c>
      <c r="J243" s="4" t="n">
        <v>161</v>
      </c>
      <c r="K243" t="inlineStr">
        <is>
          <t>81 / 80</t>
        </is>
      </c>
      <c r="L243" t="inlineStr">
        <is>
          <t>33 / 21</t>
        </is>
      </c>
      <c r="M243" s="5" t="n">
        <v>0.5</v>
      </c>
      <c r="N243" s="5" t="n">
        <v>0.61</v>
      </c>
    </row>
    <row r="244">
      <c r="A244" t="n">
        <v>243</v>
      </c>
      <c r="B244" t="n">
        <v>2015</v>
      </c>
      <c r="C244" t="inlineStr">
        <is>
          <t>Josephine Yitong Wu</t>
        </is>
      </c>
      <c r="D244">
        <f>HYPERLINK("https://ota.tournamentsoftware.com/player-profile/1DF0BC06-9057-4469-9CEF-A9B5D864D9C9", "Link")</f>
        <v/>
      </c>
      <c r="E244" s="3" t="n">
        <v>321.68</v>
      </c>
      <c r="F244" s="4" t="n">
        <v>19</v>
      </c>
      <c r="G244" t="inlineStr">
        <is>
          <t>British Columbia</t>
        </is>
      </c>
      <c r="H244" t="inlineStr">
        <is>
          <t>North Vancouver Tennis Centre</t>
        </is>
      </c>
      <c r="I244" t="n">
        <v>29.1</v>
      </c>
      <c r="J244" s="4" t="n">
        <v>169</v>
      </c>
      <c r="K244" t="inlineStr">
        <is>
          <t>100 / 69</t>
        </is>
      </c>
      <c r="L244" t="inlineStr">
        <is>
          <t>23 / 13</t>
        </is>
      </c>
      <c r="M244" s="5" t="n">
        <v>0.59</v>
      </c>
      <c r="N244" s="5" t="n">
        <v>0.64</v>
      </c>
    </row>
    <row r="245">
      <c r="A245" t="n">
        <v>244</v>
      </c>
      <c r="B245" t="n">
        <v>2012</v>
      </c>
      <c r="C245" t="inlineStr">
        <is>
          <t>Abby Jean Tobac</t>
        </is>
      </c>
      <c r="D245">
        <f>HYPERLINK("https://ota.tournamentsoftware.com/player-profile/CDFDF0FB-A147-4D3C-BF4D-24E115B9EC1A", "Link")</f>
        <v/>
      </c>
      <c r="E245" s="3" t="n">
        <v>318.528</v>
      </c>
      <c r="F245" s="4" t="n">
        <v>6</v>
      </c>
      <c r="G245" t="inlineStr">
        <is>
          <t>Tennis Manitoba</t>
        </is>
      </c>
      <c r="H245" t="inlineStr">
        <is>
          <t>Taylor Tennis</t>
        </is>
      </c>
      <c r="I245" t="n">
        <v>35.1</v>
      </c>
      <c r="J245" s="4" t="n">
        <v>49</v>
      </c>
      <c r="K245" t="inlineStr">
        <is>
          <t>14 / 35</t>
        </is>
      </c>
      <c r="L245" t="inlineStr">
        <is>
          <t>2 / 9</t>
        </is>
      </c>
      <c r="M245" s="5" t="n">
        <v>0.29</v>
      </c>
      <c r="N245" s="5" t="n">
        <v>0.18</v>
      </c>
    </row>
    <row r="246">
      <c r="A246" t="n">
        <v>245</v>
      </c>
      <c r="B246" t="n">
        <v>2015</v>
      </c>
      <c r="C246" t="inlineStr">
        <is>
          <t>Danica Stamatovic</t>
        </is>
      </c>
      <c r="D246">
        <f>HYPERLINK("https://ota.tournamentsoftware.com/player-profile/3D976EDA-1737-4852-A9BF-C67ED47C73C1", "Link")</f>
        <v/>
      </c>
      <c r="E246" s="3" t="n">
        <v>316.232</v>
      </c>
      <c r="F246" s="4" t="n">
        <v>23</v>
      </c>
      <c r="G246" t="inlineStr">
        <is>
          <t>Ontario Tennis Association</t>
        </is>
      </c>
      <c r="H246" t="inlineStr">
        <is>
          <t>SmartVMC Racquetsports by ACE</t>
        </is>
      </c>
      <c r="I246" t="n">
        <v>31.3</v>
      </c>
      <c r="J246" s="4" t="n">
        <v>198</v>
      </c>
      <c r="K246" t="inlineStr">
        <is>
          <t>102 / 96</t>
        </is>
      </c>
      <c r="L246" t="inlineStr">
        <is>
          <t>35 / 17</t>
        </is>
      </c>
      <c r="M246" s="5" t="n">
        <v>0.52</v>
      </c>
      <c r="N246" s="5" t="n">
        <v>0.67</v>
      </c>
    </row>
    <row r="247">
      <c r="A247" t="n">
        <v>246</v>
      </c>
      <c r="B247" t="n">
        <v>2012</v>
      </c>
      <c r="C247" t="inlineStr">
        <is>
          <t>Eva Brisson</t>
        </is>
      </c>
      <c r="D247">
        <f>HYPERLINK("https://ota.tournamentsoftware.com/player-profile/BC349487-CEB9-4CB8-ABCF-1006DD0F69AA", "Link")</f>
        <v/>
      </c>
      <c r="E247" s="3" t="n">
        <v>313.816</v>
      </c>
      <c r="F247" s="4" t="n">
        <v>24</v>
      </c>
      <c r="G247" t="inlineStr">
        <is>
          <t>Tennis Québec</t>
        </is>
      </c>
      <c r="H247" t="inlineStr">
        <is>
          <t>Club Sportif Côte-de-Liesse</t>
        </is>
      </c>
      <c r="I247" t="n">
        <v>31.1</v>
      </c>
      <c r="J247" s="4" t="n">
        <v>149</v>
      </c>
      <c r="K247" t="inlineStr">
        <is>
          <t>63 / 86</t>
        </is>
      </c>
      <c r="L247" t="inlineStr">
        <is>
          <t>17 / 18</t>
        </is>
      </c>
      <c r="M247" s="5" t="n">
        <v>0.42</v>
      </c>
      <c r="N247" s="5" t="n">
        <v>0.49</v>
      </c>
    </row>
    <row r="248">
      <c r="A248" t="n">
        <v>247</v>
      </c>
      <c r="B248" t="n">
        <v>2012</v>
      </c>
      <c r="C248" t="inlineStr">
        <is>
          <t>helena Khorsid-G-Mahdi</t>
        </is>
      </c>
      <c r="D248">
        <f>HYPERLINK("https://ota.tournamentsoftware.com/player-profile/D9FB3068-A1A7-4F96-B728-095D292B805C", "Link")</f>
        <v/>
      </c>
      <c r="E248" s="3" t="n">
        <v>312.56</v>
      </c>
      <c r="F248" s="4" t="n">
        <v>22</v>
      </c>
      <c r="G248" t="inlineStr">
        <is>
          <t>Ontario Tennis Association</t>
        </is>
      </c>
      <c r="H248" t="inlineStr">
        <is>
          <t>Cottingham Tennis Club</t>
        </is>
      </c>
      <c r="I248" t="inlineStr">
        <is>
          <t>unavailable</t>
        </is>
      </c>
      <c r="J248" s="4" t="n">
        <v>56</v>
      </c>
      <c r="K248" t="inlineStr">
        <is>
          <t>33 / 23</t>
        </is>
      </c>
      <c r="L248" t="inlineStr">
        <is>
          <t>19 / 16</t>
        </is>
      </c>
      <c r="M248" s="5" t="n">
        <v>0.59</v>
      </c>
      <c r="N248" s="5" t="n">
        <v>0.54</v>
      </c>
    </row>
    <row r="249">
      <c r="A249" t="n">
        <v>248</v>
      </c>
      <c r="B249" t="n">
        <v>2013</v>
      </c>
      <c r="C249" t="inlineStr">
        <is>
          <t>Katelyn Zhao</t>
        </is>
      </c>
      <c r="D249">
        <f>HYPERLINK("https://ota.tournamentsoftware.com/player-profile/C6305E19-1670-4857-9967-0344F0C8AB1D", "Link")</f>
        <v/>
      </c>
      <c r="E249" s="3" t="n">
        <v>312.472</v>
      </c>
      <c r="F249" s="4" t="n">
        <v>26</v>
      </c>
      <c r="G249" t="inlineStr">
        <is>
          <t>Ontario Tennis Association</t>
        </is>
      </c>
      <c r="H249" t="inlineStr">
        <is>
          <t>Premier Racquet Club - Markham</t>
        </is>
      </c>
      <c r="I249" t="n">
        <v>33.5</v>
      </c>
      <c r="J249" s="4" t="n">
        <v>101</v>
      </c>
      <c r="K249" t="inlineStr">
        <is>
          <t>52 / 49</t>
        </is>
      </c>
      <c r="L249" t="inlineStr">
        <is>
          <t>20 / 23</t>
        </is>
      </c>
      <c r="M249" s="5" t="n">
        <v>0.51</v>
      </c>
      <c r="N249" s="5" t="n">
        <v>0.47</v>
      </c>
    </row>
    <row r="250">
      <c r="A250" t="n">
        <v>249</v>
      </c>
      <c r="B250" t="n">
        <v>2012</v>
      </c>
      <c r="C250" t="inlineStr">
        <is>
          <t>Camie Wang</t>
        </is>
      </c>
      <c r="D250">
        <f>HYPERLINK("https://ota.tournamentsoftware.com/player-profile/5CE5CCC5-E821-48EF-86C9-6973D97D1F92", "Link")</f>
        <v/>
      </c>
      <c r="E250" s="3" t="n">
        <v>311.911</v>
      </c>
      <c r="F250" s="4" t="n">
        <v>16</v>
      </c>
      <c r="G250" t="inlineStr">
        <is>
          <t>Tennis Alberta</t>
        </is>
      </c>
      <c r="H250" t="inlineStr">
        <is>
          <t>Osten &amp; Victor Alberta Tennis Centre</t>
        </is>
      </c>
      <c r="I250" t="n">
        <v>28</v>
      </c>
      <c r="J250" s="4" t="n">
        <v>115</v>
      </c>
      <c r="K250" t="inlineStr">
        <is>
          <t>61 / 54</t>
        </is>
      </c>
      <c r="L250" t="inlineStr">
        <is>
          <t>20 / 19</t>
        </is>
      </c>
      <c r="M250" s="5" t="n">
        <v>0.53</v>
      </c>
      <c r="N250" s="5" t="n">
        <v>0.51</v>
      </c>
    </row>
    <row r="251">
      <c r="A251" t="n">
        <v>250</v>
      </c>
      <c r="B251" t="n">
        <v>2012</v>
      </c>
      <c r="C251" t="inlineStr">
        <is>
          <t>Daisy Tingru Wang</t>
        </is>
      </c>
      <c r="D251">
        <f>HYPERLINK("https://ota.tournamentsoftware.com/player-profile/40DA5F9F-8E70-4030-A0ED-A54E3D8832D2", "Link")</f>
        <v/>
      </c>
      <c r="E251" s="3" t="n">
        <v>310.853</v>
      </c>
      <c r="F251" s="4" t="n">
        <v>8</v>
      </c>
      <c r="G251" t="inlineStr">
        <is>
          <t>Tennis Nova Scotia</t>
        </is>
      </c>
      <c r="H251" t="inlineStr">
        <is>
          <t>HEADSTART</t>
        </is>
      </c>
      <c r="I251" t="n">
        <v>36.2</v>
      </c>
      <c r="J251" s="4" t="n">
        <v>39</v>
      </c>
      <c r="K251" t="inlineStr">
        <is>
          <t>8 / 31</t>
        </is>
      </c>
      <c r="L251" t="inlineStr">
        <is>
          <t>5 / 21</t>
        </is>
      </c>
      <c r="M251" s="5" t="n">
        <v>0.21</v>
      </c>
      <c r="N251" s="5" t="n">
        <v>0.19</v>
      </c>
    </row>
    <row r="252">
      <c r="A252" t="n">
        <v>251</v>
      </c>
      <c r="B252" t="n">
        <v>2013</v>
      </c>
      <c r="C252" t="inlineStr">
        <is>
          <t>Keona Asogwa</t>
        </is>
      </c>
      <c r="D252">
        <f>HYPERLINK("https://ota.tournamentsoftware.com/player-profile/1F426AE8-5B0F-4535-AD10-450570C37073", "Link")</f>
        <v/>
      </c>
      <c r="E252" s="3" t="n">
        <v>308.808</v>
      </c>
      <c r="F252" s="4" t="n">
        <v>17</v>
      </c>
      <c r="G252" t="inlineStr">
        <is>
          <t>Ontario Tennis Association</t>
        </is>
      </c>
      <c r="H252" t="inlineStr">
        <is>
          <t>Carleton Tennis Centre</t>
        </is>
      </c>
      <c r="I252" t="inlineStr">
        <is>
          <t>unavailable</t>
        </is>
      </c>
      <c r="J252" s="4" t="n">
        <v>110</v>
      </c>
      <c r="K252" t="inlineStr">
        <is>
          <t>41 / 69</t>
        </is>
      </c>
      <c r="L252" t="inlineStr">
        <is>
          <t>5 / 13</t>
        </is>
      </c>
      <c r="M252" s="5" t="n">
        <v>0.37</v>
      </c>
      <c r="N252" s="5" t="n">
        <v>0.28</v>
      </c>
    </row>
    <row r="253">
      <c r="A253" t="n">
        <v>252</v>
      </c>
      <c r="B253" t="n">
        <v>2015</v>
      </c>
      <c r="C253" t="inlineStr">
        <is>
          <t>Maya Lupu</t>
        </is>
      </c>
      <c r="D253">
        <f>HYPERLINK("https://ota.tournamentsoftware.com/player-profile/C02052CF-6FBB-4C91-8237-A96FF9B4C794", "Link")</f>
        <v/>
      </c>
      <c r="E253" s="3" t="n">
        <v>308.771</v>
      </c>
      <c r="F253" s="4" t="n">
        <v>16</v>
      </c>
      <c r="G253" t="inlineStr">
        <is>
          <t>Tennis Alberta</t>
        </is>
      </c>
      <c r="H253" t="inlineStr">
        <is>
          <t>Saville Community Sports Centre</t>
        </is>
      </c>
      <c r="I253" t="n">
        <v>31.2</v>
      </c>
      <c r="J253" s="4" t="n">
        <v>162</v>
      </c>
      <c r="K253" t="inlineStr">
        <is>
          <t>104 / 58</t>
        </is>
      </c>
      <c r="L253" t="inlineStr">
        <is>
          <t>19 / 23</t>
        </is>
      </c>
      <c r="M253" s="5" t="n">
        <v>0.64</v>
      </c>
      <c r="N253" s="5" t="n">
        <v>0.45</v>
      </c>
    </row>
    <row r="254">
      <c r="A254" t="n">
        <v>253</v>
      </c>
      <c r="B254" t="n">
        <v>2013</v>
      </c>
      <c r="C254" t="inlineStr">
        <is>
          <t>Kany Kaba</t>
        </is>
      </c>
      <c r="D254">
        <f>HYPERLINK("https://ota.tournamentsoftware.com/player-profile/7816DF47-252D-402D-BF26-B906A8AB6ED7", "Link")</f>
        <v/>
      </c>
      <c r="E254" s="3" t="n">
        <v>308.626</v>
      </c>
      <c r="F254" s="4" t="n">
        <v>11</v>
      </c>
      <c r="G254" t="inlineStr">
        <is>
          <t>Tennis Québec</t>
        </is>
      </c>
      <c r="H254" t="inlineStr">
        <is>
          <t>EB Tennis inc.</t>
        </is>
      </c>
      <c r="I254" t="n">
        <v>33.1</v>
      </c>
      <c r="J254" s="4" t="n">
        <v>139</v>
      </c>
      <c r="K254" t="inlineStr">
        <is>
          <t>84 / 55</t>
        </is>
      </c>
      <c r="L254" t="inlineStr">
        <is>
          <t>6 / 12</t>
        </is>
      </c>
      <c r="M254" s="5" t="n">
        <v>0.6</v>
      </c>
      <c r="N254" s="5" t="n">
        <v>0.33</v>
      </c>
    </row>
    <row r="255">
      <c r="A255" t="n">
        <v>254</v>
      </c>
      <c r="B255" t="n">
        <v>2013</v>
      </c>
      <c r="C255" t="inlineStr">
        <is>
          <t>ZOE SOFIA CARDENAS PANIAGUA</t>
        </is>
      </c>
      <c r="D255">
        <f>HYPERLINK("https://ota.tournamentsoftware.com/player-profile/6ADCA248-D68F-47BB-9ED7-CDC7448C4AE9", "Link")</f>
        <v/>
      </c>
      <c r="E255" s="3" t="n">
        <v>307.118</v>
      </c>
      <c r="F255" s="4" t="n">
        <v>6</v>
      </c>
      <c r="G255" t="inlineStr">
        <is>
          <t>Tennis Manitoba</t>
        </is>
      </c>
      <c r="H255" t="inlineStr">
        <is>
          <t>Tuxedo Tennis Club</t>
        </is>
      </c>
      <c r="I255" t="inlineStr">
        <is>
          <t>unavailable</t>
        </is>
      </c>
      <c r="J255" s="4" t="n">
        <v>59</v>
      </c>
      <c r="K255" t="inlineStr">
        <is>
          <t>22 / 37</t>
        </is>
      </c>
      <c r="L255" t="inlineStr">
        <is>
          <t>6 / 8</t>
        </is>
      </c>
      <c r="M255" s="5" t="n">
        <v>0.37</v>
      </c>
      <c r="N255" s="5" t="n">
        <v>0.43</v>
      </c>
    </row>
    <row r="256">
      <c r="A256" t="n">
        <v>255</v>
      </c>
      <c r="B256" t="n">
        <v>2014</v>
      </c>
      <c r="C256" t="inlineStr">
        <is>
          <t>Rosie Mai Kowalewski</t>
        </is>
      </c>
      <c r="D256">
        <f>HYPERLINK("https://ota.tournamentsoftware.com/player-profile/6AE6D507-C7A4-4B8D-AF2E-EBFE848DD41B", "Link")</f>
        <v/>
      </c>
      <c r="E256" s="3" t="n">
        <v>303.327</v>
      </c>
      <c r="F256" s="4" t="n">
        <v>18</v>
      </c>
      <c r="G256" t="inlineStr">
        <is>
          <t>Ontario Tennis Association</t>
        </is>
      </c>
      <c r="H256" t="inlineStr">
        <is>
          <t>No Club</t>
        </is>
      </c>
      <c r="I256" t="n">
        <v>31.5</v>
      </c>
      <c r="J256" s="4" t="n">
        <v>192</v>
      </c>
      <c r="K256" t="inlineStr">
        <is>
          <t>113 / 79</t>
        </is>
      </c>
      <c r="L256" t="inlineStr">
        <is>
          <t>14 / 11</t>
        </is>
      </c>
      <c r="M256" s="5" t="n">
        <v>0.59</v>
      </c>
      <c r="N256" s="5" t="n">
        <v>0.5600000000000001</v>
      </c>
    </row>
    <row r="257">
      <c r="A257" t="n">
        <v>256</v>
      </c>
      <c r="B257" t="n">
        <v>2014</v>
      </c>
      <c r="C257" t="inlineStr">
        <is>
          <t>Isabella Huang</t>
        </is>
      </c>
      <c r="D257">
        <f>HYPERLINK("https://ota.tournamentsoftware.com/player-profile/DB8FA904-8DE1-4D99-951F-F44CD792291A", "Link")</f>
        <v/>
      </c>
      <c r="E257" s="3" t="n">
        <v>302.648</v>
      </c>
      <c r="F257" s="4" t="n">
        <v>17</v>
      </c>
      <c r="G257" t="inlineStr">
        <is>
          <t>British Columbia</t>
        </is>
      </c>
      <c r="H257" t="inlineStr">
        <is>
          <t>Burnaby Tennis Club</t>
        </is>
      </c>
      <c r="I257" t="inlineStr">
        <is>
          <t>unavailable</t>
        </is>
      </c>
      <c r="J257" s="4" t="n">
        <v>198</v>
      </c>
      <c r="K257" t="inlineStr">
        <is>
          <t>113 / 85</t>
        </is>
      </c>
      <c r="L257" t="inlineStr">
        <is>
          <t>26 / 13</t>
        </is>
      </c>
      <c r="M257" s="5" t="n">
        <v>0.57</v>
      </c>
      <c r="N257" s="5" t="n">
        <v>0.67</v>
      </c>
    </row>
    <row r="258">
      <c r="A258" t="n">
        <v>257</v>
      </c>
      <c r="B258" t="n">
        <v>2013</v>
      </c>
      <c r="C258" t="inlineStr">
        <is>
          <t>Chloe Lu</t>
        </is>
      </c>
      <c r="D258">
        <f>HYPERLINK("https://ota.tournamentsoftware.com/player-profile/30F898AC-1C96-41C5-BBB0-3BFD30EC0D0D", "Link")</f>
        <v/>
      </c>
      <c r="E258" s="3" t="n">
        <v>300.706</v>
      </c>
      <c r="F258" s="4" t="n">
        <v>25</v>
      </c>
      <c r="G258" t="inlineStr">
        <is>
          <t>British Columbia</t>
        </is>
      </c>
      <c r="H258" t="inlineStr">
        <is>
          <t>UBC Tennis Centre</t>
        </is>
      </c>
      <c r="I258" t="n">
        <v>32.1</v>
      </c>
      <c r="J258" s="4" t="n">
        <v>164</v>
      </c>
      <c r="K258" t="inlineStr">
        <is>
          <t>61 / 103</t>
        </is>
      </c>
      <c r="L258" t="inlineStr">
        <is>
          <t>21 / 25</t>
        </is>
      </c>
      <c r="M258" s="5" t="n">
        <v>0.37</v>
      </c>
      <c r="N258" s="5" t="n">
        <v>0.46</v>
      </c>
    </row>
    <row r="259">
      <c r="A259" t="n">
        <v>258</v>
      </c>
      <c r="B259" t="n">
        <v>2015</v>
      </c>
      <c r="C259" t="inlineStr">
        <is>
          <t>Zoë Crago</t>
        </is>
      </c>
      <c r="D259">
        <f>HYPERLINK("https://ota.tournamentsoftware.com/player-profile/C2D18227-6075-4F1E-83A2-40A822F874D3", "Link")</f>
        <v/>
      </c>
      <c r="E259" s="3" t="n">
        <v>298.67</v>
      </c>
      <c r="F259" s="4" t="n">
        <v>28</v>
      </c>
      <c r="G259" t="inlineStr">
        <is>
          <t>Tennis Québec</t>
        </is>
      </c>
      <c r="H259" t="inlineStr">
        <is>
          <t>Tennis Montréal Excellence</t>
        </is>
      </c>
      <c r="I259" t="n">
        <v>33</v>
      </c>
      <c r="J259" s="4" t="n">
        <v>196</v>
      </c>
      <c r="K259" t="inlineStr">
        <is>
          <t>103 / 93</t>
        </is>
      </c>
      <c r="L259" t="inlineStr">
        <is>
          <t>31 / 25</t>
        </is>
      </c>
      <c r="M259" s="5" t="n">
        <v>0.53</v>
      </c>
      <c r="N259" s="5" t="n">
        <v>0.55</v>
      </c>
    </row>
    <row r="260">
      <c r="A260" t="n">
        <v>259</v>
      </c>
      <c r="B260" t="n">
        <v>2013</v>
      </c>
      <c r="C260" t="inlineStr">
        <is>
          <t>Tia Patel</t>
        </is>
      </c>
      <c r="D260">
        <f>HYPERLINK("https://ota.tournamentsoftware.com/player-profile/5C480574-FD9C-4816-B1CF-F51441726B25", "Link")</f>
        <v/>
      </c>
      <c r="E260" s="3" t="n">
        <v>295.069</v>
      </c>
      <c r="F260" s="4" t="n">
        <v>16</v>
      </c>
      <c r="G260" t="inlineStr">
        <is>
          <t>Ontario Tennis Association</t>
        </is>
      </c>
      <c r="H260" t="inlineStr">
        <is>
          <t>Waterloo Tennis Club</t>
        </is>
      </c>
      <c r="I260" t="n">
        <v>34.2</v>
      </c>
      <c r="J260" s="4" t="n">
        <v>78</v>
      </c>
      <c r="K260" t="inlineStr">
        <is>
          <t>28 / 50</t>
        </is>
      </c>
      <c r="L260" t="inlineStr">
        <is>
          <t>6 / 10</t>
        </is>
      </c>
      <c r="M260" s="5" t="n">
        <v>0.36</v>
      </c>
      <c r="N260" s="5" t="n">
        <v>0.38</v>
      </c>
    </row>
    <row r="261">
      <c r="A261" t="n">
        <v>260</v>
      </c>
      <c r="B261" t="n">
        <v>2014</v>
      </c>
      <c r="C261" t="inlineStr">
        <is>
          <t>Tehzeeb MRAR</t>
        </is>
      </c>
      <c r="D261">
        <f>HYPERLINK("https://ota.tournamentsoftware.com/player-profile/9E69163B-7ED7-4450-8845-0676D6C943B8", "Link")</f>
        <v/>
      </c>
      <c r="E261" s="3" t="n">
        <v>293.832</v>
      </c>
      <c r="F261" s="4" t="n">
        <v>19</v>
      </c>
      <c r="G261" t="inlineStr">
        <is>
          <t>British Columbia</t>
        </is>
      </c>
      <c r="H261" t="inlineStr">
        <is>
          <t>No Club</t>
        </is>
      </c>
      <c r="I261" t="n">
        <v>29.6</v>
      </c>
      <c r="J261" s="4" t="n">
        <v>198</v>
      </c>
      <c r="K261" t="inlineStr">
        <is>
          <t>109 / 89</t>
        </is>
      </c>
      <c r="L261" t="inlineStr">
        <is>
          <t>19 / 15</t>
        </is>
      </c>
      <c r="M261" s="5" t="n">
        <v>0.55</v>
      </c>
      <c r="N261" s="5" t="n">
        <v>0.5600000000000001</v>
      </c>
    </row>
    <row r="262">
      <c r="A262" t="n">
        <v>261</v>
      </c>
      <c r="B262" t="n">
        <v>2014</v>
      </c>
      <c r="C262" t="inlineStr">
        <is>
          <t>Krystal Xuan Sun</t>
        </is>
      </c>
      <c r="D262">
        <f>HYPERLINK("https://ota.tournamentsoftware.com/player-profile/683C106F-AE4B-4C63-B1A3-D9C25FFAD31B", "Link")</f>
        <v/>
      </c>
      <c r="E262" s="3" t="n">
        <v>289.981</v>
      </c>
      <c r="F262" s="4" t="n">
        <v>11</v>
      </c>
      <c r="G262" t="inlineStr">
        <is>
          <t>Tennis Manitoba</t>
        </is>
      </c>
      <c r="H262" t="inlineStr">
        <is>
          <t>Taylor Tennis</t>
        </is>
      </c>
      <c r="I262" t="inlineStr">
        <is>
          <t>unavailable</t>
        </is>
      </c>
      <c r="J262" s="4" t="n">
        <v>74</v>
      </c>
      <c r="K262" t="inlineStr">
        <is>
          <t>21 / 53</t>
        </is>
      </c>
      <c r="L262" t="inlineStr">
        <is>
          <t>10 / 29</t>
        </is>
      </c>
      <c r="M262" s="5" t="n">
        <v>0.28</v>
      </c>
      <c r="N262" s="5" t="n">
        <v>0.26</v>
      </c>
    </row>
    <row r="263">
      <c r="A263" t="n">
        <v>262</v>
      </c>
      <c r="B263" t="n">
        <v>2013</v>
      </c>
      <c r="C263" t="inlineStr">
        <is>
          <t>Lily Gaumond-Boivin</t>
        </is>
      </c>
      <c r="D263">
        <f>HYPERLINK("https://ota.tournamentsoftware.com/player-profile/98461C64-ECF9-40D8-849E-C8999A9F9BA1", "Link")</f>
        <v/>
      </c>
      <c r="E263" s="3" t="n">
        <v>289.881</v>
      </c>
      <c r="F263" s="4" t="n">
        <v>21</v>
      </c>
      <c r="G263" t="inlineStr">
        <is>
          <t>Tennis Québec</t>
        </is>
      </c>
      <c r="H263" t="inlineStr">
        <is>
          <t>Club Avantage Multi-sports / Académie de tennis Hérisset Bordeleau</t>
        </is>
      </c>
      <c r="I263" t="inlineStr">
        <is>
          <t>unavailable</t>
        </is>
      </c>
      <c r="J263" s="4" t="n">
        <v>125</v>
      </c>
      <c r="K263" t="inlineStr">
        <is>
          <t>59 / 66</t>
        </is>
      </c>
      <c r="L263" t="inlineStr">
        <is>
          <t>9 / 17</t>
        </is>
      </c>
      <c r="M263" s="5" t="n">
        <v>0.47</v>
      </c>
      <c r="N263" s="5" t="n">
        <v>0.35</v>
      </c>
    </row>
    <row r="264">
      <c r="A264" t="n">
        <v>263</v>
      </c>
      <c r="B264" t="n">
        <v>2012</v>
      </c>
      <c r="C264" t="inlineStr">
        <is>
          <t>Norah Diop</t>
        </is>
      </c>
      <c r="D264">
        <f>HYPERLINK("https://ota.tournamentsoftware.com/player-profile/1B130952-D24A-467D-813D-2DA5B56ADFFF", "Link")</f>
        <v/>
      </c>
      <c r="E264" s="3" t="n">
        <v>289.524</v>
      </c>
      <c r="F264" s="4" t="n">
        <v>18</v>
      </c>
      <c r="G264" t="inlineStr">
        <is>
          <t>Tennis Québec</t>
        </is>
      </c>
      <c r="H264" t="inlineStr">
        <is>
          <t>Tennis 13</t>
        </is>
      </c>
      <c r="I264" t="inlineStr">
        <is>
          <t>unavailable</t>
        </is>
      </c>
      <c r="J264" s="4" t="n">
        <v>85</v>
      </c>
      <c r="K264" t="inlineStr">
        <is>
          <t>38 / 47</t>
        </is>
      </c>
      <c r="L264" t="inlineStr">
        <is>
          <t>13 / 12</t>
        </is>
      </c>
      <c r="M264" s="5" t="n">
        <v>0.45</v>
      </c>
      <c r="N264" s="5" t="n">
        <v>0.52</v>
      </c>
    </row>
    <row r="265">
      <c r="A265" t="n">
        <v>264</v>
      </c>
      <c r="B265" t="n">
        <v>2016</v>
      </c>
      <c r="C265" t="inlineStr">
        <is>
          <t>Victoria Chang</t>
        </is>
      </c>
      <c r="D265">
        <f>HYPERLINK("https://ota.tournamentsoftware.com/player-profile/A391B4A7-44C6-4D9F-9A04-161A8B22E0C3", "Link")</f>
        <v/>
      </c>
      <c r="E265" s="3" t="n">
        <v>285.077</v>
      </c>
      <c r="F265" s="4" t="n">
        <v>19</v>
      </c>
      <c r="G265" t="inlineStr">
        <is>
          <t>Ontario Tennis Association</t>
        </is>
      </c>
      <c r="H265" t="inlineStr">
        <is>
          <t>Richmond Hill Country Club</t>
        </is>
      </c>
      <c r="I265" t="n">
        <v>31</v>
      </c>
      <c r="J265" s="4" t="n">
        <v>123</v>
      </c>
      <c r="K265" t="inlineStr">
        <is>
          <t>96 / 27</t>
        </is>
      </c>
      <c r="L265" t="inlineStr">
        <is>
          <t>48 / 11</t>
        </is>
      </c>
      <c r="M265" s="5" t="n">
        <v>0.78</v>
      </c>
      <c r="N265" s="5" t="n">
        <v>0.8100000000000001</v>
      </c>
    </row>
    <row r="266">
      <c r="A266" t="n">
        <v>265</v>
      </c>
      <c r="B266" t="n">
        <v>2013</v>
      </c>
      <c r="C266" t="inlineStr">
        <is>
          <t>Sasha Stack</t>
        </is>
      </c>
      <c r="D266">
        <f>HYPERLINK("https://ota.tournamentsoftware.com/player-profile/C0B95842-5E69-4EBF-8E5C-398666A7112E", "Link")</f>
        <v/>
      </c>
      <c r="E266" s="3" t="n">
        <v>283.679</v>
      </c>
      <c r="F266" s="4" t="n">
        <v>15</v>
      </c>
      <c r="G266" t="inlineStr">
        <is>
          <t>British Columbia</t>
        </is>
      </c>
      <c r="H266" t="inlineStr">
        <is>
          <t>Hollyburn Country Club</t>
        </is>
      </c>
      <c r="I266" t="n">
        <v>33</v>
      </c>
      <c r="J266" s="4" t="n">
        <v>113</v>
      </c>
      <c r="K266" t="inlineStr">
        <is>
          <t>52 / 61</t>
        </is>
      </c>
      <c r="L266" t="inlineStr">
        <is>
          <t>8 / 15</t>
        </is>
      </c>
      <c r="M266" s="5" t="n">
        <v>0.46</v>
      </c>
      <c r="N266" s="5" t="n">
        <v>0.35</v>
      </c>
    </row>
    <row r="267">
      <c r="A267" t="n">
        <v>266</v>
      </c>
      <c r="B267" t="n">
        <v>2014</v>
      </c>
      <c r="C267" t="inlineStr">
        <is>
          <t>Ela Velic</t>
        </is>
      </c>
      <c r="D267">
        <f>HYPERLINK("https://ota.tournamentsoftware.com/player-profile/5CC54F7D-0D30-4EF4-BE6C-A336041BBEE2", "Link")</f>
        <v/>
      </c>
      <c r="E267" s="3" t="n">
        <v>283.442</v>
      </c>
      <c r="F267" s="4" t="n">
        <v>27</v>
      </c>
      <c r="G267" t="inlineStr">
        <is>
          <t>Ontario Tennis Association</t>
        </is>
      </c>
      <c r="H267" t="inlineStr">
        <is>
          <t>Central Tennis Club</t>
        </is>
      </c>
      <c r="I267" t="n">
        <v>34</v>
      </c>
      <c r="J267" s="4" t="n">
        <v>107</v>
      </c>
      <c r="K267" t="inlineStr">
        <is>
          <t>54 / 53</t>
        </is>
      </c>
      <c r="L267" t="inlineStr">
        <is>
          <t>23 / 25</t>
        </is>
      </c>
      <c r="M267" s="5" t="n">
        <v>0.5</v>
      </c>
      <c r="N267" s="5" t="n">
        <v>0.48</v>
      </c>
    </row>
    <row r="268">
      <c r="A268" t="n">
        <v>267</v>
      </c>
      <c r="B268" t="n">
        <v>2014</v>
      </c>
      <c r="C268" t="inlineStr">
        <is>
          <t>Avelyn Deepak</t>
        </is>
      </c>
      <c r="D268">
        <f>HYPERLINK("https://ota.tournamentsoftware.com/player-profile/4412DB09-5DE9-45DA-AB13-46B4F24B409F", "Link")</f>
        <v/>
      </c>
      <c r="E268" s="3" t="n">
        <v>282.546</v>
      </c>
      <c r="F268" s="4" t="n">
        <v>10</v>
      </c>
      <c r="G268" t="inlineStr">
        <is>
          <t>Tennis Manitoba</t>
        </is>
      </c>
      <c r="H268" t="inlineStr">
        <is>
          <t>Winnipeg Winter Club</t>
        </is>
      </c>
      <c r="I268" t="n">
        <v>35.2</v>
      </c>
      <c r="J268" s="4" t="n">
        <v>35</v>
      </c>
      <c r="K268" t="inlineStr">
        <is>
          <t>9 / 26</t>
        </is>
      </c>
      <c r="L268" t="inlineStr">
        <is>
          <t>9 / 26</t>
        </is>
      </c>
      <c r="M268" s="5" t="n">
        <v>0.26</v>
      </c>
      <c r="N268" s="5" t="n">
        <v>0.26</v>
      </c>
    </row>
    <row r="269">
      <c r="A269" t="n">
        <v>268</v>
      </c>
      <c r="B269" t="n">
        <v>2013</v>
      </c>
      <c r="C269" t="inlineStr">
        <is>
          <t>Chanjoban Kaur Birdi</t>
        </is>
      </c>
      <c r="D269">
        <f>HYPERLINK("https://ota.tournamentsoftware.com/player-profile/26D50988-CF95-4A0A-9087-8DC8E38F0BDB", "Link")</f>
        <v/>
      </c>
      <c r="E269" s="3" t="n">
        <v>279.108</v>
      </c>
      <c r="F269" s="4" t="n">
        <v>20</v>
      </c>
      <c r="G269" t="inlineStr">
        <is>
          <t>British Columbia</t>
        </is>
      </c>
      <c r="H269" t="inlineStr">
        <is>
          <t>Newton Tennis Club</t>
        </is>
      </c>
      <c r="I269" t="n">
        <v>29.3</v>
      </c>
      <c r="J269" s="4" t="n">
        <v>207</v>
      </c>
      <c r="K269" t="inlineStr">
        <is>
          <t>103 / 104</t>
        </is>
      </c>
      <c r="L269" t="inlineStr">
        <is>
          <t>28 / 17</t>
        </is>
      </c>
      <c r="M269" s="5" t="n">
        <v>0.5</v>
      </c>
      <c r="N269" s="5" t="n">
        <v>0.62</v>
      </c>
    </row>
    <row r="270">
      <c r="A270" t="n">
        <v>269</v>
      </c>
      <c r="B270" t="n">
        <v>2014</v>
      </c>
      <c r="C270" t="inlineStr">
        <is>
          <t>Elliette Leah Tran</t>
        </is>
      </c>
      <c r="D270">
        <f>HYPERLINK("https://ota.tournamentsoftware.com/player-profile/9986D752-4364-42A6-9A1B-E1BC239760F0", "Link")</f>
        <v/>
      </c>
      <c r="E270" s="3" t="n">
        <v>278.539</v>
      </c>
      <c r="F270" s="4" t="n">
        <v>17</v>
      </c>
      <c r="G270" t="inlineStr">
        <is>
          <t>Tennis Alberta</t>
        </is>
      </c>
      <c r="H270" t="inlineStr">
        <is>
          <t>Saville Community Sports Centre</t>
        </is>
      </c>
      <c r="I270" t="inlineStr">
        <is>
          <t>unavailable</t>
        </is>
      </c>
      <c r="J270" s="4" t="n">
        <v>118</v>
      </c>
      <c r="K270" t="inlineStr">
        <is>
          <t>59 / 59</t>
        </is>
      </c>
      <c r="L270" t="inlineStr">
        <is>
          <t>24 / 19</t>
        </is>
      </c>
      <c r="M270" s="5" t="n">
        <v>0.5</v>
      </c>
      <c r="N270" s="5" t="n">
        <v>0.5600000000000001</v>
      </c>
    </row>
    <row r="271">
      <c r="A271" t="n">
        <v>270</v>
      </c>
      <c r="B271" t="n">
        <v>2013</v>
      </c>
      <c r="C271" t="inlineStr">
        <is>
          <t>Maddie Kershaw</t>
        </is>
      </c>
      <c r="D271">
        <f>HYPERLINK("https://ota.tournamentsoftware.com/player-profile/14F8911D-BF5A-4FE7-BFF6-D5A71E72307F", "Link")</f>
        <v/>
      </c>
      <c r="E271" s="3" t="n">
        <v>278.432</v>
      </c>
      <c r="F271" s="4" t="n">
        <v>10</v>
      </c>
      <c r="G271" t="inlineStr">
        <is>
          <t>Tennis New Brunswick</t>
        </is>
      </c>
      <c r="H271" t="inlineStr">
        <is>
          <t>Abony Family Tennis Center</t>
        </is>
      </c>
      <c r="I271" t="n">
        <v>33.9</v>
      </c>
      <c r="J271" s="4" t="n">
        <v>188</v>
      </c>
      <c r="K271" t="inlineStr">
        <is>
          <t>95 / 93</t>
        </is>
      </c>
      <c r="L271" t="inlineStr">
        <is>
          <t>16 / 23</t>
        </is>
      </c>
      <c r="M271" s="5" t="n">
        <v>0.51</v>
      </c>
      <c r="N271" s="5" t="n">
        <v>0.41</v>
      </c>
    </row>
    <row r="272">
      <c r="A272" t="n">
        <v>271</v>
      </c>
      <c r="B272" t="n">
        <v>2012</v>
      </c>
      <c r="C272" t="inlineStr">
        <is>
          <t>Jana Karkoukli</t>
        </is>
      </c>
      <c r="D272">
        <f>HYPERLINK("https://ota.tournamentsoftware.com/player-profile/ED5D7332-7665-453C-87FD-D7E5B172FD8A", "Link")</f>
        <v/>
      </c>
      <c r="E272" s="3" t="n">
        <v>276.736</v>
      </c>
      <c r="F272" s="4" t="n">
        <v>22</v>
      </c>
      <c r="G272" t="inlineStr">
        <is>
          <t>Tennis Québec</t>
        </is>
      </c>
      <c r="H272" t="inlineStr">
        <is>
          <t>EB Tennis inc.</t>
        </is>
      </c>
      <c r="I272" t="n">
        <v>35.6</v>
      </c>
      <c r="J272" s="4" t="n">
        <v>187</v>
      </c>
      <c r="K272" t="inlineStr">
        <is>
          <t>51 / 136</t>
        </is>
      </c>
      <c r="L272" t="inlineStr">
        <is>
          <t>2 / 19</t>
        </is>
      </c>
      <c r="M272" s="5" t="n">
        <v>0.27</v>
      </c>
      <c r="N272" s="5" t="n">
        <v>0.1</v>
      </c>
    </row>
    <row r="273">
      <c r="A273" t="n">
        <v>272</v>
      </c>
      <c r="B273" t="n">
        <v>2012</v>
      </c>
      <c r="C273" t="inlineStr">
        <is>
          <t>ella kim brend</t>
        </is>
      </c>
      <c r="D273">
        <f>HYPERLINK("https://ota.tournamentsoftware.com/player-profile/C777EDB2-AC2E-4E02-948A-26DCAC347821", "Link")</f>
        <v/>
      </c>
      <c r="E273" s="3" t="n">
        <v>274.297</v>
      </c>
      <c r="F273" s="4" t="n">
        <v>19</v>
      </c>
      <c r="G273" t="inlineStr">
        <is>
          <t>British Columbia</t>
        </is>
      </c>
      <c r="H273" t="inlineStr">
        <is>
          <t>The Tennis Centre</t>
        </is>
      </c>
      <c r="I273" t="n">
        <v>30.1</v>
      </c>
      <c r="J273" s="4" t="n">
        <v>128</v>
      </c>
      <c r="K273" t="inlineStr">
        <is>
          <t>88 / 40</t>
        </is>
      </c>
      <c r="L273" t="inlineStr">
        <is>
          <t>36 / 15</t>
        </is>
      </c>
      <c r="M273" s="5" t="n">
        <v>0.6899999999999999</v>
      </c>
      <c r="N273" s="5" t="n">
        <v>0.71</v>
      </c>
    </row>
    <row r="274">
      <c r="A274" t="n">
        <v>273</v>
      </c>
      <c r="B274" t="n">
        <v>2014</v>
      </c>
      <c r="C274" t="inlineStr">
        <is>
          <t>Candice YAO</t>
        </is>
      </c>
      <c r="D274">
        <f>HYPERLINK("https://ota.tournamentsoftware.com/player-profile/2EEE6D95-1504-4E36-A996-F48A3CD7FC03", "Link")</f>
        <v/>
      </c>
      <c r="E274" s="3" t="n">
        <v>273.266</v>
      </c>
      <c r="F274" s="4" t="n">
        <v>19</v>
      </c>
      <c r="G274" t="inlineStr">
        <is>
          <t>Ontario Tennis Association</t>
        </is>
      </c>
      <c r="H274" t="inlineStr">
        <is>
          <t>Richmondhill Golf &amp; Country Club</t>
        </is>
      </c>
      <c r="I274" t="n">
        <v>32.6</v>
      </c>
      <c r="J274" s="4" t="n">
        <v>96</v>
      </c>
      <c r="K274" t="inlineStr">
        <is>
          <t>44 / 52</t>
        </is>
      </c>
      <c r="L274" t="inlineStr">
        <is>
          <t>20 / 13</t>
        </is>
      </c>
      <c r="M274" s="5" t="n">
        <v>0.46</v>
      </c>
      <c r="N274" s="5" t="n">
        <v>0.61</v>
      </c>
    </row>
    <row r="275">
      <c r="A275" t="n">
        <v>274</v>
      </c>
      <c r="B275" t="n">
        <v>2014</v>
      </c>
      <c r="C275" t="inlineStr">
        <is>
          <t>Mégane Bernard</t>
        </is>
      </c>
      <c r="D275">
        <f>HYPERLINK("https://ota.tournamentsoftware.com/player-profile/041B9415-6EB0-452F-AD3F-EA68CADBA2FB", "Link")</f>
        <v/>
      </c>
      <c r="E275" s="3" t="n">
        <v>270.986</v>
      </c>
      <c r="F275" s="4" t="n">
        <v>20</v>
      </c>
      <c r="G275" t="inlineStr">
        <is>
          <t>Tennis Québec</t>
        </is>
      </c>
      <c r="H275" t="inlineStr">
        <is>
          <t>Tennis 13</t>
        </is>
      </c>
      <c r="I275" t="n">
        <v>32.5</v>
      </c>
      <c r="J275" s="4" t="n">
        <v>194</v>
      </c>
      <c r="K275" t="inlineStr">
        <is>
          <t>86 / 108</t>
        </is>
      </c>
      <c r="L275" t="inlineStr">
        <is>
          <t>16 / 22</t>
        </is>
      </c>
      <c r="M275" s="5" t="n">
        <v>0.44</v>
      </c>
      <c r="N275" s="5" t="n">
        <v>0.42</v>
      </c>
    </row>
    <row r="276">
      <c r="A276" t="n">
        <v>275</v>
      </c>
      <c r="B276" t="n">
        <v>2014</v>
      </c>
      <c r="C276" t="inlineStr">
        <is>
          <t>Elisa Krumov</t>
        </is>
      </c>
      <c r="D276">
        <f>HYPERLINK("https://ota.tournamentsoftware.com/player-profile/8B5D18FC-0F51-468A-BE7C-7EA242A06382", "Link")</f>
        <v/>
      </c>
      <c r="E276" s="3" t="n">
        <v>270.273</v>
      </c>
      <c r="F276" s="4" t="n">
        <v>19</v>
      </c>
      <c r="G276" t="inlineStr">
        <is>
          <t>Ontario Tennis Association</t>
        </is>
      </c>
      <c r="H276" t="inlineStr">
        <is>
          <t>Joshua Creek Golf &amp; Tennis</t>
        </is>
      </c>
      <c r="I276" t="n">
        <v>33</v>
      </c>
      <c r="J276" s="4" t="n">
        <v>92</v>
      </c>
      <c r="K276" t="inlineStr">
        <is>
          <t>43 / 49</t>
        </is>
      </c>
      <c r="L276" t="inlineStr">
        <is>
          <t>16 / 19</t>
        </is>
      </c>
      <c r="M276" s="5" t="n">
        <v>0.47</v>
      </c>
      <c r="N276" s="5" t="n">
        <v>0.46</v>
      </c>
    </row>
    <row r="277">
      <c r="A277" t="n">
        <v>276</v>
      </c>
      <c r="B277" t="n">
        <v>2013</v>
      </c>
      <c r="C277" t="inlineStr">
        <is>
          <t>Gabriela Gardonyi</t>
        </is>
      </c>
      <c r="D277">
        <f>HYPERLINK("https://ota.tournamentsoftware.com/player-profile/EA584DC9-AF4E-413B-BF0B-75746024F8E4", "Link")</f>
        <v/>
      </c>
      <c r="E277" s="3" t="n">
        <v>269.544</v>
      </c>
      <c r="F277" s="4" t="n">
        <v>22</v>
      </c>
      <c r="G277" t="inlineStr">
        <is>
          <t>Ontario Tennis Association</t>
        </is>
      </c>
      <c r="H277" t="inlineStr">
        <is>
          <t>Richmond Hill Country Club</t>
        </is>
      </c>
      <c r="I277" t="inlineStr">
        <is>
          <t>unavailable</t>
        </is>
      </c>
      <c r="J277" s="4" t="n">
        <v>122</v>
      </c>
      <c r="K277" t="inlineStr">
        <is>
          <t>56 / 66</t>
        </is>
      </c>
      <c r="L277" t="inlineStr">
        <is>
          <t>21 / 22</t>
        </is>
      </c>
      <c r="M277" s="5" t="n">
        <v>0.46</v>
      </c>
      <c r="N277" s="5" t="n">
        <v>0.49</v>
      </c>
    </row>
    <row r="278">
      <c r="A278" t="n">
        <v>277</v>
      </c>
      <c r="B278" t="n">
        <v>2015</v>
      </c>
      <c r="C278" t="inlineStr">
        <is>
          <t>Sophia Shiqi Zeng</t>
        </is>
      </c>
      <c r="D278">
        <f>HYPERLINK("https://ota.tournamentsoftware.com/player-profile/F1A373DA-18B2-46FA-AF39-157644DB679B", "Link")</f>
        <v/>
      </c>
      <c r="E278" s="3" t="n">
        <v>267.836</v>
      </c>
      <c r="F278" s="4" t="n">
        <v>21</v>
      </c>
      <c r="G278" t="inlineStr">
        <is>
          <t>British Columbia</t>
        </is>
      </c>
      <c r="H278" t="inlineStr">
        <is>
          <t>The Tennis Centre</t>
        </is>
      </c>
      <c r="I278" t="n">
        <v>31.5</v>
      </c>
      <c r="J278" s="4" t="n">
        <v>189</v>
      </c>
      <c r="K278" t="inlineStr">
        <is>
          <t>104 / 85</t>
        </is>
      </c>
      <c r="L278" t="inlineStr">
        <is>
          <t>30 / 16</t>
        </is>
      </c>
      <c r="M278" s="5" t="n">
        <v>0.55</v>
      </c>
      <c r="N278" s="5" t="n">
        <v>0.65</v>
      </c>
    </row>
    <row r="279">
      <c r="A279" t="n">
        <v>278</v>
      </c>
      <c r="B279" t="n">
        <v>2012</v>
      </c>
      <c r="C279" t="inlineStr">
        <is>
          <t>Kristina Khlyebnykova</t>
        </is>
      </c>
      <c r="D279">
        <f>HYPERLINK("https://ota.tournamentsoftware.com/player-profile/D585FC7E-ABD0-44A4-A0AC-539E39880B84", "Link")</f>
        <v/>
      </c>
      <c r="E279" s="3" t="n">
        <v>267.654</v>
      </c>
      <c r="F279" s="4" t="n">
        <v>14</v>
      </c>
      <c r="G279" t="inlineStr">
        <is>
          <t>Ontario Tennis Association</t>
        </is>
      </c>
      <c r="H279" t="inlineStr">
        <is>
          <t>Concord Tennis Academy</t>
        </is>
      </c>
      <c r="I279" t="n">
        <v>32.5</v>
      </c>
      <c r="J279" s="4" t="n">
        <v>73</v>
      </c>
      <c r="K279" t="inlineStr">
        <is>
          <t>35 / 38</t>
        </is>
      </c>
      <c r="L279" t="inlineStr">
        <is>
          <t>14 / 11</t>
        </is>
      </c>
      <c r="M279" s="5" t="n">
        <v>0.48</v>
      </c>
      <c r="N279" s="5" t="n">
        <v>0.5600000000000001</v>
      </c>
    </row>
    <row r="280">
      <c r="A280" t="n">
        <v>279</v>
      </c>
      <c r="B280" t="n">
        <v>2015</v>
      </c>
      <c r="C280" t="inlineStr">
        <is>
          <t>Alia Idrissi Serghini</t>
        </is>
      </c>
      <c r="D280">
        <f>HYPERLINK("https://ota.tournamentsoftware.com/player-profile/CF328206-362D-4259-AA9F-74B7EF760A80", "Link")</f>
        <v/>
      </c>
      <c r="E280" s="3" t="n">
        <v>267.456</v>
      </c>
      <c r="F280" s="4" t="n">
        <v>18</v>
      </c>
      <c r="G280" t="inlineStr">
        <is>
          <t>Tennis Québec</t>
        </is>
      </c>
      <c r="H280" t="inlineStr">
        <is>
          <t>Centre récréatif de Repentigny / Académie Tennis Momentum</t>
        </is>
      </c>
      <c r="I280" t="n">
        <v>32.6</v>
      </c>
      <c r="J280" s="4" t="n">
        <v>139</v>
      </c>
      <c r="K280" t="inlineStr">
        <is>
          <t>84 / 55</t>
        </is>
      </c>
      <c r="L280" t="inlineStr">
        <is>
          <t>19 / 19</t>
        </is>
      </c>
      <c r="M280" s="5" t="n">
        <v>0.6</v>
      </c>
      <c r="N280" s="5" t="n">
        <v>0.5</v>
      </c>
    </row>
    <row r="281">
      <c r="A281" t="n">
        <v>280</v>
      </c>
      <c r="B281" t="n">
        <v>2015</v>
      </c>
      <c r="C281" t="inlineStr">
        <is>
          <t>Alexia Picciola</t>
        </is>
      </c>
      <c r="D281">
        <f>HYPERLINK("https://ota.tournamentsoftware.com/player-profile/91C9A734-3E6E-45CC-B46D-51BF9C9A7FC4", "Link")</f>
        <v/>
      </c>
      <c r="E281" s="3" t="n">
        <v>264.417</v>
      </c>
      <c r="F281" s="4" t="n">
        <v>19</v>
      </c>
      <c r="G281" t="inlineStr">
        <is>
          <t>Tennis Québec</t>
        </is>
      </c>
      <c r="H281" t="inlineStr">
        <is>
          <t>Tennis Montréal Excellence</t>
        </is>
      </c>
      <c r="I281" t="n">
        <v>31.8</v>
      </c>
      <c r="J281" s="4" t="n">
        <v>163</v>
      </c>
      <c r="K281" t="inlineStr">
        <is>
          <t>79 / 84</t>
        </is>
      </c>
      <c r="L281" t="inlineStr">
        <is>
          <t>32 / 18</t>
        </is>
      </c>
      <c r="M281" s="5" t="n">
        <v>0.48</v>
      </c>
      <c r="N281" s="5" t="n">
        <v>0.64</v>
      </c>
    </row>
    <row r="282">
      <c r="A282" t="n">
        <v>281</v>
      </c>
      <c r="B282" t="n">
        <v>2013</v>
      </c>
      <c r="C282" t="inlineStr">
        <is>
          <t>Mia Tran</t>
        </is>
      </c>
      <c r="D282">
        <f>HYPERLINK("https://ota.tournamentsoftware.com/player-profile/140A029D-3BE9-44F2-AA6A-53ED5C2991A8", "Link")</f>
        <v/>
      </c>
      <c r="E282" s="3" t="n">
        <v>263.48</v>
      </c>
      <c r="F282" s="4" t="n">
        <v>11</v>
      </c>
      <c r="G282" t="inlineStr">
        <is>
          <t>Ontario Tennis Association</t>
        </is>
      </c>
      <c r="H282" t="inlineStr">
        <is>
          <t>SmartVMC Racquetsports by ACE</t>
        </is>
      </c>
      <c r="I282" t="n">
        <v>32.7</v>
      </c>
      <c r="J282" s="4" t="n">
        <v>86</v>
      </c>
      <c r="K282" t="inlineStr">
        <is>
          <t>53 / 33</t>
        </is>
      </c>
      <c r="L282" t="inlineStr">
        <is>
          <t>14 / 8</t>
        </is>
      </c>
      <c r="M282" s="5" t="n">
        <v>0.62</v>
      </c>
      <c r="N282" s="5" t="n">
        <v>0.64</v>
      </c>
    </row>
    <row r="283">
      <c r="A283" t="n">
        <v>282</v>
      </c>
      <c r="B283" t="n">
        <v>2015</v>
      </c>
      <c r="C283" t="inlineStr">
        <is>
          <t>Hannah D'Souza</t>
        </is>
      </c>
      <c r="D283">
        <f>HYPERLINK("https://ota.tournamentsoftware.com/player-profile/6516E6BE-4D11-4CDB-8F62-FFE106E8A899", "Link")</f>
        <v/>
      </c>
      <c r="E283" s="3" t="n">
        <v>263.065</v>
      </c>
      <c r="F283" s="4" t="n">
        <v>28</v>
      </c>
      <c r="G283" t="inlineStr">
        <is>
          <t>Ontario Tennis Association</t>
        </is>
      </c>
      <c r="H283" t="inlineStr">
        <is>
          <t>No Club</t>
        </is>
      </c>
      <c r="I283" t="n">
        <v>33.5</v>
      </c>
      <c r="J283" s="4" t="n">
        <v>160</v>
      </c>
      <c r="K283" t="inlineStr">
        <is>
          <t>66 / 94</t>
        </is>
      </c>
      <c r="L283" t="inlineStr">
        <is>
          <t>22 / 25</t>
        </is>
      </c>
      <c r="M283" s="5" t="n">
        <v>0.41</v>
      </c>
      <c r="N283" s="5" t="n">
        <v>0.47</v>
      </c>
    </row>
    <row r="284">
      <c r="A284" t="n">
        <v>283</v>
      </c>
      <c r="B284" t="n">
        <v>2014</v>
      </c>
      <c r="C284" t="inlineStr">
        <is>
          <t>Thanushka Sadasivam</t>
        </is>
      </c>
      <c r="D284">
        <f>HYPERLINK("https://ota.tournamentsoftware.com/player-profile/CA495DA8-0B9D-4530-9886-FC567CD73AE9", "Link")</f>
        <v/>
      </c>
      <c r="E284" s="3" t="n">
        <v>260.403</v>
      </c>
      <c r="F284" s="4" t="n">
        <v>15</v>
      </c>
      <c r="G284" t="inlineStr">
        <is>
          <t>Ontario Tennis Association</t>
        </is>
      </c>
      <c r="H284" t="inlineStr">
        <is>
          <t>Ontario Racquet Club</t>
        </is>
      </c>
      <c r="I284" t="n">
        <v>35.2</v>
      </c>
      <c r="J284" s="4" t="n">
        <v>59</v>
      </c>
      <c r="K284" t="inlineStr">
        <is>
          <t>25 / 34</t>
        </is>
      </c>
      <c r="L284" t="inlineStr">
        <is>
          <t>7 / 12</t>
        </is>
      </c>
      <c r="M284" s="5" t="n">
        <v>0.42</v>
      </c>
      <c r="N284" s="5" t="n">
        <v>0.37</v>
      </c>
    </row>
    <row r="285">
      <c r="A285" t="n">
        <v>284</v>
      </c>
      <c r="B285" t="n">
        <v>2015</v>
      </c>
      <c r="C285" t="inlineStr">
        <is>
          <t>Emma Xu</t>
        </is>
      </c>
      <c r="D285">
        <f>HYPERLINK("https://ota.tournamentsoftware.com/player-profile/464089C3-D2B4-413F-A102-AF0AEFF9A318", "Link")</f>
        <v/>
      </c>
      <c r="E285" s="3" t="n">
        <v>259.338</v>
      </c>
      <c r="F285" s="4" t="n">
        <v>9</v>
      </c>
      <c r="G285" t="inlineStr">
        <is>
          <t>Tennis Manitoba</t>
        </is>
      </c>
      <c r="H285" t="inlineStr">
        <is>
          <t>Taylor Tennis</t>
        </is>
      </c>
      <c r="I285" t="n">
        <v>36.3</v>
      </c>
      <c r="J285" s="4" t="n">
        <v>100</v>
      </c>
      <c r="K285" t="inlineStr">
        <is>
          <t>27 / 73</t>
        </is>
      </c>
      <c r="L285" t="inlineStr">
        <is>
          <t>9 / 28</t>
        </is>
      </c>
      <c r="M285" s="5" t="n">
        <v>0.27</v>
      </c>
      <c r="N285" s="5" t="n">
        <v>0.24</v>
      </c>
    </row>
    <row r="286">
      <c r="A286" t="n">
        <v>285</v>
      </c>
      <c r="B286" t="n">
        <v>2015</v>
      </c>
      <c r="C286" t="inlineStr">
        <is>
          <t>Sofia Twynam</t>
        </is>
      </c>
      <c r="D286">
        <f>HYPERLINK("https://ota.tournamentsoftware.com/player-profile/025F0929-F490-4440-8CB6-08E8D1F59F08", "Link")</f>
        <v/>
      </c>
      <c r="E286" s="3" t="n">
        <v>259.039</v>
      </c>
      <c r="F286" s="4" t="n">
        <v>16</v>
      </c>
      <c r="G286" t="inlineStr">
        <is>
          <t>Tennis Québec</t>
        </is>
      </c>
      <c r="H286" t="inlineStr">
        <is>
          <t>SANI Sport</t>
        </is>
      </c>
      <c r="I286" t="n">
        <v>32.1</v>
      </c>
      <c r="J286" s="4" t="n">
        <v>131</v>
      </c>
      <c r="K286" t="inlineStr">
        <is>
          <t>72 / 59</t>
        </is>
      </c>
      <c r="L286" t="inlineStr">
        <is>
          <t>17 / 16</t>
        </is>
      </c>
      <c r="M286" s="5" t="n">
        <v>0.55</v>
      </c>
      <c r="N286" s="5" t="n">
        <v>0.52</v>
      </c>
    </row>
    <row r="287">
      <c r="A287" t="n">
        <v>286</v>
      </c>
      <c r="B287" t="n">
        <v>2012</v>
      </c>
      <c r="C287" t="inlineStr">
        <is>
          <t>Louanna Perron</t>
        </is>
      </c>
      <c r="D287">
        <f>HYPERLINK("https://ota.tournamentsoftware.com/player-profile/0D5BD355-F71F-4A8A-B269-0D225B56C809", "Link")</f>
        <v/>
      </c>
      <c r="E287" s="3" t="n">
        <v>258.079</v>
      </c>
      <c r="F287" s="4" t="n">
        <v>11</v>
      </c>
      <c r="G287" t="inlineStr">
        <is>
          <t>Tennis Québec</t>
        </is>
      </c>
      <c r="H287" t="inlineStr">
        <is>
          <t>Tennis 13 / Académie Ménard et associé</t>
        </is>
      </c>
      <c r="I287" t="n">
        <v>33.1</v>
      </c>
      <c r="J287" s="4" t="n">
        <v>25</v>
      </c>
      <c r="K287" t="inlineStr">
        <is>
          <t>10 / 15</t>
        </is>
      </c>
      <c r="L287" t="inlineStr">
        <is>
          <t>4 / 7</t>
        </is>
      </c>
      <c r="M287" s="5" t="n">
        <v>0.4</v>
      </c>
      <c r="N287" s="5" t="n">
        <v>0.36</v>
      </c>
    </row>
    <row r="288">
      <c r="A288" t="n">
        <v>287</v>
      </c>
      <c r="B288" t="n">
        <v>2013</v>
      </c>
      <c r="C288" t="inlineStr">
        <is>
          <t>Victoria Ta</t>
        </is>
      </c>
      <c r="D288">
        <f>HYPERLINK("https://ota.tournamentsoftware.com/player-profile/A9D6CF45-A7F1-427F-A376-2C40852D98CD", "Link")</f>
        <v/>
      </c>
      <c r="E288" s="3" t="n">
        <v>256.435</v>
      </c>
      <c r="F288" s="4" t="n">
        <v>19</v>
      </c>
      <c r="G288" t="inlineStr">
        <is>
          <t>Ontario Tennis Association</t>
        </is>
      </c>
      <c r="H288" t="inlineStr">
        <is>
          <t>Lambton Golf &amp; Country Club</t>
        </is>
      </c>
      <c r="I288" t="n">
        <v>32.4</v>
      </c>
      <c r="J288" s="4" t="n">
        <v>103</v>
      </c>
      <c r="K288" t="inlineStr">
        <is>
          <t>50 / 53</t>
        </is>
      </c>
      <c r="L288" t="inlineStr">
        <is>
          <t>15 / 13</t>
        </is>
      </c>
      <c r="M288" s="5" t="n">
        <v>0.49</v>
      </c>
      <c r="N288" s="5" t="n">
        <v>0.54</v>
      </c>
    </row>
    <row r="289">
      <c r="A289" t="n">
        <v>288</v>
      </c>
      <c r="B289" t="n">
        <v>2013</v>
      </c>
      <c r="C289" t="inlineStr">
        <is>
          <t>Ebun Fasanya</t>
        </is>
      </c>
      <c r="D289">
        <f>HYPERLINK("https://ota.tournamentsoftware.com/player-profile/943BB22B-8108-44B4-80BD-15A6984D1D23", "Link")</f>
        <v/>
      </c>
      <c r="E289" s="3" t="n">
        <v>256.168</v>
      </c>
      <c r="F289" s="4" t="n">
        <v>17</v>
      </c>
      <c r="G289" t="inlineStr">
        <is>
          <t>Ontario Tennis Association</t>
        </is>
      </c>
      <c r="H289" t="inlineStr">
        <is>
          <t>Joshua Creek Golf &amp; Tennis</t>
        </is>
      </c>
      <c r="I289" t="n">
        <v>33.9</v>
      </c>
      <c r="J289" s="4" t="n">
        <v>82</v>
      </c>
      <c r="K289" t="inlineStr">
        <is>
          <t>45 / 37</t>
        </is>
      </c>
      <c r="L289" t="inlineStr">
        <is>
          <t>17 / 14</t>
        </is>
      </c>
      <c r="M289" s="5" t="n">
        <v>0.55</v>
      </c>
      <c r="N289" s="5" t="n">
        <v>0.55</v>
      </c>
    </row>
    <row r="290">
      <c r="A290" t="n">
        <v>289</v>
      </c>
      <c r="B290" t="n">
        <v>2012</v>
      </c>
      <c r="C290" t="inlineStr">
        <is>
          <t>Jessica Li</t>
        </is>
      </c>
      <c r="D290">
        <f>HYPERLINK("https://ota.tournamentsoftware.com/player-profile/9F51CCE2-07F1-48BF-B635-CE7622769243", "Link")</f>
        <v/>
      </c>
      <c r="E290" s="3" t="n">
        <v>254.244</v>
      </c>
      <c r="F290" s="4" t="n">
        <v>12</v>
      </c>
      <c r="G290" t="inlineStr">
        <is>
          <t>Ontario Tennis Association</t>
        </is>
      </c>
      <c r="H290" t="inlineStr">
        <is>
          <t>Markham Tennis Club</t>
        </is>
      </c>
      <c r="I290" t="inlineStr">
        <is>
          <t>unavailable</t>
        </is>
      </c>
      <c r="J290" s="4" t="n">
        <v>60</v>
      </c>
      <c r="K290" t="inlineStr">
        <is>
          <t>29 / 31</t>
        </is>
      </c>
      <c r="L290" t="inlineStr">
        <is>
          <t>11 / 9</t>
        </is>
      </c>
      <c r="M290" s="5" t="n">
        <v>0.48</v>
      </c>
      <c r="N290" s="5" t="n">
        <v>0.55</v>
      </c>
    </row>
    <row r="291">
      <c r="A291" t="n">
        <v>290</v>
      </c>
      <c r="B291" t="n">
        <v>2014</v>
      </c>
      <c r="C291" t="inlineStr">
        <is>
          <t>SOFIA LUCKY</t>
        </is>
      </c>
      <c r="D291">
        <f>HYPERLINK("https://ota.tournamentsoftware.com/player-profile/9A590660-3C23-4CD7-A9AF-30CC3227EC17", "Link")</f>
        <v/>
      </c>
      <c r="E291" s="3" t="n">
        <v>252.375</v>
      </c>
      <c r="F291" s="4" t="n">
        <v>13</v>
      </c>
      <c r="G291" t="inlineStr">
        <is>
          <t>Tennis Québec</t>
        </is>
      </c>
      <c r="H291" t="inlineStr">
        <is>
          <t>Académie de tennis UNI(T)</t>
        </is>
      </c>
      <c r="I291" t="n">
        <v>34.1</v>
      </c>
      <c r="J291" s="4" t="n">
        <v>88</v>
      </c>
      <c r="K291" t="inlineStr">
        <is>
          <t>33 / 55</t>
        </is>
      </c>
      <c r="L291" t="inlineStr">
        <is>
          <t>12 / 10</t>
        </is>
      </c>
      <c r="M291" s="5" t="n">
        <v>0.38</v>
      </c>
      <c r="N291" s="5" t="n">
        <v>0.55</v>
      </c>
    </row>
    <row r="292">
      <c r="A292" t="n">
        <v>291</v>
      </c>
      <c r="B292" t="n">
        <v>2015</v>
      </c>
      <c r="C292" t="inlineStr">
        <is>
          <t>Ella Potechin</t>
        </is>
      </c>
      <c r="D292">
        <f>HYPERLINK("https://ota.tournamentsoftware.com/player-profile/6611C50A-5A2F-4DF7-B99B-97DD644D2C2A", "Link")</f>
        <v/>
      </c>
      <c r="E292" s="3" t="n">
        <v>251.009</v>
      </c>
      <c r="F292" s="4" t="n">
        <v>16</v>
      </c>
      <c r="G292" t="inlineStr">
        <is>
          <t>Ontario Tennis Association</t>
        </is>
      </c>
      <c r="H292" t="inlineStr">
        <is>
          <t>Tennis Outaouais Performance (TOP) ON</t>
        </is>
      </c>
      <c r="I292" t="n">
        <v>34.9</v>
      </c>
      <c r="J292" s="4" t="n">
        <v>98</v>
      </c>
      <c r="K292" t="inlineStr">
        <is>
          <t>40 / 58</t>
        </is>
      </c>
      <c r="L292" t="inlineStr">
        <is>
          <t>23 / 22</t>
        </is>
      </c>
      <c r="M292" s="5" t="n">
        <v>0.41</v>
      </c>
      <c r="N292" s="5" t="n">
        <v>0.51</v>
      </c>
    </row>
    <row r="293">
      <c r="A293" t="n">
        <v>292</v>
      </c>
      <c r="B293" t="n">
        <v>2015</v>
      </c>
      <c r="C293" t="inlineStr">
        <is>
          <t>Keira Braudo</t>
        </is>
      </c>
      <c r="D293">
        <f>HYPERLINK("https://ota.tournamentsoftware.com/player-profile/8D683600-A107-430B-BBAA-BD98BDCE0FD8", "Link")</f>
        <v/>
      </c>
      <c r="E293" s="3" t="n">
        <v>250.103</v>
      </c>
      <c r="F293" s="4" t="n">
        <v>13</v>
      </c>
      <c r="G293" t="inlineStr">
        <is>
          <t>Ontario Tennis Association</t>
        </is>
      </c>
      <c r="H293" t="inlineStr">
        <is>
          <t>Mayfair West Fitness &amp; Racquet Club</t>
        </is>
      </c>
      <c r="I293" t="n">
        <v>30.6</v>
      </c>
      <c r="J293" s="4" t="n">
        <v>72</v>
      </c>
      <c r="K293" t="inlineStr">
        <is>
          <t>48 / 24</t>
        </is>
      </c>
      <c r="L293" t="inlineStr">
        <is>
          <t>25 / 6</t>
        </is>
      </c>
      <c r="M293" s="5" t="n">
        <v>0.67</v>
      </c>
      <c r="N293" s="5" t="n">
        <v>0.8100000000000001</v>
      </c>
    </row>
    <row r="294">
      <c r="A294" t="n">
        <v>293</v>
      </c>
      <c r="B294" t="n">
        <v>2015</v>
      </c>
      <c r="C294" t="inlineStr">
        <is>
          <t>Lydia Huang</t>
        </is>
      </c>
      <c r="D294">
        <f>HYPERLINK("https://ota.tournamentsoftware.com/player-profile/C398C976-6D88-4D76-B532-8E986C6FF0EA", "Link")</f>
        <v/>
      </c>
      <c r="E294" s="3" t="n">
        <v>250.066</v>
      </c>
      <c r="F294" s="4" t="n">
        <v>30</v>
      </c>
      <c r="G294" t="inlineStr">
        <is>
          <t>Ontario Tennis Association</t>
        </is>
      </c>
      <c r="H294" t="inlineStr">
        <is>
          <t>The Supreme Court Tennis Club</t>
        </is>
      </c>
      <c r="I294" t="n">
        <v>32.4</v>
      </c>
      <c r="J294" s="4" t="n">
        <v>106</v>
      </c>
      <c r="K294" t="inlineStr">
        <is>
          <t>65 / 41</t>
        </is>
      </c>
      <c r="L294" t="inlineStr">
        <is>
          <t>36 / 23</t>
        </is>
      </c>
      <c r="M294" s="5" t="n">
        <v>0.61</v>
      </c>
      <c r="N294" s="5" t="n">
        <v>0.61</v>
      </c>
    </row>
    <row r="295">
      <c r="A295" t="n">
        <v>294</v>
      </c>
      <c r="B295" t="n">
        <v>2014</v>
      </c>
      <c r="C295" t="inlineStr">
        <is>
          <t>Emma Lajoie</t>
        </is>
      </c>
      <c r="D295">
        <f>HYPERLINK("https://ota.tournamentsoftware.com/player-profile/E1635D80-45C0-4A06-8270-280699032897", "Link")</f>
        <v/>
      </c>
      <c r="E295" s="3" t="n">
        <v>249.285</v>
      </c>
      <c r="F295" s="4" t="n">
        <v>20</v>
      </c>
      <c r="G295" t="inlineStr">
        <is>
          <t>Tennis Québec</t>
        </is>
      </c>
      <c r="H295" t="inlineStr">
        <is>
          <t>SANI Sport</t>
        </is>
      </c>
      <c r="I295" t="n">
        <v>33</v>
      </c>
      <c r="J295" s="4" t="n">
        <v>160</v>
      </c>
      <c r="K295" t="inlineStr">
        <is>
          <t>81 / 79</t>
        </is>
      </c>
      <c r="L295" t="inlineStr">
        <is>
          <t>19 / 23</t>
        </is>
      </c>
      <c r="M295" s="5" t="n">
        <v>0.51</v>
      </c>
      <c r="N295" s="5" t="n">
        <v>0.45</v>
      </c>
    </row>
    <row r="296">
      <c r="A296" t="n">
        <v>295</v>
      </c>
      <c r="B296" t="n">
        <v>2013</v>
      </c>
      <c r="C296" t="inlineStr">
        <is>
          <t>Elina Farmanbar</t>
        </is>
      </c>
      <c r="D296">
        <f>HYPERLINK("https://ota.tournamentsoftware.com/player-profile/CBAE609B-7C8B-4EA5-976F-0F6C1089D79C", "Link")</f>
        <v/>
      </c>
      <c r="E296" s="3" t="n">
        <v>248</v>
      </c>
      <c r="F296" s="4" t="n">
        <v>1</v>
      </c>
      <c r="G296" t="inlineStr">
        <is>
          <t>Ontario Tennis Association</t>
        </is>
      </c>
      <c r="H296" t="inlineStr">
        <is>
          <t>Thornhill Park Tennis Club</t>
        </is>
      </c>
      <c r="I296" t="n">
        <v>24.1</v>
      </c>
      <c r="J296" s="4" t="n">
        <v>73</v>
      </c>
      <c r="K296" t="inlineStr">
        <is>
          <t>54 / 19</t>
        </is>
      </c>
      <c r="L296" t="inlineStr">
        <is>
          <t>0 / 0</t>
        </is>
      </c>
      <c r="M296" s="5" t="n">
        <v>0.74</v>
      </c>
      <c r="N296" s="5" t="n">
        <v>0</v>
      </c>
    </row>
    <row r="297">
      <c r="A297" t="n">
        <v>296</v>
      </c>
      <c r="B297" t="n">
        <v>2012</v>
      </c>
      <c r="C297" t="inlineStr">
        <is>
          <t>Shrreya Elkturi</t>
        </is>
      </c>
      <c r="D297">
        <f>HYPERLINK("https://ota.tournamentsoftware.com/player-profile/1A8DA0C1-51FB-48B8-8AED-D37DAB186E95", "Link")</f>
        <v/>
      </c>
      <c r="E297" s="3" t="n">
        <v>245.675</v>
      </c>
      <c r="F297" s="4" t="n">
        <v>22</v>
      </c>
      <c r="G297" t="inlineStr">
        <is>
          <t>Ontario Tennis Association</t>
        </is>
      </c>
      <c r="H297" t="inlineStr">
        <is>
          <t>No Club</t>
        </is>
      </c>
      <c r="I297" t="n">
        <v>32.7</v>
      </c>
      <c r="J297" s="4" t="n">
        <v>86</v>
      </c>
      <c r="K297" t="inlineStr">
        <is>
          <t>31 / 55</t>
        </is>
      </c>
      <c r="L297" t="inlineStr">
        <is>
          <t>16 / 17</t>
        </is>
      </c>
      <c r="M297" s="5" t="n">
        <v>0.36</v>
      </c>
      <c r="N297" s="5" t="n">
        <v>0.48</v>
      </c>
    </row>
    <row r="298">
      <c r="A298" t="n">
        <v>297</v>
      </c>
      <c r="B298" t="n">
        <v>2013</v>
      </c>
      <c r="C298" t="inlineStr">
        <is>
          <t>Ava Dancik</t>
        </is>
      </c>
      <c r="D298">
        <f>HYPERLINK("https://ota.tournamentsoftware.com/player-profile/CF808414-C0CE-4B07-9667-D3EE492D6BCE", "Link")</f>
        <v/>
      </c>
      <c r="E298" s="3" t="n">
        <v>245.24</v>
      </c>
      <c r="F298" s="4" t="n">
        <v>14</v>
      </c>
      <c r="G298" t="inlineStr">
        <is>
          <t>Tennis Québec</t>
        </is>
      </c>
      <c r="H298" t="inlineStr">
        <is>
          <t>Tennis de l'Île des Sœurs / École de tennis</t>
        </is>
      </c>
      <c r="I298" t="n">
        <v>31.5</v>
      </c>
      <c r="J298" s="4" t="n">
        <v>219</v>
      </c>
      <c r="K298" t="inlineStr">
        <is>
          <t>112 / 107</t>
        </is>
      </c>
      <c r="L298" t="inlineStr">
        <is>
          <t>16 / 10</t>
        </is>
      </c>
      <c r="M298" s="5" t="n">
        <v>0.51</v>
      </c>
      <c r="N298" s="5" t="n">
        <v>0.62</v>
      </c>
    </row>
    <row r="299">
      <c r="A299" t="n">
        <v>298</v>
      </c>
      <c r="B299" t="n">
        <v>2015</v>
      </c>
      <c r="C299" t="inlineStr">
        <is>
          <t>MASAL ELA YAZICI</t>
        </is>
      </c>
      <c r="D299">
        <f>HYPERLINK("https://ota.tournamentsoftware.com/player-profile/8556435C-B5F1-47A5-8C4A-46AF5B800D78", "Link")</f>
        <v/>
      </c>
      <c r="E299" s="3" t="n">
        <v>245.186</v>
      </c>
      <c r="F299" s="4" t="n">
        <v>22</v>
      </c>
      <c r="G299" t="inlineStr">
        <is>
          <t>Ontario Tennis Association</t>
        </is>
      </c>
      <c r="H299" t="inlineStr">
        <is>
          <t>Mayfair West Fitness &amp; Racquet Club</t>
        </is>
      </c>
      <c r="I299" t="n">
        <v>33.5</v>
      </c>
      <c r="J299" s="4" t="n">
        <v>62</v>
      </c>
      <c r="K299" t="inlineStr">
        <is>
          <t>37 / 25</t>
        </is>
      </c>
      <c r="L299" t="inlineStr">
        <is>
          <t>29 / 18</t>
        </is>
      </c>
      <c r="M299" s="5" t="n">
        <v>0.6</v>
      </c>
      <c r="N299" s="5" t="n">
        <v>0.62</v>
      </c>
    </row>
    <row r="300">
      <c r="A300" t="n">
        <v>299</v>
      </c>
      <c r="B300" t="n">
        <v>2012</v>
      </c>
      <c r="C300" t="inlineStr">
        <is>
          <t>Sophia Zhang</t>
        </is>
      </c>
      <c r="D300">
        <f>HYPERLINK("https://ota.tournamentsoftware.com/player-profile/D3858E79-6F6D-42C3-B497-74590CD50165", "Link")</f>
        <v/>
      </c>
      <c r="E300" s="3" t="n">
        <v>242.786</v>
      </c>
      <c r="F300" s="4" t="n">
        <v>9</v>
      </c>
      <c r="G300" t="inlineStr">
        <is>
          <t>British Columbia</t>
        </is>
      </c>
      <c r="H300" t="inlineStr">
        <is>
          <t>Richmond Country Club</t>
        </is>
      </c>
      <c r="I300" t="n">
        <v>33.8</v>
      </c>
      <c r="J300" s="4" t="n">
        <v>122</v>
      </c>
      <c r="K300" t="inlineStr">
        <is>
          <t>33 / 89</t>
        </is>
      </c>
      <c r="L300" t="inlineStr">
        <is>
          <t>1 / 12</t>
        </is>
      </c>
      <c r="M300" s="5" t="n">
        <v>0.27</v>
      </c>
      <c r="N300" s="5" t="n">
        <v>0.08</v>
      </c>
    </row>
    <row r="301">
      <c r="A301" t="n">
        <v>300</v>
      </c>
      <c r="B301" t="n">
        <v>2012</v>
      </c>
      <c r="C301" t="inlineStr">
        <is>
          <t>MICHELLE OREANE OLA ECHAO</t>
        </is>
      </c>
      <c r="D301">
        <f>HYPERLINK("https://ota.tournamentsoftware.com/player-profile/50FA5AE5-9557-483C-94FB-05937E25C837", "Link")</f>
        <v/>
      </c>
      <c r="E301" s="3" t="n">
        <v>241.101</v>
      </c>
      <c r="F301" s="4" t="n">
        <v>9</v>
      </c>
      <c r="G301" t="inlineStr">
        <is>
          <t>Ontario Tennis Association</t>
        </is>
      </c>
      <c r="H301" t="inlineStr">
        <is>
          <t>Rideau Sports Centre</t>
        </is>
      </c>
      <c r="I301" t="n">
        <v>36.9</v>
      </c>
      <c r="J301" s="4" t="n">
        <v>55</v>
      </c>
      <c r="K301" t="inlineStr">
        <is>
          <t>12 / 43</t>
        </is>
      </c>
      <c r="L301" t="inlineStr">
        <is>
          <t>3 / 8</t>
        </is>
      </c>
      <c r="M301" s="5" t="n">
        <v>0.22</v>
      </c>
      <c r="N301" s="5" t="n">
        <v>0.27</v>
      </c>
    </row>
    <row r="302">
      <c r="A302" t="n">
        <v>301</v>
      </c>
      <c r="B302" t="n">
        <v>2015</v>
      </c>
      <c r="C302" t="inlineStr">
        <is>
          <t>Liana Arendain</t>
        </is>
      </c>
      <c r="D302">
        <f>HYPERLINK("https://ota.tournamentsoftware.com/player-profile/2D89D481-D621-43AF-8792-3F0114FE4D77", "Link")</f>
        <v/>
      </c>
      <c r="E302" s="3" t="n">
        <v>238.244</v>
      </c>
      <c r="F302" s="4" t="n">
        <v>20</v>
      </c>
      <c r="G302" t="inlineStr">
        <is>
          <t>Tennis Alberta</t>
        </is>
      </c>
      <c r="H302" t="inlineStr">
        <is>
          <t>Saville Community Sports Centre</t>
        </is>
      </c>
      <c r="I302" t="n">
        <v>31.1</v>
      </c>
      <c r="J302" s="4" t="n">
        <v>147</v>
      </c>
      <c r="K302" t="inlineStr">
        <is>
          <t>100 / 47</t>
        </is>
      </c>
      <c r="L302" t="inlineStr">
        <is>
          <t>33 / 19</t>
        </is>
      </c>
      <c r="M302" s="5" t="n">
        <v>0.68</v>
      </c>
      <c r="N302" s="5" t="n">
        <v>0.63</v>
      </c>
    </row>
    <row r="303">
      <c r="A303" t="n">
        <v>302</v>
      </c>
      <c r="B303" t="n">
        <v>2012</v>
      </c>
      <c r="C303" t="inlineStr">
        <is>
          <t>Ariella Wainer</t>
        </is>
      </c>
      <c r="D303">
        <f>HYPERLINK("https://ota.tournamentsoftware.com/player-profile/29A07F50-E6F3-4FFE-84BF-31DB048552D6", "Link")</f>
        <v/>
      </c>
      <c r="E303" s="3" t="n">
        <v>238.158</v>
      </c>
      <c r="F303" s="4" t="n">
        <v>21</v>
      </c>
      <c r="G303" t="inlineStr">
        <is>
          <t>Tennis Québec</t>
        </is>
      </c>
      <c r="H303" t="inlineStr">
        <is>
          <t>Club Sportif Côte-de-Liesse</t>
        </is>
      </c>
      <c r="I303" t="n">
        <v>34.9</v>
      </c>
      <c r="J303" s="4" t="n">
        <v>172</v>
      </c>
      <c r="K303" t="inlineStr">
        <is>
          <t>60 / 112</t>
        </is>
      </c>
      <c r="L303" t="inlineStr">
        <is>
          <t>6 / 17</t>
        </is>
      </c>
      <c r="M303" s="5" t="n">
        <v>0.35</v>
      </c>
      <c r="N303" s="5" t="n">
        <v>0.26</v>
      </c>
    </row>
    <row r="304">
      <c r="A304" t="n">
        <v>303</v>
      </c>
      <c r="B304" t="n">
        <v>2015</v>
      </c>
      <c r="C304" t="inlineStr">
        <is>
          <t>Violetta Munoz</t>
        </is>
      </c>
      <c r="D304">
        <f>HYPERLINK("https://ota.tournamentsoftware.com/player-profile/55FD2B42-2961-45DA-8250-9ECCED0E6566", "Link")</f>
        <v/>
      </c>
      <c r="E304" s="3" t="n">
        <v>236.517</v>
      </c>
      <c r="F304" s="4" t="n">
        <v>23</v>
      </c>
      <c r="G304" t="inlineStr">
        <is>
          <t>Tennis Québec</t>
        </is>
      </c>
      <c r="H304" t="inlineStr">
        <is>
          <t>Carrefour Multisports</t>
        </is>
      </c>
      <c r="I304" t="n">
        <v>32.4</v>
      </c>
      <c r="J304" s="4" t="n">
        <v>179</v>
      </c>
      <c r="K304" t="inlineStr">
        <is>
          <t>94 / 85</t>
        </is>
      </c>
      <c r="L304" t="inlineStr">
        <is>
          <t>23 / 20</t>
        </is>
      </c>
      <c r="M304" s="5" t="n">
        <v>0.53</v>
      </c>
      <c r="N304" s="5" t="n">
        <v>0.53</v>
      </c>
    </row>
    <row r="305">
      <c r="A305" t="n">
        <v>304</v>
      </c>
      <c r="B305" t="n">
        <v>2014</v>
      </c>
      <c r="C305" t="inlineStr">
        <is>
          <t>Penelope Anne McMillan</t>
        </is>
      </c>
      <c r="D305">
        <f>HYPERLINK("https://ota.tournamentsoftware.com/player-profile/D7699338-4FE5-4F30-9A7D-8E14842C2A9B", "Link")</f>
        <v/>
      </c>
      <c r="E305" s="3" t="n">
        <v>235.813</v>
      </c>
      <c r="F305" s="4" t="n">
        <v>9</v>
      </c>
      <c r="G305" t="inlineStr">
        <is>
          <t>Tennis Nova Scotia</t>
        </is>
      </c>
      <c r="H305" t="inlineStr">
        <is>
          <t>Atlantic Tennis Centre</t>
        </is>
      </c>
      <c r="I305" t="n">
        <v>35.7</v>
      </c>
      <c r="J305" s="4" t="n">
        <v>110</v>
      </c>
      <c r="K305" t="inlineStr">
        <is>
          <t>46 / 64</t>
        </is>
      </c>
      <c r="L305" t="inlineStr">
        <is>
          <t>16 / 24</t>
        </is>
      </c>
      <c r="M305" s="5" t="n">
        <v>0.42</v>
      </c>
      <c r="N305" s="5" t="n">
        <v>0.4</v>
      </c>
    </row>
    <row r="306">
      <c r="A306" t="n">
        <v>305</v>
      </c>
      <c r="B306" t="n">
        <v>2013</v>
      </c>
      <c r="C306" t="inlineStr">
        <is>
          <t>Hazel Sharma</t>
        </is>
      </c>
      <c r="D306">
        <f>HYPERLINK("https://ota.tournamentsoftware.com/player-profile/114D9BCA-C6DA-49E0-9F64-5FB54E5B0E3E", "Link")</f>
        <v/>
      </c>
      <c r="E306" s="3" t="n">
        <v>234.934</v>
      </c>
      <c r="F306" s="4" t="n">
        <v>15</v>
      </c>
      <c r="G306" t="inlineStr">
        <is>
          <t>British Columbia</t>
        </is>
      </c>
      <c r="H306" t="inlineStr">
        <is>
          <t>The Tennis Centre</t>
        </is>
      </c>
      <c r="I306" t="n">
        <v>32.6</v>
      </c>
      <c r="J306" s="4" t="n">
        <v>192</v>
      </c>
      <c r="K306" t="inlineStr">
        <is>
          <t>85 / 107</t>
        </is>
      </c>
      <c r="L306" t="inlineStr">
        <is>
          <t>16 / 12</t>
        </is>
      </c>
      <c r="M306" s="5" t="n">
        <v>0.44</v>
      </c>
      <c r="N306" s="5" t="n">
        <v>0.57</v>
      </c>
    </row>
    <row r="307">
      <c r="A307" t="n">
        <v>306</v>
      </c>
      <c r="B307" t="n">
        <v>2015</v>
      </c>
      <c r="C307" t="inlineStr">
        <is>
          <t>ESTHER HAO</t>
        </is>
      </c>
      <c r="D307">
        <f>HYPERLINK("https://ota.tournamentsoftware.com/player-profile/8EA584DE-3986-4803-A3AA-F96230F853A7", "Link")</f>
        <v/>
      </c>
      <c r="E307" s="3" t="n">
        <v>233.33</v>
      </c>
      <c r="F307" s="4" t="n">
        <v>15</v>
      </c>
      <c r="G307" t="inlineStr">
        <is>
          <t>Ontario Tennis Association</t>
        </is>
      </c>
      <c r="H307" t="inlineStr">
        <is>
          <t>Ontario Racquet Club</t>
        </is>
      </c>
      <c r="I307" t="n">
        <v>34.2</v>
      </c>
      <c r="J307" s="4" t="n">
        <v>215</v>
      </c>
      <c r="K307" t="inlineStr">
        <is>
          <t>131 / 84</t>
        </is>
      </c>
      <c r="L307" t="inlineStr">
        <is>
          <t>9 / 9</t>
        </is>
      </c>
      <c r="M307" s="5" t="n">
        <v>0.61</v>
      </c>
      <c r="N307" s="5" t="n">
        <v>0.5</v>
      </c>
    </row>
    <row r="308">
      <c r="A308" t="n">
        <v>307</v>
      </c>
      <c r="B308" t="n">
        <v>2016</v>
      </c>
      <c r="C308" t="inlineStr">
        <is>
          <t>Minna TAN</t>
        </is>
      </c>
      <c r="D308">
        <f>HYPERLINK("https://ota.tournamentsoftware.com/player-profile/4830D271-776A-41F3-B5D9-B5D2EC272CB4", "Link")</f>
        <v/>
      </c>
      <c r="E308" s="3" t="n">
        <v>232.921</v>
      </c>
      <c r="F308" s="4" t="n">
        <v>10</v>
      </c>
      <c r="G308" t="inlineStr">
        <is>
          <t>Tennis Québec</t>
        </is>
      </c>
      <c r="H308" t="inlineStr">
        <is>
          <t>Tennis Ile- des- Soeurs</t>
        </is>
      </c>
      <c r="I308" t="n">
        <v>32.4</v>
      </c>
      <c r="J308" s="4" t="n">
        <v>85</v>
      </c>
      <c r="K308" t="inlineStr">
        <is>
          <t>53 / 32</t>
        </is>
      </c>
      <c r="L308" t="inlineStr">
        <is>
          <t>21 / 7</t>
        </is>
      </c>
      <c r="M308" s="5" t="n">
        <v>0.62</v>
      </c>
      <c r="N308" s="5" t="n">
        <v>0.75</v>
      </c>
    </row>
    <row r="309">
      <c r="A309" t="n">
        <v>308</v>
      </c>
      <c r="B309" t="n">
        <v>2015</v>
      </c>
      <c r="C309" t="inlineStr">
        <is>
          <t>Daniella Lynne Lee</t>
        </is>
      </c>
      <c r="D309">
        <f>HYPERLINK("https://ota.tournamentsoftware.com/player-profile/92FC49CB-246B-48E6-ABC3-903AA780449F", "Link")</f>
        <v/>
      </c>
      <c r="E309" s="3" t="n">
        <v>232.641</v>
      </c>
      <c r="F309" s="4" t="n">
        <v>28</v>
      </c>
      <c r="G309" t="inlineStr">
        <is>
          <t>British Columbia</t>
        </is>
      </c>
      <c r="H309" t="inlineStr">
        <is>
          <t>Arbutus Club</t>
        </is>
      </c>
      <c r="I309" t="n">
        <v>32.2</v>
      </c>
      <c r="J309" s="4" t="n">
        <v>134</v>
      </c>
      <c r="K309" t="inlineStr">
        <is>
          <t>69 / 65</t>
        </is>
      </c>
      <c r="L309" t="inlineStr">
        <is>
          <t>30 / 26</t>
        </is>
      </c>
      <c r="M309" s="5" t="n">
        <v>0.51</v>
      </c>
      <c r="N309" s="5" t="n">
        <v>0.54</v>
      </c>
    </row>
    <row r="310">
      <c r="A310" t="n">
        <v>309</v>
      </c>
      <c r="B310" t="n">
        <v>2015</v>
      </c>
      <c r="C310" t="inlineStr">
        <is>
          <t>Navena Thelepan</t>
        </is>
      </c>
      <c r="D310">
        <f>HYPERLINK("https://ota.tournamentsoftware.com/player-profile/811C2EA5-51E7-4FDE-BF82-1DF3D9D0AD27", "Link")</f>
        <v/>
      </c>
      <c r="E310" s="3" t="n">
        <v>231.661</v>
      </c>
      <c r="F310" s="4" t="n">
        <v>44</v>
      </c>
      <c r="G310" t="inlineStr">
        <is>
          <t>Ontario Tennis Association</t>
        </is>
      </c>
      <c r="H310" t="inlineStr">
        <is>
          <t>Markham Tennis Club</t>
        </is>
      </c>
      <c r="I310" t="n">
        <v>35.9</v>
      </c>
      <c r="J310" s="4" t="n">
        <v>148</v>
      </c>
      <c r="K310" t="inlineStr">
        <is>
          <t>66 / 82</t>
        </is>
      </c>
      <c r="L310" t="inlineStr">
        <is>
          <t>22 / 45</t>
        </is>
      </c>
      <c r="M310" s="5" t="n">
        <v>0.45</v>
      </c>
      <c r="N310" s="5" t="n">
        <v>0.33</v>
      </c>
    </row>
    <row r="311">
      <c r="A311" t="n">
        <v>310</v>
      </c>
      <c r="B311" t="n">
        <v>2015</v>
      </c>
      <c r="C311" t="inlineStr">
        <is>
          <t>Lacey Isabella Ly</t>
        </is>
      </c>
      <c r="D311">
        <f>HYPERLINK("https://ota.tournamentsoftware.com/player-profile/878918D3-5C76-4815-A98A-1D1A49BFC21F", "Link")</f>
        <v/>
      </c>
      <c r="E311" s="3" t="n">
        <v>231.26</v>
      </c>
      <c r="F311" s="4" t="n">
        <v>12</v>
      </c>
      <c r="G311" t="inlineStr">
        <is>
          <t>British Columbia</t>
        </is>
      </c>
      <c r="H311" t="inlineStr">
        <is>
          <t>The Tennis Centre</t>
        </is>
      </c>
      <c r="I311" t="n">
        <v>30.8</v>
      </c>
      <c r="J311" s="4" t="n">
        <v>133</v>
      </c>
      <c r="K311" t="inlineStr">
        <is>
          <t>100 / 33</t>
        </is>
      </c>
      <c r="L311" t="inlineStr">
        <is>
          <t>23 / 9</t>
        </is>
      </c>
      <c r="M311" s="5" t="n">
        <v>0.75</v>
      </c>
      <c r="N311" s="5" t="n">
        <v>0.72</v>
      </c>
    </row>
    <row r="312">
      <c r="A312" t="n">
        <v>311</v>
      </c>
      <c r="B312" t="n">
        <v>2014</v>
      </c>
      <c r="C312" t="inlineStr">
        <is>
          <t>Aryella Ainame Duran Khongwir</t>
        </is>
      </c>
      <c r="D312">
        <f>HYPERLINK("https://ota.tournamentsoftware.com/player-profile/6DB3D46F-3C74-400D-92A4-62CF55426936", "Link")</f>
        <v/>
      </c>
      <c r="E312" s="3" t="n">
        <v>230.594</v>
      </c>
      <c r="F312" s="4" t="n">
        <v>19</v>
      </c>
      <c r="G312" t="inlineStr">
        <is>
          <t>Ontario Tennis Association</t>
        </is>
      </c>
      <c r="H312" t="inlineStr">
        <is>
          <t>Stefanovic Tennis Academy</t>
        </is>
      </c>
      <c r="I312" t="n">
        <v>34.7</v>
      </c>
      <c r="J312" s="4" t="n">
        <v>179</v>
      </c>
      <c r="K312" t="inlineStr">
        <is>
          <t>50 / 129</t>
        </is>
      </c>
      <c r="L312" t="inlineStr">
        <is>
          <t>16 / 17</t>
        </is>
      </c>
      <c r="M312" s="5" t="n">
        <v>0.28</v>
      </c>
      <c r="N312" s="5" t="n">
        <v>0.48</v>
      </c>
    </row>
    <row r="313">
      <c r="A313" t="n">
        <v>312</v>
      </c>
      <c r="B313" t="n">
        <v>2014</v>
      </c>
      <c r="C313" t="inlineStr">
        <is>
          <t>Dora Zhang</t>
        </is>
      </c>
      <c r="D313">
        <f>HYPERLINK("https://ota.tournamentsoftware.com/player-profile/3772BD57-A73E-4652-86C8-E1885FE20DCF", "Link")</f>
        <v/>
      </c>
      <c r="E313" s="3" t="n">
        <v>230.328</v>
      </c>
      <c r="F313" s="4" t="n">
        <v>15</v>
      </c>
      <c r="G313" t="inlineStr">
        <is>
          <t>Ontario Tennis Association</t>
        </is>
      </c>
      <c r="H313" t="inlineStr">
        <is>
          <t>Toronto Tennis City</t>
        </is>
      </c>
      <c r="I313" t="n">
        <v>33.1</v>
      </c>
      <c r="J313" s="4" t="n">
        <v>50</v>
      </c>
      <c r="K313" t="inlineStr">
        <is>
          <t>36 / 14</t>
        </is>
      </c>
      <c r="L313" t="inlineStr">
        <is>
          <t>5 / 4</t>
        </is>
      </c>
      <c r="M313" s="5" t="n">
        <v>0.72</v>
      </c>
      <c r="N313" s="5" t="n">
        <v>0.5600000000000001</v>
      </c>
    </row>
    <row r="314">
      <c r="A314" t="n">
        <v>313</v>
      </c>
      <c r="B314" t="n">
        <v>2015</v>
      </c>
      <c r="C314" t="inlineStr">
        <is>
          <t>Kiyara Dinuli Hinidumarachchi</t>
        </is>
      </c>
      <c r="D314">
        <f>HYPERLINK("https://ota.tournamentsoftware.com/player-profile/FD2638E4-B06D-478E-9F5A-FE51B9EC8DF8", "Link")</f>
        <v/>
      </c>
      <c r="E314" s="3" t="n">
        <v>229.928</v>
      </c>
      <c r="F314" s="4" t="n">
        <v>18</v>
      </c>
      <c r="G314" t="inlineStr">
        <is>
          <t>Ontario Tennis Association</t>
        </is>
      </c>
      <c r="H314" t="inlineStr">
        <is>
          <t>Sarnia Tennis Club</t>
        </is>
      </c>
      <c r="I314" t="inlineStr">
        <is>
          <t>unavailable</t>
        </is>
      </c>
      <c r="J314" s="4" t="n">
        <v>157</v>
      </c>
      <c r="K314" t="inlineStr">
        <is>
          <t>96 / 61</t>
        </is>
      </c>
      <c r="L314" t="inlineStr">
        <is>
          <t>11 / 15</t>
        </is>
      </c>
      <c r="M314" s="5" t="n">
        <v>0.61</v>
      </c>
      <c r="N314" s="5" t="n">
        <v>0.42</v>
      </c>
    </row>
    <row r="315">
      <c r="A315" t="n">
        <v>314</v>
      </c>
      <c r="B315" t="n">
        <v>2012</v>
      </c>
      <c r="C315" t="inlineStr">
        <is>
          <t>Charlotte Gal</t>
        </is>
      </c>
      <c r="D315">
        <f>HYPERLINK("https://ota.tournamentsoftware.com/player-profile/EF0AF614-E6CE-4E3C-9FC4-7EF8A5EB6B57", "Link")</f>
        <v/>
      </c>
      <c r="E315" s="3" t="n">
        <v>229.165</v>
      </c>
      <c r="F315" s="4" t="n">
        <v>4</v>
      </c>
      <c r="G315" t="inlineStr">
        <is>
          <t>Tennis Nova Scotia</t>
        </is>
      </c>
      <c r="H315" t="inlineStr">
        <is>
          <t>HEADSTART</t>
        </is>
      </c>
      <c r="I315" t="n">
        <v>37.1</v>
      </c>
      <c r="J315" s="4" t="n">
        <v>24</v>
      </c>
      <c r="K315" t="inlineStr">
        <is>
          <t>6 / 18</t>
        </is>
      </c>
      <c r="L315" t="inlineStr">
        <is>
          <t>2 / 12</t>
        </is>
      </c>
      <c r="M315" s="5" t="n">
        <v>0.25</v>
      </c>
      <c r="N315" s="5" t="n">
        <v>0.14</v>
      </c>
    </row>
    <row r="316">
      <c r="A316" t="n">
        <v>315</v>
      </c>
      <c r="B316" t="n">
        <v>2012</v>
      </c>
      <c r="C316" t="inlineStr">
        <is>
          <t>Jamie Cui</t>
        </is>
      </c>
      <c r="D316">
        <f>HYPERLINK("https://ota.tournamentsoftware.com/player-profile/6F7B90A5-BECB-44C9-9B4E-74FED8443672", "Link")</f>
        <v/>
      </c>
      <c r="E316" s="3" t="n">
        <v>228.114</v>
      </c>
      <c r="F316" s="4" t="n">
        <v>19</v>
      </c>
      <c r="G316" t="inlineStr">
        <is>
          <t>British Columbia</t>
        </is>
      </c>
      <c r="H316" t="inlineStr">
        <is>
          <t>Coquitlam Tennis Club</t>
        </is>
      </c>
      <c r="I316" t="inlineStr">
        <is>
          <t>unavailable</t>
        </is>
      </c>
      <c r="J316" s="4" t="n">
        <v>173</v>
      </c>
      <c r="K316" t="inlineStr">
        <is>
          <t>49 / 124</t>
        </is>
      </c>
      <c r="L316" t="inlineStr">
        <is>
          <t>12 / 21</t>
        </is>
      </c>
      <c r="M316" s="5" t="n">
        <v>0.28</v>
      </c>
      <c r="N316" s="5" t="n">
        <v>0.36</v>
      </c>
    </row>
    <row r="317">
      <c r="A317" t="n">
        <v>316</v>
      </c>
      <c r="B317" t="n">
        <v>2012</v>
      </c>
      <c r="C317" t="inlineStr">
        <is>
          <t>Saroop Randhawa</t>
        </is>
      </c>
      <c r="D317">
        <f>HYPERLINK("https://ota.tournamentsoftware.com/player-profile/5F710ADB-6059-4376-8917-220BAD95C9B2", "Link")</f>
        <v/>
      </c>
      <c r="E317" s="3" t="n">
        <v>228</v>
      </c>
      <c r="F317" s="4" t="n">
        <v>2</v>
      </c>
      <c r="G317" t="inlineStr">
        <is>
          <t>Ontario Tennis Association</t>
        </is>
      </c>
      <c r="H317" t="inlineStr">
        <is>
          <t>Advantage Tennis International at Veneto</t>
        </is>
      </c>
      <c r="I317" t="n">
        <v>22.5</v>
      </c>
      <c r="J317" s="4" t="n">
        <v>155</v>
      </c>
      <c r="K317" t="inlineStr">
        <is>
          <t>115 / 40</t>
        </is>
      </c>
      <c r="L317" t="inlineStr">
        <is>
          <t>5 / 0</t>
        </is>
      </c>
      <c r="M317" s="5" t="n">
        <v>0.74</v>
      </c>
      <c r="N317" s="5" t="n">
        <v>1</v>
      </c>
    </row>
    <row r="318">
      <c r="A318" t="n">
        <v>317</v>
      </c>
      <c r="B318" t="n">
        <v>2012</v>
      </c>
      <c r="C318" t="inlineStr">
        <is>
          <t>Mavis Li</t>
        </is>
      </c>
      <c r="D318">
        <f>HYPERLINK("https://ota.tournamentsoftware.com/player-profile/FC8D1AE6-D9A0-409A-A095-1B2C12EDB359", "Link")</f>
        <v/>
      </c>
      <c r="E318" s="3" t="n">
        <v>224.257</v>
      </c>
      <c r="F318" s="4" t="n">
        <v>23</v>
      </c>
      <c r="G318" t="inlineStr">
        <is>
          <t>Ontario Tennis Association</t>
        </is>
      </c>
      <c r="H318" t="inlineStr">
        <is>
          <t>Blackmore Tennis Club</t>
        </is>
      </c>
      <c r="I318" t="n">
        <v>35.4</v>
      </c>
      <c r="J318" s="4" t="n">
        <v>67</v>
      </c>
      <c r="K318" t="inlineStr">
        <is>
          <t>24 / 43</t>
        </is>
      </c>
      <c r="L318" t="inlineStr">
        <is>
          <t>9 / 26</t>
        </is>
      </c>
      <c r="M318" s="5" t="n">
        <v>0.36</v>
      </c>
      <c r="N318" s="5" t="n">
        <v>0.26</v>
      </c>
    </row>
    <row r="319">
      <c r="A319" t="n">
        <v>318</v>
      </c>
      <c r="B319" t="n">
        <v>2014</v>
      </c>
      <c r="C319" t="inlineStr">
        <is>
          <t>Skylar Isabelle JOHNSTON</t>
        </is>
      </c>
      <c r="D319">
        <f>HYPERLINK("https://ota.tournamentsoftware.com/player-profile/18CCEC3F-12DA-4A55-A300-393E64FB4F6E", "Link")</f>
        <v/>
      </c>
      <c r="E319" s="3" t="n">
        <v>223.404</v>
      </c>
      <c r="F319" s="4" t="n">
        <v>12</v>
      </c>
      <c r="G319" t="inlineStr">
        <is>
          <t>Tennis Nova Scotia</t>
        </is>
      </c>
      <c r="H319" t="inlineStr">
        <is>
          <t>Gordon Hughes Tennis Club</t>
        </is>
      </c>
      <c r="I319" t="n">
        <v>33</v>
      </c>
      <c r="J319" s="4" t="n">
        <v>95</v>
      </c>
      <c r="K319" t="inlineStr">
        <is>
          <t>47 / 48</t>
        </is>
      </c>
      <c r="L319" t="inlineStr">
        <is>
          <t>26 / 15</t>
        </is>
      </c>
      <c r="M319" s="5" t="n">
        <v>0.49</v>
      </c>
      <c r="N319" s="5" t="n">
        <v>0.63</v>
      </c>
    </row>
    <row r="320">
      <c r="A320" t="n">
        <v>319</v>
      </c>
      <c r="B320" t="n">
        <v>2012</v>
      </c>
      <c r="C320" t="inlineStr">
        <is>
          <t>Harsimran Kaur Sandhu</t>
        </is>
      </c>
      <c r="D320">
        <f>HYPERLINK("https://ota.tournamentsoftware.com/player-profile/10345BBC-2CC8-4DA1-AA88-2730495B6CB8", "Link")</f>
        <v/>
      </c>
      <c r="E320" s="3" t="n">
        <v>219.96</v>
      </c>
      <c r="F320" s="4" t="n">
        <v>25</v>
      </c>
      <c r="G320" t="inlineStr">
        <is>
          <t>Ontario Tennis Association</t>
        </is>
      </c>
      <c r="H320" t="inlineStr">
        <is>
          <t>Premier Racquet Clubs – Mississauga</t>
        </is>
      </c>
      <c r="I320" t="inlineStr">
        <is>
          <t>unavailable</t>
        </is>
      </c>
      <c r="J320" s="4" t="n">
        <v>109</v>
      </c>
      <c r="K320" t="inlineStr">
        <is>
          <t>49 / 60</t>
        </is>
      </c>
      <c r="L320" t="inlineStr">
        <is>
          <t>24 / 21</t>
        </is>
      </c>
      <c r="M320" s="5" t="n">
        <v>0.45</v>
      </c>
      <c r="N320" s="5" t="n">
        <v>0.53</v>
      </c>
    </row>
    <row r="321">
      <c r="A321" t="n">
        <v>320</v>
      </c>
      <c r="B321" t="n">
        <v>2013</v>
      </c>
      <c r="C321" t="inlineStr">
        <is>
          <t>Léa Crépault</t>
        </is>
      </c>
      <c r="D321">
        <f>HYPERLINK("https://ota.tournamentsoftware.com/player-profile/A3D2A82D-C6E8-410C-A1B3-E5DC3B845B7A", "Link")</f>
        <v/>
      </c>
      <c r="E321" s="3" t="n">
        <v>219.739</v>
      </c>
      <c r="F321" s="4" t="n">
        <v>20</v>
      </c>
      <c r="G321" t="inlineStr">
        <is>
          <t>Tennis Québec</t>
        </is>
      </c>
      <c r="H321" t="inlineStr">
        <is>
          <t>EB Tennis inc.</t>
        </is>
      </c>
      <c r="I321" t="n">
        <v>34.6</v>
      </c>
      <c r="J321" s="4" t="n">
        <v>160</v>
      </c>
      <c r="K321" t="inlineStr">
        <is>
          <t>45 / 115</t>
        </is>
      </c>
      <c r="L321" t="inlineStr">
        <is>
          <t>9 / 16</t>
        </is>
      </c>
      <c r="M321" s="5" t="n">
        <v>0.28</v>
      </c>
      <c r="N321" s="5" t="n">
        <v>0.36</v>
      </c>
    </row>
    <row r="322">
      <c r="A322" t="n">
        <v>321</v>
      </c>
      <c r="B322" t="n">
        <v>2013</v>
      </c>
      <c r="C322" t="inlineStr">
        <is>
          <t>Makayla Najjar</t>
        </is>
      </c>
      <c r="D322">
        <f>HYPERLINK("https://ota.tournamentsoftware.com/player-profile/A931D3E2-A84F-4018-9B2A-A1664811863E", "Link")</f>
        <v/>
      </c>
      <c r="E322" s="3" t="n">
        <v>219.584</v>
      </c>
      <c r="F322" s="4" t="n">
        <v>13</v>
      </c>
      <c r="G322" t="inlineStr">
        <is>
          <t>Ontario Tennis Association</t>
        </is>
      </c>
      <c r="H322" t="inlineStr">
        <is>
          <t>Premier Racquet Clubs – Mississauga</t>
        </is>
      </c>
      <c r="I322" t="n">
        <v>33.3</v>
      </c>
      <c r="J322" s="4" t="n">
        <v>90</v>
      </c>
      <c r="K322" t="inlineStr">
        <is>
          <t>60 / 30</t>
        </is>
      </c>
      <c r="L322" t="inlineStr">
        <is>
          <t>17 / 11</t>
        </is>
      </c>
      <c r="M322" s="5" t="n">
        <v>0.67</v>
      </c>
      <c r="N322" s="5" t="n">
        <v>0.61</v>
      </c>
    </row>
    <row r="323">
      <c r="A323" t="n">
        <v>322</v>
      </c>
      <c r="B323" t="n">
        <v>2015</v>
      </c>
      <c r="C323" t="inlineStr">
        <is>
          <t>Mikaëlla Jean-Bart</t>
        </is>
      </c>
      <c r="D323">
        <f>HYPERLINK("https://ota.tournamentsoftware.com/player-profile/5309814B-24E5-4F46-920F-74FD0DAF8C7D", "Link")</f>
        <v/>
      </c>
      <c r="E323" s="3" t="n">
        <v>218.826</v>
      </c>
      <c r="F323" s="4" t="n">
        <v>16</v>
      </c>
      <c r="G323" t="inlineStr">
        <is>
          <t>Tennis Québec</t>
        </is>
      </c>
      <c r="H323" t="inlineStr">
        <is>
          <t>Centre récréatif de Repentigny / Académie Tennis Momentum</t>
        </is>
      </c>
      <c r="I323" t="n">
        <v>34.1</v>
      </c>
      <c r="J323" s="4" t="n">
        <v>76</v>
      </c>
      <c r="K323" t="inlineStr">
        <is>
          <t>32 / 44</t>
        </is>
      </c>
      <c r="L323" t="inlineStr">
        <is>
          <t>15 / 16</t>
        </is>
      </c>
      <c r="M323" s="5" t="n">
        <v>0.42</v>
      </c>
      <c r="N323" s="5" t="n">
        <v>0.48</v>
      </c>
    </row>
    <row r="324">
      <c r="A324" t="n">
        <v>323</v>
      </c>
      <c r="B324" t="n">
        <v>2013</v>
      </c>
      <c r="C324" t="inlineStr">
        <is>
          <t>Helena Shengyi Chen</t>
        </is>
      </c>
      <c r="D324">
        <f>HYPERLINK("https://ota.tournamentsoftware.com/player-profile/097D6397-0826-4C15-948E-B983C1D748F4", "Link")</f>
        <v/>
      </c>
      <c r="E324" s="3" t="n">
        <v>218.438</v>
      </c>
      <c r="F324" s="4" t="n">
        <v>15</v>
      </c>
      <c r="G324" t="inlineStr">
        <is>
          <t>British Columbia</t>
        </is>
      </c>
      <c r="H324" t="inlineStr">
        <is>
          <t>Tennis BC Hub @ Richmond</t>
        </is>
      </c>
      <c r="I324" t="n">
        <v>32.9</v>
      </c>
      <c r="J324" s="4" t="n">
        <v>118</v>
      </c>
      <c r="K324" t="inlineStr">
        <is>
          <t>50 / 68</t>
        </is>
      </c>
      <c r="L324" t="inlineStr">
        <is>
          <t>13 / 17</t>
        </is>
      </c>
      <c r="M324" s="5" t="n">
        <v>0.42</v>
      </c>
      <c r="N324" s="5" t="n">
        <v>0.43</v>
      </c>
    </row>
    <row r="325">
      <c r="A325" t="n">
        <v>324</v>
      </c>
      <c r="B325" t="n">
        <v>2015</v>
      </c>
      <c r="C325" t="inlineStr">
        <is>
          <t>Kayla Chevez</t>
        </is>
      </c>
      <c r="D325">
        <f>HYPERLINK("https://ota.tournamentsoftware.com/player-profile/EE941149-B269-44AA-A65B-D00099EE4086", "Link")</f>
        <v/>
      </c>
      <c r="E325" s="3" t="n">
        <v>218.12</v>
      </c>
      <c r="F325" s="4" t="n">
        <v>28</v>
      </c>
      <c r="G325" t="inlineStr">
        <is>
          <t>Tennis Québec</t>
        </is>
      </c>
      <c r="H325" t="inlineStr">
        <is>
          <t>Tennis Montréal Excellence</t>
        </is>
      </c>
      <c r="I325" t="n">
        <v>33.8</v>
      </c>
      <c r="J325" s="4" t="n">
        <v>148</v>
      </c>
      <c r="K325" t="inlineStr">
        <is>
          <t>72 / 76</t>
        </is>
      </c>
      <c r="L325" t="inlineStr">
        <is>
          <t>21 / 25</t>
        </is>
      </c>
      <c r="M325" s="5" t="n">
        <v>0.49</v>
      </c>
      <c r="N325" s="5" t="n">
        <v>0.46</v>
      </c>
    </row>
    <row r="326">
      <c r="A326" t="n">
        <v>325</v>
      </c>
      <c r="B326" t="n">
        <v>2013</v>
      </c>
      <c r="C326" t="inlineStr">
        <is>
          <t>Alma Safinia</t>
        </is>
      </c>
      <c r="D326">
        <f>HYPERLINK("https://ota.tournamentsoftware.com/player-profile/5EF88718-BF69-42BC-A643-1C11174AD1CB", "Link")</f>
        <v/>
      </c>
      <c r="E326" s="3" t="n">
        <v>217.826</v>
      </c>
      <c r="F326" s="4" t="n">
        <v>2</v>
      </c>
      <c r="G326" t="inlineStr">
        <is>
          <t>Tennis Nova Scotia</t>
        </is>
      </c>
      <c r="H326" t="inlineStr">
        <is>
          <t>Atlantic Tennis Centre</t>
        </is>
      </c>
      <c r="I326" t="n">
        <v>33.9</v>
      </c>
      <c r="J326" s="4" t="n">
        <v>26</v>
      </c>
      <c r="K326" t="inlineStr">
        <is>
          <t>13 / 13</t>
        </is>
      </c>
      <c r="L326" t="inlineStr">
        <is>
          <t>2 / 5</t>
        </is>
      </c>
      <c r="M326" s="5" t="n">
        <v>0.5</v>
      </c>
      <c r="N326" s="5" t="n">
        <v>0.29</v>
      </c>
    </row>
    <row r="327">
      <c r="A327" t="n">
        <v>326</v>
      </c>
      <c r="B327" t="n">
        <v>2012</v>
      </c>
      <c r="C327" t="inlineStr">
        <is>
          <t>Clémence Martin</t>
        </is>
      </c>
      <c r="D327">
        <f>HYPERLINK("https://ota.tournamentsoftware.com/player-profile/CF2B02DD-EFB8-49FD-8774-B98F78A30C1A", "Link")</f>
        <v/>
      </c>
      <c r="E327" s="3" t="n">
        <v>216.993</v>
      </c>
      <c r="F327" s="4" t="n">
        <v>5</v>
      </c>
      <c r="G327" t="inlineStr">
        <is>
          <t>Tennis Québec</t>
        </is>
      </c>
      <c r="H327" t="inlineStr">
        <is>
          <t>Centre sportif Sport Scène / Élite Tennis Académie</t>
        </is>
      </c>
      <c r="I327" t="n">
        <v>31.3</v>
      </c>
      <c r="J327" s="4" t="n">
        <v>34</v>
      </c>
      <c r="K327" t="inlineStr">
        <is>
          <t>19 / 15</t>
        </is>
      </c>
      <c r="L327" t="inlineStr">
        <is>
          <t>5 / 5</t>
        </is>
      </c>
      <c r="M327" s="5" t="n">
        <v>0.5600000000000001</v>
      </c>
      <c r="N327" s="5" t="n">
        <v>0.5</v>
      </c>
    </row>
    <row r="328">
      <c r="A328" t="n">
        <v>327</v>
      </c>
      <c r="B328" t="n">
        <v>2015</v>
      </c>
      <c r="C328" t="inlineStr">
        <is>
          <t>Yasmine Maazouz</t>
        </is>
      </c>
      <c r="D328">
        <f>HYPERLINK("https://ota.tournamentsoftware.com/player-profile/004E04F8-71A7-4C1F-B42C-805F1590C456", "Link")</f>
        <v/>
      </c>
      <c r="E328" s="3" t="n">
        <v>215.212</v>
      </c>
      <c r="F328" s="4" t="n">
        <v>8</v>
      </c>
      <c r="G328" t="inlineStr">
        <is>
          <t>Tennis Québec</t>
        </is>
      </c>
      <c r="H328" t="inlineStr">
        <is>
          <t>Tennis Montréal Excellence</t>
        </is>
      </c>
      <c r="I328" t="n">
        <v>31.3</v>
      </c>
      <c r="J328" s="4" t="n">
        <v>116</v>
      </c>
      <c r="K328" t="inlineStr">
        <is>
          <t>69 / 47</t>
        </is>
      </c>
      <c r="L328" t="inlineStr">
        <is>
          <t>20 / 8</t>
        </is>
      </c>
      <c r="M328" s="5" t="n">
        <v>0.59</v>
      </c>
      <c r="N328" s="5" t="n">
        <v>0.71</v>
      </c>
    </row>
    <row r="329">
      <c r="A329" t="n">
        <v>328</v>
      </c>
      <c r="B329" t="n">
        <v>2016</v>
      </c>
      <c r="C329" t="inlineStr">
        <is>
          <t>Tanishka Varishtha Tripathi</t>
        </is>
      </c>
      <c r="D329">
        <f>HYPERLINK("https://ota.tournamentsoftware.com/player-profile/C966D3AB-F944-4405-A712-C5FA591776A1", "Link")</f>
        <v/>
      </c>
      <c r="E329" s="3" t="n">
        <v>212.289</v>
      </c>
      <c r="F329" s="4" t="n">
        <v>13</v>
      </c>
      <c r="G329" t="inlineStr">
        <is>
          <t>Ontario Tennis Association</t>
        </is>
      </c>
      <c r="H329" t="inlineStr">
        <is>
          <t>Tennis Outaouais Performance (TOP) ON</t>
        </is>
      </c>
      <c r="I329" t="n">
        <v>32</v>
      </c>
      <c r="J329" s="4" t="n">
        <v>148</v>
      </c>
      <c r="K329" t="inlineStr">
        <is>
          <t>108 / 40</t>
        </is>
      </c>
      <c r="L329" t="inlineStr">
        <is>
          <t>31 / 13</t>
        </is>
      </c>
      <c r="M329" s="5" t="n">
        <v>0.73</v>
      </c>
      <c r="N329" s="5" t="n">
        <v>0.7</v>
      </c>
    </row>
    <row r="330">
      <c r="A330" t="n">
        <v>329</v>
      </c>
      <c r="B330" t="n">
        <v>2014</v>
      </c>
      <c r="C330" t="inlineStr">
        <is>
          <t>Esabel Liu</t>
        </is>
      </c>
      <c r="D330">
        <f>HYPERLINK("https://ota.tournamentsoftware.com/player-profile/03274A3B-556F-4321-880B-2AF255E6A817", "Link")</f>
        <v/>
      </c>
      <c r="E330" s="3" t="n">
        <v>208.86</v>
      </c>
      <c r="F330" s="4" t="n">
        <v>19</v>
      </c>
      <c r="G330" t="inlineStr">
        <is>
          <t>British Columbia</t>
        </is>
      </c>
      <c r="H330" t="inlineStr">
        <is>
          <t>North Vancouver Tennis Centre</t>
        </is>
      </c>
      <c r="I330" t="n">
        <v>30.2</v>
      </c>
      <c r="J330" s="4" t="n">
        <v>227</v>
      </c>
      <c r="K330" t="inlineStr">
        <is>
          <t>141 / 86</t>
        </is>
      </c>
      <c r="L330" t="inlineStr">
        <is>
          <t>33 / 20</t>
        </is>
      </c>
      <c r="M330" s="5" t="n">
        <v>0.62</v>
      </c>
      <c r="N330" s="5" t="n">
        <v>0.62</v>
      </c>
    </row>
    <row r="331">
      <c r="A331" t="n">
        <v>330</v>
      </c>
      <c r="B331" t="n">
        <v>2013</v>
      </c>
      <c r="C331" t="inlineStr">
        <is>
          <t>Annabelle Chen</t>
        </is>
      </c>
      <c r="D331">
        <f>HYPERLINK("https://ota.tournamentsoftware.com/player-profile/E532A343-867C-4B97-BCB3-998A28EC84A8", "Link")</f>
        <v/>
      </c>
      <c r="E331" s="3" t="n">
        <v>208.256</v>
      </c>
      <c r="F331" s="4" t="n">
        <v>8</v>
      </c>
      <c r="G331" t="inlineStr">
        <is>
          <t>British Columbia</t>
        </is>
      </c>
      <c r="H331" t="inlineStr">
        <is>
          <t>UBC Tennis Centre</t>
        </is>
      </c>
      <c r="I331" t="n">
        <v>32</v>
      </c>
      <c r="J331" s="4" t="n">
        <v>152</v>
      </c>
      <c r="K331" t="inlineStr">
        <is>
          <t>84 / 68</t>
        </is>
      </c>
      <c r="L331" t="inlineStr">
        <is>
          <t>0 / 4</t>
        </is>
      </c>
      <c r="M331" s="5" t="n">
        <v>0.55</v>
      </c>
      <c r="N331" s="5" t="n">
        <v>0</v>
      </c>
    </row>
    <row r="332">
      <c r="A332" t="n">
        <v>331</v>
      </c>
      <c r="B332" t="n">
        <v>2012</v>
      </c>
      <c r="C332" t="inlineStr">
        <is>
          <t>Ruoyu Wang</t>
        </is>
      </c>
      <c r="D332">
        <f>HYPERLINK("https://ota.tournamentsoftware.com/player-profile/BF1A51BB-FF4F-417F-AE41-0914B75C7FF1", "Link")</f>
        <v/>
      </c>
      <c r="E332" s="3" t="n">
        <v>206.594</v>
      </c>
      <c r="F332" s="4" t="n">
        <v>13</v>
      </c>
      <c r="G332" t="inlineStr">
        <is>
          <t>Tennis Québec</t>
        </is>
      </c>
      <c r="H332" t="inlineStr">
        <is>
          <t>Tennis 13</t>
        </is>
      </c>
      <c r="I332" t="inlineStr">
        <is>
          <t>unavailable</t>
        </is>
      </c>
      <c r="J332" s="4" t="n">
        <v>23</v>
      </c>
      <c r="K332" t="inlineStr">
        <is>
          <t>7 / 16</t>
        </is>
      </c>
      <c r="L332" t="inlineStr">
        <is>
          <t>6 / 10</t>
        </is>
      </c>
      <c r="M332" s="5" t="n">
        <v>0.3</v>
      </c>
      <c r="N332" s="5" t="n">
        <v>0.38</v>
      </c>
    </row>
    <row r="333">
      <c r="A333" t="n">
        <v>332</v>
      </c>
      <c r="B333" t="n">
        <v>2014</v>
      </c>
      <c r="C333" t="inlineStr">
        <is>
          <t>Vida Jeftic</t>
        </is>
      </c>
      <c r="D333">
        <f>HYPERLINK("https://ota.tournamentsoftware.com/player-profile/5A42C908-572E-4E42-A8CB-609FCF083DE9", "Link")</f>
        <v/>
      </c>
      <c r="E333" s="3" t="n">
        <v>206.56</v>
      </c>
      <c r="F333" s="4" t="n">
        <v>9</v>
      </c>
      <c r="G333" t="inlineStr">
        <is>
          <t>Ontario Tennis Association</t>
        </is>
      </c>
      <c r="H333" t="inlineStr">
        <is>
          <t>Parkside Tennis Club</t>
        </is>
      </c>
      <c r="I333" t="n">
        <v>30.8</v>
      </c>
      <c r="J333" s="4" t="n">
        <v>38</v>
      </c>
      <c r="K333" t="inlineStr">
        <is>
          <t>27 / 11</t>
        </is>
      </c>
      <c r="L333" t="inlineStr">
        <is>
          <t>11 / 4</t>
        </is>
      </c>
      <c r="M333" s="5" t="n">
        <v>0.71</v>
      </c>
      <c r="N333" s="5" t="n">
        <v>0.73</v>
      </c>
    </row>
    <row r="334">
      <c r="A334" t="n">
        <v>333</v>
      </c>
      <c r="B334" t="n">
        <v>2014</v>
      </c>
      <c r="C334" t="inlineStr">
        <is>
          <t>Alexandra Strgacic</t>
        </is>
      </c>
      <c r="D334">
        <f>HYPERLINK("https://ota.tournamentsoftware.com/player-profile/C809B120-C1B7-4F85-B411-257E3DC9B63B", "Link")</f>
        <v/>
      </c>
      <c r="E334" s="3" t="n">
        <v>205.183</v>
      </c>
      <c r="F334" s="4" t="n">
        <v>7</v>
      </c>
      <c r="G334" t="inlineStr">
        <is>
          <t>Ontario Tennis Association</t>
        </is>
      </c>
      <c r="H334" t="inlineStr">
        <is>
          <t>Advantage Tennis International at Veneto</t>
        </is>
      </c>
      <c r="I334" t="n">
        <v>33.5</v>
      </c>
      <c r="J334" s="4" t="n">
        <v>165</v>
      </c>
      <c r="K334" t="inlineStr">
        <is>
          <t>96 / 69</t>
        </is>
      </c>
      <c r="L334" t="inlineStr">
        <is>
          <t>3 / 5</t>
        </is>
      </c>
      <c r="M334" s="5" t="n">
        <v>0.58</v>
      </c>
      <c r="N334" s="5" t="n">
        <v>0.38</v>
      </c>
    </row>
    <row r="335">
      <c r="A335" t="n">
        <v>334</v>
      </c>
      <c r="B335" t="n">
        <v>2013</v>
      </c>
      <c r="C335" t="inlineStr">
        <is>
          <t>Ella Iva Mavretic</t>
        </is>
      </c>
      <c r="D335">
        <f>HYPERLINK("https://ota.tournamentsoftware.com/player-profile/CF99D041-FAEF-47A9-BBE6-3D6335355408", "Link")</f>
        <v/>
      </c>
      <c r="E335" s="3" t="n">
        <v>203.735</v>
      </c>
      <c r="F335" s="4" t="n">
        <v>11</v>
      </c>
      <c r="G335" t="inlineStr">
        <is>
          <t>Ontario Tennis Association</t>
        </is>
      </c>
      <c r="H335" t="inlineStr">
        <is>
          <t>Pinafore Park</t>
        </is>
      </c>
      <c r="I335" t="n">
        <v>34.7</v>
      </c>
      <c r="J335" s="4" t="n">
        <v>198</v>
      </c>
      <c r="K335" t="inlineStr">
        <is>
          <t>88 / 110</t>
        </is>
      </c>
      <c r="L335" t="inlineStr">
        <is>
          <t>4 / 6</t>
        </is>
      </c>
      <c r="M335" s="5" t="n">
        <v>0.44</v>
      </c>
      <c r="N335" s="5" t="n">
        <v>0.4</v>
      </c>
    </row>
    <row r="336">
      <c r="A336" t="n">
        <v>335</v>
      </c>
      <c r="B336" t="n">
        <v>2014</v>
      </c>
      <c r="C336" t="inlineStr">
        <is>
          <t>Freya Jiaxin He</t>
        </is>
      </c>
      <c r="D336">
        <f>HYPERLINK("https://ota.tournamentsoftware.com/player-profile/8C1C07F2-C769-4A85-8385-40B14C9CD709", "Link")</f>
        <v/>
      </c>
      <c r="E336" s="3" t="n">
        <v>203.592</v>
      </c>
      <c r="F336" s="4" t="n">
        <v>6</v>
      </c>
      <c r="G336" t="inlineStr">
        <is>
          <t>Tennis Prince Edward Island</t>
        </is>
      </c>
      <c r="H336" t="inlineStr">
        <is>
          <t>Charlottetown Recreation Tennis Group</t>
        </is>
      </c>
      <c r="I336" t="n">
        <v>31.9</v>
      </c>
      <c r="J336" s="4" t="n">
        <v>104</v>
      </c>
      <c r="K336" t="inlineStr">
        <is>
          <t>58 / 46</t>
        </is>
      </c>
      <c r="L336" t="inlineStr">
        <is>
          <t>19 / 7</t>
        </is>
      </c>
      <c r="M336" s="5" t="n">
        <v>0.5600000000000001</v>
      </c>
      <c r="N336" s="5" t="n">
        <v>0.73</v>
      </c>
    </row>
    <row r="337">
      <c r="A337" t="n">
        <v>336</v>
      </c>
      <c r="B337" t="n">
        <v>2012</v>
      </c>
      <c r="C337" t="inlineStr">
        <is>
          <t>Victoria Trempe</t>
        </is>
      </c>
      <c r="D337">
        <f>HYPERLINK("https://ota.tournamentsoftware.com/player-profile/90EB2857-D907-47BD-ABB6-AAED21876912", "Link")</f>
        <v/>
      </c>
      <c r="E337" s="3" t="n">
        <v>203.573</v>
      </c>
      <c r="F337" s="4" t="n">
        <v>8</v>
      </c>
      <c r="G337" t="inlineStr">
        <is>
          <t>Tennis Québec</t>
        </is>
      </c>
      <c r="H337" t="inlineStr">
        <is>
          <t>Club Sportif Côte-de-Liesse</t>
        </is>
      </c>
      <c r="I337" t="n">
        <v>34</v>
      </c>
      <c r="J337" s="4" t="n">
        <v>122</v>
      </c>
      <c r="K337" t="inlineStr">
        <is>
          <t>45 / 77</t>
        </is>
      </c>
      <c r="L337" t="inlineStr">
        <is>
          <t>2 / 4</t>
        </is>
      </c>
      <c r="M337" s="5" t="n">
        <v>0.37</v>
      </c>
      <c r="N337" s="5" t="n">
        <v>0.33</v>
      </c>
    </row>
    <row r="338">
      <c r="A338" t="n">
        <v>337</v>
      </c>
      <c r="B338" t="n">
        <v>2014</v>
      </c>
      <c r="C338" t="inlineStr">
        <is>
          <t>Payton Isabelle JOHNSTON</t>
        </is>
      </c>
      <c r="D338">
        <f>HYPERLINK("https://ota.tournamentsoftware.com/player-profile/30639279-6EB4-43A0-806A-9F7E6209EBA5", "Link")</f>
        <v/>
      </c>
      <c r="E338" s="3" t="n">
        <v>202.312</v>
      </c>
      <c r="F338" s="4" t="n">
        <v>12</v>
      </c>
      <c r="G338" t="inlineStr">
        <is>
          <t>Tennis Nova Scotia</t>
        </is>
      </c>
      <c r="H338" t="inlineStr">
        <is>
          <t>Gordon Hughes Tennis Club</t>
        </is>
      </c>
      <c r="I338" t="n">
        <v>34.3</v>
      </c>
      <c r="J338" s="4" t="n">
        <v>98</v>
      </c>
      <c r="K338" t="inlineStr">
        <is>
          <t>50 / 48</t>
        </is>
      </c>
      <c r="L338" t="inlineStr">
        <is>
          <t>19 / 22</t>
        </is>
      </c>
      <c r="M338" s="5" t="n">
        <v>0.51</v>
      </c>
      <c r="N338" s="5" t="n">
        <v>0.46</v>
      </c>
    </row>
    <row r="339">
      <c r="A339" t="n">
        <v>338</v>
      </c>
      <c r="B339" t="n">
        <v>2013</v>
      </c>
      <c r="C339" t="inlineStr">
        <is>
          <t>Ophélia Carbonneau</t>
        </is>
      </c>
      <c r="D339">
        <f>HYPERLINK("https://ota.tournamentsoftware.com/player-profile/8B592B8F-8B82-48EF-9CDD-0CBA40EBB412", "Link")</f>
        <v/>
      </c>
      <c r="E339" s="3" t="n">
        <v>200.846</v>
      </c>
      <c r="F339" s="4" t="n">
        <v>18</v>
      </c>
      <c r="G339" t="inlineStr">
        <is>
          <t>Tennis Québec</t>
        </is>
      </c>
      <c r="H339" t="inlineStr">
        <is>
          <t>Tennis Interclub Piedmont</t>
        </is>
      </c>
      <c r="I339" t="n">
        <v>35.8</v>
      </c>
      <c r="J339" s="4" t="n">
        <v>109</v>
      </c>
      <c r="K339" t="inlineStr">
        <is>
          <t>31 / 78</t>
        </is>
      </c>
      <c r="L339" t="inlineStr">
        <is>
          <t>7 / 15</t>
        </is>
      </c>
      <c r="M339" s="5" t="n">
        <v>0.28</v>
      </c>
      <c r="N339" s="5" t="n">
        <v>0.32</v>
      </c>
    </row>
    <row r="340">
      <c r="A340" t="n">
        <v>339</v>
      </c>
      <c r="B340" t="n">
        <v>2014</v>
      </c>
      <c r="C340" t="inlineStr">
        <is>
          <t>Lana Kasumovic</t>
        </is>
      </c>
      <c r="D340">
        <f>HYPERLINK("https://ota.tournamentsoftware.com/player-profile/7F2BA85F-A3DF-40B8-9457-1DD55A7C11FB", "Link")</f>
        <v/>
      </c>
      <c r="E340" s="3" t="n">
        <v>200.268</v>
      </c>
      <c r="F340" s="4" t="n">
        <v>24</v>
      </c>
      <c r="G340" t="inlineStr">
        <is>
          <t>Ontario Tennis Association</t>
        </is>
      </c>
      <c r="H340" t="inlineStr">
        <is>
          <t>Rideau Sports Centre</t>
        </is>
      </c>
      <c r="I340" t="n">
        <v>34.3</v>
      </c>
      <c r="J340" s="4" t="n">
        <v>150</v>
      </c>
      <c r="K340" t="inlineStr">
        <is>
          <t>52 / 98</t>
        </is>
      </c>
      <c r="L340" t="inlineStr">
        <is>
          <t>26 / 23</t>
        </is>
      </c>
      <c r="M340" s="5" t="n">
        <v>0.35</v>
      </c>
      <c r="N340" s="5" t="n">
        <v>0.53</v>
      </c>
    </row>
    <row r="341">
      <c r="A341" t="n">
        <v>340</v>
      </c>
      <c r="B341" t="n">
        <v>2013</v>
      </c>
      <c r="C341" t="inlineStr">
        <is>
          <t>Ana Sofia Prieto Echandia</t>
        </is>
      </c>
      <c r="D341">
        <f>HYPERLINK("https://ota.tournamentsoftware.com/player-profile/0A98F660-17C5-4374-B63C-9B5B0E183AF0", "Link")</f>
        <v/>
      </c>
      <c r="E341" s="3" t="n">
        <v>198.964</v>
      </c>
      <c r="F341" s="4" t="n">
        <v>8</v>
      </c>
      <c r="G341" t="inlineStr">
        <is>
          <t>Tennis Québec</t>
        </is>
      </c>
      <c r="H341" t="inlineStr">
        <is>
          <t>Tennis Ile- des- Soeurs</t>
        </is>
      </c>
      <c r="I341" t="n">
        <v>33.3</v>
      </c>
      <c r="J341" s="4" t="n">
        <v>33</v>
      </c>
      <c r="K341" t="inlineStr">
        <is>
          <t>19 / 14</t>
        </is>
      </c>
      <c r="L341" t="inlineStr">
        <is>
          <t>2 / 6</t>
        </is>
      </c>
      <c r="M341" s="5" t="n">
        <v>0.58</v>
      </c>
      <c r="N341" s="5" t="n">
        <v>0.25</v>
      </c>
    </row>
    <row r="342">
      <c r="A342" t="n">
        <v>341</v>
      </c>
      <c r="B342" t="n">
        <v>2014</v>
      </c>
      <c r="C342" t="inlineStr">
        <is>
          <t>Mariah Jorge-Eman</t>
        </is>
      </c>
      <c r="D342">
        <f>HYPERLINK("https://ota.tournamentsoftware.com/player-profile/B6887B12-5A2B-48B9-8A94-164305BBBBBE", "Link")</f>
        <v/>
      </c>
      <c r="E342" s="3" t="n">
        <v>198.746</v>
      </c>
      <c r="F342" s="4" t="n">
        <v>20</v>
      </c>
      <c r="G342" t="inlineStr">
        <is>
          <t>Ontario Tennis Association</t>
        </is>
      </c>
      <c r="H342" t="inlineStr">
        <is>
          <t>Premier Racquet Clubs – Mississauga</t>
        </is>
      </c>
      <c r="I342" t="n">
        <v>33.7</v>
      </c>
      <c r="J342" s="4" t="n">
        <v>102</v>
      </c>
      <c r="K342" t="inlineStr">
        <is>
          <t>48 / 54</t>
        </is>
      </c>
      <c r="L342" t="inlineStr">
        <is>
          <t>15 / 14</t>
        </is>
      </c>
      <c r="M342" s="5" t="n">
        <v>0.47</v>
      </c>
      <c r="N342" s="5" t="n">
        <v>0.52</v>
      </c>
    </row>
    <row r="343">
      <c r="A343" t="n">
        <v>342</v>
      </c>
      <c r="B343" t="n">
        <v>2013</v>
      </c>
      <c r="C343" t="inlineStr">
        <is>
          <t>Eliza Willow Nguyen</t>
        </is>
      </c>
      <c r="D343">
        <f>HYPERLINK("https://ota.tournamentsoftware.com/player-profile/1A3AE60F-B4FB-4C4C-AE09-5D730884AC0A", "Link")</f>
        <v/>
      </c>
      <c r="E343" s="3" t="n">
        <v>198.067</v>
      </c>
      <c r="F343" s="4" t="n">
        <v>12</v>
      </c>
      <c r="G343" t="inlineStr">
        <is>
          <t>Tennis Alberta</t>
        </is>
      </c>
      <c r="H343" t="inlineStr">
        <is>
          <t>Saville Community Sports Centre</t>
        </is>
      </c>
      <c r="I343" t="n">
        <v>33.1</v>
      </c>
      <c r="J343" s="4" t="n">
        <v>143</v>
      </c>
      <c r="K343" t="inlineStr">
        <is>
          <t>66 / 77</t>
        </is>
      </c>
      <c r="L343" t="inlineStr">
        <is>
          <t>10 / 13</t>
        </is>
      </c>
      <c r="M343" s="5" t="n">
        <v>0.46</v>
      </c>
      <c r="N343" s="5" t="n">
        <v>0.43</v>
      </c>
    </row>
    <row r="344">
      <c r="A344" t="n">
        <v>343</v>
      </c>
      <c r="B344" t="n">
        <v>2014</v>
      </c>
      <c r="C344" t="inlineStr">
        <is>
          <t>Ella Meng</t>
        </is>
      </c>
      <c r="D344">
        <f>HYPERLINK("https://ota.tournamentsoftware.com/player-profile/B7EC0DBA-A6B8-49FA-A398-63ABEF8384E7", "Link")</f>
        <v/>
      </c>
      <c r="E344" s="3" t="n">
        <v>194.534</v>
      </c>
      <c r="F344" s="4" t="n">
        <v>13</v>
      </c>
      <c r="G344" t="inlineStr">
        <is>
          <t>Ontario Tennis Association</t>
        </is>
      </c>
      <c r="H344" t="inlineStr">
        <is>
          <t>Marilyn Redvers Tennis Club</t>
        </is>
      </c>
      <c r="I344" t="n">
        <v>33.8</v>
      </c>
      <c r="J344" s="4" t="n">
        <v>85</v>
      </c>
      <c r="K344" t="inlineStr">
        <is>
          <t>30 / 55</t>
        </is>
      </c>
      <c r="L344" t="inlineStr">
        <is>
          <t>11 / 13</t>
        </is>
      </c>
      <c r="M344" s="5" t="n">
        <v>0.35</v>
      </c>
      <c r="N344" s="5" t="n">
        <v>0.46</v>
      </c>
    </row>
    <row r="345">
      <c r="A345" t="n">
        <v>344</v>
      </c>
      <c r="B345" t="n">
        <v>2012</v>
      </c>
      <c r="C345" t="inlineStr">
        <is>
          <t>Carys Miles</t>
        </is>
      </c>
      <c r="D345">
        <f>HYPERLINK("https://ota.tournamentsoftware.com/player-profile/7FCFD8F6-5B52-4825-B8AA-B72BF77A3298", "Link")</f>
        <v/>
      </c>
      <c r="E345" s="3" t="n">
        <v>194.325</v>
      </c>
      <c r="F345" s="4" t="n">
        <v>15</v>
      </c>
      <c r="G345" t="inlineStr">
        <is>
          <t>Tennis Alberta</t>
        </is>
      </c>
      <c r="H345" t="inlineStr">
        <is>
          <t>Osten &amp; Victor Alberta Tennis Centre</t>
        </is>
      </c>
      <c r="I345" t="n">
        <v>31.1</v>
      </c>
      <c r="J345" s="4" t="n">
        <v>200</v>
      </c>
      <c r="K345" t="inlineStr">
        <is>
          <t>98 / 102</t>
        </is>
      </c>
      <c r="L345" t="inlineStr">
        <is>
          <t>4 / 9</t>
        </is>
      </c>
      <c r="M345" s="5" t="n">
        <v>0.49</v>
      </c>
      <c r="N345" s="5" t="n">
        <v>0.31</v>
      </c>
    </row>
    <row r="346">
      <c r="A346" t="n">
        <v>345</v>
      </c>
      <c r="B346" t="n">
        <v>2015</v>
      </c>
      <c r="C346" t="inlineStr">
        <is>
          <t>Emma Echeverri Vujicic</t>
        </is>
      </c>
      <c r="D346">
        <f>HYPERLINK("https://ota.tournamentsoftware.com/player-profile/644C3F8A-163C-4BEA-8EBD-9263F89347F9", "Link")</f>
        <v/>
      </c>
      <c r="E346" s="3" t="n">
        <v>194.237</v>
      </c>
      <c r="F346" s="4" t="n">
        <v>21</v>
      </c>
      <c r="G346" t="inlineStr">
        <is>
          <t>Ontario Tennis Association</t>
        </is>
      </c>
      <c r="H346" t="inlineStr">
        <is>
          <t>Mayfair West Fitness &amp; Racquet Club</t>
        </is>
      </c>
      <c r="I346" t="n">
        <v>33.8</v>
      </c>
      <c r="J346" s="4" t="n">
        <v>130</v>
      </c>
      <c r="K346" t="inlineStr">
        <is>
          <t>63 / 67</t>
        </is>
      </c>
      <c r="L346" t="inlineStr">
        <is>
          <t>24 / 13</t>
        </is>
      </c>
      <c r="M346" s="5" t="n">
        <v>0.48</v>
      </c>
      <c r="N346" s="5" t="n">
        <v>0.65</v>
      </c>
    </row>
    <row r="347">
      <c r="A347" t="n">
        <v>346</v>
      </c>
      <c r="B347" t="n">
        <v>2012</v>
      </c>
      <c r="C347" t="inlineStr">
        <is>
          <t>Gabrielle Siewe Meliatou</t>
        </is>
      </c>
      <c r="D347">
        <f>HYPERLINK("https://ota.tournamentsoftware.com/player-profile/7E53A46A-6CF0-4DB8-9382-FCE1966714A8", "Link")</f>
        <v/>
      </c>
      <c r="E347" s="3" t="n">
        <v>192.866</v>
      </c>
      <c r="F347" s="4" t="n">
        <v>16</v>
      </c>
      <c r="G347" t="inlineStr">
        <is>
          <t>Tennis Québec</t>
        </is>
      </c>
      <c r="H347" t="inlineStr">
        <is>
          <t>SANI Sport</t>
        </is>
      </c>
      <c r="I347" t="n">
        <v>35.5</v>
      </c>
      <c r="J347" s="4" t="n">
        <v>78</v>
      </c>
      <c r="K347" t="inlineStr">
        <is>
          <t>24 / 54</t>
        </is>
      </c>
      <c r="L347" t="inlineStr">
        <is>
          <t>5 / 11</t>
        </is>
      </c>
      <c r="M347" s="5" t="n">
        <v>0.31</v>
      </c>
      <c r="N347" s="5" t="n">
        <v>0.31</v>
      </c>
    </row>
    <row r="348">
      <c r="A348" t="n">
        <v>347</v>
      </c>
      <c r="B348" t="n">
        <v>2012</v>
      </c>
      <c r="C348" t="inlineStr">
        <is>
          <t>Xinyi Zhang</t>
        </is>
      </c>
      <c r="D348">
        <f>HYPERLINK("https://ota.tournamentsoftware.com/player-profile/BCC8B346-C184-4803-9CC2-592D143B667B", "Link")</f>
        <v/>
      </c>
      <c r="E348" s="3" t="n">
        <v>191.822</v>
      </c>
      <c r="F348" s="4" t="n">
        <v>14</v>
      </c>
      <c r="G348" t="inlineStr">
        <is>
          <t>Ontario Tennis Association</t>
        </is>
      </c>
      <c r="H348" t="inlineStr">
        <is>
          <t>Marilyn Redvers Tennis Club</t>
        </is>
      </c>
      <c r="I348" t="n">
        <v>33.5</v>
      </c>
      <c r="J348" s="4" t="n">
        <v>53</v>
      </c>
      <c r="K348" t="inlineStr">
        <is>
          <t>26 / 27</t>
        </is>
      </c>
      <c r="L348" t="inlineStr">
        <is>
          <t>15 / 19</t>
        </is>
      </c>
      <c r="M348" s="5" t="n">
        <v>0.49</v>
      </c>
      <c r="N348" s="5" t="n">
        <v>0.44</v>
      </c>
    </row>
    <row r="349">
      <c r="A349" t="n">
        <v>348</v>
      </c>
      <c r="B349" t="n">
        <v>2015</v>
      </c>
      <c r="C349" t="inlineStr">
        <is>
          <t>Olivia Ormandy</t>
        </is>
      </c>
      <c r="D349">
        <f>HYPERLINK("https://ota.tournamentsoftware.com/player-profile/C2722647-7EFC-4E85-B2ED-55E77949843B", "Link")</f>
        <v/>
      </c>
      <c r="E349" s="3" t="n">
        <v>190.2</v>
      </c>
      <c r="F349" s="4" t="n">
        <v>27</v>
      </c>
      <c r="G349" t="inlineStr">
        <is>
          <t>Tennis Québec</t>
        </is>
      </c>
      <c r="H349" t="inlineStr">
        <is>
          <t>Tennis Interclub Piedmont</t>
        </is>
      </c>
      <c r="I349" t="n">
        <v>33.3</v>
      </c>
      <c r="J349" s="4" t="n">
        <v>196</v>
      </c>
      <c r="K349" t="inlineStr">
        <is>
          <t>96 / 100</t>
        </is>
      </c>
      <c r="L349" t="inlineStr">
        <is>
          <t>24 / 26</t>
        </is>
      </c>
      <c r="M349" s="5" t="n">
        <v>0.49</v>
      </c>
      <c r="N349" s="5" t="n">
        <v>0.48</v>
      </c>
    </row>
    <row r="350">
      <c r="A350" t="n">
        <v>349</v>
      </c>
      <c r="B350" t="n">
        <v>2012</v>
      </c>
      <c r="C350" t="inlineStr">
        <is>
          <t>Sabrina Sajjad</t>
        </is>
      </c>
      <c r="D350">
        <f>HYPERLINK("https://ota.tournamentsoftware.com/player-profile/6C7EB560-0C6C-49E6-9B42-49009727ED3D", "Link")</f>
        <v/>
      </c>
      <c r="E350" s="3" t="n">
        <v>189.48</v>
      </c>
      <c r="F350" s="4" t="n">
        <v>16</v>
      </c>
      <c r="G350" t="inlineStr">
        <is>
          <t>Ontario Tennis Association</t>
        </is>
      </c>
      <c r="H350" t="inlineStr">
        <is>
          <t>No Club</t>
        </is>
      </c>
      <c r="I350" t="n">
        <v>34.1</v>
      </c>
      <c r="J350" s="4" t="n">
        <v>71</v>
      </c>
      <c r="K350" t="inlineStr">
        <is>
          <t>36 / 35</t>
        </is>
      </c>
      <c r="L350" t="inlineStr">
        <is>
          <t>9 / 11</t>
        </is>
      </c>
      <c r="M350" s="5" t="n">
        <v>0.51</v>
      </c>
      <c r="N350" s="5" t="n">
        <v>0.45</v>
      </c>
    </row>
    <row r="351">
      <c r="A351" t="n">
        <v>350</v>
      </c>
      <c r="B351" t="n">
        <v>2012</v>
      </c>
      <c r="C351" t="inlineStr">
        <is>
          <t>GURMEHR KAUR</t>
        </is>
      </c>
      <c r="D351">
        <f>HYPERLINK("https://ota.tournamentsoftware.com/player-profile/2C69CAA6-FCC8-49BC-ACA2-32F5C15717ED", "Link")</f>
        <v/>
      </c>
      <c r="E351" s="3" t="n">
        <v>189.248</v>
      </c>
      <c r="F351" s="4" t="n">
        <v>19</v>
      </c>
      <c r="G351" t="inlineStr">
        <is>
          <t>British Columbia</t>
        </is>
      </c>
      <c r="H351" t="inlineStr">
        <is>
          <t>Newton Tennis Club</t>
        </is>
      </c>
      <c r="I351" t="n">
        <v>32.4</v>
      </c>
      <c r="J351" s="4" t="n">
        <v>180</v>
      </c>
      <c r="K351" t="inlineStr">
        <is>
          <t>78 / 102</t>
        </is>
      </c>
      <c r="L351" t="inlineStr">
        <is>
          <t>18 / 23</t>
        </is>
      </c>
      <c r="M351" s="5" t="n">
        <v>0.43</v>
      </c>
      <c r="N351" s="5" t="n">
        <v>0.44</v>
      </c>
    </row>
    <row r="352">
      <c r="A352" t="n">
        <v>351</v>
      </c>
      <c r="B352" t="n">
        <v>2013</v>
      </c>
      <c r="C352" t="inlineStr">
        <is>
          <t>Sophie Pothel</t>
        </is>
      </c>
      <c r="D352">
        <f>HYPERLINK("https://ota.tournamentsoftware.com/player-profile/21DD6509-0C4D-4711-BEB0-DC2D198520FD", "Link")</f>
        <v/>
      </c>
      <c r="E352" s="3" t="n">
        <v>188.14</v>
      </c>
      <c r="F352" s="4" t="n">
        <v>17</v>
      </c>
      <c r="G352" t="inlineStr">
        <is>
          <t>Tennis Québec</t>
        </is>
      </c>
      <c r="H352" t="inlineStr">
        <is>
          <t>Tennis Ile- des- Soeurs</t>
        </is>
      </c>
      <c r="I352" t="inlineStr">
        <is>
          <t>unavailable</t>
        </is>
      </c>
      <c r="J352" s="4" t="n">
        <v>61</v>
      </c>
      <c r="K352" t="inlineStr">
        <is>
          <t>10 / 51</t>
        </is>
      </c>
      <c r="L352" t="inlineStr">
        <is>
          <t>5 / 19</t>
        </is>
      </c>
      <c r="M352" s="5" t="n">
        <v>0.16</v>
      </c>
      <c r="N352" s="5" t="n">
        <v>0.21</v>
      </c>
    </row>
    <row r="353">
      <c r="A353" t="n">
        <v>352</v>
      </c>
      <c r="B353" t="n">
        <v>2016</v>
      </c>
      <c r="C353" t="inlineStr">
        <is>
          <t>Emily Zheng</t>
        </is>
      </c>
      <c r="D353">
        <f>HYPERLINK("https://ota.tournamentsoftware.com/player-profile/6AB11A61-4852-4958-84E1-2773676D29C2", "Link")</f>
        <v/>
      </c>
      <c r="E353" s="3" t="n">
        <v>187.89</v>
      </c>
      <c r="F353" s="4" t="n">
        <v>26</v>
      </c>
      <c r="G353" t="inlineStr">
        <is>
          <t>Ontario Tennis Association</t>
        </is>
      </c>
      <c r="H353" t="inlineStr">
        <is>
          <t>Toronto Cricket Skating &amp; Curling</t>
        </is>
      </c>
      <c r="I353" t="n">
        <v>33.2</v>
      </c>
      <c r="J353" s="4" t="n">
        <v>108</v>
      </c>
      <c r="K353" t="inlineStr">
        <is>
          <t>44 / 64</t>
        </is>
      </c>
      <c r="L353" t="inlineStr">
        <is>
          <t>23 / 14</t>
        </is>
      </c>
      <c r="M353" s="5" t="n">
        <v>0.41</v>
      </c>
      <c r="N353" s="5" t="n">
        <v>0.62</v>
      </c>
    </row>
    <row r="354">
      <c r="A354" t="n">
        <v>353</v>
      </c>
      <c r="B354" t="n">
        <v>2013</v>
      </c>
      <c r="C354" t="inlineStr">
        <is>
          <t>Alysha Alexis</t>
        </is>
      </c>
      <c r="D354">
        <f>HYPERLINK("https://ota.tournamentsoftware.com/player-profile/42191CE6-0E1E-460D-80E0-9A7FF78DA6C6", "Link")</f>
        <v/>
      </c>
      <c r="E354" s="3" t="n">
        <v>185.03</v>
      </c>
      <c r="F354" s="4" t="n">
        <v>18</v>
      </c>
      <c r="G354" t="inlineStr">
        <is>
          <t>Tennis Québec</t>
        </is>
      </c>
      <c r="H354" t="inlineStr">
        <is>
          <t>Académie Tennis Momentum (club extérieur)</t>
        </is>
      </c>
      <c r="I354" t="n">
        <v>33.9</v>
      </c>
      <c r="J354" s="4" t="n">
        <v>68</v>
      </c>
      <c r="K354" t="inlineStr">
        <is>
          <t>32 / 36</t>
        </is>
      </c>
      <c r="L354" t="inlineStr">
        <is>
          <t>12 / 12</t>
        </is>
      </c>
      <c r="M354" s="5" t="n">
        <v>0.47</v>
      </c>
      <c r="N354" s="5" t="n">
        <v>0.5</v>
      </c>
    </row>
    <row r="355">
      <c r="A355" t="n">
        <v>354</v>
      </c>
      <c r="B355" t="n">
        <v>2014</v>
      </c>
      <c r="C355" t="inlineStr">
        <is>
          <t>Mila Alexandra Voros</t>
        </is>
      </c>
      <c r="D355">
        <f>HYPERLINK("https://ota.tournamentsoftware.com/player-profile/96155B79-5199-481D-8AF1-A174FA860401", "Link")</f>
        <v/>
      </c>
      <c r="E355" s="3" t="n">
        <v>184.412</v>
      </c>
      <c r="F355" s="4" t="n">
        <v>14</v>
      </c>
      <c r="G355" t="inlineStr">
        <is>
          <t>Ontario Tennis Association</t>
        </is>
      </c>
      <c r="H355" t="inlineStr">
        <is>
          <t>GSM Tennis Club</t>
        </is>
      </c>
      <c r="I355" t="n">
        <v>34.8</v>
      </c>
      <c r="J355" s="4" t="n">
        <v>136</v>
      </c>
      <c r="K355" t="inlineStr">
        <is>
          <t>58 / 78</t>
        </is>
      </c>
      <c r="L355" t="inlineStr">
        <is>
          <t>7 / 15</t>
        </is>
      </c>
      <c r="M355" s="5" t="n">
        <v>0.43</v>
      </c>
      <c r="N355" s="5" t="n">
        <v>0.32</v>
      </c>
    </row>
    <row r="356">
      <c r="A356" t="n">
        <v>355</v>
      </c>
      <c r="B356" t="n">
        <v>2014</v>
      </c>
      <c r="C356" t="inlineStr">
        <is>
          <t>Amelia Rogette Hinnawi</t>
        </is>
      </c>
      <c r="D356">
        <f>HYPERLINK("https://ota.tournamentsoftware.com/player-profile/1DADE780-E571-45F1-BC6D-21B72637C0B7", "Link")</f>
        <v/>
      </c>
      <c r="E356" s="3" t="n">
        <v>184.213</v>
      </c>
      <c r="F356" s="4" t="n">
        <v>22</v>
      </c>
      <c r="G356" t="inlineStr">
        <is>
          <t>Tennis Québec</t>
        </is>
      </c>
      <c r="H356" t="inlineStr">
        <is>
          <t>Tennis Ile- des- Soeurs</t>
        </is>
      </c>
      <c r="I356" t="inlineStr">
        <is>
          <t>unavailable</t>
        </is>
      </c>
      <c r="J356" s="4" t="n">
        <v>138</v>
      </c>
      <c r="K356" t="inlineStr">
        <is>
          <t>43 / 95</t>
        </is>
      </c>
      <c r="L356" t="inlineStr">
        <is>
          <t>12 / 21</t>
        </is>
      </c>
      <c r="M356" s="5" t="n">
        <v>0.31</v>
      </c>
      <c r="N356" s="5" t="n">
        <v>0.36</v>
      </c>
    </row>
    <row r="357">
      <c r="A357" t="n">
        <v>356</v>
      </c>
      <c r="B357" t="n">
        <v>2013</v>
      </c>
      <c r="C357" t="inlineStr">
        <is>
          <t>Kate Penalba</t>
        </is>
      </c>
      <c r="D357">
        <f>HYPERLINK("https://ota.tournamentsoftware.com/player-profile/C3F08CFB-765E-4234-8D01-16CB3E717037", "Link")</f>
        <v/>
      </c>
      <c r="E357" s="3" t="n">
        <v>182.596</v>
      </c>
      <c r="F357" s="4" t="n">
        <v>16</v>
      </c>
      <c r="G357" t="inlineStr">
        <is>
          <t>Ontario Tennis Association</t>
        </is>
      </c>
      <c r="H357" t="inlineStr">
        <is>
          <t>No Club</t>
        </is>
      </c>
      <c r="I357" t="n">
        <v>34.7</v>
      </c>
      <c r="J357" s="4" t="n">
        <v>132</v>
      </c>
      <c r="K357" t="inlineStr">
        <is>
          <t>53 / 79</t>
        </is>
      </c>
      <c r="L357" t="inlineStr">
        <is>
          <t>10 / 17</t>
        </is>
      </c>
      <c r="M357" s="5" t="n">
        <v>0.4</v>
      </c>
      <c r="N357" s="5" t="n">
        <v>0.37</v>
      </c>
    </row>
    <row r="358">
      <c r="A358" t="n">
        <v>357</v>
      </c>
      <c r="B358" t="n">
        <v>2013</v>
      </c>
      <c r="C358" t="inlineStr">
        <is>
          <t>Victoria Pellerin</t>
        </is>
      </c>
      <c r="D358">
        <f>HYPERLINK("https://ota.tournamentsoftware.com/player-profile/097573BE-64EA-4951-9B1B-3779B5938722", "Link")</f>
        <v/>
      </c>
      <c r="E358" s="3" t="n">
        <v>181.263</v>
      </c>
      <c r="F358" s="4" t="n">
        <v>16</v>
      </c>
      <c r="G358" t="inlineStr">
        <is>
          <t>Tennis Québec</t>
        </is>
      </c>
      <c r="H358" t="inlineStr">
        <is>
          <t>Centre récréatif de Repentigny / Académie Tennis Momentum</t>
        </is>
      </c>
      <c r="I358" t="n">
        <v>36.7</v>
      </c>
      <c r="J358" s="4" t="n">
        <v>58</v>
      </c>
      <c r="K358" t="inlineStr">
        <is>
          <t>16 / 42</t>
        </is>
      </c>
      <c r="L358" t="inlineStr">
        <is>
          <t>4 / 14</t>
        </is>
      </c>
      <c r="M358" s="5" t="n">
        <v>0.28</v>
      </c>
      <c r="N358" s="5" t="n">
        <v>0.22</v>
      </c>
    </row>
    <row r="359">
      <c r="A359" t="n">
        <v>358</v>
      </c>
      <c r="B359" t="n">
        <v>2015</v>
      </c>
      <c r="C359" t="inlineStr">
        <is>
          <t>Jesi Myra Kumaran</t>
        </is>
      </c>
      <c r="D359">
        <f>HYPERLINK("https://ota.tournamentsoftware.com/player-profile/8DE19A2A-095B-4432-92FE-7CA64D28B7F1", "Link")</f>
        <v/>
      </c>
      <c r="E359" s="3" t="n">
        <v>179.454</v>
      </c>
      <c r="F359" s="4" t="n">
        <v>32</v>
      </c>
      <c r="G359" t="inlineStr">
        <is>
          <t>Ontario Tennis Association</t>
        </is>
      </c>
      <c r="H359" t="inlineStr">
        <is>
          <t>Valan Tennis Academy</t>
        </is>
      </c>
      <c r="I359" t="n">
        <v>36.7</v>
      </c>
      <c r="J359" s="4" t="n">
        <v>196</v>
      </c>
      <c r="K359" t="inlineStr">
        <is>
          <t>69 / 127</t>
        </is>
      </c>
      <c r="L359" t="inlineStr">
        <is>
          <t>15 / 30</t>
        </is>
      </c>
      <c r="M359" s="5" t="n">
        <v>0.35</v>
      </c>
      <c r="N359" s="5" t="n">
        <v>0.33</v>
      </c>
    </row>
    <row r="360">
      <c r="A360" t="n">
        <v>359</v>
      </c>
      <c r="B360" t="n">
        <v>2015</v>
      </c>
      <c r="C360" t="inlineStr">
        <is>
          <t>Kynarra Tayt Burthwright</t>
        </is>
      </c>
      <c r="D360">
        <f>HYPERLINK("https://ota.tournamentsoftware.com/player-profile/54340729-CFE8-4AE6-B072-4BD29664CBEC", "Link")</f>
        <v/>
      </c>
      <c r="E360" s="3" t="n">
        <v>179.393</v>
      </c>
      <c r="F360" s="4" t="n">
        <v>27</v>
      </c>
      <c r="G360" t="inlineStr">
        <is>
          <t>Ontario Tennis Association</t>
        </is>
      </c>
      <c r="H360" t="inlineStr">
        <is>
          <t>Newmarket Community Tennis Club</t>
        </is>
      </c>
      <c r="I360" t="n">
        <v>34.4</v>
      </c>
      <c r="J360" s="4" t="n">
        <v>131</v>
      </c>
      <c r="K360" t="inlineStr">
        <is>
          <t>68 / 63</t>
        </is>
      </c>
      <c r="L360" t="inlineStr">
        <is>
          <t>31 / 30</t>
        </is>
      </c>
      <c r="M360" s="5" t="n">
        <v>0.52</v>
      </c>
      <c r="N360" s="5" t="n">
        <v>0.51</v>
      </c>
    </row>
    <row r="361">
      <c r="A361" t="n">
        <v>360</v>
      </c>
      <c r="B361" t="n">
        <v>2017</v>
      </c>
      <c r="C361" t="inlineStr">
        <is>
          <t>Ella Nicolaeva</t>
        </is>
      </c>
      <c r="D361">
        <f>HYPERLINK("https://ota.tournamentsoftware.com/player-profile/7A11DAF6-4353-49AB-8591-07AB86D11272", "Link")</f>
        <v/>
      </c>
      <c r="E361" s="3" t="n">
        <v>178.458</v>
      </c>
      <c r="F361" s="4" t="n">
        <v>40</v>
      </c>
      <c r="G361" t="inlineStr">
        <is>
          <t>Ontario Tennis Association</t>
        </is>
      </c>
      <c r="H361" t="inlineStr">
        <is>
          <t>Valan Tennis Academy</t>
        </is>
      </c>
      <c r="I361" t="n">
        <v>32.8</v>
      </c>
      <c r="J361" s="4" t="n">
        <v>192</v>
      </c>
      <c r="K361" t="inlineStr">
        <is>
          <t>135 / 57</t>
        </is>
      </c>
      <c r="L361" t="inlineStr">
        <is>
          <t>46 / 27</t>
        </is>
      </c>
      <c r="M361" s="5" t="n">
        <v>0.7</v>
      </c>
      <c r="N361" s="5" t="n">
        <v>0.63</v>
      </c>
    </row>
    <row r="362">
      <c r="A362" t="n">
        <v>361</v>
      </c>
      <c r="B362" t="n">
        <v>2015</v>
      </c>
      <c r="C362" t="inlineStr">
        <is>
          <t>Brielle York</t>
        </is>
      </c>
      <c r="D362">
        <f>HYPERLINK("https://ota.tournamentsoftware.com/player-profile/C0B1A514-EDF7-4907-9E4D-D3B8C705EB1D", "Link")</f>
        <v/>
      </c>
      <c r="E362" s="3" t="n">
        <v>177.941</v>
      </c>
      <c r="F362" s="4" t="n">
        <v>16</v>
      </c>
      <c r="G362" t="inlineStr">
        <is>
          <t>Tennis Alberta</t>
        </is>
      </c>
      <c r="H362" t="inlineStr">
        <is>
          <t>Aforza</t>
        </is>
      </c>
      <c r="I362" t="n">
        <v>36.3</v>
      </c>
      <c r="J362" s="4" t="n">
        <v>144</v>
      </c>
      <c r="K362" t="inlineStr">
        <is>
          <t>68 / 76</t>
        </is>
      </c>
      <c r="L362" t="inlineStr">
        <is>
          <t>13 / 21</t>
        </is>
      </c>
      <c r="M362" s="5" t="n">
        <v>0.47</v>
      </c>
      <c r="N362" s="5" t="n">
        <v>0.38</v>
      </c>
    </row>
    <row r="363">
      <c r="A363" t="n">
        <v>362</v>
      </c>
      <c r="B363" t="n">
        <v>2013</v>
      </c>
      <c r="C363" t="inlineStr">
        <is>
          <t>Renée Jugalbot</t>
        </is>
      </c>
      <c r="D363">
        <f>HYPERLINK("https://ota.tournamentsoftware.com/player-profile/A487A79B-AB42-4314-BD75-6EFD99F64BC7", "Link")</f>
        <v/>
      </c>
      <c r="E363" s="3" t="n">
        <v>176.744</v>
      </c>
      <c r="F363" s="4" t="n">
        <v>28</v>
      </c>
      <c r="G363" t="inlineStr">
        <is>
          <t>Ontario Tennis Association</t>
        </is>
      </c>
      <c r="H363" t="inlineStr">
        <is>
          <t>Rosedale Tennis Club (Hamilton)</t>
        </is>
      </c>
      <c r="I363" t="n">
        <v>35.9</v>
      </c>
      <c r="J363" s="4" t="n">
        <v>91</v>
      </c>
      <c r="K363" t="inlineStr">
        <is>
          <t>37 / 54</t>
        </is>
      </c>
      <c r="L363" t="inlineStr">
        <is>
          <t>19 / 27</t>
        </is>
      </c>
      <c r="M363" s="5" t="n">
        <v>0.41</v>
      </c>
      <c r="N363" s="5" t="n">
        <v>0.41</v>
      </c>
    </row>
    <row r="364">
      <c r="A364" t="n">
        <v>363</v>
      </c>
      <c r="B364" t="n">
        <v>2012</v>
      </c>
      <c r="C364" t="inlineStr">
        <is>
          <t>Charlianne Grace Kiss</t>
        </is>
      </c>
      <c r="D364">
        <f>HYPERLINK("https://ota.tournamentsoftware.com/player-profile/09C918D2-187B-42AF-836D-E31A35062CB3", "Link")</f>
        <v/>
      </c>
      <c r="E364" s="3" t="n">
        <v>176.12</v>
      </c>
      <c r="F364" s="4" t="n">
        <v>10</v>
      </c>
      <c r="G364" t="inlineStr">
        <is>
          <t>Tennis Alberta</t>
        </is>
      </c>
      <c r="H364" t="inlineStr">
        <is>
          <t>Saville Community Sports Centre</t>
        </is>
      </c>
      <c r="I364" t="n">
        <v>35.9</v>
      </c>
      <c r="J364" s="4" t="n">
        <v>72</v>
      </c>
      <c r="K364" t="inlineStr">
        <is>
          <t>27 / 45</t>
        </is>
      </c>
      <c r="L364" t="inlineStr">
        <is>
          <t>9 / 15</t>
        </is>
      </c>
      <c r="M364" s="5" t="n">
        <v>0.38</v>
      </c>
      <c r="N364" s="5" t="n">
        <v>0.38</v>
      </c>
    </row>
    <row r="365">
      <c r="A365" t="n">
        <v>364</v>
      </c>
      <c r="B365" t="n">
        <v>2014</v>
      </c>
      <c r="C365" t="inlineStr">
        <is>
          <t>Nadia Stuparyk</t>
        </is>
      </c>
      <c r="D365">
        <f>HYPERLINK("https://ota.tournamentsoftware.com/player-profile/05ABA68F-2EB2-4BFB-B6CA-677BDD1DCDCA", "Link")</f>
        <v/>
      </c>
      <c r="E365" s="3" t="n">
        <v>173.522</v>
      </c>
      <c r="F365" s="4" t="n">
        <v>34</v>
      </c>
      <c r="G365" t="inlineStr">
        <is>
          <t>Ontario Tennis Association</t>
        </is>
      </c>
      <c r="H365" t="inlineStr">
        <is>
          <t>Parkside Tennis Club</t>
        </is>
      </c>
      <c r="I365" t="n">
        <v>33.3</v>
      </c>
      <c r="J365" s="4" t="n">
        <v>186</v>
      </c>
      <c r="K365" t="inlineStr">
        <is>
          <t>89 / 97</t>
        </is>
      </c>
      <c r="L365" t="inlineStr">
        <is>
          <t>24 / 21</t>
        </is>
      </c>
      <c r="M365" s="5" t="n">
        <v>0.48</v>
      </c>
      <c r="N365" s="5" t="n">
        <v>0.53</v>
      </c>
    </row>
    <row r="366">
      <c r="A366" t="n">
        <v>365</v>
      </c>
      <c r="B366" t="n">
        <v>2012</v>
      </c>
      <c r="C366" t="inlineStr">
        <is>
          <t>Angelica Rose Spyrka</t>
        </is>
      </c>
      <c r="D366">
        <f>HYPERLINK("https://ota.tournamentsoftware.com/player-profile/7A8F99DB-3ADA-4FDB-AC08-5095AAF01985", "Link")</f>
        <v/>
      </c>
      <c r="E366" s="3" t="n">
        <v>173.417</v>
      </c>
      <c r="F366" s="4" t="n">
        <v>12</v>
      </c>
      <c r="G366" t="inlineStr">
        <is>
          <t>British Columbia</t>
        </is>
      </c>
      <c r="H366" t="inlineStr">
        <is>
          <t>Vanguard Tennis Academy</t>
        </is>
      </c>
      <c r="I366" t="n">
        <v>33.3</v>
      </c>
      <c r="J366" s="4" t="n">
        <v>74</v>
      </c>
      <c r="K366" t="inlineStr">
        <is>
          <t>32 / 42</t>
        </is>
      </c>
      <c r="L366" t="inlineStr">
        <is>
          <t>6 / 10</t>
        </is>
      </c>
      <c r="M366" s="5" t="n">
        <v>0.43</v>
      </c>
      <c r="N366" s="5" t="n">
        <v>0.38</v>
      </c>
    </row>
    <row r="367">
      <c r="A367" t="n">
        <v>366</v>
      </c>
      <c r="B367" t="n">
        <v>2015</v>
      </c>
      <c r="C367" t="inlineStr">
        <is>
          <t>Isla J Green</t>
        </is>
      </c>
      <c r="D367">
        <f>HYPERLINK("https://ota.tournamentsoftware.com/player-profile/B2E098BE-DB7E-4756-BD31-93298500E09D", "Link")</f>
        <v/>
      </c>
      <c r="E367" s="3" t="n">
        <v>173.154</v>
      </c>
      <c r="F367" s="4" t="n">
        <v>27</v>
      </c>
      <c r="G367" t="inlineStr">
        <is>
          <t>Ontario Tennis Association</t>
        </is>
      </c>
      <c r="H367" t="inlineStr">
        <is>
          <t>Advantage Tennis International at Veneto</t>
        </is>
      </c>
      <c r="I367" t="n">
        <v>32.9</v>
      </c>
      <c r="J367" s="4" t="n">
        <v>248</v>
      </c>
      <c r="K367" t="inlineStr">
        <is>
          <t>164 / 84</t>
        </is>
      </c>
      <c r="L367" t="inlineStr">
        <is>
          <t>37 / 21</t>
        </is>
      </c>
      <c r="M367" s="5" t="n">
        <v>0.66</v>
      </c>
      <c r="N367" s="5" t="n">
        <v>0.64</v>
      </c>
    </row>
    <row r="368">
      <c r="A368" t="n">
        <v>367</v>
      </c>
      <c r="B368" t="n">
        <v>2012</v>
      </c>
      <c r="C368" t="inlineStr">
        <is>
          <t>Riley Lynn Banath</t>
        </is>
      </c>
      <c r="D368">
        <f>HYPERLINK("https://ota.tournamentsoftware.com/player-profile/4B613A1C-293C-4701-B6BA-BEC5F8EBDA29", "Link")</f>
        <v/>
      </c>
      <c r="E368" s="3" t="n">
        <v>173.105</v>
      </c>
      <c r="F368" s="4" t="n">
        <v>14</v>
      </c>
      <c r="G368" t="inlineStr">
        <is>
          <t>British Columbia</t>
        </is>
      </c>
      <c r="H368" t="inlineStr">
        <is>
          <t>Arbutus Club</t>
        </is>
      </c>
      <c r="I368" t="n">
        <v>36.5</v>
      </c>
      <c r="J368" s="4" t="n">
        <v>46</v>
      </c>
      <c r="K368" t="inlineStr">
        <is>
          <t>10 / 36</t>
        </is>
      </c>
      <c r="L368" t="inlineStr">
        <is>
          <t>6 / 21</t>
        </is>
      </c>
      <c r="M368" s="5" t="n">
        <v>0.22</v>
      </c>
      <c r="N368" s="5" t="n">
        <v>0.22</v>
      </c>
    </row>
    <row r="369">
      <c r="A369" t="n">
        <v>368</v>
      </c>
      <c r="B369" t="n">
        <v>2012</v>
      </c>
      <c r="C369" t="inlineStr">
        <is>
          <t>Amelia Jee</t>
        </is>
      </c>
      <c r="D369">
        <f>HYPERLINK("https://ota.tournamentsoftware.com/player-profile/485EA829-3893-4703-AF9A-1CF8D304CE5D", "Link")</f>
        <v/>
      </c>
      <c r="E369" s="3" t="n">
        <v>173.084</v>
      </c>
      <c r="F369" s="4" t="n">
        <v>11</v>
      </c>
      <c r="G369" t="inlineStr">
        <is>
          <t>Ontario Tennis Association</t>
        </is>
      </c>
      <c r="H369" t="inlineStr">
        <is>
          <t>Toronto Cricket Skating &amp; Curling</t>
        </is>
      </c>
      <c r="I369" t="n">
        <v>32.8</v>
      </c>
      <c r="J369" s="4" t="n">
        <v>125</v>
      </c>
      <c r="K369" t="inlineStr">
        <is>
          <t>53 / 72</t>
        </is>
      </c>
      <c r="L369" t="inlineStr">
        <is>
          <t>11 / 13</t>
        </is>
      </c>
      <c r="M369" s="5" t="n">
        <v>0.42</v>
      </c>
      <c r="N369" s="5" t="n">
        <v>0.46</v>
      </c>
    </row>
    <row r="370">
      <c r="A370" t="n">
        <v>369</v>
      </c>
      <c r="B370" t="n">
        <v>2013</v>
      </c>
      <c r="C370" t="inlineStr">
        <is>
          <t>Eva Eile</t>
        </is>
      </c>
      <c r="D370">
        <f>HYPERLINK("https://ota.tournamentsoftware.com/player-profile/EE5E7036-3979-48DF-A095-8C40584653EF", "Link")</f>
        <v/>
      </c>
      <c r="E370" s="3" t="n">
        <v>172.661</v>
      </c>
      <c r="F370" s="4" t="n">
        <v>15</v>
      </c>
      <c r="G370" t="inlineStr">
        <is>
          <t>Tennis Québec</t>
        </is>
      </c>
      <c r="H370" t="inlineStr">
        <is>
          <t>Midtown Le Sporting Club Sanctuaire</t>
        </is>
      </c>
      <c r="I370" t="n">
        <v>39.2</v>
      </c>
      <c r="J370" s="4" t="n">
        <v>26</v>
      </c>
      <c r="K370" t="inlineStr">
        <is>
          <t>3 / 23</t>
        </is>
      </c>
      <c r="L370" t="inlineStr">
        <is>
          <t>0 / 12</t>
        </is>
      </c>
      <c r="M370" s="5" t="n">
        <v>0.12</v>
      </c>
      <c r="N370" s="5" t="n">
        <v>0</v>
      </c>
    </row>
    <row r="371">
      <c r="A371" t="n">
        <v>370</v>
      </c>
      <c r="B371" t="n">
        <v>2013</v>
      </c>
      <c r="C371" t="inlineStr">
        <is>
          <t>Alice Laganière</t>
        </is>
      </c>
      <c r="D371">
        <f>HYPERLINK("https://ota.tournamentsoftware.com/player-profile/C9532D29-EE9A-4084-ACB5-2DBCAD4DF862", "Link")</f>
        <v/>
      </c>
      <c r="E371" s="3" t="n">
        <v>171.17</v>
      </c>
      <c r="F371" s="4" t="n">
        <v>9</v>
      </c>
      <c r="G371" t="inlineStr">
        <is>
          <t>Tennis Québec</t>
        </is>
      </c>
      <c r="H371" t="inlineStr">
        <is>
          <t>Club de tennis intérieur Saguenay / École de tennis Delisle-Poirel</t>
        </is>
      </c>
      <c r="I371" t="n">
        <v>35.4</v>
      </c>
      <c r="J371" s="4" t="n">
        <v>40</v>
      </c>
      <c r="K371" t="inlineStr">
        <is>
          <t>13 / 27</t>
        </is>
      </c>
      <c r="L371" t="inlineStr">
        <is>
          <t>1 / 7</t>
        </is>
      </c>
      <c r="M371" s="5" t="n">
        <v>0.33</v>
      </c>
      <c r="N371" s="5" t="n">
        <v>0.12</v>
      </c>
    </row>
    <row r="372">
      <c r="A372" t="n">
        <v>371</v>
      </c>
      <c r="B372" t="n">
        <v>2015</v>
      </c>
      <c r="C372" t="inlineStr">
        <is>
          <t>Ruichu Rachel Piao</t>
        </is>
      </c>
      <c r="D372">
        <f>HYPERLINK("https://ota.tournamentsoftware.com/player-profile/13F65932-C96D-4F89-B571-4AA7315B2EEB", "Link")</f>
        <v/>
      </c>
      <c r="E372" s="3" t="n">
        <v>170.967</v>
      </c>
      <c r="F372" s="4" t="n">
        <v>14</v>
      </c>
      <c r="G372" t="inlineStr">
        <is>
          <t>Tennis Québec</t>
        </is>
      </c>
      <c r="H372" t="inlineStr">
        <is>
          <t>Tennis Ile- des- Soeurs</t>
        </is>
      </c>
      <c r="I372" t="inlineStr">
        <is>
          <t>unavailable</t>
        </is>
      </c>
      <c r="J372" s="4" t="n">
        <v>75</v>
      </c>
      <c r="K372" t="inlineStr">
        <is>
          <t>35 / 40</t>
        </is>
      </c>
      <c r="L372" t="inlineStr">
        <is>
          <t>7 / 12</t>
        </is>
      </c>
      <c r="M372" s="5" t="n">
        <v>0.47</v>
      </c>
      <c r="N372" s="5" t="n">
        <v>0.37</v>
      </c>
    </row>
    <row r="373">
      <c r="A373" t="n">
        <v>372</v>
      </c>
      <c r="B373" t="n">
        <v>2016</v>
      </c>
      <c r="C373" t="inlineStr">
        <is>
          <t>Dorothy Ning</t>
        </is>
      </c>
      <c r="D373">
        <f>HYPERLINK("https://ota.tournamentsoftware.com/player-profile/15BEDAE4-AB73-4AE9-B466-BA81BCA77DB1", "Link")</f>
        <v/>
      </c>
      <c r="E373" s="3" t="n">
        <v>170.72</v>
      </c>
      <c r="F373" s="4" t="n">
        <v>21</v>
      </c>
      <c r="G373" t="inlineStr">
        <is>
          <t>Ontario Tennis Association</t>
        </is>
      </c>
      <c r="H373" t="inlineStr">
        <is>
          <t>Toronto Tennis Academy</t>
        </is>
      </c>
      <c r="I373" t="inlineStr">
        <is>
          <t>unavailable</t>
        </is>
      </c>
      <c r="J373" s="4" t="n">
        <v>152</v>
      </c>
      <c r="K373" t="inlineStr">
        <is>
          <t>82 / 70</t>
        </is>
      </c>
      <c r="L373" t="inlineStr">
        <is>
          <t>23 / 15</t>
        </is>
      </c>
      <c r="M373" s="5" t="n">
        <v>0.54</v>
      </c>
      <c r="N373" s="5" t="n">
        <v>0.61</v>
      </c>
    </row>
    <row r="374">
      <c r="A374" t="n">
        <v>373</v>
      </c>
      <c r="B374" t="n">
        <v>2015</v>
      </c>
      <c r="C374" t="inlineStr">
        <is>
          <t>Adelaide Mossop</t>
        </is>
      </c>
      <c r="D374">
        <f>HYPERLINK("https://ota.tournamentsoftware.com/player-profile/0BA4F4DB-3133-41DE-9EE3-39EB4A609399", "Link")</f>
        <v/>
      </c>
      <c r="E374" s="3" t="n">
        <v>170.614</v>
      </c>
      <c r="F374" s="4" t="n">
        <v>12</v>
      </c>
      <c r="G374" t="inlineStr">
        <is>
          <t>Tennis Nova Scotia</t>
        </is>
      </c>
      <c r="H374" t="inlineStr">
        <is>
          <t>Atlantic Tennis Centre</t>
        </is>
      </c>
      <c r="I374" t="n">
        <v>36.2</v>
      </c>
      <c r="J374" s="4" t="n">
        <v>165</v>
      </c>
      <c r="K374" t="inlineStr">
        <is>
          <t>67 / 98</t>
        </is>
      </c>
      <c r="L374" t="inlineStr">
        <is>
          <t>16 / 25</t>
        </is>
      </c>
      <c r="M374" s="5" t="n">
        <v>0.41</v>
      </c>
      <c r="N374" s="5" t="n">
        <v>0.39</v>
      </c>
    </row>
    <row r="375">
      <c r="A375" t="n">
        <v>374</v>
      </c>
      <c r="B375" t="n">
        <v>2016</v>
      </c>
      <c r="C375" t="inlineStr">
        <is>
          <t>Amaranna Ugwunze</t>
        </is>
      </c>
      <c r="D375">
        <f>HYPERLINK("https://ota.tournamentsoftware.com/player-profile/2C6CBEBE-C5D2-4EC5-B283-CB703335834E", "Link")</f>
        <v/>
      </c>
      <c r="E375" s="3" t="n">
        <v>170.064</v>
      </c>
      <c r="F375" s="4" t="n">
        <v>19</v>
      </c>
      <c r="G375" t="inlineStr">
        <is>
          <t>Ontario Tennis Association</t>
        </is>
      </c>
      <c r="H375" t="inlineStr">
        <is>
          <t>Ontario Racquet Club</t>
        </is>
      </c>
      <c r="I375" t="n">
        <v>33.9</v>
      </c>
      <c r="J375" s="4" t="n">
        <v>93</v>
      </c>
      <c r="K375" t="inlineStr">
        <is>
          <t>49 / 44</t>
        </is>
      </c>
      <c r="L375" t="inlineStr">
        <is>
          <t>25 / 16</t>
        </is>
      </c>
      <c r="M375" s="5" t="n">
        <v>0.53</v>
      </c>
      <c r="N375" s="5" t="n">
        <v>0.61</v>
      </c>
    </row>
    <row r="376">
      <c r="A376" t="n">
        <v>375</v>
      </c>
      <c r="B376" t="n">
        <v>2015</v>
      </c>
      <c r="C376" t="inlineStr">
        <is>
          <t>Allison Penev</t>
        </is>
      </c>
      <c r="D376">
        <f>HYPERLINK("https://ota.tournamentsoftware.com/player-profile/C34C7D86-0233-454A-9C07-62AD41AF32CE", "Link")</f>
        <v/>
      </c>
      <c r="E376" s="3" t="n">
        <v>169.413</v>
      </c>
      <c r="F376" s="4" t="n">
        <v>19</v>
      </c>
      <c r="G376" t="inlineStr">
        <is>
          <t>Tennis Québec</t>
        </is>
      </c>
      <c r="H376" t="inlineStr">
        <is>
          <t>Carrefour Multisports</t>
        </is>
      </c>
      <c r="I376" t="n">
        <v>35.8</v>
      </c>
      <c r="J376" s="4" t="n">
        <v>153</v>
      </c>
      <c r="K376" t="inlineStr">
        <is>
          <t>66 / 87</t>
        </is>
      </c>
      <c r="L376" t="inlineStr">
        <is>
          <t>8 / 17</t>
        </is>
      </c>
      <c r="M376" s="5" t="n">
        <v>0.43</v>
      </c>
      <c r="N376" s="5" t="n">
        <v>0.32</v>
      </c>
    </row>
    <row r="377">
      <c r="A377" t="n">
        <v>376</v>
      </c>
      <c r="B377" t="n">
        <v>2015</v>
      </c>
      <c r="C377" t="inlineStr">
        <is>
          <t>Nora Firoozi</t>
        </is>
      </c>
      <c r="D377">
        <f>HYPERLINK("https://ota.tournamentsoftware.com/player-profile/328F4CA8-B72D-4F94-9BB6-3F666B5E0706", "Link")</f>
        <v/>
      </c>
      <c r="E377" s="3" t="n">
        <v>167.643</v>
      </c>
      <c r="F377" s="4" t="n">
        <v>18</v>
      </c>
      <c r="G377" t="inlineStr">
        <is>
          <t>British Columbia</t>
        </is>
      </c>
      <c r="H377" t="inlineStr">
        <is>
          <t>North Vancouver Tennis Centre</t>
        </is>
      </c>
      <c r="I377" t="n">
        <v>33.5</v>
      </c>
      <c r="J377" s="4" t="n">
        <v>165</v>
      </c>
      <c r="K377" t="inlineStr">
        <is>
          <t>81 / 84</t>
        </is>
      </c>
      <c r="L377" t="inlineStr">
        <is>
          <t>15 / 18</t>
        </is>
      </c>
      <c r="M377" s="5" t="n">
        <v>0.49</v>
      </c>
      <c r="N377" s="5" t="n">
        <v>0.45</v>
      </c>
    </row>
    <row r="378">
      <c r="A378" t="n">
        <v>377</v>
      </c>
      <c r="B378" t="n">
        <v>2014</v>
      </c>
      <c r="C378" t="inlineStr">
        <is>
          <t>Hunter Anne Wilkinson</t>
        </is>
      </c>
      <c r="D378">
        <f>HYPERLINK("https://ota.tournamentsoftware.com/player-profile/EB893DF0-DCAD-49C8-BAB9-0D044090A656", "Link")</f>
        <v/>
      </c>
      <c r="E378" s="3" t="n">
        <v>167.587</v>
      </c>
      <c r="F378" s="4" t="n">
        <v>19</v>
      </c>
      <c r="G378" t="inlineStr">
        <is>
          <t>Ontario Tennis Association</t>
        </is>
      </c>
      <c r="H378" t="inlineStr">
        <is>
          <t>GSM Tennis Club</t>
        </is>
      </c>
      <c r="I378" t="n">
        <v>34</v>
      </c>
      <c r="J378" s="4" t="n">
        <v>186</v>
      </c>
      <c r="K378" t="inlineStr">
        <is>
          <t>89 / 97</t>
        </is>
      </c>
      <c r="L378" t="inlineStr">
        <is>
          <t>12 / 14</t>
        </is>
      </c>
      <c r="M378" s="5" t="n">
        <v>0.48</v>
      </c>
      <c r="N378" s="5" t="n">
        <v>0.46</v>
      </c>
    </row>
    <row r="379">
      <c r="A379" t="n">
        <v>378</v>
      </c>
      <c r="B379" t="n">
        <v>2014</v>
      </c>
      <c r="C379" t="inlineStr">
        <is>
          <t>Sahana Bath</t>
        </is>
      </c>
      <c r="D379">
        <f>HYPERLINK("https://ota.tournamentsoftware.com/player-profile/25E19F82-227F-4B69-8295-16AA8F4F207F", "Link")</f>
        <v/>
      </c>
      <c r="E379" s="3" t="n">
        <v>166.44</v>
      </c>
      <c r="F379" s="4" t="n">
        <v>23</v>
      </c>
      <c r="G379" t="inlineStr">
        <is>
          <t>British Columbia</t>
        </is>
      </c>
      <c r="H379" t="inlineStr">
        <is>
          <t>The Tennis Centre</t>
        </is>
      </c>
      <c r="I379" t="n">
        <v>31.9</v>
      </c>
      <c r="J379" s="4" t="n">
        <v>176</v>
      </c>
      <c r="K379" t="inlineStr">
        <is>
          <t>101 / 75</t>
        </is>
      </c>
      <c r="L379" t="inlineStr">
        <is>
          <t>46 / 22</t>
        </is>
      </c>
      <c r="M379" s="5" t="n">
        <v>0.57</v>
      </c>
      <c r="N379" s="5" t="n">
        <v>0.68</v>
      </c>
    </row>
    <row r="380">
      <c r="A380" t="n">
        <v>379</v>
      </c>
      <c r="B380" t="n">
        <v>2012</v>
      </c>
      <c r="C380" t="inlineStr">
        <is>
          <t>Naomi Lucy McCrank</t>
        </is>
      </c>
      <c r="D380">
        <f>HYPERLINK("https://ota.tournamentsoftware.com/player-profile/68E80EA0-3999-4449-8E0B-83CC30E1EF77", "Link")</f>
        <v/>
      </c>
      <c r="E380" s="3" t="n">
        <v>166.417</v>
      </c>
      <c r="F380" s="4" t="n">
        <v>15</v>
      </c>
      <c r="G380" t="inlineStr">
        <is>
          <t>Tennis Alberta</t>
        </is>
      </c>
      <c r="H380" t="inlineStr">
        <is>
          <t>Aforza</t>
        </is>
      </c>
      <c r="I380" t="n">
        <v>33.5</v>
      </c>
      <c r="J380" s="4" t="n">
        <v>80</v>
      </c>
      <c r="K380" t="inlineStr">
        <is>
          <t>24 / 56</t>
        </is>
      </c>
      <c r="L380" t="inlineStr">
        <is>
          <t>8 / 11</t>
        </is>
      </c>
      <c r="M380" s="5" t="n">
        <v>0.3</v>
      </c>
      <c r="N380" s="5" t="n">
        <v>0.42</v>
      </c>
    </row>
    <row r="381">
      <c r="A381" t="n">
        <v>380</v>
      </c>
      <c r="B381" t="n">
        <v>2014</v>
      </c>
      <c r="C381" t="inlineStr">
        <is>
          <t>Grace Li</t>
        </is>
      </c>
      <c r="D381">
        <f>HYPERLINK("https://ota.tournamentsoftware.com/player-profile/5B95D38D-7E3D-4B41-B418-6B2307ED0863", "Link")</f>
        <v/>
      </c>
      <c r="E381" s="3" t="n">
        <v>166.105</v>
      </c>
      <c r="F381" s="4" t="n">
        <v>20</v>
      </c>
      <c r="G381" t="inlineStr">
        <is>
          <t>Tennis Québec</t>
        </is>
      </c>
      <c r="H381" t="inlineStr">
        <is>
          <t>Tennis 13</t>
        </is>
      </c>
      <c r="I381" t="n">
        <v>35.1</v>
      </c>
      <c r="J381" s="4" t="n">
        <v>168</v>
      </c>
      <c r="K381" t="inlineStr">
        <is>
          <t>72 / 96</t>
        </is>
      </c>
      <c r="L381" t="inlineStr">
        <is>
          <t>8 / 15</t>
        </is>
      </c>
      <c r="M381" s="5" t="n">
        <v>0.43</v>
      </c>
      <c r="N381" s="5" t="n">
        <v>0.35</v>
      </c>
    </row>
    <row r="382">
      <c r="A382" t="n">
        <v>381</v>
      </c>
      <c r="B382" t="n">
        <v>2013</v>
      </c>
      <c r="C382" t="inlineStr">
        <is>
          <t>Adriana Juliana Tambini</t>
        </is>
      </c>
      <c r="D382">
        <f>HYPERLINK("https://ota.tournamentsoftware.com/player-profile/7D7985A7-C189-4AE6-9641-F7EA5AE89364", "Link")</f>
        <v/>
      </c>
      <c r="E382" s="3" t="n">
        <v>165.937</v>
      </c>
      <c r="F382" s="4" t="n">
        <v>7</v>
      </c>
      <c r="G382" t="inlineStr">
        <is>
          <t>Ontario Tennis Association</t>
        </is>
      </c>
      <c r="H382" t="inlineStr">
        <is>
          <t>Headwaters Racquet Club</t>
        </is>
      </c>
      <c r="I382" t="n">
        <v>38.5</v>
      </c>
      <c r="J382" s="4" t="n">
        <v>23</v>
      </c>
      <c r="K382" t="inlineStr">
        <is>
          <t>12 / 11</t>
        </is>
      </c>
      <c r="L382" t="inlineStr">
        <is>
          <t>7 / 10</t>
        </is>
      </c>
      <c r="M382" s="5" t="n">
        <v>0.52</v>
      </c>
      <c r="N382" s="5" t="n">
        <v>0.41</v>
      </c>
    </row>
    <row r="383">
      <c r="A383" t="n">
        <v>382</v>
      </c>
      <c r="B383" t="n">
        <v>2014</v>
      </c>
      <c r="C383" t="inlineStr">
        <is>
          <t>Melissa Yi Nuo Yang</t>
        </is>
      </c>
      <c r="D383">
        <f>HYPERLINK("https://ota.tournamentsoftware.com/player-profile/870FB276-B8EA-4586-B0F5-B2318D4B1CD6", "Link")</f>
        <v/>
      </c>
      <c r="E383" s="3" t="n">
        <v>164.547</v>
      </c>
      <c r="F383" s="4" t="n">
        <v>19</v>
      </c>
      <c r="G383" t="inlineStr">
        <is>
          <t>Tennis Québec</t>
        </is>
      </c>
      <c r="H383" t="inlineStr">
        <is>
          <t>Club Sportif Côte-de-Liesse</t>
        </is>
      </c>
      <c r="I383" t="n">
        <v>33.3</v>
      </c>
      <c r="J383" s="4" t="n">
        <v>88</v>
      </c>
      <c r="K383" t="inlineStr">
        <is>
          <t>45 / 43</t>
        </is>
      </c>
      <c r="L383" t="inlineStr">
        <is>
          <t>25 / 12</t>
        </is>
      </c>
      <c r="M383" s="5" t="n">
        <v>0.51</v>
      </c>
      <c r="N383" s="5" t="n">
        <v>0.68</v>
      </c>
    </row>
    <row r="384">
      <c r="A384" t="n">
        <v>383</v>
      </c>
      <c r="B384" t="n">
        <v>2013</v>
      </c>
      <c r="C384" t="inlineStr">
        <is>
          <t>Nisa Karim</t>
        </is>
      </c>
      <c r="D384">
        <f>HYPERLINK("https://ota.tournamentsoftware.com/player-profile/11CB5752-5D45-47AB-82AD-AC3D554873E5", "Link")</f>
        <v/>
      </c>
      <c r="E384" s="3" t="n">
        <v>163.167</v>
      </c>
      <c r="F384" s="4" t="n">
        <v>17</v>
      </c>
      <c r="G384" t="inlineStr">
        <is>
          <t>British Columbia</t>
        </is>
      </c>
      <c r="H384" t="inlineStr">
        <is>
          <t>Arbutus Club</t>
        </is>
      </c>
      <c r="I384" t="n">
        <v>34.7</v>
      </c>
      <c r="J384" s="4" t="n">
        <v>97</v>
      </c>
      <c r="K384" t="inlineStr">
        <is>
          <t>51 / 46</t>
        </is>
      </c>
      <c r="L384" t="inlineStr">
        <is>
          <t>17 / 20</t>
        </is>
      </c>
      <c r="M384" s="5" t="n">
        <v>0.53</v>
      </c>
      <c r="N384" s="5" t="n">
        <v>0.46</v>
      </c>
    </row>
    <row r="385">
      <c r="A385" t="n">
        <v>384</v>
      </c>
      <c r="B385" t="n">
        <v>2012</v>
      </c>
      <c r="C385" t="inlineStr">
        <is>
          <t>Sophia Zhang</t>
        </is>
      </c>
      <c r="D385">
        <f>HYPERLINK("https://ota.tournamentsoftware.com/player-profile/2BBD611B-69D1-4A97-AAC3-1D897498B21A", "Link")</f>
        <v/>
      </c>
      <c r="E385" s="3" t="n">
        <v>160.591</v>
      </c>
      <c r="F385" s="4" t="n">
        <v>11</v>
      </c>
      <c r="G385" t="inlineStr">
        <is>
          <t>Ontario Tennis Association</t>
        </is>
      </c>
      <c r="H385" t="inlineStr">
        <is>
          <t>Burlington Tennis Club</t>
        </is>
      </c>
      <c r="I385" t="inlineStr">
        <is>
          <t>unavailable</t>
        </is>
      </c>
      <c r="J385" s="4" t="n">
        <v>40</v>
      </c>
      <c r="K385" t="inlineStr">
        <is>
          <t>18 / 22</t>
        </is>
      </c>
      <c r="L385" t="inlineStr">
        <is>
          <t>12 / 11</t>
        </is>
      </c>
      <c r="M385" s="5" t="n">
        <v>0.45</v>
      </c>
      <c r="N385" s="5" t="n">
        <v>0.52</v>
      </c>
    </row>
    <row r="386">
      <c r="A386" t="n">
        <v>385</v>
      </c>
      <c r="B386" t="n">
        <v>2014</v>
      </c>
      <c r="C386" t="inlineStr">
        <is>
          <t>Eve Martel</t>
        </is>
      </c>
      <c r="D386">
        <f>HYPERLINK("https://ota.tournamentsoftware.com/player-profile/590DE091-4FC9-494D-A8AC-45DB223E71D8", "Link")</f>
        <v/>
      </c>
      <c r="E386" s="3" t="n">
        <v>160.307</v>
      </c>
      <c r="F386" s="4" t="n">
        <v>20</v>
      </c>
      <c r="G386" t="inlineStr">
        <is>
          <t>Tennis Québec</t>
        </is>
      </c>
      <c r="H386" t="inlineStr">
        <is>
          <t>Club Avantage Multi-sports / Académie de tennis Hérisset Bordeleau</t>
        </is>
      </c>
      <c r="I386" t="inlineStr">
        <is>
          <t>unavailable</t>
        </is>
      </c>
      <c r="J386" s="4" t="n">
        <v>130</v>
      </c>
      <c r="K386" t="inlineStr">
        <is>
          <t>41 / 89</t>
        </is>
      </c>
      <c r="L386" t="inlineStr">
        <is>
          <t>12 / 17</t>
        </is>
      </c>
      <c r="M386" s="5" t="n">
        <v>0.32</v>
      </c>
      <c r="N386" s="5" t="n">
        <v>0.41</v>
      </c>
    </row>
    <row r="387">
      <c r="A387" t="n">
        <v>386</v>
      </c>
      <c r="B387" t="n">
        <v>2013</v>
      </c>
      <c r="C387" t="inlineStr">
        <is>
          <t>Diya Vasudeva</t>
        </is>
      </c>
      <c r="D387">
        <f>HYPERLINK("https://ota.tournamentsoftware.com/player-profile/81C22EEF-F10A-4447-AF45-2B9B6D1A7F5B", "Link")</f>
        <v/>
      </c>
      <c r="E387" s="3" t="n">
        <v>159.16</v>
      </c>
      <c r="F387" s="4" t="n">
        <v>9</v>
      </c>
      <c r="G387" t="inlineStr">
        <is>
          <t>Ontario Tennis Association</t>
        </is>
      </c>
      <c r="H387" t="inlineStr">
        <is>
          <t>ACE Tennis - Burlington</t>
        </is>
      </c>
      <c r="I387" t="n">
        <v>36.4</v>
      </c>
      <c r="J387" s="4" t="n">
        <v>99</v>
      </c>
      <c r="K387" t="inlineStr">
        <is>
          <t>34 / 65</t>
        </is>
      </c>
      <c r="L387" t="inlineStr">
        <is>
          <t>5 / 10</t>
        </is>
      </c>
      <c r="M387" s="5" t="n">
        <v>0.34</v>
      </c>
      <c r="N387" s="5" t="n">
        <v>0.33</v>
      </c>
    </row>
    <row r="388">
      <c r="A388" t="n">
        <v>387</v>
      </c>
      <c r="B388" t="n">
        <v>2017</v>
      </c>
      <c r="C388" t="inlineStr">
        <is>
          <t>Yuetwing, Doris Li</t>
        </is>
      </c>
      <c r="D388">
        <f>HYPERLINK("https://ota.tournamentsoftware.com/player-profile/C901A65F-E3DE-47DE-A4BC-21149FEBA20C", "Link")</f>
        <v/>
      </c>
      <c r="E388" s="3" t="n">
        <v>157.026</v>
      </c>
      <c r="F388" s="4" t="n">
        <v>5</v>
      </c>
      <c r="G388" t="inlineStr">
        <is>
          <t>Ontario Tennis Association</t>
        </is>
      </c>
      <c r="H388" t="inlineStr">
        <is>
          <t>No Club</t>
        </is>
      </c>
      <c r="I388" t="n">
        <v>32.7</v>
      </c>
      <c r="J388" s="4" t="n">
        <v>16</v>
      </c>
      <c r="K388" t="inlineStr">
        <is>
          <t>14 / 2</t>
        </is>
      </c>
      <c r="L388" t="inlineStr">
        <is>
          <t>10 / 2</t>
        </is>
      </c>
      <c r="M388" s="5" t="n">
        <v>0.88</v>
      </c>
      <c r="N388" s="5" t="n">
        <v>0.83</v>
      </c>
    </row>
    <row r="389">
      <c r="A389" t="n">
        <v>388</v>
      </c>
      <c r="B389" t="n">
        <v>2013</v>
      </c>
      <c r="C389" t="inlineStr">
        <is>
          <t>Gabrielle Pompa</t>
        </is>
      </c>
      <c r="D389">
        <f>HYPERLINK("https://ota.tournamentsoftware.com/player-profile/668A29C0-962F-4DAD-B317-933787C09DCF", "Link")</f>
        <v/>
      </c>
      <c r="E389" s="3" t="n">
        <v>153.753</v>
      </c>
      <c r="F389" s="4" t="n">
        <v>7</v>
      </c>
      <c r="G389" t="inlineStr">
        <is>
          <t>Tennis Alberta</t>
        </is>
      </c>
      <c r="H389" t="inlineStr">
        <is>
          <t>Osten &amp; Victor Alberta Tennis Centre</t>
        </is>
      </c>
      <c r="I389" t="n">
        <v>29.1</v>
      </c>
      <c r="J389" s="4" t="n">
        <v>162</v>
      </c>
      <c r="K389" t="inlineStr">
        <is>
          <t>111 / 51</t>
        </is>
      </c>
      <c r="L389" t="inlineStr">
        <is>
          <t>6 / 4</t>
        </is>
      </c>
      <c r="M389" s="5" t="n">
        <v>0.6899999999999999</v>
      </c>
      <c r="N389" s="5" t="n">
        <v>0.6</v>
      </c>
    </row>
    <row r="390">
      <c r="A390" t="n">
        <v>389</v>
      </c>
      <c r="B390" t="n">
        <v>2014</v>
      </c>
      <c r="C390" t="inlineStr">
        <is>
          <t>Olivia Lee</t>
        </is>
      </c>
      <c r="D390">
        <f>HYPERLINK("https://ota.tournamentsoftware.com/player-profile/DEF89846-A0EF-4373-B8DC-8305F756E612", "Link")</f>
        <v/>
      </c>
      <c r="E390" s="3" t="n">
        <v>153.166</v>
      </c>
      <c r="F390" s="4" t="n">
        <v>23</v>
      </c>
      <c r="G390" t="inlineStr">
        <is>
          <t>Tennis Québec</t>
        </is>
      </c>
      <c r="H390" t="inlineStr">
        <is>
          <t>SANI Sport</t>
        </is>
      </c>
      <c r="I390" t="n">
        <v>35.6</v>
      </c>
      <c r="J390" s="4" t="n">
        <v>115</v>
      </c>
      <c r="K390" t="inlineStr">
        <is>
          <t>43 / 72</t>
        </is>
      </c>
      <c r="L390" t="inlineStr">
        <is>
          <t>13 / 24</t>
        </is>
      </c>
      <c r="M390" s="5" t="n">
        <v>0.37</v>
      </c>
      <c r="N390" s="5" t="n">
        <v>0.35</v>
      </c>
    </row>
    <row r="391">
      <c r="A391" t="n">
        <v>390</v>
      </c>
      <c r="B391" t="n">
        <v>2017</v>
      </c>
      <c r="C391" t="inlineStr">
        <is>
          <t>Nalayah Smith</t>
        </is>
      </c>
      <c r="D391">
        <f>HYPERLINK("https://ota.tournamentsoftware.com/player-profile/6F913BA8-58BB-4BEE-9CA1-8E064E1332B8", "Link")</f>
        <v/>
      </c>
      <c r="E391" s="3" t="n">
        <v>153.154</v>
      </c>
      <c r="F391" s="4" t="n">
        <v>22</v>
      </c>
      <c r="G391" t="inlineStr">
        <is>
          <t>Ontario Tennis Association</t>
        </is>
      </c>
      <c r="H391" t="inlineStr">
        <is>
          <t>SmartVMC Racquetsports by ACE</t>
        </is>
      </c>
      <c r="I391" t="n">
        <v>33</v>
      </c>
      <c r="J391" s="4" t="n">
        <v>138</v>
      </c>
      <c r="K391" t="inlineStr">
        <is>
          <t>90 / 48</t>
        </is>
      </c>
      <c r="L391" t="inlineStr">
        <is>
          <t>35 / 15</t>
        </is>
      </c>
      <c r="M391" s="5" t="n">
        <v>0.65</v>
      </c>
      <c r="N391" s="5" t="n">
        <v>0.7</v>
      </c>
    </row>
    <row r="392">
      <c r="A392" t="n">
        <v>391</v>
      </c>
      <c r="B392" t="n">
        <v>2014</v>
      </c>
      <c r="C392" t="inlineStr">
        <is>
          <t>Rain Yu Chan</t>
        </is>
      </c>
      <c r="D392">
        <f>HYPERLINK("https://ota.tournamentsoftware.com/player-profile/BF26AD2D-BAAC-4E82-A862-14039C1584F2", "Link")</f>
        <v/>
      </c>
      <c r="E392" s="3" t="n">
        <v>152.222</v>
      </c>
      <c r="F392" s="4" t="n">
        <v>32</v>
      </c>
      <c r="G392" t="inlineStr">
        <is>
          <t>British Columbia</t>
        </is>
      </c>
      <c r="H392" t="inlineStr">
        <is>
          <t>Burnaby Tennis Club</t>
        </is>
      </c>
      <c r="I392" t="inlineStr">
        <is>
          <t>unavailable</t>
        </is>
      </c>
      <c r="J392" s="4" t="n">
        <v>206</v>
      </c>
      <c r="K392" t="inlineStr">
        <is>
          <t>97 / 109</t>
        </is>
      </c>
      <c r="L392" t="inlineStr">
        <is>
          <t>31 / 32</t>
        </is>
      </c>
      <c r="M392" s="5" t="n">
        <v>0.47</v>
      </c>
      <c r="N392" s="5" t="n">
        <v>0.49</v>
      </c>
    </row>
    <row r="393">
      <c r="A393" t="n">
        <v>392</v>
      </c>
      <c r="B393" t="n">
        <v>2014</v>
      </c>
      <c r="C393" t="inlineStr">
        <is>
          <t>Andrea Robles Sgambatti</t>
        </is>
      </c>
      <c r="D393">
        <f>HYPERLINK("https://ota.tournamentsoftware.com/player-profile/842B5763-8026-4DFF-BD28-4FA110C3A345", "Link")</f>
        <v/>
      </c>
      <c r="E393" s="3" t="n">
        <v>152.162</v>
      </c>
      <c r="F393" s="4" t="n">
        <v>17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34.3</v>
      </c>
      <c r="J393" s="4" t="n">
        <v>150</v>
      </c>
      <c r="K393" t="inlineStr">
        <is>
          <t>62 / 88</t>
        </is>
      </c>
      <c r="L393" t="inlineStr">
        <is>
          <t>13 / 20</t>
        </is>
      </c>
      <c r="M393" s="5" t="n">
        <v>0.41</v>
      </c>
      <c r="N393" s="5" t="n">
        <v>0.39</v>
      </c>
    </row>
    <row r="394">
      <c r="A394" t="n">
        <v>393</v>
      </c>
      <c r="B394" t="n">
        <v>2013</v>
      </c>
      <c r="C394" t="inlineStr">
        <is>
          <t>Jaheema Jajah Joseph</t>
        </is>
      </c>
      <c r="D394">
        <f>HYPERLINK("https://ota.tournamentsoftware.com/player-profile/2C08ABD4-0853-4E02-96D6-4CBDA8251E2A", "Link")</f>
        <v/>
      </c>
      <c r="E394" s="3" t="n">
        <v>150.699</v>
      </c>
      <c r="F394" s="4" t="n">
        <v>16</v>
      </c>
      <c r="G394" t="inlineStr">
        <is>
          <t>Tennis Québec</t>
        </is>
      </c>
      <c r="H394" t="inlineStr">
        <is>
          <t>Tennis Montréal</t>
        </is>
      </c>
      <c r="I394" t="n">
        <v>36.8</v>
      </c>
      <c r="J394" s="4" t="n">
        <v>94</v>
      </c>
      <c r="K394" t="inlineStr">
        <is>
          <t>38 / 56</t>
        </is>
      </c>
      <c r="L394" t="inlineStr">
        <is>
          <t>6 / 16</t>
        </is>
      </c>
      <c r="M394" s="5" t="n">
        <v>0.4</v>
      </c>
      <c r="N394" s="5" t="n">
        <v>0.27</v>
      </c>
    </row>
    <row r="395">
      <c r="A395" t="n">
        <v>394</v>
      </c>
      <c r="B395" t="n">
        <v>2013</v>
      </c>
      <c r="C395" t="inlineStr">
        <is>
          <t>Aarushi Pal</t>
        </is>
      </c>
      <c r="D395">
        <f>HYPERLINK("https://ota.tournamentsoftware.com/player-profile/F5E1E459-0A97-4C1F-8F37-D8CEF64DA1FA", "Link")</f>
        <v/>
      </c>
      <c r="E395" s="3" t="n">
        <v>149.571</v>
      </c>
      <c r="F395" s="4" t="n">
        <v>14</v>
      </c>
      <c r="G395" t="inlineStr">
        <is>
          <t>Tennis Alberta</t>
        </is>
      </c>
      <c r="H395" t="inlineStr">
        <is>
          <t>Osten &amp; Victor Alberta Tennis Centre</t>
        </is>
      </c>
      <c r="I395" t="n">
        <v>33.9</v>
      </c>
      <c r="J395" s="4" t="n">
        <v>165</v>
      </c>
      <c r="K395" t="inlineStr">
        <is>
          <t>81 / 84</t>
        </is>
      </c>
      <c r="L395" t="inlineStr">
        <is>
          <t>5 / 12</t>
        </is>
      </c>
      <c r="M395" s="5" t="n">
        <v>0.49</v>
      </c>
      <c r="N395" s="5" t="n">
        <v>0.29</v>
      </c>
    </row>
    <row r="396">
      <c r="A396" t="n">
        <v>395</v>
      </c>
      <c r="B396" t="n">
        <v>2015</v>
      </c>
      <c r="C396" t="inlineStr">
        <is>
          <t>Emma Lucenti</t>
        </is>
      </c>
      <c r="D396">
        <f>HYPERLINK("https://ota.tournamentsoftware.com/player-profile/F174A813-5F1A-4B24-BDFF-B6E6160FE2EB", "Link")</f>
        <v/>
      </c>
      <c r="E396" s="3" t="n">
        <v>148.828</v>
      </c>
      <c r="F396" s="4" t="n">
        <v>12</v>
      </c>
      <c r="G396" t="inlineStr">
        <is>
          <t>Ontario Tennis Association</t>
        </is>
      </c>
      <c r="H396" t="inlineStr">
        <is>
          <t>SmartVMC Racquetsports by ACE</t>
        </is>
      </c>
      <c r="I396" t="n">
        <v>35.5</v>
      </c>
      <c r="J396" s="4" t="n">
        <v>85</v>
      </c>
      <c r="K396" t="inlineStr">
        <is>
          <t>30 / 55</t>
        </is>
      </c>
      <c r="L396" t="inlineStr">
        <is>
          <t>9 / 13</t>
        </is>
      </c>
      <c r="M396" s="5" t="n">
        <v>0.35</v>
      </c>
      <c r="N396" s="5" t="n">
        <v>0.41</v>
      </c>
    </row>
    <row r="397">
      <c r="A397" t="n">
        <v>396</v>
      </c>
      <c r="B397" t="n">
        <v>2016</v>
      </c>
      <c r="C397" t="inlineStr">
        <is>
          <t>Eva Yanakieva</t>
        </is>
      </c>
      <c r="D397">
        <f>HYPERLINK("https://ota.tournamentsoftware.com/player-profile/7FBBEC05-D20C-448B-93F1-1F8C6BA80758", "Link")</f>
        <v/>
      </c>
      <c r="E397" s="3" t="n">
        <v>148.333</v>
      </c>
      <c r="F397" s="4" t="n">
        <v>21</v>
      </c>
      <c r="G397" t="inlineStr">
        <is>
          <t>Tennis Québec</t>
        </is>
      </c>
      <c r="H397" t="inlineStr">
        <is>
          <t>Tennis Montréal Excellence</t>
        </is>
      </c>
      <c r="I397" t="n">
        <v>35.2</v>
      </c>
      <c r="J397" s="4" t="n">
        <v>177</v>
      </c>
      <c r="K397" t="inlineStr">
        <is>
          <t>85 / 92</t>
        </is>
      </c>
      <c r="L397" t="inlineStr">
        <is>
          <t>24 / 24</t>
        </is>
      </c>
      <c r="M397" s="5" t="n">
        <v>0.48</v>
      </c>
      <c r="N397" s="5" t="n">
        <v>0.5</v>
      </c>
    </row>
    <row r="398">
      <c r="A398" t="n">
        <v>397</v>
      </c>
      <c r="B398" t="n">
        <v>2015</v>
      </c>
      <c r="C398" t="inlineStr">
        <is>
          <t>Stefaniia Grimailo</t>
        </is>
      </c>
      <c r="D398">
        <f>HYPERLINK("https://ota.tournamentsoftware.com/player-profile/63AAF188-F773-4BFA-B6C2-97B1DFB9AF3A", "Link")</f>
        <v/>
      </c>
      <c r="E398" s="3" t="n">
        <v>147.389</v>
      </c>
      <c r="F398" s="4" t="n">
        <v>9</v>
      </c>
      <c r="G398" t="inlineStr">
        <is>
          <t>Tennis Manitoba</t>
        </is>
      </c>
      <c r="H398" t="inlineStr">
        <is>
          <t>Winnipeg Winter Club</t>
        </is>
      </c>
      <c r="I398" t="n">
        <v>38.6</v>
      </c>
      <c r="J398" s="4" t="n">
        <v>64</v>
      </c>
      <c r="K398" t="inlineStr">
        <is>
          <t>9 / 55</t>
        </is>
      </c>
      <c r="L398" t="inlineStr">
        <is>
          <t>2 / 25</t>
        </is>
      </c>
      <c r="M398" s="5" t="n">
        <v>0.14</v>
      </c>
      <c r="N398" s="5" t="n">
        <v>0.07000000000000001</v>
      </c>
    </row>
    <row r="399">
      <c r="A399" t="n">
        <v>398</v>
      </c>
      <c r="B399" t="n">
        <v>2012</v>
      </c>
      <c r="C399" t="inlineStr">
        <is>
          <t>Gaëlle Jodoin</t>
        </is>
      </c>
      <c r="D399">
        <f>HYPERLINK("https://ota.tournamentsoftware.com/player-profile/A3792AFC-E32E-4258-8FA9-9240021C6401", "Link")</f>
        <v/>
      </c>
      <c r="E399" s="3" t="n">
        <v>147.089</v>
      </c>
      <c r="F399" s="4" t="n">
        <v>5</v>
      </c>
      <c r="G399" t="inlineStr">
        <is>
          <t>Tennis Québec</t>
        </is>
      </c>
      <c r="H399" t="inlineStr">
        <is>
          <t>Tennis 13</t>
        </is>
      </c>
      <c r="I399" t="n">
        <v>38.5</v>
      </c>
      <c r="J399" s="4" t="n">
        <v>87</v>
      </c>
      <c r="K399" t="inlineStr">
        <is>
          <t>14 / 73</t>
        </is>
      </c>
      <c r="L399" t="inlineStr">
        <is>
          <t>0 / 3</t>
        </is>
      </c>
      <c r="M399" s="5" t="n">
        <v>0.16</v>
      </c>
      <c r="N399" s="5" t="n">
        <v>0</v>
      </c>
    </row>
    <row r="400">
      <c r="A400" t="n">
        <v>399</v>
      </c>
      <c r="B400" t="n">
        <v>2012</v>
      </c>
      <c r="C400" t="inlineStr">
        <is>
          <t>Chloe Park</t>
        </is>
      </c>
      <c r="D400">
        <f>HYPERLINK("https://ota.tournamentsoftware.com/player-profile/FD8FB9A4-F5D9-4A90-AA66-D8E6FC3D3BC5", "Link")</f>
        <v/>
      </c>
      <c r="E400" s="3" t="n">
        <v>146.362</v>
      </c>
      <c r="F400" s="4" t="n">
        <v>4</v>
      </c>
      <c r="G400" t="inlineStr">
        <is>
          <t>Tennis Prince Edward Island</t>
        </is>
      </c>
      <c r="H400" t="inlineStr">
        <is>
          <t>No Club</t>
        </is>
      </c>
      <c r="I400" t="n">
        <v>34.5</v>
      </c>
      <c r="J400" s="4" t="n">
        <v>55</v>
      </c>
      <c r="K400" t="inlineStr">
        <is>
          <t>13 / 42</t>
        </is>
      </c>
      <c r="L400" t="inlineStr">
        <is>
          <t>8 / 11</t>
        </is>
      </c>
      <c r="M400" s="5" t="n">
        <v>0.24</v>
      </c>
      <c r="N400" s="5" t="n">
        <v>0.42</v>
      </c>
    </row>
    <row r="401">
      <c r="A401" t="n">
        <v>400</v>
      </c>
      <c r="B401" t="n">
        <v>2015</v>
      </c>
      <c r="C401" t="inlineStr">
        <is>
          <t>Elaina York</t>
        </is>
      </c>
      <c r="D401">
        <f>HYPERLINK("https://ota.tournamentsoftware.com/player-profile/7D4D2F10-C754-4560-B490-903FD1C70ADE", "Link")</f>
        <v/>
      </c>
      <c r="E401" s="3" t="n">
        <v>145.952</v>
      </c>
      <c r="F401" s="4" t="n">
        <v>16</v>
      </c>
      <c r="G401" t="inlineStr">
        <is>
          <t>Tennis Alberta</t>
        </is>
      </c>
      <c r="H401" t="inlineStr">
        <is>
          <t>Aforza</t>
        </is>
      </c>
      <c r="I401" t="n">
        <v>34.9</v>
      </c>
      <c r="J401" s="4" t="n">
        <v>149</v>
      </c>
      <c r="K401" t="inlineStr">
        <is>
          <t>61 / 88</t>
        </is>
      </c>
      <c r="L401" t="inlineStr">
        <is>
          <t>15 / 23</t>
        </is>
      </c>
      <c r="M401" s="5" t="n">
        <v>0.41</v>
      </c>
      <c r="N401" s="5" t="n">
        <v>0.39</v>
      </c>
    </row>
    <row r="402">
      <c r="A402" t="n">
        <v>401</v>
      </c>
      <c r="B402" t="n">
        <v>2014</v>
      </c>
      <c r="C402" t="inlineStr">
        <is>
          <t>Sofia Zhuchenko</t>
        </is>
      </c>
      <c r="D402">
        <f>HYPERLINK("https://ota.tournamentsoftware.com/player-profile/F633DD21-A0C3-4CAC-B560-7222D07936B7", "Link")</f>
        <v/>
      </c>
      <c r="E402" s="3" t="n">
        <v>145.261</v>
      </c>
      <c r="F402" s="4" t="n">
        <v>15</v>
      </c>
      <c r="G402" t="inlineStr">
        <is>
          <t>Tennis Alberta</t>
        </is>
      </c>
      <c r="H402" t="inlineStr">
        <is>
          <t>Osten &amp; Victor Alberta Tennis Centre</t>
        </is>
      </c>
      <c r="I402" t="n">
        <v>33.5</v>
      </c>
      <c r="J402" s="4" t="n">
        <v>111</v>
      </c>
      <c r="K402" t="inlineStr">
        <is>
          <t>43 / 68</t>
        </is>
      </c>
      <c r="L402" t="inlineStr">
        <is>
          <t>13 / 18</t>
        </is>
      </c>
      <c r="M402" s="5" t="n">
        <v>0.39</v>
      </c>
      <c r="N402" s="5" t="n">
        <v>0.42</v>
      </c>
    </row>
    <row r="403">
      <c r="A403" t="n">
        <v>402</v>
      </c>
      <c r="B403" t="n">
        <v>2014</v>
      </c>
      <c r="C403" t="inlineStr">
        <is>
          <t>Kira Wong</t>
        </is>
      </c>
      <c r="D403">
        <f>HYPERLINK("https://ota.tournamentsoftware.com/player-profile/E305B648-4548-45A0-B043-623E1473C7E5", "Link")</f>
        <v/>
      </c>
      <c r="E403" s="3" t="n">
        <v>144.621</v>
      </c>
      <c r="F403" s="4" t="n">
        <v>24</v>
      </c>
      <c r="G403" t="inlineStr">
        <is>
          <t>Tennis Alberta</t>
        </is>
      </c>
      <c r="H403" t="inlineStr">
        <is>
          <t>Aforza</t>
        </is>
      </c>
      <c r="I403" t="n">
        <v>35.2</v>
      </c>
      <c r="J403" s="4" t="n">
        <v>130</v>
      </c>
      <c r="K403" t="inlineStr">
        <is>
          <t>48 / 82</t>
        </is>
      </c>
      <c r="L403" t="inlineStr">
        <is>
          <t>24 / 28</t>
        </is>
      </c>
      <c r="M403" s="5" t="n">
        <v>0.37</v>
      </c>
      <c r="N403" s="5" t="n">
        <v>0.46</v>
      </c>
    </row>
    <row r="404">
      <c r="A404" t="n">
        <v>403</v>
      </c>
      <c r="B404" t="n">
        <v>2016</v>
      </c>
      <c r="C404" t="inlineStr">
        <is>
          <t>Milana Piazza</t>
        </is>
      </c>
      <c r="D404">
        <f>HYPERLINK("https://ota.tournamentsoftware.com/player-profile/4CDBB0C3-0D8B-4D7B-873C-3CEC65600FA0", "Link")</f>
        <v/>
      </c>
      <c r="E404" s="3" t="n">
        <v>144.058</v>
      </c>
      <c r="F404" s="4" t="n">
        <v>10</v>
      </c>
      <c r="G404" t="inlineStr">
        <is>
          <t>Tennis Québec</t>
        </is>
      </c>
      <c r="H404" t="inlineStr">
        <is>
          <t>Tennis 13</t>
        </is>
      </c>
      <c r="I404" t="n">
        <v>32.9</v>
      </c>
      <c r="J404" s="4" t="n">
        <v>92</v>
      </c>
      <c r="K404" t="inlineStr">
        <is>
          <t>56 / 36</t>
        </is>
      </c>
      <c r="L404" t="inlineStr">
        <is>
          <t>23 / 8</t>
        </is>
      </c>
      <c r="M404" s="5" t="n">
        <v>0.61</v>
      </c>
      <c r="N404" s="5" t="n">
        <v>0.74</v>
      </c>
    </row>
    <row r="405">
      <c r="A405" t="n">
        <v>404</v>
      </c>
      <c r="B405" t="n">
        <v>2015</v>
      </c>
      <c r="C405" t="inlineStr">
        <is>
          <t>Vera Toptounov</t>
        </is>
      </c>
      <c r="D405">
        <f>HYPERLINK("https://ota.tournamentsoftware.com/player-profile/6AC05446-ED22-406D-9460-F30F3FC8B16B", "Link")</f>
        <v/>
      </c>
      <c r="E405" s="3" t="n">
        <v>144.013</v>
      </c>
      <c r="F405" s="4" t="n">
        <v>20</v>
      </c>
      <c r="G405" t="inlineStr">
        <is>
          <t>Ontario Tennis Association</t>
        </is>
      </c>
      <c r="H405" t="inlineStr">
        <is>
          <t>SmartVMC Racquetsports by ACE</t>
        </is>
      </c>
      <c r="I405" t="n">
        <v>35.5</v>
      </c>
      <c r="J405" s="4" t="n">
        <v>106</v>
      </c>
      <c r="K405" t="inlineStr">
        <is>
          <t>46 / 60</t>
        </is>
      </c>
      <c r="L405" t="inlineStr">
        <is>
          <t>12 / 16</t>
        </is>
      </c>
      <c r="M405" s="5" t="n">
        <v>0.43</v>
      </c>
      <c r="N405" s="5" t="n">
        <v>0.43</v>
      </c>
    </row>
    <row r="406">
      <c r="A406" t="n">
        <v>405</v>
      </c>
      <c r="B406" t="n">
        <v>2015</v>
      </c>
      <c r="C406" t="inlineStr">
        <is>
          <t>Theia Zhang</t>
        </is>
      </c>
      <c r="D406">
        <f>HYPERLINK("https://ota.tournamentsoftware.com/player-profile/8628DB3F-1A24-45E1-A1F1-727AFFD593DD", "Link")</f>
        <v/>
      </c>
      <c r="E406" s="3" t="n">
        <v>142.594</v>
      </c>
      <c r="F406" s="4" t="n">
        <v>11</v>
      </c>
      <c r="G406" t="inlineStr">
        <is>
          <t>Ontario Tennis Association</t>
        </is>
      </c>
      <c r="H406" t="inlineStr">
        <is>
          <t>Premier Racquet Clubs – Mississauga</t>
        </is>
      </c>
      <c r="I406" t="n">
        <v>35.8</v>
      </c>
      <c r="J406" s="4" t="n">
        <v>102</v>
      </c>
      <c r="K406" t="inlineStr">
        <is>
          <t>48 / 54</t>
        </is>
      </c>
      <c r="L406" t="inlineStr">
        <is>
          <t>1 / 6</t>
        </is>
      </c>
      <c r="M406" s="5" t="n">
        <v>0.47</v>
      </c>
      <c r="N406" s="5" t="n">
        <v>0.14</v>
      </c>
    </row>
    <row r="407">
      <c r="A407" t="n">
        <v>406</v>
      </c>
      <c r="B407" t="n">
        <v>2015</v>
      </c>
      <c r="C407" t="inlineStr">
        <is>
          <t>Maranata Okubazgi</t>
        </is>
      </c>
      <c r="D407">
        <f>HYPERLINK("https://ota.tournamentsoftware.com/player-profile/D41680BB-0D07-401E-A1E3-7ECB40E4830A", "Link")</f>
        <v/>
      </c>
      <c r="E407" s="3" t="n">
        <v>142.224</v>
      </c>
      <c r="F407" s="4" t="n">
        <v>17</v>
      </c>
      <c r="G407" t="inlineStr">
        <is>
          <t>Ontario Tennis Association</t>
        </is>
      </c>
      <c r="H407" t="inlineStr">
        <is>
          <t>Premier Racquet Clubs – Mississauga</t>
        </is>
      </c>
      <c r="I407" t="n">
        <v>34.9</v>
      </c>
      <c r="J407" s="4" t="n">
        <v>99</v>
      </c>
      <c r="K407" t="inlineStr">
        <is>
          <t>57 / 42</t>
        </is>
      </c>
      <c r="L407" t="inlineStr">
        <is>
          <t>18 / 14</t>
        </is>
      </c>
      <c r="M407" s="5" t="n">
        <v>0.58</v>
      </c>
      <c r="N407" s="5" t="n">
        <v>0.5600000000000001</v>
      </c>
    </row>
    <row r="408">
      <c r="A408" t="n">
        <v>407</v>
      </c>
      <c r="B408" t="n">
        <v>2014</v>
      </c>
      <c r="C408" t="inlineStr">
        <is>
          <t>myra Malik</t>
        </is>
      </c>
      <c r="D408">
        <f>HYPERLINK("https://ota.tournamentsoftware.com/player-profile/B5B677E5-44EA-48DD-95B7-05BF38E3758B", "Link")</f>
        <v/>
      </c>
      <c r="E408" s="3" t="n">
        <v>140.56</v>
      </c>
      <c r="F408" s="4" t="n">
        <v>27</v>
      </c>
      <c r="G408" t="inlineStr">
        <is>
          <t>British Columbia</t>
        </is>
      </c>
      <c r="H408" t="inlineStr">
        <is>
          <t>The Tennis Centre</t>
        </is>
      </c>
      <c r="I408" t="n">
        <v>32.6</v>
      </c>
      <c r="J408" s="4" t="n">
        <v>71</v>
      </c>
      <c r="K408" t="inlineStr">
        <is>
          <t>34 / 37</t>
        </is>
      </c>
      <c r="L408" t="inlineStr">
        <is>
          <t>27 / 23</t>
        </is>
      </c>
      <c r="M408" s="5" t="n">
        <v>0.48</v>
      </c>
      <c r="N408" s="5" t="n">
        <v>0.54</v>
      </c>
    </row>
    <row r="409">
      <c r="A409" t="n">
        <v>408</v>
      </c>
      <c r="B409" t="n">
        <v>2015</v>
      </c>
      <c r="C409" t="inlineStr">
        <is>
          <t>Athisayah Viji</t>
        </is>
      </c>
      <c r="D409">
        <f>HYPERLINK("https://ota.tournamentsoftware.com/player-profile/C8684F68-4EF9-414D-BDA9-FC73111C2DB8", "Link")</f>
        <v/>
      </c>
      <c r="E409" s="3" t="n">
        <v>139.162</v>
      </c>
      <c r="F409" s="4" t="n">
        <v>20</v>
      </c>
      <c r="G409" t="inlineStr">
        <is>
          <t>British Columbia</t>
        </is>
      </c>
      <c r="H409" t="inlineStr">
        <is>
          <t>The Tennis Centre</t>
        </is>
      </c>
      <c r="I409" t="n">
        <v>31.8</v>
      </c>
      <c r="J409" s="4" t="n">
        <v>129</v>
      </c>
      <c r="K409" t="inlineStr">
        <is>
          <t>77 / 52</t>
        </is>
      </c>
      <c r="L409" t="inlineStr">
        <is>
          <t>37 / 17</t>
        </is>
      </c>
      <c r="M409" s="5" t="n">
        <v>0.6</v>
      </c>
      <c r="N409" s="5" t="n">
        <v>0.6899999999999999</v>
      </c>
    </row>
    <row r="410">
      <c r="A410" t="n">
        <v>409</v>
      </c>
      <c r="B410" t="n">
        <v>2012</v>
      </c>
      <c r="C410" t="inlineStr">
        <is>
          <t>Spencer Xie</t>
        </is>
      </c>
      <c r="D410">
        <f>HYPERLINK("https://ota.tournamentsoftware.com/player-profile/E8C882F3-740E-4E76-A249-7FC036AFD1F8", "Link")</f>
        <v/>
      </c>
      <c r="E410" s="3" t="n">
        <v>138.244</v>
      </c>
      <c r="F410" s="4" t="n">
        <v>12</v>
      </c>
      <c r="G410" t="inlineStr">
        <is>
          <t>Ontario Tennis Association</t>
        </is>
      </c>
      <c r="H410" t="inlineStr">
        <is>
          <t>Granite Club</t>
        </is>
      </c>
      <c r="I410" t="n">
        <v>35.2</v>
      </c>
      <c r="J410" s="4" t="n">
        <v>71</v>
      </c>
      <c r="K410" t="inlineStr">
        <is>
          <t>19 / 52</t>
        </is>
      </c>
      <c r="L410" t="inlineStr">
        <is>
          <t>6 / 13</t>
        </is>
      </c>
      <c r="M410" s="5" t="n">
        <v>0.27</v>
      </c>
      <c r="N410" s="5" t="n">
        <v>0.32</v>
      </c>
    </row>
    <row r="411">
      <c r="A411" t="n">
        <v>410</v>
      </c>
      <c r="B411" t="n">
        <v>2013</v>
      </c>
      <c r="C411" t="inlineStr">
        <is>
          <t>Audrey Ziqi Liu</t>
        </is>
      </c>
      <c r="D411">
        <f>HYPERLINK("https://ota.tournamentsoftware.com/player-profile/C2E6156A-D7ED-45A1-B728-0FA7A8D2D6A1", "Link")</f>
        <v/>
      </c>
      <c r="E411" s="3" t="n">
        <v>138.106</v>
      </c>
      <c r="F411" s="4" t="n">
        <v>11</v>
      </c>
      <c r="G411" t="inlineStr">
        <is>
          <t>British Columbia</t>
        </is>
      </c>
      <c r="H411" t="inlineStr">
        <is>
          <t>UBC Tennis Centre</t>
        </is>
      </c>
      <c r="I411" t="n">
        <v>34.8</v>
      </c>
      <c r="J411" s="4" t="n">
        <v>28</v>
      </c>
      <c r="K411" t="inlineStr">
        <is>
          <t>9 / 19</t>
        </is>
      </c>
      <c r="L411" t="inlineStr">
        <is>
          <t>8 / 17</t>
        </is>
      </c>
      <c r="M411" s="5" t="n">
        <v>0.32</v>
      </c>
      <c r="N411" s="5" t="n">
        <v>0.32</v>
      </c>
    </row>
    <row r="412">
      <c r="A412" t="n">
        <v>411</v>
      </c>
      <c r="B412" t="n">
        <v>2012</v>
      </c>
      <c r="C412" t="inlineStr">
        <is>
          <t>Sophia Hamel</t>
        </is>
      </c>
      <c r="D412">
        <f>HYPERLINK("https://ota.tournamentsoftware.com/player-profile/D6C2A4EC-5F86-459B-A81E-7C31F47AD78D", "Link")</f>
        <v/>
      </c>
      <c r="E412" s="3" t="n">
        <v>135.331</v>
      </c>
      <c r="F412" s="4" t="n">
        <v>8</v>
      </c>
      <c r="G412" t="inlineStr">
        <is>
          <t>Tennis Québec</t>
        </is>
      </c>
      <c r="H412" t="inlineStr">
        <is>
          <t>Rouge et Or - Université Laval</t>
        </is>
      </c>
      <c r="I412" t="n">
        <v>35.1</v>
      </c>
      <c r="J412" s="4" t="n">
        <v>71</v>
      </c>
      <c r="K412" t="inlineStr">
        <is>
          <t>15 / 56</t>
        </is>
      </c>
      <c r="L412" t="inlineStr">
        <is>
          <t>6 / 11</t>
        </is>
      </c>
      <c r="M412" s="5" t="n">
        <v>0.21</v>
      </c>
      <c r="N412" s="5" t="n">
        <v>0.35</v>
      </c>
    </row>
    <row r="413">
      <c r="A413" t="n">
        <v>412</v>
      </c>
      <c r="B413" t="n">
        <v>2012</v>
      </c>
      <c r="C413" t="inlineStr">
        <is>
          <t>Aila Olivia Brimacombe</t>
        </is>
      </c>
      <c r="D413">
        <f>HYPERLINK("https://ota.tournamentsoftware.com/player-profile/665F5A6C-3B65-4541-A5CF-6A84DC235104", "Link")</f>
        <v/>
      </c>
      <c r="E413" s="3" t="n">
        <v>134.944</v>
      </c>
      <c r="F413" s="4" t="n">
        <v>21</v>
      </c>
      <c r="G413" t="inlineStr">
        <is>
          <t>British Columbia</t>
        </is>
      </c>
      <c r="H413" t="inlineStr">
        <is>
          <t>West Vancouver Tennis Club</t>
        </is>
      </c>
      <c r="I413" t="n">
        <v>35.6</v>
      </c>
      <c r="J413" s="4" t="n">
        <v>115</v>
      </c>
      <c r="K413" t="inlineStr">
        <is>
          <t>19 / 96</t>
        </is>
      </c>
      <c r="L413" t="inlineStr">
        <is>
          <t>9 / 31</t>
        </is>
      </c>
      <c r="M413" s="5" t="n">
        <v>0.17</v>
      </c>
      <c r="N413" s="5" t="n">
        <v>0.23</v>
      </c>
    </row>
    <row r="414">
      <c r="A414" t="n">
        <v>413</v>
      </c>
      <c r="B414" t="n">
        <v>2015</v>
      </c>
      <c r="C414" t="inlineStr">
        <is>
          <t>Anya De Lain</t>
        </is>
      </c>
      <c r="D414">
        <f>HYPERLINK("https://ota.tournamentsoftware.com/player-profile/563B79E2-A8FE-4D68-B224-8FB6861F2D7F", "Link")</f>
        <v/>
      </c>
      <c r="E414" s="3" t="n">
        <v>134.241</v>
      </c>
      <c r="F414" s="4" t="n">
        <v>14</v>
      </c>
      <c r="G414" t="inlineStr">
        <is>
          <t>Tennis Québec</t>
        </is>
      </c>
      <c r="H414" t="inlineStr">
        <is>
          <t>EB Tennis inc.</t>
        </is>
      </c>
      <c r="I414" t="n">
        <v>40</v>
      </c>
      <c r="J414" s="4" t="n">
        <v>90</v>
      </c>
      <c r="K414" t="inlineStr">
        <is>
          <t>16 / 74</t>
        </is>
      </c>
      <c r="L414" t="inlineStr">
        <is>
          <t>2 / 18</t>
        </is>
      </c>
      <c r="M414" s="5" t="n">
        <v>0.18</v>
      </c>
      <c r="N414" s="5" t="n">
        <v>0.1</v>
      </c>
    </row>
    <row r="415">
      <c r="A415" t="n">
        <v>414</v>
      </c>
      <c r="B415" t="n">
        <v>2014</v>
      </c>
      <c r="C415" t="inlineStr">
        <is>
          <t>Sonia Leung</t>
        </is>
      </c>
      <c r="D415">
        <f>HYPERLINK("https://ota.tournamentsoftware.com/player-profile/CCA302B0-3E0B-42DA-BCF9-B1A9AF0035E5", "Link")</f>
        <v/>
      </c>
      <c r="E415" s="3" t="n">
        <v>134.04</v>
      </c>
      <c r="F415" s="4" t="n">
        <v>18</v>
      </c>
      <c r="G415" t="inlineStr">
        <is>
          <t>Ontario Tennis Association</t>
        </is>
      </c>
      <c r="H415" t="inlineStr">
        <is>
          <t>Toronto Tennis Academy</t>
        </is>
      </c>
      <c r="I415" t="n">
        <v>33.8</v>
      </c>
      <c r="J415" s="4" t="n">
        <v>69</v>
      </c>
      <c r="K415" t="inlineStr">
        <is>
          <t>35 / 34</t>
        </is>
      </c>
      <c r="L415" t="inlineStr">
        <is>
          <t>26 / 14</t>
        </is>
      </c>
      <c r="M415" s="5" t="n">
        <v>0.51</v>
      </c>
      <c r="N415" s="5" t="n">
        <v>0.65</v>
      </c>
    </row>
    <row r="416">
      <c r="A416" t="n">
        <v>415</v>
      </c>
      <c r="B416" t="n">
        <v>2015</v>
      </c>
      <c r="C416" t="inlineStr">
        <is>
          <t>Blake Badger</t>
        </is>
      </c>
      <c r="D416">
        <f>HYPERLINK("https://ota.tournamentsoftware.com/player-profile/33B72483-1E5D-4043-8C06-81F76F0504E6", "Link")</f>
        <v/>
      </c>
      <c r="E416" s="3" t="n">
        <v>133.817</v>
      </c>
      <c r="F416" s="4" t="n">
        <v>4</v>
      </c>
      <c r="G416" t="inlineStr">
        <is>
          <t>Tennis Saskatchewan</t>
        </is>
      </c>
      <c r="H416" t="inlineStr">
        <is>
          <t>Lakeshore Tennis Club</t>
        </is>
      </c>
      <c r="I416" t="n">
        <v>38.3</v>
      </c>
      <c r="J416" s="4" t="n">
        <v>63</v>
      </c>
      <c r="K416" t="inlineStr">
        <is>
          <t>20 / 43</t>
        </is>
      </c>
      <c r="L416" t="inlineStr">
        <is>
          <t>2 / 7</t>
        </is>
      </c>
      <c r="M416" s="5" t="n">
        <v>0.32</v>
      </c>
      <c r="N416" s="5" t="n">
        <v>0.22</v>
      </c>
    </row>
    <row r="417">
      <c r="A417" t="n">
        <v>416</v>
      </c>
      <c r="B417" t="n">
        <v>2013</v>
      </c>
      <c r="C417" t="inlineStr">
        <is>
          <t>Zoé Pilon</t>
        </is>
      </c>
      <c r="D417">
        <f>HYPERLINK("https://ota.tournamentsoftware.com/player-profile/5CF92DF6-CB3B-4E9E-9D03-B9CC6481DEBA", "Link")</f>
        <v/>
      </c>
      <c r="E417" s="3" t="n">
        <v>133.497</v>
      </c>
      <c r="F417" s="4" t="n">
        <v>12</v>
      </c>
      <c r="G417" t="inlineStr">
        <is>
          <t>Tennis Québec</t>
        </is>
      </c>
      <c r="H417" t="inlineStr">
        <is>
          <t>Tennis Interclub Piedmont</t>
        </is>
      </c>
      <c r="I417" t="n">
        <v>37.7</v>
      </c>
      <c r="J417" s="4" t="n">
        <v>22</v>
      </c>
      <c r="K417" t="inlineStr">
        <is>
          <t>7 / 15</t>
        </is>
      </c>
      <c r="L417" t="inlineStr">
        <is>
          <t>3 / 12</t>
        </is>
      </c>
      <c r="M417" s="5" t="n">
        <v>0.32</v>
      </c>
      <c r="N417" s="5" t="n">
        <v>0.2</v>
      </c>
    </row>
    <row r="418">
      <c r="A418" t="n">
        <v>417</v>
      </c>
      <c r="B418" t="n">
        <v>2014</v>
      </c>
      <c r="C418" t="inlineStr">
        <is>
          <t>Jaynaëlle Isaac</t>
        </is>
      </c>
      <c r="D418">
        <f>HYPERLINK("https://ota.tournamentsoftware.com/player-profile/6748F07C-41D2-4D26-87D9-8636B60DC389", "Link")</f>
        <v/>
      </c>
      <c r="E418" s="3" t="n">
        <v>132.874</v>
      </c>
      <c r="F418" s="4" t="n">
        <v>11</v>
      </c>
      <c r="G418" t="inlineStr">
        <is>
          <t>Tennis Québec</t>
        </is>
      </c>
      <c r="H418" t="inlineStr">
        <is>
          <t>No Club</t>
        </is>
      </c>
      <c r="I418" t="n">
        <v>32.5</v>
      </c>
      <c r="J418" s="4" t="n">
        <v>124</v>
      </c>
      <c r="K418" t="inlineStr">
        <is>
          <t>49 / 75</t>
        </is>
      </c>
      <c r="L418" t="inlineStr">
        <is>
          <t>9 / 11</t>
        </is>
      </c>
      <c r="M418" s="5" t="n">
        <v>0.4</v>
      </c>
      <c r="N418" s="5" t="n">
        <v>0.45</v>
      </c>
    </row>
    <row r="419">
      <c r="A419" t="n">
        <v>418</v>
      </c>
      <c r="B419" t="n">
        <v>2013</v>
      </c>
      <c r="C419" t="inlineStr">
        <is>
          <t>Olivia Xing</t>
        </is>
      </c>
      <c r="D419">
        <f>HYPERLINK("https://ota.tournamentsoftware.com/player-profile/03475BC0-CC60-490A-8E94-0D82D43C8EDC", "Link")</f>
        <v/>
      </c>
      <c r="E419" s="3" t="n">
        <v>132.497</v>
      </c>
      <c r="F419" s="4" t="n">
        <v>17</v>
      </c>
      <c r="G419" t="inlineStr">
        <is>
          <t>British Columbia</t>
        </is>
      </c>
      <c r="H419" t="inlineStr">
        <is>
          <t>Vancouver Lawn Tennis and Badminton Club</t>
        </is>
      </c>
      <c r="I419" t="inlineStr">
        <is>
          <t>unavailable</t>
        </is>
      </c>
      <c r="J419" s="4" t="n">
        <v>117</v>
      </c>
      <c r="K419" t="inlineStr">
        <is>
          <t>57 / 60</t>
        </is>
      </c>
      <c r="L419" t="inlineStr">
        <is>
          <t>10 / 13</t>
        </is>
      </c>
      <c r="M419" s="5" t="n">
        <v>0.49</v>
      </c>
      <c r="N419" s="5" t="n">
        <v>0.43</v>
      </c>
    </row>
    <row r="420">
      <c r="A420" t="n">
        <v>419</v>
      </c>
      <c r="B420" t="n">
        <v>2014</v>
      </c>
      <c r="C420" t="inlineStr">
        <is>
          <t>Olivia Weiwei Kong</t>
        </is>
      </c>
      <c r="D420">
        <f>HYPERLINK("https://ota.tournamentsoftware.com/player-profile/D959AEB1-2F72-4DC3-9FC0-C7595A80CDA0", "Link")</f>
        <v/>
      </c>
      <c r="E420" s="3" t="n">
        <v>130.887</v>
      </c>
      <c r="F420" s="4" t="n">
        <v>6</v>
      </c>
      <c r="G420" t="inlineStr">
        <is>
          <t>Tennis Saskatchewan</t>
        </is>
      </c>
      <c r="H420" t="inlineStr">
        <is>
          <t>Lakeshore Tennis Club</t>
        </is>
      </c>
      <c r="I420" t="n">
        <v>35.9</v>
      </c>
      <c r="J420" s="4" t="n">
        <v>91</v>
      </c>
      <c r="K420" t="inlineStr">
        <is>
          <t>23 / 68</t>
        </is>
      </c>
      <c r="L420" t="inlineStr">
        <is>
          <t>4 / 11</t>
        </is>
      </c>
      <c r="M420" s="5" t="n">
        <v>0.25</v>
      </c>
      <c r="N420" s="5" t="n">
        <v>0.27</v>
      </c>
    </row>
    <row r="421">
      <c r="A421" t="n">
        <v>420</v>
      </c>
      <c r="B421" t="n">
        <v>2012</v>
      </c>
      <c r="C421" t="inlineStr">
        <is>
          <t>Eliana Yiannacouras</t>
        </is>
      </c>
      <c r="D421">
        <f>HYPERLINK("https://ota.tournamentsoftware.com/player-profile/B77AA2DD-5FF4-4B16-8ABD-E6ED22D4B5E1", "Link")</f>
        <v/>
      </c>
      <c r="E421" s="3" t="n">
        <v>130.395</v>
      </c>
      <c r="F421" s="4" t="n">
        <v>13</v>
      </c>
      <c r="G421" t="inlineStr">
        <is>
          <t>Ontario Tennis Association</t>
        </is>
      </c>
      <c r="H421" t="inlineStr">
        <is>
          <t>The Supreme Court Tennis Club</t>
        </is>
      </c>
      <c r="I421" t="n">
        <v>34.6</v>
      </c>
      <c r="J421" s="4" t="n">
        <v>101</v>
      </c>
      <c r="K421" t="inlineStr">
        <is>
          <t>28 / 73</t>
        </is>
      </c>
      <c r="L421" t="inlineStr">
        <is>
          <t>9 / 10</t>
        </is>
      </c>
      <c r="M421" s="5" t="n">
        <v>0.28</v>
      </c>
      <c r="N421" s="5" t="n">
        <v>0.47</v>
      </c>
    </row>
    <row r="422">
      <c r="A422" t="n">
        <v>421</v>
      </c>
      <c r="B422" t="n">
        <v>2013</v>
      </c>
      <c r="C422" t="inlineStr">
        <is>
          <t>LEAH SHOJAIE</t>
        </is>
      </c>
      <c r="D422">
        <f>HYPERLINK("https://ota.tournamentsoftware.com/player-profile/A1DEEE7E-F9FE-4AA1-9DCF-5A3FDD2E189E", "Link")</f>
        <v/>
      </c>
      <c r="E422" s="3" t="n">
        <v>130.147</v>
      </c>
      <c r="F422" s="4" t="n">
        <v>13</v>
      </c>
      <c r="G422" t="inlineStr">
        <is>
          <t>Ontario Tennis Association</t>
        </is>
      </c>
      <c r="H422" t="inlineStr">
        <is>
          <t>Valan Tennis Academy</t>
        </is>
      </c>
      <c r="I422" t="n">
        <v>36.2</v>
      </c>
      <c r="J422" s="4" t="n">
        <v>21</v>
      </c>
      <c r="K422" t="inlineStr">
        <is>
          <t>6 / 15</t>
        </is>
      </c>
      <c r="L422" t="inlineStr">
        <is>
          <t>6 / 15</t>
        </is>
      </c>
      <c r="M422" s="5" t="n">
        <v>0.29</v>
      </c>
      <c r="N422" s="5" t="n">
        <v>0.29</v>
      </c>
    </row>
    <row r="423">
      <c r="A423" t="n">
        <v>422</v>
      </c>
      <c r="B423" t="n">
        <v>2012</v>
      </c>
      <c r="C423" t="inlineStr">
        <is>
          <t>Myra Chowdhary</t>
        </is>
      </c>
      <c r="D423">
        <f>HYPERLINK("https://ota.tournamentsoftware.com/player-profile/CE7139B1-580D-4EF4-A747-D0E1E897EAFB", "Link")</f>
        <v/>
      </c>
      <c r="E423" s="3" t="n">
        <v>130.123</v>
      </c>
      <c r="F423" s="4" t="n">
        <v>10</v>
      </c>
      <c r="G423" t="inlineStr">
        <is>
          <t>Ontario Tennis Association</t>
        </is>
      </c>
      <c r="H423" t="inlineStr">
        <is>
          <t>Youngs Sportsplex</t>
        </is>
      </c>
      <c r="I423" t="n">
        <v>38.4</v>
      </c>
      <c r="J423" s="4" t="n">
        <v>41</v>
      </c>
      <c r="K423" t="inlineStr">
        <is>
          <t>12 / 29</t>
        </is>
      </c>
      <c r="L423" t="inlineStr">
        <is>
          <t>4 / 13</t>
        </is>
      </c>
      <c r="M423" s="5" t="n">
        <v>0.29</v>
      </c>
      <c r="N423" s="5" t="n">
        <v>0.24</v>
      </c>
    </row>
    <row r="424">
      <c r="A424" t="n">
        <v>423</v>
      </c>
      <c r="B424" t="n">
        <v>2014</v>
      </c>
      <c r="C424" t="inlineStr">
        <is>
          <t>Audrey JIA</t>
        </is>
      </c>
      <c r="D424">
        <f>HYPERLINK("https://ota.tournamentsoftware.com/player-profile/3F7A519A-489C-490B-9AA2-F4FCBBCA474F", "Link")</f>
        <v/>
      </c>
      <c r="E424" s="3" t="n">
        <v>129.849</v>
      </c>
      <c r="F424" s="4" t="n">
        <v>21</v>
      </c>
      <c r="G424" t="inlineStr">
        <is>
          <t>Ontario Tennis Association</t>
        </is>
      </c>
      <c r="H424" t="inlineStr">
        <is>
          <t>Newmarket Community Tennis Club</t>
        </is>
      </c>
      <c r="I424" t="inlineStr">
        <is>
          <t>unavailable</t>
        </is>
      </c>
      <c r="J424" s="4" t="n">
        <v>97</v>
      </c>
      <c r="K424" t="inlineStr">
        <is>
          <t>54 / 43</t>
        </is>
      </c>
      <c r="L424" t="inlineStr">
        <is>
          <t>37 / 16</t>
        </is>
      </c>
      <c r="M424" s="5" t="n">
        <v>0.5600000000000001</v>
      </c>
      <c r="N424" s="5" t="n">
        <v>0.7</v>
      </c>
    </row>
    <row r="425">
      <c r="A425" t="n">
        <v>424</v>
      </c>
      <c r="B425" t="n">
        <v>2014</v>
      </c>
      <c r="C425" t="inlineStr">
        <is>
          <t>Scarlett Hannah Yip</t>
        </is>
      </c>
      <c r="D425">
        <f>HYPERLINK("https://ota.tournamentsoftware.com/player-profile/D01B38C8-E207-4D1F-B33D-970B1F8BDC78", "Link")</f>
        <v/>
      </c>
      <c r="E425" s="3" t="n">
        <v>128.523</v>
      </c>
      <c r="F425" s="4" t="n">
        <v>12</v>
      </c>
      <c r="G425" t="inlineStr">
        <is>
          <t>Tennis Alberta</t>
        </is>
      </c>
      <c r="H425" t="inlineStr">
        <is>
          <t>Osten &amp; Victor Alberta Tennis Centre</t>
        </is>
      </c>
      <c r="I425" t="n">
        <v>33.7</v>
      </c>
      <c r="J425" s="4" t="n">
        <v>146</v>
      </c>
      <c r="K425" t="inlineStr">
        <is>
          <t>65 / 81</t>
        </is>
      </c>
      <c r="L425" t="inlineStr">
        <is>
          <t>6 / 8</t>
        </is>
      </c>
      <c r="M425" s="5" t="n">
        <v>0.45</v>
      </c>
      <c r="N425" s="5" t="n">
        <v>0.43</v>
      </c>
    </row>
    <row r="426">
      <c r="A426" t="n">
        <v>425</v>
      </c>
      <c r="B426" t="n">
        <v>2014</v>
      </c>
      <c r="C426" t="inlineStr">
        <is>
          <t>Afsoune Wassel</t>
        </is>
      </c>
      <c r="D426">
        <f>HYPERLINK("https://ota.tournamentsoftware.com/player-profile/72D5D7A1-94DE-47DF-B01E-F83205C53092", "Link")</f>
        <v/>
      </c>
      <c r="E426" s="3" t="n">
        <v>128.099</v>
      </c>
      <c r="F426" s="4" t="n">
        <v>19</v>
      </c>
      <c r="G426" t="inlineStr">
        <is>
          <t>Tennis Québec</t>
        </is>
      </c>
      <c r="H426" t="inlineStr">
        <is>
          <t>SANI Sport</t>
        </is>
      </c>
      <c r="I426" t="n">
        <v>34.7</v>
      </c>
      <c r="J426" s="4" t="n">
        <v>118</v>
      </c>
      <c r="K426" t="inlineStr">
        <is>
          <t>59 / 59</t>
        </is>
      </c>
      <c r="L426" t="inlineStr">
        <is>
          <t>7 / 13</t>
        </is>
      </c>
      <c r="M426" s="5" t="n">
        <v>0.5</v>
      </c>
      <c r="N426" s="5" t="n">
        <v>0.35</v>
      </c>
    </row>
    <row r="427">
      <c r="A427" t="n">
        <v>426</v>
      </c>
      <c r="B427" t="n">
        <v>2014</v>
      </c>
      <c r="C427" t="inlineStr">
        <is>
          <t>Mikayla Avani Mahanandan</t>
        </is>
      </c>
      <c r="D427">
        <f>HYPERLINK("https://ota.tournamentsoftware.com/player-profile/DAFD5F0F-733D-4242-B572-5905268B6041", "Link")</f>
        <v/>
      </c>
      <c r="E427" s="3" t="n">
        <v>127.05</v>
      </c>
      <c r="F427" s="4" t="n">
        <v>23</v>
      </c>
      <c r="G427" t="inlineStr">
        <is>
          <t>Ontario Tennis Association</t>
        </is>
      </c>
      <c r="H427" t="inlineStr">
        <is>
          <t>Premier Racquet Clubs – Mississauga</t>
        </is>
      </c>
      <c r="I427" t="inlineStr">
        <is>
          <t>unavailable</t>
        </is>
      </c>
      <c r="J427" s="4" t="n">
        <v>110</v>
      </c>
      <c r="K427" t="inlineStr">
        <is>
          <t>38 / 72</t>
        </is>
      </c>
      <c r="L427" t="inlineStr">
        <is>
          <t>14 / 23</t>
        </is>
      </c>
      <c r="M427" s="5" t="n">
        <v>0.35</v>
      </c>
      <c r="N427" s="5" t="n">
        <v>0.38</v>
      </c>
    </row>
    <row r="428">
      <c r="A428" t="n">
        <v>427</v>
      </c>
      <c r="B428" t="n">
        <v>2012</v>
      </c>
      <c r="C428" t="inlineStr">
        <is>
          <t>Alyssa Grace Clouden</t>
        </is>
      </c>
      <c r="D428">
        <f>HYPERLINK("https://ota.tournamentsoftware.com/player-profile/85FC5E76-6ACD-4520-94D0-C05BABDC2184", "Link")</f>
        <v/>
      </c>
      <c r="E428" s="3" t="n">
        <v>126.024</v>
      </c>
      <c r="F428" s="4" t="n">
        <v>13</v>
      </c>
      <c r="G428" t="inlineStr">
        <is>
          <t>Ontario Tennis Association</t>
        </is>
      </c>
      <c r="H428" t="inlineStr">
        <is>
          <t>Headwaters Racquet Club</t>
        </is>
      </c>
      <c r="I428" t="n">
        <v>35.7</v>
      </c>
      <c r="J428" s="4" t="n">
        <v>54</v>
      </c>
      <c r="K428" t="inlineStr">
        <is>
          <t>25 / 29</t>
        </is>
      </c>
      <c r="L428" t="inlineStr">
        <is>
          <t>10 / 13</t>
        </is>
      </c>
      <c r="M428" s="5" t="n">
        <v>0.46</v>
      </c>
      <c r="N428" s="5" t="n">
        <v>0.43</v>
      </c>
    </row>
    <row r="429">
      <c r="A429" t="n">
        <v>428</v>
      </c>
      <c r="B429" t="n">
        <v>2015</v>
      </c>
      <c r="C429" t="inlineStr">
        <is>
          <t>Isla Suokas</t>
        </is>
      </c>
      <c r="D429">
        <f>HYPERLINK("https://ota.tournamentsoftware.com/player-profile/4CF0CDA6-2600-4F1B-8775-31212B766E74", "Link")</f>
        <v/>
      </c>
      <c r="E429" s="3" t="n">
        <v>126</v>
      </c>
      <c r="F429" s="4" t="n">
        <v>23</v>
      </c>
      <c r="G429" t="inlineStr">
        <is>
          <t>Ontario Tennis Association</t>
        </is>
      </c>
      <c r="H429" t="inlineStr">
        <is>
          <t>Boulevard Club</t>
        </is>
      </c>
      <c r="I429" t="n">
        <v>34.7</v>
      </c>
      <c r="J429" s="4" t="n">
        <v>100</v>
      </c>
      <c r="K429" t="inlineStr">
        <is>
          <t>60 / 40</t>
        </is>
      </c>
      <c r="L429" t="inlineStr">
        <is>
          <t>25 / 17</t>
        </is>
      </c>
      <c r="M429" s="5" t="n">
        <v>0.6</v>
      </c>
      <c r="N429" s="5" t="n">
        <v>0.6</v>
      </c>
    </row>
    <row r="430">
      <c r="A430" t="n">
        <v>429</v>
      </c>
      <c r="B430" t="n">
        <v>2015</v>
      </c>
      <c r="C430" t="inlineStr">
        <is>
          <t>Xinyue Grace zhu</t>
        </is>
      </c>
      <c r="D430">
        <f>HYPERLINK("https://ota.tournamentsoftware.com/player-profile/9C1D6B37-A27B-4B15-8F8F-72E6D4418B50", "Link")</f>
        <v/>
      </c>
      <c r="E430" s="3" t="n">
        <v>124.998</v>
      </c>
      <c r="F430" s="4" t="n">
        <v>11</v>
      </c>
      <c r="G430" t="inlineStr">
        <is>
          <t>British Columbia</t>
        </is>
      </c>
      <c r="H430" t="inlineStr">
        <is>
          <t>North Vancouver Tennis Centre</t>
        </is>
      </c>
      <c r="I430" t="inlineStr">
        <is>
          <t>unavailable</t>
        </is>
      </c>
      <c r="J430" s="4" t="n">
        <v>184</v>
      </c>
      <c r="K430" t="inlineStr">
        <is>
          <t>111 / 73</t>
        </is>
      </c>
      <c r="L430" t="inlineStr">
        <is>
          <t>12 / 10</t>
        </is>
      </c>
      <c r="M430" s="5" t="n">
        <v>0.6</v>
      </c>
      <c r="N430" s="5" t="n">
        <v>0.55</v>
      </c>
    </row>
    <row r="431">
      <c r="A431" t="n">
        <v>430</v>
      </c>
      <c r="B431" t="n">
        <v>2014</v>
      </c>
      <c r="C431" t="inlineStr">
        <is>
          <t>Grace Wu</t>
        </is>
      </c>
      <c r="D431">
        <f>HYPERLINK("https://ota.tournamentsoftware.com/player-profile/0E55C3D7-7F72-4CDB-9BC3-2D90797931A5", "Link")</f>
        <v/>
      </c>
      <c r="E431" s="3" t="n">
        <v>123.93</v>
      </c>
      <c r="F431" s="4" t="n">
        <v>5</v>
      </c>
      <c r="G431" t="inlineStr">
        <is>
          <t>British Columbia</t>
        </is>
      </c>
      <c r="H431" t="inlineStr">
        <is>
          <t>The Tennis Centre</t>
        </is>
      </c>
      <c r="I431" t="n">
        <v>32.1</v>
      </c>
      <c r="J431" s="4" t="n">
        <v>96</v>
      </c>
      <c r="K431" t="inlineStr">
        <is>
          <t>63 / 33</t>
        </is>
      </c>
      <c r="L431" t="inlineStr">
        <is>
          <t>3 / 4</t>
        </is>
      </c>
      <c r="M431" s="5" t="n">
        <v>0.66</v>
      </c>
      <c r="N431" s="5" t="n">
        <v>0.43</v>
      </c>
    </row>
    <row r="432">
      <c r="A432" t="n">
        <v>431</v>
      </c>
      <c r="B432" t="n">
        <v>2015</v>
      </c>
      <c r="C432" t="inlineStr">
        <is>
          <t>Chloe Zhiyan Bai</t>
        </is>
      </c>
      <c r="D432">
        <f>HYPERLINK("https://ota.tournamentsoftware.com/player-profile/D190414C-9B0E-4001-86BC-CD88F7FCF827", "Link")</f>
        <v/>
      </c>
      <c r="E432" s="3" t="n">
        <v>123.895</v>
      </c>
      <c r="F432" s="4" t="n">
        <v>27</v>
      </c>
      <c r="G432" t="inlineStr">
        <is>
          <t>British Columbia</t>
        </is>
      </c>
      <c r="H432" t="inlineStr">
        <is>
          <t>Tennis BC Hub @ Richmond</t>
        </is>
      </c>
      <c r="I432" t="inlineStr">
        <is>
          <t>unavailable</t>
        </is>
      </c>
      <c r="J432" s="4" t="n">
        <v>176</v>
      </c>
      <c r="K432" t="inlineStr">
        <is>
          <t>81 / 95</t>
        </is>
      </c>
      <c r="L432" t="inlineStr">
        <is>
          <t>28 / 22</t>
        </is>
      </c>
      <c r="M432" s="5" t="n">
        <v>0.46</v>
      </c>
      <c r="N432" s="5" t="n">
        <v>0.5600000000000001</v>
      </c>
    </row>
    <row r="433">
      <c r="A433" t="n">
        <v>432</v>
      </c>
      <c r="B433" t="n">
        <v>2013</v>
      </c>
      <c r="C433" t="inlineStr">
        <is>
          <t>Alyxandra Grace Bellot Wildeman</t>
        </is>
      </c>
      <c r="D433">
        <f>HYPERLINK("https://ota.tournamentsoftware.com/player-profile/E2171261-67FD-4CFA-B4F2-64D9B979CCE5", "Link")</f>
        <v/>
      </c>
      <c r="E433" s="3" t="n">
        <v>122.607</v>
      </c>
      <c r="F433" s="4" t="n">
        <v>12</v>
      </c>
      <c r="G433" t="inlineStr">
        <is>
          <t>British Columbia</t>
        </is>
      </c>
      <c r="H433" t="inlineStr">
        <is>
          <t>Vanguard Tennis Academy</t>
        </is>
      </c>
      <c r="I433" t="n">
        <v>33.8</v>
      </c>
      <c r="J433" s="4" t="n">
        <v>128</v>
      </c>
      <c r="K433" t="inlineStr">
        <is>
          <t>56 / 72</t>
        </is>
      </c>
      <c r="L433" t="inlineStr">
        <is>
          <t>12 / 14</t>
        </is>
      </c>
      <c r="M433" s="5" t="n">
        <v>0.44</v>
      </c>
      <c r="N433" s="5" t="n">
        <v>0.46</v>
      </c>
    </row>
    <row r="434">
      <c r="A434" t="n">
        <v>433</v>
      </c>
      <c r="B434" t="n">
        <v>2014</v>
      </c>
      <c r="C434" t="inlineStr">
        <is>
          <t>Bella Beiqi Zhao</t>
        </is>
      </c>
      <c r="D434">
        <f>HYPERLINK("https://ota.tournamentsoftware.com/player-profile/440C1FD3-B189-4153-99D4-C9B6B43D7D03", "Link")</f>
        <v/>
      </c>
      <c r="E434" s="3" t="n">
        <v>120.871</v>
      </c>
      <c r="F434" s="4" t="n">
        <v>26</v>
      </c>
      <c r="G434" t="inlineStr">
        <is>
          <t>British Columbia</t>
        </is>
      </c>
      <c r="H434" t="inlineStr">
        <is>
          <t>No Club</t>
        </is>
      </c>
      <c r="I434" t="n">
        <v>31.9</v>
      </c>
      <c r="J434" s="4" t="n">
        <v>209</v>
      </c>
      <c r="K434" t="inlineStr">
        <is>
          <t>85 / 124</t>
        </is>
      </c>
      <c r="L434" t="inlineStr">
        <is>
          <t>23 / 24</t>
        </is>
      </c>
      <c r="M434" s="5" t="n">
        <v>0.41</v>
      </c>
      <c r="N434" s="5" t="n">
        <v>0.49</v>
      </c>
    </row>
    <row r="435">
      <c r="A435" t="n">
        <v>434</v>
      </c>
      <c r="B435" t="n">
        <v>2013</v>
      </c>
      <c r="C435" t="inlineStr">
        <is>
          <t>Noa Margaux Dery</t>
        </is>
      </c>
      <c r="D435">
        <f>HYPERLINK("https://ota.tournamentsoftware.com/player-profile/2BE09915-8A78-4187-839F-E3A10E233213", "Link")</f>
        <v/>
      </c>
      <c r="E435" s="3" t="n">
        <v>119.111</v>
      </c>
      <c r="F435" s="4" t="n">
        <v>8</v>
      </c>
      <c r="G435" t="inlineStr">
        <is>
          <t>Tennis Québec</t>
        </is>
      </c>
      <c r="H435" t="inlineStr">
        <is>
          <t>Club Sportif Côte-de-Liesse</t>
        </is>
      </c>
      <c r="I435" t="n">
        <v>35.5</v>
      </c>
      <c r="J435" s="4" t="n">
        <v>39</v>
      </c>
      <c r="K435" t="inlineStr">
        <is>
          <t>14 / 25</t>
        </is>
      </c>
      <c r="L435" t="inlineStr">
        <is>
          <t>7 / 6</t>
        </is>
      </c>
      <c r="M435" s="5" t="n">
        <v>0.36</v>
      </c>
      <c r="N435" s="5" t="n">
        <v>0.54</v>
      </c>
    </row>
    <row r="436">
      <c r="A436" t="n">
        <v>435</v>
      </c>
      <c r="B436" t="n">
        <v>2014</v>
      </c>
      <c r="C436" t="inlineStr">
        <is>
          <t>Ranica Li</t>
        </is>
      </c>
      <c r="D436">
        <f>HYPERLINK("https://ota.tournamentsoftware.com/player-profile/5C189397-D536-4086-AA1D-1AD29C093438", "Link")</f>
        <v/>
      </c>
      <c r="E436" s="3" t="n">
        <v>118.633</v>
      </c>
      <c r="F436" s="4" t="n">
        <v>20</v>
      </c>
      <c r="G436" t="inlineStr">
        <is>
          <t>British Columbia</t>
        </is>
      </c>
      <c r="H436" t="inlineStr">
        <is>
          <t>The Tennis Centre</t>
        </is>
      </c>
      <c r="I436" t="n">
        <v>32.5</v>
      </c>
      <c r="J436" s="4" t="n">
        <v>94</v>
      </c>
      <c r="K436" t="inlineStr">
        <is>
          <t>54 / 40</t>
        </is>
      </c>
      <c r="L436" t="inlineStr">
        <is>
          <t>30 / 17</t>
        </is>
      </c>
      <c r="M436" s="5" t="n">
        <v>0.57</v>
      </c>
      <c r="N436" s="5" t="n">
        <v>0.64</v>
      </c>
    </row>
    <row r="437">
      <c r="A437" t="n">
        <v>436</v>
      </c>
      <c r="B437" t="n">
        <v>2013</v>
      </c>
      <c r="C437" t="inlineStr">
        <is>
          <t>Zaria Antonella Tambini</t>
        </is>
      </c>
      <c r="D437">
        <f>HYPERLINK("https://ota.tournamentsoftware.com/player-profile/92DDE685-2967-4CDD-8CA6-2827E6AC3AEB", "Link")</f>
        <v/>
      </c>
      <c r="E437" s="3" t="n">
        <v>117.899</v>
      </c>
      <c r="F437" s="4" t="n">
        <v>8</v>
      </c>
      <c r="G437" t="inlineStr">
        <is>
          <t>Ontario Tennis Association</t>
        </is>
      </c>
      <c r="H437" t="inlineStr">
        <is>
          <t>Headwaters Racquet Club</t>
        </is>
      </c>
      <c r="I437" t="n">
        <v>38</v>
      </c>
      <c r="J437" s="4" t="n">
        <v>26</v>
      </c>
      <c r="K437" t="inlineStr">
        <is>
          <t>10 / 16</t>
        </is>
      </c>
      <c r="L437" t="inlineStr">
        <is>
          <t>5 / 14</t>
        </is>
      </c>
      <c r="M437" s="5" t="n">
        <v>0.38</v>
      </c>
      <c r="N437" s="5" t="n">
        <v>0.26</v>
      </c>
    </row>
    <row r="438">
      <c r="A438" t="n">
        <v>437</v>
      </c>
      <c r="B438" t="n">
        <v>2016</v>
      </c>
      <c r="C438" t="inlineStr">
        <is>
          <t>Paulina Mangal</t>
        </is>
      </c>
      <c r="D438">
        <f>HYPERLINK("https://ota.tournamentsoftware.com/player-profile/ADDD5986-263D-4338-B6C0-6F72A2AC55F7", "Link")</f>
        <v/>
      </c>
      <c r="E438" s="3" t="n">
        <v>117.826</v>
      </c>
      <c r="F438" s="4" t="n">
        <v>25</v>
      </c>
      <c r="G438" t="inlineStr">
        <is>
          <t>Ontario Tennis Association</t>
        </is>
      </c>
      <c r="H438" t="inlineStr">
        <is>
          <t>Premier Racquet Clubs – Mississauga</t>
        </is>
      </c>
      <c r="I438" t="n">
        <v>36</v>
      </c>
      <c r="J438" s="4" t="n">
        <v>185</v>
      </c>
      <c r="K438" t="inlineStr">
        <is>
          <t>79 / 106</t>
        </is>
      </c>
      <c r="L438" t="inlineStr">
        <is>
          <t>20 / 21</t>
        </is>
      </c>
      <c r="M438" s="5" t="n">
        <v>0.43</v>
      </c>
      <c r="N438" s="5" t="n">
        <v>0.49</v>
      </c>
    </row>
    <row r="439">
      <c r="A439" t="n">
        <v>438</v>
      </c>
      <c r="B439" t="n">
        <v>2015</v>
      </c>
      <c r="C439" t="inlineStr">
        <is>
          <t>Grace Raymond</t>
        </is>
      </c>
      <c r="D439">
        <f>HYPERLINK("https://ota.tournamentsoftware.com/player-profile/879338D5-D59E-4EA6-A8E9-135220F52905", "Link")</f>
        <v/>
      </c>
      <c r="E439" s="3" t="n">
        <v>117.654</v>
      </c>
      <c r="F439" s="4" t="n">
        <v>14</v>
      </c>
      <c r="G439" t="inlineStr">
        <is>
          <t>Tennis Alberta</t>
        </is>
      </c>
      <c r="H439" t="inlineStr">
        <is>
          <t>Osten &amp; Victor Alberta Tennis Centre</t>
        </is>
      </c>
      <c r="I439" t="n">
        <v>35.7</v>
      </c>
      <c r="J439" s="4" t="n">
        <v>69</v>
      </c>
      <c r="K439" t="inlineStr">
        <is>
          <t>30 / 39</t>
        </is>
      </c>
      <c r="L439" t="inlineStr">
        <is>
          <t>5 / 10</t>
        </is>
      </c>
      <c r="M439" s="5" t="n">
        <v>0.43</v>
      </c>
      <c r="N439" s="5" t="n">
        <v>0.33</v>
      </c>
    </row>
    <row r="440">
      <c r="A440" t="n">
        <v>439</v>
      </c>
      <c r="B440" t="n">
        <v>2015</v>
      </c>
      <c r="C440" t="inlineStr">
        <is>
          <t>Emma Plugaru</t>
        </is>
      </c>
      <c r="D440">
        <f>HYPERLINK("https://ota.tournamentsoftware.com/player-profile/A8C9C47A-4B9A-43CD-97A6-5516A6BAA15D", "Link")</f>
        <v/>
      </c>
      <c r="E440" s="3" t="n">
        <v>117.51</v>
      </c>
      <c r="F440" s="4" t="n">
        <v>15</v>
      </c>
      <c r="G440" t="inlineStr">
        <is>
          <t>Tennis Québec</t>
        </is>
      </c>
      <c r="H440" t="inlineStr">
        <is>
          <t>Tennis 13</t>
        </is>
      </c>
      <c r="I440" t="n">
        <v>33.6</v>
      </c>
      <c r="J440" s="4" t="n">
        <v>131</v>
      </c>
      <c r="K440" t="inlineStr">
        <is>
          <t>72 / 59</t>
        </is>
      </c>
      <c r="L440" t="inlineStr">
        <is>
          <t>19 / 10</t>
        </is>
      </c>
      <c r="M440" s="5" t="n">
        <v>0.55</v>
      </c>
      <c r="N440" s="5" t="n">
        <v>0.66</v>
      </c>
    </row>
    <row r="441">
      <c r="A441" t="n">
        <v>440</v>
      </c>
      <c r="B441" t="n">
        <v>2015</v>
      </c>
      <c r="C441" t="inlineStr">
        <is>
          <t>Mia Pan</t>
        </is>
      </c>
      <c r="D441">
        <f>HYPERLINK("https://ota.tournamentsoftware.com/player-profile/AC58096C-5119-4221-95E0-C06E89FC8EFF", "Link")</f>
        <v/>
      </c>
      <c r="E441" s="3" t="n">
        <v>116.37</v>
      </c>
      <c r="F441" s="4" t="n">
        <v>17</v>
      </c>
      <c r="G441" t="inlineStr">
        <is>
          <t>British Columbia</t>
        </is>
      </c>
      <c r="H441" t="inlineStr">
        <is>
          <t>Vanguard Tennis Academy</t>
        </is>
      </c>
      <c r="I441" t="inlineStr">
        <is>
          <t>unavailable</t>
        </is>
      </c>
      <c r="J441" s="4" t="n">
        <v>123</v>
      </c>
      <c r="K441" t="inlineStr">
        <is>
          <t>70 / 53</t>
        </is>
      </c>
      <c r="L441" t="inlineStr">
        <is>
          <t>26 / 19</t>
        </is>
      </c>
      <c r="M441" s="5" t="n">
        <v>0.57</v>
      </c>
      <c r="N441" s="5" t="n">
        <v>0.58</v>
      </c>
    </row>
    <row r="442">
      <c r="A442" t="n">
        <v>441</v>
      </c>
      <c r="B442" t="n">
        <v>2015</v>
      </c>
      <c r="C442" t="inlineStr">
        <is>
          <t>Sofia Bulynko</t>
        </is>
      </c>
      <c r="D442">
        <f>HYPERLINK("https://ota.tournamentsoftware.com/player-profile/88C213E0-0960-44DC-B9B0-66B1ADEE699B", "Link")</f>
        <v/>
      </c>
      <c r="E442" s="3" t="n">
        <v>116.274</v>
      </c>
      <c r="F442" s="4" t="n">
        <v>12</v>
      </c>
      <c r="G442" t="inlineStr">
        <is>
          <t>Ontario Tennis Association</t>
        </is>
      </c>
      <c r="H442" t="inlineStr">
        <is>
          <t>National Tennis School</t>
        </is>
      </c>
      <c r="I442" t="n">
        <v>35.4</v>
      </c>
      <c r="J442" s="4" t="n">
        <v>59</v>
      </c>
      <c r="K442" t="inlineStr">
        <is>
          <t>30 / 29</t>
        </is>
      </c>
      <c r="L442" t="inlineStr">
        <is>
          <t>13 / 12</t>
        </is>
      </c>
      <c r="M442" s="5" t="n">
        <v>0.51</v>
      </c>
      <c r="N442" s="5" t="n">
        <v>0.52</v>
      </c>
    </row>
    <row r="443">
      <c r="A443" t="n">
        <v>442</v>
      </c>
      <c r="B443" t="n">
        <v>2015</v>
      </c>
      <c r="C443" t="inlineStr">
        <is>
          <t>Namasya Nakul</t>
        </is>
      </c>
      <c r="D443">
        <f>HYPERLINK("https://ota.tournamentsoftware.com/player-profile/30AB6566-4805-4DA5-90A9-E6D59F3D0D64", "Link")</f>
        <v/>
      </c>
      <c r="E443" s="3" t="n">
        <v>116.243</v>
      </c>
      <c r="F443" s="4" t="n">
        <v>20</v>
      </c>
      <c r="G443" t="inlineStr">
        <is>
          <t>British Columbia</t>
        </is>
      </c>
      <c r="H443" t="inlineStr">
        <is>
          <t>Richmond Country Club</t>
        </is>
      </c>
      <c r="I443" t="n">
        <v>32.9</v>
      </c>
      <c r="J443" s="4" t="n">
        <v>120</v>
      </c>
      <c r="K443" t="inlineStr">
        <is>
          <t>65 / 55</t>
        </is>
      </c>
      <c r="L443" t="inlineStr">
        <is>
          <t>25 / 19</t>
        </is>
      </c>
      <c r="M443" s="5" t="n">
        <v>0.54</v>
      </c>
      <c r="N443" s="5" t="n">
        <v>0.57</v>
      </c>
    </row>
    <row r="444">
      <c r="A444" t="n">
        <v>443</v>
      </c>
      <c r="B444" t="n">
        <v>2013</v>
      </c>
      <c r="C444" t="inlineStr">
        <is>
          <t>Sofia Anne Brunetto</t>
        </is>
      </c>
      <c r="D444">
        <f>HYPERLINK("https://ota.tournamentsoftware.com/player-profile/C2843F1F-C701-4853-A79C-051450F19D77", "Link")</f>
        <v/>
      </c>
      <c r="E444" s="3" t="n">
        <v>116.084</v>
      </c>
      <c r="F444" s="4" t="n">
        <v>8</v>
      </c>
      <c r="G444" t="inlineStr">
        <is>
          <t>Ontario Tennis Association</t>
        </is>
      </c>
      <c r="H444" t="inlineStr">
        <is>
          <t>Zekelman Tennis Centre</t>
        </is>
      </c>
      <c r="I444" t="n">
        <v>33.8</v>
      </c>
      <c r="J444" s="4" t="n">
        <v>20</v>
      </c>
      <c r="K444" t="inlineStr">
        <is>
          <t>8 / 12</t>
        </is>
      </c>
      <c r="L444" t="inlineStr">
        <is>
          <t>3 / 7</t>
        </is>
      </c>
      <c r="M444" s="5" t="n">
        <v>0.4</v>
      </c>
      <c r="N444" s="5" t="n">
        <v>0.3</v>
      </c>
    </row>
    <row r="445">
      <c r="A445" t="n">
        <v>444</v>
      </c>
      <c r="B445" t="n">
        <v>2013</v>
      </c>
      <c r="C445" t="inlineStr">
        <is>
          <t>Ellie Patricia Wilson</t>
        </is>
      </c>
      <c r="D445">
        <f>HYPERLINK("https://ota.tournamentsoftware.com/player-profile/CB4D2A63-DEA3-4EB8-9085-4317BC39804E", "Link")</f>
        <v/>
      </c>
      <c r="E445" s="3" t="n">
        <v>115.183</v>
      </c>
      <c r="F445" s="4" t="n">
        <v>6</v>
      </c>
      <c r="G445" t="inlineStr">
        <is>
          <t>Ontario Tennis Association</t>
        </is>
      </c>
      <c r="H445" t="inlineStr">
        <is>
          <t>Milton Tennis Club</t>
        </is>
      </c>
      <c r="I445" t="n">
        <v>34.4</v>
      </c>
      <c r="J445" s="4" t="n">
        <v>65</v>
      </c>
      <c r="K445" t="inlineStr">
        <is>
          <t>24 / 41</t>
        </is>
      </c>
      <c r="L445" t="inlineStr">
        <is>
          <t>3 / 4</t>
        </is>
      </c>
      <c r="M445" s="5" t="n">
        <v>0.37</v>
      </c>
      <c r="N445" s="5" t="n">
        <v>0.43</v>
      </c>
    </row>
    <row r="446">
      <c r="A446" t="n">
        <v>445</v>
      </c>
      <c r="B446" t="n">
        <v>2015</v>
      </c>
      <c r="C446" t="inlineStr">
        <is>
          <t>Juliet Lauture</t>
        </is>
      </c>
      <c r="D446">
        <f>HYPERLINK("https://ota.tournamentsoftware.com/player-profile/70FC879C-9BB0-4123-BE70-BCB588C22C80", "Link")</f>
        <v/>
      </c>
      <c r="E446" s="3" t="n">
        <v>114.508</v>
      </c>
      <c r="F446" s="4" t="n">
        <v>24</v>
      </c>
      <c r="G446" t="inlineStr">
        <is>
          <t>Tennis Québec</t>
        </is>
      </c>
      <c r="H446" t="inlineStr">
        <is>
          <t>Club Sportif Côte-de-Liesse</t>
        </is>
      </c>
      <c r="I446" t="n">
        <v>35.4</v>
      </c>
      <c r="J446" s="4" t="n">
        <v>108</v>
      </c>
      <c r="K446" t="inlineStr">
        <is>
          <t>59 / 49</t>
        </is>
      </c>
      <c r="L446" t="inlineStr">
        <is>
          <t>20 / 21</t>
        </is>
      </c>
      <c r="M446" s="5" t="n">
        <v>0.55</v>
      </c>
      <c r="N446" s="5" t="n">
        <v>0.49</v>
      </c>
    </row>
    <row r="447">
      <c r="A447" t="n">
        <v>446</v>
      </c>
      <c r="B447" t="n">
        <v>2015</v>
      </c>
      <c r="C447" t="inlineStr">
        <is>
          <t>Sofia Nasrallah</t>
        </is>
      </c>
      <c r="D447">
        <f>HYPERLINK("https://ota.tournamentsoftware.com/player-profile/FAA88C80-170D-40C3-8A88-6B81077D1F02", "Link")</f>
        <v/>
      </c>
      <c r="E447" s="3" t="n">
        <v>114.42</v>
      </c>
      <c r="F447" s="4" t="n">
        <v>23</v>
      </c>
      <c r="G447" t="inlineStr">
        <is>
          <t>Tennis Québec</t>
        </is>
      </c>
      <c r="H447" t="inlineStr">
        <is>
          <t>Carrefour Multisports</t>
        </is>
      </c>
      <c r="I447" t="n">
        <v>36.8</v>
      </c>
      <c r="J447" s="4" t="n">
        <v>158</v>
      </c>
      <c r="K447" t="inlineStr">
        <is>
          <t>53 / 105</t>
        </is>
      </c>
      <c r="L447" t="inlineStr">
        <is>
          <t>10 / 21</t>
        </is>
      </c>
      <c r="M447" s="5" t="n">
        <v>0.34</v>
      </c>
      <c r="N447" s="5" t="n">
        <v>0.32</v>
      </c>
    </row>
    <row r="448">
      <c r="A448" t="n">
        <v>447</v>
      </c>
      <c r="B448" t="n">
        <v>2016</v>
      </c>
      <c r="C448" t="inlineStr">
        <is>
          <t>Lydia Yinuo Xu</t>
        </is>
      </c>
      <c r="D448">
        <f>HYPERLINK("https://ota.tournamentsoftware.com/player-profile/515F94D6-B979-4BBE-98E6-48CFEF4CE395", "Link")</f>
        <v/>
      </c>
      <c r="E448" s="3" t="n">
        <v>114</v>
      </c>
      <c r="F448" s="4" t="n">
        <v>14</v>
      </c>
      <c r="G448" t="inlineStr">
        <is>
          <t>Ontario Tennis Association</t>
        </is>
      </c>
      <c r="H448" t="inlineStr">
        <is>
          <t>Joshua Creek Golf &amp; Tennis</t>
        </is>
      </c>
      <c r="I448" t="n">
        <v>34.2</v>
      </c>
      <c r="J448" s="4" t="n">
        <v>164</v>
      </c>
      <c r="K448" t="inlineStr">
        <is>
          <t>80 / 84</t>
        </is>
      </c>
      <c r="L448" t="inlineStr">
        <is>
          <t>34 / 14</t>
        </is>
      </c>
      <c r="M448" s="5" t="n">
        <v>0.49</v>
      </c>
      <c r="N448" s="5" t="n">
        <v>0.71</v>
      </c>
    </row>
    <row r="449">
      <c r="A449" t="n">
        <v>448</v>
      </c>
      <c r="B449" t="n">
        <v>2014</v>
      </c>
      <c r="C449" t="inlineStr">
        <is>
          <t>Sarah Gottlieb</t>
        </is>
      </c>
      <c r="D449">
        <f>HYPERLINK("https://ota.tournamentsoftware.com/player-profile/BD51254A-E036-424C-B89A-FB47A73C0DC5", "Link")</f>
        <v/>
      </c>
      <c r="E449" s="3" t="n">
        <v>113.604</v>
      </c>
      <c r="F449" s="4" t="n">
        <v>4</v>
      </c>
      <c r="G449" t="inlineStr">
        <is>
          <t>Tennis Québec</t>
        </is>
      </c>
      <c r="H449" t="inlineStr">
        <is>
          <t>Tennis 13</t>
        </is>
      </c>
      <c r="I449" t="n">
        <v>33.6</v>
      </c>
      <c r="J449" s="4" t="n">
        <v>92</v>
      </c>
      <c r="K449" t="inlineStr">
        <is>
          <t>46 / 46</t>
        </is>
      </c>
      <c r="L449" t="inlineStr">
        <is>
          <t>1 / 2</t>
        </is>
      </c>
      <c r="M449" s="5" t="n">
        <v>0.5</v>
      </c>
      <c r="N449" s="5" t="n">
        <v>0.33</v>
      </c>
    </row>
    <row r="450">
      <c r="A450" t="n">
        <v>449</v>
      </c>
      <c r="B450" t="n">
        <v>2012</v>
      </c>
      <c r="C450" t="inlineStr">
        <is>
          <t>Zeyu (Anne) Xu</t>
        </is>
      </c>
      <c r="D450">
        <f>HYPERLINK("https://ota.tournamentsoftware.com/player-profile/7D4E0E2F-DC2C-4911-BF16-A07E84364BB7", "Link")</f>
        <v/>
      </c>
      <c r="E450" s="3" t="n">
        <v>113.598</v>
      </c>
      <c r="F450" s="4" t="n">
        <v>9</v>
      </c>
      <c r="G450" t="inlineStr">
        <is>
          <t>British Columbia</t>
        </is>
      </c>
      <c r="H450" t="inlineStr">
        <is>
          <t>Tennis BC Hub @ Richmond</t>
        </is>
      </c>
      <c r="I450" t="n">
        <v>34.7</v>
      </c>
      <c r="J450" s="4" t="n">
        <v>109</v>
      </c>
      <c r="K450" t="inlineStr">
        <is>
          <t>26 / 83</t>
        </is>
      </c>
      <c r="L450" t="inlineStr">
        <is>
          <t>4 / 13</t>
        </is>
      </c>
      <c r="M450" s="5" t="n">
        <v>0.24</v>
      </c>
      <c r="N450" s="5" t="n">
        <v>0.24</v>
      </c>
    </row>
    <row r="451">
      <c r="A451" t="n">
        <v>450</v>
      </c>
      <c r="B451" t="n">
        <v>2015</v>
      </c>
      <c r="C451" t="inlineStr">
        <is>
          <t>Misia Ania Pietras</t>
        </is>
      </c>
      <c r="D451">
        <f>HYPERLINK("https://ota.tournamentsoftware.com/player-profile/81A2D044-B79D-4C29-B0B3-9E7AF48F2811", "Link")</f>
        <v/>
      </c>
      <c r="E451" s="3" t="n">
        <v>113.264</v>
      </c>
      <c r="F451" s="4" t="n">
        <v>16</v>
      </c>
      <c r="G451" t="inlineStr">
        <is>
          <t>Ontario Tennis Association</t>
        </is>
      </c>
      <c r="H451" t="inlineStr">
        <is>
          <t>The Tennis School</t>
        </is>
      </c>
      <c r="I451" t="n">
        <v>35.4</v>
      </c>
      <c r="J451" s="4" t="n">
        <v>57</v>
      </c>
      <c r="K451" t="inlineStr">
        <is>
          <t>32 / 25</t>
        </is>
      </c>
      <c r="L451" t="inlineStr">
        <is>
          <t>15 / 10</t>
        </is>
      </c>
      <c r="M451" s="5" t="n">
        <v>0.5600000000000001</v>
      </c>
      <c r="N451" s="5" t="n">
        <v>0.6</v>
      </c>
    </row>
    <row r="452">
      <c r="A452" t="n">
        <v>451</v>
      </c>
      <c r="B452" t="n">
        <v>2013</v>
      </c>
      <c r="C452" t="inlineStr">
        <is>
          <t>Stella Marion Thoms</t>
        </is>
      </c>
      <c r="D452">
        <f>HYPERLINK("https://ota.tournamentsoftware.com/player-profile/26731833-04E0-4736-BC60-733715112E5E", "Link")</f>
        <v/>
      </c>
      <c r="E452" s="3" t="n">
        <v>113.237</v>
      </c>
      <c r="F452" s="4" t="n">
        <v>7</v>
      </c>
      <c r="G452" t="inlineStr">
        <is>
          <t>Tennis Newfoundland &amp; Labrador</t>
        </is>
      </c>
      <c r="H452" t="inlineStr">
        <is>
          <t>Riverdale Tennis Club</t>
        </is>
      </c>
      <c r="I452" t="n">
        <v>33.8</v>
      </c>
      <c r="J452" s="4" t="n">
        <v>48</v>
      </c>
      <c r="K452" t="inlineStr">
        <is>
          <t>28 / 20</t>
        </is>
      </c>
      <c r="L452" t="inlineStr">
        <is>
          <t>8 / 8</t>
        </is>
      </c>
      <c r="M452" s="5" t="n">
        <v>0.58</v>
      </c>
      <c r="N452" s="5" t="n">
        <v>0.5</v>
      </c>
    </row>
    <row r="453">
      <c r="A453" t="n">
        <v>452</v>
      </c>
      <c r="B453" t="n">
        <v>2017</v>
      </c>
      <c r="C453" t="inlineStr">
        <is>
          <t>Amelia Alhakim</t>
        </is>
      </c>
      <c r="D453">
        <f>HYPERLINK("https://ota.tournamentsoftware.com/player-profile/0B954ECB-D503-4C36-BD94-6D389AF0D202", "Link")</f>
        <v/>
      </c>
      <c r="E453" s="3" t="n">
        <v>112.68</v>
      </c>
      <c r="F453" s="4" t="n">
        <v>14</v>
      </c>
      <c r="G453" t="inlineStr">
        <is>
          <t>Ontario Tennis Association</t>
        </is>
      </c>
      <c r="H453" t="inlineStr">
        <is>
          <t>Zekelman Tennis Centre</t>
        </is>
      </c>
      <c r="I453" t="n">
        <v>32.8</v>
      </c>
      <c r="J453" s="4" t="n">
        <v>43</v>
      </c>
      <c r="K453" t="inlineStr">
        <is>
          <t>25 / 18</t>
        </is>
      </c>
      <c r="L453" t="inlineStr">
        <is>
          <t>21 / 13</t>
        </is>
      </c>
      <c r="M453" s="5" t="n">
        <v>0.58</v>
      </c>
      <c r="N453" s="5" t="n">
        <v>0.62</v>
      </c>
    </row>
    <row r="454">
      <c r="A454" t="n">
        <v>453</v>
      </c>
      <c r="B454" t="n">
        <v>2014</v>
      </c>
      <c r="C454" t="inlineStr">
        <is>
          <t>Maxine Andrea Subsuban</t>
        </is>
      </c>
      <c r="D454">
        <f>HYPERLINK("https://ota.tournamentsoftware.com/player-profile/330D8089-39D5-4A22-8596-8BAAF8D4E02E", "Link")</f>
        <v/>
      </c>
      <c r="E454" s="3" t="n">
        <v>112.585</v>
      </c>
      <c r="F454" s="4" t="n">
        <v>10</v>
      </c>
      <c r="G454" t="inlineStr">
        <is>
          <t>Tennis Alberta</t>
        </is>
      </c>
      <c r="H454" t="inlineStr">
        <is>
          <t>Osten &amp; Victor Alberta Tennis Centre</t>
        </is>
      </c>
      <c r="I454" t="inlineStr">
        <is>
          <t>unavailable</t>
        </is>
      </c>
      <c r="J454" s="4" t="n">
        <v>103</v>
      </c>
      <c r="K454" t="inlineStr">
        <is>
          <t>42 / 61</t>
        </is>
      </c>
      <c r="L454" t="inlineStr">
        <is>
          <t>8 / 10</t>
        </is>
      </c>
      <c r="M454" s="5" t="n">
        <v>0.41</v>
      </c>
      <c r="N454" s="5" t="n">
        <v>0.44</v>
      </c>
    </row>
    <row r="455">
      <c r="A455" t="n">
        <v>454</v>
      </c>
      <c r="B455" t="n">
        <v>2015</v>
      </c>
      <c r="C455" t="inlineStr">
        <is>
          <t>Arianna Marquez</t>
        </is>
      </c>
      <c r="D455">
        <f>HYPERLINK("https://ota.tournamentsoftware.com/player-profile/ABB23AE3-6EC2-498B-AA4D-BB89BCBF0088", "Link")</f>
        <v/>
      </c>
      <c r="E455" s="3" t="n">
        <v>112.229</v>
      </c>
      <c r="F455" s="4" t="n">
        <v>16</v>
      </c>
      <c r="G455" t="inlineStr">
        <is>
          <t>Tennis Alberta</t>
        </is>
      </c>
      <c r="H455" t="inlineStr">
        <is>
          <t>Saville Community Sports Centre</t>
        </is>
      </c>
      <c r="I455" t="n">
        <v>33.6</v>
      </c>
      <c r="J455" s="4" t="n">
        <v>141</v>
      </c>
      <c r="K455" t="inlineStr">
        <is>
          <t>90 / 51</t>
        </is>
      </c>
      <c r="L455" t="inlineStr">
        <is>
          <t>14 / 17</t>
        </is>
      </c>
      <c r="M455" s="5" t="n">
        <v>0.64</v>
      </c>
      <c r="N455" s="5" t="n">
        <v>0.45</v>
      </c>
    </row>
    <row r="456">
      <c r="A456" t="n">
        <v>455</v>
      </c>
      <c r="B456" t="n">
        <v>2012</v>
      </c>
      <c r="C456" t="inlineStr">
        <is>
          <t>Isabella Sofia Zrnic</t>
        </is>
      </c>
      <c r="D456">
        <f>HYPERLINK("https://ota.tournamentsoftware.com/player-profile/C8963CF4-1E95-43AF-B92C-08778B2BA616", "Link")</f>
        <v/>
      </c>
      <c r="E456" s="3" t="n">
        <v>112.046</v>
      </c>
      <c r="F456" s="4" t="n">
        <v>11</v>
      </c>
      <c r="G456" t="inlineStr">
        <is>
          <t>Ontario Tennis Association</t>
        </is>
      </c>
      <c r="H456" t="inlineStr">
        <is>
          <t>Lawrence Park Tennis Club</t>
        </is>
      </c>
      <c r="I456" t="n">
        <v>35.5</v>
      </c>
      <c r="J456" s="4" t="n">
        <v>66</v>
      </c>
      <c r="K456" t="inlineStr">
        <is>
          <t>27 / 39</t>
        </is>
      </c>
      <c r="L456" t="inlineStr">
        <is>
          <t>6 / 9</t>
        </is>
      </c>
      <c r="M456" s="5" t="n">
        <v>0.41</v>
      </c>
      <c r="N456" s="5" t="n">
        <v>0.4</v>
      </c>
    </row>
    <row r="457">
      <c r="A457" t="n">
        <v>456</v>
      </c>
      <c r="B457" t="n">
        <v>2015</v>
      </c>
      <c r="C457" t="inlineStr">
        <is>
          <t>Anna Guzina-McLeod</t>
        </is>
      </c>
      <c r="D457">
        <f>HYPERLINK("https://ota.tournamentsoftware.com/player-profile/55F5BC4F-092C-4C72-BFDC-3F60E618D778", "Link")</f>
        <v/>
      </c>
      <c r="E457" s="3" t="n">
        <v>110.416</v>
      </c>
      <c r="F457" s="4" t="n">
        <v>18</v>
      </c>
      <c r="G457" t="inlineStr">
        <is>
          <t>Ontario Tennis Association</t>
        </is>
      </c>
      <c r="H457" t="inlineStr">
        <is>
          <t>Rideau Sports Centre</t>
        </is>
      </c>
      <c r="I457" t="inlineStr">
        <is>
          <t>unavailable</t>
        </is>
      </c>
      <c r="J457" s="4" t="n">
        <v>119</v>
      </c>
      <c r="K457" t="inlineStr">
        <is>
          <t>69 / 50</t>
        </is>
      </c>
      <c r="L457" t="inlineStr">
        <is>
          <t>13 / 17</t>
        </is>
      </c>
      <c r="M457" s="5" t="n">
        <v>0.58</v>
      </c>
      <c r="N457" s="5" t="n">
        <v>0.43</v>
      </c>
    </row>
    <row r="458">
      <c r="A458" t="n">
        <v>457</v>
      </c>
      <c r="B458" t="n">
        <v>2013</v>
      </c>
      <c r="C458" t="inlineStr">
        <is>
          <t>LeeZann Lai</t>
        </is>
      </c>
      <c r="D458">
        <f>HYPERLINK("https://ota.tournamentsoftware.com/player-profile/F653FB3B-D606-4799-98B3-B9B8F7D1D120", "Link")</f>
        <v/>
      </c>
      <c r="E458" s="3" t="n">
        <v>110.16</v>
      </c>
      <c r="F458" s="4" t="n">
        <v>13</v>
      </c>
      <c r="G458" t="inlineStr">
        <is>
          <t>Ontario Tennis Association</t>
        </is>
      </c>
      <c r="H458" t="inlineStr">
        <is>
          <t>Don Mills Tennis Club</t>
        </is>
      </c>
      <c r="I458" t="n">
        <v>34.8</v>
      </c>
      <c r="J458" s="4" t="n">
        <v>54</v>
      </c>
      <c r="K458" t="inlineStr">
        <is>
          <t>22 / 32</t>
        </is>
      </c>
      <c r="L458" t="inlineStr">
        <is>
          <t>6 / 12</t>
        </is>
      </c>
      <c r="M458" s="5" t="n">
        <v>0.41</v>
      </c>
      <c r="N458" s="5" t="n">
        <v>0.33</v>
      </c>
    </row>
    <row r="459">
      <c r="A459" t="n">
        <v>458</v>
      </c>
      <c r="B459" t="n">
        <v>2013</v>
      </c>
      <c r="C459" t="inlineStr">
        <is>
          <t>Kaylie Kam</t>
        </is>
      </c>
      <c r="D459">
        <f>HYPERLINK("https://ota.tournamentsoftware.com/player-profile/29B7928E-12B2-4691-8B4A-1DE557B4F068", "Link")</f>
        <v/>
      </c>
      <c r="E459" s="3" t="n">
        <v>109.745</v>
      </c>
      <c r="F459" s="4" t="n">
        <v>15</v>
      </c>
      <c r="G459" t="inlineStr">
        <is>
          <t>Ontario Tennis Association</t>
        </is>
      </c>
      <c r="H459" t="inlineStr">
        <is>
          <t>Blackmore Tennis Club</t>
        </is>
      </c>
      <c r="I459" t="n">
        <v>33.8</v>
      </c>
      <c r="J459" s="4" t="n">
        <v>60</v>
      </c>
      <c r="K459" t="inlineStr">
        <is>
          <t>39 / 21</t>
        </is>
      </c>
      <c r="L459" t="inlineStr">
        <is>
          <t>13 / 13</t>
        </is>
      </c>
      <c r="M459" s="5" t="n">
        <v>0.65</v>
      </c>
      <c r="N459" s="5" t="n">
        <v>0.5</v>
      </c>
    </row>
    <row r="460">
      <c r="A460" t="n">
        <v>459</v>
      </c>
      <c r="B460" t="n">
        <v>2015</v>
      </c>
      <c r="C460" t="inlineStr">
        <is>
          <t>Mila Venturelli</t>
        </is>
      </c>
      <c r="D460">
        <f>HYPERLINK("https://ota.tournamentsoftware.com/player-profile/BCA3B83C-81C0-4469-B3DA-4E3234E6CA0A", "Link")</f>
        <v/>
      </c>
      <c r="E460" s="3" t="n">
        <v>109.646</v>
      </c>
      <c r="F460" s="4" t="n">
        <v>21</v>
      </c>
      <c r="G460" t="inlineStr">
        <is>
          <t>Tennis Québec</t>
        </is>
      </c>
      <c r="H460" t="inlineStr">
        <is>
          <t>Tennis 13</t>
        </is>
      </c>
      <c r="I460" t="n">
        <v>37</v>
      </c>
      <c r="J460" s="4" t="n">
        <v>91</v>
      </c>
      <c r="K460" t="inlineStr">
        <is>
          <t>37 / 54</t>
        </is>
      </c>
      <c r="L460" t="inlineStr">
        <is>
          <t>9 / 17</t>
        </is>
      </c>
      <c r="M460" s="5" t="n">
        <v>0.41</v>
      </c>
      <c r="N460" s="5" t="n">
        <v>0.35</v>
      </c>
    </row>
    <row r="461">
      <c r="A461" t="n">
        <v>460</v>
      </c>
      <c r="B461" t="n">
        <v>2012</v>
      </c>
      <c r="C461" t="inlineStr">
        <is>
          <t>Rachael Qing Xu</t>
        </is>
      </c>
      <c r="D461">
        <f>HYPERLINK("https://ota.tournamentsoftware.com/player-profile/EF0FB6C4-F27A-45FB-BD75-3C3F4D9EF188", "Link")</f>
        <v/>
      </c>
      <c r="E461" s="3" t="n">
        <v>108.876</v>
      </c>
      <c r="F461" s="4" t="n">
        <v>2</v>
      </c>
      <c r="G461" t="inlineStr">
        <is>
          <t>Ontario Tennis Association</t>
        </is>
      </c>
      <c r="H461" t="inlineStr">
        <is>
          <t>Rosedale Tennis Club (Hamilton)</t>
        </is>
      </c>
      <c r="I461" t="n">
        <v>37.3</v>
      </c>
      <c r="J461" s="4" t="n">
        <v>55</v>
      </c>
      <c r="K461" t="inlineStr">
        <is>
          <t>20 / 35</t>
        </is>
      </c>
      <c r="L461" t="inlineStr">
        <is>
          <t>0 / 0</t>
        </is>
      </c>
      <c r="M461" s="5" t="n">
        <v>0.36</v>
      </c>
      <c r="N461" s="5" t="n">
        <v>0</v>
      </c>
    </row>
    <row r="462">
      <c r="A462" t="n">
        <v>461</v>
      </c>
      <c r="B462" t="n">
        <v>2014</v>
      </c>
      <c r="C462" t="inlineStr">
        <is>
          <t>SHANAYA CHAUDHARY</t>
        </is>
      </c>
      <c r="D462">
        <f>HYPERLINK("https://ota.tournamentsoftware.com/player-profile/72814258-2663-4B9E-9EB1-0A804D79578E", "Link")</f>
        <v/>
      </c>
      <c r="E462" s="3" t="n">
        <v>107.581</v>
      </c>
      <c r="F462" s="4" t="n">
        <v>11</v>
      </c>
      <c r="G462" t="inlineStr">
        <is>
          <t>Ontario Tennis Association</t>
        </is>
      </c>
      <c r="H462" t="inlineStr">
        <is>
          <t>Waterloo Tennis Club</t>
        </is>
      </c>
      <c r="I462" t="inlineStr">
        <is>
          <t>unavailable</t>
        </is>
      </c>
      <c r="J462" s="4" t="n">
        <v>26</v>
      </c>
      <c r="K462" t="inlineStr">
        <is>
          <t>16 / 10</t>
        </is>
      </c>
      <c r="L462" t="inlineStr">
        <is>
          <t>12 / 7</t>
        </is>
      </c>
      <c r="M462" s="5" t="n">
        <v>0.62</v>
      </c>
      <c r="N462" s="5" t="n">
        <v>0.63</v>
      </c>
    </row>
    <row r="463">
      <c r="A463" t="n">
        <v>462</v>
      </c>
      <c r="B463" t="n">
        <v>2013</v>
      </c>
      <c r="C463" t="inlineStr">
        <is>
          <t>Murphy Mofei Gao</t>
        </is>
      </c>
      <c r="D463">
        <f>HYPERLINK("https://ota.tournamentsoftware.com/player-profile/64A4B4DB-7753-451A-A411-16FC49084860", "Link")</f>
        <v/>
      </c>
      <c r="E463" s="3" t="n">
        <v>107.489</v>
      </c>
      <c r="F463" s="4" t="n">
        <v>17</v>
      </c>
      <c r="G463" t="inlineStr">
        <is>
          <t>British Columbia</t>
        </is>
      </c>
      <c r="H463" t="inlineStr">
        <is>
          <t>No Club</t>
        </is>
      </c>
      <c r="I463" t="n">
        <v>37.4</v>
      </c>
      <c r="J463" s="4" t="n">
        <v>141</v>
      </c>
      <c r="K463" t="inlineStr">
        <is>
          <t>19 / 122</t>
        </is>
      </c>
      <c r="L463" t="inlineStr">
        <is>
          <t>4 / 26</t>
        </is>
      </c>
      <c r="M463" s="5" t="n">
        <v>0.13</v>
      </c>
      <c r="N463" s="5" t="n">
        <v>0.13</v>
      </c>
    </row>
    <row r="464">
      <c r="A464" t="n">
        <v>463</v>
      </c>
      <c r="B464" t="n">
        <v>2014</v>
      </c>
      <c r="C464" t="inlineStr">
        <is>
          <t>Emily Ke</t>
        </is>
      </c>
      <c r="D464">
        <f>HYPERLINK("https://ota.tournamentsoftware.com/player-profile/D0843107-5FBA-4EB4-8781-B60B5E7E1319", "Link")</f>
        <v/>
      </c>
      <c r="E464" s="3" t="n">
        <v>107.414</v>
      </c>
      <c r="F464" s="4" t="n">
        <v>16</v>
      </c>
      <c r="G464" t="inlineStr">
        <is>
          <t>Ontario Tennis Association</t>
        </is>
      </c>
      <c r="H464" t="inlineStr">
        <is>
          <t>Mayfair East Racquet Club</t>
        </is>
      </c>
      <c r="I464" t="n">
        <v>35.2</v>
      </c>
      <c r="J464" s="4" t="n">
        <v>109</v>
      </c>
      <c r="K464" t="inlineStr">
        <is>
          <t>38 / 71</t>
        </is>
      </c>
      <c r="L464" t="inlineStr">
        <is>
          <t>4 / 7</t>
        </is>
      </c>
      <c r="M464" s="5" t="n">
        <v>0.35</v>
      </c>
      <c r="N464" s="5" t="n">
        <v>0.36</v>
      </c>
    </row>
    <row r="465">
      <c r="A465" t="n">
        <v>464</v>
      </c>
      <c r="B465" t="n">
        <v>2013</v>
      </c>
      <c r="C465" t="inlineStr">
        <is>
          <t>Darcia Rabezandriny</t>
        </is>
      </c>
      <c r="D465">
        <f>HYPERLINK("https://ota.tournamentsoftware.com/player-profile/52069260-9644-4FA6-A8E4-10B4E037765E", "Link")</f>
        <v/>
      </c>
      <c r="E465" s="3" t="n">
        <v>106.769</v>
      </c>
      <c r="F465" s="4" t="n">
        <v>8</v>
      </c>
      <c r="G465" t="inlineStr">
        <is>
          <t>Tennis Québec</t>
        </is>
      </c>
      <c r="H465" t="inlineStr">
        <is>
          <t>AA Autre club</t>
        </is>
      </c>
      <c r="I465" t="n">
        <v>34.6</v>
      </c>
      <c r="J465" s="4" t="n">
        <v>157</v>
      </c>
      <c r="K465" t="inlineStr">
        <is>
          <t>82 / 75</t>
        </is>
      </c>
      <c r="L465" t="inlineStr">
        <is>
          <t>7 / 8</t>
        </is>
      </c>
      <c r="M465" s="5" t="n">
        <v>0.52</v>
      </c>
      <c r="N465" s="5" t="n">
        <v>0.47</v>
      </c>
    </row>
    <row r="466">
      <c r="A466" t="n">
        <v>465</v>
      </c>
      <c r="B466" t="n">
        <v>2013</v>
      </c>
      <c r="C466" t="inlineStr">
        <is>
          <t>Khaliya Karim</t>
        </is>
      </c>
      <c r="D466">
        <f>HYPERLINK("https://ota.tournamentsoftware.com/player-profile/3982667F-BB84-4AC0-B470-E67D90581DB9", "Link")</f>
        <v/>
      </c>
      <c r="E466" s="3" t="n">
        <v>106.257</v>
      </c>
      <c r="F466" s="4" t="n">
        <v>19</v>
      </c>
      <c r="G466" t="inlineStr">
        <is>
          <t>British Columbia</t>
        </is>
      </c>
      <c r="H466" t="inlineStr">
        <is>
          <t>Arbutus Club</t>
        </is>
      </c>
      <c r="I466" t="n">
        <v>35.3</v>
      </c>
      <c r="J466" s="4" t="n">
        <v>90</v>
      </c>
      <c r="K466" t="inlineStr">
        <is>
          <t>18 / 72</t>
        </is>
      </c>
      <c r="L466" t="inlineStr">
        <is>
          <t>14 / 25</t>
        </is>
      </c>
      <c r="M466" s="5" t="n">
        <v>0.2</v>
      </c>
      <c r="N466" s="5" t="n">
        <v>0.36</v>
      </c>
    </row>
    <row r="467">
      <c r="A467" t="n">
        <v>466</v>
      </c>
      <c r="B467" t="n">
        <v>2014</v>
      </c>
      <c r="C467" t="inlineStr">
        <is>
          <t>Abigail Curilscaia</t>
        </is>
      </c>
      <c r="D467">
        <f>HYPERLINK("https://ota.tournamentsoftware.com/player-profile/275CB740-D9DB-4B51-8864-93A2F0D91A3B", "Link")</f>
        <v/>
      </c>
      <c r="E467" s="3" t="n">
        <v>105.422</v>
      </c>
      <c r="F467" s="4" t="n">
        <v>13</v>
      </c>
      <c r="G467" t="inlineStr">
        <is>
          <t>Tennis Alberta</t>
        </is>
      </c>
      <c r="H467" t="inlineStr">
        <is>
          <t>Aforza</t>
        </is>
      </c>
      <c r="I467" t="n">
        <v>32</v>
      </c>
      <c r="J467" s="4" t="n">
        <v>91</v>
      </c>
      <c r="K467" t="inlineStr">
        <is>
          <t>40 / 51</t>
        </is>
      </c>
      <c r="L467" t="inlineStr">
        <is>
          <t>17 / 10</t>
        </is>
      </c>
      <c r="M467" s="5" t="n">
        <v>0.44</v>
      </c>
      <c r="N467" s="5" t="n">
        <v>0.63</v>
      </c>
    </row>
    <row r="468">
      <c r="A468" t="n">
        <v>467</v>
      </c>
      <c r="B468" t="n">
        <v>2014</v>
      </c>
      <c r="C468" t="inlineStr">
        <is>
          <t>Ananya Rao</t>
        </is>
      </c>
      <c r="D468">
        <f>HYPERLINK("https://ota.tournamentsoftware.com/player-profile/D12578BD-BDAF-471D-B53C-09B281C916CB", "Link")</f>
        <v/>
      </c>
      <c r="E468" s="3" t="n">
        <v>102.512</v>
      </c>
      <c r="F468" s="4" t="n">
        <v>15</v>
      </c>
      <c r="G468" t="inlineStr">
        <is>
          <t>Ontario Tennis Association</t>
        </is>
      </c>
      <c r="H468" t="inlineStr">
        <is>
          <t>Carleton Tennis Centre</t>
        </is>
      </c>
      <c r="I468" t="n">
        <v>36.9</v>
      </c>
      <c r="J468" s="4" t="n">
        <v>93</v>
      </c>
      <c r="K468" t="inlineStr">
        <is>
          <t>29 / 64</t>
        </is>
      </c>
      <c r="L468" t="inlineStr">
        <is>
          <t>6 / 9</t>
        </is>
      </c>
      <c r="M468" s="5" t="n">
        <v>0.31</v>
      </c>
      <c r="N468" s="5" t="n">
        <v>0.4</v>
      </c>
    </row>
    <row r="469">
      <c r="A469" t="n">
        <v>468</v>
      </c>
      <c r="B469" t="n">
        <v>2013</v>
      </c>
      <c r="C469" t="inlineStr">
        <is>
          <t>Isabelle Duvinage</t>
        </is>
      </c>
      <c r="D469">
        <f>HYPERLINK("https://ota.tournamentsoftware.com/player-profile/7B9DB032-AD8C-41C5-A138-CF844016B7C1", "Link")</f>
        <v/>
      </c>
      <c r="E469" s="3" t="n">
        <v>102.511</v>
      </c>
      <c r="F469" s="4" t="n">
        <v>7</v>
      </c>
      <c r="G469" t="inlineStr">
        <is>
          <t>Ontario Tennis Association</t>
        </is>
      </c>
      <c r="H469" t="inlineStr">
        <is>
          <t>Kew Gardens Tennis Club</t>
        </is>
      </c>
      <c r="I469" t="n">
        <v>38</v>
      </c>
      <c r="J469" s="4" t="n">
        <v>40</v>
      </c>
      <c r="K469" t="inlineStr">
        <is>
          <t>12 / 28</t>
        </is>
      </c>
      <c r="L469" t="inlineStr">
        <is>
          <t>1 / 8</t>
        </is>
      </c>
      <c r="M469" s="5" t="n">
        <v>0.3</v>
      </c>
      <c r="N469" s="5" t="n">
        <v>0.11</v>
      </c>
    </row>
    <row r="470">
      <c r="A470" t="n">
        <v>469</v>
      </c>
      <c r="B470" t="n">
        <v>2014</v>
      </c>
      <c r="C470" t="inlineStr">
        <is>
          <t>Scarlett Habeebkutty</t>
        </is>
      </c>
      <c r="D470">
        <f>HYPERLINK("https://ota.tournamentsoftware.com/player-profile/B3E7011D-10BF-4CEB-9D49-F24BAE1BE1A2", "Link")</f>
        <v/>
      </c>
      <c r="E470" s="3" t="n">
        <v>102.277</v>
      </c>
      <c r="F470" s="4" t="n">
        <v>5</v>
      </c>
      <c r="G470" t="inlineStr">
        <is>
          <t>Tennis Saskatchewan</t>
        </is>
      </c>
      <c r="H470" t="inlineStr">
        <is>
          <t>Lakeshore Tennis Club</t>
        </is>
      </c>
      <c r="I470" t="n">
        <v>40</v>
      </c>
      <c r="J470" s="4" t="n">
        <v>14</v>
      </c>
      <c r="K470" t="inlineStr">
        <is>
          <t>0 / 14</t>
        </is>
      </c>
      <c r="L470" t="inlineStr">
        <is>
          <t>0 / 14</t>
        </is>
      </c>
      <c r="M470" s="5" t="n">
        <v>0</v>
      </c>
      <c r="N470" s="5" t="n">
        <v>0</v>
      </c>
    </row>
    <row r="471">
      <c r="A471" t="n">
        <v>470</v>
      </c>
      <c r="B471" t="n">
        <v>2016</v>
      </c>
      <c r="C471" t="inlineStr">
        <is>
          <t>Kassidy, Chin Yau Lau</t>
        </is>
      </c>
      <c r="D471">
        <f>HYPERLINK("https://ota.tournamentsoftware.com/player-profile/725BC980-EB67-418A-9A78-144DF7D7CE7E", "Link")</f>
        <v/>
      </c>
      <c r="E471" s="3" t="n">
        <v>102</v>
      </c>
      <c r="F471" s="4" t="n">
        <v>24</v>
      </c>
      <c r="G471" t="inlineStr">
        <is>
          <t>Ontario Tennis Association</t>
        </is>
      </c>
      <c r="H471" t="inlineStr">
        <is>
          <t>No Club</t>
        </is>
      </c>
      <c r="I471" t="n">
        <v>34.5</v>
      </c>
      <c r="J471" s="4" t="n">
        <v>62</v>
      </c>
      <c r="K471" t="inlineStr">
        <is>
          <t>37 / 25</t>
        </is>
      </c>
      <c r="L471" t="inlineStr">
        <is>
          <t>37 / 25</t>
        </is>
      </c>
      <c r="M471" s="5" t="n">
        <v>0.6</v>
      </c>
      <c r="N471" s="5" t="n">
        <v>0.6</v>
      </c>
    </row>
    <row r="472">
      <c r="A472" t="n">
        <v>471</v>
      </c>
      <c r="B472" t="n">
        <v>2012</v>
      </c>
      <c r="C472" t="inlineStr">
        <is>
          <t>Karolina Klepinin</t>
        </is>
      </c>
      <c r="D472">
        <f>HYPERLINK("https://ota.tournamentsoftware.com/player-profile/A0474BDB-A63B-423A-90FB-FAAA726E2052", "Link")</f>
        <v/>
      </c>
      <c r="E472" s="3" t="n">
        <v>101.212</v>
      </c>
      <c r="F472" s="4" t="n">
        <v>6</v>
      </c>
      <c r="G472" t="inlineStr">
        <is>
          <t>Ontario Tennis Association</t>
        </is>
      </c>
      <c r="H472" t="inlineStr">
        <is>
          <t>ON North Central No Club</t>
        </is>
      </c>
      <c r="I472" t="n">
        <v>36.4</v>
      </c>
      <c r="J472" s="4" t="n">
        <v>54</v>
      </c>
      <c r="K472" t="inlineStr">
        <is>
          <t>14 / 40</t>
        </is>
      </c>
      <c r="L472" t="inlineStr">
        <is>
          <t>3 / 9</t>
        </is>
      </c>
      <c r="M472" s="5" t="n">
        <v>0.26</v>
      </c>
      <c r="N472" s="5" t="n">
        <v>0.25</v>
      </c>
    </row>
    <row r="473">
      <c r="A473" t="n">
        <v>472</v>
      </c>
      <c r="B473" t="n">
        <v>2012</v>
      </c>
      <c r="C473" t="inlineStr">
        <is>
          <t>aashka vishal devaiya</t>
        </is>
      </c>
      <c r="D473">
        <f>HYPERLINK("https://ota.tournamentsoftware.com/player-profile/99C1CB63-E70E-4FB5-A115-3A252251FA67", "Link")</f>
        <v/>
      </c>
      <c r="E473" s="3" t="n">
        <v>100.829</v>
      </c>
      <c r="F473" s="4" t="n">
        <v>1</v>
      </c>
      <c r="G473" t="inlineStr">
        <is>
          <t>British Columbia</t>
        </is>
      </c>
      <c r="H473" t="inlineStr">
        <is>
          <t>No Club</t>
        </is>
      </c>
      <c r="I473" t="inlineStr">
        <is>
          <t>unavailable</t>
        </is>
      </c>
      <c r="J473" s="4" t="n">
        <v>3</v>
      </c>
      <c r="K473" t="inlineStr">
        <is>
          <t>2 / 1</t>
        </is>
      </c>
      <c r="L473" t="inlineStr">
        <is>
          <t>2 / 1</t>
        </is>
      </c>
      <c r="M473" s="5" t="n">
        <v>0.67</v>
      </c>
      <c r="N473" s="5" t="n">
        <v>0.67</v>
      </c>
    </row>
    <row r="474">
      <c r="A474" t="n">
        <v>473</v>
      </c>
      <c r="B474" t="n">
        <v>2013</v>
      </c>
      <c r="C474" t="inlineStr">
        <is>
          <t>Hengxi Celine Du</t>
        </is>
      </c>
      <c r="D474">
        <f>HYPERLINK("https://ota.tournamentsoftware.com/player-profile/7011B5E4-06D4-4830-95A3-18CF46BE4ED0", "Link")</f>
        <v/>
      </c>
      <c r="E474" s="3" t="n">
        <v>100.366</v>
      </c>
      <c r="F474" s="4" t="n">
        <v>4</v>
      </c>
      <c r="G474" t="inlineStr">
        <is>
          <t>Ontario Tennis Association</t>
        </is>
      </c>
      <c r="H474" t="inlineStr">
        <is>
          <t>Premier Racquet Clubs – Mississauga</t>
        </is>
      </c>
      <c r="I474" t="inlineStr">
        <is>
          <t>unavailable</t>
        </is>
      </c>
      <c r="J474" s="4" t="n">
        <v>25</v>
      </c>
      <c r="K474" t="inlineStr">
        <is>
          <t>9 / 16</t>
        </is>
      </c>
      <c r="L474" t="inlineStr">
        <is>
          <t>8 / 9</t>
        </is>
      </c>
      <c r="M474" s="5" t="n">
        <v>0.36</v>
      </c>
      <c r="N474" s="5" t="n">
        <v>0.47</v>
      </c>
    </row>
    <row r="475">
      <c r="A475" t="n">
        <v>474</v>
      </c>
      <c r="B475" t="n">
        <v>2012</v>
      </c>
      <c r="C475" t="inlineStr">
        <is>
          <t>ONYEKACHUKWU MAGDALENE OGBATUE</t>
        </is>
      </c>
      <c r="D475">
        <f>HYPERLINK("https://ota.tournamentsoftware.com/player-profile/34FAC6AA-945B-40B3-BDE9-3F8B4198659B", "Link")</f>
        <v/>
      </c>
      <c r="E475" s="3" t="n">
        <v>99.878</v>
      </c>
      <c r="F475" s="4" t="n">
        <v>6</v>
      </c>
      <c r="G475" t="inlineStr">
        <is>
          <t>Ontario Tennis Association</t>
        </is>
      </c>
      <c r="H475" t="inlineStr">
        <is>
          <t>Matchpoint Tennis</t>
        </is>
      </c>
      <c r="I475" t="n">
        <v>35.6</v>
      </c>
      <c r="J475" s="4" t="n">
        <v>18</v>
      </c>
      <c r="K475" t="inlineStr">
        <is>
          <t>11 / 7</t>
        </is>
      </c>
      <c r="L475" t="inlineStr">
        <is>
          <t>11 / 7</t>
        </is>
      </c>
      <c r="M475" s="5" t="n">
        <v>0.61</v>
      </c>
      <c r="N475" s="5" t="n">
        <v>0.61</v>
      </c>
    </row>
    <row r="476">
      <c r="A476" t="n">
        <v>475</v>
      </c>
      <c r="B476" t="n">
        <v>2012</v>
      </c>
      <c r="C476" t="inlineStr">
        <is>
          <t>Emma Fedeyko</t>
        </is>
      </c>
      <c r="D476">
        <f>HYPERLINK("https://ota.tournamentsoftware.com/player-profile/62E06657-0480-40D7-B491-B99DA20E11DF", "Link")</f>
        <v/>
      </c>
      <c r="E476" s="3" t="n">
        <v>99.619</v>
      </c>
      <c r="F476" s="4" t="n">
        <v>8</v>
      </c>
      <c r="G476" t="inlineStr">
        <is>
          <t>Ontario Tennis Association</t>
        </is>
      </c>
      <c r="H476" t="inlineStr">
        <is>
          <t>Ontario Racquet Club</t>
        </is>
      </c>
      <c r="I476" t="n">
        <v>35.5</v>
      </c>
      <c r="J476" s="4" t="n">
        <v>53</v>
      </c>
      <c r="K476" t="inlineStr">
        <is>
          <t>19 / 34</t>
        </is>
      </c>
      <c r="L476" t="inlineStr">
        <is>
          <t>3 / 6</t>
        </is>
      </c>
      <c r="M476" s="5" t="n">
        <v>0.36</v>
      </c>
      <c r="N476" s="5" t="n">
        <v>0.33</v>
      </c>
    </row>
    <row r="477">
      <c r="A477" t="n">
        <v>476</v>
      </c>
      <c r="B477" t="n">
        <v>2015</v>
      </c>
      <c r="C477" t="inlineStr">
        <is>
          <t>Kaliya Summer Miserre-Garrecht</t>
        </is>
      </c>
      <c r="D477">
        <f>HYPERLINK("https://ota.tournamentsoftware.com/player-profile/C178309B-9B10-4C79-99B5-DD8E37FCC1EF", "Link")</f>
        <v/>
      </c>
      <c r="E477" s="3" t="n">
        <v>99.33799999999999</v>
      </c>
      <c r="F477" s="4" t="n">
        <v>23</v>
      </c>
      <c r="G477" t="inlineStr">
        <is>
          <t>British Columbia</t>
        </is>
      </c>
      <c r="H477" t="inlineStr">
        <is>
          <t>Vanguard Tennis Academy</t>
        </is>
      </c>
      <c r="I477" t="n">
        <v>36</v>
      </c>
      <c r="J477" s="4" t="n">
        <v>140</v>
      </c>
      <c r="K477" t="inlineStr">
        <is>
          <t>61 / 79</t>
        </is>
      </c>
      <c r="L477" t="inlineStr">
        <is>
          <t>16 / 26</t>
        </is>
      </c>
      <c r="M477" s="5" t="n">
        <v>0.44</v>
      </c>
      <c r="N477" s="5" t="n">
        <v>0.38</v>
      </c>
    </row>
    <row r="478">
      <c r="A478" t="n">
        <v>477</v>
      </c>
      <c r="B478" t="n">
        <v>2014</v>
      </c>
      <c r="C478" t="inlineStr">
        <is>
          <t>Chloe Esther Yeung</t>
        </is>
      </c>
      <c r="D478">
        <f>HYPERLINK("https://ota.tournamentsoftware.com/player-profile/A0100B59-21FE-4244-87C6-16B2DE0DBB96", "Link")</f>
        <v/>
      </c>
      <c r="E478" s="3" t="n">
        <v>99.27800000000001</v>
      </c>
      <c r="F478" s="4" t="n">
        <v>11</v>
      </c>
      <c r="G478" t="inlineStr">
        <is>
          <t>Ontario Tennis Association</t>
        </is>
      </c>
      <c r="H478" t="inlineStr">
        <is>
          <t>Mayfair East Racquet Club</t>
        </is>
      </c>
      <c r="I478" t="n">
        <v>36.6</v>
      </c>
      <c r="J478" s="4" t="n">
        <v>106</v>
      </c>
      <c r="K478" t="inlineStr">
        <is>
          <t>45 / 61</t>
        </is>
      </c>
      <c r="L478" t="inlineStr">
        <is>
          <t>3 / 9</t>
        </is>
      </c>
      <c r="M478" s="5" t="n">
        <v>0.42</v>
      </c>
      <c r="N478" s="5" t="n">
        <v>0.25</v>
      </c>
    </row>
    <row r="479">
      <c r="A479" t="n">
        <v>478</v>
      </c>
      <c r="B479" t="n">
        <v>2012</v>
      </c>
      <c r="C479" t="inlineStr">
        <is>
          <t>Emily Lyn</t>
        </is>
      </c>
      <c r="D479">
        <f>HYPERLINK("https://ota.tournamentsoftware.com/player-profile/952E408B-05E4-4A69-8AAE-E4D164512A9E", "Link")</f>
        <v/>
      </c>
      <c r="E479" s="3" t="n">
        <v>98.52</v>
      </c>
      <c r="F479" s="4" t="n">
        <v>8</v>
      </c>
      <c r="G479" t="inlineStr">
        <is>
          <t>Ontario Tennis Association</t>
        </is>
      </c>
      <c r="H479" t="inlineStr">
        <is>
          <t>Markham Tennis Club</t>
        </is>
      </c>
      <c r="I479" t="n">
        <v>36.1</v>
      </c>
      <c r="J479" s="4" t="n">
        <v>103</v>
      </c>
      <c r="K479" t="inlineStr">
        <is>
          <t>61 / 42</t>
        </is>
      </c>
      <c r="L479" t="inlineStr">
        <is>
          <t>5 / 6</t>
        </is>
      </c>
      <c r="M479" s="5" t="n">
        <v>0.59</v>
      </c>
      <c r="N479" s="5" t="n">
        <v>0.45</v>
      </c>
    </row>
    <row r="480">
      <c r="A480" t="n">
        <v>479</v>
      </c>
      <c r="B480" t="n">
        <v>2014</v>
      </c>
      <c r="C480" t="inlineStr">
        <is>
          <t>Avril Kymber Lin</t>
        </is>
      </c>
      <c r="D480">
        <f>HYPERLINK("https://ota.tournamentsoftware.com/player-profile/6CFCC91C-A66C-46B5-8430-D2D78CE3EE4B", "Link")</f>
        <v/>
      </c>
      <c r="E480" s="3" t="n">
        <v>98.492</v>
      </c>
      <c r="F480" s="4" t="n">
        <v>13</v>
      </c>
      <c r="G480" t="inlineStr">
        <is>
          <t>Tennis Alberta</t>
        </is>
      </c>
      <c r="H480" t="inlineStr">
        <is>
          <t>Brookside Court &amp; Wellness</t>
        </is>
      </c>
      <c r="I480" t="inlineStr">
        <is>
          <t>unavailable</t>
        </is>
      </c>
      <c r="J480" s="4" t="n">
        <v>101</v>
      </c>
      <c r="K480" t="inlineStr">
        <is>
          <t>40 / 61</t>
        </is>
      </c>
      <c r="L480" t="inlineStr">
        <is>
          <t>10 / 16</t>
        </is>
      </c>
      <c r="M480" s="5" t="n">
        <v>0.4</v>
      </c>
      <c r="N480" s="5" t="n">
        <v>0.38</v>
      </c>
    </row>
    <row r="481">
      <c r="A481" t="n">
        <v>480</v>
      </c>
      <c r="B481" t="n">
        <v>2012</v>
      </c>
      <c r="C481" t="inlineStr">
        <is>
          <t>Alice Le</t>
        </is>
      </c>
      <c r="D481">
        <f>HYPERLINK("https://ota.tournamentsoftware.com/player-profile/762C717D-CB5B-4A61-877E-C235D5E4911F", "Link")</f>
        <v/>
      </c>
      <c r="E481" s="3" t="n">
        <v>98.04000000000001</v>
      </c>
      <c r="F481" s="4" t="n">
        <v>3</v>
      </c>
      <c r="G481" t="inlineStr">
        <is>
          <t>British Columbia</t>
        </is>
      </c>
      <c r="H481" t="inlineStr">
        <is>
          <t>City of Vancouver</t>
        </is>
      </c>
      <c r="I481" t="inlineStr">
        <is>
          <t>unavailable</t>
        </is>
      </c>
      <c r="J481" s="4" t="n">
        <v>10</v>
      </c>
      <c r="K481" t="inlineStr">
        <is>
          <t>7 / 3</t>
        </is>
      </c>
      <c r="L481" t="inlineStr">
        <is>
          <t>1 / 1</t>
        </is>
      </c>
      <c r="M481" s="5" t="n">
        <v>0.7</v>
      </c>
      <c r="N481" s="5" t="n">
        <v>0.5</v>
      </c>
    </row>
    <row r="482">
      <c r="A482" t="n">
        <v>481</v>
      </c>
      <c r="B482" t="n">
        <v>2013</v>
      </c>
      <c r="C482" t="inlineStr">
        <is>
          <t>Julia Anne Kennedy</t>
        </is>
      </c>
      <c r="D482">
        <f>HYPERLINK("https://ota.tournamentsoftware.com/player-profile/82DF6D3D-A382-4764-B57C-0EA44A762022", "Link")</f>
        <v/>
      </c>
      <c r="E482" s="3" t="n">
        <v>97.88</v>
      </c>
      <c r="F482" s="4" t="n">
        <v>2</v>
      </c>
      <c r="G482" t="inlineStr">
        <is>
          <t>Ontario Tennis Association</t>
        </is>
      </c>
      <c r="H482" t="inlineStr">
        <is>
          <t>SmartVMC Racquetsports by ACE</t>
        </is>
      </c>
      <c r="I482" t="n">
        <v>32.2</v>
      </c>
      <c r="J482" s="4" t="n">
        <v>147</v>
      </c>
      <c r="K482" t="inlineStr">
        <is>
          <t>71 / 76</t>
        </is>
      </c>
      <c r="L482" t="inlineStr">
        <is>
          <t>5 / 1</t>
        </is>
      </c>
      <c r="M482" s="5" t="n">
        <v>0.48</v>
      </c>
      <c r="N482" s="5" t="n">
        <v>0.83</v>
      </c>
    </row>
    <row r="483">
      <c r="A483" t="n">
        <v>482</v>
      </c>
      <c r="B483" t="n">
        <v>2014</v>
      </c>
      <c r="C483" t="inlineStr">
        <is>
          <t>Sarah Huang</t>
        </is>
      </c>
      <c r="D483">
        <f>HYPERLINK("https://ota.tournamentsoftware.com/player-profile/535A9ABE-481C-45C4-9357-B8FD9305232E", "Link")</f>
        <v/>
      </c>
      <c r="E483" s="3" t="n">
        <v>97.762</v>
      </c>
      <c r="F483" s="4" t="n">
        <v>15</v>
      </c>
      <c r="G483" t="inlineStr">
        <is>
          <t>Ontario Tennis Association</t>
        </is>
      </c>
      <c r="H483" t="inlineStr">
        <is>
          <t>Premier Racquet Club - Markham</t>
        </is>
      </c>
      <c r="I483" t="n">
        <v>35.3</v>
      </c>
      <c r="J483" s="4" t="n">
        <v>116</v>
      </c>
      <c r="K483" t="inlineStr">
        <is>
          <t>40 / 76</t>
        </is>
      </c>
      <c r="L483" t="inlineStr">
        <is>
          <t>6 / 9</t>
        </is>
      </c>
      <c r="M483" s="5" t="n">
        <v>0.34</v>
      </c>
      <c r="N483" s="5" t="n">
        <v>0.4</v>
      </c>
    </row>
    <row r="484">
      <c r="A484" t="n">
        <v>483</v>
      </c>
      <c r="B484" t="n">
        <v>2015</v>
      </c>
      <c r="C484" t="inlineStr">
        <is>
          <t>Violet Ton-That</t>
        </is>
      </c>
      <c r="D484">
        <f>HYPERLINK("https://ota.tournamentsoftware.com/player-profile/2832D590-1D78-4B7F-B573-E2D932040ADB", "Link")</f>
        <v/>
      </c>
      <c r="E484" s="3" t="n">
        <v>96.917</v>
      </c>
      <c r="F484" s="4" t="n">
        <v>10</v>
      </c>
      <c r="G484" t="inlineStr">
        <is>
          <t>Tennis Québec</t>
        </is>
      </c>
      <c r="H484" t="inlineStr">
        <is>
          <t>Tennis Montréal Excellence</t>
        </is>
      </c>
      <c r="I484" t="n">
        <v>35.7</v>
      </c>
      <c r="J484" s="4" t="n">
        <v>63</v>
      </c>
      <c r="K484" t="inlineStr">
        <is>
          <t>29 / 34</t>
        </is>
      </c>
      <c r="L484" t="inlineStr">
        <is>
          <t>8 / 10</t>
        </is>
      </c>
      <c r="M484" s="5" t="n">
        <v>0.46</v>
      </c>
      <c r="N484" s="5" t="n">
        <v>0.44</v>
      </c>
    </row>
    <row r="485">
      <c r="A485" t="n">
        <v>484</v>
      </c>
      <c r="B485" t="n">
        <v>2012</v>
      </c>
      <c r="C485" t="inlineStr">
        <is>
          <t>Emily Zhang</t>
        </is>
      </c>
      <c r="D485">
        <f>HYPERLINK("https://ota.tournamentsoftware.com/player-profile/927E8E34-8FE2-4B37-81C7-621F5326585C", "Link")</f>
        <v/>
      </c>
      <c r="E485" s="3" t="n">
        <v>96.367</v>
      </c>
      <c r="F485" s="4" t="n">
        <v>6</v>
      </c>
      <c r="G485" t="inlineStr">
        <is>
          <t>Ontario Tennis Association</t>
        </is>
      </c>
      <c r="H485" t="inlineStr">
        <is>
          <t>Blackmore Tennis Club</t>
        </is>
      </c>
      <c r="I485" t="inlineStr">
        <is>
          <t>unavailable</t>
        </is>
      </c>
      <c r="J485" s="4" t="n">
        <v>48</v>
      </c>
      <c r="K485" t="inlineStr">
        <is>
          <t>10 / 38</t>
        </is>
      </c>
      <c r="L485" t="inlineStr">
        <is>
          <t>1 / 3</t>
        </is>
      </c>
      <c r="M485" s="5" t="n">
        <v>0.21</v>
      </c>
      <c r="N485" s="5" t="n">
        <v>0.25</v>
      </c>
    </row>
    <row r="486">
      <c r="A486" t="n">
        <v>485</v>
      </c>
      <c r="B486" t="n">
        <v>2015</v>
      </c>
      <c r="C486" t="inlineStr">
        <is>
          <t>Serena Wepadam CHONGATERA</t>
        </is>
      </c>
      <c r="D486">
        <f>HYPERLINK("https://ota.tournamentsoftware.com/player-profile/32A446CD-0BF6-43CA-BCC5-9AE4AEDFD5BE", "Link")</f>
        <v/>
      </c>
      <c r="E486" s="3" t="n">
        <v>95.923</v>
      </c>
      <c r="F486" s="4" t="n">
        <v>5</v>
      </c>
      <c r="G486" t="inlineStr">
        <is>
          <t>Tennis Nova Scotia</t>
        </is>
      </c>
      <c r="H486" t="inlineStr">
        <is>
          <t>HEADSTART</t>
        </is>
      </c>
      <c r="I486" t="n">
        <v>37.6</v>
      </c>
      <c r="J486" s="4" t="n">
        <v>22</v>
      </c>
      <c r="K486" t="inlineStr">
        <is>
          <t>8 / 14</t>
        </is>
      </c>
      <c r="L486" t="inlineStr">
        <is>
          <t>3 / 10</t>
        </is>
      </c>
      <c r="M486" s="5" t="n">
        <v>0.36</v>
      </c>
      <c r="N486" s="5" t="n">
        <v>0.23</v>
      </c>
    </row>
    <row r="487">
      <c r="A487" t="n">
        <v>486</v>
      </c>
      <c r="B487" t="n">
        <v>2014</v>
      </c>
      <c r="C487" t="inlineStr">
        <is>
          <t>Zoey Folashakin</t>
        </is>
      </c>
      <c r="D487">
        <f>HYPERLINK("https://ota.tournamentsoftware.com/player-profile/3301B942-3C8E-4FE4-9470-6F68EC47669D", "Link")</f>
        <v/>
      </c>
      <c r="E487" s="3" t="n">
        <v>95.544</v>
      </c>
      <c r="F487" s="4" t="n">
        <v>22</v>
      </c>
      <c r="G487" t="inlineStr">
        <is>
          <t>Ontario Tennis Association</t>
        </is>
      </c>
      <c r="H487" t="inlineStr">
        <is>
          <t>Joshua Creek Golf &amp; Tennis</t>
        </is>
      </c>
      <c r="I487" t="n">
        <v>36.5</v>
      </c>
      <c r="J487" s="4" t="n">
        <v>70</v>
      </c>
      <c r="K487" t="inlineStr">
        <is>
          <t>15 / 55</t>
        </is>
      </c>
      <c r="L487" t="inlineStr">
        <is>
          <t>11 / 16</t>
        </is>
      </c>
      <c r="M487" s="5" t="n">
        <v>0.21</v>
      </c>
      <c r="N487" s="5" t="n">
        <v>0.41</v>
      </c>
    </row>
    <row r="488">
      <c r="A488" t="n">
        <v>487</v>
      </c>
      <c r="B488" t="n">
        <v>2013</v>
      </c>
      <c r="C488" t="inlineStr">
        <is>
          <t>Chelsea Yuxin Lan</t>
        </is>
      </c>
      <c r="D488">
        <f>HYPERLINK("https://ota.tournamentsoftware.com/player-profile/D861FE8B-CCB2-4222-BA9C-EBD5C1FECE32", "Link")</f>
        <v/>
      </c>
      <c r="E488" s="3" t="n">
        <v>95.095</v>
      </c>
      <c r="F488" s="4" t="n">
        <v>16</v>
      </c>
      <c r="G488" t="inlineStr">
        <is>
          <t>British Columbia</t>
        </is>
      </c>
      <c r="H488" t="inlineStr">
        <is>
          <t>Hollyburn Country Club</t>
        </is>
      </c>
      <c r="I488" t="inlineStr">
        <is>
          <t>unavailable</t>
        </is>
      </c>
      <c r="J488" s="4" t="n">
        <v>117</v>
      </c>
      <c r="K488" t="inlineStr">
        <is>
          <t>34 / 83</t>
        </is>
      </c>
      <c r="L488" t="inlineStr">
        <is>
          <t>2 / 20</t>
        </is>
      </c>
      <c r="M488" s="5" t="n">
        <v>0.29</v>
      </c>
      <c r="N488" s="5" t="n">
        <v>0.09</v>
      </c>
    </row>
    <row r="489">
      <c r="A489" t="n">
        <v>488</v>
      </c>
      <c r="B489" t="n">
        <v>2012</v>
      </c>
      <c r="C489" t="inlineStr">
        <is>
          <t>Tiana Amede-Bramwell</t>
        </is>
      </c>
      <c r="D489">
        <f>HYPERLINK("https://ota.tournamentsoftware.com/player-profile/BC31A25D-C48C-47FD-A0A3-D600EA315675", "Link")</f>
        <v/>
      </c>
      <c r="E489" s="3" t="n">
        <v>94.053</v>
      </c>
      <c r="F489" s="4" t="n">
        <v>11</v>
      </c>
      <c r="G489" t="inlineStr">
        <is>
          <t>Ontario Tennis Association</t>
        </is>
      </c>
      <c r="H489" t="inlineStr">
        <is>
          <t>Credit Valley Tennis Club</t>
        </is>
      </c>
      <c r="I489" t="n">
        <v>39.5</v>
      </c>
      <c r="J489" s="4" t="n">
        <v>40</v>
      </c>
      <c r="K489" t="inlineStr">
        <is>
          <t>8 / 32</t>
        </is>
      </c>
      <c r="L489" t="inlineStr">
        <is>
          <t>8 / 29</t>
        </is>
      </c>
      <c r="M489" s="5" t="n">
        <v>0.2</v>
      </c>
      <c r="N489" s="5" t="n">
        <v>0.22</v>
      </c>
    </row>
    <row r="490">
      <c r="A490" t="n">
        <v>489</v>
      </c>
      <c r="B490" t="n">
        <v>2016</v>
      </c>
      <c r="C490" t="inlineStr">
        <is>
          <t>Chenlin Wang</t>
        </is>
      </c>
      <c r="D490">
        <f>HYPERLINK("https://ota.tournamentsoftware.com/player-profile/9F8A5A74-B5B7-41F1-A513-DA87D68CAFFE", "Link")</f>
        <v/>
      </c>
      <c r="E490" s="3" t="n">
        <v>93.539</v>
      </c>
      <c r="F490" s="4" t="n">
        <v>30</v>
      </c>
      <c r="G490" t="inlineStr">
        <is>
          <t>British Columbia</t>
        </is>
      </c>
      <c r="H490" t="inlineStr">
        <is>
          <t>Aura Tennis Academy</t>
        </is>
      </c>
      <c r="I490" t="inlineStr">
        <is>
          <t>unavailable</t>
        </is>
      </c>
      <c r="J490" s="4" t="n">
        <v>162</v>
      </c>
      <c r="K490" t="inlineStr">
        <is>
          <t>89 / 73</t>
        </is>
      </c>
      <c r="L490" t="inlineStr">
        <is>
          <t>37 / 24</t>
        </is>
      </c>
      <c r="M490" s="5" t="n">
        <v>0.55</v>
      </c>
      <c r="N490" s="5" t="n">
        <v>0.61</v>
      </c>
    </row>
    <row r="491">
      <c r="A491" t="n">
        <v>490</v>
      </c>
      <c r="B491" t="n">
        <v>2015</v>
      </c>
      <c r="C491" t="inlineStr">
        <is>
          <t>Joey Wu</t>
        </is>
      </c>
      <c r="D491">
        <f>HYPERLINK("https://ota.tournamentsoftware.com/player-profile/5271198B-7814-4938-9A9E-61E10CC7CCA6", "Link")</f>
        <v/>
      </c>
      <c r="E491" s="3" t="n">
        <v>92.84</v>
      </c>
      <c r="F491" s="4" t="n">
        <v>26</v>
      </c>
      <c r="G491" t="inlineStr">
        <is>
          <t>British Columbia</t>
        </is>
      </c>
      <c r="H491" t="inlineStr">
        <is>
          <t>City of Richmond</t>
        </is>
      </c>
      <c r="I491" t="inlineStr">
        <is>
          <t>unavailable</t>
        </is>
      </c>
      <c r="J491" s="4" t="n">
        <v>123</v>
      </c>
      <c r="K491" t="inlineStr">
        <is>
          <t>73 / 50</t>
        </is>
      </c>
      <c r="L491" t="inlineStr">
        <is>
          <t>18 / 26</t>
        </is>
      </c>
      <c r="M491" s="5" t="n">
        <v>0.59</v>
      </c>
      <c r="N491" s="5" t="n">
        <v>0.41</v>
      </c>
    </row>
    <row r="492">
      <c r="A492" t="n">
        <v>491</v>
      </c>
      <c r="B492" t="n">
        <v>2015</v>
      </c>
      <c r="C492" t="inlineStr">
        <is>
          <t>Olivia An Yi Ta</t>
        </is>
      </c>
      <c r="D492">
        <f>HYPERLINK("https://ota.tournamentsoftware.com/player-profile/F718058C-465B-4AEB-BACA-80FE5B3917B6", "Link")</f>
        <v/>
      </c>
      <c r="E492" s="3" t="n">
        <v>92.791</v>
      </c>
      <c r="F492" s="4" t="n">
        <v>14</v>
      </c>
      <c r="G492" t="inlineStr">
        <is>
          <t>Ontario Tennis Association</t>
        </is>
      </c>
      <c r="H492" t="inlineStr">
        <is>
          <t>Lambton Golf &amp; Country Club</t>
        </is>
      </c>
      <c r="I492" t="inlineStr">
        <is>
          <t>unavailable</t>
        </is>
      </c>
      <c r="J492" s="4" t="n">
        <v>67</v>
      </c>
      <c r="K492" t="inlineStr">
        <is>
          <t>18 / 49</t>
        </is>
      </c>
      <c r="L492" t="inlineStr">
        <is>
          <t>9 / 11</t>
        </is>
      </c>
      <c r="M492" s="5" t="n">
        <v>0.27</v>
      </c>
      <c r="N492" s="5" t="n">
        <v>0.45</v>
      </c>
    </row>
    <row r="493">
      <c r="A493" t="n">
        <v>492</v>
      </c>
      <c r="B493" t="n">
        <v>2014</v>
      </c>
      <c r="C493" t="inlineStr">
        <is>
          <t>cataleya florina zadarojnea</t>
        </is>
      </c>
      <c r="D493">
        <f>HYPERLINK("https://ota.tournamentsoftware.com/player-profile/EAEB7B00-5E1C-47F6-8FF3-1537E07A8B59", "Link")</f>
        <v/>
      </c>
      <c r="E493" s="3" t="n">
        <v>92.57599999999999</v>
      </c>
      <c r="F493" s="4" t="n">
        <v>25</v>
      </c>
      <c r="G493" t="inlineStr">
        <is>
          <t>Ontario Tennis Association</t>
        </is>
      </c>
      <c r="H493" t="inlineStr">
        <is>
          <t>Premier Racquet Clubs – Mississauga</t>
        </is>
      </c>
      <c r="I493" t="n">
        <v>37.4</v>
      </c>
      <c r="J493" s="4" t="n">
        <v>39</v>
      </c>
      <c r="K493" t="inlineStr">
        <is>
          <t>13 / 26</t>
        </is>
      </c>
      <c r="L493" t="inlineStr">
        <is>
          <t>9 / 19</t>
        </is>
      </c>
      <c r="M493" s="5" t="n">
        <v>0.33</v>
      </c>
      <c r="N493" s="5" t="n">
        <v>0.32</v>
      </c>
    </row>
    <row r="494">
      <c r="A494" t="n">
        <v>493</v>
      </c>
      <c r="B494" t="n">
        <v>2016</v>
      </c>
      <c r="C494" t="inlineStr">
        <is>
          <t>Ziqi Yu</t>
        </is>
      </c>
      <c r="D494">
        <f>HYPERLINK("https://ota.tournamentsoftware.com/player-profile/89FEB2A7-669B-4D40-A67D-54016F42DA82", "Link")</f>
        <v/>
      </c>
      <c r="E494" s="3" t="n">
        <v>92.40000000000001</v>
      </c>
      <c r="F494" s="4" t="n">
        <v>19</v>
      </c>
      <c r="G494" t="inlineStr">
        <is>
          <t>Ontario Tennis Association</t>
        </is>
      </c>
      <c r="H494" t="inlineStr">
        <is>
          <t>Blackmore Tennis Club</t>
        </is>
      </c>
      <c r="I494" t="n">
        <v>34</v>
      </c>
      <c r="J494" s="4" t="n">
        <v>104</v>
      </c>
      <c r="K494" t="inlineStr">
        <is>
          <t>68 / 36</t>
        </is>
      </c>
      <c r="L494" t="inlineStr">
        <is>
          <t>32 / 17</t>
        </is>
      </c>
      <c r="M494" s="5" t="n">
        <v>0.65</v>
      </c>
      <c r="N494" s="5" t="n">
        <v>0.65</v>
      </c>
    </row>
    <row r="495">
      <c r="A495" t="n">
        <v>494</v>
      </c>
      <c r="B495" t="n">
        <v>2015</v>
      </c>
      <c r="C495" t="inlineStr">
        <is>
          <t>zhiyi li</t>
        </is>
      </c>
      <c r="D495">
        <f>HYPERLINK("https://ota.tournamentsoftware.com/player-profile/262E56E9-3220-45C2-961D-ACE763C5C345", "Link")</f>
        <v/>
      </c>
      <c r="E495" s="3" t="n">
        <v>91.584</v>
      </c>
      <c r="F495" s="4" t="n">
        <v>11</v>
      </c>
      <c r="G495" t="inlineStr">
        <is>
          <t>Ontario Tennis Association</t>
        </is>
      </c>
      <c r="H495" t="inlineStr">
        <is>
          <t>Rideau Sports Centre</t>
        </is>
      </c>
      <c r="I495" t="n">
        <v>34.9</v>
      </c>
      <c r="J495" s="4" t="n">
        <v>89</v>
      </c>
      <c r="K495" t="inlineStr">
        <is>
          <t>47 / 42</t>
        </is>
      </c>
      <c r="L495" t="inlineStr">
        <is>
          <t>11 / 12</t>
        </is>
      </c>
      <c r="M495" s="5" t="n">
        <v>0.53</v>
      </c>
      <c r="N495" s="5" t="n">
        <v>0.48</v>
      </c>
    </row>
    <row r="496">
      <c r="A496" t="n">
        <v>495</v>
      </c>
      <c r="B496" t="n">
        <v>2013</v>
      </c>
      <c r="C496" t="inlineStr">
        <is>
          <t>Aditi Varma</t>
        </is>
      </c>
      <c r="D496">
        <f>HYPERLINK("https://ota.tournamentsoftware.com/player-profile/EE1E4950-6BCE-4CAA-921A-C5201D737DFF", "Link")</f>
        <v/>
      </c>
      <c r="E496" s="3" t="n">
        <v>91.402</v>
      </c>
      <c r="F496" s="4" t="n">
        <v>8</v>
      </c>
      <c r="G496" t="inlineStr">
        <is>
          <t>Ontario Tennis Association</t>
        </is>
      </c>
      <c r="H496" t="inlineStr">
        <is>
          <t>Ontario Racquet Club</t>
        </is>
      </c>
      <c r="I496" t="n">
        <v>35</v>
      </c>
      <c r="J496" s="4" t="n">
        <v>87</v>
      </c>
      <c r="K496" t="inlineStr">
        <is>
          <t>26 / 61</t>
        </is>
      </c>
      <c r="L496" t="inlineStr">
        <is>
          <t>2 / 5</t>
        </is>
      </c>
      <c r="M496" s="5" t="n">
        <v>0.3</v>
      </c>
      <c r="N496" s="5" t="n">
        <v>0.29</v>
      </c>
    </row>
    <row r="497">
      <c r="A497" t="n">
        <v>496</v>
      </c>
      <c r="B497" t="n">
        <v>2014</v>
      </c>
      <c r="C497" t="inlineStr">
        <is>
          <t>Olivia Hesse</t>
        </is>
      </c>
      <c r="D497">
        <f>HYPERLINK("https://ota.tournamentsoftware.com/player-profile/18AF6D11-FB26-470D-81A9-00DC98F16884", "Link")</f>
        <v/>
      </c>
      <c r="E497" s="3" t="n">
        <v>91.059</v>
      </c>
      <c r="F497" s="4" t="n">
        <v>12</v>
      </c>
      <c r="G497" t="inlineStr">
        <is>
          <t>Ontario Tennis Association</t>
        </is>
      </c>
      <c r="H497" t="inlineStr">
        <is>
          <t>Boulevard Club</t>
        </is>
      </c>
      <c r="I497" t="n">
        <v>36.4</v>
      </c>
      <c r="J497" s="4" t="n">
        <v>66</v>
      </c>
      <c r="K497" t="inlineStr">
        <is>
          <t>26 / 40</t>
        </is>
      </c>
      <c r="L497" t="inlineStr">
        <is>
          <t>8 / 11</t>
        </is>
      </c>
      <c r="M497" s="5" t="n">
        <v>0.39</v>
      </c>
      <c r="N497" s="5" t="n">
        <v>0.42</v>
      </c>
    </row>
    <row r="498">
      <c r="A498" t="n">
        <v>497</v>
      </c>
      <c r="B498" t="n">
        <v>2014</v>
      </c>
      <c r="C498" t="inlineStr">
        <is>
          <t>Maylis Ilmane</t>
        </is>
      </c>
      <c r="D498">
        <f>HYPERLINK("https://ota.tournamentsoftware.com/player-profile/8AD3E1E2-82F0-490F-B772-6E9AA24959CC", "Link")</f>
        <v/>
      </c>
      <c r="E498" s="3" t="n">
        <v>90.08799999999999</v>
      </c>
      <c r="F498" s="4" t="n">
        <v>9</v>
      </c>
      <c r="G498" t="inlineStr">
        <is>
          <t>Tennis Québec</t>
        </is>
      </c>
      <c r="H498" t="inlineStr">
        <is>
          <t>Centre récréatif de Repentigny / Académie Tennis Momentum</t>
        </is>
      </c>
      <c r="I498" t="n">
        <v>35.4</v>
      </c>
      <c r="J498" s="4" t="n">
        <v>60</v>
      </c>
      <c r="K498" t="inlineStr">
        <is>
          <t>25 / 35</t>
        </is>
      </c>
      <c r="L498" t="inlineStr">
        <is>
          <t>7 / 6</t>
        </is>
      </c>
      <c r="M498" s="5" t="n">
        <v>0.42</v>
      </c>
      <c r="N498" s="5" t="n">
        <v>0.54</v>
      </c>
    </row>
    <row r="499">
      <c r="A499" t="n">
        <v>498</v>
      </c>
      <c r="B499" t="n">
        <v>2015</v>
      </c>
      <c r="C499" t="inlineStr">
        <is>
          <t>Larissa Bulynko</t>
        </is>
      </c>
      <c r="D499">
        <f>HYPERLINK("https://ota.tournamentsoftware.com/player-profile/387B3C19-006B-446B-A1CE-226F349C0C24", "Link")</f>
        <v/>
      </c>
      <c r="E499" s="3" t="n">
        <v>89.874</v>
      </c>
      <c r="F499" s="4" t="n">
        <v>13</v>
      </c>
      <c r="G499" t="inlineStr">
        <is>
          <t>Ontario Tennis Association</t>
        </is>
      </c>
      <c r="H499" t="inlineStr">
        <is>
          <t>National Tennis School</t>
        </is>
      </c>
      <c r="I499" t="n">
        <v>36.9</v>
      </c>
      <c r="J499" s="4" t="n">
        <v>59</v>
      </c>
      <c r="K499" t="inlineStr">
        <is>
          <t>23 / 36</t>
        </is>
      </c>
      <c r="L499" t="inlineStr">
        <is>
          <t>8 / 13</t>
        </is>
      </c>
      <c r="M499" s="5" t="n">
        <v>0.39</v>
      </c>
      <c r="N499" s="5" t="n">
        <v>0.38</v>
      </c>
    </row>
    <row r="500">
      <c r="A500" t="n">
        <v>499</v>
      </c>
      <c r="B500" t="n">
        <v>2013</v>
      </c>
      <c r="C500" t="inlineStr">
        <is>
          <t>Victoria maya Carinci</t>
        </is>
      </c>
      <c r="D500">
        <f>HYPERLINK("https://ota.tournamentsoftware.com/player-profile/767AAF86-8D36-4699-8113-86AA6DA60CE4", "Link")</f>
        <v/>
      </c>
      <c r="E500" s="3" t="n">
        <v>88.83499999999999</v>
      </c>
      <c r="F500" s="4" t="n">
        <v>12</v>
      </c>
      <c r="G500" t="inlineStr">
        <is>
          <t>Ontario Tennis Association</t>
        </is>
      </c>
      <c r="H500" t="inlineStr">
        <is>
          <t>Concord Tennis Academy</t>
        </is>
      </c>
      <c r="I500" t="n">
        <v>39.3</v>
      </c>
      <c r="J500" s="4" t="n">
        <v>40</v>
      </c>
      <c r="K500" t="inlineStr">
        <is>
          <t>9 / 31</t>
        </is>
      </c>
      <c r="L500" t="inlineStr">
        <is>
          <t>1 / 10</t>
        </is>
      </c>
      <c r="M500" s="5" t="n">
        <v>0.23</v>
      </c>
      <c r="N500" s="5" t="n">
        <v>0.09</v>
      </c>
    </row>
    <row r="501">
      <c r="A501" t="n">
        <v>500</v>
      </c>
      <c r="B501" t="n">
        <v>2012</v>
      </c>
      <c r="C501" t="inlineStr">
        <is>
          <t>Aaisha Rathod</t>
        </is>
      </c>
      <c r="D501">
        <f>HYPERLINK("https://ota.tournamentsoftware.com/player-profile/3CFF2AC0-C5A1-461F-91D3-0CD8EAFC5609", "Link")</f>
        <v/>
      </c>
      <c r="E501" s="3" t="n">
        <v>88.039</v>
      </c>
      <c r="F501" s="4" t="n">
        <v>11</v>
      </c>
      <c r="G501" t="inlineStr">
        <is>
          <t>Ontario Tennis Association</t>
        </is>
      </c>
      <c r="H501" t="inlineStr">
        <is>
          <t>Premier Racquet Clubs – Mississauga</t>
        </is>
      </c>
      <c r="I501" t="n">
        <v>38.6</v>
      </c>
      <c r="J501" s="4" t="n">
        <v>76</v>
      </c>
      <c r="K501" t="inlineStr">
        <is>
          <t>4 / 72</t>
        </is>
      </c>
      <c r="L501" t="inlineStr">
        <is>
          <t>2 / 9</t>
        </is>
      </c>
      <c r="M501" s="5" t="n">
        <v>0.05</v>
      </c>
      <c r="N501" s="5" t="n">
        <v>0.18</v>
      </c>
    </row>
    <row r="502">
      <c r="A502" t="n">
        <v>501</v>
      </c>
      <c r="B502" t="n">
        <v>2016</v>
      </c>
      <c r="C502" t="inlineStr">
        <is>
          <t>LUXI YANG</t>
        </is>
      </c>
      <c r="D502">
        <f>HYPERLINK("https://ota.tournamentsoftware.com/player-profile/00CB777C-F17D-4A37-8393-1F4E5A4F3C39", "Link")</f>
        <v/>
      </c>
      <c r="E502" s="3" t="n">
        <v>86.93600000000001</v>
      </c>
      <c r="F502" s="4" t="n">
        <v>10</v>
      </c>
      <c r="G502" t="inlineStr">
        <is>
          <t>British Columbia</t>
        </is>
      </c>
      <c r="H502" t="inlineStr">
        <is>
          <t>The Tennis Centre</t>
        </is>
      </c>
      <c r="I502" t="n">
        <v>32.6</v>
      </c>
      <c r="J502" s="4" t="n">
        <v>80</v>
      </c>
      <c r="K502" t="inlineStr">
        <is>
          <t>63 / 17</t>
        </is>
      </c>
      <c r="L502" t="inlineStr">
        <is>
          <t>26 / 7</t>
        </is>
      </c>
      <c r="M502" s="5" t="n">
        <v>0.79</v>
      </c>
      <c r="N502" s="5" t="n">
        <v>0.79</v>
      </c>
    </row>
    <row r="503">
      <c r="A503" t="n">
        <v>502</v>
      </c>
      <c r="B503" t="n">
        <v>2013</v>
      </c>
      <c r="C503" t="inlineStr">
        <is>
          <t>Quinn Pfaff</t>
        </is>
      </c>
      <c r="D503">
        <f>HYPERLINK("https://ota.tournamentsoftware.com/player-profile/4EE4E18D-7D9C-41F4-B172-783EBB13EF00", "Link")</f>
        <v/>
      </c>
      <c r="E503" s="3" t="n">
        <v>83.955</v>
      </c>
      <c r="F503" s="4" t="n">
        <v>4</v>
      </c>
      <c r="G503" t="inlineStr">
        <is>
          <t>Ontario Tennis Association</t>
        </is>
      </c>
      <c r="H503" t="inlineStr">
        <is>
          <t>Maitland Country Club</t>
        </is>
      </c>
      <c r="I503" t="n">
        <v>38</v>
      </c>
      <c r="J503" s="4" t="n">
        <v>4</v>
      </c>
      <c r="K503" t="inlineStr">
        <is>
          <t>0 / 4</t>
        </is>
      </c>
      <c r="L503" t="inlineStr">
        <is>
          <t>0 / 3</t>
        </is>
      </c>
      <c r="M503" s="5" t="n">
        <v>0</v>
      </c>
      <c r="N503" s="5" t="n">
        <v>0</v>
      </c>
    </row>
    <row r="504">
      <c r="A504" t="n">
        <v>503</v>
      </c>
      <c r="B504" t="n">
        <v>2013</v>
      </c>
      <c r="C504" t="inlineStr">
        <is>
          <t>Helena Nastic</t>
        </is>
      </c>
      <c r="D504">
        <f>HYPERLINK("https://ota.tournamentsoftware.com/player-profile/384CD39C-50E9-4DF1-B1AD-85571147C1F9", "Link")</f>
        <v/>
      </c>
      <c r="E504" s="3" t="n">
        <v>83.664</v>
      </c>
      <c r="F504" s="4" t="n">
        <v>7</v>
      </c>
      <c r="G504" t="inlineStr">
        <is>
          <t>Ontario Tennis Association</t>
        </is>
      </c>
      <c r="H504" t="inlineStr">
        <is>
          <t>Royal City Tennis Club</t>
        </is>
      </c>
      <c r="I504" t="inlineStr">
        <is>
          <t>unavailable</t>
        </is>
      </c>
      <c r="J504" s="4" t="n">
        <v>39</v>
      </c>
      <c r="K504" t="inlineStr">
        <is>
          <t>19 / 20</t>
        </is>
      </c>
      <c r="L504" t="inlineStr">
        <is>
          <t>0 / 6</t>
        </is>
      </c>
      <c r="M504" s="5" t="n">
        <v>0.49</v>
      </c>
      <c r="N504" s="5" t="n">
        <v>0</v>
      </c>
    </row>
    <row r="505">
      <c r="A505" t="n">
        <v>504</v>
      </c>
      <c r="B505" t="n">
        <v>2013</v>
      </c>
      <c r="C505" t="inlineStr">
        <is>
          <t>Avonlyn Long</t>
        </is>
      </c>
      <c r="D505">
        <f>HYPERLINK("https://ota.tournamentsoftware.com/player-profile/750061EB-6049-44F3-9B6E-4DE9428D7158", "Link")</f>
        <v/>
      </c>
      <c r="E505" s="3" t="n">
        <v>83.592</v>
      </c>
      <c r="F505" s="4" t="n">
        <v>3</v>
      </c>
      <c r="G505" t="inlineStr">
        <is>
          <t>Ontario Tennis Association</t>
        </is>
      </c>
      <c r="H505" t="inlineStr">
        <is>
          <t>Carleton Tennis Centre</t>
        </is>
      </c>
      <c r="I505" t="n">
        <v>39</v>
      </c>
      <c r="J505" s="4" t="n">
        <v>12</v>
      </c>
      <c r="K505" t="inlineStr">
        <is>
          <t>1 / 11</t>
        </is>
      </c>
      <c r="L505" t="inlineStr">
        <is>
          <t>1 / 3</t>
        </is>
      </c>
      <c r="M505" s="5" t="n">
        <v>0.08</v>
      </c>
      <c r="N505" s="5" t="n">
        <v>0.25</v>
      </c>
    </row>
    <row r="506">
      <c r="A506" t="n">
        <v>505</v>
      </c>
      <c r="B506" t="n">
        <v>2014</v>
      </c>
      <c r="C506" t="inlineStr">
        <is>
          <t>Gabriella Geronimo</t>
        </is>
      </c>
      <c r="D506">
        <f>HYPERLINK("https://ota.tournamentsoftware.com/player-profile/E075895A-C22F-4FDB-9A95-CCD353169906", "Link")</f>
        <v/>
      </c>
      <c r="E506" s="3" t="n">
        <v>83.55200000000001</v>
      </c>
      <c r="F506" s="4" t="n">
        <v>6</v>
      </c>
      <c r="G506" t="inlineStr">
        <is>
          <t>Ontario Tennis Association</t>
        </is>
      </c>
      <c r="H506" t="inlineStr">
        <is>
          <t>Albion Gardens Tennis Club</t>
        </is>
      </c>
      <c r="I506" t="n">
        <v>33.9</v>
      </c>
      <c r="J506" s="4" t="n">
        <v>200</v>
      </c>
      <c r="K506" t="inlineStr">
        <is>
          <t>113 / 87</t>
        </is>
      </c>
      <c r="L506" t="inlineStr">
        <is>
          <t>5 / 1</t>
        </is>
      </c>
      <c r="M506" s="5" t="n">
        <v>0.5600000000000001</v>
      </c>
      <c r="N506" s="5" t="n">
        <v>0.83</v>
      </c>
    </row>
    <row r="507">
      <c r="A507" t="n">
        <v>506</v>
      </c>
      <c r="B507" t="n">
        <v>2014</v>
      </c>
      <c r="C507" t="inlineStr">
        <is>
          <t>Aditri Mundhra</t>
        </is>
      </c>
      <c r="D507">
        <f>HYPERLINK("https://ota.tournamentsoftware.com/player-profile/C7A9A9F1-2DF6-42CD-AA71-F15C9BFFA6EB", "Link")</f>
        <v/>
      </c>
      <c r="E507" s="3" t="n">
        <v>82.485</v>
      </c>
      <c r="F507" s="4" t="n">
        <v>17</v>
      </c>
      <c r="G507" t="inlineStr">
        <is>
          <t>British Columbia</t>
        </is>
      </c>
      <c r="H507" t="inlineStr">
        <is>
          <t>No Club</t>
        </is>
      </c>
      <c r="I507" t="n">
        <v>35.2</v>
      </c>
      <c r="J507" s="4" t="n">
        <v>49</v>
      </c>
      <c r="K507" t="inlineStr">
        <is>
          <t>18 / 31</t>
        </is>
      </c>
      <c r="L507" t="inlineStr">
        <is>
          <t>14 / 18</t>
        </is>
      </c>
      <c r="M507" s="5" t="n">
        <v>0.37</v>
      </c>
      <c r="N507" s="5" t="n">
        <v>0.44</v>
      </c>
    </row>
    <row r="508">
      <c r="A508" t="n">
        <v>507</v>
      </c>
      <c r="B508" t="n">
        <v>2013</v>
      </c>
      <c r="C508" t="inlineStr">
        <is>
          <t>Emilia Sofia Urkedal</t>
        </is>
      </c>
      <c r="D508">
        <f>HYPERLINK("https://ota.tournamentsoftware.com/player-profile/381713CB-202F-43FD-B96F-4B364BE2EE52", "Link")</f>
        <v/>
      </c>
      <c r="E508" s="3" t="n">
        <v>81.57299999999999</v>
      </c>
      <c r="F508" s="4" t="n">
        <v>7</v>
      </c>
      <c r="G508" t="inlineStr">
        <is>
          <t>Ontario Tennis Association</t>
        </is>
      </c>
      <c r="H508" t="inlineStr">
        <is>
          <t>Greenhills Golf Club</t>
        </is>
      </c>
      <c r="I508" t="n">
        <v>37</v>
      </c>
      <c r="J508" s="4" t="n">
        <v>69</v>
      </c>
      <c r="K508" t="inlineStr">
        <is>
          <t>17 / 52</t>
        </is>
      </c>
      <c r="L508" t="inlineStr">
        <is>
          <t>4 / 7</t>
        </is>
      </c>
      <c r="M508" s="5" t="n">
        <v>0.25</v>
      </c>
      <c r="N508" s="5" t="n">
        <v>0.36</v>
      </c>
    </row>
    <row r="509">
      <c r="A509" t="n">
        <v>508</v>
      </c>
      <c r="B509" t="n">
        <v>2015</v>
      </c>
      <c r="C509" t="inlineStr">
        <is>
          <t>Ellieann Jean Baker</t>
        </is>
      </c>
      <c r="D509">
        <f>HYPERLINK("https://ota.tournamentsoftware.com/player-profile/059CF7FD-B4FA-4522-AF55-9B2138153D9C", "Link")</f>
        <v/>
      </c>
      <c r="E509" s="3" t="n">
        <v>81.10299999999999</v>
      </c>
      <c r="F509" s="4" t="n">
        <v>9</v>
      </c>
      <c r="G509" t="inlineStr">
        <is>
          <t>Tennis Alberta</t>
        </is>
      </c>
      <c r="H509" t="inlineStr">
        <is>
          <t>Aforza</t>
        </is>
      </c>
      <c r="I509" t="n">
        <v>36.8</v>
      </c>
      <c r="J509" s="4" t="n">
        <v>109</v>
      </c>
      <c r="K509" t="inlineStr">
        <is>
          <t>45 / 64</t>
        </is>
      </c>
      <c r="L509" t="inlineStr">
        <is>
          <t>4 / 11</t>
        </is>
      </c>
      <c r="M509" s="5" t="n">
        <v>0.41</v>
      </c>
      <c r="N509" s="5" t="n">
        <v>0.27</v>
      </c>
    </row>
    <row r="510">
      <c r="A510" t="n">
        <v>509</v>
      </c>
      <c r="B510" t="n">
        <v>2015</v>
      </c>
      <c r="C510" t="inlineStr">
        <is>
          <t>Doreen Bowen Mao</t>
        </is>
      </c>
      <c r="D510">
        <f>HYPERLINK("https://ota.tournamentsoftware.com/player-profile/24478EB2-203F-4DE3-92C9-B16D9A60F77F", "Link")</f>
        <v/>
      </c>
      <c r="E510" s="3" t="n">
        <v>80.43600000000001</v>
      </c>
      <c r="F510" s="4" t="n">
        <v>16</v>
      </c>
      <c r="G510" t="inlineStr">
        <is>
          <t>Ontario Tennis Association</t>
        </is>
      </c>
      <c r="H510" t="inlineStr">
        <is>
          <t>Joshua Creek Golf &amp; Tennis</t>
        </is>
      </c>
      <c r="I510" t="n">
        <v>37.3</v>
      </c>
      <c r="J510" s="4" t="n">
        <v>80</v>
      </c>
      <c r="K510" t="inlineStr">
        <is>
          <t>33 / 47</t>
        </is>
      </c>
      <c r="L510" t="inlineStr">
        <is>
          <t>18 / 22</t>
        </is>
      </c>
      <c r="M510" s="5" t="n">
        <v>0.41</v>
      </c>
      <c r="N510" s="5" t="n">
        <v>0.45</v>
      </c>
    </row>
    <row r="511">
      <c r="A511" t="n">
        <v>510</v>
      </c>
      <c r="B511" t="n">
        <v>2015</v>
      </c>
      <c r="C511" t="inlineStr">
        <is>
          <t>Savannah Billings</t>
        </is>
      </c>
      <c r="D511">
        <f>HYPERLINK("https://ota.tournamentsoftware.com/player-profile/3C86C2A1-7881-4E07-A889-C842F4C67652", "Link")</f>
        <v/>
      </c>
      <c r="E511" s="3" t="n">
        <v>79.464</v>
      </c>
      <c r="F511" s="4" t="n">
        <v>5</v>
      </c>
      <c r="G511" t="inlineStr">
        <is>
          <t>Tennis Québec</t>
        </is>
      </c>
      <c r="H511" t="inlineStr">
        <is>
          <t>Club Avantage Multi-sports / Académie de tennis Hérisset Bordeleau</t>
        </is>
      </c>
      <c r="I511" t="n">
        <v>28.2</v>
      </c>
      <c r="J511" s="4" t="n">
        <v>13</v>
      </c>
      <c r="K511" t="inlineStr">
        <is>
          <t>8 / 5</t>
        </is>
      </c>
      <c r="L511" t="inlineStr">
        <is>
          <t>8 / 3</t>
        </is>
      </c>
      <c r="M511" s="5" t="n">
        <v>0.62</v>
      </c>
      <c r="N511" s="5" t="n">
        <v>0.73</v>
      </c>
    </row>
    <row r="512">
      <c r="A512" t="n">
        <v>511</v>
      </c>
      <c r="B512" t="n">
        <v>2015</v>
      </c>
      <c r="C512" t="inlineStr">
        <is>
          <t>Mia Gidaro</t>
        </is>
      </c>
      <c r="D512">
        <f>HYPERLINK("https://ota.tournamentsoftware.com/player-profile/17357D82-FEBE-483D-8054-F1F6B85AD8A5", "Link")</f>
        <v/>
      </c>
      <c r="E512" s="3" t="n">
        <v>79.46299999999999</v>
      </c>
      <c r="F512" s="4" t="n">
        <v>12</v>
      </c>
      <c r="G512" t="inlineStr">
        <is>
          <t>Ontario Tennis Association</t>
        </is>
      </c>
      <c r="H512" t="inlineStr">
        <is>
          <t>Baby Point Tennis Club</t>
        </is>
      </c>
      <c r="I512" t="n">
        <v>37.1</v>
      </c>
      <c r="J512" s="4" t="n">
        <v>61</v>
      </c>
      <c r="K512" t="inlineStr">
        <is>
          <t>24 / 37</t>
        </is>
      </c>
      <c r="L512" t="inlineStr">
        <is>
          <t>3 / 7</t>
        </is>
      </c>
      <c r="M512" s="5" t="n">
        <v>0.39</v>
      </c>
      <c r="N512" s="5" t="n">
        <v>0.3</v>
      </c>
    </row>
    <row r="513">
      <c r="A513" t="n">
        <v>512</v>
      </c>
      <c r="B513" t="n">
        <v>2014</v>
      </c>
      <c r="C513" t="inlineStr">
        <is>
          <t>Clarice de Azevedo Guedes</t>
        </is>
      </c>
      <c r="D513">
        <f>HYPERLINK("https://ota.tournamentsoftware.com/player-profile/027DF0F1-69E8-4220-8263-B26C4D1AFC70", "Link")</f>
        <v/>
      </c>
      <c r="E513" s="3" t="n">
        <v>79.407</v>
      </c>
      <c r="F513" s="4" t="n">
        <v>14</v>
      </c>
      <c r="G513" t="inlineStr">
        <is>
          <t>Tennis Québec</t>
        </is>
      </c>
      <c r="H513" t="inlineStr">
        <is>
          <t>Tennis 13</t>
        </is>
      </c>
      <c r="I513" t="inlineStr">
        <is>
          <t>unavailable</t>
        </is>
      </c>
      <c r="J513" s="4" t="n">
        <v>64</v>
      </c>
      <c r="K513" t="inlineStr">
        <is>
          <t>26 / 38</t>
        </is>
      </c>
      <c r="L513" t="inlineStr">
        <is>
          <t>12 / 12</t>
        </is>
      </c>
      <c r="M513" s="5" t="n">
        <v>0.41</v>
      </c>
      <c r="N513" s="5" t="n">
        <v>0.5</v>
      </c>
    </row>
    <row r="514">
      <c r="A514" t="n">
        <v>513</v>
      </c>
      <c r="B514" t="n">
        <v>2015</v>
      </c>
      <c r="C514" t="inlineStr">
        <is>
          <t>Abigail Csima</t>
        </is>
      </c>
      <c r="D514">
        <f>HYPERLINK("https://ota.tournamentsoftware.com/player-profile/6F3C1A53-8070-482F-B046-BE875C66F4B8", "Link")</f>
        <v/>
      </c>
      <c r="E514" s="3" t="n">
        <v>79.28700000000001</v>
      </c>
      <c r="F514" s="4" t="n">
        <v>14</v>
      </c>
      <c r="G514" t="inlineStr">
        <is>
          <t>Ontario Tennis Association</t>
        </is>
      </c>
      <c r="H514" t="inlineStr">
        <is>
          <t>Waterloo Tennis Club</t>
        </is>
      </c>
      <c r="I514" t="inlineStr">
        <is>
          <t>unavailable</t>
        </is>
      </c>
      <c r="J514" s="4" t="inlineStr"/>
      <c r="K514" t="inlineStr">
        <is>
          <t>unavailable</t>
        </is>
      </c>
      <c r="L514" t="inlineStr">
        <is>
          <t>unavailable</t>
        </is>
      </c>
      <c r="M514" s="5" t="inlineStr"/>
      <c r="N514" s="5" t="inlineStr"/>
    </row>
    <row r="515">
      <c r="A515" t="n">
        <v>514</v>
      </c>
      <c r="B515" t="n">
        <v>2014</v>
      </c>
      <c r="C515" t="inlineStr">
        <is>
          <t>Yue Zhang</t>
        </is>
      </c>
      <c r="D515">
        <f>HYPERLINK("https://ota.tournamentsoftware.com/player-profile/85239D79-7080-4052-A527-EE7F087184E4", "Link")</f>
        <v/>
      </c>
      <c r="E515" s="3" t="n">
        <v>76.623</v>
      </c>
      <c r="F515" s="4" t="n">
        <v>7</v>
      </c>
      <c r="G515" t="inlineStr">
        <is>
          <t>Tennis Nova Scotia</t>
        </is>
      </c>
      <c r="H515" t="inlineStr">
        <is>
          <t>Atlantic Tennis Centre</t>
        </is>
      </c>
      <c r="I515" t="n">
        <v>37.8</v>
      </c>
      <c r="J515" s="4" t="n">
        <v>41</v>
      </c>
      <c r="K515" t="inlineStr">
        <is>
          <t>18 / 23</t>
        </is>
      </c>
      <c r="L515" t="inlineStr">
        <is>
          <t>9 / 12</t>
        </is>
      </c>
      <c r="M515" s="5" t="n">
        <v>0.44</v>
      </c>
      <c r="N515" s="5" t="n">
        <v>0.43</v>
      </c>
    </row>
    <row r="516">
      <c r="A516" t="n">
        <v>515</v>
      </c>
      <c r="B516" t="n">
        <v>2014</v>
      </c>
      <c r="C516" t="inlineStr">
        <is>
          <t>Shaghun Dhillon</t>
        </is>
      </c>
      <c r="D516">
        <f>HYPERLINK("https://ota.tournamentsoftware.com/player-profile/97B5DEDE-AA93-468B-902A-462AB9B42432", "Link")</f>
        <v/>
      </c>
      <c r="E516" s="3" t="n">
        <v>76.43899999999999</v>
      </c>
      <c r="F516" s="4" t="n">
        <v>13</v>
      </c>
      <c r="G516" t="inlineStr">
        <is>
          <t>Ontario Tennis Association</t>
        </is>
      </c>
      <c r="H516" t="inlineStr">
        <is>
          <t>Premier Racquet Club - Markham</t>
        </is>
      </c>
      <c r="I516" t="inlineStr">
        <is>
          <t>unavailable</t>
        </is>
      </c>
      <c r="J516" s="4" t="n">
        <v>60</v>
      </c>
      <c r="K516" t="inlineStr">
        <is>
          <t>34 / 26</t>
        </is>
      </c>
      <c r="L516" t="inlineStr">
        <is>
          <t>28 / 20</t>
        </is>
      </c>
      <c r="M516" s="5" t="n">
        <v>0.57</v>
      </c>
      <c r="N516" s="5" t="n">
        <v>0.58</v>
      </c>
    </row>
    <row r="517">
      <c r="A517" t="n">
        <v>516</v>
      </c>
      <c r="B517" t="n">
        <v>2017</v>
      </c>
      <c r="C517" t="inlineStr">
        <is>
          <t>Siena Yang-frome</t>
        </is>
      </c>
      <c r="D517">
        <f>HYPERLINK("https://ota.tournamentsoftware.com/player-profile/07E78FFD-E9BB-462A-8A5B-4456E8FEB96D", "Link")</f>
        <v/>
      </c>
      <c r="E517" s="3" t="n">
        <v>76.09399999999999</v>
      </c>
      <c r="F517" s="4" t="n">
        <v>12</v>
      </c>
      <c r="G517" t="inlineStr">
        <is>
          <t>Ontario Tennis Association</t>
        </is>
      </c>
      <c r="H517" t="inlineStr">
        <is>
          <t>Premier Racquet Clubs – Mississauga</t>
        </is>
      </c>
      <c r="I517" t="n">
        <v>36</v>
      </c>
      <c r="J517" s="4" t="n">
        <v>85</v>
      </c>
      <c r="K517" t="inlineStr">
        <is>
          <t>49 / 36</t>
        </is>
      </c>
      <c r="L517" t="inlineStr">
        <is>
          <t>11 / 13</t>
        </is>
      </c>
      <c r="M517" s="5" t="n">
        <v>0.58</v>
      </c>
      <c r="N517" s="5" t="n">
        <v>0.46</v>
      </c>
    </row>
    <row r="518">
      <c r="A518" t="n">
        <v>517</v>
      </c>
      <c r="B518" t="n">
        <v>2013</v>
      </c>
      <c r="C518" t="inlineStr">
        <is>
          <t>Avery Hao</t>
        </is>
      </c>
      <c r="D518">
        <f>HYPERLINK("https://ota.tournamentsoftware.com/player-profile/4D297E0A-97AD-4487-A64F-403E8B3ACA30", "Link")</f>
        <v/>
      </c>
      <c r="E518" s="3" t="n">
        <v>74.54300000000001</v>
      </c>
      <c r="F518" s="4" t="n">
        <v>3</v>
      </c>
      <c r="G518" t="inlineStr">
        <is>
          <t>Ontario Tennis Association</t>
        </is>
      </c>
      <c r="H518" t="inlineStr">
        <is>
          <t>Elmridge Tennis Club</t>
        </is>
      </c>
      <c r="I518" t="n">
        <v>39.2</v>
      </c>
      <c r="J518" s="4" t="n">
        <v>15</v>
      </c>
      <c r="K518" t="inlineStr">
        <is>
          <t>4 / 11</t>
        </is>
      </c>
      <c r="L518" t="inlineStr">
        <is>
          <t>0 / 5</t>
        </is>
      </c>
      <c r="M518" s="5" t="n">
        <v>0.27</v>
      </c>
      <c r="N518" s="5" t="n">
        <v>0</v>
      </c>
    </row>
    <row r="519">
      <c r="A519" t="n">
        <v>518</v>
      </c>
      <c r="B519" t="n">
        <v>2014</v>
      </c>
      <c r="C519" t="inlineStr">
        <is>
          <t>Ava Amiripour</t>
        </is>
      </c>
      <c r="D519">
        <f>HYPERLINK("https://ota.tournamentsoftware.com/player-profile/C08AB363-A302-4023-8D6D-B732D837DADF", "Link")</f>
        <v/>
      </c>
      <c r="E519" s="3" t="n">
        <v>74.288</v>
      </c>
      <c r="F519" s="4" t="n">
        <v>4</v>
      </c>
      <c r="G519" t="inlineStr">
        <is>
          <t>Ontario Tennis Association</t>
        </is>
      </c>
      <c r="H519" t="inlineStr">
        <is>
          <t>No Club</t>
        </is>
      </c>
      <c r="I519" t="n">
        <v>37.7</v>
      </c>
      <c r="J519" s="4" t="n">
        <v>7</v>
      </c>
      <c r="K519" t="inlineStr">
        <is>
          <t>1 / 6</t>
        </is>
      </c>
      <c r="L519" t="inlineStr">
        <is>
          <t>1 / 5</t>
        </is>
      </c>
      <c r="M519" s="5" t="n">
        <v>0.14</v>
      </c>
      <c r="N519" s="5" t="n">
        <v>0.17</v>
      </c>
    </row>
    <row r="520">
      <c r="A520" t="n">
        <v>519</v>
      </c>
      <c r="B520" t="n">
        <v>2015</v>
      </c>
      <c r="C520" t="inlineStr">
        <is>
          <t>Cara Tereza Nyakahuma</t>
        </is>
      </c>
      <c r="D520">
        <f>HYPERLINK("https://ota.tournamentsoftware.com/player-profile/AFC2100D-E6CB-4B13-AD01-0EBC56083397", "Link")</f>
        <v/>
      </c>
      <c r="E520" s="3" t="n">
        <v>74.08</v>
      </c>
      <c r="F520" s="4" t="n">
        <v>7</v>
      </c>
      <c r="G520" t="inlineStr">
        <is>
          <t>Ontario Tennis Association</t>
        </is>
      </c>
      <c r="H520" t="inlineStr">
        <is>
          <t>Intercounty Tennis Association</t>
        </is>
      </c>
      <c r="I520" t="inlineStr">
        <is>
          <t>unavailable</t>
        </is>
      </c>
      <c r="J520" s="4" t="n">
        <v>143</v>
      </c>
      <c r="K520" t="inlineStr">
        <is>
          <t>90 / 53</t>
        </is>
      </c>
      <c r="L520" t="inlineStr">
        <is>
          <t>7 / 4</t>
        </is>
      </c>
      <c r="M520" s="5" t="n">
        <v>0.63</v>
      </c>
      <c r="N520" s="5" t="n">
        <v>0.64</v>
      </c>
    </row>
    <row r="521">
      <c r="A521" t="n">
        <v>520</v>
      </c>
      <c r="B521" t="n">
        <v>2017</v>
      </c>
      <c r="C521" t="inlineStr">
        <is>
          <t>Chen Xi Zhou Kong</t>
        </is>
      </c>
      <c r="D521">
        <f>HYPERLINK("https://ota.tournamentsoftware.com/player-profile/E5CD94C9-63F9-419B-A6E9-CCB6DEF8B502", "Link")</f>
        <v/>
      </c>
      <c r="E521" s="3" t="n">
        <v>73.2</v>
      </c>
      <c r="F521" s="4" t="n">
        <v>23</v>
      </c>
      <c r="G521" t="inlineStr">
        <is>
          <t>Tennis Québec</t>
        </is>
      </c>
      <c r="H521" t="inlineStr">
        <is>
          <t>Centre récréatif de Repentigny / Académie Tennis Momentum</t>
        </is>
      </c>
      <c r="I521" t="n">
        <v>37.6</v>
      </c>
      <c r="J521" s="4" t="n">
        <v>121</v>
      </c>
      <c r="K521" t="inlineStr">
        <is>
          <t>57 / 64</t>
        </is>
      </c>
      <c r="L521" t="inlineStr">
        <is>
          <t>40 / 37</t>
        </is>
      </c>
      <c r="M521" s="5" t="n">
        <v>0.47</v>
      </c>
      <c r="N521" s="5" t="n">
        <v>0.52</v>
      </c>
    </row>
    <row r="522">
      <c r="A522" t="n">
        <v>521</v>
      </c>
      <c r="B522" t="n">
        <v>2013</v>
      </c>
      <c r="C522" t="inlineStr">
        <is>
          <t>Lolia Abdrabou</t>
        </is>
      </c>
      <c r="D522">
        <f>HYPERLINK("https://ota.tournamentsoftware.com/player-profile/02101E1E-CCDA-437A-A3E7-8CBDBA76F674", "Link")</f>
        <v/>
      </c>
      <c r="E522" s="3" t="n">
        <v>72.959</v>
      </c>
      <c r="F522" s="4" t="n">
        <v>4</v>
      </c>
      <c r="G522" t="inlineStr">
        <is>
          <t>Tennis Nova Scotia</t>
        </is>
      </c>
      <c r="H522" t="inlineStr">
        <is>
          <t>HEADSTART</t>
        </is>
      </c>
      <c r="I522" t="n">
        <v>35.6</v>
      </c>
      <c r="J522" s="4" t="n">
        <v>22</v>
      </c>
      <c r="K522" t="inlineStr">
        <is>
          <t>13 / 9</t>
        </is>
      </c>
      <c r="L522" t="inlineStr">
        <is>
          <t>2 / 4</t>
        </is>
      </c>
      <c r="M522" s="5" t="n">
        <v>0.59</v>
      </c>
      <c r="N522" s="5" t="n">
        <v>0.33</v>
      </c>
    </row>
    <row r="523">
      <c r="A523" t="n">
        <v>522</v>
      </c>
      <c r="B523" t="n">
        <v>2013</v>
      </c>
      <c r="C523" t="inlineStr">
        <is>
          <t>Emma Victoria Chan</t>
        </is>
      </c>
      <c r="D523">
        <f>HYPERLINK("https://ota.tournamentsoftware.com/player-profile/29822B25-6004-4E31-822F-CF8FF1CD9AB7", "Link")</f>
        <v/>
      </c>
      <c r="E523" s="3" t="n">
        <v>71.83199999999999</v>
      </c>
      <c r="F523" s="4" t="n">
        <v>7</v>
      </c>
      <c r="G523" t="inlineStr">
        <is>
          <t>Ontario Tennis Association</t>
        </is>
      </c>
      <c r="H523" t="inlineStr">
        <is>
          <t>Joshua Creek Golf &amp; Tennis</t>
        </is>
      </c>
      <c r="I523" t="n">
        <v>36.5</v>
      </c>
      <c r="J523" s="4" t="n">
        <v>64</v>
      </c>
      <c r="K523" t="inlineStr">
        <is>
          <t>40 / 24</t>
        </is>
      </c>
      <c r="L523" t="inlineStr">
        <is>
          <t>12 / 4</t>
        </is>
      </c>
      <c r="M523" s="5" t="n">
        <v>0.62</v>
      </c>
      <c r="N523" s="5" t="n">
        <v>0.75</v>
      </c>
    </row>
    <row r="524">
      <c r="A524" t="n">
        <v>523</v>
      </c>
      <c r="B524" t="n">
        <v>2013</v>
      </c>
      <c r="C524" t="inlineStr">
        <is>
          <t>Camélia Duong</t>
        </is>
      </c>
      <c r="D524">
        <f>HYPERLINK("https://ota.tournamentsoftware.com/player-profile/86B52BC3-1BF6-4334-8E35-8F6D2AF1C95B", "Link")</f>
        <v/>
      </c>
      <c r="E524" s="3" t="n">
        <v>71.342</v>
      </c>
      <c r="F524" s="4" t="n">
        <v>11</v>
      </c>
      <c r="G524" t="inlineStr">
        <is>
          <t>Tennis Québec</t>
        </is>
      </c>
      <c r="H524" t="inlineStr">
        <is>
          <t>Tennis Ile- des- Soeurs</t>
        </is>
      </c>
      <c r="I524" t="n">
        <v>37.4</v>
      </c>
      <c r="J524" s="4" t="n">
        <v>66</v>
      </c>
      <c r="K524" t="inlineStr">
        <is>
          <t>12 / 54</t>
        </is>
      </c>
      <c r="L524" t="inlineStr">
        <is>
          <t>4 / 8</t>
        </is>
      </c>
      <c r="M524" s="5" t="n">
        <v>0.18</v>
      </c>
      <c r="N524" s="5" t="n">
        <v>0.33</v>
      </c>
    </row>
    <row r="525">
      <c r="A525" t="n">
        <v>524</v>
      </c>
      <c r="B525" t="n">
        <v>2016</v>
      </c>
      <c r="C525" t="inlineStr">
        <is>
          <t>Anne Cherednychenko</t>
        </is>
      </c>
      <c r="D525">
        <f>HYPERLINK("https://ota.tournamentsoftware.com/player-profile/8FB2FF81-D0FE-4491-B99E-18BAAFE1E3CD", "Link")</f>
        <v/>
      </c>
      <c r="E525" s="3" t="n">
        <v>71.066</v>
      </c>
      <c r="F525" s="4" t="n">
        <v>10</v>
      </c>
      <c r="G525" t="inlineStr">
        <is>
          <t>Tennis Québec</t>
        </is>
      </c>
      <c r="H525" t="inlineStr">
        <is>
          <t>No Club</t>
        </is>
      </c>
      <c r="I525" t="n">
        <v>35</v>
      </c>
      <c r="J525" s="4" t="n">
        <v>66</v>
      </c>
      <c r="K525" t="inlineStr">
        <is>
          <t>40 / 26</t>
        </is>
      </c>
      <c r="L525" t="inlineStr">
        <is>
          <t>16 / 12</t>
        </is>
      </c>
      <c r="M525" s="5" t="n">
        <v>0.61</v>
      </c>
      <c r="N525" s="5" t="n">
        <v>0.57</v>
      </c>
    </row>
    <row r="526">
      <c r="A526" t="n">
        <v>525</v>
      </c>
      <c r="B526" t="n">
        <v>2016</v>
      </c>
      <c r="C526" t="inlineStr">
        <is>
          <t>Grace SHI</t>
        </is>
      </c>
      <c r="D526">
        <f>HYPERLINK("https://ota.tournamentsoftware.com/player-profile/71A1D6E1-33D1-46A0-AF21-F397AE1BA314", "Link")</f>
        <v/>
      </c>
      <c r="E526" s="3" t="n">
        <v>70.416</v>
      </c>
      <c r="F526" s="4" t="n">
        <v>10</v>
      </c>
      <c r="G526" t="inlineStr">
        <is>
          <t>British Columbia</t>
        </is>
      </c>
      <c r="H526" t="inlineStr">
        <is>
          <t>No Club</t>
        </is>
      </c>
      <c r="I526" t="n">
        <v>38.5</v>
      </c>
      <c r="J526" s="4" t="n">
        <v>48</v>
      </c>
      <c r="K526" t="inlineStr">
        <is>
          <t>16 / 32</t>
        </is>
      </c>
      <c r="L526" t="inlineStr">
        <is>
          <t>9 / 13</t>
        </is>
      </c>
      <c r="M526" s="5" t="n">
        <v>0.33</v>
      </c>
      <c r="N526" s="5" t="n">
        <v>0.41</v>
      </c>
    </row>
    <row r="527">
      <c r="A527" t="n">
        <v>526</v>
      </c>
      <c r="B527" t="n">
        <v>2015</v>
      </c>
      <c r="C527" t="inlineStr">
        <is>
          <t>Myra Shukla</t>
        </is>
      </c>
      <c r="D527">
        <f>HYPERLINK("https://ota.tournamentsoftware.com/player-profile/2F4B1A1D-35AC-45A0-9F5D-6D5533376D9A", "Link")</f>
        <v/>
      </c>
      <c r="E527" s="3" t="n">
        <v>70.126</v>
      </c>
      <c r="F527" s="4" t="n">
        <v>8</v>
      </c>
      <c r="G527" t="inlineStr">
        <is>
          <t>Ontario Tennis Association</t>
        </is>
      </c>
      <c r="H527" t="inlineStr">
        <is>
          <t>Veneto Tennis Club</t>
        </is>
      </c>
      <c r="I527" t="n">
        <v>38.1</v>
      </c>
      <c r="J527" s="4" t="n">
        <v>83</v>
      </c>
      <c r="K527" t="inlineStr">
        <is>
          <t>34 / 49</t>
        </is>
      </c>
      <c r="L527" t="inlineStr">
        <is>
          <t>1 / 6</t>
        </is>
      </c>
      <c r="M527" s="5" t="n">
        <v>0.41</v>
      </c>
      <c r="N527" s="5" t="n">
        <v>0.14</v>
      </c>
    </row>
    <row r="528">
      <c r="A528" t="n">
        <v>527</v>
      </c>
      <c r="B528" t="n">
        <v>2013</v>
      </c>
      <c r="C528" t="inlineStr">
        <is>
          <t>Zean Whyte Omayan Gerongco</t>
        </is>
      </c>
      <c r="D528">
        <f>HYPERLINK("https://ota.tournamentsoftware.com/player-profile/95E8FC8D-AC41-4C9F-8192-23788254309B", "Link")</f>
        <v/>
      </c>
      <c r="E528" s="3" t="n">
        <v>70.09099999999999</v>
      </c>
      <c r="F528" s="4" t="n">
        <v>4</v>
      </c>
      <c r="G528" t="inlineStr">
        <is>
          <t>Ontario Tennis Association</t>
        </is>
      </c>
      <c r="H528" t="inlineStr">
        <is>
          <t>Fountainhead Tennis Club</t>
        </is>
      </c>
      <c r="I528" t="n">
        <v>32.8</v>
      </c>
      <c r="J528" s="4" t="n">
        <v>167</v>
      </c>
      <c r="K528" t="inlineStr">
        <is>
          <t>95 / 72</t>
        </is>
      </c>
      <c r="L528" t="inlineStr">
        <is>
          <t>0 / 0</t>
        </is>
      </c>
      <c r="M528" s="5" t="n">
        <v>0.57</v>
      </c>
      <c r="N528" s="5" t="n">
        <v>0</v>
      </c>
    </row>
    <row r="529">
      <c r="A529" t="n">
        <v>528</v>
      </c>
      <c r="B529" t="n">
        <v>2013</v>
      </c>
      <c r="C529" t="inlineStr">
        <is>
          <t>Lydia Squires-Sturge</t>
        </is>
      </c>
      <c r="D529">
        <f>HYPERLINK("https://ota.tournamentsoftware.com/player-profile/AD6D5BEF-6293-4DE8-BF13-52E1A33EF28B", "Link")</f>
        <v/>
      </c>
      <c r="E529" s="3" t="n">
        <v>69.855</v>
      </c>
      <c r="F529" s="4" t="n">
        <v>5</v>
      </c>
      <c r="G529" t="inlineStr">
        <is>
          <t>Tennis Newfoundland &amp; Labrador</t>
        </is>
      </c>
      <c r="H529" t="inlineStr">
        <is>
          <t>Mount Pearl Tennis Club</t>
        </is>
      </c>
      <c r="I529" t="inlineStr">
        <is>
          <t>unavailable</t>
        </is>
      </c>
      <c r="J529" s="4" t="n">
        <v>25</v>
      </c>
      <c r="K529" t="inlineStr">
        <is>
          <t>8 / 17</t>
        </is>
      </c>
      <c r="L529" t="inlineStr">
        <is>
          <t>1 / 5</t>
        </is>
      </c>
      <c r="M529" s="5" t="n">
        <v>0.32</v>
      </c>
      <c r="N529" s="5" t="n">
        <v>0.17</v>
      </c>
    </row>
    <row r="530">
      <c r="A530" t="n">
        <v>529</v>
      </c>
      <c r="B530" t="n">
        <v>2013</v>
      </c>
      <c r="C530" t="inlineStr">
        <is>
          <t>Lilya Youssef</t>
        </is>
      </c>
      <c r="D530">
        <f>HYPERLINK("https://ota.tournamentsoftware.com/player-profile/E4A52F0A-7400-4236-ACEF-6680D7FB1262", "Link")</f>
        <v/>
      </c>
      <c r="E530" s="3" t="n">
        <v>69.61</v>
      </c>
      <c r="F530" s="4" t="n">
        <v>3</v>
      </c>
      <c r="G530" t="inlineStr">
        <is>
          <t>Tennis Québec</t>
        </is>
      </c>
      <c r="H530" t="inlineStr">
        <is>
          <t>Tennis 13</t>
        </is>
      </c>
      <c r="I530" t="inlineStr">
        <is>
          <t>unavailable</t>
        </is>
      </c>
      <c r="J530" s="4" t="n">
        <v>10</v>
      </c>
      <c r="K530" t="inlineStr">
        <is>
          <t>5 / 5</t>
        </is>
      </c>
      <c r="L530" t="inlineStr">
        <is>
          <t>5 / 5</t>
        </is>
      </c>
      <c r="M530" s="5" t="n">
        <v>0.5</v>
      </c>
      <c r="N530" s="5" t="n">
        <v>0.5</v>
      </c>
    </row>
    <row r="531">
      <c r="A531" t="n">
        <v>530</v>
      </c>
      <c r="B531" t="n">
        <v>2015</v>
      </c>
      <c r="C531" t="inlineStr">
        <is>
          <t>Mataya Victoria Jan</t>
        </is>
      </c>
      <c r="D531">
        <f>HYPERLINK("https://ota.tournamentsoftware.com/player-profile/52A288CA-2524-4398-A498-9546CE531A78", "Link")</f>
        <v/>
      </c>
      <c r="E531" s="3" t="n">
        <v>69.43600000000001</v>
      </c>
      <c r="F531" s="4" t="n">
        <v>9</v>
      </c>
      <c r="G531" t="inlineStr">
        <is>
          <t>Ontario Tennis Association</t>
        </is>
      </c>
      <c r="H531" t="inlineStr">
        <is>
          <t>Tennis Centre West Ottawa</t>
        </is>
      </c>
      <c r="I531" t="n">
        <v>37.9</v>
      </c>
      <c r="J531" s="4" t="n">
        <v>16</v>
      </c>
      <c r="K531" t="inlineStr">
        <is>
          <t>1 / 15</t>
        </is>
      </c>
      <c r="L531" t="inlineStr">
        <is>
          <t>1 / 10</t>
        </is>
      </c>
      <c r="M531" s="5" t="n">
        <v>0.06</v>
      </c>
      <c r="N531" s="5" t="n">
        <v>0.09</v>
      </c>
    </row>
    <row r="532">
      <c r="A532" t="n">
        <v>531</v>
      </c>
      <c r="B532" t="n">
        <v>2015</v>
      </c>
      <c r="C532" t="inlineStr">
        <is>
          <t>Emilia Ho</t>
        </is>
      </c>
      <c r="D532">
        <f>HYPERLINK("https://ota.tournamentsoftware.com/player-profile/91D4EC27-5C11-4119-B45C-F3809BFF1CF1", "Link")</f>
        <v/>
      </c>
      <c r="E532" s="3" t="n">
        <v>69.21299999999999</v>
      </c>
      <c r="F532" s="4" t="n">
        <v>17</v>
      </c>
      <c r="G532" t="inlineStr">
        <is>
          <t>Tennis Alberta</t>
        </is>
      </c>
      <c r="H532" t="inlineStr">
        <is>
          <t>Osten &amp; Victor Alberta Tennis Centre</t>
        </is>
      </c>
      <c r="I532" t="n">
        <v>34.6</v>
      </c>
      <c r="J532" s="4" t="n">
        <v>135</v>
      </c>
      <c r="K532" t="inlineStr">
        <is>
          <t>70 / 65</t>
        </is>
      </c>
      <c r="L532" t="inlineStr">
        <is>
          <t>16 / 17</t>
        </is>
      </c>
      <c r="M532" s="5" t="n">
        <v>0.52</v>
      </c>
      <c r="N532" s="5" t="n">
        <v>0.48</v>
      </c>
    </row>
    <row r="533">
      <c r="A533" t="n">
        <v>532</v>
      </c>
      <c r="B533" t="n">
        <v>2014</v>
      </c>
      <c r="C533" t="inlineStr">
        <is>
          <t>Alexis Sokol</t>
        </is>
      </c>
      <c r="D533">
        <f>HYPERLINK("https://ota.tournamentsoftware.com/player-profile/8337D953-FBB9-45F2-B72A-FF18B572FA6A", "Link")</f>
        <v/>
      </c>
      <c r="E533" s="3" t="n">
        <v>68.806</v>
      </c>
      <c r="F533" s="4" t="n">
        <v>9</v>
      </c>
      <c r="G533" t="inlineStr">
        <is>
          <t>Tennis Alberta</t>
        </is>
      </c>
      <c r="H533" t="inlineStr">
        <is>
          <t>Saville Community Sports Centre</t>
        </is>
      </c>
      <c r="I533" t="n">
        <v>36.5</v>
      </c>
      <c r="J533" s="4" t="n">
        <v>21</v>
      </c>
      <c r="K533" t="inlineStr">
        <is>
          <t>8 / 13</t>
        </is>
      </c>
      <c r="L533" t="inlineStr">
        <is>
          <t>6 / 9</t>
        </is>
      </c>
      <c r="M533" s="5" t="n">
        <v>0.38</v>
      </c>
      <c r="N533" s="5" t="n">
        <v>0.4</v>
      </c>
    </row>
    <row r="534">
      <c r="A534" t="n">
        <v>533</v>
      </c>
      <c r="B534" t="n">
        <v>2014</v>
      </c>
      <c r="C534" t="inlineStr">
        <is>
          <t>Kaitlynn Xie</t>
        </is>
      </c>
      <c r="D534">
        <f>HYPERLINK("https://ota.tournamentsoftware.com/player-profile/25655CF4-99DC-4E1E-BE40-C11FF6785117", "Link")</f>
        <v/>
      </c>
      <c r="E534" s="3" t="n">
        <v>68.715</v>
      </c>
      <c r="F534" s="4" t="n">
        <v>8</v>
      </c>
      <c r="G534" t="inlineStr">
        <is>
          <t>Tennis Alberta</t>
        </is>
      </c>
      <c r="H534" t="inlineStr">
        <is>
          <t>Saville Community Sports Centre</t>
        </is>
      </c>
      <c r="I534" t="n">
        <v>34.2</v>
      </c>
      <c r="J534" s="4" t="n">
        <v>57</v>
      </c>
      <c r="K534" t="inlineStr">
        <is>
          <t>19 / 38</t>
        </is>
      </c>
      <c r="L534" t="inlineStr">
        <is>
          <t>7 / 12</t>
        </is>
      </c>
      <c r="M534" s="5" t="n">
        <v>0.33</v>
      </c>
      <c r="N534" s="5" t="n">
        <v>0.37</v>
      </c>
    </row>
    <row r="535">
      <c r="A535" t="n">
        <v>534</v>
      </c>
      <c r="B535" t="n">
        <v>2014</v>
      </c>
      <c r="C535" t="inlineStr">
        <is>
          <t>Hui-Xin Chen</t>
        </is>
      </c>
      <c r="D535">
        <f>HYPERLINK("https://ota.tournamentsoftware.com/player-profile/755E1358-E624-498A-A129-DA058D259A1E", "Link")</f>
        <v/>
      </c>
      <c r="E535" s="3" t="n">
        <v>67.884</v>
      </c>
      <c r="F535" s="4" t="n">
        <v>12</v>
      </c>
      <c r="G535" t="inlineStr">
        <is>
          <t>British Columbia</t>
        </is>
      </c>
      <c r="H535" t="inlineStr">
        <is>
          <t>No Club</t>
        </is>
      </c>
      <c r="I535" t="inlineStr">
        <is>
          <t>unavailable</t>
        </is>
      </c>
      <c r="J535" s="4" t="n">
        <v>108</v>
      </c>
      <c r="K535" t="inlineStr">
        <is>
          <t>37 / 71</t>
        </is>
      </c>
      <c r="L535" t="inlineStr">
        <is>
          <t>14 / 14</t>
        </is>
      </c>
      <c r="M535" s="5" t="n">
        <v>0.34</v>
      </c>
      <c r="N535" s="5" t="n">
        <v>0.5</v>
      </c>
    </row>
    <row r="536">
      <c r="A536" t="n">
        <v>535</v>
      </c>
      <c r="B536" t="n">
        <v>2015</v>
      </c>
      <c r="C536" t="inlineStr">
        <is>
          <t>Ella Bloom Chulak</t>
        </is>
      </c>
      <c r="D536">
        <f>HYPERLINK("https://ota.tournamentsoftware.com/player-profile/3DBBE08D-DBAA-43E3-BCD3-2820667C7A24", "Link")</f>
        <v/>
      </c>
      <c r="E536" s="3" t="n">
        <v>67.48</v>
      </c>
      <c r="F536" s="4" t="n">
        <v>12</v>
      </c>
      <c r="G536" t="inlineStr">
        <is>
          <t>Ontario Tennis Association</t>
        </is>
      </c>
      <c r="H536" t="inlineStr">
        <is>
          <t>Richmondhill Golf &amp; Country Club</t>
        </is>
      </c>
      <c r="I536" t="n">
        <v>36.1</v>
      </c>
      <c r="J536" s="4" t="n">
        <v>88</v>
      </c>
      <c r="K536" t="inlineStr">
        <is>
          <t>36 / 52</t>
        </is>
      </c>
      <c r="L536" t="inlineStr">
        <is>
          <t>12 / 10</t>
        </is>
      </c>
      <c r="M536" s="5" t="n">
        <v>0.41</v>
      </c>
      <c r="N536" s="5" t="n">
        <v>0.55</v>
      </c>
    </row>
    <row r="537">
      <c r="A537" t="n">
        <v>536</v>
      </c>
      <c r="B537" t="n">
        <v>2014</v>
      </c>
      <c r="C537" t="inlineStr">
        <is>
          <t>Mioara Oulima Bouyela</t>
        </is>
      </c>
      <c r="D537">
        <f>HYPERLINK("https://ota.tournamentsoftware.com/player-profile/44DDF62F-2675-4E36-B215-8515347ABD9E", "Link")</f>
        <v/>
      </c>
      <c r="E537" s="3" t="n">
        <v>67.357</v>
      </c>
      <c r="F537" s="4" t="n">
        <v>12</v>
      </c>
      <c r="G537" t="inlineStr">
        <is>
          <t>Tennis Québec</t>
        </is>
      </c>
      <c r="H537" t="inlineStr">
        <is>
          <t>Tennis 13</t>
        </is>
      </c>
      <c r="I537" t="n">
        <v>38</v>
      </c>
      <c r="J537" s="4" t="n">
        <v>81</v>
      </c>
      <c r="K537" t="inlineStr">
        <is>
          <t>33 / 48</t>
        </is>
      </c>
      <c r="L537" t="inlineStr">
        <is>
          <t>9 / 12</t>
        </is>
      </c>
      <c r="M537" s="5" t="n">
        <v>0.41</v>
      </c>
      <c r="N537" s="5" t="n">
        <v>0.43</v>
      </c>
    </row>
    <row r="538">
      <c r="A538" t="n">
        <v>537</v>
      </c>
      <c r="B538" t="n">
        <v>2014</v>
      </c>
      <c r="C538" t="inlineStr">
        <is>
          <t>Melissa Elena Rusu</t>
        </is>
      </c>
      <c r="D538">
        <f>HYPERLINK("https://ota.tournamentsoftware.com/player-profile/9F55033D-1DF5-465D-A3A2-401E58DF9FEB", "Link")</f>
        <v/>
      </c>
      <c r="E538" s="3" t="n">
        <v>67.018</v>
      </c>
      <c r="F538" s="4" t="n">
        <v>16</v>
      </c>
      <c r="G538" t="inlineStr">
        <is>
          <t>Tennis Québec</t>
        </is>
      </c>
      <c r="H538" t="inlineStr">
        <is>
          <t>Carrefour Multisports - Haute Performance</t>
        </is>
      </c>
      <c r="I538" t="n">
        <v>37.4</v>
      </c>
      <c r="J538" s="4" t="n">
        <v>58</v>
      </c>
      <c r="K538" t="inlineStr">
        <is>
          <t>19 / 39</t>
        </is>
      </c>
      <c r="L538" t="inlineStr">
        <is>
          <t>4 / 16</t>
        </is>
      </c>
      <c r="M538" s="5" t="n">
        <v>0.33</v>
      </c>
      <c r="N538" s="5" t="n">
        <v>0.2</v>
      </c>
    </row>
    <row r="539">
      <c r="A539" t="n">
        <v>538</v>
      </c>
      <c r="B539" t="n">
        <v>2012</v>
      </c>
      <c r="C539" t="inlineStr">
        <is>
          <t>Daisy Brown</t>
        </is>
      </c>
      <c r="D539">
        <f>HYPERLINK("https://ota.tournamentsoftware.com/player-profile/9CF1A8A4-6BA5-46C8-92F4-3E802A738811", "Link")</f>
        <v/>
      </c>
      <c r="E539" s="3" t="n">
        <v>66.79900000000001</v>
      </c>
      <c r="F539" s="4" t="n">
        <v>5</v>
      </c>
      <c r="G539" t="inlineStr">
        <is>
          <t>British Columbia</t>
        </is>
      </c>
      <c r="H539" t="inlineStr">
        <is>
          <t>Oak Bay Recreation Centre</t>
        </is>
      </c>
      <c r="I539" t="n">
        <v>35.7</v>
      </c>
      <c r="J539" s="4" t="n">
        <v>62</v>
      </c>
      <c r="K539" t="inlineStr">
        <is>
          <t>34 / 28</t>
        </is>
      </c>
      <c r="L539" t="inlineStr">
        <is>
          <t>4 / 6</t>
        </is>
      </c>
      <c r="M539" s="5" t="n">
        <v>0.55</v>
      </c>
      <c r="N539" s="5" t="n">
        <v>0.4</v>
      </c>
    </row>
    <row r="540">
      <c r="A540" t="n">
        <v>539</v>
      </c>
      <c r="B540" t="n">
        <v>2016</v>
      </c>
      <c r="C540" t="inlineStr">
        <is>
          <t>Lily Chen</t>
        </is>
      </c>
      <c r="D540">
        <f>HYPERLINK("https://ota.tournamentsoftware.com/player-profile/A6A0EB19-7DDD-4B25-B81C-FCA911081AB5", "Link")</f>
        <v/>
      </c>
      <c r="E540" s="3" t="n">
        <v>66.55200000000001</v>
      </c>
      <c r="F540" s="4" t="n">
        <v>17</v>
      </c>
      <c r="G540" t="inlineStr">
        <is>
          <t>British Columbia</t>
        </is>
      </c>
      <c r="H540" t="inlineStr">
        <is>
          <t>No Club</t>
        </is>
      </c>
      <c r="I540" t="n">
        <v>35.5</v>
      </c>
      <c r="J540" s="4" t="n">
        <v>106</v>
      </c>
      <c r="K540" t="inlineStr">
        <is>
          <t>41 / 65</t>
        </is>
      </c>
      <c r="L540" t="inlineStr">
        <is>
          <t>14 / 22</t>
        </is>
      </c>
      <c r="M540" s="5" t="n">
        <v>0.39</v>
      </c>
      <c r="N540" s="5" t="n">
        <v>0.39</v>
      </c>
    </row>
    <row r="541">
      <c r="A541" t="n">
        <v>540</v>
      </c>
      <c r="B541" t="n">
        <v>2015</v>
      </c>
      <c r="C541" t="inlineStr">
        <is>
          <t>Brielle Ramirez Balos</t>
        </is>
      </c>
      <c r="D541">
        <f>HYPERLINK("https://ota.tournamentsoftware.com/player-profile/2F36BC35-A108-44F9-B705-6F2246749033", "Link")</f>
        <v/>
      </c>
      <c r="E541" s="3" t="n">
        <v>66.29000000000001</v>
      </c>
      <c r="F541" s="4" t="n">
        <v>9</v>
      </c>
      <c r="G541" t="inlineStr">
        <is>
          <t>Tennis Alberta</t>
        </is>
      </c>
      <c r="H541" t="inlineStr">
        <is>
          <t>Saville Community Sports Centre</t>
        </is>
      </c>
      <c r="I541" t="inlineStr">
        <is>
          <t>unavailable</t>
        </is>
      </c>
      <c r="J541" s="4" t="n">
        <v>65</v>
      </c>
      <c r="K541" t="inlineStr">
        <is>
          <t>37 / 28</t>
        </is>
      </c>
      <c r="L541" t="inlineStr">
        <is>
          <t>15 / 9</t>
        </is>
      </c>
      <c r="M541" s="5" t="n">
        <v>0.57</v>
      </c>
      <c r="N541" s="5" t="n">
        <v>0.62</v>
      </c>
    </row>
    <row r="542">
      <c r="A542" t="n">
        <v>541</v>
      </c>
      <c r="B542" t="n">
        <v>2014</v>
      </c>
      <c r="C542" t="inlineStr">
        <is>
          <t>Sareen Kaur Hehar</t>
        </is>
      </c>
      <c r="D542">
        <f>HYPERLINK("https://ota.tournamentsoftware.com/player-profile/07D185FB-AE5B-444B-BAE8-058B536108E2", "Link")</f>
        <v/>
      </c>
      <c r="E542" s="3" t="n">
        <v>66.22499999999999</v>
      </c>
      <c r="F542" s="4" t="n">
        <v>12</v>
      </c>
      <c r="G542" t="inlineStr">
        <is>
          <t>British Columbia</t>
        </is>
      </c>
      <c r="H542" t="inlineStr">
        <is>
          <t>No Club</t>
        </is>
      </c>
      <c r="I542" t="n">
        <v>35.7</v>
      </c>
      <c r="J542" s="4" t="n">
        <v>197</v>
      </c>
      <c r="K542" t="inlineStr">
        <is>
          <t>75 / 122</t>
        </is>
      </c>
      <c r="L542" t="inlineStr">
        <is>
          <t>5 / 10</t>
        </is>
      </c>
      <c r="M542" s="5" t="n">
        <v>0.38</v>
      </c>
      <c r="N542" s="5" t="n">
        <v>0.33</v>
      </c>
    </row>
    <row r="543">
      <c r="A543" t="n">
        <v>542</v>
      </c>
      <c r="B543" t="n">
        <v>2016</v>
      </c>
      <c r="C543" t="inlineStr">
        <is>
          <t>Evelyn May</t>
        </is>
      </c>
      <c r="D543">
        <f>HYPERLINK("https://ota.tournamentsoftware.com/player-profile/ABFB9C06-ABE9-4B21-BF57-67179CC1CD5D", "Link")</f>
        <v/>
      </c>
      <c r="E543" s="3" t="n">
        <v>65.914</v>
      </c>
      <c r="F543" s="4" t="n">
        <v>13</v>
      </c>
      <c r="G543" t="inlineStr">
        <is>
          <t>Tennis Québec</t>
        </is>
      </c>
      <c r="H543" t="inlineStr">
        <is>
          <t>Tennis 13 / Académie Ménard et associé</t>
        </is>
      </c>
      <c r="I543" t="n">
        <v>33.6</v>
      </c>
      <c r="J543" s="4" t="n">
        <v>181</v>
      </c>
      <c r="K543" t="inlineStr">
        <is>
          <t>112 / 69</t>
        </is>
      </c>
      <c r="L543" t="inlineStr">
        <is>
          <t>15 / 13</t>
        </is>
      </c>
      <c r="M543" s="5" t="n">
        <v>0.62</v>
      </c>
      <c r="N543" s="5" t="n">
        <v>0.54</v>
      </c>
    </row>
    <row r="544">
      <c r="A544" t="n">
        <v>543</v>
      </c>
      <c r="B544" t="n">
        <v>2012</v>
      </c>
      <c r="C544" t="inlineStr">
        <is>
          <t>Diya Anand</t>
        </is>
      </c>
      <c r="D544">
        <f>HYPERLINK("https://ota.tournamentsoftware.com/player-profile/3939C1EF-E95B-4DD4-9208-81F6E4D5387F", "Link")</f>
        <v/>
      </c>
      <c r="E544" s="3" t="n">
        <v>65.70999999999999</v>
      </c>
      <c r="F544" s="4" t="n">
        <v>5</v>
      </c>
      <c r="G544" t="inlineStr">
        <is>
          <t>Ontario Tennis Association</t>
        </is>
      </c>
      <c r="H544" t="inlineStr">
        <is>
          <t>Rosedale Tennis Club (Hamilton)</t>
        </is>
      </c>
      <c r="I544" t="inlineStr">
        <is>
          <t>unavailable</t>
        </is>
      </c>
      <c r="J544" s="4" t="n">
        <v>20</v>
      </c>
      <c r="K544" t="inlineStr">
        <is>
          <t>4 / 16</t>
        </is>
      </c>
      <c r="L544" t="inlineStr">
        <is>
          <t>1 / 6</t>
        </is>
      </c>
      <c r="M544" s="5" t="n">
        <v>0.2</v>
      </c>
      <c r="N544" s="5" t="n">
        <v>0.14</v>
      </c>
    </row>
    <row r="545">
      <c r="A545" t="n">
        <v>544</v>
      </c>
      <c r="B545" t="n">
        <v>2014</v>
      </c>
      <c r="C545" t="inlineStr">
        <is>
          <t>Victoria Guiral</t>
        </is>
      </c>
      <c r="D545">
        <f>HYPERLINK("https://ota.tournamentsoftware.com/player-profile/1DC3BD6C-A3EA-46CB-A6B3-CB5D3D2F1E7D", "Link")</f>
        <v/>
      </c>
      <c r="E545" s="3" t="n">
        <v>65.601</v>
      </c>
      <c r="F545" s="4" t="n">
        <v>6</v>
      </c>
      <c r="G545" t="inlineStr">
        <is>
          <t>Tennis Québec</t>
        </is>
      </c>
      <c r="H545" t="inlineStr">
        <is>
          <t>Tennis Interclub Piedmont</t>
        </is>
      </c>
      <c r="I545" t="n">
        <v>38.7</v>
      </c>
      <c r="J545" s="4" t="n">
        <v>22</v>
      </c>
      <c r="K545" t="inlineStr">
        <is>
          <t>6 / 16</t>
        </is>
      </c>
      <c r="L545" t="inlineStr">
        <is>
          <t>1 / 9</t>
        </is>
      </c>
      <c r="M545" s="5" t="n">
        <v>0.27</v>
      </c>
      <c r="N545" s="5" t="n">
        <v>0.1</v>
      </c>
    </row>
    <row r="546">
      <c r="A546" t="n">
        <v>545</v>
      </c>
      <c r="B546" t="n">
        <v>2013</v>
      </c>
      <c r="C546" t="inlineStr">
        <is>
          <t>Robyn Abigail Allen</t>
        </is>
      </c>
      <c r="D546">
        <f>HYPERLINK("https://ota.tournamentsoftware.com/player-profile/248A3F67-26CE-43CB-A1BB-A426F8AC9211", "Link")</f>
        <v/>
      </c>
      <c r="E546" s="3" t="n">
        <v>65.42700000000001</v>
      </c>
      <c r="F546" s="4" t="n">
        <v>4</v>
      </c>
      <c r="G546" t="inlineStr">
        <is>
          <t>Ontario Tennis Association</t>
        </is>
      </c>
      <c r="H546" t="inlineStr">
        <is>
          <t>Waterloo Tennis Club</t>
        </is>
      </c>
      <c r="I546" t="inlineStr">
        <is>
          <t>unavailable</t>
        </is>
      </c>
      <c r="J546" s="4" t="n">
        <v>24</v>
      </c>
      <c r="K546" t="inlineStr">
        <is>
          <t>5 / 19</t>
        </is>
      </c>
      <c r="L546" t="inlineStr">
        <is>
          <t>2 / 12</t>
        </is>
      </c>
      <c r="M546" s="5" t="n">
        <v>0.21</v>
      </c>
      <c r="N546" s="5" t="n">
        <v>0.14</v>
      </c>
    </row>
    <row r="547">
      <c r="A547" t="n">
        <v>546</v>
      </c>
      <c r="B547" t="n">
        <v>2013</v>
      </c>
      <c r="C547" t="inlineStr">
        <is>
          <t>Vina BLANCHARD</t>
        </is>
      </c>
      <c r="D547">
        <f>HYPERLINK("https://ota.tournamentsoftware.com/player-profile/B5AD0E2A-4843-4177-AD96-5A3203B5C718", "Link")</f>
        <v/>
      </c>
      <c r="E547" s="3" t="n">
        <v>65.05200000000001</v>
      </c>
      <c r="F547" s="4" t="n">
        <v>7</v>
      </c>
      <c r="G547" t="inlineStr">
        <is>
          <t>Ontario Tennis Association</t>
        </is>
      </c>
      <c r="H547" t="inlineStr">
        <is>
          <t>Ontario Racquet Club</t>
        </is>
      </c>
      <c r="I547" t="inlineStr">
        <is>
          <t>unavailable</t>
        </is>
      </c>
      <c r="J547" s="4" t="n">
        <v>27</v>
      </c>
      <c r="K547" t="inlineStr">
        <is>
          <t>12 / 15</t>
        </is>
      </c>
      <c r="L547" t="inlineStr">
        <is>
          <t>3 / 9</t>
        </is>
      </c>
      <c r="M547" s="5" t="n">
        <v>0.44</v>
      </c>
      <c r="N547" s="5" t="n">
        <v>0.25</v>
      </c>
    </row>
    <row r="548">
      <c r="A548" t="n">
        <v>547</v>
      </c>
      <c r="B548" t="n">
        <v>2013</v>
      </c>
      <c r="C548" t="inlineStr">
        <is>
          <t>Mengge(Maya) Xu</t>
        </is>
      </c>
      <c r="D548">
        <f>HYPERLINK("https://ota.tournamentsoftware.com/player-profile/9CD6D408-1A72-4E0B-A9C9-DD675B785873", "Link")</f>
        <v/>
      </c>
      <c r="E548" s="3" t="n">
        <v>64.883</v>
      </c>
      <c r="F548" s="4" t="n">
        <v>8</v>
      </c>
      <c r="G548" t="inlineStr">
        <is>
          <t>Ontario Tennis Association</t>
        </is>
      </c>
      <c r="H548" t="inlineStr">
        <is>
          <t>Markham Tennis Club</t>
        </is>
      </c>
      <c r="I548" t="n">
        <v>38.7</v>
      </c>
      <c r="J548" s="4" t="n">
        <v>33</v>
      </c>
      <c r="K548" t="inlineStr">
        <is>
          <t>11 / 22</t>
        </is>
      </c>
      <c r="L548" t="inlineStr">
        <is>
          <t>6 / 10</t>
        </is>
      </c>
      <c r="M548" s="5" t="n">
        <v>0.33</v>
      </c>
      <c r="N548" s="5" t="n">
        <v>0.38</v>
      </c>
    </row>
    <row r="549">
      <c r="A549" t="n">
        <v>548</v>
      </c>
      <c r="B549" t="n">
        <v>2015</v>
      </c>
      <c r="C549" t="inlineStr">
        <is>
          <t>Alexandria Gianvito</t>
        </is>
      </c>
      <c r="D549">
        <f>HYPERLINK("https://ota.tournamentsoftware.com/player-profile/4A4D327B-3019-4349-8F36-0769D584A4FA", "Link")</f>
        <v/>
      </c>
      <c r="E549" s="3" t="n">
        <v>64.84999999999999</v>
      </c>
      <c r="F549" s="4" t="n">
        <v>6</v>
      </c>
      <c r="G549" t="inlineStr">
        <is>
          <t>Tennis Québec</t>
        </is>
      </c>
      <c r="H549" t="inlineStr">
        <is>
          <t>No Club</t>
        </is>
      </c>
      <c r="I549" t="inlineStr">
        <is>
          <t>unavailable</t>
        </is>
      </c>
      <c r="J549" s="4" t="n">
        <v>50</v>
      </c>
      <c r="K549" t="inlineStr">
        <is>
          <t>13 / 37</t>
        </is>
      </c>
      <c r="L549" t="inlineStr">
        <is>
          <t>1 / 5</t>
        </is>
      </c>
      <c r="M549" s="5" t="n">
        <v>0.26</v>
      </c>
      <c r="N549" s="5" t="n">
        <v>0.17</v>
      </c>
    </row>
    <row r="550">
      <c r="A550" t="n">
        <v>549</v>
      </c>
      <c r="B550" t="n">
        <v>2012</v>
      </c>
      <c r="C550" t="inlineStr">
        <is>
          <t>kate zixi ye</t>
        </is>
      </c>
      <c r="D550">
        <f>HYPERLINK("https://ota.tournamentsoftware.com/player-profile/0A8F7797-88F4-49C6-8F3D-6079B8242406", "Link")</f>
        <v/>
      </c>
      <c r="E550" s="3" t="n">
        <v>64.583</v>
      </c>
      <c r="F550" s="4" t="n">
        <v>6</v>
      </c>
      <c r="G550" t="inlineStr">
        <is>
          <t>Ontario Tennis Association</t>
        </is>
      </c>
      <c r="H550" t="inlineStr">
        <is>
          <t>No Club</t>
        </is>
      </c>
      <c r="I550" t="n">
        <v>38.1</v>
      </c>
      <c r="J550" s="4" t="n">
        <v>13</v>
      </c>
      <c r="K550" t="inlineStr">
        <is>
          <t>2 / 11</t>
        </is>
      </c>
      <c r="L550" t="inlineStr">
        <is>
          <t>1 / 6</t>
        </is>
      </c>
      <c r="M550" s="5" t="n">
        <v>0.15</v>
      </c>
      <c r="N550" s="5" t="n">
        <v>0.14</v>
      </c>
    </row>
    <row r="551">
      <c r="A551" t="n">
        <v>550</v>
      </c>
      <c r="B551" t="n">
        <v>2015</v>
      </c>
      <c r="C551" t="inlineStr">
        <is>
          <t>Ziba Forooghian</t>
        </is>
      </c>
      <c r="D551">
        <f>HYPERLINK("https://ota.tournamentsoftware.com/player-profile/F7878057-CB20-46E1-B220-553040C8AC48", "Link")</f>
        <v/>
      </c>
      <c r="E551" s="3" t="n">
        <v>64.547</v>
      </c>
      <c r="F551" s="4" t="n">
        <v>20</v>
      </c>
      <c r="G551" t="inlineStr">
        <is>
          <t>British Columbia</t>
        </is>
      </c>
      <c r="H551" t="inlineStr">
        <is>
          <t>Aura Tennis Academy</t>
        </is>
      </c>
      <c r="I551" t="n">
        <v>35.9</v>
      </c>
      <c r="J551" s="4" t="n">
        <v>84</v>
      </c>
      <c r="K551" t="inlineStr">
        <is>
          <t>30 / 54</t>
        </is>
      </c>
      <c r="L551" t="inlineStr">
        <is>
          <t>17 / 31</t>
        </is>
      </c>
      <c r="M551" s="5" t="n">
        <v>0.36</v>
      </c>
      <c r="N551" s="5" t="n">
        <v>0.35</v>
      </c>
    </row>
    <row r="552">
      <c r="A552" t="n">
        <v>551</v>
      </c>
      <c r="B552" t="n">
        <v>2012</v>
      </c>
      <c r="C552" t="inlineStr">
        <is>
          <t>Jemima Edwards</t>
        </is>
      </c>
      <c r="D552">
        <f>HYPERLINK("https://ota.tournamentsoftware.com/player-profile/89C8AA4C-1698-4049-8B88-9B77FC5C4B9B", "Link")</f>
        <v/>
      </c>
      <c r="E552" s="3" t="n">
        <v>64</v>
      </c>
      <c r="F552" s="4" t="n">
        <v>2</v>
      </c>
      <c r="G552" t="inlineStr">
        <is>
          <t>Ontario Tennis Association</t>
        </is>
      </c>
      <c r="H552" t="inlineStr">
        <is>
          <t>Rideau Sports Centre</t>
        </is>
      </c>
      <c r="I552" t="n">
        <v>32.5</v>
      </c>
      <c r="J552" s="4" t="n">
        <v>77</v>
      </c>
      <c r="K552" t="inlineStr">
        <is>
          <t>39 / 38</t>
        </is>
      </c>
      <c r="L552" t="inlineStr">
        <is>
          <t>3 / 1</t>
        </is>
      </c>
      <c r="M552" s="5" t="n">
        <v>0.51</v>
      </c>
      <c r="N552" s="5" t="n">
        <v>0.75</v>
      </c>
    </row>
    <row r="553">
      <c r="A553" t="n">
        <v>552</v>
      </c>
      <c r="B553" t="n">
        <v>2013</v>
      </c>
      <c r="C553" t="inlineStr">
        <is>
          <t>Audrey Humeniuk</t>
        </is>
      </c>
      <c r="D553">
        <f>HYPERLINK("https://ota.tournamentsoftware.com/player-profile/468D56FB-0ABD-4840-82FB-F2B1EB075075", "Link")</f>
        <v/>
      </c>
      <c r="E553" s="3" t="n">
        <v>63.86</v>
      </c>
      <c r="F553" s="4" t="n">
        <v>4</v>
      </c>
      <c r="G553" t="inlineStr">
        <is>
          <t>Ontario Tennis Association</t>
        </is>
      </c>
      <c r="H553" t="inlineStr">
        <is>
          <t>Tennis Centre West Ottawa</t>
        </is>
      </c>
      <c r="I553" t="n">
        <v>39.5</v>
      </c>
      <c r="J553" s="4" t="n">
        <v>10</v>
      </c>
      <c r="K553" t="inlineStr">
        <is>
          <t>2 / 8</t>
        </is>
      </c>
      <c r="L553" t="inlineStr">
        <is>
          <t>1 / 4</t>
        </is>
      </c>
      <c r="M553" s="5" t="n">
        <v>0.2</v>
      </c>
      <c r="N553" s="5" t="n">
        <v>0.2</v>
      </c>
    </row>
    <row r="554">
      <c r="A554" t="n">
        <v>553</v>
      </c>
      <c r="B554" t="n">
        <v>2016</v>
      </c>
      <c r="C554" t="inlineStr">
        <is>
          <t>Hayley Bryce</t>
        </is>
      </c>
      <c r="D554">
        <f>HYPERLINK("https://ota.tournamentsoftware.com/player-profile/B433F420-A779-4270-B32A-8DE5FF43BD05", "Link")</f>
        <v/>
      </c>
      <c r="E554" s="3" t="n">
        <v>63.547</v>
      </c>
      <c r="F554" s="4" t="n">
        <v>14</v>
      </c>
      <c r="G554" t="inlineStr">
        <is>
          <t>Ontario Tennis Association</t>
        </is>
      </c>
      <c r="H554" t="inlineStr">
        <is>
          <t>SmartVMC Racquetsports by ACE</t>
        </is>
      </c>
      <c r="I554" t="inlineStr">
        <is>
          <t>unavailable</t>
        </is>
      </c>
      <c r="J554" s="4" t="n">
        <v>81</v>
      </c>
      <c r="K554" t="inlineStr">
        <is>
          <t>36 / 45</t>
        </is>
      </c>
      <c r="L554" t="inlineStr">
        <is>
          <t>19 / 23</t>
        </is>
      </c>
      <c r="M554" s="5" t="n">
        <v>0.44</v>
      </c>
      <c r="N554" s="5" t="n">
        <v>0.45</v>
      </c>
    </row>
    <row r="555">
      <c r="A555" t="n">
        <v>554</v>
      </c>
      <c r="B555" t="n">
        <v>2013</v>
      </c>
      <c r="C555" t="inlineStr">
        <is>
          <t>Deborah Zhao</t>
        </is>
      </c>
      <c r="D555">
        <f>HYPERLINK("https://ota.tournamentsoftware.com/player-profile/F6904719-B024-412B-8805-0CEB145651FD", "Link")</f>
        <v/>
      </c>
      <c r="E555" s="3" t="n">
        <v>63.288</v>
      </c>
      <c r="F555" s="4" t="n">
        <v>3</v>
      </c>
      <c r="G555" t="inlineStr">
        <is>
          <t>Tennis Prince Edward Island</t>
        </is>
      </c>
      <c r="H555" t="inlineStr">
        <is>
          <t>Charlottetown Recreation Tennis Group</t>
        </is>
      </c>
      <c r="I555" t="n">
        <v>35.5</v>
      </c>
      <c r="J555" s="4" t="n">
        <v>139</v>
      </c>
      <c r="K555" t="inlineStr">
        <is>
          <t>67 / 72</t>
        </is>
      </c>
      <c r="L555" t="inlineStr">
        <is>
          <t>5 / 8</t>
        </is>
      </c>
      <c r="M555" s="5" t="n">
        <v>0.48</v>
      </c>
      <c r="N555" s="5" t="n">
        <v>0.38</v>
      </c>
    </row>
    <row r="556">
      <c r="A556" t="n">
        <v>555</v>
      </c>
      <c r="B556" t="n">
        <v>2015</v>
      </c>
      <c r="C556" t="inlineStr">
        <is>
          <t>Aayushi Gautam</t>
        </is>
      </c>
      <c r="D556">
        <f>HYPERLINK("https://ota.tournamentsoftware.com/player-profile/A24CEE26-7629-46B9-89B0-12B054D2DFB9", "Link")</f>
        <v/>
      </c>
      <c r="E556" s="3" t="n">
        <v>63.275</v>
      </c>
      <c r="F556" s="4" t="n">
        <v>13</v>
      </c>
      <c r="G556" t="inlineStr">
        <is>
          <t>Tennis Alberta</t>
        </is>
      </c>
      <c r="H556" t="inlineStr">
        <is>
          <t>Saville Community Sports Centre</t>
        </is>
      </c>
      <c r="I556" t="n">
        <v>33.6</v>
      </c>
      <c r="J556" s="4" t="n">
        <v>152</v>
      </c>
      <c r="K556" t="inlineStr">
        <is>
          <t>90 / 62</t>
        </is>
      </c>
      <c r="L556" t="inlineStr">
        <is>
          <t>16 / 8</t>
        </is>
      </c>
      <c r="M556" s="5" t="n">
        <v>0.59</v>
      </c>
      <c r="N556" s="5" t="n">
        <v>0.67</v>
      </c>
    </row>
    <row r="557">
      <c r="A557" t="n">
        <v>556</v>
      </c>
      <c r="B557" t="n">
        <v>2016</v>
      </c>
      <c r="C557" t="inlineStr">
        <is>
          <t>Abigail Jianing Zhou</t>
        </is>
      </c>
      <c r="D557">
        <f>HYPERLINK("https://ota.tournamentsoftware.com/player-profile/E53B2389-2E47-459E-9543-5DBB506C324A", "Link")</f>
        <v/>
      </c>
      <c r="E557" s="3" t="n">
        <v>63.12</v>
      </c>
      <c r="F557" s="4" t="n">
        <v>17</v>
      </c>
      <c r="G557" t="inlineStr">
        <is>
          <t>Ontario Tennis Association</t>
        </is>
      </c>
      <c r="H557" t="inlineStr">
        <is>
          <t>Joshua Creek Golf &amp; Tennis</t>
        </is>
      </c>
      <c r="I557" t="n">
        <v>36.8</v>
      </c>
      <c r="J557" s="4" t="n">
        <v>156</v>
      </c>
      <c r="K557" t="inlineStr">
        <is>
          <t>65 / 91</t>
        </is>
      </c>
      <c r="L557" t="inlineStr">
        <is>
          <t>27 / 26</t>
        </is>
      </c>
      <c r="M557" s="5" t="n">
        <v>0.42</v>
      </c>
      <c r="N557" s="5" t="n">
        <v>0.51</v>
      </c>
    </row>
    <row r="558">
      <c r="A558" t="n">
        <v>557</v>
      </c>
      <c r="B558" t="n">
        <v>2015</v>
      </c>
      <c r="C558" t="inlineStr">
        <is>
          <t>Karina Lee Griffin</t>
        </is>
      </c>
      <c r="D558">
        <f>HYPERLINK("https://ota.tournamentsoftware.com/player-profile/51794C7A-992F-4A4D-9983-0483174644A1", "Link")</f>
        <v/>
      </c>
      <c r="E558" s="3" t="n">
        <v>62.799</v>
      </c>
      <c r="F558" s="4" t="n">
        <v>19</v>
      </c>
      <c r="G558" t="inlineStr">
        <is>
          <t>British Columbia</t>
        </is>
      </c>
      <c r="H558" t="inlineStr">
        <is>
          <t>North Vancouver Tennis Centre</t>
        </is>
      </c>
      <c r="I558" t="n">
        <v>35.1</v>
      </c>
      <c r="J558" s="4" t="n">
        <v>155</v>
      </c>
      <c r="K558" t="inlineStr">
        <is>
          <t>73 / 82</t>
        </is>
      </c>
      <c r="L558" t="inlineStr">
        <is>
          <t>12 / 20</t>
        </is>
      </c>
      <c r="M558" s="5" t="n">
        <v>0.47</v>
      </c>
      <c r="N558" s="5" t="n">
        <v>0.38</v>
      </c>
    </row>
    <row r="559">
      <c r="A559" t="n">
        <v>558</v>
      </c>
      <c r="B559" t="n">
        <v>2012</v>
      </c>
      <c r="C559" t="inlineStr">
        <is>
          <t>Hannah Ines Fischer-Kandelas</t>
        </is>
      </c>
      <c r="D559">
        <f>HYPERLINK("https://ota.tournamentsoftware.com/player-profile/672C977E-EE19-4DD0-AE73-F6FCDD2EE1E1", "Link")</f>
        <v/>
      </c>
      <c r="E559" s="3" t="n">
        <v>62.453</v>
      </c>
      <c r="F559" s="4" t="n">
        <v>4</v>
      </c>
      <c r="G559" t="inlineStr">
        <is>
          <t>Ontario Tennis Association</t>
        </is>
      </c>
      <c r="H559" t="inlineStr">
        <is>
          <t>Wychwood Tennis Club</t>
        </is>
      </c>
      <c r="I559" t="n">
        <v>39.1</v>
      </c>
      <c r="J559" s="4" t="n">
        <v>22</v>
      </c>
      <c r="K559" t="inlineStr">
        <is>
          <t>9 / 13</t>
        </is>
      </c>
      <c r="L559" t="inlineStr">
        <is>
          <t>2 / 7</t>
        </is>
      </c>
      <c r="M559" s="5" t="n">
        <v>0.41</v>
      </c>
      <c r="N559" s="5" t="n">
        <v>0.22</v>
      </c>
    </row>
    <row r="560">
      <c r="A560" t="n">
        <v>559</v>
      </c>
      <c r="B560" t="n">
        <v>2014</v>
      </c>
      <c r="C560" t="inlineStr">
        <is>
          <t>Chloe Huang</t>
        </is>
      </c>
      <c r="D560">
        <f>HYPERLINK("https://ota.tournamentsoftware.com/player-profile/F00195EB-06BF-48AD-9E24-7FA037871F13", "Link")</f>
        <v/>
      </c>
      <c r="E560" s="3" t="n">
        <v>62.111</v>
      </c>
      <c r="F560" s="4" t="n">
        <v>3</v>
      </c>
      <c r="G560" t="inlineStr">
        <is>
          <t>Ontario Tennis Association</t>
        </is>
      </c>
      <c r="H560" t="inlineStr">
        <is>
          <t>Richmond Hill Country Club</t>
        </is>
      </c>
      <c r="I560" t="n">
        <v>38.8</v>
      </c>
      <c r="J560" s="4" t="n">
        <v>54</v>
      </c>
      <c r="K560" t="inlineStr">
        <is>
          <t>20 / 34</t>
        </is>
      </c>
      <c r="L560" t="inlineStr">
        <is>
          <t>0 / 3</t>
        </is>
      </c>
      <c r="M560" s="5" t="n">
        <v>0.37</v>
      </c>
      <c r="N560" s="5" t="n">
        <v>0</v>
      </c>
    </row>
    <row r="561">
      <c r="A561" t="n">
        <v>560</v>
      </c>
      <c r="B561" t="n">
        <v>2012</v>
      </c>
      <c r="C561" t="inlineStr">
        <is>
          <t>Alice Zhang</t>
        </is>
      </c>
      <c r="D561">
        <f>HYPERLINK("https://ota.tournamentsoftware.com/player-profile/D65C72B6-843B-48BF-A073-AE5080F1EA2D", "Link")</f>
        <v/>
      </c>
      <c r="E561" s="3" t="n">
        <v>61.807</v>
      </c>
      <c r="F561" s="4" t="n">
        <v>4</v>
      </c>
      <c r="G561" t="inlineStr">
        <is>
          <t>Ontario Tennis Association</t>
        </is>
      </c>
      <c r="H561" t="inlineStr">
        <is>
          <t>ACE Tennis - Burlington</t>
        </is>
      </c>
      <c r="I561" t="n">
        <v>37.2</v>
      </c>
      <c r="J561" s="4" t="n">
        <v>10</v>
      </c>
      <c r="K561" t="inlineStr">
        <is>
          <t>2 / 8</t>
        </is>
      </c>
      <c r="L561" t="inlineStr">
        <is>
          <t>2 / 6</t>
        </is>
      </c>
      <c r="M561" s="5" t="n">
        <v>0.2</v>
      </c>
      <c r="N561" s="5" t="n">
        <v>0.25</v>
      </c>
    </row>
    <row r="562">
      <c r="A562" t="n">
        <v>561</v>
      </c>
      <c r="B562" t="n">
        <v>2015</v>
      </c>
      <c r="C562" t="inlineStr">
        <is>
          <t>Clara Surprenant</t>
        </is>
      </c>
      <c r="D562">
        <f>HYPERLINK("https://ota.tournamentsoftware.com/player-profile/82684D26-C7AE-41C6-893D-5E94585A41D7", "Link")</f>
        <v/>
      </c>
      <c r="E562" s="3" t="n">
        <v>60.705</v>
      </c>
      <c r="F562" s="4" t="n">
        <v>6</v>
      </c>
      <c r="G562" t="inlineStr">
        <is>
          <t>Tennis Québec</t>
        </is>
      </c>
      <c r="H562" t="inlineStr">
        <is>
          <t>SANI Sport</t>
        </is>
      </c>
      <c r="I562" t="n">
        <v>36.6</v>
      </c>
      <c r="J562" s="4" t="n">
        <v>85</v>
      </c>
      <c r="K562" t="inlineStr">
        <is>
          <t>40 / 45</t>
        </is>
      </c>
      <c r="L562" t="inlineStr">
        <is>
          <t>2 / 4</t>
        </is>
      </c>
      <c r="M562" s="5" t="n">
        <v>0.47</v>
      </c>
      <c r="N562" s="5" t="n">
        <v>0.33</v>
      </c>
    </row>
    <row r="563">
      <c r="A563" t="n">
        <v>562</v>
      </c>
      <c r="B563" t="n">
        <v>2014</v>
      </c>
      <c r="C563" t="inlineStr">
        <is>
          <t>Minnie Jinwen Xu</t>
        </is>
      </c>
      <c r="D563">
        <f>HYPERLINK("https://ota.tournamentsoftware.com/player-profile/617AABE9-B600-4656-9194-77743DDDC351", "Link")</f>
        <v/>
      </c>
      <c r="E563" s="3" t="n">
        <v>60.695</v>
      </c>
      <c r="F563" s="4" t="n">
        <v>12</v>
      </c>
      <c r="G563" t="inlineStr">
        <is>
          <t>British Columbia</t>
        </is>
      </c>
      <c r="H563" t="inlineStr">
        <is>
          <t>The Tennis Centre</t>
        </is>
      </c>
      <c r="I563" t="n">
        <v>35.4</v>
      </c>
      <c r="J563" s="4" t="n">
        <v>128</v>
      </c>
      <c r="K563" t="inlineStr">
        <is>
          <t>67 / 61</t>
        </is>
      </c>
      <c r="L563" t="inlineStr">
        <is>
          <t>13 / 12</t>
        </is>
      </c>
      <c r="M563" s="5" t="n">
        <v>0.52</v>
      </c>
      <c r="N563" s="5" t="n">
        <v>0.52</v>
      </c>
    </row>
    <row r="564">
      <c r="A564" t="n">
        <v>563</v>
      </c>
      <c r="B564" t="n">
        <v>2016</v>
      </c>
      <c r="C564" t="inlineStr">
        <is>
          <t>Vianna Mostashari</t>
        </is>
      </c>
      <c r="D564">
        <f>HYPERLINK("https://ota.tournamentsoftware.com/player-profile/670B74EC-3F81-45DD-8F9B-AEE768B61639", "Link")</f>
        <v/>
      </c>
      <c r="E564" s="3" t="n">
        <v>60.235</v>
      </c>
      <c r="F564" s="4" t="n">
        <v>11</v>
      </c>
      <c r="G564" t="inlineStr">
        <is>
          <t>British Columbia</t>
        </is>
      </c>
      <c r="H564" t="inlineStr">
        <is>
          <t>North Vancouver Tennis Centre</t>
        </is>
      </c>
      <c r="I564" t="n">
        <v>35.9</v>
      </c>
      <c r="J564" s="4" t="n">
        <v>157</v>
      </c>
      <c r="K564" t="inlineStr">
        <is>
          <t>88 / 69</t>
        </is>
      </c>
      <c r="L564" t="inlineStr">
        <is>
          <t>8 / 16</t>
        </is>
      </c>
      <c r="M564" s="5" t="n">
        <v>0.5600000000000001</v>
      </c>
      <c r="N564" s="5" t="n">
        <v>0.33</v>
      </c>
    </row>
    <row r="565">
      <c r="A565" t="n">
        <v>564</v>
      </c>
      <c r="B565" t="n">
        <v>2015</v>
      </c>
      <c r="C565" t="inlineStr">
        <is>
          <t>Ava Gracia Hurley</t>
        </is>
      </c>
      <c r="D565">
        <f>HYPERLINK("https://ota.tournamentsoftware.com/player-profile/DC3D1043-9FBA-467F-8103-AE9D0DEEF066", "Link")</f>
        <v/>
      </c>
      <c r="E565" s="3" t="n">
        <v>58.941</v>
      </c>
      <c r="F565" s="4" t="n">
        <v>11</v>
      </c>
      <c r="G565" t="inlineStr">
        <is>
          <t>Ontario Tennis Association</t>
        </is>
      </c>
      <c r="H565" t="inlineStr">
        <is>
          <t>Manotick Tennis Club</t>
        </is>
      </c>
      <c r="I565" t="inlineStr">
        <is>
          <t>unavailable</t>
        </is>
      </c>
      <c r="J565" s="4" t="n">
        <v>33</v>
      </c>
      <c r="K565" t="inlineStr">
        <is>
          <t>13 / 20</t>
        </is>
      </c>
      <c r="L565" t="inlineStr">
        <is>
          <t>5 / 9</t>
        </is>
      </c>
      <c r="M565" s="5" t="n">
        <v>0.39</v>
      </c>
      <c r="N565" s="5" t="n">
        <v>0.36</v>
      </c>
    </row>
    <row r="566">
      <c r="A566" t="n">
        <v>565</v>
      </c>
      <c r="B566" t="n">
        <v>2013</v>
      </c>
      <c r="C566" t="inlineStr">
        <is>
          <t>Presley Pellegrino</t>
        </is>
      </c>
      <c r="D566">
        <f>HYPERLINK("https://ota.tournamentsoftware.com/player-profile/A7978533-179E-4FC4-8D48-C160FA6FF2E3", "Link")</f>
        <v/>
      </c>
      <c r="E566" s="3" t="n">
        <v>58.878</v>
      </c>
      <c r="F566" s="4" t="n">
        <v>3</v>
      </c>
      <c r="G566" t="inlineStr">
        <is>
          <t>Ontario Tennis Association</t>
        </is>
      </c>
      <c r="H566" t="inlineStr">
        <is>
          <t>No Club</t>
        </is>
      </c>
      <c r="I566" t="n">
        <v>35.1</v>
      </c>
      <c r="J566" s="4" t="n">
        <v>97</v>
      </c>
      <c r="K566" t="inlineStr">
        <is>
          <t>40 / 57</t>
        </is>
      </c>
      <c r="L566" t="inlineStr">
        <is>
          <t>2 / 2</t>
        </is>
      </c>
      <c r="M566" s="5" t="n">
        <v>0.41</v>
      </c>
      <c r="N566" s="5" t="n">
        <v>0.5</v>
      </c>
    </row>
    <row r="567">
      <c r="A567" t="n">
        <v>566</v>
      </c>
      <c r="B567" t="n">
        <v>2012</v>
      </c>
      <c r="C567" t="inlineStr">
        <is>
          <t>Daniella Maria SAUCEDO</t>
        </is>
      </c>
      <c r="D567">
        <f>HYPERLINK("https://ota.tournamentsoftware.com/player-profile/45A852A0-99BB-4449-9FC4-8CAEBA4B404C", "Link")</f>
        <v/>
      </c>
      <c r="E567" s="3" t="n">
        <v>58.536</v>
      </c>
      <c r="F567" s="4" t="n">
        <v>3</v>
      </c>
      <c r="G567" t="inlineStr">
        <is>
          <t>Ontario Tennis Association</t>
        </is>
      </c>
      <c r="H567" t="inlineStr">
        <is>
          <t>City of Oakville</t>
        </is>
      </c>
      <c r="I567" t="inlineStr">
        <is>
          <t>unavailable</t>
        </is>
      </c>
      <c r="J567" s="4" t="n">
        <v>137</v>
      </c>
      <c r="K567" t="inlineStr">
        <is>
          <t>72 / 65</t>
        </is>
      </c>
      <c r="L567" t="inlineStr">
        <is>
          <t>0 / 0</t>
        </is>
      </c>
      <c r="M567" s="5" t="n">
        <v>0.53</v>
      </c>
      <c r="N567" s="5" t="n">
        <v>0</v>
      </c>
    </row>
    <row r="568">
      <c r="A568" t="n">
        <v>567</v>
      </c>
      <c r="B568" t="n">
        <v>2015</v>
      </c>
      <c r="C568" t="inlineStr">
        <is>
          <t>Aria MARTIN</t>
        </is>
      </c>
      <c r="D568">
        <f>HYPERLINK("https://ota.tournamentsoftware.com/player-profile/220708AF-B049-4C3B-83FA-C1AAC60269C5", "Link")</f>
        <v/>
      </c>
      <c r="E568" s="3" t="n">
        <v>58.434</v>
      </c>
      <c r="F568" s="4" t="n">
        <v>16</v>
      </c>
      <c r="G568" t="inlineStr">
        <is>
          <t>British Columbia</t>
        </is>
      </c>
      <c r="H568" t="inlineStr">
        <is>
          <t>Vancouver Lawn Tennis and Badminton Club</t>
        </is>
      </c>
      <c r="I568" t="n">
        <v>35.2</v>
      </c>
      <c r="J568" s="4" t="n">
        <v>133</v>
      </c>
      <c r="K568" t="inlineStr">
        <is>
          <t>53 / 80</t>
        </is>
      </c>
      <c r="L568" t="inlineStr">
        <is>
          <t>24 / 17</t>
        </is>
      </c>
      <c r="M568" s="5" t="n">
        <v>0.4</v>
      </c>
      <c r="N568" s="5" t="n">
        <v>0.59</v>
      </c>
    </row>
    <row r="569">
      <c r="A569" t="n">
        <v>568</v>
      </c>
      <c r="B569" t="n">
        <v>2012</v>
      </c>
      <c r="C569" t="inlineStr">
        <is>
          <t>Chloe Teng</t>
        </is>
      </c>
      <c r="D569">
        <f>HYPERLINK("https://ota.tournamentsoftware.com/player-profile/F5AC5875-4E89-4D3E-BF17-24986F702240", "Link")</f>
        <v/>
      </c>
      <c r="E569" s="3" t="n">
        <v>58.388</v>
      </c>
      <c r="F569" s="4" t="n">
        <v>12</v>
      </c>
      <c r="G569" t="inlineStr">
        <is>
          <t>Ontario Tennis Association</t>
        </is>
      </c>
      <c r="H569" t="inlineStr">
        <is>
          <t>Tennis Clubs of Canada</t>
        </is>
      </c>
      <c r="I569" t="n">
        <v>38.1</v>
      </c>
      <c r="J569" s="4" t="n">
        <v>45</v>
      </c>
      <c r="K569" t="inlineStr">
        <is>
          <t>12 / 33</t>
        </is>
      </c>
      <c r="L569" t="inlineStr">
        <is>
          <t>9 / 22</t>
        </is>
      </c>
      <c r="M569" s="5" t="n">
        <v>0.27</v>
      </c>
      <c r="N569" s="5" t="n">
        <v>0.29</v>
      </c>
    </row>
    <row r="570">
      <c r="A570" t="n">
        <v>569</v>
      </c>
      <c r="B570" t="n">
        <v>2015</v>
      </c>
      <c r="C570" t="inlineStr">
        <is>
          <t>Maeva Kaur Dhillon</t>
        </is>
      </c>
      <c r="D570">
        <f>HYPERLINK("https://ota.tournamentsoftware.com/player-profile/1E3A662C-1993-423F-99BB-0CD2F93CC62A", "Link")</f>
        <v/>
      </c>
      <c r="E570" s="3" t="n">
        <v>58.125</v>
      </c>
      <c r="F570" s="4" t="n">
        <v>11</v>
      </c>
      <c r="G570" t="inlineStr">
        <is>
          <t>Tennis Alberta</t>
        </is>
      </c>
      <c r="H570" t="inlineStr">
        <is>
          <t>Saville Community Sports Centre</t>
        </is>
      </c>
      <c r="I570" t="n">
        <v>37.4</v>
      </c>
      <c r="J570" s="4" t="n">
        <v>74</v>
      </c>
      <c r="K570" t="inlineStr">
        <is>
          <t>22 / 52</t>
        </is>
      </c>
      <c r="L570" t="inlineStr">
        <is>
          <t>5 / 9</t>
        </is>
      </c>
      <c r="M570" s="5" t="n">
        <v>0.3</v>
      </c>
      <c r="N570" s="5" t="n">
        <v>0.36</v>
      </c>
    </row>
    <row r="571">
      <c r="A571" t="n">
        <v>570</v>
      </c>
      <c r="B571" t="n">
        <v>2013</v>
      </c>
      <c r="C571" t="inlineStr">
        <is>
          <t>Gabrielle Galgay</t>
        </is>
      </c>
      <c r="D571">
        <f>HYPERLINK("https://ota.tournamentsoftware.com/player-profile/1A26365B-FAA0-4130-8F92-B67D497E82D9", "Link")</f>
        <v/>
      </c>
      <c r="E571" s="3" t="n">
        <v>57.069</v>
      </c>
      <c r="F571" s="4" t="n">
        <v>4</v>
      </c>
      <c r="G571" t="inlineStr">
        <is>
          <t>Ontario Tennis Association</t>
        </is>
      </c>
      <c r="H571" t="inlineStr">
        <is>
          <t>No Club</t>
        </is>
      </c>
      <c r="I571" t="n">
        <v>34.3</v>
      </c>
      <c r="J571" s="4" t="n">
        <v>10</v>
      </c>
      <c r="K571" t="inlineStr">
        <is>
          <t>4 / 6</t>
        </is>
      </c>
      <c r="L571" t="inlineStr">
        <is>
          <t>1 / 3</t>
        </is>
      </c>
      <c r="M571" s="5" t="n">
        <v>0.4</v>
      </c>
      <c r="N571" s="5" t="n">
        <v>0.25</v>
      </c>
    </row>
    <row r="572">
      <c r="A572" t="n">
        <v>571</v>
      </c>
      <c r="B572" t="n">
        <v>2013</v>
      </c>
      <c r="C572" t="inlineStr">
        <is>
          <t>Noa Anne Broere</t>
        </is>
      </c>
      <c r="D572">
        <f>HYPERLINK("https://ota.tournamentsoftware.com/player-profile/A5724AD9-99FF-4D46-A565-ED1BBCAE83F4", "Link")</f>
        <v/>
      </c>
      <c r="E572" s="3" t="n">
        <v>57.045</v>
      </c>
      <c r="F572" s="4" t="n">
        <v>15</v>
      </c>
      <c r="G572" t="inlineStr">
        <is>
          <t>British Columbia</t>
        </is>
      </c>
      <c r="H572" t="inlineStr">
        <is>
          <t>Vancouver Lawn Tennis and Badminton Club</t>
        </is>
      </c>
      <c r="I572" t="n">
        <v>34.7</v>
      </c>
      <c r="J572" s="4" t="n">
        <v>75</v>
      </c>
      <c r="K572" t="inlineStr">
        <is>
          <t>30 / 45</t>
        </is>
      </c>
      <c r="L572" t="inlineStr">
        <is>
          <t>9 / 14</t>
        </is>
      </c>
      <c r="M572" s="5" t="n">
        <v>0.4</v>
      </c>
      <c r="N572" s="5" t="n">
        <v>0.39</v>
      </c>
    </row>
    <row r="573">
      <c r="A573" t="n">
        <v>572</v>
      </c>
      <c r="B573" t="n">
        <v>2013</v>
      </c>
      <c r="C573" t="inlineStr">
        <is>
          <t>Grace Christina Lawrence</t>
        </is>
      </c>
      <c r="D573">
        <f>HYPERLINK("https://ota.tournamentsoftware.com/player-profile/9FEF2F9B-F202-41CF-8B36-42B1520055E0", "Link")</f>
        <v/>
      </c>
      <c r="E573" s="3" t="n">
        <v>57.027</v>
      </c>
      <c r="F573" s="4" t="n">
        <v>9</v>
      </c>
      <c r="G573" t="inlineStr">
        <is>
          <t>Ontario Tennis Association</t>
        </is>
      </c>
      <c r="H573" t="inlineStr">
        <is>
          <t>Toronto Lawn Tennis Club</t>
        </is>
      </c>
      <c r="I573" t="n">
        <v>35.9</v>
      </c>
      <c r="J573" s="4" t="n">
        <v>107</v>
      </c>
      <c r="K573" t="inlineStr">
        <is>
          <t>48 / 59</t>
        </is>
      </c>
      <c r="L573" t="inlineStr">
        <is>
          <t>4 / 4</t>
        </is>
      </c>
      <c r="M573" s="5" t="n">
        <v>0.45</v>
      </c>
      <c r="N573" s="5" t="n">
        <v>0.5</v>
      </c>
    </row>
    <row r="574">
      <c r="A574" t="n">
        <v>573</v>
      </c>
      <c r="B574" t="n">
        <v>2013</v>
      </c>
      <c r="C574" t="inlineStr">
        <is>
          <t>Daniella Adekoya</t>
        </is>
      </c>
      <c r="D574">
        <f>HYPERLINK("https://ota.tournamentsoftware.com/player-profile/1AE7E627-3ED1-4E93-9C7E-52183DBA7410", "Link")</f>
        <v/>
      </c>
      <c r="E574" s="3" t="n">
        <v>55.728</v>
      </c>
      <c r="F574" s="4" t="n">
        <v>2</v>
      </c>
      <c r="G574" t="inlineStr">
        <is>
          <t>Ontario Tennis Association</t>
        </is>
      </c>
      <c r="H574" t="inlineStr">
        <is>
          <t>Rideau Sports Centre</t>
        </is>
      </c>
      <c r="I574" t="n">
        <v>35.5</v>
      </c>
      <c r="J574" s="4" t="n">
        <v>27</v>
      </c>
      <c r="K574" t="inlineStr">
        <is>
          <t>8 / 19</t>
        </is>
      </c>
      <c r="L574" t="inlineStr">
        <is>
          <t>1 / 2</t>
        </is>
      </c>
      <c r="M574" s="5" t="n">
        <v>0.3</v>
      </c>
      <c r="N574" s="5" t="n">
        <v>0.33</v>
      </c>
    </row>
    <row r="575">
      <c r="A575" t="n">
        <v>574</v>
      </c>
      <c r="B575" t="n">
        <v>2013</v>
      </c>
      <c r="C575" t="inlineStr">
        <is>
          <t>Anika Surtani</t>
        </is>
      </c>
      <c r="D575">
        <f>HYPERLINK("https://ota.tournamentsoftware.com/player-profile/8434E356-BD3E-4FDA-9513-46F335FD471C", "Link")</f>
        <v/>
      </c>
      <c r="E575" s="3" t="n">
        <v>55.444</v>
      </c>
      <c r="F575" s="4" t="n">
        <v>7</v>
      </c>
      <c r="G575" t="inlineStr">
        <is>
          <t>Ontario Tennis Association</t>
        </is>
      </c>
      <c r="H575" t="inlineStr">
        <is>
          <t>Boulevard Club</t>
        </is>
      </c>
      <c r="I575" t="inlineStr">
        <is>
          <t>unavailable</t>
        </is>
      </c>
      <c r="J575" s="4" t="n">
        <v>20</v>
      </c>
      <c r="K575" t="inlineStr">
        <is>
          <t>5 / 15</t>
        </is>
      </c>
      <c r="L575" t="inlineStr">
        <is>
          <t>3 / 7</t>
        </is>
      </c>
      <c r="M575" s="5" t="n">
        <v>0.25</v>
      </c>
      <c r="N575" s="5" t="n">
        <v>0.3</v>
      </c>
    </row>
    <row r="576">
      <c r="A576" t="n">
        <v>575</v>
      </c>
      <c r="B576" t="n">
        <v>2015</v>
      </c>
      <c r="C576" t="inlineStr">
        <is>
          <t>Madeleine Penelope Haun</t>
        </is>
      </c>
      <c r="D576">
        <f>HYPERLINK("https://ota.tournamentsoftware.com/player-profile/6F8A0525-0D8F-4263-8F76-0B8CF4B34D42", "Link")</f>
        <v/>
      </c>
      <c r="E576" s="3" t="n">
        <v>55.31</v>
      </c>
      <c r="F576" s="4" t="n">
        <v>10</v>
      </c>
      <c r="G576" t="inlineStr">
        <is>
          <t>Tennis Alberta</t>
        </is>
      </c>
      <c r="H576" t="inlineStr">
        <is>
          <t>Osten &amp; Victor Alberta Tennis Centre</t>
        </is>
      </c>
      <c r="I576" t="n">
        <v>37.3</v>
      </c>
      <c r="J576" s="4" t="n">
        <v>152</v>
      </c>
      <c r="K576" t="inlineStr">
        <is>
          <t>82 / 70</t>
        </is>
      </c>
      <c r="L576" t="inlineStr">
        <is>
          <t>5 / 8</t>
        </is>
      </c>
      <c r="M576" s="5" t="n">
        <v>0.54</v>
      </c>
      <c r="N576" s="5" t="n">
        <v>0.38</v>
      </c>
    </row>
    <row r="577">
      <c r="A577" t="n">
        <v>576</v>
      </c>
      <c r="B577" t="n">
        <v>2012</v>
      </c>
      <c r="C577" t="inlineStr">
        <is>
          <t>Karmi Singh</t>
        </is>
      </c>
      <c r="D577">
        <f>HYPERLINK("https://ota.tournamentsoftware.com/player-profile/B68DC1C1-BC37-443E-AB03-601E1E7E72A2", "Link")</f>
        <v/>
      </c>
      <c r="E577" s="3" t="n">
        <v>54.499</v>
      </c>
      <c r="F577" s="4" t="n">
        <v>4</v>
      </c>
      <c r="G577" t="inlineStr">
        <is>
          <t>Ontario Tennis Association</t>
        </is>
      </c>
      <c r="H577" t="inlineStr">
        <is>
          <t>Ontario Racquet Club</t>
        </is>
      </c>
      <c r="I577" t="inlineStr">
        <is>
          <t>unavailable</t>
        </is>
      </c>
      <c r="J577" s="4" t="n">
        <v>59</v>
      </c>
      <c r="K577" t="inlineStr">
        <is>
          <t>26 / 33</t>
        </is>
      </c>
      <c r="L577" t="inlineStr">
        <is>
          <t>1 / 5</t>
        </is>
      </c>
      <c r="M577" s="5" t="n">
        <v>0.44</v>
      </c>
      <c r="N577" s="5" t="n">
        <v>0.17</v>
      </c>
    </row>
    <row r="578">
      <c r="A578" t="n">
        <v>577</v>
      </c>
      <c r="B578" t="n">
        <v>2016</v>
      </c>
      <c r="C578" t="inlineStr">
        <is>
          <t>Xirui Ding</t>
        </is>
      </c>
      <c r="D578">
        <f>HYPERLINK("https://ota.tournamentsoftware.com/player-profile/6DC46DF7-2964-4ED2-9C01-D39C773C942F", "Link")</f>
        <v/>
      </c>
      <c r="E578" s="3" t="n">
        <v>54.085</v>
      </c>
      <c r="F578" s="4" t="n">
        <v>7</v>
      </c>
      <c r="G578" t="inlineStr">
        <is>
          <t>Ontario Tennis Association</t>
        </is>
      </c>
      <c r="H578" t="inlineStr">
        <is>
          <t>Valan Tennis Academy</t>
        </is>
      </c>
      <c r="I578" t="n">
        <v>37.5</v>
      </c>
      <c r="J578" s="4" t="n">
        <v>117</v>
      </c>
      <c r="K578" t="inlineStr">
        <is>
          <t>72 / 45</t>
        </is>
      </c>
      <c r="L578" t="inlineStr">
        <is>
          <t>67 / 36</t>
        </is>
      </c>
      <c r="M578" s="5" t="n">
        <v>0.62</v>
      </c>
      <c r="N578" s="5" t="n">
        <v>0.65</v>
      </c>
    </row>
    <row r="579">
      <c r="A579" t="n">
        <v>578</v>
      </c>
      <c r="B579" t="n">
        <v>2015</v>
      </c>
      <c r="C579" t="inlineStr">
        <is>
          <t>Miadel Flores</t>
        </is>
      </c>
      <c r="D579">
        <f>HYPERLINK("https://ota.tournamentsoftware.com/player-profile/19F5DCB9-D4C1-477E-9443-DA276E9A30BC", "Link")</f>
        <v/>
      </c>
      <c r="E579" s="3" t="n">
        <v>53.935</v>
      </c>
      <c r="F579" s="4" t="n">
        <v>5</v>
      </c>
      <c r="G579" t="inlineStr">
        <is>
          <t>Tennis Québec</t>
        </is>
      </c>
      <c r="H579" t="inlineStr">
        <is>
          <t>No Club</t>
        </is>
      </c>
      <c r="I579" t="n">
        <v>40</v>
      </c>
      <c r="J579" s="4" t="n">
        <v>8</v>
      </c>
      <c r="K579" t="inlineStr">
        <is>
          <t>1 / 7</t>
        </is>
      </c>
      <c r="L579" t="inlineStr">
        <is>
          <t>1 / 7</t>
        </is>
      </c>
      <c r="M579" s="5" t="n">
        <v>0.12</v>
      </c>
      <c r="N579" s="5" t="n">
        <v>0.12</v>
      </c>
    </row>
    <row r="580">
      <c r="A580" t="n">
        <v>579</v>
      </c>
      <c r="B580" t="n">
        <v>2016</v>
      </c>
      <c r="C580" t="inlineStr">
        <is>
          <t>Saanvi Sharma</t>
        </is>
      </c>
      <c r="D580">
        <f>HYPERLINK("https://ota.tournamentsoftware.com/player-profile/CE1D7CD8-1C3C-4F68-B568-48AC24E75437", "Link")</f>
        <v/>
      </c>
      <c r="E580" s="3" t="n">
        <v>53.28</v>
      </c>
      <c r="F580" s="4" t="n">
        <v>5</v>
      </c>
      <c r="G580" t="inlineStr">
        <is>
          <t>Tennis Québec</t>
        </is>
      </c>
      <c r="H580" t="inlineStr">
        <is>
          <t>Tennis Ile- des- Soeurs</t>
        </is>
      </c>
      <c r="I580" t="n">
        <v>36.8</v>
      </c>
      <c r="J580" s="4" t="n">
        <v>91</v>
      </c>
      <c r="K580" t="inlineStr">
        <is>
          <t>44 / 47</t>
        </is>
      </c>
      <c r="L580" t="inlineStr">
        <is>
          <t>12 / 9</t>
        </is>
      </c>
      <c r="M580" s="5" t="n">
        <v>0.48</v>
      </c>
      <c r="N580" s="5" t="n">
        <v>0.57</v>
      </c>
    </row>
    <row r="581">
      <c r="A581" t="n">
        <v>580</v>
      </c>
      <c r="B581" t="n">
        <v>2013</v>
      </c>
      <c r="C581" t="inlineStr">
        <is>
          <t>Julia Soldatov</t>
        </is>
      </c>
      <c r="D581">
        <f>HYPERLINK("https://ota.tournamentsoftware.com/player-profile/9CDD8F0E-2B06-4818-8B32-A0ED95A9E6DF", "Link")</f>
        <v/>
      </c>
      <c r="E581" s="3" t="n">
        <v>53.274</v>
      </c>
      <c r="F581" s="4" t="n">
        <v>5</v>
      </c>
      <c r="G581" t="inlineStr">
        <is>
          <t>Ontario Tennis Association</t>
        </is>
      </c>
      <c r="H581" t="inlineStr">
        <is>
          <t>Newmarket Community Tennis Club</t>
        </is>
      </c>
      <c r="I581" t="n">
        <v>38.8</v>
      </c>
      <c r="J581" s="4" t="n">
        <v>19</v>
      </c>
      <c r="K581" t="inlineStr">
        <is>
          <t>6 / 13</t>
        </is>
      </c>
      <c r="L581" t="inlineStr">
        <is>
          <t>6 / 13</t>
        </is>
      </c>
      <c r="M581" s="5" t="n">
        <v>0.32</v>
      </c>
      <c r="N581" s="5" t="n">
        <v>0.32</v>
      </c>
    </row>
    <row r="582">
      <c r="A582" t="n">
        <v>581</v>
      </c>
      <c r="B582" t="n">
        <v>2015</v>
      </c>
      <c r="C582" t="inlineStr">
        <is>
          <t>Dania Ahmed</t>
        </is>
      </c>
      <c r="D582">
        <f>HYPERLINK("https://ota.tournamentsoftware.com/player-profile/3A4EF5D7-2C40-4E2A-A979-D3231C03A93C", "Link")</f>
        <v/>
      </c>
      <c r="E582" s="3" t="n">
        <v>53.149</v>
      </c>
      <c r="F582" s="4" t="n">
        <v>12</v>
      </c>
      <c r="G582" t="inlineStr">
        <is>
          <t>Ontario Tennis Association</t>
        </is>
      </c>
      <c r="H582" t="inlineStr">
        <is>
          <t>Waterloo Tennis Club</t>
        </is>
      </c>
      <c r="I582" t="n">
        <v>37.2</v>
      </c>
      <c r="J582" s="4" t="n">
        <v>85</v>
      </c>
      <c r="K582" t="inlineStr">
        <is>
          <t>50 / 35</t>
        </is>
      </c>
      <c r="L582" t="inlineStr">
        <is>
          <t>3 / 10</t>
        </is>
      </c>
      <c r="M582" s="5" t="n">
        <v>0.59</v>
      </c>
      <c r="N582" s="5" t="n">
        <v>0.23</v>
      </c>
    </row>
    <row r="583">
      <c r="A583" t="n">
        <v>582</v>
      </c>
      <c r="B583" t="n">
        <v>2014</v>
      </c>
      <c r="C583" t="inlineStr">
        <is>
          <t>Julia Jzmati</t>
        </is>
      </c>
      <c r="D583">
        <f>HYPERLINK("https://ota.tournamentsoftware.com/player-profile/2AADF196-C892-43B1-9128-5338F8D87E95", "Link")</f>
        <v/>
      </c>
      <c r="E583" s="3" t="n">
        <v>52.454</v>
      </c>
      <c r="F583" s="4" t="n">
        <v>11</v>
      </c>
      <c r="G583" t="inlineStr">
        <is>
          <t>Ontario Tennis Association</t>
        </is>
      </c>
      <c r="H583" t="inlineStr">
        <is>
          <t>Rideau Sports Centre</t>
        </is>
      </c>
      <c r="I583" t="n">
        <v>39.2</v>
      </c>
      <c r="J583" s="4" t="n">
        <v>32</v>
      </c>
      <c r="K583" t="inlineStr">
        <is>
          <t>6 / 26</t>
        </is>
      </c>
      <c r="L583" t="inlineStr">
        <is>
          <t>2 / 11</t>
        </is>
      </c>
      <c r="M583" s="5" t="n">
        <v>0.19</v>
      </c>
      <c r="N583" s="5" t="n">
        <v>0.15</v>
      </c>
    </row>
    <row r="584">
      <c r="A584" t="n">
        <v>583</v>
      </c>
      <c r="B584" t="n">
        <v>2014</v>
      </c>
      <c r="C584" t="inlineStr">
        <is>
          <t>Tara Nastic</t>
        </is>
      </c>
      <c r="D584">
        <f>HYPERLINK("https://ota.tournamentsoftware.com/player-profile/43FF8AFD-A54E-4011-88C7-132B60B568E8", "Link")</f>
        <v/>
      </c>
      <c r="E584" s="3" t="n">
        <v>51.12</v>
      </c>
      <c r="F584" s="4" t="n">
        <v>4</v>
      </c>
      <c r="G584" t="inlineStr">
        <is>
          <t>Ontario Tennis Association</t>
        </is>
      </c>
      <c r="H584" t="inlineStr">
        <is>
          <t>Royal City Tennis Club</t>
        </is>
      </c>
      <c r="I584" t="inlineStr">
        <is>
          <t>unavailable</t>
        </is>
      </c>
      <c r="J584" s="4" t="n">
        <v>20</v>
      </c>
      <c r="K584" t="inlineStr">
        <is>
          <t>4 / 16</t>
        </is>
      </c>
      <c r="L584" t="inlineStr">
        <is>
          <t>1 / 4</t>
        </is>
      </c>
      <c r="M584" s="5" t="n">
        <v>0.2</v>
      </c>
      <c r="N584" s="5" t="n">
        <v>0.2</v>
      </c>
    </row>
    <row r="585">
      <c r="A585" t="n">
        <v>584</v>
      </c>
      <c r="B585" t="n">
        <v>2014</v>
      </c>
      <c r="C585" t="inlineStr">
        <is>
          <t>Ann Ha</t>
        </is>
      </c>
      <c r="D585">
        <f>HYPERLINK("https://ota.tournamentsoftware.com/player-profile/139E73DD-882F-4509-9B0C-BB790DA8399D", "Link")</f>
        <v/>
      </c>
      <c r="E585" s="3" t="n">
        <v>50.846</v>
      </c>
      <c r="F585" s="4" t="n">
        <v>3</v>
      </c>
      <c r="G585" t="inlineStr">
        <is>
          <t>Tennis Saskatchewan</t>
        </is>
      </c>
      <c r="H585" t="inlineStr">
        <is>
          <t>Lakewood Indoor Tennis Centre</t>
        </is>
      </c>
      <c r="I585" t="inlineStr">
        <is>
          <t>unavailable</t>
        </is>
      </c>
      <c r="J585" s="4" t="n">
        <v>9</v>
      </c>
      <c r="K585" t="inlineStr">
        <is>
          <t>1 / 8</t>
        </is>
      </c>
      <c r="L585" t="inlineStr">
        <is>
          <t>1 / 8</t>
        </is>
      </c>
      <c r="M585" s="5" t="n">
        <v>0.11</v>
      </c>
      <c r="N585" s="5" t="n">
        <v>0.11</v>
      </c>
    </row>
    <row r="586">
      <c r="A586" t="n">
        <v>585</v>
      </c>
      <c r="B586" t="n">
        <v>2012</v>
      </c>
      <c r="C586" t="inlineStr">
        <is>
          <t>Elise Chan</t>
        </is>
      </c>
      <c r="D586">
        <f>HYPERLINK("https://ota.tournamentsoftware.com/player-profile/74C14A51-A560-4368-85E6-96F13264726F", "Link")</f>
        <v/>
      </c>
      <c r="E586" s="3" t="n">
        <v>50.266</v>
      </c>
      <c r="F586" s="4" t="n">
        <v>4</v>
      </c>
      <c r="G586" t="inlineStr">
        <is>
          <t>Ontario Tennis Association</t>
        </is>
      </c>
      <c r="H586" t="inlineStr">
        <is>
          <t>Rideau Sports Centre</t>
        </is>
      </c>
      <c r="I586" t="n">
        <v>38.4</v>
      </c>
      <c r="J586" s="4" t="n">
        <v>3</v>
      </c>
      <c r="K586" t="inlineStr">
        <is>
          <t>0 / 3</t>
        </is>
      </c>
      <c r="L586" t="inlineStr">
        <is>
          <t>0 / 3</t>
        </is>
      </c>
      <c r="M586" s="5" t="n">
        <v>0</v>
      </c>
      <c r="N586" s="5" t="n">
        <v>0</v>
      </c>
    </row>
    <row r="587">
      <c r="A587" t="n">
        <v>586</v>
      </c>
      <c r="B587" t="n">
        <v>2014</v>
      </c>
      <c r="C587" t="inlineStr">
        <is>
          <t>Sofia Morisette</t>
        </is>
      </c>
      <c r="D587">
        <f>HYPERLINK("https://ota.tournamentsoftware.com/player-profile/F99611AC-3485-4574-897D-68151916B40D", "Link")</f>
        <v/>
      </c>
      <c r="E587" s="3" t="n">
        <v>50.011</v>
      </c>
      <c r="F587" s="4" t="n">
        <v>4</v>
      </c>
      <c r="G587" t="inlineStr">
        <is>
          <t>British Columbia</t>
        </is>
      </c>
      <c r="H587" t="inlineStr">
        <is>
          <t>Tennis BC Hub @ Richmond</t>
        </is>
      </c>
      <c r="I587" t="n">
        <v>35.8</v>
      </c>
      <c r="J587" s="4" t="n">
        <v>128</v>
      </c>
      <c r="K587" t="inlineStr">
        <is>
          <t>51 / 77</t>
        </is>
      </c>
      <c r="L587" t="inlineStr">
        <is>
          <t>2 / 6</t>
        </is>
      </c>
      <c r="M587" s="5" t="n">
        <v>0.4</v>
      </c>
      <c r="N587" s="5" t="n">
        <v>0.25</v>
      </c>
    </row>
    <row r="588">
      <c r="A588" t="n">
        <v>587</v>
      </c>
      <c r="B588" t="n">
        <v>2014</v>
      </c>
      <c r="C588" t="inlineStr">
        <is>
          <t>Charlotte Adeline Ratchford</t>
        </is>
      </c>
      <c r="D588">
        <f>HYPERLINK("https://ota.tournamentsoftware.com/player-profile/552DF1FC-65F6-48FE-8B31-884C1DC273DB", "Link")</f>
        <v/>
      </c>
      <c r="E588" s="3" t="n">
        <v>49.765</v>
      </c>
      <c r="F588" s="4" t="n">
        <v>17</v>
      </c>
      <c r="G588" t="inlineStr">
        <is>
          <t>British Columbia</t>
        </is>
      </c>
      <c r="H588" t="inlineStr">
        <is>
          <t>Jericho Tennis Club</t>
        </is>
      </c>
      <c r="I588" t="n">
        <v>36.9</v>
      </c>
      <c r="J588" s="4" t="n">
        <v>45</v>
      </c>
      <c r="K588" t="inlineStr">
        <is>
          <t>14 / 31</t>
        </is>
      </c>
      <c r="L588" t="inlineStr">
        <is>
          <t>12 / 26</t>
        </is>
      </c>
      <c r="M588" s="5" t="n">
        <v>0.31</v>
      </c>
      <c r="N588" s="5" t="n">
        <v>0.32</v>
      </c>
    </row>
    <row r="589">
      <c r="A589" t="n">
        <v>588</v>
      </c>
      <c r="B589" t="n">
        <v>2014</v>
      </c>
      <c r="C589" t="inlineStr">
        <is>
          <t>Emma Ghantous</t>
        </is>
      </c>
      <c r="D589">
        <f>HYPERLINK("https://ota.tournamentsoftware.com/player-profile/0EA6BF71-F3BF-4EA7-95F6-B80CD551F4FB", "Link")</f>
        <v/>
      </c>
      <c r="E589" s="3" t="n">
        <v>49.68</v>
      </c>
      <c r="F589" s="4" t="n">
        <v>2</v>
      </c>
      <c r="G589" t="inlineStr">
        <is>
          <t>Tennis Québec</t>
        </is>
      </c>
      <c r="H589" t="inlineStr">
        <is>
          <t>Tennis 13</t>
        </is>
      </c>
      <c r="I589" t="n">
        <v>33.4</v>
      </c>
      <c r="J589" s="4" t="n">
        <v>126</v>
      </c>
      <c r="K589" t="inlineStr">
        <is>
          <t>77 / 49</t>
        </is>
      </c>
      <c r="L589" t="inlineStr">
        <is>
          <t>0 / 0</t>
        </is>
      </c>
      <c r="M589" s="5" t="n">
        <v>0.61</v>
      </c>
      <c r="N589" s="5" t="n">
        <v>0</v>
      </c>
    </row>
    <row r="590">
      <c r="A590" t="n">
        <v>589</v>
      </c>
      <c r="B590" t="n">
        <v>2015</v>
      </c>
      <c r="C590" t="inlineStr">
        <is>
          <t>Sofia Kiselenko</t>
        </is>
      </c>
      <c r="D590">
        <f>HYPERLINK("https://ota.tournamentsoftware.com/player-profile/8164E8EB-17A8-4270-A12B-31EFF18C9343", "Link")</f>
        <v/>
      </c>
      <c r="E590" s="3" t="n">
        <v>49.342</v>
      </c>
      <c r="F590" s="4" t="n">
        <v>16</v>
      </c>
      <c r="G590" t="inlineStr">
        <is>
          <t>Tennis Alberta</t>
        </is>
      </c>
      <c r="H590" t="inlineStr">
        <is>
          <t>Osten &amp; Victor Alberta Tennis Centre</t>
        </is>
      </c>
      <c r="I590" t="n">
        <v>37</v>
      </c>
      <c r="J590" s="4" t="n">
        <v>133</v>
      </c>
      <c r="K590" t="inlineStr">
        <is>
          <t>44 / 89</t>
        </is>
      </c>
      <c r="L590" t="inlineStr">
        <is>
          <t>12 / 15</t>
        </is>
      </c>
      <c r="M590" s="5" t="n">
        <v>0.33</v>
      </c>
      <c r="N590" s="5" t="n">
        <v>0.44</v>
      </c>
    </row>
    <row r="591">
      <c r="A591" t="n">
        <v>590</v>
      </c>
      <c r="B591" t="n">
        <v>2016</v>
      </c>
      <c r="C591" t="inlineStr">
        <is>
          <t>Olivia Yueer Hao</t>
        </is>
      </c>
      <c r="D591">
        <f>HYPERLINK("https://ota.tournamentsoftware.com/player-profile/61C0E090-4E32-499F-86FE-FFD674DD6128", "Link")</f>
        <v/>
      </c>
      <c r="E591" s="3" t="n">
        <v>49.177</v>
      </c>
      <c r="F591" s="4" t="n">
        <v>9</v>
      </c>
      <c r="G591" t="inlineStr">
        <is>
          <t>Ontario Tennis Association</t>
        </is>
      </c>
      <c r="H591" t="inlineStr">
        <is>
          <t>Valan Tennis Academy</t>
        </is>
      </c>
      <c r="I591" t="n">
        <v>38.1</v>
      </c>
      <c r="J591" s="4" t="n">
        <v>73</v>
      </c>
      <c r="K591" t="inlineStr">
        <is>
          <t>33 / 40</t>
        </is>
      </c>
      <c r="L591" t="inlineStr">
        <is>
          <t>29 / 25</t>
        </is>
      </c>
      <c r="M591" s="5" t="n">
        <v>0.45</v>
      </c>
      <c r="N591" s="5" t="n">
        <v>0.54</v>
      </c>
    </row>
    <row r="592">
      <c r="A592" t="n">
        <v>591</v>
      </c>
      <c r="B592" t="n">
        <v>2017</v>
      </c>
      <c r="C592" t="inlineStr">
        <is>
          <t>Vivian Spurrell</t>
        </is>
      </c>
      <c r="D592">
        <f>HYPERLINK("https://ota.tournamentsoftware.com/player-profile/9CFE670B-9D8C-4BC2-8DDB-1C78F17AE1FF", "Link")</f>
        <v/>
      </c>
      <c r="E592" s="3" t="n">
        <v>49.126</v>
      </c>
      <c r="F592" s="4" t="n">
        <v>3</v>
      </c>
      <c r="G592" t="inlineStr">
        <is>
          <t>Tennis Newfoundland &amp; Labrador</t>
        </is>
      </c>
      <c r="H592" t="inlineStr">
        <is>
          <t>Greenbelt Tennis Club</t>
        </is>
      </c>
      <c r="I592" t="inlineStr">
        <is>
          <t>unavailable</t>
        </is>
      </c>
      <c r="J592" s="4" t="n">
        <v>20</v>
      </c>
      <c r="K592" t="inlineStr">
        <is>
          <t>15 / 5</t>
        </is>
      </c>
      <c r="L592" t="inlineStr">
        <is>
          <t>11 / 3</t>
        </is>
      </c>
      <c r="M592" s="5" t="n">
        <v>0.75</v>
      </c>
      <c r="N592" s="5" t="n">
        <v>0.79</v>
      </c>
    </row>
    <row r="593">
      <c r="A593" t="n">
        <v>592</v>
      </c>
      <c r="B593" t="n">
        <v>2015</v>
      </c>
      <c r="C593" t="inlineStr">
        <is>
          <t>Scarlett Chan</t>
        </is>
      </c>
      <c r="D593">
        <f>HYPERLINK("https://ota.tournamentsoftware.com/player-profile/FC173056-E1A0-4194-9722-D15B8524262F", "Link")</f>
        <v/>
      </c>
      <c r="E593" s="3" t="n">
        <v>48.556</v>
      </c>
      <c r="F593" s="4" t="n">
        <v>5</v>
      </c>
      <c r="G593" t="inlineStr">
        <is>
          <t>Ontario Tennis Association</t>
        </is>
      </c>
      <c r="H593" t="inlineStr">
        <is>
          <t>Mayfair East Racquet Club</t>
        </is>
      </c>
      <c r="I593" t="n">
        <v>36.7</v>
      </c>
      <c r="J593" s="4" t="n">
        <v>81</v>
      </c>
      <c r="K593" t="inlineStr">
        <is>
          <t>48 / 33</t>
        </is>
      </c>
      <c r="L593" t="inlineStr">
        <is>
          <t>4 / 7</t>
        </is>
      </c>
      <c r="M593" s="5" t="n">
        <v>0.59</v>
      </c>
      <c r="N593" s="5" t="n">
        <v>0.36</v>
      </c>
    </row>
    <row r="594">
      <c r="A594" t="n">
        <v>593</v>
      </c>
      <c r="B594" t="n">
        <v>2015</v>
      </c>
      <c r="C594" t="inlineStr">
        <is>
          <t>Aubrey Baldinelli</t>
        </is>
      </c>
      <c r="D594">
        <f>HYPERLINK("https://ota.tournamentsoftware.com/player-profile/4C52D449-95CA-49A9-B524-B01117EAD86C", "Link")</f>
        <v/>
      </c>
      <c r="E594" s="3" t="n">
        <v>48.55</v>
      </c>
      <c r="F594" s="4" t="n">
        <v>10</v>
      </c>
      <c r="G594" t="inlineStr">
        <is>
          <t>Ontario Tennis Association</t>
        </is>
      </c>
      <c r="H594" t="inlineStr">
        <is>
          <t>Youngs Sportsplex</t>
        </is>
      </c>
      <c r="I594" t="n">
        <v>37.4</v>
      </c>
      <c r="J594" s="4" t="n">
        <v>43</v>
      </c>
      <c r="K594" t="inlineStr">
        <is>
          <t>22 / 21</t>
        </is>
      </c>
      <c r="L594" t="inlineStr">
        <is>
          <t>5 / 13</t>
        </is>
      </c>
      <c r="M594" s="5" t="n">
        <v>0.51</v>
      </c>
      <c r="N594" s="5" t="n">
        <v>0.28</v>
      </c>
    </row>
    <row r="595">
      <c r="A595" t="n">
        <v>594</v>
      </c>
      <c r="B595" t="n">
        <v>2014</v>
      </c>
      <c r="C595" t="inlineStr">
        <is>
          <t>Tess Marie Trenholm</t>
        </is>
      </c>
      <c r="D595">
        <f>HYPERLINK("https://ota.tournamentsoftware.com/player-profile/37DD9223-BE00-45F7-9DE9-3EA92F74CD7B", "Link")</f>
        <v/>
      </c>
      <c r="E595" s="3" t="n">
        <v>48.421</v>
      </c>
      <c r="F595" s="4" t="n">
        <v>16</v>
      </c>
      <c r="G595" t="inlineStr">
        <is>
          <t>Ontario Tennis Association</t>
        </is>
      </c>
      <c r="H595" t="inlineStr">
        <is>
          <t>Ontario Racquet Club</t>
        </is>
      </c>
      <c r="I595" t="n">
        <v>38</v>
      </c>
      <c r="J595" s="4" t="n">
        <v>96</v>
      </c>
      <c r="K595" t="inlineStr">
        <is>
          <t>27 / 69</t>
        </is>
      </c>
      <c r="L595" t="inlineStr">
        <is>
          <t>8 / 14</t>
        </is>
      </c>
      <c r="M595" s="5" t="n">
        <v>0.28</v>
      </c>
      <c r="N595" s="5" t="n">
        <v>0.36</v>
      </c>
    </row>
    <row r="596">
      <c r="A596" t="n">
        <v>595</v>
      </c>
      <c r="B596" t="n">
        <v>2013</v>
      </c>
      <c r="C596" t="inlineStr">
        <is>
          <t>Gloria Yang</t>
        </is>
      </c>
      <c r="D596">
        <f>HYPERLINK("https://ota.tournamentsoftware.com/player-profile/93D03535-4A4B-4898-A531-8F0DB9BA8BD8", "Link")</f>
        <v/>
      </c>
      <c r="E596" s="3" t="n">
        <v>48.153</v>
      </c>
      <c r="F596" s="4" t="n">
        <v>2</v>
      </c>
      <c r="G596" t="inlineStr">
        <is>
          <t>Tennis Prince Edward Island</t>
        </is>
      </c>
      <c r="H596" t="inlineStr">
        <is>
          <t>Royalty Racquet Centre</t>
        </is>
      </c>
      <c r="I596" t="inlineStr">
        <is>
          <t>unavailable</t>
        </is>
      </c>
      <c r="J596" s="4" t="n">
        <v>24</v>
      </c>
      <c r="K596" t="inlineStr">
        <is>
          <t>11 / 13</t>
        </is>
      </c>
      <c r="L596" t="inlineStr">
        <is>
          <t>7 / 9</t>
        </is>
      </c>
      <c r="M596" s="5" t="n">
        <v>0.46</v>
      </c>
      <c r="N596" s="5" t="n">
        <v>0.44</v>
      </c>
    </row>
    <row r="597">
      <c r="A597" t="n">
        <v>596</v>
      </c>
      <c r="B597" t="n">
        <v>2016</v>
      </c>
      <c r="C597" t="inlineStr">
        <is>
          <t>Chloe Garikimukkula</t>
        </is>
      </c>
      <c r="D597">
        <f>HYPERLINK("https://ota.tournamentsoftware.com/player-profile/8B630DA5-F61E-4159-9316-7EA463790908", "Link")</f>
        <v/>
      </c>
      <c r="E597" s="3" t="n">
        <v>47.448</v>
      </c>
      <c r="F597" s="4" t="n">
        <v>12</v>
      </c>
      <c r="G597" t="inlineStr">
        <is>
          <t>Ontario Tennis Association</t>
        </is>
      </c>
      <c r="H597" t="inlineStr">
        <is>
          <t>Burlington Tennis Club</t>
        </is>
      </c>
      <c r="I597" t="n">
        <v>36.9</v>
      </c>
      <c r="J597" s="4" t="n">
        <v>102</v>
      </c>
      <c r="K597" t="inlineStr">
        <is>
          <t>58 / 44</t>
        </is>
      </c>
      <c r="L597" t="inlineStr">
        <is>
          <t>39 / 29</t>
        </is>
      </c>
      <c r="M597" s="5" t="n">
        <v>0.57</v>
      </c>
      <c r="N597" s="5" t="n">
        <v>0.57</v>
      </c>
    </row>
    <row r="598">
      <c r="A598" t="n">
        <v>597</v>
      </c>
      <c r="B598" t="n">
        <v>2015</v>
      </c>
      <c r="C598" t="inlineStr">
        <is>
          <t>Anna Bella Grozdanovski</t>
        </is>
      </c>
      <c r="D598">
        <f>HYPERLINK("https://ota.tournamentsoftware.com/player-profile/C1BD78E7-5BB0-4BD0-9D53-DA02A232F8A0", "Link")</f>
        <v/>
      </c>
      <c r="E598" s="3" t="n">
        <v>46.908</v>
      </c>
      <c r="F598" s="4" t="n">
        <v>6</v>
      </c>
      <c r="G598" t="inlineStr">
        <is>
          <t>Ontario Tennis Association</t>
        </is>
      </c>
      <c r="H598" t="inlineStr">
        <is>
          <t>No Club</t>
        </is>
      </c>
      <c r="I598" t="n">
        <v>36.5</v>
      </c>
      <c r="J598" s="4" t="n">
        <v>40</v>
      </c>
      <c r="K598" t="inlineStr">
        <is>
          <t>19 / 21</t>
        </is>
      </c>
      <c r="L598" t="inlineStr">
        <is>
          <t>10 / 6</t>
        </is>
      </c>
      <c r="M598" s="5" t="n">
        <v>0.47</v>
      </c>
      <c r="N598" s="5" t="n">
        <v>0.62</v>
      </c>
    </row>
    <row r="599">
      <c r="A599" t="n">
        <v>598</v>
      </c>
      <c r="B599" t="n">
        <v>2014</v>
      </c>
      <c r="C599" t="inlineStr">
        <is>
          <t>Mila Phoebe Madrid</t>
        </is>
      </c>
      <c r="D599">
        <f>HYPERLINK("https://ota.tournamentsoftware.com/player-profile/3994748B-2ED2-4F57-8907-B1AE9B874F9B", "Link")</f>
        <v/>
      </c>
      <c r="E599" s="3" t="n">
        <v>46.657</v>
      </c>
      <c r="F599" s="4" t="n">
        <v>5</v>
      </c>
      <c r="G599" t="inlineStr">
        <is>
          <t>Ontario Tennis Association</t>
        </is>
      </c>
      <c r="H599" t="inlineStr">
        <is>
          <t>Newmarket Winter Tennis Club</t>
        </is>
      </c>
      <c r="I599" t="n">
        <v>37</v>
      </c>
      <c r="J599" s="4" t="n">
        <v>52</v>
      </c>
      <c r="K599" t="inlineStr">
        <is>
          <t>20 / 32</t>
        </is>
      </c>
      <c r="L599" t="inlineStr">
        <is>
          <t>13 / 6</t>
        </is>
      </c>
      <c r="M599" s="5" t="n">
        <v>0.38</v>
      </c>
      <c r="N599" s="5" t="n">
        <v>0.68</v>
      </c>
    </row>
    <row r="600">
      <c r="A600" t="n">
        <v>599</v>
      </c>
      <c r="B600" t="n">
        <v>2014</v>
      </c>
      <c r="C600" t="inlineStr">
        <is>
          <t>Laura Gyori</t>
        </is>
      </c>
      <c r="D600">
        <f>HYPERLINK("https://ota.tournamentsoftware.com/player-profile/5A55107A-8C3C-4255-8453-79017D4120E3", "Link")</f>
        <v/>
      </c>
      <c r="E600" s="3" t="n">
        <v>46.432</v>
      </c>
      <c r="F600" s="4" t="n">
        <v>5</v>
      </c>
      <c r="G600" t="inlineStr">
        <is>
          <t>Ontario Tennis Association</t>
        </is>
      </c>
      <c r="H600" t="inlineStr">
        <is>
          <t>Rideau Sports Centre</t>
        </is>
      </c>
      <c r="I600" t="inlineStr">
        <is>
          <t>unavailable</t>
        </is>
      </c>
      <c r="J600" s="4" t="n">
        <v>19</v>
      </c>
      <c r="K600" t="inlineStr">
        <is>
          <t>7 / 12</t>
        </is>
      </c>
      <c r="L600" t="inlineStr">
        <is>
          <t>3 / 5</t>
        </is>
      </c>
      <c r="M600" s="5" t="n">
        <v>0.37</v>
      </c>
      <c r="N600" s="5" t="n">
        <v>0.38</v>
      </c>
    </row>
    <row r="601">
      <c r="A601" t="n">
        <v>600</v>
      </c>
      <c r="B601" t="n">
        <v>2015</v>
      </c>
      <c r="C601" t="inlineStr">
        <is>
          <t>Olivia Mary Hipwell</t>
        </is>
      </c>
      <c r="D601">
        <f>HYPERLINK("https://ota.tournamentsoftware.com/player-profile/1595D3E6-D4CF-4ADE-B136-FD5AC473C7F7", "Link")</f>
        <v/>
      </c>
      <c r="E601" s="3" t="n">
        <v>45.828</v>
      </c>
      <c r="F601" s="4" t="n">
        <v>10</v>
      </c>
      <c r="G601" t="inlineStr">
        <is>
          <t>Ontario Tennis Association</t>
        </is>
      </c>
      <c r="H601" t="inlineStr">
        <is>
          <t>Ontario Racquet Club</t>
        </is>
      </c>
      <c r="I601" t="inlineStr">
        <is>
          <t>unavailable</t>
        </is>
      </c>
      <c r="J601" s="4" t="n">
        <v>82</v>
      </c>
      <c r="K601" t="inlineStr">
        <is>
          <t>28 / 54</t>
        </is>
      </c>
      <c r="L601" t="inlineStr">
        <is>
          <t>4 / 12</t>
        </is>
      </c>
      <c r="M601" s="5" t="n">
        <v>0.34</v>
      </c>
      <c r="N601" s="5" t="n">
        <v>0.25</v>
      </c>
    </row>
    <row r="602">
      <c r="A602" t="n">
        <v>601</v>
      </c>
      <c r="B602" t="n">
        <v>2015</v>
      </c>
      <c r="C602" t="inlineStr">
        <is>
          <t>ALICE Wan yee Wong</t>
        </is>
      </c>
      <c r="D602">
        <f>HYPERLINK("https://ota.tournamentsoftware.com/player-profile/1B8AB01B-692B-4E5E-B513-A24155329374", "Link")</f>
        <v/>
      </c>
      <c r="E602" s="3" t="n">
        <v>45.399</v>
      </c>
      <c r="F602" s="4" t="n">
        <v>12</v>
      </c>
      <c r="G602" t="inlineStr">
        <is>
          <t>British Columbia</t>
        </is>
      </c>
      <c r="H602" t="inlineStr">
        <is>
          <t>The Tennis Centre</t>
        </is>
      </c>
      <c r="I602" t="n">
        <v>35</v>
      </c>
      <c r="J602" s="4" t="n">
        <v>121</v>
      </c>
      <c r="K602" t="inlineStr">
        <is>
          <t>58 / 63</t>
        </is>
      </c>
      <c r="L602" t="inlineStr">
        <is>
          <t>18 / 14</t>
        </is>
      </c>
      <c r="M602" s="5" t="n">
        <v>0.48</v>
      </c>
      <c r="N602" s="5" t="n">
        <v>0.5600000000000001</v>
      </c>
    </row>
    <row r="603">
      <c r="A603" t="n">
        <v>602</v>
      </c>
      <c r="B603" t="n">
        <v>2017</v>
      </c>
      <c r="C603" t="inlineStr">
        <is>
          <t>Arianna Fernanda Chacon</t>
        </is>
      </c>
      <c r="D603">
        <f>HYPERLINK("https://ota.tournamentsoftware.com/player-profile/3B36D99D-C9E7-48A2-BC06-6AD3725AC12E", "Link")</f>
        <v/>
      </c>
      <c r="E603" s="3" t="n">
        <v>45.016</v>
      </c>
      <c r="F603" s="4" t="n">
        <v>15</v>
      </c>
      <c r="G603" t="inlineStr">
        <is>
          <t>Tennis Alberta</t>
        </is>
      </c>
      <c r="H603" t="inlineStr">
        <is>
          <t>Aforza</t>
        </is>
      </c>
      <c r="I603" t="n">
        <v>34.8</v>
      </c>
      <c r="J603" s="4" t="n">
        <v>201</v>
      </c>
      <c r="K603" t="inlineStr">
        <is>
          <t>106 / 95</t>
        </is>
      </c>
      <c r="L603" t="inlineStr">
        <is>
          <t>33 / 19</t>
        </is>
      </c>
      <c r="M603" s="5" t="n">
        <v>0.53</v>
      </c>
      <c r="N603" s="5" t="n">
        <v>0.63</v>
      </c>
    </row>
    <row r="604">
      <c r="A604" t="n">
        <v>603</v>
      </c>
      <c r="B604" t="n">
        <v>2012</v>
      </c>
      <c r="C604" t="inlineStr">
        <is>
          <t>Selena Wazelle</t>
        </is>
      </c>
      <c r="D604">
        <f>HYPERLINK("https://ota.tournamentsoftware.com/player-profile/B596341F-BD27-43AF-8888-AAD072F39AFB", "Link")</f>
        <v/>
      </c>
      <c r="E604" s="3" t="n">
        <v>45</v>
      </c>
      <c r="F604" s="4" t="n">
        <v>1</v>
      </c>
      <c r="G604" t="inlineStr">
        <is>
          <t>British Columbia</t>
        </is>
      </c>
      <c r="H604" t="inlineStr">
        <is>
          <t>No Club</t>
        </is>
      </c>
      <c r="I604" t="n">
        <v>30.2</v>
      </c>
      <c r="J604" s="4" t="n">
        <v>159</v>
      </c>
      <c r="K604" t="inlineStr">
        <is>
          <t>89 / 70</t>
        </is>
      </c>
      <c r="L604" t="inlineStr">
        <is>
          <t>0 / 0</t>
        </is>
      </c>
      <c r="M604" s="5" t="n">
        <v>0.5600000000000001</v>
      </c>
      <c r="N604" s="5" t="n">
        <v>0</v>
      </c>
    </row>
    <row r="605">
      <c r="A605" t="n">
        <v>604</v>
      </c>
      <c r="B605" t="n">
        <v>2015</v>
      </c>
      <c r="C605" t="inlineStr">
        <is>
          <t>Kinsley Jade Lin</t>
        </is>
      </c>
      <c r="D605">
        <f>HYPERLINK("https://ota.tournamentsoftware.com/player-profile/1FF4FA2D-412B-4E4A-AE72-948C7BC68D73", "Link")</f>
        <v/>
      </c>
      <c r="E605" s="3" t="n">
        <v>44.956</v>
      </c>
      <c r="F605" s="4" t="n">
        <v>11</v>
      </c>
      <c r="G605" t="inlineStr">
        <is>
          <t>Ontario Tennis Association</t>
        </is>
      </c>
      <c r="H605" t="inlineStr">
        <is>
          <t>The Tennis School</t>
        </is>
      </c>
      <c r="I605" t="n">
        <v>37.6</v>
      </c>
      <c r="J605" s="4" t="n">
        <v>94</v>
      </c>
      <c r="K605" t="inlineStr">
        <is>
          <t>40 / 54</t>
        </is>
      </c>
      <c r="L605" t="inlineStr">
        <is>
          <t>5 / 11</t>
        </is>
      </c>
      <c r="M605" s="5" t="n">
        <v>0.43</v>
      </c>
      <c r="N605" s="5" t="n">
        <v>0.31</v>
      </c>
    </row>
    <row r="606">
      <c r="A606" t="n">
        <v>605</v>
      </c>
      <c r="B606" t="n">
        <v>2016</v>
      </c>
      <c r="C606" t="inlineStr">
        <is>
          <t>Jessie DONG</t>
        </is>
      </c>
      <c r="D606">
        <f>HYPERLINK("https://ota.tournamentsoftware.com/player-profile/DD46DDC2-A0FA-4A57-9C2B-207D02D3DFB6", "Link")</f>
        <v/>
      </c>
      <c r="E606" s="3" t="n">
        <v>44.76</v>
      </c>
      <c r="F606" s="4" t="n">
        <v>8</v>
      </c>
      <c r="G606" t="inlineStr">
        <is>
          <t>Ontario Tennis Association</t>
        </is>
      </c>
      <c r="H606" t="inlineStr">
        <is>
          <t>Premier Racquet Clubs – Mississauga</t>
        </is>
      </c>
      <c r="I606" t="n">
        <v>37.5</v>
      </c>
      <c r="J606" s="4" t="n">
        <v>60</v>
      </c>
      <c r="K606" t="inlineStr">
        <is>
          <t>25 / 35</t>
        </is>
      </c>
      <c r="L606" t="inlineStr">
        <is>
          <t>25 / 35</t>
        </is>
      </c>
      <c r="M606" s="5" t="n">
        <v>0.42</v>
      </c>
      <c r="N606" s="5" t="n">
        <v>0.42</v>
      </c>
    </row>
    <row r="607">
      <c r="A607" t="n">
        <v>606</v>
      </c>
      <c r="B607" t="n">
        <v>2015</v>
      </c>
      <c r="C607" t="inlineStr">
        <is>
          <t>LILLIAN LI</t>
        </is>
      </c>
      <c r="D607">
        <f>HYPERLINK("https://ota.tournamentsoftware.com/player-profile/6381808D-332A-4694-9A60-DD4214A2A2F0", "Link")</f>
        <v/>
      </c>
      <c r="E607" s="3" t="n">
        <v>44.713</v>
      </c>
      <c r="F607" s="4" t="n">
        <v>8</v>
      </c>
      <c r="G607" t="inlineStr">
        <is>
          <t>Ontario Tennis Association</t>
        </is>
      </c>
      <c r="H607" t="inlineStr">
        <is>
          <t>Rideau Sports Centre</t>
        </is>
      </c>
      <c r="I607" t="n">
        <v>39.9</v>
      </c>
      <c r="J607" s="4" t="n">
        <v>21</v>
      </c>
      <c r="K607" t="inlineStr">
        <is>
          <t>5 / 16</t>
        </is>
      </c>
      <c r="L607" t="inlineStr">
        <is>
          <t>1 / 9</t>
        </is>
      </c>
      <c r="M607" s="5" t="n">
        <v>0.24</v>
      </c>
      <c r="N607" s="5" t="n">
        <v>0.1</v>
      </c>
    </row>
    <row r="608">
      <c r="A608" t="n">
        <v>607</v>
      </c>
      <c r="B608" t="n">
        <v>2015</v>
      </c>
      <c r="C608" t="inlineStr">
        <is>
          <t>Alexia Lionis</t>
        </is>
      </c>
      <c r="D608">
        <f>HYPERLINK("https://ota.tournamentsoftware.com/player-profile/C2079715-4A8A-4F16-A5F2-10633FCB08AA", "Link")</f>
        <v/>
      </c>
      <c r="E608" s="3" t="n">
        <v>44.665</v>
      </c>
      <c r="F608" s="4" t="n">
        <v>5</v>
      </c>
      <c r="G608" t="inlineStr">
        <is>
          <t>Ontario Tennis Association</t>
        </is>
      </c>
      <c r="H608" t="inlineStr">
        <is>
          <t>Ontario Racquet Club</t>
        </is>
      </c>
      <c r="I608" t="inlineStr">
        <is>
          <t>unavailable</t>
        </is>
      </c>
      <c r="J608" s="4" t="n">
        <v>76</v>
      </c>
      <c r="K608" t="inlineStr">
        <is>
          <t>34 / 42</t>
        </is>
      </c>
      <c r="L608" t="inlineStr">
        <is>
          <t>5 / 8</t>
        </is>
      </c>
      <c r="M608" s="5" t="n">
        <v>0.45</v>
      </c>
      <c r="N608" s="5" t="n">
        <v>0.38</v>
      </c>
    </row>
    <row r="609">
      <c r="A609" t="n">
        <v>608</v>
      </c>
      <c r="B609" t="n">
        <v>2012</v>
      </c>
      <c r="C609" t="inlineStr">
        <is>
          <t>Adelaide Morgan</t>
        </is>
      </c>
      <c r="D609">
        <f>HYPERLINK("https://ota.tournamentsoftware.com/player-profile/349677AB-87B2-407B-BDFF-04EE8550EE87", "Link")</f>
        <v/>
      </c>
      <c r="E609" s="3" t="n">
        <v>43.891</v>
      </c>
      <c r="F609" s="4" t="n">
        <v>3</v>
      </c>
      <c r="G609" t="inlineStr">
        <is>
          <t>Ontario Tennis Association</t>
        </is>
      </c>
      <c r="H609" t="inlineStr">
        <is>
          <t>Eglinton Flats Winter Tennis Club</t>
        </is>
      </c>
      <c r="I609" t="inlineStr">
        <is>
          <t>unavailable</t>
        </is>
      </c>
      <c r="J609" s="4" t="n">
        <v>17</v>
      </c>
      <c r="K609" t="inlineStr">
        <is>
          <t>5 / 12</t>
        </is>
      </c>
      <c r="L609" t="inlineStr">
        <is>
          <t>0 / 6</t>
        </is>
      </c>
      <c r="M609" s="5" t="n">
        <v>0.29</v>
      </c>
      <c r="N609" s="5" t="n">
        <v>0</v>
      </c>
    </row>
    <row r="610">
      <c r="A610" t="n">
        <v>609</v>
      </c>
      <c r="B610" t="n">
        <v>2014</v>
      </c>
      <c r="C610" t="inlineStr">
        <is>
          <t>Victoria Kycia Block</t>
        </is>
      </c>
      <c r="D610">
        <f>HYPERLINK("https://ota.tournamentsoftware.com/player-profile/1F978CA6-97AC-4A84-BBEB-B431DDD9A28B", "Link")</f>
        <v/>
      </c>
      <c r="E610" s="3" t="n">
        <v>43.73</v>
      </c>
      <c r="F610" s="4" t="n">
        <v>11</v>
      </c>
      <c r="G610" t="inlineStr">
        <is>
          <t>Tennis Alberta</t>
        </is>
      </c>
      <c r="H610" t="inlineStr">
        <is>
          <t>Saville Community Sports Centre</t>
        </is>
      </c>
      <c r="I610" t="n">
        <v>35.3</v>
      </c>
      <c r="J610" s="4" t="n">
        <v>45</v>
      </c>
      <c r="K610" t="inlineStr">
        <is>
          <t>13 / 32</t>
        </is>
      </c>
      <c r="L610" t="inlineStr">
        <is>
          <t>6 / 9</t>
        </is>
      </c>
      <c r="M610" s="5" t="n">
        <v>0.29</v>
      </c>
      <c r="N610" s="5" t="n">
        <v>0.4</v>
      </c>
    </row>
    <row r="611">
      <c r="A611" t="n">
        <v>610</v>
      </c>
      <c r="B611" t="n">
        <v>2012</v>
      </c>
      <c r="C611" t="inlineStr">
        <is>
          <t>Stefaniia Petrova</t>
        </is>
      </c>
      <c r="D611">
        <f>HYPERLINK("https://ota.tournamentsoftware.com/player-profile/23727B96-731B-4DBB-9789-81399E2B9950", "Link")</f>
        <v/>
      </c>
      <c r="E611" s="3" t="n">
        <v>43.56</v>
      </c>
      <c r="F611" s="4" t="n">
        <v>1</v>
      </c>
      <c r="G611" t="inlineStr">
        <is>
          <t>Ontario Tennis Association</t>
        </is>
      </c>
      <c r="H611" t="inlineStr">
        <is>
          <t>No Club</t>
        </is>
      </c>
      <c r="I611" t="n">
        <v>29</v>
      </c>
      <c r="J611" s="4" t="n">
        <v>301</v>
      </c>
      <c r="K611" t="inlineStr">
        <is>
          <t>177 / 124</t>
        </is>
      </c>
      <c r="L611" t="inlineStr">
        <is>
          <t>0 / 0</t>
        </is>
      </c>
      <c r="M611" s="5" t="n">
        <v>0.59</v>
      </c>
      <c r="N611" s="5" t="n">
        <v>0</v>
      </c>
    </row>
    <row r="612">
      <c r="A612" t="n">
        <v>611</v>
      </c>
      <c r="B612" t="n">
        <v>2014</v>
      </c>
      <c r="C612" t="inlineStr">
        <is>
          <t>Sophie Vivienne Ma</t>
        </is>
      </c>
      <c r="D612">
        <f>HYPERLINK("https://ota.tournamentsoftware.com/player-profile/5BFCC3E7-799D-4957-B35C-26164F771CAB", "Link")</f>
        <v/>
      </c>
      <c r="E612" s="3" t="n">
        <v>43.381</v>
      </c>
      <c r="F612" s="4" t="n">
        <v>9</v>
      </c>
      <c r="G612" t="inlineStr">
        <is>
          <t>Ontario Tennis Association</t>
        </is>
      </c>
      <c r="H612" t="inlineStr">
        <is>
          <t>NYTA Winter Tennis Club</t>
        </is>
      </c>
      <c r="I612" t="n">
        <v>37.4</v>
      </c>
      <c r="J612" s="4" t="n">
        <v>60</v>
      </c>
      <c r="K612" t="inlineStr">
        <is>
          <t>21 / 39</t>
        </is>
      </c>
      <c r="L612" t="inlineStr">
        <is>
          <t>6 / 12</t>
        </is>
      </c>
      <c r="M612" s="5" t="n">
        <v>0.35</v>
      </c>
      <c r="N612" s="5" t="n">
        <v>0.33</v>
      </c>
    </row>
    <row r="613">
      <c r="A613" t="n">
        <v>612</v>
      </c>
      <c r="B613" t="n">
        <v>2013</v>
      </c>
      <c r="C613" t="inlineStr">
        <is>
          <t>Emma Isabella Lamacchia</t>
        </is>
      </c>
      <c r="D613">
        <f>HYPERLINK("https://ota.tournamentsoftware.com/player-profile/13408327-82EC-4D4E-B3D1-9FA084C53782", "Link")</f>
        <v/>
      </c>
      <c r="E613" s="3" t="n">
        <v>43.33</v>
      </c>
      <c r="F613" s="4" t="n">
        <v>3</v>
      </c>
      <c r="G613" t="inlineStr">
        <is>
          <t>Ontario Tennis Association</t>
        </is>
      </c>
      <c r="H613" t="inlineStr">
        <is>
          <t>Advantage Tennis International at Veneto</t>
        </is>
      </c>
      <c r="I613" t="n">
        <v>39.9</v>
      </c>
      <c r="J613" s="4" t="n">
        <v>19</v>
      </c>
      <c r="K613" t="inlineStr">
        <is>
          <t>2 / 17</t>
        </is>
      </c>
      <c r="L613" t="inlineStr">
        <is>
          <t>2 / 17</t>
        </is>
      </c>
      <c r="M613" s="5" t="n">
        <v>0.11</v>
      </c>
      <c r="N613" s="5" t="n">
        <v>0.11</v>
      </c>
    </row>
    <row r="614">
      <c r="A614" t="n">
        <v>613</v>
      </c>
      <c r="B614" t="n">
        <v>2012</v>
      </c>
      <c r="C614" t="inlineStr">
        <is>
          <t>Valeria Taborda - Valverde</t>
        </is>
      </c>
      <c r="D614">
        <f>HYPERLINK("https://ota.tournamentsoftware.com/player-profile/E0201B38-AEE1-4BAC-B0FB-FA389A1FFEA8", "Link")</f>
        <v/>
      </c>
      <c r="E614" s="3" t="n">
        <v>43.272</v>
      </c>
      <c r="F614" s="4" t="n">
        <v>2</v>
      </c>
      <c r="G614" t="inlineStr">
        <is>
          <t>Ontario Tennis Association</t>
        </is>
      </c>
      <c r="H614" t="inlineStr">
        <is>
          <t>Port Hope Racquet Club</t>
        </is>
      </c>
      <c r="I614" t="inlineStr">
        <is>
          <t>unavailable</t>
        </is>
      </c>
      <c r="J614" s="4" t="n">
        <v>35</v>
      </c>
      <c r="K614" t="inlineStr">
        <is>
          <t>13 / 22</t>
        </is>
      </c>
      <c r="L614" t="inlineStr">
        <is>
          <t>1 / 1</t>
        </is>
      </c>
      <c r="M614" s="5" t="n">
        <v>0.37</v>
      </c>
      <c r="N614" s="5" t="n">
        <v>0.5</v>
      </c>
    </row>
    <row r="615">
      <c r="A615" t="n">
        <v>614</v>
      </c>
      <c r="B615" t="n">
        <v>2015</v>
      </c>
      <c r="C615" t="inlineStr">
        <is>
          <t>Charlotte Harvey</t>
        </is>
      </c>
      <c r="D615">
        <f>HYPERLINK("https://ota.tournamentsoftware.com/player-profile/222A5F1C-DAD0-4E2A-B035-6A15561C1E0A", "Link")</f>
        <v/>
      </c>
      <c r="E615" s="3" t="n">
        <v>43.248</v>
      </c>
      <c r="F615" s="4" t="n">
        <v>4</v>
      </c>
      <c r="G615" t="inlineStr">
        <is>
          <t>Tennis Québec</t>
        </is>
      </c>
      <c r="H615" t="inlineStr">
        <is>
          <t>Les Tennis de Rimouski (intérieur)</t>
        </is>
      </c>
      <c r="I615" t="n">
        <v>36.1</v>
      </c>
      <c r="J615" s="4" t="n">
        <v>14</v>
      </c>
      <c r="K615" t="inlineStr">
        <is>
          <t>8 / 6</t>
        </is>
      </c>
      <c r="L615" t="inlineStr">
        <is>
          <t>6 / 5</t>
        </is>
      </c>
      <c r="M615" s="5" t="n">
        <v>0.57</v>
      </c>
      <c r="N615" s="5" t="n">
        <v>0.55</v>
      </c>
    </row>
    <row r="616">
      <c r="A616" t="n">
        <v>615</v>
      </c>
      <c r="B616" t="n">
        <v>2014</v>
      </c>
      <c r="C616" t="inlineStr">
        <is>
          <t>Ann-Mayelle Veillard</t>
        </is>
      </c>
      <c r="D616">
        <f>HYPERLINK("https://ota.tournamentsoftware.com/player-profile/C734CB2A-2E7E-46C5-B1F0-69D754EF8527", "Link")</f>
        <v/>
      </c>
      <c r="E616" s="3" t="n">
        <v>42.328</v>
      </c>
      <c r="F616" s="4" t="n">
        <v>11</v>
      </c>
      <c r="G616" t="inlineStr">
        <is>
          <t>Tennis Québec</t>
        </is>
      </c>
      <c r="H616" t="inlineStr">
        <is>
          <t>No Club</t>
        </is>
      </c>
      <c r="I616" t="inlineStr">
        <is>
          <t>unavailable</t>
        </is>
      </c>
      <c r="J616" s="4" t="n">
        <v>22</v>
      </c>
      <c r="K616" t="inlineStr">
        <is>
          <t>10 / 12</t>
        </is>
      </c>
      <c r="L616" t="inlineStr">
        <is>
          <t>10 / 12</t>
        </is>
      </c>
      <c r="M616" s="5" t="n">
        <v>0.45</v>
      </c>
      <c r="N616" s="5" t="n">
        <v>0.45</v>
      </c>
    </row>
    <row r="617">
      <c r="A617" t="n">
        <v>616</v>
      </c>
      <c r="B617" t="n">
        <v>2012</v>
      </c>
      <c r="C617" t="inlineStr">
        <is>
          <t>Mackenzie Quek</t>
        </is>
      </c>
      <c r="D617">
        <f>HYPERLINK("https://ota.tournamentsoftware.com/player-profile/51407A91-7051-4BC3-B583-F0DC1E06E113", "Link")</f>
        <v/>
      </c>
      <c r="E617" s="3" t="n">
        <v>42.274</v>
      </c>
      <c r="F617" s="4" t="n">
        <v>4</v>
      </c>
      <c r="G617" t="inlineStr">
        <is>
          <t>Ontario Tennis Association</t>
        </is>
      </c>
      <c r="H617" t="inlineStr">
        <is>
          <t>Concord Tennis Academy</t>
        </is>
      </c>
      <c r="I617" t="inlineStr">
        <is>
          <t>unavailable</t>
        </is>
      </c>
      <c r="J617" s="4" t="n">
        <v>13</v>
      </c>
      <c r="K617" t="inlineStr">
        <is>
          <t>3 / 10</t>
        </is>
      </c>
      <c r="L617" t="inlineStr">
        <is>
          <t>3 / 10</t>
        </is>
      </c>
      <c r="M617" s="5" t="n">
        <v>0.23</v>
      </c>
      <c r="N617" s="5" t="n">
        <v>0.23</v>
      </c>
    </row>
    <row r="618">
      <c r="A618" t="n">
        <v>617</v>
      </c>
      <c r="B618" t="n">
        <v>2015</v>
      </c>
      <c r="C618" t="inlineStr">
        <is>
          <t>Mia Kojic</t>
        </is>
      </c>
      <c r="D618">
        <f>HYPERLINK("https://ota.tournamentsoftware.com/player-profile/1573DFB3-8189-4CE9-AAAC-9ADF1738AD9C", "Link")</f>
        <v/>
      </c>
      <c r="E618" s="3" t="n">
        <v>41.917</v>
      </c>
      <c r="F618" s="4" t="n">
        <v>8</v>
      </c>
      <c r="G618" t="inlineStr">
        <is>
          <t>Ontario Tennis Association</t>
        </is>
      </c>
      <c r="H618" t="inlineStr">
        <is>
          <t>Ontario Racquet Club</t>
        </is>
      </c>
      <c r="I618" t="n">
        <v>36.7</v>
      </c>
      <c r="J618" s="4" t="n">
        <v>95</v>
      </c>
      <c r="K618" t="inlineStr">
        <is>
          <t>41 / 54</t>
        </is>
      </c>
      <c r="L618" t="inlineStr">
        <is>
          <t>5 / 9</t>
        </is>
      </c>
      <c r="M618" s="5" t="n">
        <v>0.43</v>
      </c>
      <c r="N618" s="5" t="n">
        <v>0.36</v>
      </c>
    </row>
    <row r="619">
      <c r="A619" t="n">
        <v>618</v>
      </c>
      <c r="B619" t="n">
        <v>2014</v>
      </c>
      <c r="C619" t="inlineStr">
        <is>
          <t>Melina Ioannidis</t>
        </is>
      </c>
      <c r="D619">
        <f>HYPERLINK("https://ota.tournamentsoftware.com/player-profile/7105A5E6-611D-4531-9016-F7FBEE3F6368", "Link")</f>
        <v/>
      </c>
      <c r="E619" s="3" t="n">
        <v>41.56</v>
      </c>
      <c r="F619" s="4" t="n">
        <v>6</v>
      </c>
      <c r="G619" t="inlineStr">
        <is>
          <t>Ontario Tennis Association</t>
        </is>
      </c>
      <c r="H619" t="inlineStr">
        <is>
          <t>Aurora Community Tennis Club</t>
        </is>
      </c>
      <c r="I619" t="n">
        <v>37</v>
      </c>
      <c r="J619" s="4" t="n">
        <v>61</v>
      </c>
      <c r="K619" t="inlineStr">
        <is>
          <t>34 / 27</t>
        </is>
      </c>
      <c r="L619" t="inlineStr">
        <is>
          <t>4 / 5</t>
        </is>
      </c>
      <c r="M619" s="5" t="n">
        <v>0.5600000000000001</v>
      </c>
      <c r="N619" s="5" t="n">
        <v>0.44</v>
      </c>
    </row>
    <row r="620">
      <c r="A620" t="n">
        <v>619</v>
      </c>
      <c r="B620" t="n">
        <v>2017</v>
      </c>
      <c r="C620" t="inlineStr">
        <is>
          <t>Aria Bloom</t>
        </is>
      </c>
      <c r="D620">
        <f>HYPERLINK("https://ota.tournamentsoftware.com/player-profile/7C30BE00-7F15-42B9-BA96-B3B2895898A0", "Link")</f>
        <v/>
      </c>
      <c r="E620" s="3" t="n">
        <v>41.346</v>
      </c>
      <c r="F620" s="4" t="n">
        <v>8</v>
      </c>
      <c r="G620" t="inlineStr">
        <is>
          <t>Tennis Alberta</t>
        </is>
      </c>
      <c r="H620" t="inlineStr">
        <is>
          <t>Osten &amp; Victor Alberta Tennis Centre</t>
        </is>
      </c>
      <c r="I620" t="n">
        <v>33.5</v>
      </c>
      <c r="J620" s="4" t="n">
        <v>123</v>
      </c>
      <c r="K620" t="inlineStr">
        <is>
          <t>94 / 29</t>
        </is>
      </c>
      <c r="L620" t="inlineStr">
        <is>
          <t>40 / 6</t>
        </is>
      </c>
      <c r="M620" s="5" t="n">
        <v>0.76</v>
      </c>
      <c r="N620" s="5" t="n">
        <v>0.87</v>
      </c>
    </row>
    <row r="621">
      <c r="A621" t="n">
        <v>620</v>
      </c>
      <c r="B621" t="n">
        <v>2015</v>
      </c>
      <c r="C621" t="inlineStr">
        <is>
          <t>Juliette Tremblay</t>
        </is>
      </c>
      <c r="D621">
        <f>HYPERLINK("https://ota.tournamentsoftware.com/player-profile/94E82DA2-01EF-471F-BB0F-8CEAA1C42076", "Link")</f>
        <v/>
      </c>
      <c r="E621" s="3" t="n">
        <v>41.328</v>
      </c>
      <c r="F621" s="4" t="n">
        <v>10</v>
      </c>
      <c r="G621" t="inlineStr">
        <is>
          <t>Tennis Québec</t>
        </is>
      </c>
      <c r="H621" t="inlineStr">
        <is>
          <t>Tennis Outaouais Performance (TOP)</t>
        </is>
      </c>
      <c r="I621" t="n">
        <v>37.5</v>
      </c>
      <c r="J621" s="4" t="n">
        <v>53</v>
      </c>
      <c r="K621" t="inlineStr">
        <is>
          <t>16 / 37</t>
        </is>
      </c>
      <c r="L621" t="inlineStr">
        <is>
          <t>5 / 12</t>
        </is>
      </c>
      <c r="M621" s="5" t="n">
        <v>0.3</v>
      </c>
      <c r="N621" s="5" t="n">
        <v>0.29</v>
      </c>
    </row>
    <row r="622">
      <c r="A622" t="n">
        <v>621</v>
      </c>
      <c r="B622" t="n">
        <v>2014</v>
      </c>
      <c r="C622" t="inlineStr">
        <is>
          <t>Alena Sui</t>
        </is>
      </c>
      <c r="D622">
        <f>HYPERLINK("https://ota.tournamentsoftware.com/player-profile/92B690E9-D6C6-410C-A457-5AC3927E933A", "Link")</f>
        <v/>
      </c>
      <c r="E622" s="3" t="n">
        <v>41.268</v>
      </c>
      <c r="F622" s="4" t="n">
        <v>11</v>
      </c>
      <c r="G622" t="inlineStr">
        <is>
          <t>British Columbia</t>
        </is>
      </c>
      <c r="H622" t="inlineStr">
        <is>
          <t>No Club</t>
        </is>
      </c>
      <c r="I622" t="n">
        <v>38.5</v>
      </c>
      <c r="J622" s="4" t="n">
        <v>78</v>
      </c>
      <c r="K622" t="inlineStr">
        <is>
          <t>35 / 43</t>
        </is>
      </c>
      <c r="L622" t="inlineStr">
        <is>
          <t>15 / 21</t>
        </is>
      </c>
      <c r="M622" s="5" t="n">
        <v>0.45</v>
      </c>
      <c r="N622" s="5" t="n">
        <v>0.42</v>
      </c>
    </row>
    <row r="623">
      <c r="A623" t="n">
        <v>622</v>
      </c>
      <c r="B623" t="n">
        <v>2015</v>
      </c>
      <c r="C623" t="inlineStr">
        <is>
          <t>Lillian Tooryani</t>
        </is>
      </c>
      <c r="D623">
        <f>HYPERLINK("https://ota.tournamentsoftware.com/player-profile/B149ED5D-E26B-4577-8AAB-620DB4A7A85F", "Link")</f>
        <v/>
      </c>
      <c r="E623" s="3" t="n">
        <v>41.04</v>
      </c>
      <c r="F623" s="4" t="n">
        <v>13</v>
      </c>
      <c r="G623" t="inlineStr">
        <is>
          <t>Ontario Tennis Association</t>
        </is>
      </c>
      <c r="H623" t="inlineStr">
        <is>
          <t>Mayfair West Fitness &amp; Racquet Club</t>
        </is>
      </c>
      <c r="I623" t="n">
        <v>37.5</v>
      </c>
      <c r="J623" s="4" t="n">
        <v>44</v>
      </c>
      <c r="K623" t="inlineStr">
        <is>
          <t>17 / 27</t>
        </is>
      </c>
      <c r="L623" t="inlineStr">
        <is>
          <t>14 / 14</t>
        </is>
      </c>
      <c r="M623" s="5" t="n">
        <v>0.39</v>
      </c>
      <c r="N623" s="5" t="n">
        <v>0.5</v>
      </c>
    </row>
    <row r="624">
      <c r="A624" t="n">
        <v>622</v>
      </c>
      <c r="B624" t="n">
        <v>2016</v>
      </c>
      <c r="C624" t="inlineStr">
        <is>
          <t>Kiara Krishnan</t>
        </is>
      </c>
      <c r="D624">
        <f>HYPERLINK("https://ota.tournamentsoftware.com/player-profile/50D3305E-63D5-4EFB-B53F-B64E463DE26E", "Link")</f>
        <v/>
      </c>
      <c r="E624" s="3" t="n">
        <v>41.04</v>
      </c>
      <c r="F624" s="4" t="n">
        <v>28</v>
      </c>
      <c r="G624" t="inlineStr">
        <is>
          <t>Ontario Tennis Association</t>
        </is>
      </c>
      <c r="H624" t="inlineStr">
        <is>
          <t>Toronto Tennis Academy</t>
        </is>
      </c>
      <c r="I624" t="n">
        <v>37.8</v>
      </c>
      <c r="J624" s="4" t="n">
        <v>247</v>
      </c>
      <c r="K624" t="inlineStr">
        <is>
          <t>98 / 149</t>
        </is>
      </c>
      <c r="L624" t="inlineStr">
        <is>
          <t>11 / 32</t>
        </is>
      </c>
      <c r="M624" s="5" t="n">
        <v>0.4</v>
      </c>
      <c r="N624" s="5" t="n">
        <v>0.26</v>
      </c>
    </row>
    <row r="625">
      <c r="A625" t="n">
        <v>624</v>
      </c>
      <c r="B625" t="n">
        <v>2016</v>
      </c>
      <c r="C625" t="inlineStr">
        <is>
          <t>Melinna Yu Nuo Yang</t>
        </is>
      </c>
      <c r="D625">
        <f>HYPERLINK("https://ota.tournamentsoftware.com/player-profile/6BCCA5B4-7059-414C-A06D-D2936B6A3CC2", "Link")</f>
        <v/>
      </c>
      <c r="E625" s="3" t="n">
        <v>40.8</v>
      </c>
      <c r="F625" s="4" t="n">
        <v>6</v>
      </c>
      <c r="G625" t="inlineStr">
        <is>
          <t>Tennis Québec</t>
        </is>
      </c>
      <c r="H625" t="inlineStr">
        <is>
          <t>Club Sportif Côte-de-Liesse</t>
        </is>
      </c>
      <c r="I625" t="inlineStr">
        <is>
          <t>unavailable</t>
        </is>
      </c>
      <c r="J625" s="4" t="n">
        <v>92</v>
      </c>
      <c r="K625" t="inlineStr">
        <is>
          <t>36 / 56</t>
        </is>
      </c>
      <c r="L625" t="inlineStr">
        <is>
          <t>15 / 14</t>
        </is>
      </c>
      <c r="M625" s="5" t="n">
        <v>0.39</v>
      </c>
      <c r="N625" s="5" t="n">
        <v>0.52</v>
      </c>
    </row>
    <row r="626">
      <c r="A626" t="n">
        <v>625</v>
      </c>
      <c r="B626" t="n">
        <v>2013</v>
      </c>
      <c r="C626" t="inlineStr">
        <is>
          <t>Naia Luke</t>
        </is>
      </c>
      <c r="D626">
        <f>HYPERLINK("https://ota.tournamentsoftware.com/player-profile/E8620DEC-5B72-4D85-9171-1F914B105E62", "Link")</f>
        <v/>
      </c>
      <c r="E626" s="3" t="n">
        <v>40.629</v>
      </c>
      <c r="F626" s="4" t="n">
        <v>4</v>
      </c>
      <c r="G626" t="inlineStr">
        <is>
          <t>British Columbia</t>
        </is>
      </c>
      <c r="H626" t="inlineStr">
        <is>
          <t>Jericho Tennis Club</t>
        </is>
      </c>
      <c r="I626" t="n">
        <v>39.7</v>
      </c>
      <c r="J626" s="4" t="n">
        <v>43</v>
      </c>
      <c r="K626" t="inlineStr">
        <is>
          <t>9 / 34</t>
        </is>
      </c>
      <c r="L626" t="inlineStr">
        <is>
          <t>0 / 9</t>
        </is>
      </c>
      <c r="M626" s="5" t="n">
        <v>0.21</v>
      </c>
      <c r="N626" s="5" t="n">
        <v>0</v>
      </c>
    </row>
    <row r="627">
      <c r="A627" t="n">
        <v>626</v>
      </c>
      <c r="B627" t="n">
        <v>2015</v>
      </c>
      <c r="C627" t="inlineStr">
        <is>
          <t>Mila Anglade</t>
        </is>
      </c>
      <c r="D627">
        <f>HYPERLINK("https://ota.tournamentsoftware.com/player-profile/05635752-0D80-4827-BA70-1CECB2BE0528", "Link")</f>
        <v/>
      </c>
      <c r="E627" s="3" t="n">
        <v>40.12</v>
      </c>
      <c r="F627" s="4" t="n">
        <v>5</v>
      </c>
      <c r="G627" t="inlineStr">
        <is>
          <t>Tennis Québec</t>
        </is>
      </c>
      <c r="H627" t="inlineStr">
        <is>
          <t>Carrefour Multisports</t>
        </is>
      </c>
      <c r="I627" t="inlineStr">
        <is>
          <t>unavailable</t>
        </is>
      </c>
      <c r="J627" s="4" t="n">
        <v>64</v>
      </c>
      <c r="K627" t="inlineStr">
        <is>
          <t>39 / 25</t>
        </is>
      </c>
      <c r="L627" t="inlineStr">
        <is>
          <t>8 / 2</t>
        </is>
      </c>
      <c r="M627" s="5" t="n">
        <v>0.61</v>
      </c>
      <c r="N627" s="5" t="n">
        <v>0.8</v>
      </c>
    </row>
    <row r="628">
      <c r="A628" t="n">
        <v>627</v>
      </c>
      <c r="B628" t="n">
        <v>2014</v>
      </c>
      <c r="C628" t="inlineStr">
        <is>
          <t>Chloe Leblond</t>
        </is>
      </c>
      <c r="D628">
        <f>HYPERLINK("https://ota.tournamentsoftware.com/player-profile/B25C8E1B-DD5B-45CB-A94E-27B9E436CCF5", "Link")</f>
        <v/>
      </c>
      <c r="E628" s="3" t="n">
        <v>38.706</v>
      </c>
      <c r="F628" s="4" t="n">
        <v>4</v>
      </c>
      <c r="G628" t="inlineStr">
        <is>
          <t>Ontario Tennis Association</t>
        </is>
      </c>
      <c r="H628" t="inlineStr">
        <is>
          <t>Tam Heather Tennis Club</t>
        </is>
      </c>
      <c r="I628" t="inlineStr">
        <is>
          <t>unavailable</t>
        </is>
      </c>
      <c r="J628" s="4" t="n">
        <v>59</v>
      </c>
      <c r="K628" t="inlineStr">
        <is>
          <t>31 / 28</t>
        </is>
      </c>
      <c r="L628" t="inlineStr">
        <is>
          <t>6 / 4</t>
        </is>
      </c>
      <c r="M628" s="5" t="n">
        <v>0.53</v>
      </c>
      <c r="N628" s="5" t="n">
        <v>0.6</v>
      </c>
    </row>
    <row r="629">
      <c r="A629" t="n">
        <v>628</v>
      </c>
      <c r="B629" t="n">
        <v>2014</v>
      </c>
      <c r="C629" t="inlineStr">
        <is>
          <t>Bo Brisson</t>
        </is>
      </c>
      <c r="D629">
        <f>HYPERLINK("https://ota.tournamentsoftware.com/player-profile/836F9923-C4A5-42E1-8BF0-0788DAB02146", "Link")</f>
        <v/>
      </c>
      <c r="E629" s="3" t="n">
        <v>38.584</v>
      </c>
      <c r="F629" s="4" t="n">
        <v>4</v>
      </c>
      <c r="G629" t="inlineStr">
        <is>
          <t>Ontario Tennis Association</t>
        </is>
      </c>
      <c r="H629" t="inlineStr">
        <is>
          <t>GSM Tennis Club</t>
        </is>
      </c>
      <c r="I629" t="inlineStr">
        <is>
          <t>unavailable</t>
        </is>
      </c>
      <c r="J629" s="4" t="n">
        <v>117</v>
      </c>
      <c r="K629" t="inlineStr">
        <is>
          <t>38 / 79</t>
        </is>
      </c>
      <c r="L629" t="inlineStr">
        <is>
          <t>4 / 3</t>
        </is>
      </c>
      <c r="M629" s="5" t="n">
        <v>0.32</v>
      </c>
      <c r="N629" s="5" t="n">
        <v>0.57</v>
      </c>
    </row>
    <row r="630">
      <c r="A630" t="n">
        <v>629</v>
      </c>
      <c r="B630" t="n">
        <v>2014</v>
      </c>
      <c r="C630" t="inlineStr">
        <is>
          <t>Juliette Viel</t>
        </is>
      </c>
      <c r="D630">
        <f>HYPERLINK("https://ota.tournamentsoftware.com/player-profile/3C42B108-2BA4-41D7-8AE2-19A52170601F", "Link")</f>
        <v/>
      </c>
      <c r="E630" s="3" t="n">
        <v>38.555</v>
      </c>
      <c r="F630" s="4" t="n">
        <v>3</v>
      </c>
      <c r="G630" t="inlineStr">
        <is>
          <t>Tennis Québec</t>
        </is>
      </c>
      <c r="H630" t="inlineStr">
        <is>
          <t>Club de tennis de Rivière-du-Loup</t>
        </is>
      </c>
      <c r="I630" t="n">
        <v>33.7</v>
      </c>
      <c r="J630" s="4" t="n">
        <v>23</v>
      </c>
      <c r="K630" t="inlineStr">
        <is>
          <t>11 / 12</t>
        </is>
      </c>
      <c r="L630" t="inlineStr">
        <is>
          <t>4 / 2</t>
        </is>
      </c>
      <c r="M630" s="5" t="n">
        <v>0.48</v>
      </c>
      <c r="N630" s="5" t="n">
        <v>0.67</v>
      </c>
    </row>
    <row r="631">
      <c r="A631" t="n">
        <v>630</v>
      </c>
      <c r="B631" t="n">
        <v>2016</v>
      </c>
      <c r="C631" t="inlineStr">
        <is>
          <t>Madison Dionne</t>
        </is>
      </c>
      <c r="D631">
        <f>HYPERLINK("https://ota.tournamentsoftware.com/player-profile/E7A43ABD-96E4-46C3-84A5-BAF14D846E4C", "Link")</f>
        <v/>
      </c>
      <c r="E631" s="3" t="n">
        <v>38.517</v>
      </c>
      <c r="F631" s="4" t="n">
        <v>10</v>
      </c>
      <c r="G631" t="inlineStr">
        <is>
          <t>Ontario Tennis Association</t>
        </is>
      </c>
      <c r="H631" t="inlineStr">
        <is>
          <t>Ontario Racquet Club</t>
        </is>
      </c>
      <c r="I631" t="n">
        <v>37.2</v>
      </c>
      <c r="J631" s="4" t="n">
        <v>102</v>
      </c>
      <c r="K631" t="inlineStr">
        <is>
          <t>32 / 70</t>
        </is>
      </c>
      <c r="L631" t="inlineStr">
        <is>
          <t>16 / 16</t>
        </is>
      </c>
      <c r="M631" s="5" t="n">
        <v>0.31</v>
      </c>
      <c r="N631" s="5" t="n">
        <v>0.5</v>
      </c>
    </row>
    <row r="632">
      <c r="A632" t="n">
        <v>631</v>
      </c>
      <c r="B632" t="n">
        <v>2013</v>
      </c>
      <c r="C632" t="inlineStr">
        <is>
          <t>Yu Nohara</t>
        </is>
      </c>
      <c r="D632">
        <f>HYPERLINK("https://ota.tournamentsoftware.com/player-profile/4AB57DE3-C832-4B9F-8F8F-AECBF5EE5A81", "Link")</f>
        <v/>
      </c>
      <c r="E632" s="3" t="n">
        <v>38.216</v>
      </c>
      <c r="F632" s="4" t="n">
        <v>4</v>
      </c>
      <c r="G632" t="inlineStr">
        <is>
          <t>British Columbia</t>
        </is>
      </c>
      <c r="H632" t="inlineStr">
        <is>
          <t>Tennis for Life</t>
        </is>
      </c>
      <c r="I632" t="n">
        <v>36.6</v>
      </c>
      <c r="J632" s="4" t="n">
        <v>20</v>
      </c>
      <c r="K632" t="inlineStr">
        <is>
          <t>9 / 11</t>
        </is>
      </c>
      <c r="L632" t="inlineStr">
        <is>
          <t>1 / 3</t>
        </is>
      </c>
      <c r="M632" s="5" t="n">
        <v>0.45</v>
      </c>
      <c r="N632" s="5" t="n">
        <v>0.25</v>
      </c>
    </row>
    <row r="633">
      <c r="A633" t="n">
        <v>632</v>
      </c>
      <c r="B633" t="n">
        <v>2014</v>
      </c>
      <c r="C633" t="inlineStr">
        <is>
          <t>Mathilde Langis</t>
        </is>
      </c>
      <c r="D633">
        <f>HYPERLINK("https://ota.tournamentsoftware.com/player-profile/39929D79-FF7E-4461-9561-38C5D88AE666", "Link")</f>
        <v/>
      </c>
      <c r="E633" s="3" t="n">
        <v>37.752</v>
      </c>
      <c r="F633" s="4" t="n">
        <v>4</v>
      </c>
      <c r="G633" t="inlineStr">
        <is>
          <t>Tennis Québec</t>
        </is>
      </c>
      <c r="H633" t="inlineStr">
        <is>
          <t>Académie de tennis UNI(T)</t>
        </is>
      </c>
      <c r="I633" t="n">
        <v>36.2</v>
      </c>
      <c r="J633" s="4" t="n">
        <v>72</v>
      </c>
      <c r="K633" t="inlineStr">
        <is>
          <t>31 / 41</t>
        </is>
      </c>
      <c r="L633" t="inlineStr">
        <is>
          <t>1 / 2</t>
        </is>
      </c>
      <c r="M633" s="5" t="n">
        <v>0.43</v>
      </c>
      <c r="N633" s="5" t="n">
        <v>0.33</v>
      </c>
    </row>
    <row r="634">
      <c r="A634" t="n">
        <v>633</v>
      </c>
      <c r="B634" t="n">
        <v>2013</v>
      </c>
      <c r="C634" t="inlineStr">
        <is>
          <t>Alexa Ardeleanu</t>
        </is>
      </c>
      <c r="D634">
        <f>HYPERLINK("https://ota.tournamentsoftware.com/player-profile/109D0444-3430-4CBD-A2CA-522592228926", "Link")</f>
        <v/>
      </c>
      <c r="E634" s="3" t="n">
        <v>37.397</v>
      </c>
      <c r="F634" s="4" t="n">
        <v>3</v>
      </c>
      <c r="G634" t="inlineStr">
        <is>
          <t>Ontario Tennis Association</t>
        </is>
      </c>
      <c r="H634" t="inlineStr">
        <is>
          <t>No Club</t>
        </is>
      </c>
      <c r="I634" t="n">
        <v>37.8</v>
      </c>
      <c r="J634" s="4" t="n">
        <v>5</v>
      </c>
      <c r="K634" t="inlineStr">
        <is>
          <t>1 / 4</t>
        </is>
      </c>
      <c r="L634" t="inlineStr">
        <is>
          <t>1 / 4</t>
        </is>
      </c>
      <c r="M634" s="5" t="n">
        <v>0.2</v>
      </c>
      <c r="N634" s="5" t="n">
        <v>0.2</v>
      </c>
    </row>
    <row r="635">
      <c r="A635" t="n">
        <v>634</v>
      </c>
      <c r="B635" t="n">
        <v>2015</v>
      </c>
      <c r="C635" t="inlineStr">
        <is>
          <t>Tamara Amad</t>
        </is>
      </c>
      <c r="D635">
        <f>HYPERLINK("https://ota.tournamentsoftware.com/player-profile/4DB13A7D-F9F2-45DD-AAD4-FA9987D24AC9", "Link")</f>
        <v/>
      </c>
      <c r="E635" s="3" t="n">
        <v>36.8</v>
      </c>
      <c r="F635" s="4" t="n">
        <v>2</v>
      </c>
      <c r="G635" t="inlineStr">
        <is>
          <t>Ontario Tennis Association</t>
        </is>
      </c>
      <c r="H635" t="inlineStr">
        <is>
          <t>Ontario Racquet Club</t>
        </is>
      </c>
      <c r="I635" t="inlineStr">
        <is>
          <t>unavailable</t>
        </is>
      </c>
      <c r="J635" s="4" t="n">
        <v>23</v>
      </c>
      <c r="K635" t="inlineStr">
        <is>
          <t>15 / 8</t>
        </is>
      </c>
      <c r="L635" t="inlineStr">
        <is>
          <t>6 / 3</t>
        </is>
      </c>
      <c r="M635" s="5" t="n">
        <v>0.65</v>
      </c>
      <c r="N635" s="5" t="n">
        <v>0.67</v>
      </c>
    </row>
    <row r="636">
      <c r="A636" t="n">
        <v>635</v>
      </c>
      <c r="B636" t="n">
        <v>2015</v>
      </c>
      <c r="C636" t="inlineStr">
        <is>
          <t>Nya BLANCHARD</t>
        </is>
      </c>
      <c r="D636">
        <f>HYPERLINK("https://ota.tournamentsoftware.com/player-profile/E8E00722-2274-4657-BCF4-B20EEBB0EB21", "Link")</f>
        <v/>
      </c>
      <c r="E636" s="3" t="n">
        <v>36.577</v>
      </c>
      <c r="F636" s="4" t="n">
        <v>7</v>
      </c>
      <c r="G636" t="inlineStr">
        <is>
          <t>Ontario Tennis Association</t>
        </is>
      </c>
      <c r="H636" t="inlineStr">
        <is>
          <t>Ontario Racquet Club</t>
        </is>
      </c>
      <c r="I636" t="n">
        <v>35.3</v>
      </c>
      <c r="J636" s="4" t="n">
        <v>43</v>
      </c>
      <c r="K636" t="inlineStr">
        <is>
          <t>24 / 19</t>
        </is>
      </c>
      <c r="L636" t="inlineStr">
        <is>
          <t>9 / 8</t>
        </is>
      </c>
      <c r="M636" s="5" t="n">
        <v>0.5600000000000001</v>
      </c>
      <c r="N636" s="5" t="n">
        <v>0.53</v>
      </c>
    </row>
    <row r="637">
      <c r="A637" t="n">
        <v>636</v>
      </c>
      <c r="B637" t="n">
        <v>2012</v>
      </c>
      <c r="C637" t="inlineStr">
        <is>
          <t>Naomi Lau</t>
        </is>
      </c>
      <c r="D637">
        <f>HYPERLINK("https://ota.tournamentsoftware.com/player-profile/0A97F4BF-4260-46FD-AB50-BFA06A31A239", "Link")</f>
        <v/>
      </c>
      <c r="E637" s="3" t="n">
        <v>36.425</v>
      </c>
      <c r="F637" s="4" t="n">
        <v>3</v>
      </c>
      <c r="G637" t="inlineStr">
        <is>
          <t>Ontario Tennis Association</t>
        </is>
      </c>
      <c r="H637" t="inlineStr">
        <is>
          <t>Central Tennis Club</t>
        </is>
      </c>
      <c r="I637" t="n">
        <v>37.8</v>
      </c>
      <c r="J637" s="4" t="n">
        <v>34</v>
      </c>
      <c r="K637" t="inlineStr">
        <is>
          <t>12 / 22</t>
        </is>
      </c>
      <c r="L637" t="inlineStr">
        <is>
          <t>6 / 8</t>
        </is>
      </c>
      <c r="M637" s="5" t="n">
        <v>0.35</v>
      </c>
      <c r="N637" s="5" t="n">
        <v>0.43</v>
      </c>
    </row>
    <row r="638">
      <c r="A638" t="n">
        <v>637</v>
      </c>
      <c r="B638" t="n">
        <v>2015</v>
      </c>
      <c r="C638" t="inlineStr">
        <is>
          <t>Sloane Burdick</t>
        </is>
      </c>
      <c r="D638">
        <f>HYPERLINK("https://ota.tournamentsoftware.com/player-profile/B4ED1890-6E53-4FCC-9711-828BDD90CD1F", "Link")</f>
        <v/>
      </c>
      <c r="E638" s="3" t="n">
        <v>36.168</v>
      </c>
      <c r="F638" s="4" t="n">
        <v>8</v>
      </c>
      <c r="G638" t="inlineStr">
        <is>
          <t>British Columbia</t>
        </is>
      </c>
      <c r="H638" t="inlineStr">
        <is>
          <t>Vanguard Tennis Academy</t>
        </is>
      </c>
      <c r="I638" t="n">
        <v>36.8</v>
      </c>
      <c r="J638" s="4" t="n">
        <v>71</v>
      </c>
      <c r="K638" t="inlineStr">
        <is>
          <t>35 / 36</t>
        </is>
      </c>
      <c r="L638" t="inlineStr">
        <is>
          <t>8 / 9</t>
        </is>
      </c>
      <c r="M638" s="5" t="n">
        <v>0.49</v>
      </c>
      <c r="N638" s="5" t="n">
        <v>0.47</v>
      </c>
    </row>
    <row r="639">
      <c r="A639" t="n">
        <v>638</v>
      </c>
      <c r="B639" t="n">
        <v>2012</v>
      </c>
      <c r="C639" t="inlineStr">
        <is>
          <t>Aurélie Houde</t>
        </is>
      </c>
      <c r="D639">
        <f>HYPERLINK("https://ota.tournamentsoftware.com/player-profile/F697AB49-11E9-42EF-B0E6-5DF0E77AF99C", "Link")</f>
        <v/>
      </c>
      <c r="E639" s="3" t="n">
        <v>35.857</v>
      </c>
      <c r="F639" s="4" t="n">
        <v>4</v>
      </c>
      <c r="G639" t="inlineStr">
        <is>
          <t>Tennis Québec</t>
        </is>
      </c>
      <c r="H639" t="inlineStr">
        <is>
          <t>Association de tennis de Drummondville</t>
        </is>
      </c>
      <c r="I639" t="n">
        <v>39.7</v>
      </c>
      <c r="J639" s="4" t="n">
        <v>22</v>
      </c>
      <c r="K639" t="inlineStr">
        <is>
          <t>1 / 21</t>
        </is>
      </c>
      <c r="L639" t="inlineStr">
        <is>
          <t>0 / 3</t>
        </is>
      </c>
      <c r="M639" s="5" t="n">
        <v>0.05</v>
      </c>
      <c r="N639" s="5" t="n">
        <v>0</v>
      </c>
    </row>
    <row r="640">
      <c r="A640" t="n">
        <v>639</v>
      </c>
      <c r="B640" t="n">
        <v>2013</v>
      </c>
      <c r="C640" t="inlineStr">
        <is>
          <t>Mariya Fedchyshyna</t>
        </is>
      </c>
      <c r="D640">
        <f>HYPERLINK("https://ota.tournamentsoftware.com/player-profile/5A64317A-A412-4DEB-A68D-94CE45EAE2DD", "Link")</f>
        <v/>
      </c>
      <c r="E640" s="3" t="n">
        <v>35.767</v>
      </c>
      <c r="F640" s="4" t="n">
        <v>3</v>
      </c>
      <c r="G640" t="inlineStr">
        <is>
          <t>British Columbia</t>
        </is>
      </c>
      <c r="H640" t="inlineStr">
        <is>
          <t>Oak Bay Recreation Centre</t>
        </is>
      </c>
      <c r="I640" t="inlineStr">
        <is>
          <t>unavailable</t>
        </is>
      </c>
      <c r="J640" s="4" t="n">
        <v>9</v>
      </c>
      <c r="K640" t="inlineStr">
        <is>
          <t>1 / 8</t>
        </is>
      </c>
      <c r="L640" t="inlineStr">
        <is>
          <t>1 / 6</t>
        </is>
      </c>
      <c r="M640" s="5" t="n">
        <v>0.11</v>
      </c>
      <c r="N640" s="5" t="n">
        <v>0.14</v>
      </c>
    </row>
    <row r="641">
      <c r="A641" t="n">
        <v>640</v>
      </c>
      <c r="B641" t="n">
        <v>2015</v>
      </c>
      <c r="C641" t="inlineStr">
        <is>
          <t>Allegra Gill</t>
        </is>
      </c>
      <c r="D641">
        <f>HYPERLINK("https://ota.tournamentsoftware.com/player-profile/74E5B02E-036C-4D6F-B122-5C8FEF79A927", "Link")</f>
        <v/>
      </c>
      <c r="E641" s="3" t="n">
        <v>35.726</v>
      </c>
      <c r="F641" s="4" t="n">
        <v>5</v>
      </c>
      <c r="G641" t="inlineStr">
        <is>
          <t>Ontario Tennis Association</t>
        </is>
      </c>
      <c r="H641" t="inlineStr">
        <is>
          <t>Zekelman Tennis Centre</t>
        </is>
      </c>
      <c r="I641" t="n">
        <v>39.9</v>
      </c>
      <c r="J641" s="4" t="n">
        <v>98</v>
      </c>
      <c r="K641" t="inlineStr">
        <is>
          <t>18 / 80</t>
        </is>
      </c>
      <c r="L641" t="inlineStr">
        <is>
          <t>11 / 18</t>
        </is>
      </c>
      <c r="M641" s="5" t="n">
        <v>0.18</v>
      </c>
      <c r="N641" s="5" t="n">
        <v>0.38</v>
      </c>
    </row>
    <row r="642">
      <c r="A642" t="n">
        <v>641</v>
      </c>
      <c r="B642" t="n">
        <v>2015</v>
      </c>
      <c r="C642" t="inlineStr">
        <is>
          <t>Victoria Guo</t>
        </is>
      </c>
      <c r="D642">
        <f>HYPERLINK("https://ota.tournamentsoftware.com/player-profile/54FA7561-0327-4A42-A5FE-A5519116069C", "Link")</f>
        <v/>
      </c>
      <c r="E642" s="3" t="n">
        <v>35.632</v>
      </c>
      <c r="F642" s="4" t="n">
        <v>4</v>
      </c>
      <c r="G642" t="inlineStr">
        <is>
          <t>Ontario Tennis Association</t>
        </is>
      </c>
      <c r="H642" t="inlineStr">
        <is>
          <t>Craig Henry</t>
        </is>
      </c>
      <c r="I642" t="n">
        <v>39.3</v>
      </c>
      <c r="J642" s="4" t="n">
        <v>27</v>
      </c>
      <c r="K642" t="inlineStr">
        <is>
          <t>10 / 17</t>
        </is>
      </c>
      <c r="L642" t="inlineStr">
        <is>
          <t>1 / 4</t>
        </is>
      </c>
      <c r="M642" s="5" t="n">
        <v>0.37</v>
      </c>
      <c r="N642" s="5" t="n">
        <v>0.2</v>
      </c>
    </row>
    <row r="643">
      <c r="A643" t="n">
        <v>642</v>
      </c>
      <c r="B643" t="n">
        <v>2013</v>
      </c>
      <c r="C643" t="inlineStr">
        <is>
          <t>Mehak Garg</t>
        </is>
      </c>
      <c r="D643">
        <f>HYPERLINK("https://ota.tournamentsoftware.com/player-profile/2FA47597-FC2B-4F26-80C4-912C2FC70064", "Link")</f>
        <v/>
      </c>
      <c r="E643" s="3" t="n">
        <v>35.51</v>
      </c>
      <c r="F643" s="4" t="n">
        <v>1</v>
      </c>
      <c r="G643" t="inlineStr">
        <is>
          <t>Tennis Saskatchewan</t>
        </is>
      </c>
      <c r="H643" t="inlineStr">
        <is>
          <t>Lakewood Indoor Tennis Centre</t>
        </is>
      </c>
      <c r="I643" t="n">
        <v>35.1</v>
      </c>
      <c r="J643" s="4" t="n">
        <v>13</v>
      </c>
      <c r="K643" t="inlineStr">
        <is>
          <t>5 / 8</t>
        </is>
      </c>
      <c r="L643" t="inlineStr">
        <is>
          <t>5 / 8</t>
        </is>
      </c>
      <c r="M643" s="5" t="n">
        <v>0.38</v>
      </c>
      <c r="N643" s="5" t="n">
        <v>0.38</v>
      </c>
    </row>
    <row r="644">
      <c r="A644" t="n">
        <v>643</v>
      </c>
      <c r="B644" t="n">
        <v>2014</v>
      </c>
      <c r="C644" t="inlineStr">
        <is>
          <t>Violette Hébert</t>
        </is>
      </c>
      <c r="D644">
        <f>HYPERLINK("https://ota.tournamentsoftware.com/player-profile/53615BF8-C3DB-4C99-8745-F5A7E4DC7C2E", "Link")</f>
        <v/>
      </c>
      <c r="E644" s="3" t="n">
        <v>35.466</v>
      </c>
      <c r="F644" s="4" t="n">
        <v>10</v>
      </c>
      <c r="G644" t="inlineStr">
        <is>
          <t>Tennis Québec</t>
        </is>
      </c>
      <c r="H644" t="inlineStr">
        <is>
          <t>EB Tennis inc.</t>
        </is>
      </c>
      <c r="I644" t="n">
        <v>39.2</v>
      </c>
      <c r="J644" s="4" t="n">
        <v>49</v>
      </c>
      <c r="K644" t="inlineStr">
        <is>
          <t>14 / 35</t>
        </is>
      </c>
      <c r="L644" t="inlineStr">
        <is>
          <t>4 / 13</t>
        </is>
      </c>
      <c r="M644" s="5" t="n">
        <v>0.29</v>
      </c>
      <c r="N644" s="5" t="n">
        <v>0.24</v>
      </c>
    </row>
    <row r="645">
      <c r="A645" t="n">
        <v>644</v>
      </c>
      <c r="B645" t="n">
        <v>2014</v>
      </c>
      <c r="C645" t="inlineStr">
        <is>
          <t>Olivia Duthoit</t>
        </is>
      </c>
      <c r="D645">
        <f>HYPERLINK("https://ota.tournamentsoftware.com/player-profile/7ADA0A6D-C257-4896-AEB0-8E053AAA4B48", "Link")</f>
        <v/>
      </c>
      <c r="E645" s="3" t="n">
        <v>35.342</v>
      </c>
      <c r="F645" s="4" t="n">
        <v>3</v>
      </c>
      <c r="G645" t="inlineStr">
        <is>
          <t>Tennis Québec</t>
        </is>
      </c>
      <c r="H645" t="inlineStr">
        <is>
          <t>Club Avantage Multi-sports / Académie de tennis Hérisset Bordeleau</t>
        </is>
      </c>
      <c r="I645" t="n">
        <v>36</v>
      </c>
      <c r="J645" s="4" t="n">
        <v>20</v>
      </c>
      <c r="K645" t="inlineStr">
        <is>
          <t>4 / 16</t>
        </is>
      </c>
      <c r="L645" t="inlineStr">
        <is>
          <t>3 / 4</t>
        </is>
      </c>
      <c r="M645" s="5" t="n">
        <v>0.2</v>
      </c>
      <c r="N645" s="5" t="n">
        <v>0.43</v>
      </c>
    </row>
    <row r="646">
      <c r="A646" t="n">
        <v>645</v>
      </c>
      <c r="B646" t="n">
        <v>2016</v>
      </c>
      <c r="C646" t="inlineStr">
        <is>
          <t>Stella Somerville</t>
        </is>
      </c>
      <c r="D646">
        <f>HYPERLINK("https://ota.tournamentsoftware.com/player-profile/87C92774-21A4-4A46-97F9-D656FA91A212", "Link")</f>
        <v/>
      </c>
      <c r="E646" s="3" t="n">
        <v>35.28</v>
      </c>
      <c r="F646" s="4" t="n">
        <v>6</v>
      </c>
      <c r="G646" t="inlineStr">
        <is>
          <t>Ontario Tennis Association</t>
        </is>
      </c>
      <c r="H646" t="inlineStr">
        <is>
          <t>Advantage Tennis International at Veneto</t>
        </is>
      </c>
      <c r="I646" t="n">
        <v>37</v>
      </c>
      <c r="J646" s="4" t="n">
        <v>87</v>
      </c>
      <c r="K646" t="inlineStr">
        <is>
          <t>40 / 47</t>
        </is>
      </c>
      <c r="L646" t="inlineStr">
        <is>
          <t>9 / 9</t>
        </is>
      </c>
      <c r="M646" s="5" t="n">
        <v>0.46</v>
      </c>
      <c r="N646" s="5" t="n">
        <v>0.5</v>
      </c>
    </row>
    <row r="647">
      <c r="A647" t="n">
        <v>646</v>
      </c>
      <c r="B647" t="n">
        <v>2013</v>
      </c>
      <c r="C647" t="inlineStr">
        <is>
          <t>Mathilda Adaline Manning</t>
        </is>
      </c>
      <c r="D647">
        <f>HYPERLINK("https://ota.tournamentsoftware.com/player-profile/68249616-27A6-4807-9978-802C0CDC784E", "Link")</f>
        <v/>
      </c>
      <c r="E647" s="3" t="n">
        <v>35</v>
      </c>
      <c r="F647" s="4" t="n">
        <v>3</v>
      </c>
      <c r="G647" t="inlineStr">
        <is>
          <t>Ontario Tennis Association</t>
        </is>
      </c>
      <c r="H647" t="inlineStr">
        <is>
          <t>Niagara Academy of Tennis</t>
        </is>
      </c>
      <c r="I647" t="n">
        <v>29.1</v>
      </c>
      <c r="J647" s="4" t="n">
        <v>12</v>
      </c>
      <c r="K647" t="inlineStr">
        <is>
          <t>8 / 4</t>
        </is>
      </c>
      <c r="L647" t="inlineStr">
        <is>
          <t>0 / 0</t>
        </is>
      </c>
      <c r="M647" s="5" t="n">
        <v>0.67</v>
      </c>
      <c r="N647" s="5" t="n">
        <v>0</v>
      </c>
    </row>
    <row r="648">
      <c r="A648" t="n">
        <v>647</v>
      </c>
      <c r="B648" t="n">
        <v>2012</v>
      </c>
      <c r="C648" t="inlineStr">
        <is>
          <t>Capri Metelitsa</t>
        </is>
      </c>
      <c r="D648">
        <f>HYPERLINK("https://ota.tournamentsoftware.com/player-profile/AD54A68E-D415-4925-B832-8287172FB727", "Link")</f>
        <v/>
      </c>
      <c r="E648" s="3" t="n">
        <v>34.735</v>
      </c>
      <c r="F648" s="4" t="n">
        <v>10</v>
      </c>
      <c r="G648" t="inlineStr">
        <is>
          <t>Tennis Alberta</t>
        </is>
      </c>
      <c r="H648" t="inlineStr">
        <is>
          <t>Aforza</t>
        </is>
      </c>
      <c r="I648" t="n">
        <v>36.4</v>
      </c>
      <c r="J648" s="4" t="n">
        <v>50</v>
      </c>
      <c r="K648" t="inlineStr">
        <is>
          <t>23 / 27</t>
        </is>
      </c>
      <c r="L648" t="inlineStr">
        <is>
          <t>2 / 8</t>
        </is>
      </c>
      <c r="M648" s="5" t="n">
        <v>0.46</v>
      </c>
      <c r="N648" s="5" t="n">
        <v>0.2</v>
      </c>
    </row>
    <row r="649">
      <c r="A649" t="n">
        <v>648</v>
      </c>
      <c r="B649" t="n">
        <v>2016</v>
      </c>
      <c r="C649" t="inlineStr">
        <is>
          <t>Eliana Gamboa Puentevella</t>
        </is>
      </c>
      <c r="D649">
        <f>HYPERLINK("https://ota.tournamentsoftware.com/player-profile/F092EBD2-5997-4E03-AED5-C7E2E614192B", "Link")</f>
        <v/>
      </c>
      <c r="E649" s="3" t="n">
        <v>34.342</v>
      </c>
      <c r="F649" s="4" t="n">
        <v>11</v>
      </c>
      <c r="G649" t="inlineStr">
        <is>
          <t>British Columbia</t>
        </is>
      </c>
      <c r="H649" t="inlineStr">
        <is>
          <t>Suncoast Racquet Club</t>
        </is>
      </c>
      <c r="I649" t="n">
        <v>36.6</v>
      </c>
      <c r="J649" s="4" t="n">
        <v>128</v>
      </c>
      <c r="K649" t="inlineStr">
        <is>
          <t>62 / 66</t>
        </is>
      </c>
      <c r="L649" t="inlineStr">
        <is>
          <t>32 / 22</t>
        </is>
      </c>
      <c r="M649" s="5" t="n">
        <v>0.48</v>
      </c>
      <c r="N649" s="5" t="n">
        <v>0.59</v>
      </c>
    </row>
    <row r="650">
      <c r="A650" t="n">
        <v>649</v>
      </c>
      <c r="B650" t="n">
        <v>2013</v>
      </c>
      <c r="C650" t="inlineStr">
        <is>
          <t>Caroline Chuyi Wang</t>
        </is>
      </c>
      <c r="D650">
        <f>HYPERLINK("https://ota.tournamentsoftware.com/player-profile/3F052198-DCE4-4852-8FA0-B0793E67B6FC", "Link")</f>
        <v/>
      </c>
      <c r="E650" s="3" t="n">
        <v>34.166</v>
      </c>
      <c r="F650" s="4" t="n">
        <v>4</v>
      </c>
      <c r="G650" t="inlineStr">
        <is>
          <t>British Columbia</t>
        </is>
      </c>
      <c r="H650" t="inlineStr">
        <is>
          <t>Richmond Country Club</t>
        </is>
      </c>
      <c r="I650" t="n">
        <v>37.9</v>
      </c>
      <c r="J650" s="4" t="n">
        <v>26</v>
      </c>
      <c r="K650" t="inlineStr">
        <is>
          <t>11 / 15</t>
        </is>
      </c>
      <c r="L650" t="inlineStr">
        <is>
          <t>11 / 15</t>
        </is>
      </c>
      <c r="M650" s="5" t="n">
        <v>0.42</v>
      </c>
      <c r="N650" s="5" t="n">
        <v>0.42</v>
      </c>
    </row>
    <row r="651">
      <c r="A651" t="n">
        <v>650</v>
      </c>
      <c r="B651" t="n">
        <v>2014</v>
      </c>
      <c r="C651" t="inlineStr">
        <is>
          <t>Georgena Banquicio</t>
        </is>
      </c>
      <c r="D651">
        <f>HYPERLINK("https://ota.tournamentsoftware.com/player-profile/AB3893CF-B68D-4258-893E-E7C3FB601465", "Link")</f>
        <v/>
      </c>
      <c r="E651" s="3" t="n">
        <v>33.663</v>
      </c>
      <c r="F651" s="4" t="n">
        <v>5</v>
      </c>
      <c r="G651" t="inlineStr">
        <is>
          <t>Tennis New Brunswick</t>
        </is>
      </c>
      <c r="H651" t="inlineStr">
        <is>
          <t>Abony Family Tennis Center</t>
        </is>
      </c>
      <c r="I651" t="n">
        <v>37.4</v>
      </c>
      <c r="J651" s="4" t="n">
        <v>72</v>
      </c>
      <c r="K651" t="inlineStr">
        <is>
          <t>34 / 38</t>
        </is>
      </c>
      <c r="L651" t="inlineStr">
        <is>
          <t>2 / 6</t>
        </is>
      </c>
      <c r="M651" s="5" t="n">
        <v>0.47</v>
      </c>
      <c r="N651" s="5" t="n">
        <v>0.25</v>
      </c>
    </row>
    <row r="652">
      <c r="A652" t="n">
        <v>651</v>
      </c>
      <c r="B652" t="n">
        <v>2013</v>
      </c>
      <c r="C652" t="inlineStr">
        <is>
          <t>SOPHIA MARIA TRULESCU</t>
        </is>
      </c>
      <c r="D652">
        <f>HYPERLINK("https://ota.tournamentsoftware.com/player-profile/A41CCD9F-8BEB-4085-842F-8E5A7DA612FF", "Link")</f>
        <v/>
      </c>
      <c r="E652" s="3" t="n">
        <v>33.35</v>
      </c>
      <c r="F652" s="4" t="n">
        <v>2</v>
      </c>
      <c r="G652" t="inlineStr">
        <is>
          <t>Ontario Tennis Association</t>
        </is>
      </c>
      <c r="H652" t="inlineStr">
        <is>
          <t>Rosedale Tennis Club (Hamilton)</t>
        </is>
      </c>
      <c r="I652" t="n">
        <v>34.4</v>
      </c>
      <c r="J652" s="4" t="n">
        <v>55</v>
      </c>
      <c r="K652" t="inlineStr">
        <is>
          <t>41 / 14</t>
        </is>
      </c>
      <c r="L652" t="inlineStr">
        <is>
          <t>4 / 2</t>
        </is>
      </c>
      <c r="M652" s="5" t="n">
        <v>0.75</v>
      </c>
      <c r="N652" s="5" t="n">
        <v>0.67</v>
      </c>
    </row>
    <row r="653">
      <c r="A653" t="n">
        <v>652</v>
      </c>
      <c r="B653" t="n">
        <v>2014</v>
      </c>
      <c r="C653" t="inlineStr">
        <is>
          <t>Victoria Dorvius</t>
        </is>
      </c>
      <c r="D653">
        <f>HYPERLINK("https://ota.tournamentsoftware.com/player-profile/0742AD15-E29E-4761-9ABC-EF929E7499C5", "Link")</f>
        <v/>
      </c>
      <c r="E653" s="3" t="n">
        <v>33.305</v>
      </c>
      <c r="F653" s="4" t="n">
        <v>3</v>
      </c>
      <c r="G653" t="inlineStr">
        <is>
          <t>Tennis Québec</t>
        </is>
      </c>
      <c r="H653" t="inlineStr">
        <is>
          <t>No Club</t>
        </is>
      </c>
      <c r="I653" t="n">
        <v>40</v>
      </c>
      <c r="J653" s="4" t="n">
        <v>8</v>
      </c>
      <c r="K653" t="inlineStr">
        <is>
          <t>0 / 8</t>
        </is>
      </c>
      <c r="L653" t="inlineStr">
        <is>
          <t>0 / 3</t>
        </is>
      </c>
      <c r="M653" s="5" t="n">
        <v>0</v>
      </c>
      <c r="N653" s="5" t="n">
        <v>0</v>
      </c>
    </row>
    <row r="654">
      <c r="A654" t="n">
        <v>653</v>
      </c>
      <c r="B654" t="n">
        <v>2012</v>
      </c>
      <c r="C654" t="inlineStr">
        <is>
          <t>Elise Weaser</t>
        </is>
      </c>
      <c r="D654">
        <f>HYPERLINK("https://ota.tournamentsoftware.com/player-profile/DA22DB71-D6D8-4605-B329-E9AEA5B14695", "Link")</f>
        <v/>
      </c>
      <c r="E654" s="3" t="n">
        <v>33.264</v>
      </c>
      <c r="F654" s="4" t="n">
        <v>2</v>
      </c>
      <c r="G654" t="inlineStr">
        <is>
          <t>Ontario Tennis Association</t>
        </is>
      </c>
      <c r="H654" t="inlineStr">
        <is>
          <t>Ontario Racquet Club</t>
        </is>
      </c>
      <c r="I654" t="n">
        <v>37.6</v>
      </c>
      <c r="J654" s="4" t="n">
        <v>30</v>
      </c>
      <c r="K654" t="inlineStr">
        <is>
          <t>7 / 23</t>
        </is>
      </c>
      <c r="L654" t="inlineStr">
        <is>
          <t>2 / 2</t>
        </is>
      </c>
      <c r="M654" s="5" t="n">
        <v>0.23</v>
      </c>
      <c r="N654" s="5" t="n">
        <v>0.5</v>
      </c>
    </row>
    <row r="655">
      <c r="A655" t="n">
        <v>654</v>
      </c>
      <c r="B655" t="n">
        <v>2015</v>
      </c>
      <c r="C655" t="inlineStr">
        <is>
          <t>Enlin Fan</t>
        </is>
      </c>
      <c r="D655">
        <f>HYPERLINK("https://ota.tournamentsoftware.com/player-profile/0F38D490-CA76-4A12-BE87-0BAC308EDC74", "Link")</f>
        <v/>
      </c>
      <c r="E655" s="3" t="n">
        <v>32.538</v>
      </c>
      <c r="F655" s="4" t="n">
        <v>6</v>
      </c>
      <c r="G655" t="inlineStr">
        <is>
          <t>British Columbia</t>
        </is>
      </c>
      <c r="H655" t="inlineStr">
        <is>
          <t>The Tennis Centre</t>
        </is>
      </c>
      <c r="I655" t="inlineStr">
        <is>
          <t>unavailable</t>
        </is>
      </c>
      <c r="J655" s="4" t="n">
        <v>93</v>
      </c>
      <c r="K655" t="inlineStr">
        <is>
          <t>42 / 51</t>
        </is>
      </c>
      <c r="L655" t="inlineStr">
        <is>
          <t>7 / 6</t>
        </is>
      </c>
      <c r="M655" s="5" t="n">
        <v>0.45</v>
      </c>
      <c r="N655" s="5" t="n">
        <v>0.54</v>
      </c>
    </row>
    <row r="656">
      <c r="A656" t="n">
        <v>655</v>
      </c>
      <c r="B656" t="n">
        <v>2015</v>
      </c>
      <c r="C656" t="inlineStr">
        <is>
          <t>GAURI BHARDWAJ</t>
        </is>
      </c>
      <c r="D656">
        <f>HYPERLINK("https://ota.tournamentsoftware.com/player-profile/7D0915D9-E26B-4DD0-AA8A-90DD2833C0F8", "Link")</f>
        <v/>
      </c>
      <c r="E656" s="3" t="n">
        <v>32.49</v>
      </c>
      <c r="F656" s="4" t="n">
        <v>6</v>
      </c>
      <c r="G656" t="inlineStr">
        <is>
          <t>Ontario Tennis Association</t>
        </is>
      </c>
      <c r="H656" t="inlineStr">
        <is>
          <t>Premier Racquet Clubs – Mississauga</t>
        </is>
      </c>
      <c r="I656" t="n">
        <v>37.6</v>
      </c>
      <c r="J656" s="4" t="n">
        <v>105</v>
      </c>
      <c r="K656" t="inlineStr">
        <is>
          <t>38 / 67</t>
        </is>
      </c>
      <c r="L656" t="inlineStr">
        <is>
          <t>3 / 3</t>
        </is>
      </c>
      <c r="M656" s="5" t="n">
        <v>0.36</v>
      </c>
      <c r="N656" s="5" t="n">
        <v>0.5</v>
      </c>
    </row>
    <row r="657">
      <c r="A657" t="n">
        <v>656</v>
      </c>
      <c r="B657" t="n">
        <v>2017</v>
      </c>
      <c r="C657" t="inlineStr">
        <is>
          <t>Anastasia Savtchenko</t>
        </is>
      </c>
      <c r="D657">
        <f>HYPERLINK("https://ota.tournamentsoftware.com/player-profile/FF881545-63C4-4D7F-B9E4-0A8D65FB9607", "Link")</f>
        <v/>
      </c>
      <c r="E657" s="3" t="n">
        <v>32.4</v>
      </c>
      <c r="F657" s="4" t="n">
        <v>7</v>
      </c>
      <c r="G657" t="inlineStr">
        <is>
          <t>Ontario Tennis Association</t>
        </is>
      </c>
      <c r="H657" t="inlineStr">
        <is>
          <t>Valan Tennis Academy</t>
        </is>
      </c>
      <c r="I657" t="inlineStr">
        <is>
          <t>unavailable</t>
        </is>
      </c>
      <c r="J657" s="4" t="n">
        <v>95</v>
      </c>
      <c r="K657" t="inlineStr">
        <is>
          <t>53 / 42</t>
        </is>
      </c>
      <c r="L657" t="inlineStr">
        <is>
          <t>17 / 13</t>
        </is>
      </c>
      <c r="M657" s="5" t="n">
        <v>0.5600000000000001</v>
      </c>
      <c r="N657" s="5" t="n">
        <v>0.57</v>
      </c>
    </row>
    <row r="658">
      <c r="A658" t="n">
        <v>657</v>
      </c>
      <c r="B658" t="n">
        <v>2015</v>
      </c>
      <c r="C658" t="inlineStr">
        <is>
          <t>Piper Harrison</t>
        </is>
      </c>
      <c r="D658">
        <f>HYPERLINK("https://ota.tournamentsoftware.com/player-profile/8FD01254-4DB3-4BFF-A784-65DB87717C42", "Link")</f>
        <v/>
      </c>
      <c r="E658" s="3" t="n">
        <v>31.992</v>
      </c>
      <c r="F658" s="4" t="n">
        <v>7</v>
      </c>
      <c r="G658" t="inlineStr">
        <is>
          <t>Ontario Tennis Association</t>
        </is>
      </c>
      <c r="H658" t="inlineStr">
        <is>
          <t>Boulevard Club</t>
        </is>
      </c>
      <c r="I658" t="n">
        <v>38.6</v>
      </c>
      <c r="J658" s="4" t="n">
        <v>56</v>
      </c>
      <c r="K658" t="inlineStr">
        <is>
          <t>18 / 38</t>
        </is>
      </c>
      <c r="L658" t="inlineStr">
        <is>
          <t>6 / 10</t>
        </is>
      </c>
      <c r="M658" s="5" t="n">
        <v>0.32</v>
      </c>
      <c r="N658" s="5" t="n">
        <v>0.38</v>
      </c>
    </row>
    <row r="659">
      <c r="A659" t="n">
        <v>658</v>
      </c>
      <c r="B659" t="n">
        <v>2012</v>
      </c>
      <c r="C659" t="inlineStr">
        <is>
          <t>Rosalie Lanthier</t>
        </is>
      </c>
      <c r="D659">
        <f>HYPERLINK("https://ota.tournamentsoftware.com/player-profile/7853B67E-AF4D-4FFF-9839-6455ACC0C941", "Link")</f>
        <v/>
      </c>
      <c r="E659" s="3" t="n">
        <v>31.759</v>
      </c>
      <c r="F659" s="4" t="n">
        <v>5</v>
      </c>
      <c r="G659" t="inlineStr">
        <is>
          <t>Tennis Québec</t>
        </is>
      </c>
      <c r="H659" t="inlineStr">
        <is>
          <t>EB Tennis inc.</t>
        </is>
      </c>
      <c r="I659" t="n">
        <v>40</v>
      </c>
      <c r="J659" s="4" t="n">
        <v>15</v>
      </c>
      <c r="K659" t="inlineStr">
        <is>
          <t>1 / 14</t>
        </is>
      </c>
      <c r="L659" t="inlineStr">
        <is>
          <t>0 / 4</t>
        </is>
      </c>
      <c r="M659" s="5" t="n">
        <v>0.07000000000000001</v>
      </c>
      <c r="N659" s="5" t="n">
        <v>0</v>
      </c>
    </row>
    <row r="660">
      <c r="A660" t="n">
        <v>659</v>
      </c>
      <c r="B660" t="n">
        <v>2012</v>
      </c>
      <c r="C660" t="inlineStr">
        <is>
          <t>Belen Aldana</t>
        </is>
      </c>
      <c r="D660">
        <f>HYPERLINK("https://ota.tournamentsoftware.com/player-profile/403664F3-E594-4FFF-BEC0-1AF63F2F73E4", "Link")</f>
        <v/>
      </c>
      <c r="E660" s="3" t="n">
        <v>31.724</v>
      </c>
      <c r="F660" s="4" t="n">
        <v>6</v>
      </c>
      <c r="G660" t="inlineStr">
        <is>
          <t>Tennis Québec</t>
        </is>
      </c>
      <c r="H660" t="inlineStr">
        <is>
          <t>SANI Sport</t>
        </is>
      </c>
      <c r="I660" t="n">
        <v>37.9</v>
      </c>
      <c r="J660" s="4" t="n">
        <v>11</v>
      </c>
      <c r="K660" t="inlineStr">
        <is>
          <t>1 / 10</t>
        </is>
      </c>
      <c r="L660" t="inlineStr">
        <is>
          <t>1 / 10</t>
        </is>
      </c>
      <c r="M660" s="5" t="n">
        <v>0.09</v>
      </c>
      <c r="N660" s="5" t="n">
        <v>0.09</v>
      </c>
    </row>
    <row r="661">
      <c r="A661" t="n">
        <v>660</v>
      </c>
      <c r="B661" t="n">
        <v>2012</v>
      </c>
      <c r="C661" t="inlineStr">
        <is>
          <t>Elise Landry</t>
        </is>
      </c>
      <c r="D661">
        <f>HYPERLINK("https://ota.tournamentsoftware.com/player-profile/E61A7837-F4EB-4DDA-B26F-2D7CE7910B80", "Link")</f>
        <v/>
      </c>
      <c r="E661" s="3" t="n">
        <v>31.456</v>
      </c>
      <c r="F661" s="4" t="n">
        <v>3</v>
      </c>
      <c r="G661" t="inlineStr">
        <is>
          <t>Ontario Tennis Association</t>
        </is>
      </c>
      <c r="H661" t="inlineStr">
        <is>
          <t>Toronto Tennis City</t>
        </is>
      </c>
      <c r="I661" t="inlineStr">
        <is>
          <t>unavailable</t>
        </is>
      </c>
      <c r="J661" s="4" t="n">
        <v>9</v>
      </c>
      <c r="K661" t="inlineStr">
        <is>
          <t>5 / 4</t>
        </is>
      </c>
      <c r="L661" t="inlineStr">
        <is>
          <t>5 / 4</t>
        </is>
      </c>
      <c r="M661" s="5" t="n">
        <v>0.5600000000000001</v>
      </c>
      <c r="N661" s="5" t="n">
        <v>0.5600000000000001</v>
      </c>
    </row>
    <row r="662">
      <c r="A662" t="n">
        <v>661</v>
      </c>
      <c r="B662" t="n">
        <v>2016</v>
      </c>
      <c r="C662" t="inlineStr">
        <is>
          <t>Talia Petrovski</t>
        </is>
      </c>
      <c r="D662">
        <f>HYPERLINK("https://ota.tournamentsoftware.com/player-profile/85787F1F-708B-4576-AEFA-F82C6105B16E", "Link")</f>
        <v/>
      </c>
      <c r="E662" s="3" t="n">
        <v>31.234</v>
      </c>
      <c r="F662" s="4" t="n">
        <v>18</v>
      </c>
      <c r="G662" t="inlineStr">
        <is>
          <t>Tennis Alberta</t>
        </is>
      </c>
      <c r="H662" t="inlineStr">
        <is>
          <t>Saville Community Sports Centre</t>
        </is>
      </c>
      <c r="I662" t="n">
        <v>35.5</v>
      </c>
      <c r="J662" s="4" t="n">
        <v>143</v>
      </c>
      <c r="K662" t="inlineStr">
        <is>
          <t>81 / 62</t>
        </is>
      </c>
      <c r="L662" t="inlineStr">
        <is>
          <t>51 / 24</t>
        </is>
      </c>
      <c r="M662" s="5" t="n">
        <v>0.57</v>
      </c>
      <c r="N662" s="5" t="n">
        <v>0.68</v>
      </c>
    </row>
    <row r="663">
      <c r="A663" t="n">
        <v>662</v>
      </c>
      <c r="B663" t="n">
        <v>2014</v>
      </c>
      <c r="C663" t="inlineStr">
        <is>
          <t>Ignatia Walsh</t>
        </is>
      </c>
      <c r="D663">
        <f>HYPERLINK("https://ota.tournamentsoftware.com/player-profile/AEC8F080-693E-4608-867A-22E590A9E567", "Link")</f>
        <v/>
      </c>
      <c r="E663" s="3" t="n">
        <v>31.115</v>
      </c>
      <c r="F663" s="4" t="n">
        <v>15</v>
      </c>
      <c r="G663" t="inlineStr">
        <is>
          <t>Ontario Tennis Association</t>
        </is>
      </c>
      <c r="H663" t="inlineStr">
        <is>
          <t>Premier Racquet Clubs – Mississauga</t>
        </is>
      </c>
      <c r="I663" t="inlineStr">
        <is>
          <t>unavailable</t>
        </is>
      </c>
      <c r="J663" s="4" t="n">
        <v>55</v>
      </c>
      <c r="K663" t="inlineStr">
        <is>
          <t>14 / 41</t>
        </is>
      </c>
      <c r="L663" t="inlineStr">
        <is>
          <t>7 / 17</t>
        </is>
      </c>
      <c r="M663" s="5" t="n">
        <v>0.25</v>
      </c>
      <c r="N663" s="5" t="n">
        <v>0.29</v>
      </c>
    </row>
    <row r="664">
      <c r="A664" t="n">
        <v>663</v>
      </c>
      <c r="B664" t="n">
        <v>2015</v>
      </c>
      <c r="C664" t="inlineStr">
        <is>
          <t>Daisy Dai</t>
        </is>
      </c>
      <c r="D664">
        <f>HYPERLINK("https://ota.tournamentsoftware.com/player-profile/C64DEFB9-4BBC-4AA1-8CC8-9020440935AB", "Link")</f>
        <v/>
      </c>
      <c r="E664" s="3" t="n">
        <v>30.448</v>
      </c>
      <c r="F664" s="4" t="n">
        <v>2</v>
      </c>
      <c r="G664" t="inlineStr">
        <is>
          <t>Tennis Nova Scotia</t>
        </is>
      </c>
      <c r="H664" t="inlineStr">
        <is>
          <t>Atlantic Tennis Centre</t>
        </is>
      </c>
      <c r="I664" t="n">
        <v>33.3</v>
      </c>
      <c r="J664" s="4" t="n">
        <v>23</v>
      </c>
      <c r="K664" t="inlineStr">
        <is>
          <t>16 / 7</t>
        </is>
      </c>
      <c r="L664" t="inlineStr">
        <is>
          <t>4 / 2</t>
        </is>
      </c>
      <c r="M664" s="5" t="n">
        <v>0.7</v>
      </c>
      <c r="N664" s="5" t="n">
        <v>0.67</v>
      </c>
    </row>
    <row r="665">
      <c r="A665" t="n">
        <v>664</v>
      </c>
      <c r="B665" t="n">
        <v>2016</v>
      </c>
      <c r="C665" t="inlineStr">
        <is>
          <t>Yuetian Caroline Guo</t>
        </is>
      </c>
      <c r="D665">
        <f>HYPERLINK("https://ota.tournamentsoftware.com/player-profile/D9EEB088-31A0-4FD1-A91B-A82319998935", "Link")</f>
        <v/>
      </c>
      <c r="E665" s="3" t="n">
        <v>29.459</v>
      </c>
      <c r="F665" s="4" t="n">
        <v>12</v>
      </c>
      <c r="G665" t="inlineStr">
        <is>
          <t>British Columbia</t>
        </is>
      </c>
      <c r="H665" t="inlineStr">
        <is>
          <t>The Tennis Centre</t>
        </is>
      </c>
      <c r="I665" t="n">
        <v>37</v>
      </c>
      <c r="J665" s="4" t="n">
        <v>108</v>
      </c>
      <c r="K665" t="inlineStr">
        <is>
          <t>61 / 47</t>
        </is>
      </c>
      <c r="L665" t="inlineStr">
        <is>
          <t>31 / 21</t>
        </is>
      </c>
      <c r="M665" s="5" t="n">
        <v>0.5600000000000001</v>
      </c>
      <c r="N665" s="5" t="n">
        <v>0.6</v>
      </c>
    </row>
    <row r="666">
      <c r="A666" t="n">
        <v>665</v>
      </c>
      <c r="B666" t="n">
        <v>2012</v>
      </c>
      <c r="C666" t="inlineStr">
        <is>
          <t>Remy Quinn Durocher</t>
        </is>
      </c>
      <c r="D666">
        <f>HYPERLINK("https://ota.tournamentsoftware.com/player-profile/64BF8C80-3EDB-464A-896D-5D47CC387451", "Link")</f>
        <v/>
      </c>
      <c r="E666" s="3" t="n">
        <v>29.376</v>
      </c>
      <c r="F666" s="4" t="n">
        <v>1</v>
      </c>
      <c r="G666" t="inlineStr">
        <is>
          <t>Tennis Prince Edward Island</t>
        </is>
      </c>
      <c r="H666" t="inlineStr">
        <is>
          <t>Stratford Tennis Club</t>
        </is>
      </c>
      <c r="I666" t="n">
        <v>39.4</v>
      </c>
      <c r="J666" s="4" t="n">
        <v>13</v>
      </c>
      <c r="K666" t="inlineStr">
        <is>
          <t>2 / 11</t>
        </is>
      </c>
      <c r="L666" t="inlineStr">
        <is>
          <t>1 / 6</t>
        </is>
      </c>
      <c r="M666" s="5" t="n">
        <v>0.15</v>
      </c>
      <c r="N666" s="5" t="n">
        <v>0.14</v>
      </c>
    </row>
    <row r="667">
      <c r="A667" t="n">
        <v>666</v>
      </c>
      <c r="B667" t="n">
        <v>2014</v>
      </c>
      <c r="C667" t="inlineStr">
        <is>
          <t>Mila Levac</t>
        </is>
      </c>
      <c r="D667">
        <f>HYPERLINK("https://ota.tournamentsoftware.com/player-profile/7F793D8E-41D7-4B70-87B7-9D30B32ED35F", "Link")</f>
        <v/>
      </c>
      <c r="E667" s="3" t="n">
        <v>29.368</v>
      </c>
      <c r="F667" s="4" t="n">
        <v>4</v>
      </c>
      <c r="G667" t="inlineStr">
        <is>
          <t>Ontario Tennis Association</t>
        </is>
      </c>
      <c r="H667" t="inlineStr">
        <is>
          <t>Rideau Sports Centre</t>
        </is>
      </c>
      <c r="I667" t="n">
        <v>39.8</v>
      </c>
      <c r="J667" s="4" t="n">
        <v>77</v>
      </c>
      <c r="K667" t="inlineStr">
        <is>
          <t>13 / 64</t>
        </is>
      </c>
      <c r="L667" t="inlineStr">
        <is>
          <t>0 / 4</t>
        </is>
      </c>
      <c r="M667" s="5" t="n">
        <v>0.17</v>
      </c>
      <c r="N667" s="5" t="n">
        <v>0</v>
      </c>
    </row>
    <row r="668">
      <c r="A668" t="n">
        <v>667</v>
      </c>
      <c r="B668" t="n">
        <v>2015</v>
      </c>
      <c r="C668" t="inlineStr">
        <is>
          <t>Iris RuiYing Cen</t>
        </is>
      </c>
      <c r="D668">
        <f>HYPERLINK("https://ota.tournamentsoftware.com/player-profile/D53FD847-C5AE-41A6-BFB8-EE8B251EDFBF", "Link")</f>
        <v/>
      </c>
      <c r="E668" s="3" t="n">
        <v>29.111</v>
      </c>
      <c r="F668" s="4" t="n">
        <v>7</v>
      </c>
      <c r="G668" t="inlineStr">
        <is>
          <t>Ontario Tennis Association</t>
        </is>
      </c>
      <c r="H668" t="inlineStr">
        <is>
          <t>Meadowvale West Tennis Club</t>
        </is>
      </c>
      <c r="I668" t="n">
        <v>38.1</v>
      </c>
      <c r="J668" s="4" t="n">
        <v>77</v>
      </c>
      <c r="K668" t="inlineStr">
        <is>
          <t>20 / 57</t>
        </is>
      </c>
      <c r="L668" t="inlineStr">
        <is>
          <t>2 / 4</t>
        </is>
      </c>
      <c r="M668" s="5" t="n">
        <v>0.26</v>
      </c>
      <c r="N668" s="5" t="n">
        <v>0.33</v>
      </c>
    </row>
    <row r="669">
      <c r="A669" t="n">
        <v>668</v>
      </c>
      <c r="B669" t="n">
        <v>2014</v>
      </c>
      <c r="C669" t="inlineStr">
        <is>
          <t>Mila Khayretdinova</t>
        </is>
      </c>
      <c r="D669">
        <f>HYPERLINK("https://ota.tournamentsoftware.com/player-profile/04DE0A72-CDB6-4637-88E8-378348327654", "Link")</f>
        <v/>
      </c>
      <c r="E669" s="3" t="n">
        <v>28.855</v>
      </c>
      <c r="F669" s="4" t="n">
        <v>6</v>
      </c>
      <c r="G669" t="inlineStr">
        <is>
          <t>Tennis Québec</t>
        </is>
      </c>
      <c r="H669" t="inlineStr">
        <is>
          <t>No Club</t>
        </is>
      </c>
      <c r="I669" t="n">
        <v>39.1</v>
      </c>
      <c r="J669" s="4" t="n">
        <v>41</v>
      </c>
      <c r="K669" t="inlineStr">
        <is>
          <t>3 / 38</t>
        </is>
      </c>
      <c r="L669" t="inlineStr">
        <is>
          <t>3 / 6</t>
        </is>
      </c>
      <c r="M669" s="5" t="n">
        <v>0.07000000000000001</v>
      </c>
      <c r="N669" s="5" t="n">
        <v>0.33</v>
      </c>
    </row>
    <row r="670">
      <c r="A670" t="n">
        <v>669</v>
      </c>
      <c r="B670" t="n">
        <v>2015</v>
      </c>
      <c r="C670" t="inlineStr">
        <is>
          <t>Asena Kiamil</t>
        </is>
      </c>
      <c r="D670">
        <f>HYPERLINK("https://ota.tournamentsoftware.com/player-profile/E9A72281-6B76-4B36-9040-E802436447FA", "Link")</f>
        <v/>
      </c>
      <c r="E670" s="3" t="n">
        <v>28.824</v>
      </c>
      <c r="F670" s="4" t="n">
        <v>6</v>
      </c>
      <c r="G670" t="inlineStr">
        <is>
          <t>Ontario Tennis Association</t>
        </is>
      </c>
      <c r="H670" t="inlineStr">
        <is>
          <t>Royal City Tennis Club</t>
        </is>
      </c>
      <c r="I670" t="n">
        <v>37.8</v>
      </c>
      <c r="J670" s="4" t="n">
        <v>86</v>
      </c>
      <c r="K670" t="inlineStr">
        <is>
          <t>46 / 40</t>
        </is>
      </c>
      <c r="L670" t="inlineStr">
        <is>
          <t>4 / 6</t>
        </is>
      </c>
      <c r="M670" s="5" t="n">
        <v>0.53</v>
      </c>
      <c r="N670" s="5" t="n">
        <v>0.4</v>
      </c>
    </row>
    <row r="671">
      <c r="A671" t="n">
        <v>670</v>
      </c>
      <c r="B671" t="n">
        <v>2013</v>
      </c>
      <c r="C671" t="inlineStr">
        <is>
          <t>TIFFANY ZHENG</t>
        </is>
      </c>
      <c r="D671">
        <f>HYPERLINK("https://ota.tournamentsoftware.com/player-profile/59B34621-D499-450A-BDB3-B38C363BEAD1", "Link")</f>
        <v/>
      </c>
      <c r="E671" s="3" t="n">
        <v>28.481</v>
      </c>
      <c r="F671" s="4" t="n">
        <v>1</v>
      </c>
      <c r="G671" t="inlineStr">
        <is>
          <t>Ontario Tennis Association</t>
        </is>
      </c>
      <c r="H671" t="inlineStr">
        <is>
          <t>Carleton Tennis Centre</t>
        </is>
      </c>
      <c r="I671" t="n">
        <v>34</v>
      </c>
      <c r="J671" s="4" t="n">
        <v>1</v>
      </c>
      <c r="K671" t="inlineStr">
        <is>
          <t>1 / 0</t>
        </is>
      </c>
      <c r="L671" t="inlineStr">
        <is>
          <t>1 / 0</t>
        </is>
      </c>
      <c r="M671" s="5" t="n">
        <v>1</v>
      </c>
      <c r="N671" s="5" t="n">
        <v>1</v>
      </c>
    </row>
    <row r="672">
      <c r="A672" t="n">
        <v>671</v>
      </c>
      <c r="B672" t="n">
        <v>2013</v>
      </c>
      <c r="C672" t="inlineStr">
        <is>
          <t>Meryem Besri Besri</t>
        </is>
      </c>
      <c r="D672">
        <f>HYPERLINK("https://ota.tournamentsoftware.com/player-profile/24E638E5-93ED-46F3-95E6-F944EA4EAAE7", "Link")</f>
        <v/>
      </c>
      <c r="E672" s="3" t="n">
        <v>28.425</v>
      </c>
      <c r="F672" s="4" t="n">
        <v>3</v>
      </c>
      <c r="G672" t="inlineStr">
        <is>
          <t>Tennis Alberta</t>
        </is>
      </c>
      <c r="H672" t="inlineStr">
        <is>
          <t>Calgary - Public</t>
        </is>
      </c>
      <c r="I672" t="n">
        <v>32</v>
      </c>
      <c r="J672" s="4" t="n">
        <v>6</v>
      </c>
      <c r="K672" t="inlineStr">
        <is>
          <t>3 / 3</t>
        </is>
      </c>
      <c r="L672" t="inlineStr">
        <is>
          <t>3 / 3</t>
        </is>
      </c>
      <c r="M672" s="5" t="n">
        <v>0.5</v>
      </c>
      <c r="N672" s="5" t="n">
        <v>0.5</v>
      </c>
    </row>
    <row r="673">
      <c r="A673" t="n">
        <v>672</v>
      </c>
      <c r="B673" t="n">
        <v>2016</v>
      </c>
      <c r="C673" t="inlineStr">
        <is>
          <t>Flora Ziyue Wang</t>
        </is>
      </c>
      <c r="D673">
        <f>HYPERLINK("https://ota.tournamentsoftware.com/player-profile/65435931-BBD0-46BD-839E-4188787640BE", "Link")</f>
        <v/>
      </c>
      <c r="E673" s="3" t="n">
        <v>28.368</v>
      </c>
      <c r="F673" s="4" t="n">
        <v>7</v>
      </c>
      <c r="G673" t="inlineStr">
        <is>
          <t>Ontario Tennis Association</t>
        </is>
      </c>
      <c r="H673" t="inlineStr">
        <is>
          <t>Unionville Tennis Club</t>
        </is>
      </c>
      <c r="I673" t="n">
        <v>35.4</v>
      </c>
      <c r="J673" s="4" t="n">
        <v>82</v>
      </c>
      <c r="K673" t="inlineStr">
        <is>
          <t>42 / 40</t>
        </is>
      </c>
      <c r="L673" t="inlineStr">
        <is>
          <t>15 / 9</t>
        </is>
      </c>
      <c r="M673" s="5" t="n">
        <v>0.51</v>
      </c>
      <c r="N673" s="5" t="n">
        <v>0.62</v>
      </c>
    </row>
    <row r="674">
      <c r="A674" t="n">
        <v>673</v>
      </c>
      <c r="B674" t="n">
        <v>2013</v>
      </c>
      <c r="C674" t="inlineStr">
        <is>
          <t>Phoebe Xu</t>
        </is>
      </c>
      <c r="D674">
        <f>HYPERLINK("https://ota.tournamentsoftware.com/player-profile/278C7B40-F6F9-4402-A8BF-F8069FAF9612", "Link")</f>
        <v/>
      </c>
      <c r="E674" s="3" t="n">
        <v>27.864</v>
      </c>
      <c r="F674" s="4" t="n">
        <v>2</v>
      </c>
      <c r="G674" t="inlineStr">
        <is>
          <t>Ontario Tennis Association</t>
        </is>
      </c>
      <c r="H674" t="inlineStr">
        <is>
          <t>Sandy Beach Tennis Club</t>
        </is>
      </c>
      <c r="I674" t="n">
        <v>32</v>
      </c>
      <c r="J674" s="4" t="n">
        <v>89</v>
      </c>
      <c r="K674" t="inlineStr">
        <is>
          <t>50 / 39</t>
        </is>
      </c>
      <c r="L674" t="inlineStr">
        <is>
          <t>1 / 1</t>
        </is>
      </c>
      <c r="M674" s="5" t="n">
        <v>0.5600000000000001</v>
      </c>
      <c r="N674" s="5" t="n">
        <v>0.5</v>
      </c>
    </row>
    <row r="675">
      <c r="A675" t="n">
        <v>674</v>
      </c>
      <c r="B675" t="n">
        <v>2014</v>
      </c>
      <c r="C675" t="inlineStr">
        <is>
          <t>kunyou Guan</t>
        </is>
      </c>
      <c r="D675">
        <f>HYPERLINK("https://ota.tournamentsoftware.com/player-profile/1F3E9C6C-8AD9-4B0B-B88C-410B372DBAF5", "Link")</f>
        <v/>
      </c>
      <c r="E675" s="3" t="n">
        <v>27.859</v>
      </c>
      <c r="F675" s="4" t="n">
        <v>7</v>
      </c>
      <c r="G675" t="inlineStr">
        <is>
          <t>Ontario Tennis Association</t>
        </is>
      </c>
      <c r="H675" t="inlineStr">
        <is>
          <t>Mayfair West Fitness &amp; Racquet Club</t>
        </is>
      </c>
      <c r="I675" t="n">
        <v>37.5</v>
      </c>
      <c r="J675" s="4" t="n">
        <v>38</v>
      </c>
      <c r="K675" t="inlineStr">
        <is>
          <t>19 / 19</t>
        </is>
      </c>
      <c r="L675" t="inlineStr">
        <is>
          <t>6 / 8</t>
        </is>
      </c>
      <c r="M675" s="5" t="n">
        <v>0.5</v>
      </c>
      <c r="N675" s="5" t="n">
        <v>0.43</v>
      </c>
    </row>
    <row r="676">
      <c r="A676" t="n">
        <v>675</v>
      </c>
      <c r="B676" t="n">
        <v>2016</v>
      </c>
      <c r="C676" t="inlineStr">
        <is>
          <t>Madison Prsa</t>
        </is>
      </c>
      <c r="D676">
        <f>HYPERLINK("https://ota.tournamentsoftware.com/player-profile/E90BB9E9-F58B-415B-8202-1B024EFB9E36", "Link")</f>
        <v/>
      </c>
      <c r="E676" s="3" t="n">
        <v>27.648</v>
      </c>
      <c r="F676" s="4" t="n">
        <v>6</v>
      </c>
      <c r="G676" t="inlineStr">
        <is>
          <t>Ontario Tennis Association</t>
        </is>
      </c>
      <c r="H676" t="inlineStr">
        <is>
          <t>Advantage Tennis International at Veneto</t>
        </is>
      </c>
      <c r="I676" t="n">
        <v>36.3</v>
      </c>
      <c r="J676" s="4" t="n">
        <v>145</v>
      </c>
      <c r="K676" t="inlineStr">
        <is>
          <t>56 / 89</t>
        </is>
      </c>
      <c r="L676" t="inlineStr">
        <is>
          <t>15 / 21</t>
        </is>
      </c>
      <c r="M676" s="5" t="n">
        <v>0.39</v>
      </c>
      <c r="N676" s="5" t="n">
        <v>0.42</v>
      </c>
    </row>
    <row r="677">
      <c r="A677" t="n">
        <v>676</v>
      </c>
      <c r="B677" t="n">
        <v>2015</v>
      </c>
      <c r="C677" t="inlineStr">
        <is>
          <t>Parine Jani</t>
        </is>
      </c>
      <c r="D677">
        <f>HYPERLINK("https://ota.tournamentsoftware.com/player-profile/DEF6C92A-14C0-4DEB-A4E3-22B40C75E14A", "Link")</f>
        <v/>
      </c>
      <c r="E677" s="3" t="n">
        <v>27.46</v>
      </c>
      <c r="F677" s="4" t="n">
        <v>4</v>
      </c>
      <c r="G677" t="inlineStr">
        <is>
          <t>Ontario Tennis Association</t>
        </is>
      </c>
      <c r="H677" t="inlineStr">
        <is>
          <t>Premier Racquet Club - Markham</t>
        </is>
      </c>
      <c r="I677" t="n">
        <v>40</v>
      </c>
      <c r="J677" s="4" t="n">
        <v>42</v>
      </c>
      <c r="K677" t="inlineStr">
        <is>
          <t>7 / 35</t>
        </is>
      </c>
      <c r="L677" t="inlineStr">
        <is>
          <t>1 / 10</t>
        </is>
      </c>
      <c r="M677" s="5" t="n">
        <v>0.17</v>
      </c>
      <c r="N677" s="5" t="n">
        <v>0.09</v>
      </c>
    </row>
    <row r="678">
      <c r="A678" t="n">
        <v>677</v>
      </c>
      <c r="B678" t="n">
        <v>2012</v>
      </c>
      <c r="C678" t="inlineStr">
        <is>
          <t>Emma Gao</t>
        </is>
      </c>
      <c r="D678">
        <f>HYPERLINK("https://ota.tournamentsoftware.com/player-profile/C88BC343-3DFB-493C-85F2-14F8A90F6D68", "Link")</f>
        <v/>
      </c>
      <c r="E678" s="3" t="n">
        <v>27.439</v>
      </c>
      <c r="F678" s="4" t="n">
        <v>3</v>
      </c>
      <c r="G678" t="inlineStr">
        <is>
          <t>British Columbia</t>
        </is>
      </c>
      <c r="H678" t="inlineStr">
        <is>
          <t>Tennis for Life</t>
        </is>
      </c>
      <c r="I678" t="inlineStr">
        <is>
          <t>unavailable</t>
        </is>
      </c>
      <c r="J678" s="4" t="n">
        <v>33</v>
      </c>
      <c r="K678" t="inlineStr">
        <is>
          <t>9 / 24</t>
        </is>
      </c>
      <c r="L678" t="inlineStr">
        <is>
          <t>0 / 5</t>
        </is>
      </c>
      <c r="M678" s="5" t="n">
        <v>0.27</v>
      </c>
      <c r="N678" s="5" t="n">
        <v>0</v>
      </c>
    </row>
    <row r="679">
      <c r="A679" t="n">
        <v>678</v>
      </c>
      <c r="B679" t="n">
        <v>2014</v>
      </c>
      <c r="C679" t="inlineStr">
        <is>
          <t>Ariella Naomi Shegelman</t>
        </is>
      </c>
      <c r="D679">
        <f>HYPERLINK("https://ota.tournamentsoftware.com/player-profile/F4A076BF-B4C6-4301-B22A-3E13FD483AD5", "Link")</f>
        <v/>
      </c>
      <c r="E679" s="3" t="n">
        <v>27.211</v>
      </c>
      <c r="F679" s="4" t="n">
        <v>4</v>
      </c>
      <c r="G679" t="inlineStr">
        <is>
          <t>Ontario Tennis Association</t>
        </is>
      </c>
      <c r="H679" t="inlineStr">
        <is>
          <t>Concord Tennis Academy</t>
        </is>
      </c>
      <c r="I679" t="n">
        <v>36</v>
      </c>
      <c r="J679" s="4" t="n">
        <v>30</v>
      </c>
      <c r="K679" t="inlineStr">
        <is>
          <t>15 / 15</t>
        </is>
      </c>
      <c r="L679" t="inlineStr">
        <is>
          <t>5 / 5</t>
        </is>
      </c>
      <c r="M679" s="5" t="n">
        <v>0.5</v>
      </c>
      <c r="N679" s="5" t="n">
        <v>0.5</v>
      </c>
    </row>
    <row r="680">
      <c r="A680" t="n">
        <v>679</v>
      </c>
      <c r="B680" t="n">
        <v>2015</v>
      </c>
      <c r="C680" t="inlineStr">
        <is>
          <t>Milana Maor</t>
        </is>
      </c>
      <c r="D680">
        <f>HYPERLINK("https://ota.tournamentsoftware.com/player-profile/EFC2E194-22E1-4017-A2E8-0B41E7DB9101", "Link")</f>
        <v/>
      </c>
      <c r="E680" s="3" t="n">
        <v>27.066</v>
      </c>
      <c r="F680" s="4" t="n">
        <v>8</v>
      </c>
      <c r="G680" t="inlineStr">
        <is>
          <t>Ontario Tennis Association</t>
        </is>
      </c>
      <c r="H680" t="inlineStr">
        <is>
          <t>No Club</t>
        </is>
      </c>
      <c r="I680" t="n">
        <v>37</v>
      </c>
      <c r="J680" s="4" t="n">
        <v>56</v>
      </c>
      <c r="K680" t="inlineStr">
        <is>
          <t>23 / 33</t>
        </is>
      </c>
      <c r="L680" t="inlineStr">
        <is>
          <t>6 / 14</t>
        </is>
      </c>
      <c r="M680" s="5" t="n">
        <v>0.41</v>
      </c>
      <c r="N680" s="5" t="n">
        <v>0.3</v>
      </c>
    </row>
    <row r="681">
      <c r="A681" t="n">
        <v>680</v>
      </c>
      <c r="B681" t="n">
        <v>2016</v>
      </c>
      <c r="C681" t="inlineStr">
        <is>
          <t>Emma Yu</t>
        </is>
      </c>
      <c r="D681">
        <f>HYPERLINK("https://ota.tournamentsoftware.com/player-profile/08E91FF6-D5E8-42FC-9B0D-2002B0263706", "Link")</f>
        <v/>
      </c>
      <c r="E681" s="3" t="n">
        <v>27</v>
      </c>
      <c r="F681" s="4" t="n">
        <v>5</v>
      </c>
      <c r="G681" t="inlineStr">
        <is>
          <t>Tennis Nova Scotia</t>
        </is>
      </c>
      <c r="H681" t="inlineStr">
        <is>
          <t>Atlantic Tennis Centre</t>
        </is>
      </c>
      <c r="I681" t="n">
        <v>36</v>
      </c>
      <c r="J681" s="4" t="n">
        <v>43</v>
      </c>
      <c r="K681" t="inlineStr">
        <is>
          <t>25 / 18</t>
        </is>
      </c>
      <c r="L681" t="inlineStr">
        <is>
          <t>17 / 7</t>
        </is>
      </c>
      <c r="M681" s="5" t="n">
        <v>0.58</v>
      </c>
      <c r="N681" s="5" t="n">
        <v>0.71</v>
      </c>
    </row>
    <row r="682">
      <c r="A682" t="n">
        <v>681</v>
      </c>
      <c r="B682" t="n">
        <v>2012</v>
      </c>
      <c r="C682" t="inlineStr">
        <is>
          <t>Tallulah Oakes</t>
        </is>
      </c>
      <c r="D682">
        <f>HYPERLINK("https://ota.tournamentsoftware.com/player-profile/B5372F0A-C15A-4DDD-A97C-9E3BACE4A05E", "Link")</f>
        <v/>
      </c>
      <c r="E682" s="3" t="n">
        <v>26.613</v>
      </c>
      <c r="F682" s="4" t="n">
        <v>2</v>
      </c>
      <c r="G682" t="inlineStr">
        <is>
          <t>British Columbia</t>
        </is>
      </c>
      <c r="H682" t="inlineStr">
        <is>
          <t>Hollyburn Country Club</t>
        </is>
      </c>
      <c r="I682" t="n">
        <v>35.4</v>
      </c>
      <c r="J682" s="4" t="n">
        <v>72</v>
      </c>
      <c r="K682" t="inlineStr">
        <is>
          <t>27 / 45</t>
        </is>
      </c>
      <c r="L682" t="inlineStr">
        <is>
          <t>1 / 2</t>
        </is>
      </c>
      <c r="M682" s="5" t="n">
        <v>0.38</v>
      </c>
      <c r="N682" s="5" t="n">
        <v>0.33</v>
      </c>
    </row>
    <row r="683">
      <c r="A683" t="n">
        <v>682</v>
      </c>
      <c r="B683" t="n">
        <v>2012</v>
      </c>
      <c r="C683" t="inlineStr">
        <is>
          <t>Kira Karstoff</t>
        </is>
      </c>
      <c r="D683">
        <f>HYPERLINK("https://ota.tournamentsoftware.com/player-profile/1755679B-A50B-4F8F-B603-0578043F7638", "Link")</f>
        <v/>
      </c>
      <c r="E683" s="3" t="n">
        <v>26.611</v>
      </c>
      <c r="F683" s="4" t="n">
        <v>2</v>
      </c>
      <c r="G683" t="inlineStr">
        <is>
          <t>Ontario Tennis Association</t>
        </is>
      </c>
      <c r="H683" t="inlineStr">
        <is>
          <t>Toronto Cricket Skating &amp; Curling</t>
        </is>
      </c>
      <c r="I683" t="inlineStr">
        <is>
          <t>unavailable</t>
        </is>
      </c>
      <c r="J683" s="4" t="n">
        <v>48</v>
      </c>
      <c r="K683" t="inlineStr">
        <is>
          <t>21 / 27</t>
        </is>
      </c>
      <c r="L683" t="inlineStr">
        <is>
          <t>2 / 4</t>
        </is>
      </c>
      <c r="M683" s="5" t="n">
        <v>0.44</v>
      </c>
      <c r="N683" s="5" t="n">
        <v>0.33</v>
      </c>
    </row>
    <row r="684">
      <c r="A684" t="n">
        <v>683</v>
      </c>
      <c r="B684" t="n">
        <v>2013</v>
      </c>
      <c r="C684" t="inlineStr">
        <is>
          <t>Mayssa Maddouri</t>
        </is>
      </c>
      <c r="D684">
        <f>HYPERLINK("https://ota.tournamentsoftware.com/player-profile/911D4DB6-C985-4A43-8264-359A0386F2C5", "Link")</f>
        <v/>
      </c>
      <c r="E684" s="3" t="n">
        <v>26.568</v>
      </c>
      <c r="F684" s="4" t="n">
        <v>2</v>
      </c>
      <c r="G684" t="inlineStr">
        <is>
          <t>Tennis Québec</t>
        </is>
      </c>
      <c r="H684" t="inlineStr">
        <is>
          <t>EB Tennis inc.</t>
        </is>
      </c>
      <c r="I684" t="inlineStr">
        <is>
          <t>unavailable</t>
        </is>
      </c>
      <c r="J684" s="4" t="n">
        <v>3</v>
      </c>
      <c r="K684" t="inlineStr">
        <is>
          <t>0 / 3</t>
        </is>
      </c>
      <c r="L684" t="inlineStr">
        <is>
          <t>0 / 3</t>
        </is>
      </c>
      <c r="M684" s="5" t="n">
        <v>0</v>
      </c>
      <c r="N684" s="5" t="n">
        <v>0</v>
      </c>
    </row>
    <row r="685">
      <c r="A685" t="n">
        <v>683</v>
      </c>
      <c r="B685" t="n">
        <v>2013</v>
      </c>
      <c r="C685" t="inlineStr">
        <is>
          <t>Soély Expérience</t>
        </is>
      </c>
      <c r="D685">
        <f>HYPERLINK("https://ota.tournamentsoftware.com/player-profile/91892DC4-7E0E-400F-96DB-9DFFCE855771", "Link")</f>
        <v/>
      </c>
      <c r="E685" s="3" t="n">
        <v>26.568</v>
      </c>
      <c r="F685" s="4" t="n">
        <v>1</v>
      </c>
      <c r="G685" t="inlineStr">
        <is>
          <t>Tennis Québec</t>
        </is>
      </c>
      <c r="H685" t="inlineStr">
        <is>
          <t>Tennis Montréal Excellence</t>
        </is>
      </c>
      <c r="I685" t="n">
        <v>32.8</v>
      </c>
      <c r="J685" s="4" t="n">
        <v>163</v>
      </c>
      <c r="K685" t="inlineStr">
        <is>
          <t>95 / 68</t>
        </is>
      </c>
      <c r="L685" t="inlineStr">
        <is>
          <t>0 / 1</t>
        </is>
      </c>
      <c r="M685" s="5" t="n">
        <v>0.58</v>
      </c>
      <c r="N685" s="5" t="n">
        <v>0</v>
      </c>
    </row>
    <row r="686">
      <c r="A686" t="n">
        <v>685</v>
      </c>
      <c r="B686" t="n">
        <v>2012</v>
      </c>
      <c r="C686" t="inlineStr">
        <is>
          <t>Erica Amy Els</t>
        </is>
      </c>
      <c r="D686">
        <f>HYPERLINK("https://ota.tournamentsoftware.com/player-profile/2D6CC49A-BAE5-4768-9244-8FB4F1D2CABC", "Link")</f>
        <v/>
      </c>
      <c r="E686" s="3" t="n">
        <v>26.417</v>
      </c>
      <c r="F686" s="4" t="n">
        <v>5</v>
      </c>
      <c r="G686" t="inlineStr">
        <is>
          <t>Tennis Alberta</t>
        </is>
      </c>
      <c r="H686" t="inlineStr">
        <is>
          <t>No Club</t>
        </is>
      </c>
      <c r="I686" t="n">
        <v>39.2</v>
      </c>
      <c r="J686" s="4" t="n">
        <v>9</v>
      </c>
      <c r="K686" t="inlineStr">
        <is>
          <t>1 / 8</t>
        </is>
      </c>
      <c r="L686" t="inlineStr">
        <is>
          <t>1 / 8</t>
        </is>
      </c>
      <c r="M686" s="5" t="n">
        <v>0.11</v>
      </c>
      <c r="N686" s="5" t="n">
        <v>0.11</v>
      </c>
    </row>
    <row r="687">
      <c r="A687" t="n">
        <v>686</v>
      </c>
      <c r="B687" t="n">
        <v>2013</v>
      </c>
      <c r="C687" t="inlineStr">
        <is>
          <t>Kate Lalli</t>
        </is>
      </c>
      <c r="D687">
        <f>HYPERLINK("https://ota.tournamentsoftware.com/player-profile/37A0CF8B-C4DF-49F1-946F-E349A3E42015", "Link")</f>
        <v/>
      </c>
      <c r="E687" s="3" t="n">
        <v>26.327</v>
      </c>
      <c r="F687" s="4" t="n">
        <v>3</v>
      </c>
      <c r="G687" t="inlineStr">
        <is>
          <t>Tennis Québec</t>
        </is>
      </c>
      <c r="H687" t="inlineStr">
        <is>
          <t>No Club</t>
        </is>
      </c>
      <c r="I687" t="n">
        <v>37.6</v>
      </c>
      <c r="J687" s="4" t="n">
        <v>15</v>
      </c>
      <c r="K687" t="inlineStr">
        <is>
          <t>4 / 11</t>
        </is>
      </c>
      <c r="L687" t="inlineStr">
        <is>
          <t>1 / 6</t>
        </is>
      </c>
      <c r="M687" s="5" t="n">
        <v>0.27</v>
      </c>
      <c r="N687" s="5" t="n">
        <v>0.14</v>
      </c>
    </row>
    <row r="688">
      <c r="A688" t="n">
        <v>687</v>
      </c>
      <c r="B688" t="n">
        <v>2014</v>
      </c>
      <c r="C688" t="inlineStr">
        <is>
          <t>Audrey Lu</t>
        </is>
      </c>
      <c r="D688">
        <f>HYPERLINK("https://ota.tournamentsoftware.com/player-profile/01588371-7322-467B-AA75-DDD8230D1899", "Link")</f>
        <v/>
      </c>
      <c r="E688" s="3" t="n">
        <v>26.154</v>
      </c>
      <c r="F688" s="4" t="n">
        <v>6</v>
      </c>
      <c r="G688" t="inlineStr">
        <is>
          <t>Ontario Tennis Association</t>
        </is>
      </c>
      <c r="H688" t="inlineStr">
        <is>
          <t>Toronto Cricket Skating &amp; Curling</t>
        </is>
      </c>
      <c r="I688" t="inlineStr">
        <is>
          <t>unavailable</t>
        </is>
      </c>
      <c r="J688" s="4" t="n">
        <v>24</v>
      </c>
      <c r="K688" t="inlineStr">
        <is>
          <t>10 / 14</t>
        </is>
      </c>
      <c r="L688" t="inlineStr">
        <is>
          <t>10 / 11</t>
        </is>
      </c>
      <c r="M688" s="5" t="n">
        <v>0.42</v>
      </c>
      <c r="N688" s="5" t="n">
        <v>0.48</v>
      </c>
    </row>
    <row r="689">
      <c r="A689" t="n">
        <v>688</v>
      </c>
      <c r="B689" t="n">
        <v>2015</v>
      </c>
      <c r="C689" t="inlineStr">
        <is>
          <t>Hannah Lewis</t>
        </is>
      </c>
      <c r="D689">
        <f>HYPERLINK("https://ota.tournamentsoftware.com/player-profile/B25290C5-DB82-4ED0-843D-33516AFF301F", "Link")</f>
        <v/>
      </c>
      <c r="E689" s="3" t="n">
        <v>25.936</v>
      </c>
      <c r="F689" s="4" t="n">
        <v>5</v>
      </c>
      <c r="G689" t="inlineStr">
        <is>
          <t>Ontario Tennis Association</t>
        </is>
      </c>
      <c r="H689" t="inlineStr">
        <is>
          <t>Tam Heather Tennis Club</t>
        </is>
      </c>
      <c r="I689" t="n">
        <v>39</v>
      </c>
      <c r="J689" s="4" t="n">
        <v>46</v>
      </c>
      <c r="K689" t="inlineStr">
        <is>
          <t>13 / 33</t>
        </is>
      </c>
      <c r="L689" t="inlineStr">
        <is>
          <t>12 / 16</t>
        </is>
      </c>
      <c r="M689" s="5" t="n">
        <v>0.28</v>
      </c>
      <c r="N689" s="5" t="n">
        <v>0.43</v>
      </c>
    </row>
    <row r="690">
      <c r="A690" t="n">
        <v>689</v>
      </c>
      <c r="B690" t="n">
        <v>2015</v>
      </c>
      <c r="C690" t="inlineStr">
        <is>
          <t>Isadora Xu</t>
        </is>
      </c>
      <c r="D690">
        <f>HYPERLINK("https://ota.tournamentsoftware.com/player-profile/78173253-32AB-4E0D-8618-AEF874C973EC", "Link")</f>
        <v/>
      </c>
      <c r="E690" s="3" t="n">
        <v>25.746</v>
      </c>
      <c r="F690" s="4" t="n">
        <v>11</v>
      </c>
      <c r="G690" t="inlineStr">
        <is>
          <t>British Columbia</t>
        </is>
      </c>
      <c r="H690" t="inlineStr">
        <is>
          <t>Arbutus Club</t>
        </is>
      </c>
      <c r="I690" t="n">
        <v>39.3</v>
      </c>
      <c r="J690" s="4" t="n">
        <v>46</v>
      </c>
      <c r="K690" t="inlineStr">
        <is>
          <t>19 / 27</t>
        </is>
      </c>
      <c r="L690" t="inlineStr">
        <is>
          <t>15 / 21</t>
        </is>
      </c>
      <c r="M690" s="5" t="n">
        <v>0.41</v>
      </c>
      <c r="N690" s="5" t="n">
        <v>0.42</v>
      </c>
    </row>
    <row r="691">
      <c r="A691" t="n">
        <v>690</v>
      </c>
      <c r="B691" t="n">
        <v>2012</v>
      </c>
      <c r="C691" t="inlineStr">
        <is>
          <t>Harper Van Beveren</t>
        </is>
      </c>
      <c r="D691">
        <f>HYPERLINK("https://ota.tournamentsoftware.com/player-profile/5981FBA6-1FF9-4CF8-8DE2-DDB8BFEA4094", "Link")</f>
        <v/>
      </c>
      <c r="E691" s="3" t="n">
        <v>25.531</v>
      </c>
      <c r="F691" s="4" t="n">
        <v>2</v>
      </c>
      <c r="G691" t="inlineStr">
        <is>
          <t>Ontario Tennis Association</t>
        </is>
      </c>
      <c r="H691" t="inlineStr">
        <is>
          <t>Rosedale Tennis Club (Hamilton)</t>
        </is>
      </c>
      <c r="I691" t="inlineStr">
        <is>
          <t>unavailable</t>
        </is>
      </c>
      <c r="J691" s="4" t="n">
        <v>16</v>
      </c>
      <c r="K691" t="inlineStr">
        <is>
          <t>5 / 11</t>
        </is>
      </c>
      <c r="L691" t="inlineStr">
        <is>
          <t>1 / 1</t>
        </is>
      </c>
      <c r="M691" s="5" t="n">
        <v>0.31</v>
      </c>
      <c r="N691" s="5" t="n">
        <v>0.5</v>
      </c>
    </row>
    <row r="692">
      <c r="A692" t="n">
        <v>691</v>
      </c>
      <c r="B692" t="n">
        <v>2014</v>
      </c>
      <c r="C692" t="inlineStr">
        <is>
          <t>Mia Krusarovski</t>
        </is>
      </c>
      <c r="D692">
        <f>HYPERLINK("https://ota.tournamentsoftware.com/player-profile/BE8F67EB-3C85-4EE8-8915-58C34DCD86C7", "Link")</f>
        <v/>
      </c>
      <c r="E692" s="3" t="n">
        <v>25.17</v>
      </c>
      <c r="F692" s="4" t="n">
        <v>3</v>
      </c>
      <c r="G692" t="inlineStr">
        <is>
          <t>Ontario Tennis Association</t>
        </is>
      </c>
      <c r="H692" t="inlineStr">
        <is>
          <t>Zekelman Tennis Centre</t>
        </is>
      </c>
      <c r="I692" t="n">
        <v>34.4</v>
      </c>
      <c r="J692" s="4" t="n">
        <v>16</v>
      </c>
      <c r="K692" t="inlineStr">
        <is>
          <t>5 / 11</t>
        </is>
      </c>
      <c r="L692" t="inlineStr">
        <is>
          <t>4 / 2</t>
        </is>
      </c>
      <c r="M692" s="5" t="n">
        <v>0.31</v>
      </c>
      <c r="N692" s="5" t="n">
        <v>0.67</v>
      </c>
    </row>
    <row r="693">
      <c r="A693" t="n">
        <v>692</v>
      </c>
      <c r="B693" t="n">
        <v>2014</v>
      </c>
      <c r="C693" t="inlineStr">
        <is>
          <t>Adrianna Rajchel</t>
        </is>
      </c>
      <c r="D693">
        <f>HYPERLINK("https://ota.tournamentsoftware.com/player-profile/CF345FA9-9F2F-4BDB-8B66-131A15D8B231", "Link")</f>
        <v/>
      </c>
      <c r="E693" s="3" t="n">
        <v>24.832</v>
      </c>
      <c r="F693" s="4" t="n">
        <v>3</v>
      </c>
      <c r="G693" t="inlineStr">
        <is>
          <t>Ontario Tennis Association</t>
        </is>
      </c>
      <c r="H693" t="inlineStr">
        <is>
          <t>Carleton Tennis Centre</t>
        </is>
      </c>
      <c r="I693" t="n">
        <v>38.5</v>
      </c>
      <c r="J693" s="4" t="n">
        <v>15</v>
      </c>
      <c r="K693" t="inlineStr">
        <is>
          <t>4 / 11</t>
        </is>
      </c>
      <c r="L693" t="inlineStr">
        <is>
          <t>1 / 3</t>
        </is>
      </c>
      <c r="M693" s="5" t="n">
        <v>0.27</v>
      </c>
      <c r="N693" s="5" t="n">
        <v>0.25</v>
      </c>
    </row>
    <row r="694">
      <c r="A694" t="n">
        <v>693</v>
      </c>
      <c r="B694" t="n">
        <v>2013</v>
      </c>
      <c r="C694" t="inlineStr">
        <is>
          <t>Aylin Iskenderova</t>
        </is>
      </c>
      <c r="D694">
        <f>HYPERLINK("https://ota.tournamentsoftware.com/player-profile/07B240E6-A596-4F2A-90A6-63993B9F2568", "Link")</f>
        <v/>
      </c>
      <c r="E694" s="3" t="n">
        <v>24.575</v>
      </c>
      <c r="F694" s="4" t="n">
        <v>2</v>
      </c>
      <c r="G694" t="inlineStr">
        <is>
          <t>Ontario Tennis Association</t>
        </is>
      </c>
      <c r="H694" t="inlineStr">
        <is>
          <t>Concord Tennis Academy</t>
        </is>
      </c>
      <c r="I694" t="n">
        <v>40</v>
      </c>
      <c r="J694" s="4" t="n">
        <v>16</v>
      </c>
      <c r="K694" t="inlineStr">
        <is>
          <t>6 / 10</t>
        </is>
      </c>
      <c r="L694" t="inlineStr">
        <is>
          <t>0 / 4</t>
        </is>
      </c>
      <c r="M694" s="5" t="n">
        <v>0.38</v>
      </c>
      <c r="N694" s="5" t="n">
        <v>0</v>
      </c>
    </row>
    <row r="695">
      <c r="A695" t="n">
        <v>694</v>
      </c>
      <c r="B695" t="n">
        <v>2013</v>
      </c>
      <c r="C695" t="inlineStr">
        <is>
          <t>Seher Sharma</t>
        </is>
      </c>
      <c r="D695">
        <f>HYPERLINK("https://ota.tournamentsoftware.com/player-profile/383B0843-9E5F-4A01-8304-C01EA147B7A2", "Link")</f>
        <v/>
      </c>
      <c r="E695" s="3" t="n">
        <v>24.524</v>
      </c>
      <c r="F695" s="4" t="n">
        <v>2</v>
      </c>
      <c r="G695" t="inlineStr">
        <is>
          <t>Ontario Tennis Association</t>
        </is>
      </c>
      <c r="H695" t="inlineStr">
        <is>
          <t>Glendale Tennis Club</t>
        </is>
      </c>
      <c r="I695" t="inlineStr">
        <is>
          <t>unavailable</t>
        </is>
      </c>
      <c r="J695" s="4" t="n">
        <v>17</v>
      </c>
      <c r="K695" t="inlineStr">
        <is>
          <t>4 / 13</t>
        </is>
      </c>
      <c r="L695" t="inlineStr">
        <is>
          <t>0 / 4</t>
        </is>
      </c>
      <c r="M695" s="5" t="n">
        <v>0.24</v>
      </c>
      <c r="N695" s="5" t="n">
        <v>0</v>
      </c>
    </row>
    <row r="696">
      <c r="A696" t="n">
        <v>695</v>
      </c>
      <c r="B696" t="n">
        <v>2016</v>
      </c>
      <c r="C696" t="inlineStr">
        <is>
          <t>Ama Marie Elvira Kouadio</t>
        </is>
      </c>
      <c r="D696">
        <f>HYPERLINK("https://ota.tournamentsoftware.com/player-profile/25362040-6649-44FF-A97B-DDFA8FFF0B73", "Link")</f>
        <v/>
      </c>
      <c r="E696" s="3" t="n">
        <v>24.103</v>
      </c>
      <c r="F696" s="4" t="n">
        <v>2</v>
      </c>
      <c r="G696" t="inlineStr">
        <is>
          <t>Tennis Québec</t>
        </is>
      </c>
      <c r="H696" t="inlineStr">
        <is>
          <t>Carrefour Multisports</t>
        </is>
      </c>
      <c r="I696" t="n">
        <v>34.4</v>
      </c>
      <c r="J696" s="4" t="n">
        <v>65</v>
      </c>
      <c r="K696" t="inlineStr">
        <is>
          <t>41 / 24</t>
        </is>
      </c>
      <c r="L696" t="inlineStr">
        <is>
          <t>5 / 4</t>
        </is>
      </c>
      <c r="M696" s="5" t="n">
        <v>0.63</v>
      </c>
      <c r="N696" s="5" t="n">
        <v>0.5600000000000001</v>
      </c>
    </row>
    <row r="697">
      <c r="A697" t="n">
        <v>696</v>
      </c>
      <c r="B697" t="n">
        <v>2014</v>
      </c>
      <c r="C697" t="inlineStr">
        <is>
          <t>Rehmat Kaur Sandhar</t>
        </is>
      </c>
      <c r="D697">
        <f>HYPERLINK("https://ota.tournamentsoftware.com/player-profile/F8357E3D-210F-40E0-BA8A-8FFDBD0DC17E", "Link")</f>
        <v/>
      </c>
      <c r="E697" s="3" t="n">
        <v>23.76</v>
      </c>
      <c r="F697" s="4" t="n">
        <v>3</v>
      </c>
      <c r="G697" t="inlineStr">
        <is>
          <t>Ontario Tennis Association</t>
        </is>
      </c>
      <c r="H697" t="inlineStr">
        <is>
          <t>ON Tennis Toronto No Club</t>
        </is>
      </c>
      <c r="I697" t="n">
        <v>36.7</v>
      </c>
      <c r="J697" s="4" t="n">
        <v>34</v>
      </c>
      <c r="K697" t="inlineStr">
        <is>
          <t>16 / 18</t>
        </is>
      </c>
      <c r="L697" t="inlineStr">
        <is>
          <t>16 / 15</t>
        </is>
      </c>
      <c r="M697" s="5" t="n">
        <v>0.47</v>
      </c>
      <c r="N697" s="5" t="n">
        <v>0.52</v>
      </c>
    </row>
    <row r="698">
      <c r="A698" t="n">
        <v>697</v>
      </c>
      <c r="B698" t="n">
        <v>2014</v>
      </c>
      <c r="C698" t="inlineStr">
        <is>
          <t>Emma Jingya Xi</t>
        </is>
      </c>
      <c r="D698">
        <f>HYPERLINK("https://ota.tournamentsoftware.com/player-profile/540C86FB-2BC4-4357-8C94-AA0A3EEBDC22", "Link")</f>
        <v/>
      </c>
      <c r="E698" s="3" t="n">
        <v>23.597</v>
      </c>
      <c r="F698" s="4" t="n">
        <v>3</v>
      </c>
      <c r="G698" t="inlineStr">
        <is>
          <t>Ontario Tennis Association</t>
        </is>
      </c>
      <c r="H698" t="inlineStr">
        <is>
          <t>ACE Tennis - Burlington</t>
        </is>
      </c>
      <c r="I698" t="inlineStr">
        <is>
          <t>unavailable</t>
        </is>
      </c>
      <c r="J698" s="4" t="n">
        <v>41</v>
      </c>
      <c r="K698" t="inlineStr">
        <is>
          <t>14 / 27</t>
        </is>
      </c>
      <c r="L698" t="inlineStr">
        <is>
          <t>1 / 5</t>
        </is>
      </c>
      <c r="M698" s="5" t="n">
        <v>0.34</v>
      </c>
      <c r="N698" s="5" t="n">
        <v>0.17</v>
      </c>
    </row>
    <row r="699">
      <c r="A699" t="n">
        <v>698</v>
      </c>
      <c r="B699" t="n">
        <v>2015</v>
      </c>
      <c r="C699" t="inlineStr">
        <is>
          <t>Diana Troitska</t>
        </is>
      </c>
      <c r="D699">
        <f>HYPERLINK("https://ota.tournamentsoftware.com/player-profile/6F22C01B-A1B6-4624-8606-C4D0FEB24026", "Link")</f>
        <v/>
      </c>
      <c r="E699" s="3" t="n">
        <v>23.546</v>
      </c>
      <c r="F699" s="4" t="n">
        <v>2</v>
      </c>
      <c r="G699" t="inlineStr">
        <is>
          <t>Tennis Québec</t>
        </is>
      </c>
      <c r="H699" t="inlineStr">
        <is>
          <t>No Club</t>
        </is>
      </c>
      <c r="I699" t="inlineStr">
        <is>
          <t>unavailable</t>
        </is>
      </c>
      <c r="J699" s="4" t="n">
        <v>13</v>
      </c>
      <c r="K699" t="inlineStr">
        <is>
          <t>2 / 11</t>
        </is>
      </c>
      <c r="L699" t="inlineStr">
        <is>
          <t>0 / 1</t>
        </is>
      </c>
      <c r="M699" s="5" t="n">
        <v>0.15</v>
      </c>
      <c r="N699" s="5" t="n">
        <v>0</v>
      </c>
    </row>
    <row r="700">
      <c r="A700" t="n">
        <v>699</v>
      </c>
      <c r="B700" t="n">
        <v>2012</v>
      </c>
      <c r="C700" t="inlineStr">
        <is>
          <t>Nika Yaghoubi</t>
        </is>
      </c>
      <c r="D700">
        <f>HYPERLINK("https://ota.tournamentsoftware.com/player-profile/D6970753-702D-4123-8798-708EAC6B7E32", "Link")</f>
        <v/>
      </c>
      <c r="E700" s="3" t="n">
        <v>23.448</v>
      </c>
      <c r="F700" s="4" t="n">
        <v>2</v>
      </c>
      <c r="G700" t="inlineStr">
        <is>
          <t>Tennis Alberta</t>
        </is>
      </c>
      <c r="H700" t="inlineStr">
        <is>
          <t>Saville Community Sports Centre</t>
        </is>
      </c>
      <c r="I700" t="n">
        <v>35.2</v>
      </c>
      <c r="J700" s="4" t="n">
        <v>12</v>
      </c>
      <c r="K700" t="inlineStr">
        <is>
          <t>6 / 6</t>
        </is>
      </c>
      <c r="L700" t="inlineStr">
        <is>
          <t>6 / 6</t>
        </is>
      </c>
      <c r="M700" s="5" t="n">
        <v>0.5</v>
      </c>
      <c r="N700" s="5" t="n">
        <v>0.5</v>
      </c>
    </row>
    <row r="701">
      <c r="A701" t="n">
        <v>700</v>
      </c>
      <c r="B701" t="n">
        <v>2015</v>
      </c>
      <c r="C701" t="inlineStr">
        <is>
          <t>Cassia Contreras</t>
        </is>
      </c>
      <c r="D701">
        <f>HYPERLINK("https://ota.tournamentsoftware.com/player-profile/84692E6B-274F-4FC9-9179-D4BC6F34FCEE", "Link")</f>
        <v/>
      </c>
      <c r="E701" s="3" t="n">
        <v>23.208</v>
      </c>
      <c r="F701" s="4" t="n">
        <v>4</v>
      </c>
      <c r="G701" t="inlineStr">
        <is>
          <t>Ontario Tennis Association</t>
        </is>
      </c>
      <c r="H701" t="inlineStr">
        <is>
          <t>Toronto Tennis Academy</t>
        </is>
      </c>
      <c r="I701" t="inlineStr">
        <is>
          <t>unavailable</t>
        </is>
      </c>
      <c r="J701" s="4" t="n">
        <v>50</v>
      </c>
      <c r="K701" t="inlineStr">
        <is>
          <t>18 / 32</t>
        </is>
      </c>
      <c r="L701" t="inlineStr">
        <is>
          <t>5 / 7</t>
        </is>
      </c>
      <c r="M701" s="5" t="n">
        <v>0.36</v>
      </c>
      <c r="N701" s="5" t="n">
        <v>0.42</v>
      </c>
    </row>
    <row r="702">
      <c r="A702" t="n">
        <v>701</v>
      </c>
      <c r="B702" t="n">
        <v>2015</v>
      </c>
      <c r="C702" t="inlineStr">
        <is>
          <t>Margot Couture</t>
        </is>
      </c>
      <c r="D702">
        <f>HYPERLINK("https://ota.tournamentsoftware.com/player-profile/7DE265DB-E3E6-4C4E-90BD-199DB99DCAEB", "Link")</f>
        <v/>
      </c>
      <c r="E702" s="3" t="n">
        <v>23.186</v>
      </c>
      <c r="F702" s="4" t="n">
        <v>5</v>
      </c>
      <c r="G702" t="inlineStr">
        <is>
          <t>Tennis Québec</t>
        </is>
      </c>
      <c r="H702" t="inlineStr">
        <is>
          <t>SANI Sport</t>
        </is>
      </c>
      <c r="I702" t="n">
        <v>38.1</v>
      </c>
      <c r="J702" s="4" t="n">
        <v>27</v>
      </c>
      <c r="K702" t="inlineStr">
        <is>
          <t>7 / 20</t>
        </is>
      </c>
      <c r="L702" t="inlineStr">
        <is>
          <t>2 / 5</t>
        </is>
      </c>
      <c r="M702" s="5" t="n">
        <v>0.26</v>
      </c>
      <c r="N702" s="5" t="n">
        <v>0.29</v>
      </c>
    </row>
    <row r="703">
      <c r="A703" t="n">
        <v>702</v>
      </c>
      <c r="B703" t="n">
        <v>2015</v>
      </c>
      <c r="C703" t="inlineStr">
        <is>
          <t>Eliana Green</t>
        </is>
      </c>
      <c r="D703">
        <f>HYPERLINK("https://ota.tournamentsoftware.com/player-profile/6AF8FC12-BD58-4E7C-B446-1CAAB9ADE85D", "Link")</f>
        <v/>
      </c>
      <c r="E703" s="3" t="n">
        <v>23.112</v>
      </c>
      <c r="F703" s="4" t="n">
        <v>1</v>
      </c>
      <c r="G703" t="inlineStr">
        <is>
          <t>Tennis Saskatchewan</t>
        </is>
      </c>
      <c r="H703" t="inlineStr">
        <is>
          <t>Lakeshore Tennis Club</t>
        </is>
      </c>
      <c r="I703" t="n">
        <v>38.1</v>
      </c>
      <c r="J703" s="4" t="n">
        <v>32</v>
      </c>
      <c r="K703" t="inlineStr">
        <is>
          <t>5 / 27</t>
        </is>
      </c>
      <c r="L703" t="inlineStr">
        <is>
          <t>2 / 4</t>
        </is>
      </c>
      <c r="M703" s="5" t="n">
        <v>0.16</v>
      </c>
      <c r="N703" s="5" t="n">
        <v>0.33</v>
      </c>
    </row>
    <row r="704">
      <c r="A704" t="n">
        <v>703</v>
      </c>
      <c r="B704" t="n">
        <v>2014</v>
      </c>
      <c r="C704" t="inlineStr">
        <is>
          <t>Dina Chakri</t>
        </is>
      </c>
      <c r="D704">
        <f>HYPERLINK("https://ota.tournamentsoftware.com/player-profile/8824FD85-93E3-4F7D-8968-FC836D77769D", "Link")</f>
        <v/>
      </c>
      <c r="E704" s="3" t="n">
        <v>22.953</v>
      </c>
      <c r="F704" s="4" t="n">
        <v>7</v>
      </c>
      <c r="G704" t="inlineStr">
        <is>
          <t>Tennis Québec</t>
        </is>
      </c>
      <c r="H704" t="inlineStr">
        <is>
          <t>Tennis 13</t>
        </is>
      </c>
      <c r="I704" t="n">
        <v>38.9</v>
      </c>
      <c r="J704" s="4" t="n">
        <v>10</v>
      </c>
      <c r="K704" t="inlineStr">
        <is>
          <t>2 / 8</t>
        </is>
      </c>
      <c r="L704" t="inlineStr">
        <is>
          <t>2 / 8</t>
        </is>
      </c>
      <c r="M704" s="5" t="n">
        <v>0.2</v>
      </c>
      <c r="N704" s="5" t="n">
        <v>0.2</v>
      </c>
    </row>
    <row r="705">
      <c r="A705" t="n">
        <v>704</v>
      </c>
      <c r="B705" t="n">
        <v>2014</v>
      </c>
      <c r="C705" t="inlineStr">
        <is>
          <t>Jasmine El Ouadi</t>
        </is>
      </c>
      <c r="D705">
        <f>HYPERLINK("https://ota.tournamentsoftware.com/player-profile/FBECFAB6-3ABF-4F1B-AD1C-230CB79A1119", "Link")</f>
        <v/>
      </c>
      <c r="E705" s="3" t="n">
        <v>22.903</v>
      </c>
      <c r="F705" s="4" t="n">
        <v>6</v>
      </c>
      <c r="G705" t="inlineStr">
        <is>
          <t>Tennis Alberta</t>
        </is>
      </c>
      <c r="H705" t="inlineStr">
        <is>
          <t>Calgary - Public</t>
        </is>
      </c>
      <c r="I705" t="n">
        <v>40</v>
      </c>
      <c r="J705" s="4" t="n">
        <v>11</v>
      </c>
      <c r="K705" t="inlineStr">
        <is>
          <t>0 / 11</t>
        </is>
      </c>
      <c r="L705" t="inlineStr">
        <is>
          <t>0 / 3</t>
        </is>
      </c>
      <c r="M705" s="5" t="n">
        <v>0</v>
      </c>
      <c r="N705" s="5" t="n">
        <v>0</v>
      </c>
    </row>
    <row r="706">
      <c r="A706" t="n">
        <v>705</v>
      </c>
      <c r="B706" t="n">
        <v>2013</v>
      </c>
      <c r="C706" t="inlineStr">
        <is>
          <t>Brooklyn Desjardins</t>
        </is>
      </c>
      <c r="D706">
        <f>HYPERLINK("https://ota.tournamentsoftware.com/player-profile/EDCAF363-81B5-4378-83DC-E36CD3ACC539", "Link")</f>
        <v/>
      </c>
      <c r="E706" s="3" t="n">
        <v>22.683</v>
      </c>
      <c r="F706" s="4" t="n">
        <v>3</v>
      </c>
      <c r="G706" t="inlineStr">
        <is>
          <t>Tennis Québec</t>
        </is>
      </c>
      <c r="H706" t="inlineStr">
        <is>
          <t>Club Sportif Côte-de-Liesse</t>
        </is>
      </c>
      <c r="I706" t="n">
        <v>37.7</v>
      </c>
      <c r="J706" s="4" t="n">
        <v>49</v>
      </c>
      <c r="K706" t="inlineStr">
        <is>
          <t>19 / 30</t>
        </is>
      </c>
      <c r="L706" t="inlineStr">
        <is>
          <t>0 / 0</t>
        </is>
      </c>
      <c r="M706" s="5" t="n">
        <v>0.39</v>
      </c>
      <c r="N706" s="5" t="n">
        <v>0</v>
      </c>
    </row>
    <row r="707">
      <c r="A707" t="n">
        <v>706</v>
      </c>
      <c r="B707" t="n">
        <v>2015</v>
      </c>
      <c r="C707" t="inlineStr">
        <is>
          <t>Laila Hilmi</t>
        </is>
      </c>
      <c r="D707">
        <f>HYPERLINK("https://ota.tournamentsoftware.com/player-profile/73A707F1-78B1-45FE-A608-D2E6AA82EA8F", "Link")</f>
        <v/>
      </c>
      <c r="E707" s="3" t="n">
        <v>22.595</v>
      </c>
      <c r="F707" s="4" t="n">
        <v>3</v>
      </c>
      <c r="G707" t="inlineStr">
        <is>
          <t>Tennis Québec</t>
        </is>
      </c>
      <c r="H707" t="inlineStr">
        <is>
          <t>Tennis Montréal Excellence</t>
        </is>
      </c>
      <c r="I707" t="inlineStr">
        <is>
          <t>unavailable</t>
        </is>
      </c>
      <c r="J707" s="4" t="n">
        <v>46</v>
      </c>
      <c r="K707" t="inlineStr">
        <is>
          <t>13 / 33</t>
        </is>
      </c>
      <c r="L707" t="inlineStr">
        <is>
          <t>4 / 3</t>
        </is>
      </c>
      <c r="M707" s="5" t="n">
        <v>0.28</v>
      </c>
      <c r="N707" s="5" t="n">
        <v>0.57</v>
      </c>
    </row>
    <row r="708">
      <c r="A708" t="n">
        <v>707</v>
      </c>
      <c r="B708" t="n">
        <v>2012</v>
      </c>
      <c r="C708" t="inlineStr">
        <is>
          <t>Ruike Ni</t>
        </is>
      </c>
      <c r="D708">
        <f>HYPERLINK("https://ota.tournamentsoftware.com/player-profile/862000EB-CE8E-4CA2-BA1E-5441407CA2E5", "Link")</f>
        <v/>
      </c>
      <c r="E708" s="3" t="n">
        <v>22.464</v>
      </c>
      <c r="F708" s="4" t="n">
        <v>2</v>
      </c>
      <c r="G708" t="inlineStr">
        <is>
          <t>British Columbia</t>
        </is>
      </c>
      <c r="H708" t="inlineStr">
        <is>
          <t>Tennis for Life</t>
        </is>
      </c>
      <c r="I708" t="n">
        <v>38.5</v>
      </c>
      <c r="J708" s="4" t="n">
        <v>7</v>
      </c>
      <c r="K708" t="inlineStr">
        <is>
          <t>2 / 5</t>
        </is>
      </c>
      <c r="L708" t="inlineStr">
        <is>
          <t>0 / 2</t>
        </is>
      </c>
      <c r="M708" s="5" t="n">
        <v>0.29</v>
      </c>
      <c r="N708" s="5" t="n">
        <v>0</v>
      </c>
    </row>
    <row r="709">
      <c r="A709" t="n">
        <v>708</v>
      </c>
      <c r="B709" t="n">
        <v>2015</v>
      </c>
      <c r="C709" t="inlineStr">
        <is>
          <t>Nalla Isabella Lteif</t>
        </is>
      </c>
      <c r="D709">
        <f>HYPERLINK("https://ota.tournamentsoftware.com/player-profile/B0DC1A2D-B87B-4E66-A5EE-9C9F6EC668D4", "Link")</f>
        <v/>
      </c>
      <c r="E709" s="3" t="n">
        <v>21.849</v>
      </c>
      <c r="F709" s="4" t="n">
        <v>4</v>
      </c>
      <c r="G709" t="inlineStr">
        <is>
          <t>Tennis Québec</t>
        </is>
      </c>
      <c r="H709" t="inlineStr">
        <is>
          <t>Carrefour Multisports</t>
        </is>
      </c>
      <c r="I709" t="n">
        <v>37.9</v>
      </c>
      <c r="J709" s="4" t="n">
        <v>12</v>
      </c>
      <c r="K709" t="inlineStr">
        <is>
          <t>5 / 7</t>
        </is>
      </c>
      <c r="L709" t="inlineStr">
        <is>
          <t>3 / 4</t>
        </is>
      </c>
      <c r="M709" s="5" t="n">
        <v>0.42</v>
      </c>
      <c r="N709" s="5" t="n">
        <v>0.43</v>
      </c>
    </row>
    <row r="710">
      <c r="A710" t="n">
        <v>709</v>
      </c>
      <c r="B710" t="n">
        <v>2015</v>
      </c>
      <c r="C710" t="inlineStr">
        <is>
          <t>Meera Ramanathan</t>
        </is>
      </c>
      <c r="D710">
        <f>HYPERLINK("https://ota.tournamentsoftware.com/player-profile/4BFD1C94-F572-47D9-8892-3117B37D58A1", "Link")</f>
        <v/>
      </c>
      <c r="E710" s="3" t="n">
        <v>21.6</v>
      </c>
      <c r="F710" s="4" t="n">
        <v>2</v>
      </c>
      <c r="G710" t="inlineStr">
        <is>
          <t>Ontario Tennis Association</t>
        </is>
      </c>
      <c r="H710" t="inlineStr">
        <is>
          <t>Rideau Sports Centre</t>
        </is>
      </c>
      <c r="I710" t="n">
        <v>38.1</v>
      </c>
      <c r="J710" s="4" t="n">
        <v>9</v>
      </c>
      <c r="K710" t="inlineStr">
        <is>
          <t>4 / 5</t>
        </is>
      </c>
      <c r="L710" t="inlineStr">
        <is>
          <t>4 / 5</t>
        </is>
      </c>
      <c r="M710" s="5" t="n">
        <v>0.44</v>
      </c>
      <c r="N710" s="5" t="n">
        <v>0.44</v>
      </c>
    </row>
    <row r="711">
      <c r="A711" t="n">
        <v>710</v>
      </c>
      <c r="B711" t="n">
        <v>2014</v>
      </c>
      <c r="C711" t="inlineStr">
        <is>
          <t>Camila Danielle Arias</t>
        </is>
      </c>
      <c r="D711">
        <f>HYPERLINK("https://ota.tournamentsoftware.com/player-profile/7E2B5B8F-95C7-4374-8F7F-D60E81CAB657", "Link")</f>
        <v/>
      </c>
      <c r="E711" s="3" t="n">
        <v>21.537</v>
      </c>
      <c r="F711" s="4" t="n">
        <v>6</v>
      </c>
      <c r="G711" t="inlineStr">
        <is>
          <t>Tennis Québec</t>
        </is>
      </c>
      <c r="H711" t="inlineStr">
        <is>
          <t>SANI Sport</t>
        </is>
      </c>
      <c r="I711" t="inlineStr">
        <is>
          <t>unavailable</t>
        </is>
      </c>
      <c r="J711" s="4" t="n">
        <v>40</v>
      </c>
      <c r="K711" t="inlineStr">
        <is>
          <t>13 / 27</t>
        </is>
      </c>
      <c r="L711" t="inlineStr">
        <is>
          <t>4 / 4</t>
        </is>
      </c>
      <c r="M711" s="5" t="n">
        <v>0.33</v>
      </c>
      <c r="N711" s="5" t="n">
        <v>0.5</v>
      </c>
    </row>
    <row r="712">
      <c r="A712" t="n">
        <v>711</v>
      </c>
      <c r="B712" t="n">
        <v>2016</v>
      </c>
      <c r="C712" t="inlineStr">
        <is>
          <t>Brielle Han</t>
        </is>
      </c>
      <c r="D712">
        <f>HYPERLINK("https://ota.tournamentsoftware.com/player-profile/76F58D78-6F14-462B-9C79-943F718FD16A", "Link")</f>
        <v/>
      </c>
      <c r="E712" s="3" t="n">
        <v>21.501</v>
      </c>
      <c r="F712" s="4" t="n">
        <v>9</v>
      </c>
      <c r="G712" t="inlineStr">
        <is>
          <t>British Columbia</t>
        </is>
      </c>
      <c r="H712" t="inlineStr">
        <is>
          <t>North Vancouver Tennis Centre</t>
        </is>
      </c>
      <c r="I712" t="inlineStr">
        <is>
          <t>unavailable</t>
        </is>
      </c>
      <c r="J712" s="4" t="n">
        <v>200</v>
      </c>
      <c r="K712" t="inlineStr">
        <is>
          <t>69 / 131</t>
        </is>
      </c>
      <c r="L712" t="inlineStr">
        <is>
          <t>21 / 19</t>
        </is>
      </c>
      <c r="M712" s="5" t="n">
        <v>0.34</v>
      </c>
      <c r="N712" s="5" t="n">
        <v>0.53</v>
      </c>
    </row>
    <row r="713">
      <c r="A713" t="n">
        <v>712</v>
      </c>
      <c r="B713" t="n">
        <v>2015</v>
      </c>
      <c r="C713" t="inlineStr">
        <is>
          <t>Élisa Deschatelets</t>
        </is>
      </c>
      <c r="D713">
        <f>HYPERLINK("https://ota.tournamentsoftware.com/player-profile/C5ECD0AF-5510-44E4-897A-6A3A4D73CDEF", "Link")</f>
        <v/>
      </c>
      <c r="E713" s="3" t="n">
        <v>21.501</v>
      </c>
      <c r="F713" s="4" t="n">
        <v>4</v>
      </c>
      <c r="G713" t="inlineStr">
        <is>
          <t>Tennis Québec</t>
        </is>
      </c>
      <c r="H713" t="inlineStr">
        <is>
          <t>Centre Récréatif Rock Forest / École Tennestrie</t>
        </is>
      </c>
      <c r="I713" t="n">
        <v>40</v>
      </c>
      <c r="J713" s="4" t="n">
        <v>25</v>
      </c>
      <c r="K713" t="inlineStr">
        <is>
          <t>4 / 21</t>
        </is>
      </c>
      <c r="L713" t="inlineStr">
        <is>
          <t>0 / 7</t>
        </is>
      </c>
      <c r="M713" s="5" t="n">
        <v>0.16</v>
      </c>
      <c r="N713" s="5" t="n">
        <v>0</v>
      </c>
    </row>
    <row r="714">
      <c r="A714" t="n">
        <v>713</v>
      </c>
      <c r="B714" t="n">
        <v>2015</v>
      </c>
      <c r="C714" t="inlineStr">
        <is>
          <t>Tara Sepahsalari</t>
        </is>
      </c>
      <c r="D714">
        <f>HYPERLINK("https://ota.tournamentsoftware.com/player-profile/EB26731B-07C8-4C3E-8214-7DD265D4A843", "Link")</f>
        <v/>
      </c>
      <c r="E714" s="3" t="n">
        <v>21.226</v>
      </c>
      <c r="F714" s="4" t="n">
        <v>5</v>
      </c>
      <c r="G714" t="inlineStr">
        <is>
          <t>Tennis Québec</t>
        </is>
      </c>
      <c r="H714" t="inlineStr">
        <is>
          <t>EB Tennis inc.</t>
        </is>
      </c>
      <c r="I714" t="n">
        <v>40</v>
      </c>
      <c r="J714" s="4" t="n">
        <v>33</v>
      </c>
      <c r="K714" t="inlineStr">
        <is>
          <t>5 / 28</t>
        </is>
      </c>
      <c r="L714" t="inlineStr">
        <is>
          <t>1 / 8</t>
        </is>
      </c>
      <c r="M714" s="5" t="n">
        <v>0.15</v>
      </c>
      <c r="N714" s="5" t="n">
        <v>0.11</v>
      </c>
    </row>
    <row r="715">
      <c r="A715" t="n">
        <v>714</v>
      </c>
      <c r="B715" t="n">
        <v>2014</v>
      </c>
      <c r="C715" t="inlineStr">
        <is>
          <t>Marie Renaud</t>
        </is>
      </c>
      <c r="D715">
        <f>HYPERLINK("https://ota.tournamentsoftware.com/player-profile/9538BC58-3E12-400B-B7A6-AA4E495D60F5", "Link")</f>
        <v/>
      </c>
      <c r="E715" s="3" t="n">
        <v>20.916</v>
      </c>
      <c r="F715" s="4" t="n">
        <v>2</v>
      </c>
      <c r="G715" t="inlineStr">
        <is>
          <t>Tennis Québec</t>
        </is>
      </c>
      <c r="H715" t="inlineStr">
        <is>
          <t>Les Tennis de Rimouski (intérieur)</t>
        </is>
      </c>
      <c r="I715" t="inlineStr">
        <is>
          <t>unavailable</t>
        </is>
      </c>
      <c r="J715" s="4" t="n">
        <v>6</v>
      </c>
      <c r="K715" t="inlineStr">
        <is>
          <t>2 / 4</t>
        </is>
      </c>
      <c r="L715" t="inlineStr">
        <is>
          <t>2 / 4</t>
        </is>
      </c>
      <c r="M715" s="5" t="n">
        <v>0.33</v>
      </c>
      <c r="N715" s="5" t="n">
        <v>0.33</v>
      </c>
    </row>
    <row r="716">
      <c r="A716" t="n">
        <v>715</v>
      </c>
      <c r="B716" t="n">
        <v>2013</v>
      </c>
      <c r="C716" t="inlineStr">
        <is>
          <t>Vedika P Sant</t>
        </is>
      </c>
      <c r="D716">
        <f>HYPERLINK("https://ota.tournamentsoftware.com/player-profile/37441797-5F95-4518-997F-3F1602AC6E85", "Link")</f>
        <v/>
      </c>
      <c r="E716" s="3" t="n">
        <v>20.667</v>
      </c>
      <c r="F716" s="4" t="n">
        <v>1</v>
      </c>
      <c r="G716" t="inlineStr">
        <is>
          <t>Ontario Tennis Association</t>
        </is>
      </c>
      <c r="H716" t="inlineStr">
        <is>
          <t>Martingrove Tennis Club</t>
        </is>
      </c>
      <c r="I716" t="inlineStr">
        <is>
          <t>unavailable</t>
        </is>
      </c>
      <c r="J716" s="4" t="n">
        <v>8</v>
      </c>
      <c r="K716" t="inlineStr">
        <is>
          <t>2 / 6</t>
        </is>
      </c>
      <c r="L716" t="inlineStr">
        <is>
          <t>0 / 1</t>
        </is>
      </c>
      <c r="M716" s="5" t="n">
        <v>0.25</v>
      </c>
      <c r="N716" s="5" t="n">
        <v>0</v>
      </c>
    </row>
    <row r="717">
      <c r="A717" t="n">
        <v>716</v>
      </c>
      <c r="B717" t="n">
        <v>2013</v>
      </c>
      <c r="C717" t="inlineStr">
        <is>
          <t>Aura Hayer</t>
        </is>
      </c>
      <c r="D717">
        <f>HYPERLINK("https://ota.tournamentsoftware.com/player-profile/969F22DA-6980-4E13-BAE2-6BD2D0C08F88", "Link")</f>
        <v/>
      </c>
      <c r="E717" s="3" t="n">
        <v>20.562</v>
      </c>
      <c r="F717" s="4" t="n">
        <v>3</v>
      </c>
      <c r="G717" t="inlineStr">
        <is>
          <t>British Columbia</t>
        </is>
      </c>
      <c r="H717" t="inlineStr">
        <is>
          <t>Sunshine Hills Tennis Club</t>
        </is>
      </c>
      <c r="I717" t="n">
        <v>38.4</v>
      </c>
      <c r="J717" s="4" t="n">
        <v>105</v>
      </c>
      <c r="K717" t="inlineStr">
        <is>
          <t>32 / 73</t>
        </is>
      </c>
      <c r="L717" t="inlineStr">
        <is>
          <t>2 / 7</t>
        </is>
      </c>
      <c r="M717" s="5" t="n">
        <v>0.3</v>
      </c>
      <c r="N717" s="5" t="n">
        <v>0.22</v>
      </c>
    </row>
    <row r="718">
      <c r="A718" t="n">
        <v>717</v>
      </c>
      <c r="B718" t="n">
        <v>2016</v>
      </c>
      <c r="C718" t="inlineStr">
        <is>
          <t>Hazel Geng</t>
        </is>
      </c>
      <c r="D718">
        <f>HYPERLINK("https://ota.tournamentsoftware.com/player-profile/00BB4A74-B4FB-4FAC-B874-79D9E778FAAE", "Link")</f>
        <v/>
      </c>
      <c r="E718" s="3" t="n">
        <v>20.417</v>
      </c>
      <c r="F718" s="4" t="n">
        <v>4</v>
      </c>
      <c r="G718" t="inlineStr">
        <is>
          <t>British Columbia</t>
        </is>
      </c>
      <c r="H718" t="inlineStr">
        <is>
          <t>Vancouver Lawn Tennis and Badminton Club</t>
        </is>
      </c>
      <c r="I718" t="n">
        <v>36.1</v>
      </c>
      <c r="J718" s="4" t="n">
        <v>48</v>
      </c>
      <c r="K718" t="inlineStr">
        <is>
          <t>15 / 33</t>
        </is>
      </c>
      <c r="L718" t="inlineStr">
        <is>
          <t>8 / 5</t>
        </is>
      </c>
      <c r="M718" s="5" t="n">
        <v>0.31</v>
      </c>
      <c r="N718" s="5" t="n">
        <v>0.62</v>
      </c>
    </row>
    <row r="719">
      <c r="A719" t="n">
        <v>718</v>
      </c>
      <c r="B719" t="n">
        <v>2013</v>
      </c>
      <c r="C719" t="inlineStr">
        <is>
          <t>Nitya Myneni</t>
        </is>
      </c>
      <c r="D719">
        <f>HYPERLINK("https://ota.tournamentsoftware.com/player-profile/482EDD14-11AD-4221-B031-4CDB8348AC62", "Link")</f>
        <v/>
      </c>
      <c r="E719" s="3" t="n">
        <v>20.14</v>
      </c>
      <c r="F719" s="4" t="n">
        <v>3</v>
      </c>
      <c r="G719" t="inlineStr">
        <is>
          <t>British Columbia</t>
        </is>
      </c>
      <c r="H719" t="inlineStr">
        <is>
          <t>The Tennis Centre</t>
        </is>
      </c>
      <c r="I719" t="n">
        <v>39.7</v>
      </c>
      <c r="J719" s="4" t="n">
        <v>29</v>
      </c>
      <c r="K719" t="inlineStr">
        <is>
          <t>8 / 21</t>
        </is>
      </c>
      <c r="L719" t="inlineStr">
        <is>
          <t>0 / 7</t>
        </is>
      </c>
      <c r="M719" s="5" t="n">
        <v>0.28</v>
      </c>
      <c r="N719" s="5" t="n">
        <v>0</v>
      </c>
    </row>
    <row r="720">
      <c r="A720" t="n">
        <v>719</v>
      </c>
      <c r="B720" t="n">
        <v>2013</v>
      </c>
      <c r="C720" t="inlineStr">
        <is>
          <t>Rebecca Maria Marcu</t>
        </is>
      </c>
      <c r="D720">
        <f>HYPERLINK("https://ota.tournamentsoftware.com/player-profile/1A9DB997-6193-4975-8534-F68D4F83BF32", "Link")</f>
        <v/>
      </c>
      <c r="E720" s="3" t="n">
        <v>20.131</v>
      </c>
      <c r="F720" s="4" t="n">
        <v>2</v>
      </c>
      <c r="G720" t="inlineStr">
        <is>
          <t>Ontario Tennis Association</t>
        </is>
      </c>
      <c r="H720" t="inlineStr">
        <is>
          <t>National Capital Tennis Association</t>
        </is>
      </c>
      <c r="I720" t="inlineStr">
        <is>
          <t>unavailable</t>
        </is>
      </c>
      <c r="J720" s="4" t="n">
        <v>4</v>
      </c>
      <c r="K720" t="inlineStr">
        <is>
          <t>1 / 3</t>
        </is>
      </c>
      <c r="L720" t="inlineStr">
        <is>
          <t>0 / 2</t>
        </is>
      </c>
      <c r="M720" s="5" t="n">
        <v>0.25</v>
      </c>
      <c r="N720" s="5" t="n">
        <v>0</v>
      </c>
    </row>
    <row r="721">
      <c r="A721" t="n">
        <v>720</v>
      </c>
      <c r="B721" t="n">
        <v>2014</v>
      </c>
      <c r="C721" t="inlineStr">
        <is>
          <t>Cheryl Elizabeth Ong</t>
        </is>
      </c>
      <c r="D721">
        <f>HYPERLINK("https://ota.tournamentsoftware.com/player-profile/11AC4E6A-0B03-4BB4-ACB7-333E7FD9064F", "Link")</f>
        <v/>
      </c>
      <c r="E721" s="3" t="n">
        <v>20.088</v>
      </c>
      <c r="F721" s="4" t="n">
        <v>10</v>
      </c>
      <c r="G721" t="inlineStr">
        <is>
          <t>British Columbia</t>
        </is>
      </c>
      <c r="H721" t="inlineStr">
        <is>
          <t>Tennis for Life</t>
        </is>
      </c>
      <c r="I721" t="inlineStr">
        <is>
          <t>unavailable</t>
        </is>
      </c>
      <c r="J721" s="4" t="n">
        <v>41</v>
      </c>
      <c r="K721" t="inlineStr">
        <is>
          <t>12 / 29</t>
        </is>
      </c>
      <c r="L721" t="inlineStr">
        <is>
          <t>8 / 13</t>
        </is>
      </c>
      <c r="M721" s="5" t="n">
        <v>0.29</v>
      </c>
      <c r="N721" s="5" t="n">
        <v>0.38</v>
      </c>
    </row>
    <row r="722">
      <c r="A722" t="n">
        <v>721</v>
      </c>
      <c r="B722" t="n">
        <v>2015</v>
      </c>
      <c r="C722" t="inlineStr">
        <is>
          <t>Isla Cowper</t>
        </is>
      </c>
      <c r="D722">
        <f>HYPERLINK("https://ota.tournamentsoftware.com/player-profile/B4F82BC2-5552-446F-89FC-C5F7C7A674B7", "Link")</f>
        <v/>
      </c>
      <c r="E722" s="3" t="n">
        <v>20.032</v>
      </c>
      <c r="F722" s="4" t="n">
        <v>7</v>
      </c>
      <c r="G722" t="inlineStr">
        <is>
          <t>Ontario Tennis Association</t>
        </is>
      </c>
      <c r="H722" t="inlineStr">
        <is>
          <t>Tam Heather Tennis Club</t>
        </is>
      </c>
      <c r="I722" t="n">
        <v>39</v>
      </c>
      <c r="J722" s="4" t="n">
        <v>76</v>
      </c>
      <c r="K722" t="inlineStr">
        <is>
          <t>35 / 41</t>
        </is>
      </c>
      <c r="L722" t="inlineStr">
        <is>
          <t>15 / 17</t>
        </is>
      </c>
      <c r="M722" s="5" t="n">
        <v>0.46</v>
      </c>
      <c r="N722" s="5" t="n">
        <v>0.47</v>
      </c>
    </row>
    <row r="723">
      <c r="A723" t="n">
        <v>722</v>
      </c>
      <c r="B723" t="n">
        <v>2012</v>
      </c>
      <c r="C723" t="inlineStr">
        <is>
          <t>Emily Chai</t>
        </is>
      </c>
      <c r="D723">
        <f>HYPERLINK("https://ota.tournamentsoftware.com/player-profile/0DE38792-F237-4087-A5C1-369B6A3E0088", "Link")</f>
        <v/>
      </c>
      <c r="E723" s="3" t="n">
        <v>19.958</v>
      </c>
      <c r="F723" s="4" t="n">
        <v>2</v>
      </c>
      <c r="G723" t="inlineStr">
        <is>
          <t>Ontario Tennis Association</t>
        </is>
      </c>
      <c r="H723" t="inlineStr">
        <is>
          <t>ON Tennis Toronto No Club</t>
        </is>
      </c>
      <c r="I723" t="n">
        <v>38.4</v>
      </c>
      <c r="J723" s="4" t="n">
        <v>7</v>
      </c>
      <c r="K723" t="inlineStr">
        <is>
          <t>1 / 6</t>
        </is>
      </c>
      <c r="L723" t="inlineStr">
        <is>
          <t>1 / 6</t>
        </is>
      </c>
      <c r="M723" s="5" t="n">
        <v>0.14</v>
      </c>
      <c r="N723" s="5" t="n">
        <v>0.14</v>
      </c>
    </row>
    <row r="724">
      <c r="A724" t="n">
        <v>723</v>
      </c>
      <c r="B724" t="n">
        <v>2014</v>
      </c>
      <c r="C724" t="inlineStr">
        <is>
          <t>Saisha Sharma</t>
        </is>
      </c>
      <c r="D724">
        <f>HYPERLINK("https://ota.tournamentsoftware.com/player-profile/4141EEE9-8372-4477-B6C4-DE0E9616249B", "Link")</f>
        <v/>
      </c>
      <c r="E724" s="3" t="n">
        <v>19.895</v>
      </c>
      <c r="F724" s="4" t="n">
        <v>6</v>
      </c>
      <c r="G724" t="inlineStr">
        <is>
          <t>Ontario Tennis Association</t>
        </is>
      </c>
      <c r="H724" t="inlineStr">
        <is>
          <t>Premier Racquet Clubs – Brampton</t>
        </is>
      </c>
      <c r="I724" t="n">
        <v>38.9</v>
      </c>
      <c r="J724" s="4" t="n">
        <v>20</v>
      </c>
      <c r="K724" t="inlineStr">
        <is>
          <t>11 / 9</t>
        </is>
      </c>
      <c r="L724" t="inlineStr">
        <is>
          <t>11 / 9</t>
        </is>
      </c>
      <c r="M724" s="5" t="n">
        <v>0.55</v>
      </c>
      <c r="N724" s="5" t="n">
        <v>0.55</v>
      </c>
    </row>
    <row r="725">
      <c r="A725" t="n">
        <v>724</v>
      </c>
      <c r="B725" t="n">
        <v>2012</v>
      </c>
      <c r="C725" t="inlineStr">
        <is>
          <t>Yulli Anne Tsang</t>
        </is>
      </c>
      <c r="D725">
        <f>HYPERLINK("https://ota.tournamentsoftware.com/player-profile/E8CCFA74-9017-45A2-B403-724A9977CD1E", "Link")</f>
        <v/>
      </c>
      <c r="E725" s="3" t="n">
        <v>19.768</v>
      </c>
      <c r="F725" s="4" t="n">
        <v>5</v>
      </c>
      <c r="G725" t="inlineStr">
        <is>
          <t>Tennis Alberta</t>
        </is>
      </c>
      <c r="H725" t="inlineStr">
        <is>
          <t>Derrick Golf &amp; Winter Club</t>
        </is>
      </c>
      <c r="I725" t="n">
        <v>35.9</v>
      </c>
      <c r="J725" s="4" t="n">
        <v>28</v>
      </c>
      <c r="K725" t="inlineStr">
        <is>
          <t>9 / 19</t>
        </is>
      </c>
      <c r="L725" t="inlineStr">
        <is>
          <t>4 / 8</t>
        </is>
      </c>
      <c r="M725" s="5" t="n">
        <v>0.32</v>
      </c>
      <c r="N725" s="5" t="n">
        <v>0.33</v>
      </c>
    </row>
    <row r="726">
      <c r="A726" t="n">
        <v>725</v>
      </c>
      <c r="B726" t="n">
        <v>2016</v>
      </c>
      <c r="C726" t="inlineStr">
        <is>
          <t>Heidi Liu</t>
        </is>
      </c>
      <c r="D726">
        <f>HYPERLINK("https://ota.tournamentsoftware.com/player-profile/E3F0466B-50E4-4105-A35A-1BB6B1C1C09C", "Link")</f>
        <v/>
      </c>
      <c r="E726" s="3" t="n">
        <v>19.65</v>
      </c>
      <c r="F726" s="4" t="n">
        <v>7</v>
      </c>
      <c r="G726" t="inlineStr">
        <is>
          <t>British Columbia</t>
        </is>
      </c>
      <c r="H726" t="inlineStr">
        <is>
          <t>UBC Tennis Centre</t>
        </is>
      </c>
      <c r="I726" t="n">
        <v>38</v>
      </c>
      <c r="J726" s="4" t="n">
        <v>79</v>
      </c>
      <c r="K726" t="inlineStr">
        <is>
          <t>45 / 34</t>
        </is>
      </c>
      <c r="L726" t="inlineStr">
        <is>
          <t>22 / 21</t>
        </is>
      </c>
      <c r="M726" s="5" t="n">
        <v>0.57</v>
      </c>
      <c r="N726" s="5" t="n">
        <v>0.51</v>
      </c>
    </row>
    <row r="727">
      <c r="A727" t="n">
        <v>726</v>
      </c>
      <c r="B727" t="n">
        <v>2014</v>
      </c>
      <c r="C727" t="inlineStr">
        <is>
          <t>Mia Baker</t>
        </is>
      </c>
      <c r="D727">
        <f>HYPERLINK("https://ota.tournamentsoftware.com/player-profile/ABFF2DBE-5CD7-451A-B77E-526F2DB67DA2", "Link")</f>
        <v/>
      </c>
      <c r="E727" s="3" t="n">
        <v>19.588</v>
      </c>
      <c r="F727" s="4" t="n">
        <v>9</v>
      </c>
      <c r="G727" t="inlineStr">
        <is>
          <t>Tennis Québec</t>
        </is>
      </c>
      <c r="H727" t="inlineStr">
        <is>
          <t>SANI Sport</t>
        </is>
      </c>
      <c r="I727" t="n">
        <v>40</v>
      </c>
      <c r="J727" s="4" t="n">
        <v>59</v>
      </c>
      <c r="K727" t="inlineStr">
        <is>
          <t>2 / 57</t>
        </is>
      </c>
      <c r="L727" t="inlineStr">
        <is>
          <t>0 / 12</t>
        </is>
      </c>
      <c r="M727" s="5" t="n">
        <v>0.03</v>
      </c>
      <c r="N727" s="5" t="n">
        <v>0</v>
      </c>
    </row>
    <row r="728">
      <c r="A728" t="n">
        <v>727</v>
      </c>
      <c r="B728" t="n">
        <v>2017</v>
      </c>
      <c r="C728" t="inlineStr">
        <is>
          <t>Mackenzie Alexandra Greer</t>
        </is>
      </c>
      <c r="D728">
        <f>HYPERLINK("https://ota.tournamentsoftware.com/player-profile/E975EEBE-CD33-46CE-BFFF-1BB5A6FB8672", "Link")</f>
        <v/>
      </c>
      <c r="E728" s="3" t="n">
        <v>19.44</v>
      </c>
      <c r="F728" s="4" t="n">
        <v>3</v>
      </c>
      <c r="G728" t="inlineStr">
        <is>
          <t>Ontario Tennis Association</t>
        </is>
      </c>
      <c r="H728" t="inlineStr">
        <is>
          <t>Stefanovic Tennis Academy</t>
        </is>
      </c>
      <c r="I728" t="n">
        <v>37.2</v>
      </c>
      <c r="J728" s="4" t="n">
        <v>165</v>
      </c>
      <c r="K728" t="inlineStr">
        <is>
          <t>135 / 30</t>
        </is>
      </c>
      <c r="L728" t="inlineStr">
        <is>
          <t>91 / 12</t>
        </is>
      </c>
      <c r="M728" s="5" t="n">
        <v>0.82</v>
      </c>
      <c r="N728" s="5" t="n">
        <v>0.88</v>
      </c>
    </row>
    <row r="729">
      <c r="A729" t="n">
        <v>728</v>
      </c>
      <c r="B729" t="n">
        <v>2014</v>
      </c>
      <c r="C729" t="inlineStr">
        <is>
          <t>Adele Cui</t>
        </is>
      </c>
      <c r="D729">
        <f>HYPERLINK("https://ota.tournamentsoftware.com/player-profile/E096F094-0386-4439-807E-E147F97C754F", "Link")</f>
        <v/>
      </c>
      <c r="E729" s="3" t="n">
        <v>19.024</v>
      </c>
      <c r="F729" s="4" t="n">
        <v>5</v>
      </c>
      <c r="G729" t="inlineStr">
        <is>
          <t>British Columbia</t>
        </is>
      </c>
      <c r="H729" t="inlineStr">
        <is>
          <t>UBC Tennis Centre</t>
        </is>
      </c>
      <c r="I729" t="n">
        <v>35.8</v>
      </c>
      <c r="J729" s="4" t="n">
        <v>80</v>
      </c>
      <c r="K729" t="inlineStr">
        <is>
          <t>46 / 34</t>
        </is>
      </c>
      <c r="L729" t="inlineStr">
        <is>
          <t>1 / 4</t>
        </is>
      </c>
      <c r="M729" s="5" t="n">
        <v>0.57</v>
      </c>
      <c r="N729" s="5" t="n">
        <v>0.2</v>
      </c>
    </row>
    <row r="730">
      <c r="A730" t="n">
        <v>729</v>
      </c>
      <c r="B730" t="n">
        <v>2014</v>
      </c>
      <c r="C730" t="inlineStr">
        <is>
          <t>Camilia Aroub</t>
        </is>
      </c>
      <c r="D730">
        <f>HYPERLINK("https://ota.tournamentsoftware.com/player-profile/7CE0472D-53F2-438D-B060-8BB037C14F01", "Link")</f>
        <v/>
      </c>
      <c r="E730" s="3" t="n">
        <v>18.866</v>
      </c>
      <c r="F730" s="4" t="n">
        <v>8</v>
      </c>
      <c r="G730" t="inlineStr">
        <is>
          <t>Tennis Québec</t>
        </is>
      </c>
      <c r="H730" t="inlineStr">
        <is>
          <t>Club Sportif Côte-de-Liesse</t>
        </is>
      </c>
      <c r="I730" t="n">
        <v>40</v>
      </c>
      <c r="J730" s="4" t="n">
        <v>16</v>
      </c>
      <c r="K730" t="inlineStr">
        <is>
          <t>2 / 14</t>
        </is>
      </c>
      <c r="L730" t="inlineStr">
        <is>
          <t>2 / 11</t>
        </is>
      </c>
      <c r="M730" s="5" t="n">
        <v>0.12</v>
      </c>
      <c r="N730" s="5" t="n">
        <v>0.15</v>
      </c>
    </row>
    <row r="731">
      <c r="A731" t="n">
        <v>730</v>
      </c>
      <c r="B731" t="n">
        <v>2014</v>
      </c>
      <c r="C731" t="inlineStr">
        <is>
          <t>Olivia V. Jin</t>
        </is>
      </c>
      <c r="D731">
        <f>HYPERLINK("https://ota.tournamentsoftware.com/player-profile/88713252-C9AF-4DC4-B40D-11479A26EE47", "Link")</f>
        <v/>
      </c>
      <c r="E731" s="3" t="n">
        <v>18.821</v>
      </c>
      <c r="F731" s="4" t="n">
        <v>8</v>
      </c>
      <c r="G731" t="inlineStr">
        <is>
          <t>British Columbia</t>
        </is>
      </c>
      <c r="H731" t="inlineStr">
        <is>
          <t>Hollyburn Country Club</t>
        </is>
      </c>
      <c r="I731" t="n">
        <v>35.6</v>
      </c>
      <c r="J731" s="4" t="n">
        <v>85</v>
      </c>
      <c r="K731" t="inlineStr">
        <is>
          <t>26 / 59</t>
        </is>
      </c>
      <c r="L731" t="inlineStr">
        <is>
          <t>6 / 2</t>
        </is>
      </c>
      <c r="M731" s="5" t="n">
        <v>0.31</v>
      </c>
      <c r="N731" s="5" t="n">
        <v>0.75</v>
      </c>
    </row>
    <row r="732">
      <c r="A732" t="n">
        <v>731</v>
      </c>
      <c r="B732" t="n">
        <v>2012</v>
      </c>
      <c r="C732" t="inlineStr">
        <is>
          <t>Maddy Frances Hughes</t>
        </is>
      </c>
      <c r="D732">
        <f>HYPERLINK("https://ota.tournamentsoftware.com/player-profile/78566C46-653E-4667-ADCE-638FA56C318F", "Link")</f>
        <v/>
      </c>
      <c r="E732" s="3" t="n">
        <v>18.771</v>
      </c>
      <c r="F732" s="4" t="n">
        <v>2</v>
      </c>
      <c r="G732" t="inlineStr">
        <is>
          <t>Ontario Tennis Association</t>
        </is>
      </c>
      <c r="H732" t="inlineStr">
        <is>
          <t>Boulevard Club</t>
        </is>
      </c>
      <c r="I732" t="n">
        <v>37.7</v>
      </c>
      <c r="J732" s="4" t="n">
        <v>41</v>
      </c>
      <c r="K732" t="inlineStr">
        <is>
          <t>16 / 25</t>
        </is>
      </c>
      <c r="L732" t="inlineStr">
        <is>
          <t>4 / 7</t>
        </is>
      </c>
      <c r="M732" s="5" t="n">
        <v>0.39</v>
      </c>
      <c r="N732" s="5" t="n">
        <v>0.36</v>
      </c>
    </row>
    <row r="733">
      <c r="A733" t="n">
        <v>732</v>
      </c>
      <c r="B733" t="n">
        <v>2012</v>
      </c>
      <c r="C733" t="inlineStr">
        <is>
          <t>Diya Parkash</t>
        </is>
      </c>
      <c r="D733">
        <f>HYPERLINK("https://ota.tournamentsoftware.com/player-profile/73A3C93B-23D0-4FC2-9B92-CA5DFE4335FD", "Link")</f>
        <v/>
      </c>
      <c r="E733" s="3" t="n">
        <v>18.484</v>
      </c>
      <c r="F733" s="4" t="n">
        <v>1</v>
      </c>
      <c r="G733" t="inlineStr">
        <is>
          <t>Tennis Nova Scotia</t>
        </is>
      </c>
      <c r="H733" t="inlineStr">
        <is>
          <t>HEADSTART</t>
        </is>
      </c>
      <c r="I733" t="n">
        <v>36.8</v>
      </c>
      <c r="J733" s="4" t="n">
        <v>6</v>
      </c>
      <c r="K733" t="inlineStr">
        <is>
          <t>3 / 3</t>
        </is>
      </c>
      <c r="L733" t="inlineStr">
        <is>
          <t>3 / 3</t>
        </is>
      </c>
      <c r="M733" s="5" t="n">
        <v>0.5</v>
      </c>
      <c r="N733" s="5" t="n">
        <v>0.5</v>
      </c>
    </row>
    <row r="734">
      <c r="A734" t="n">
        <v>733</v>
      </c>
      <c r="B734" t="n">
        <v>2013</v>
      </c>
      <c r="C734" t="inlineStr">
        <is>
          <t>Eve Fuemana</t>
        </is>
      </c>
      <c r="D734">
        <f>HYPERLINK("https://ota.tournamentsoftware.com/player-profile/C6B89948-0347-4A82-9588-926B794A08CE", "Link")</f>
        <v/>
      </c>
      <c r="E734" s="3" t="n">
        <v>18.447</v>
      </c>
      <c r="F734" s="4" t="n">
        <v>1</v>
      </c>
      <c r="G734" t="inlineStr">
        <is>
          <t>Ontario Tennis Association</t>
        </is>
      </c>
      <c r="H734" t="inlineStr">
        <is>
          <t>Toronto Tennis City</t>
        </is>
      </c>
      <c r="I734" t="n">
        <v>27.4</v>
      </c>
      <c r="J734" s="4" t="n">
        <v>3</v>
      </c>
      <c r="K734" t="inlineStr">
        <is>
          <t>0 / 3</t>
        </is>
      </c>
      <c r="L734" t="inlineStr">
        <is>
          <t>0 / 1</t>
        </is>
      </c>
      <c r="M734" s="5" t="n">
        <v>0</v>
      </c>
      <c r="N734" s="5" t="n">
        <v>0</v>
      </c>
    </row>
    <row r="735">
      <c r="A735" t="n">
        <v>734</v>
      </c>
      <c r="B735" t="n">
        <v>2014</v>
      </c>
      <c r="C735" t="inlineStr">
        <is>
          <t>Éloïse Renaud</t>
        </is>
      </c>
      <c r="D735">
        <f>HYPERLINK("https://ota.tournamentsoftware.com/player-profile/B18DE2B4-0E8A-4263-8136-FCC7F7A61D01", "Link")</f>
        <v/>
      </c>
      <c r="E735" s="3" t="n">
        <v>18.36</v>
      </c>
      <c r="F735" s="4" t="n">
        <v>4</v>
      </c>
      <c r="G735" t="inlineStr">
        <is>
          <t>Tennis Québec</t>
        </is>
      </c>
      <c r="H735" t="inlineStr">
        <is>
          <t>Tennis 13</t>
        </is>
      </c>
      <c r="I735" t="inlineStr">
        <is>
          <t>unavailable</t>
        </is>
      </c>
      <c r="J735" s="4" t="n">
        <v>8</v>
      </c>
      <c r="K735" t="inlineStr">
        <is>
          <t>4 / 4</t>
        </is>
      </c>
      <c r="L735" t="inlineStr">
        <is>
          <t>1 / 2</t>
        </is>
      </c>
      <c r="M735" s="5" t="n">
        <v>0.5</v>
      </c>
      <c r="N735" s="5" t="n">
        <v>0.33</v>
      </c>
    </row>
    <row r="736">
      <c r="A736" t="n">
        <v>735</v>
      </c>
      <c r="B736" t="n">
        <v>2015</v>
      </c>
      <c r="C736" t="inlineStr">
        <is>
          <t>Simone Tremblay-Roy</t>
        </is>
      </c>
      <c r="D736">
        <f>HYPERLINK("https://ota.tournamentsoftware.com/player-profile/E7E1A20D-ED12-47F1-913D-3022C4BE6070", "Link")</f>
        <v/>
      </c>
      <c r="E736" s="3" t="n">
        <v>18.332</v>
      </c>
      <c r="F736" s="4" t="n">
        <v>2</v>
      </c>
      <c r="G736" t="inlineStr">
        <is>
          <t>Tennis Québec</t>
        </is>
      </c>
      <c r="H736" t="inlineStr">
        <is>
          <t>Club de tennis intérieur Saguenay</t>
        </is>
      </c>
      <c r="I736" t="n">
        <v>37.4</v>
      </c>
      <c r="J736" s="4" t="n">
        <v>7</v>
      </c>
      <c r="K736" t="inlineStr">
        <is>
          <t>4 / 3</t>
        </is>
      </c>
      <c r="L736" t="inlineStr">
        <is>
          <t>1 / 3</t>
        </is>
      </c>
      <c r="M736" s="5" t="n">
        <v>0.57</v>
      </c>
      <c r="N736" s="5" t="n">
        <v>0.25</v>
      </c>
    </row>
    <row r="737">
      <c r="A737" t="n">
        <v>736</v>
      </c>
      <c r="B737" t="n">
        <v>2015</v>
      </c>
      <c r="C737" t="inlineStr">
        <is>
          <t>Valentina Barrera Salazar</t>
        </is>
      </c>
      <c r="D737">
        <f>HYPERLINK("https://ota.tournamentsoftware.com/player-profile/8BE2D3BB-B3F1-4BC1-82A2-EBFE82844920", "Link")</f>
        <v/>
      </c>
      <c r="E737" s="3" t="n">
        <v>18</v>
      </c>
      <c r="F737" s="4" t="n">
        <v>1</v>
      </c>
      <c r="G737" t="inlineStr">
        <is>
          <t>Tennis Québec</t>
        </is>
      </c>
      <c r="H737" t="inlineStr">
        <is>
          <t>No Club</t>
        </is>
      </c>
      <c r="I737" t="inlineStr">
        <is>
          <t>unavailable</t>
        </is>
      </c>
      <c r="J737" s="4" t="n">
        <v>3</v>
      </c>
      <c r="K737" t="inlineStr">
        <is>
          <t>0 / 3</t>
        </is>
      </c>
      <c r="L737" t="inlineStr">
        <is>
          <t>0 / 3</t>
        </is>
      </c>
      <c r="M737" s="5" t="n">
        <v>0</v>
      </c>
      <c r="N737" s="5" t="n">
        <v>0</v>
      </c>
    </row>
    <row r="738">
      <c r="A738" t="n">
        <v>737</v>
      </c>
      <c r="B738" t="n">
        <v>2013</v>
      </c>
      <c r="C738" t="inlineStr">
        <is>
          <t>Blake Beck Sadler</t>
        </is>
      </c>
      <c r="D738">
        <f>HYPERLINK("https://ota.tournamentsoftware.com/player-profile/B44D5381-342B-4AF0-8200-EA0CEE1E54B7", "Link")</f>
        <v/>
      </c>
      <c r="E738" s="3" t="n">
        <v>17.916</v>
      </c>
      <c r="F738" s="4" t="n">
        <v>2</v>
      </c>
      <c r="G738" t="inlineStr">
        <is>
          <t>Ontario Tennis Association</t>
        </is>
      </c>
      <c r="H738" t="inlineStr">
        <is>
          <t>Ontario Racquet Club</t>
        </is>
      </c>
      <c r="I738" t="n">
        <v>35.9</v>
      </c>
      <c r="J738" s="4" t="n">
        <v>22</v>
      </c>
      <c r="K738" t="inlineStr">
        <is>
          <t>12 / 10</t>
        </is>
      </c>
      <c r="L738" t="inlineStr">
        <is>
          <t>1 / 1</t>
        </is>
      </c>
      <c r="M738" s="5" t="n">
        <v>0.55</v>
      </c>
      <c r="N738" s="5" t="n">
        <v>0.5</v>
      </c>
    </row>
    <row r="739">
      <c r="A739" t="n">
        <v>738</v>
      </c>
      <c r="B739" t="n">
        <v>2014</v>
      </c>
      <c r="C739" t="inlineStr">
        <is>
          <t>Sophia Marietta Dee</t>
        </is>
      </c>
      <c r="D739">
        <f>HYPERLINK("https://ota.tournamentsoftware.com/player-profile/C69F5ADB-3749-4D97-A809-250A73BB30C1", "Link")</f>
        <v/>
      </c>
      <c r="E739" s="3" t="n">
        <v>17.903</v>
      </c>
      <c r="F739" s="4" t="n">
        <v>6</v>
      </c>
      <c r="G739" t="inlineStr">
        <is>
          <t>British Columbia</t>
        </is>
      </c>
      <c r="H739" t="inlineStr">
        <is>
          <t>Arbutus Club</t>
        </is>
      </c>
      <c r="I739" t="n">
        <v>36.8</v>
      </c>
      <c r="J739" s="4" t="n">
        <v>40</v>
      </c>
      <c r="K739" t="inlineStr">
        <is>
          <t>14 / 26</t>
        </is>
      </c>
      <c r="L739" t="inlineStr">
        <is>
          <t>5 / 7</t>
        </is>
      </c>
      <c r="M739" s="5" t="n">
        <v>0.35</v>
      </c>
      <c r="N739" s="5" t="n">
        <v>0.42</v>
      </c>
    </row>
    <row r="740">
      <c r="A740" t="n">
        <v>739</v>
      </c>
      <c r="B740" t="n">
        <v>2013</v>
      </c>
      <c r="C740" t="inlineStr">
        <is>
          <t>Lingxi Sun</t>
        </is>
      </c>
      <c r="D740">
        <f>HYPERLINK("https://ota.tournamentsoftware.com/player-profile/09E8E557-02B1-46EF-87E8-A28C42A56E9D", "Link")</f>
        <v/>
      </c>
      <c r="E740" s="3" t="n">
        <v>17.8</v>
      </c>
      <c r="F740" s="4" t="n">
        <v>2</v>
      </c>
      <c r="G740" t="inlineStr">
        <is>
          <t>British Columbia</t>
        </is>
      </c>
      <c r="H740" t="inlineStr">
        <is>
          <t>UBC Tennis Centre</t>
        </is>
      </c>
      <c r="I740" t="n">
        <v>32.5</v>
      </c>
      <c r="J740" s="4" t="n">
        <v>39</v>
      </c>
      <c r="K740" t="inlineStr">
        <is>
          <t>23 / 16</t>
        </is>
      </c>
      <c r="L740" t="inlineStr">
        <is>
          <t>0 / 0</t>
        </is>
      </c>
      <c r="M740" s="5" t="n">
        <v>0.59</v>
      </c>
      <c r="N740" s="5" t="n">
        <v>0</v>
      </c>
    </row>
    <row r="741">
      <c r="A741" t="n">
        <v>740</v>
      </c>
      <c r="B741" t="n">
        <v>2014</v>
      </c>
      <c r="C741" t="inlineStr">
        <is>
          <t>Neiva George</t>
        </is>
      </c>
      <c r="D741">
        <f>HYPERLINK("https://ota.tournamentsoftware.com/player-profile/1A9BA311-0F1E-40A7-9341-ECED97AEEBBD", "Link")</f>
        <v/>
      </c>
      <c r="E741" s="3" t="n">
        <v>17.766</v>
      </c>
      <c r="F741" s="4" t="n">
        <v>3</v>
      </c>
      <c r="G741" t="inlineStr">
        <is>
          <t>Ontario Tennis Association</t>
        </is>
      </c>
      <c r="H741" t="inlineStr">
        <is>
          <t>Headwaters Racquet Club</t>
        </is>
      </c>
      <c r="I741" t="n">
        <v>38.2</v>
      </c>
      <c r="J741" s="4" t="n">
        <v>47</v>
      </c>
      <c r="K741" t="inlineStr">
        <is>
          <t>23 / 24</t>
        </is>
      </c>
      <c r="L741" t="inlineStr">
        <is>
          <t>7 / 6</t>
        </is>
      </c>
      <c r="M741" s="5" t="n">
        <v>0.49</v>
      </c>
      <c r="N741" s="5" t="n">
        <v>0.54</v>
      </c>
    </row>
    <row r="742">
      <c r="A742" t="n">
        <v>741</v>
      </c>
      <c r="B742" t="n">
        <v>2013</v>
      </c>
      <c r="C742" t="inlineStr">
        <is>
          <t>Robin Lee</t>
        </is>
      </c>
      <c r="D742">
        <f>HYPERLINK("https://ota.tournamentsoftware.com/player-profile/0DB12770-F2FF-469C-87ED-5B5A242C6A08", "Link")</f>
        <v/>
      </c>
      <c r="E742" s="3" t="n">
        <v>17.748</v>
      </c>
      <c r="F742" s="4" t="n">
        <v>3</v>
      </c>
      <c r="G742" t="inlineStr">
        <is>
          <t>Ontario Tennis Association</t>
        </is>
      </c>
      <c r="H742" t="inlineStr">
        <is>
          <t>No Club</t>
        </is>
      </c>
      <c r="I742" t="n">
        <v>39.3</v>
      </c>
      <c r="J742" s="4" t="n">
        <v>58</v>
      </c>
      <c r="K742" t="inlineStr">
        <is>
          <t>11 / 47</t>
        </is>
      </c>
      <c r="L742" t="inlineStr">
        <is>
          <t>0 / 0</t>
        </is>
      </c>
      <c r="M742" s="5" t="n">
        <v>0.19</v>
      </c>
      <c r="N742" s="5" t="n">
        <v>0</v>
      </c>
    </row>
    <row r="743">
      <c r="A743" t="n">
        <v>742</v>
      </c>
      <c r="B743" t="n">
        <v>2015</v>
      </c>
      <c r="C743" t="inlineStr">
        <is>
          <t>Juliette Merino</t>
        </is>
      </c>
      <c r="D743">
        <f>HYPERLINK("https://ota.tournamentsoftware.com/player-profile/E3FBD49F-6297-464B-AD97-8C82D2E93FB7", "Link")</f>
        <v/>
      </c>
      <c r="E743" s="3" t="n">
        <v>17.623</v>
      </c>
      <c r="F743" s="4" t="n">
        <v>3</v>
      </c>
      <c r="G743" t="inlineStr">
        <is>
          <t>Ontario Tennis Association</t>
        </is>
      </c>
      <c r="H743" t="inlineStr">
        <is>
          <t>Ontario Racquet Club</t>
        </is>
      </c>
      <c r="I743" t="inlineStr">
        <is>
          <t>unavailable</t>
        </is>
      </c>
      <c r="J743" s="4" t="n">
        <v>35</v>
      </c>
      <c r="K743" t="inlineStr">
        <is>
          <t>12 / 23</t>
        </is>
      </c>
      <c r="L743" t="inlineStr">
        <is>
          <t>3 / 9</t>
        </is>
      </c>
      <c r="M743" s="5" t="n">
        <v>0.34</v>
      </c>
      <c r="N743" s="5" t="n">
        <v>0.25</v>
      </c>
    </row>
    <row r="744">
      <c r="A744" t="n">
        <v>743</v>
      </c>
      <c r="B744" t="n">
        <v>2017</v>
      </c>
      <c r="C744" t="inlineStr">
        <is>
          <t>Safiatou Ntentie Nchange</t>
        </is>
      </c>
      <c r="D744">
        <f>HYPERLINK("https://ota.tournamentsoftware.com/player-profile/5B1E15AE-3503-449A-B482-B98077F40A43", "Link")</f>
        <v/>
      </c>
      <c r="E744" s="3" t="n">
        <v>17.41</v>
      </c>
      <c r="F744" s="4" t="n">
        <v>7</v>
      </c>
      <c r="G744" t="inlineStr">
        <is>
          <t>Tennis Alberta</t>
        </is>
      </c>
      <c r="H744" t="inlineStr">
        <is>
          <t>No Club</t>
        </is>
      </c>
      <c r="I744" t="n">
        <v>35.8</v>
      </c>
      <c r="J744" s="4" t="n">
        <v>39</v>
      </c>
      <c r="K744" t="inlineStr">
        <is>
          <t>27 / 12</t>
        </is>
      </c>
      <c r="L744" t="inlineStr">
        <is>
          <t>23 / 11</t>
        </is>
      </c>
      <c r="M744" s="5" t="n">
        <v>0.6899999999999999</v>
      </c>
      <c r="N744" s="5" t="n">
        <v>0.68</v>
      </c>
    </row>
    <row r="745">
      <c r="A745" t="n">
        <v>744</v>
      </c>
      <c r="B745" t="n">
        <v>2013</v>
      </c>
      <c r="C745" t="inlineStr">
        <is>
          <t>Lily Pilipowicz</t>
        </is>
      </c>
      <c r="D745">
        <f>HYPERLINK("https://ota.tournamentsoftware.com/player-profile/B42CFB1E-4A07-4108-A904-8512C36C48D8", "Link")</f>
        <v/>
      </c>
      <c r="E745" s="3" t="n">
        <v>17.313</v>
      </c>
      <c r="F745" s="4" t="n">
        <v>4</v>
      </c>
      <c r="G745" t="inlineStr">
        <is>
          <t>Tennis Alberta</t>
        </is>
      </c>
      <c r="H745" t="inlineStr">
        <is>
          <t>Aforza</t>
        </is>
      </c>
      <c r="I745" t="n">
        <v>34</v>
      </c>
      <c r="J745" s="4" t="n">
        <v>40</v>
      </c>
      <c r="K745" t="inlineStr">
        <is>
          <t>19 / 21</t>
        </is>
      </c>
      <c r="L745" t="inlineStr">
        <is>
          <t>0 / 1</t>
        </is>
      </c>
      <c r="M745" s="5" t="n">
        <v>0.47</v>
      </c>
      <c r="N745" s="5" t="n">
        <v>0</v>
      </c>
    </row>
    <row r="746">
      <c r="A746" t="n">
        <v>745</v>
      </c>
      <c r="B746" t="n">
        <v>2016</v>
      </c>
      <c r="C746" t="inlineStr">
        <is>
          <t>Nourine Chebitou</t>
        </is>
      </c>
      <c r="D746">
        <f>HYPERLINK("https://ota.tournamentsoftware.com/player-profile/7B847012-F77E-40EE-A816-39ABE1031DA9", "Link")</f>
        <v/>
      </c>
      <c r="E746" s="3" t="n">
        <v>17.28</v>
      </c>
      <c r="F746" s="4" t="n">
        <v>1</v>
      </c>
      <c r="G746" t="inlineStr">
        <is>
          <t>Tennis Québec</t>
        </is>
      </c>
      <c r="H746" t="inlineStr">
        <is>
          <t>SANI Sport</t>
        </is>
      </c>
      <c r="I746" t="n">
        <v>37.3</v>
      </c>
      <c r="J746" s="4" t="n">
        <v>5</v>
      </c>
      <c r="K746" t="inlineStr">
        <is>
          <t>1 / 4</t>
        </is>
      </c>
      <c r="L746" t="inlineStr">
        <is>
          <t>1 / 1</t>
        </is>
      </c>
      <c r="M746" s="5" t="n">
        <v>0.2</v>
      </c>
      <c r="N746" s="5" t="n">
        <v>0.5</v>
      </c>
    </row>
    <row r="747">
      <c r="A747" t="n">
        <v>745</v>
      </c>
      <c r="B747" t="n">
        <v>2014</v>
      </c>
      <c r="C747" t="inlineStr">
        <is>
          <t>Vira Beskupska</t>
        </is>
      </c>
      <c r="D747">
        <f>HYPERLINK("https://ota.tournamentsoftware.com/player-profile/116FA89C-68A6-4FE9-ADC6-34260809351C", "Link")</f>
        <v/>
      </c>
      <c r="E747" s="3" t="n">
        <v>17.28</v>
      </c>
      <c r="F747" s="4" t="n">
        <v>2</v>
      </c>
      <c r="G747" t="inlineStr">
        <is>
          <t>Ontario Tennis Association</t>
        </is>
      </c>
      <c r="H747" t="inlineStr">
        <is>
          <t>Tennis Centre West Ottawa</t>
        </is>
      </c>
      <c r="I747" t="n">
        <v>38.4</v>
      </c>
      <c r="J747" s="4" t="n">
        <v>5</v>
      </c>
      <c r="K747" t="inlineStr">
        <is>
          <t>1 / 4</t>
        </is>
      </c>
      <c r="L747" t="inlineStr">
        <is>
          <t>1 / 4</t>
        </is>
      </c>
      <c r="M747" s="5" t="n">
        <v>0.2</v>
      </c>
      <c r="N747" s="5" t="n">
        <v>0.2</v>
      </c>
    </row>
    <row r="748">
      <c r="A748" t="n">
        <v>745</v>
      </c>
      <c r="B748" t="n">
        <v>2016</v>
      </c>
      <c r="C748" t="inlineStr">
        <is>
          <t>Yanya Zhao</t>
        </is>
      </c>
      <c r="D748">
        <f>HYPERLINK("https://ota.tournamentsoftware.com/player-profile/60E4C9B4-B466-467C-B9D3-335A318BE74C", "Link")</f>
        <v/>
      </c>
      <c r="E748" s="3" t="n">
        <v>17.28</v>
      </c>
      <c r="F748" s="4" t="n">
        <v>3</v>
      </c>
      <c r="G748" t="inlineStr">
        <is>
          <t>Ontario Tennis Association</t>
        </is>
      </c>
      <c r="H748" t="inlineStr">
        <is>
          <t>Valan Tennis Academy</t>
        </is>
      </c>
      <c r="I748" t="n">
        <v>36.5</v>
      </c>
      <c r="J748" s="4" t="n">
        <v>89</v>
      </c>
      <c r="K748" t="inlineStr">
        <is>
          <t>56 / 33</t>
        </is>
      </c>
      <c r="L748" t="inlineStr">
        <is>
          <t>56 / 33</t>
        </is>
      </c>
      <c r="M748" s="5" t="n">
        <v>0.63</v>
      </c>
      <c r="N748" s="5" t="n">
        <v>0.63</v>
      </c>
    </row>
    <row r="749">
      <c r="A749" t="n">
        <v>748</v>
      </c>
      <c r="B749" t="n">
        <v>2012</v>
      </c>
      <c r="C749" t="inlineStr">
        <is>
          <t>Emily Solc</t>
        </is>
      </c>
      <c r="D749">
        <f>HYPERLINK("https://ota.tournamentsoftware.com/player-profile/0117F9E7-8DFA-459F-859A-F7CFC440388D", "Link")</f>
        <v/>
      </c>
      <c r="E749" s="3" t="n">
        <v>17.16</v>
      </c>
      <c r="F749" s="4" t="n">
        <v>1</v>
      </c>
      <c r="G749" t="inlineStr">
        <is>
          <t>Ontario Tennis Association</t>
        </is>
      </c>
      <c r="H749" t="inlineStr">
        <is>
          <t>Ajax Tennis Club</t>
        </is>
      </c>
      <c r="I749" t="n">
        <v>35.7</v>
      </c>
      <c r="J749" s="4" t="n">
        <v>15</v>
      </c>
      <c r="K749" t="inlineStr">
        <is>
          <t>6 / 9</t>
        </is>
      </c>
      <c r="L749" t="inlineStr">
        <is>
          <t>0 / 0</t>
        </is>
      </c>
      <c r="M749" s="5" t="n">
        <v>0.4</v>
      </c>
      <c r="N749" s="5" t="n">
        <v>0</v>
      </c>
    </row>
    <row r="750">
      <c r="A750" t="n">
        <v>749</v>
      </c>
      <c r="B750" t="n">
        <v>2015</v>
      </c>
      <c r="C750" t="inlineStr">
        <is>
          <t>Maggie Yang</t>
        </is>
      </c>
      <c r="D750">
        <f>HYPERLINK("https://ota.tournamentsoftware.com/player-profile/1188855E-2EBD-473C-B3CD-74B3CDDF9042", "Link")</f>
        <v/>
      </c>
      <c r="E750" s="3" t="n">
        <v>17.037</v>
      </c>
      <c r="F750" s="4" t="n">
        <v>3</v>
      </c>
      <c r="G750" t="inlineStr">
        <is>
          <t>Ontario Tennis Association</t>
        </is>
      </c>
      <c r="H750" t="inlineStr">
        <is>
          <t>Royal City Tennis Club</t>
        </is>
      </c>
      <c r="I750" t="n">
        <v>35.7</v>
      </c>
      <c r="J750" s="4" t="n">
        <v>29</v>
      </c>
      <c r="K750" t="inlineStr">
        <is>
          <t>11 / 18</t>
        </is>
      </c>
      <c r="L750" t="inlineStr">
        <is>
          <t>2 / 3</t>
        </is>
      </c>
      <c r="M750" s="5" t="n">
        <v>0.38</v>
      </c>
      <c r="N750" s="5" t="n">
        <v>0.4</v>
      </c>
    </row>
    <row r="751">
      <c r="A751" t="n">
        <v>750</v>
      </c>
      <c r="B751" t="n">
        <v>2012</v>
      </c>
      <c r="C751" t="inlineStr">
        <is>
          <t>Alexandria Leah Fernandez</t>
        </is>
      </c>
      <c r="D751">
        <f>HYPERLINK("https://ota.tournamentsoftware.com/player-profile/42CC074A-F7BC-474A-AD80-389A35EF85E7", "Link")</f>
        <v/>
      </c>
      <c r="E751" s="3" t="n">
        <v>16.632</v>
      </c>
      <c r="F751" s="4" t="n">
        <v>1</v>
      </c>
      <c r="G751" t="inlineStr">
        <is>
          <t>Ontario Tennis Association</t>
        </is>
      </c>
      <c r="H751" t="inlineStr">
        <is>
          <t>Cambridge Tennis Club</t>
        </is>
      </c>
      <c r="I751" t="n">
        <v>35.2</v>
      </c>
      <c r="J751" s="4" t="n">
        <v>14</v>
      </c>
      <c r="K751" t="inlineStr">
        <is>
          <t>7 / 7</t>
        </is>
      </c>
      <c r="L751" t="inlineStr">
        <is>
          <t>7 / 1</t>
        </is>
      </c>
      <c r="M751" s="5" t="n">
        <v>0.5</v>
      </c>
      <c r="N751" s="5" t="n">
        <v>0.88</v>
      </c>
    </row>
    <row r="752">
      <c r="A752" t="n">
        <v>751</v>
      </c>
      <c r="B752" t="n">
        <v>2013</v>
      </c>
      <c r="C752" t="inlineStr">
        <is>
          <t>Vasta Keshavarz</t>
        </is>
      </c>
      <c r="D752">
        <f>HYPERLINK("https://ota.tournamentsoftware.com/player-profile/601A80FC-EABC-4AF6-9B13-BEBCF22814BA", "Link")</f>
        <v/>
      </c>
      <c r="E752" s="3" t="n">
        <v>16.603</v>
      </c>
      <c r="F752" s="4" t="n">
        <v>4</v>
      </c>
      <c r="G752" t="inlineStr">
        <is>
          <t>British Columbia</t>
        </is>
      </c>
      <c r="H752" t="inlineStr">
        <is>
          <t>North Vancouver Tennis Centre</t>
        </is>
      </c>
      <c r="I752" t="inlineStr">
        <is>
          <t>unavailable</t>
        </is>
      </c>
      <c r="J752" s="4" t="n">
        <v>43</v>
      </c>
      <c r="K752" t="inlineStr">
        <is>
          <t>16 / 27</t>
        </is>
      </c>
      <c r="L752" t="inlineStr">
        <is>
          <t>8 / 20</t>
        </is>
      </c>
      <c r="M752" s="5" t="n">
        <v>0.37</v>
      </c>
      <c r="N752" s="5" t="n">
        <v>0.29</v>
      </c>
    </row>
    <row r="753">
      <c r="A753" t="n">
        <v>752</v>
      </c>
      <c r="B753" t="n">
        <v>2015</v>
      </c>
      <c r="C753" t="inlineStr">
        <is>
          <t>Léa Anténor</t>
        </is>
      </c>
      <c r="D753">
        <f>HYPERLINK("https://ota.tournamentsoftware.com/player-profile/C5888674-E1AF-487D-88CD-4864B4B9365E", "Link")</f>
        <v/>
      </c>
      <c r="E753" s="3" t="n">
        <v>16.489</v>
      </c>
      <c r="F753" s="4" t="n">
        <v>3</v>
      </c>
      <c r="G753" t="inlineStr">
        <is>
          <t>Tennis Québec</t>
        </is>
      </c>
      <c r="H753" t="inlineStr">
        <is>
          <t>No Club</t>
        </is>
      </c>
      <c r="I753" t="inlineStr">
        <is>
          <t>unavailable</t>
        </is>
      </c>
      <c r="J753" s="4" t="n">
        <v>5</v>
      </c>
      <c r="K753" t="inlineStr">
        <is>
          <t>1 / 4</t>
        </is>
      </c>
      <c r="L753" t="inlineStr">
        <is>
          <t>1 / 4</t>
        </is>
      </c>
      <c r="M753" s="5" t="n">
        <v>0.2</v>
      </c>
      <c r="N753" s="5" t="n">
        <v>0.2</v>
      </c>
    </row>
    <row r="754">
      <c r="A754" t="n">
        <v>753</v>
      </c>
      <c r="B754" t="n">
        <v>2014</v>
      </c>
      <c r="C754" t="inlineStr">
        <is>
          <t>Livia Hu</t>
        </is>
      </c>
      <c r="D754">
        <f>HYPERLINK("https://ota.tournamentsoftware.com/player-profile/F0626954-59DE-45D2-AE30-FCA903A00699", "Link")</f>
        <v/>
      </c>
      <c r="E754" s="3" t="n">
        <v>16.459</v>
      </c>
      <c r="F754" s="4" t="n">
        <v>2</v>
      </c>
      <c r="G754" t="inlineStr">
        <is>
          <t>Tennis Saskatchewan</t>
        </is>
      </c>
      <c r="H754" t="inlineStr">
        <is>
          <t>No Club</t>
        </is>
      </c>
      <c r="I754" t="n">
        <v>29.5</v>
      </c>
      <c r="J754" s="4" t="n">
        <v>41</v>
      </c>
      <c r="K754" t="inlineStr">
        <is>
          <t>25 / 16</t>
        </is>
      </c>
      <c r="L754" t="inlineStr">
        <is>
          <t>7 / 4</t>
        </is>
      </c>
      <c r="M754" s="5" t="n">
        <v>0.61</v>
      </c>
      <c r="N754" s="5" t="n">
        <v>0.64</v>
      </c>
    </row>
    <row r="755">
      <c r="A755" t="n">
        <v>754</v>
      </c>
      <c r="B755" t="n">
        <v>2015</v>
      </c>
      <c r="C755" t="inlineStr">
        <is>
          <t>Margaux Eile</t>
        </is>
      </c>
      <c r="D755">
        <f>HYPERLINK("https://ota.tournamentsoftware.com/player-profile/9023DCCB-FDAB-4759-A4C9-E99C2FD3C6AD", "Link")</f>
        <v/>
      </c>
      <c r="E755" s="3" t="n">
        <v>16.313</v>
      </c>
      <c r="F755" s="4" t="n">
        <v>6</v>
      </c>
      <c r="G755" t="inlineStr">
        <is>
          <t>Tennis Québec</t>
        </is>
      </c>
      <c r="H755" t="inlineStr">
        <is>
          <t>Midtown Le Sporting Club Sanctuaire</t>
        </is>
      </c>
      <c r="I755" t="inlineStr">
        <is>
          <t>unavailable</t>
        </is>
      </c>
      <c r="J755" s="4" t="n">
        <v>26</v>
      </c>
      <c r="K755" t="inlineStr">
        <is>
          <t>2 / 24</t>
        </is>
      </c>
      <c r="L755" t="inlineStr">
        <is>
          <t>0 / 7</t>
        </is>
      </c>
      <c r="M755" s="5" t="n">
        <v>0.08</v>
      </c>
      <c r="N755" s="5" t="n">
        <v>0</v>
      </c>
    </row>
    <row r="756">
      <c r="A756" t="n">
        <v>755</v>
      </c>
      <c r="B756" t="n">
        <v>2012</v>
      </c>
      <c r="C756" t="inlineStr">
        <is>
          <t>Allison Wu</t>
        </is>
      </c>
      <c r="D756">
        <f>HYPERLINK("https://ota.tournamentsoftware.com/player-profile/5B6A5CCB-4E85-427C-99E0-E2078ED2493C", "Link")</f>
        <v/>
      </c>
      <c r="E756" s="3" t="n">
        <v>15.968</v>
      </c>
      <c r="F756" s="4" t="n">
        <v>3</v>
      </c>
      <c r="G756" t="inlineStr">
        <is>
          <t>British Columbia</t>
        </is>
      </c>
      <c r="H756" t="inlineStr">
        <is>
          <t>Coquitlam Tennis Club</t>
        </is>
      </c>
      <c r="I756" t="n">
        <v>39.4</v>
      </c>
      <c r="J756" s="4" t="n">
        <v>54</v>
      </c>
      <c r="K756" t="inlineStr">
        <is>
          <t>9 / 45</t>
        </is>
      </c>
      <c r="L756" t="inlineStr">
        <is>
          <t>0 / 4</t>
        </is>
      </c>
      <c r="M756" s="5" t="n">
        <v>0.17</v>
      </c>
      <c r="N756" s="5" t="n">
        <v>0</v>
      </c>
    </row>
    <row r="757">
      <c r="A757" t="n">
        <v>756</v>
      </c>
      <c r="B757" t="n">
        <v>2014</v>
      </c>
      <c r="C757" t="inlineStr">
        <is>
          <t>Anabelle Duchesne</t>
        </is>
      </c>
      <c r="D757">
        <f>HYPERLINK("https://ota.tournamentsoftware.com/player-profile/3D9B7A28-72A0-4133-925D-142C95DC7FA9", "Link")</f>
        <v/>
      </c>
      <c r="E757" s="3" t="n">
        <v>15.937</v>
      </c>
      <c r="F757" s="4" t="n">
        <v>2</v>
      </c>
      <c r="G757" t="inlineStr">
        <is>
          <t>Tennis Québec</t>
        </is>
      </c>
      <c r="H757" t="inlineStr">
        <is>
          <t>Les Tennis de Rimouski (intérieur)</t>
        </is>
      </c>
      <c r="I757" t="n">
        <v>40</v>
      </c>
      <c r="J757" s="4" t="n">
        <v>6</v>
      </c>
      <c r="K757" t="inlineStr">
        <is>
          <t>0 / 6</t>
        </is>
      </c>
      <c r="L757" t="inlineStr">
        <is>
          <t>0 / 6</t>
        </is>
      </c>
      <c r="M757" s="5" t="n">
        <v>0</v>
      </c>
      <c r="N757" s="5" t="n">
        <v>0</v>
      </c>
    </row>
    <row r="758">
      <c r="A758" t="n">
        <v>757</v>
      </c>
      <c r="B758" t="n">
        <v>2012</v>
      </c>
      <c r="C758" t="inlineStr">
        <is>
          <t>Juanita Valeria Ruiz</t>
        </is>
      </c>
      <c r="D758">
        <f>HYPERLINK("https://ota.tournamentsoftware.com/player-profile/60CB93B1-F620-4737-8F49-B06F794F4103", "Link")</f>
        <v/>
      </c>
      <c r="E758" s="3" t="n">
        <v>15.552</v>
      </c>
      <c r="F758" s="4" t="n">
        <v>1</v>
      </c>
      <c r="G758" t="inlineStr">
        <is>
          <t>Ontario Tennis Association</t>
        </is>
      </c>
      <c r="H758" t="inlineStr">
        <is>
          <t>No Club</t>
        </is>
      </c>
      <c r="I758" t="inlineStr">
        <is>
          <t>unavailable</t>
        </is>
      </c>
      <c r="J758" s="4" t="n">
        <v>69</v>
      </c>
      <c r="K758" t="inlineStr">
        <is>
          <t>26 / 43</t>
        </is>
      </c>
      <c r="L758" t="inlineStr">
        <is>
          <t>0 / 0</t>
        </is>
      </c>
      <c r="M758" s="5" t="n">
        <v>0.38</v>
      </c>
      <c r="N758" s="5" t="n">
        <v>0</v>
      </c>
    </row>
    <row r="759">
      <c r="A759" t="n">
        <v>758</v>
      </c>
      <c r="B759" t="n">
        <v>2014</v>
      </c>
      <c r="C759" t="inlineStr">
        <is>
          <t>Precious J. Mutiku</t>
        </is>
      </c>
      <c r="D759">
        <f>HYPERLINK("https://ota.tournamentsoftware.com/player-profile/60A61325-C72A-4622-B3AF-5291E7A5657A", "Link")</f>
        <v/>
      </c>
      <c r="E759" s="3" t="n">
        <v>15.059</v>
      </c>
      <c r="F759" s="4" t="n">
        <v>1</v>
      </c>
      <c r="G759" t="inlineStr">
        <is>
          <t>Tennis Manitoba</t>
        </is>
      </c>
      <c r="H759" t="inlineStr">
        <is>
          <t>Taylor Tennis</t>
        </is>
      </c>
      <c r="I759" t="n">
        <v>37</v>
      </c>
      <c r="J759" s="4" t="n">
        <v>3</v>
      </c>
      <c r="K759" t="inlineStr">
        <is>
          <t>1 / 2</t>
        </is>
      </c>
      <c r="L759" t="inlineStr">
        <is>
          <t>0 / 1</t>
        </is>
      </c>
      <c r="M759" s="5" t="n">
        <v>0.33</v>
      </c>
      <c r="N759" s="5" t="n">
        <v>0</v>
      </c>
    </row>
    <row r="760">
      <c r="A760" t="n">
        <v>759</v>
      </c>
      <c r="B760" t="n">
        <v>2013</v>
      </c>
      <c r="C760" t="inlineStr">
        <is>
          <t>Kensington Gavin</t>
        </is>
      </c>
      <c r="D760">
        <f>HYPERLINK("https://ota.tournamentsoftware.com/player-profile/A4C08F5F-BDB2-4714-9F20-18E924F0B20C", "Link")</f>
        <v/>
      </c>
      <c r="E760" s="3" t="n">
        <v>15</v>
      </c>
      <c r="F760" s="4" t="n">
        <v>1</v>
      </c>
      <c r="G760" t="inlineStr">
        <is>
          <t>British Columbia</t>
        </is>
      </c>
      <c r="H760" t="inlineStr">
        <is>
          <t>No Club</t>
        </is>
      </c>
      <c r="I760" t="n">
        <v>33.1</v>
      </c>
      <c r="J760" s="4" t="n">
        <v>121</v>
      </c>
      <c r="K760" t="inlineStr">
        <is>
          <t>70 / 51</t>
        </is>
      </c>
      <c r="L760" t="inlineStr">
        <is>
          <t>0 / 0</t>
        </is>
      </c>
      <c r="M760" s="5" t="n">
        <v>0.58</v>
      </c>
      <c r="N760" s="5" t="n">
        <v>0</v>
      </c>
    </row>
    <row r="761">
      <c r="A761" t="n">
        <v>760</v>
      </c>
      <c r="B761" t="n">
        <v>2016</v>
      </c>
      <c r="C761" t="inlineStr">
        <is>
          <t>Keira El-Kettaneh</t>
        </is>
      </c>
      <c r="D761">
        <f>HYPERLINK("https://ota.tournamentsoftware.com/player-profile/A820994B-A350-4155-A437-EF3139C3E02A", "Link")</f>
        <v/>
      </c>
      <c r="E761" s="3" t="n">
        <v>14.877</v>
      </c>
      <c r="F761" s="4" t="n">
        <v>5</v>
      </c>
      <c r="G761" t="inlineStr">
        <is>
          <t>Ontario Tennis Association</t>
        </is>
      </c>
      <c r="H761" t="inlineStr">
        <is>
          <t>Toronto Tennis City</t>
        </is>
      </c>
      <c r="I761" t="n">
        <v>38.1</v>
      </c>
      <c r="J761" s="4" t="n">
        <v>79</v>
      </c>
      <c r="K761" t="inlineStr">
        <is>
          <t>33 / 46</t>
        </is>
      </c>
      <c r="L761" t="inlineStr">
        <is>
          <t>15 / 23</t>
        </is>
      </c>
      <c r="M761" s="5" t="n">
        <v>0.42</v>
      </c>
      <c r="N761" s="5" t="n">
        <v>0.39</v>
      </c>
    </row>
    <row r="762">
      <c r="A762" t="n">
        <v>761</v>
      </c>
      <c r="B762" t="n">
        <v>2012</v>
      </c>
      <c r="C762" t="inlineStr">
        <is>
          <t>Saaya Isabella Thompson</t>
        </is>
      </c>
      <c r="D762">
        <f>HYPERLINK("https://ota.tournamentsoftware.com/player-profile/E9B78A0F-EA3C-42B6-B795-AA591E989391", "Link")</f>
        <v/>
      </c>
      <c r="E762" s="3" t="n">
        <v>14.686</v>
      </c>
      <c r="F762" s="4" t="n">
        <v>2</v>
      </c>
      <c r="G762" t="inlineStr">
        <is>
          <t>British Columbia</t>
        </is>
      </c>
      <c r="H762" t="inlineStr">
        <is>
          <t>UBC Tennis Centre</t>
        </is>
      </c>
      <c r="I762" t="n">
        <v>38.8</v>
      </c>
      <c r="J762" s="4" t="n">
        <v>7</v>
      </c>
      <c r="K762" t="inlineStr">
        <is>
          <t>1 / 6</t>
        </is>
      </c>
      <c r="L762" t="inlineStr">
        <is>
          <t>0 / 3</t>
        </is>
      </c>
      <c r="M762" s="5" t="n">
        <v>0.14</v>
      </c>
      <c r="N762" s="5" t="n">
        <v>0</v>
      </c>
    </row>
    <row r="763">
      <c r="A763" t="n">
        <v>762</v>
      </c>
      <c r="B763" t="n">
        <v>2015</v>
      </c>
      <c r="C763" t="inlineStr">
        <is>
          <t>ALYSSA MA</t>
        </is>
      </c>
      <c r="D763">
        <f>HYPERLINK("https://ota.tournamentsoftware.com/player-profile/7C80CDC4-31A2-4667-A2A3-AE7AD2699300", "Link")</f>
        <v/>
      </c>
      <c r="E763" s="3" t="n">
        <v>14.658</v>
      </c>
      <c r="F763" s="4" t="n">
        <v>3</v>
      </c>
      <c r="G763" t="inlineStr">
        <is>
          <t>Ontario Tennis Association</t>
        </is>
      </c>
      <c r="H763" t="inlineStr">
        <is>
          <t>Blackmore Tennis Club</t>
        </is>
      </c>
      <c r="I763" t="n">
        <v>37.4</v>
      </c>
      <c r="J763" s="4" t="n">
        <v>15</v>
      </c>
      <c r="K763" t="inlineStr">
        <is>
          <t>7 / 8</t>
        </is>
      </c>
      <c r="L763" t="inlineStr">
        <is>
          <t>1 / 5</t>
        </is>
      </c>
      <c r="M763" s="5" t="n">
        <v>0.47</v>
      </c>
      <c r="N763" s="5" t="n">
        <v>0.17</v>
      </c>
    </row>
    <row r="764">
      <c r="A764" t="n">
        <v>763</v>
      </c>
      <c r="B764" t="n">
        <v>2012</v>
      </c>
      <c r="C764" t="inlineStr">
        <is>
          <t>Navia Kaylynn Barlow</t>
        </is>
      </c>
      <c r="D764">
        <f>HYPERLINK("https://ota.tournamentsoftware.com/player-profile/44A25362-E73B-4E09-954B-7A375954482B", "Link")</f>
        <v/>
      </c>
      <c r="E764" s="3" t="n">
        <v>14.647</v>
      </c>
      <c r="F764" s="4" t="n">
        <v>3</v>
      </c>
      <c r="G764" t="inlineStr">
        <is>
          <t>Tennis Alberta</t>
        </is>
      </c>
      <c r="H764" t="inlineStr">
        <is>
          <t>Derrick Golf &amp; Winter Club</t>
        </is>
      </c>
      <c r="I764" t="inlineStr">
        <is>
          <t>unavailable</t>
        </is>
      </c>
      <c r="J764" s="4" t="n">
        <v>6</v>
      </c>
      <c r="K764" t="inlineStr">
        <is>
          <t>2 / 4</t>
        </is>
      </c>
      <c r="L764" t="inlineStr">
        <is>
          <t>2 / 4</t>
        </is>
      </c>
      <c r="M764" s="5" t="n">
        <v>0.33</v>
      </c>
      <c r="N764" s="5" t="n">
        <v>0.33</v>
      </c>
    </row>
    <row r="765">
      <c r="A765" t="n">
        <v>764</v>
      </c>
      <c r="B765" t="n">
        <v>2015</v>
      </c>
      <c r="C765" t="inlineStr">
        <is>
          <t>Mira Akhoundova</t>
        </is>
      </c>
      <c r="D765">
        <f>HYPERLINK("https://ota.tournamentsoftware.com/player-profile/DFAA2C12-ED04-42F9-9711-F91A6745B43A", "Link")</f>
        <v/>
      </c>
      <c r="E765" s="3" t="n">
        <v>14.585</v>
      </c>
      <c r="F765" s="4" t="n">
        <v>3</v>
      </c>
      <c r="G765" t="inlineStr">
        <is>
          <t>Ontario Tennis Association</t>
        </is>
      </c>
      <c r="H765" t="inlineStr">
        <is>
          <t>Marilyn Redvers Tennis Club</t>
        </is>
      </c>
      <c r="I765" t="n">
        <v>40</v>
      </c>
      <c r="J765" s="4" t="n">
        <v>28</v>
      </c>
      <c r="K765" t="inlineStr">
        <is>
          <t>14 / 14</t>
        </is>
      </c>
      <c r="L765" t="inlineStr">
        <is>
          <t>5 / 9</t>
        </is>
      </c>
      <c r="M765" s="5" t="n">
        <v>0.5</v>
      </c>
      <c r="N765" s="5" t="n">
        <v>0.36</v>
      </c>
    </row>
    <row r="766">
      <c r="A766" t="n">
        <v>765</v>
      </c>
      <c r="B766" t="n">
        <v>2017</v>
      </c>
      <c r="C766" t="inlineStr">
        <is>
          <t>Erika ko</t>
        </is>
      </c>
      <c r="D766">
        <f>HYPERLINK("https://ota.tournamentsoftware.com/player-profile/63E3DB95-CFC7-47F5-8461-E32C50FD6342", "Link")</f>
        <v/>
      </c>
      <c r="E766" s="3" t="n">
        <v>14.4</v>
      </c>
      <c r="F766" s="4" t="n">
        <v>6</v>
      </c>
      <c r="G766" t="inlineStr">
        <is>
          <t>British Columbia</t>
        </is>
      </c>
      <c r="H766" t="inlineStr">
        <is>
          <t>Richmond Country Club</t>
        </is>
      </c>
      <c r="I766" t="n">
        <v>37.9</v>
      </c>
      <c r="J766" s="4" t="n">
        <v>135</v>
      </c>
      <c r="K766" t="inlineStr">
        <is>
          <t>61 / 74</t>
        </is>
      </c>
      <c r="L766" t="inlineStr">
        <is>
          <t>4 / 8</t>
        </is>
      </c>
      <c r="M766" s="5" t="n">
        <v>0.45</v>
      </c>
      <c r="N766" s="5" t="n">
        <v>0.33</v>
      </c>
    </row>
    <row r="767">
      <c r="A767" t="n">
        <v>766</v>
      </c>
      <c r="B767" t="n">
        <v>2015</v>
      </c>
      <c r="C767" t="inlineStr">
        <is>
          <t>Nadia Mnyusiwalla</t>
        </is>
      </c>
      <c r="D767">
        <f>HYPERLINK("https://ota.tournamentsoftware.com/player-profile/0DB52458-FB00-472A-BE89-03A77FEBF08E", "Link")</f>
        <v/>
      </c>
      <c r="E767" s="3" t="n">
        <v>14.381</v>
      </c>
      <c r="F767" s="4" t="n">
        <v>3</v>
      </c>
      <c r="G767" t="inlineStr">
        <is>
          <t>Ontario Tennis Association</t>
        </is>
      </c>
      <c r="H767" t="inlineStr">
        <is>
          <t>Waterloo Tennis Club</t>
        </is>
      </c>
      <c r="I767" t="inlineStr">
        <is>
          <t>unavailable</t>
        </is>
      </c>
      <c r="J767" s="4" t="n">
        <v>54</v>
      </c>
      <c r="K767" t="inlineStr">
        <is>
          <t>15 / 39</t>
        </is>
      </c>
      <c r="L767" t="inlineStr">
        <is>
          <t>2 / 14</t>
        </is>
      </c>
      <c r="M767" s="5" t="n">
        <v>0.28</v>
      </c>
      <c r="N767" s="5" t="n">
        <v>0.12</v>
      </c>
    </row>
    <row r="768">
      <c r="A768" t="n">
        <v>767</v>
      </c>
      <c r="B768" t="n">
        <v>2014</v>
      </c>
      <c r="C768" t="inlineStr">
        <is>
          <t>Yuxin Bella Cao</t>
        </is>
      </c>
      <c r="D768">
        <f>HYPERLINK("https://ota.tournamentsoftware.com/player-profile/ECABBEB5-67C3-48F1-8CC6-A7628D8721E8", "Link")</f>
        <v/>
      </c>
      <c r="E768" s="3" t="n">
        <v>14.337</v>
      </c>
      <c r="F768" s="4" t="n">
        <v>3</v>
      </c>
      <c r="G768" t="inlineStr">
        <is>
          <t>Ontario Tennis Association</t>
        </is>
      </c>
      <c r="H768" t="inlineStr">
        <is>
          <t>ACE Tennis - Burlington</t>
        </is>
      </c>
      <c r="I768" t="n">
        <v>38.1</v>
      </c>
      <c r="J768" s="4" t="n">
        <v>40</v>
      </c>
      <c r="K768" t="inlineStr">
        <is>
          <t>12 / 28</t>
        </is>
      </c>
      <c r="L768" t="inlineStr">
        <is>
          <t>2 / 2</t>
        </is>
      </c>
      <c r="M768" s="5" t="n">
        <v>0.3</v>
      </c>
      <c r="N768" s="5" t="n">
        <v>0.5</v>
      </c>
    </row>
    <row r="769">
      <c r="A769" t="n">
        <v>768</v>
      </c>
      <c r="B769" t="n">
        <v>2014</v>
      </c>
      <c r="C769" t="inlineStr">
        <is>
          <t>Elise Hiu-Wing Lin</t>
        </is>
      </c>
      <c r="D769">
        <f>HYPERLINK("https://ota.tournamentsoftware.com/player-profile/6079C290-F004-492F-BD70-120B06A08264", "Link")</f>
        <v/>
      </c>
      <c r="E769" s="3" t="n">
        <v>14.283</v>
      </c>
      <c r="F769" s="4" t="n">
        <v>4</v>
      </c>
      <c r="G769" t="inlineStr">
        <is>
          <t>British Columbia</t>
        </is>
      </c>
      <c r="H769" t="inlineStr">
        <is>
          <t>No Club</t>
        </is>
      </c>
      <c r="I769" t="n">
        <v>36.3</v>
      </c>
      <c r="J769" s="4" t="n">
        <v>47</v>
      </c>
      <c r="K769" t="inlineStr">
        <is>
          <t>17 / 30</t>
        </is>
      </c>
      <c r="L769" t="inlineStr">
        <is>
          <t>4 / 5</t>
        </is>
      </c>
      <c r="M769" s="5" t="n">
        <v>0.36</v>
      </c>
      <c r="N769" s="5" t="n">
        <v>0.44</v>
      </c>
    </row>
    <row r="770">
      <c r="A770" t="n">
        <v>769</v>
      </c>
      <c r="B770" t="n">
        <v>2012</v>
      </c>
      <c r="C770" t="inlineStr">
        <is>
          <t>Nora Skogen</t>
        </is>
      </c>
      <c r="D770">
        <f>HYPERLINK("https://ota.tournamentsoftware.com/player-profile/84E488EE-ABCE-4936-AC77-DCF33DA7BE52", "Link")</f>
        <v/>
      </c>
      <c r="E770" s="3" t="n">
        <v>14.256</v>
      </c>
      <c r="F770" s="4" t="n">
        <v>1</v>
      </c>
      <c r="G770" t="inlineStr">
        <is>
          <t>British Columbia</t>
        </is>
      </c>
      <c r="H770" t="inlineStr">
        <is>
          <t>Hollyburn Country Club</t>
        </is>
      </c>
      <c r="I770" t="n">
        <v>32.3</v>
      </c>
      <c r="J770" s="4" t="n">
        <v>164</v>
      </c>
      <c r="K770" t="inlineStr">
        <is>
          <t>79 / 85</t>
        </is>
      </c>
      <c r="L770" t="inlineStr">
        <is>
          <t>1 / 1</t>
        </is>
      </c>
      <c r="M770" s="5" t="n">
        <v>0.48</v>
      </c>
      <c r="N770" s="5" t="n">
        <v>0.5</v>
      </c>
    </row>
    <row r="771">
      <c r="A771" t="n">
        <v>770</v>
      </c>
      <c r="B771" t="n">
        <v>2012</v>
      </c>
      <c r="C771" t="inlineStr">
        <is>
          <t>Renee Burton</t>
        </is>
      </c>
      <c r="D771">
        <f>HYPERLINK("https://ota.tournamentsoftware.com/player-profile/88D51E75-4EAF-4390-8A85-9E01D5A7B97C", "Link")</f>
        <v/>
      </c>
      <c r="E771" s="3" t="n">
        <v>14.11</v>
      </c>
      <c r="F771" s="4" t="n">
        <v>1</v>
      </c>
      <c r="G771" t="inlineStr">
        <is>
          <t>Ontario Tennis Association</t>
        </is>
      </c>
      <c r="H771" t="inlineStr">
        <is>
          <t>ACE Tennis - Burlington</t>
        </is>
      </c>
      <c r="I771" t="n">
        <v>35.9</v>
      </c>
      <c r="J771" s="4" t="n">
        <v>13</v>
      </c>
      <c r="K771" t="inlineStr">
        <is>
          <t>9 / 4</t>
        </is>
      </c>
      <c r="L771" t="inlineStr">
        <is>
          <t>9 / 4</t>
        </is>
      </c>
      <c r="M771" s="5" t="n">
        <v>0.6899999999999999</v>
      </c>
      <c r="N771" s="5" t="n">
        <v>0.6899999999999999</v>
      </c>
    </row>
    <row r="772">
      <c r="A772" t="n">
        <v>771</v>
      </c>
      <c r="B772" t="n">
        <v>2016</v>
      </c>
      <c r="C772" t="inlineStr">
        <is>
          <t>Samantha Bronwyn Daniell</t>
        </is>
      </c>
      <c r="D772">
        <f>HYPERLINK("https://ota.tournamentsoftware.com/player-profile/7D796AB4-F8DD-43AD-8451-41C0A3E3949A", "Link")</f>
        <v/>
      </c>
      <c r="E772" s="3" t="n">
        <v>13.771</v>
      </c>
      <c r="F772" s="4" t="n">
        <v>9</v>
      </c>
      <c r="G772" t="inlineStr">
        <is>
          <t>British Columbia</t>
        </is>
      </c>
      <c r="H772" t="inlineStr">
        <is>
          <t>The Tennis Centre</t>
        </is>
      </c>
      <c r="I772" t="n">
        <v>37.6</v>
      </c>
      <c r="J772" s="4" t="n">
        <v>126</v>
      </c>
      <c r="K772" t="inlineStr">
        <is>
          <t>63 / 63</t>
        </is>
      </c>
      <c r="L772" t="inlineStr">
        <is>
          <t>31 / 25</t>
        </is>
      </c>
      <c r="M772" s="5" t="n">
        <v>0.5</v>
      </c>
      <c r="N772" s="5" t="n">
        <v>0.55</v>
      </c>
    </row>
    <row r="773">
      <c r="A773" t="n">
        <v>772</v>
      </c>
      <c r="B773" t="n">
        <v>2012</v>
      </c>
      <c r="C773" t="inlineStr">
        <is>
          <t>Julia Michelle Cipriano</t>
        </is>
      </c>
      <c r="D773">
        <f>HYPERLINK("https://ota.tournamentsoftware.com/player-profile/EC29FADF-ECEA-4CC3-AE9B-2987D1E47266", "Link")</f>
        <v/>
      </c>
      <c r="E773" s="3" t="n">
        <v>13.725</v>
      </c>
      <c r="F773" s="4" t="n">
        <v>2</v>
      </c>
      <c r="G773" t="inlineStr">
        <is>
          <t>British Columbia</t>
        </is>
      </c>
      <c r="H773" t="inlineStr">
        <is>
          <t>West Vancouver Tennis Club</t>
        </is>
      </c>
      <c r="I773" t="n">
        <v>37</v>
      </c>
      <c r="J773" s="4" t="n">
        <v>18</v>
      </c>
      <c r="K773" t="inlineStr">
        <is>
          <t>8 / 10</t>
        </is>
      </c>
      <c r="L773" t="inlineStr">
        <is>
          <t>6 / 6</t>
        </is>
      </c>
      <c r="M773" s="5" t="n">
        <v>0.44</v>
      </c>
      <c r="N773" s="5" t="n">
        <v>0.5</v>
      </c>
    </row>
    <row r="774">
      <c r="A774" t="n">
        <v>773</v>
      </c>
      <c r="B774" t="n">
        <v>2016</v>
      </c>
      <c r="C774" t="inlineStr">
        <is>
          <t>Joud Marmash</t>
        </is>
      </c>
      <c r="D774">
        <f>HYPERLINK("https://ota.tournamentsoftware.com/player-profile/7F8FB01C-3EB1-48B9-B051-119BB01F4118", "Link")</f>
        <v/>
      </c>
      <c r="E774" s="3" t="n">
        <v>13.68</v>
      </c>
      <c r="F774" s="4" t="n">
        <v>6</v>
      </c>
      <c r="G774" t="inlineStr">
        <is>
          <t>Ontario Tennis Association</t>
        </is>
      </c>
      <c r="H774" t="inlineStr">
        <is>
          <t>Zekelman Tennis Centre</t>
        </is>
      </c>
      <c r="I774" t="n">
        <v>38.1</v>
      </c>
      <c r="J774" s="4" t="n">
        <v>18</v>
      </c>
      <c r="K774" t="inlineStr">
        <is>
          <t>5 / 13</t>
        </is>
      </c>
      <c r="L774" t="inlineStr">
        <is>
          <t>5 / 13</t>
        </is>
      </c>
      <c r="M774" s="5" t="n">
        <v>0.28</v>
      </c>
      <c r="N774" s="5" t="n">
        <v>0.28</v>
      </c>
    </row>
    <row r="775">
      <c r="A775" t="n">
        <v>774</v>
      </c>
      <c r="B775" t="n">
        <v>2014</v>
      </c>
      <c r="C775" t="inlineStr">
        <is>
          <t>Mia Mengchen Sun</t>
        </is>
      </c>
      <c r="D775">
        <f>HYPERLINK("https://ota.tournamentsoftware.com/player-profile/BFD3D157-D2B6-45BF-BE92-CACB69CCC59C", "Link")</f>
        <v/>
      </c>
      <c r="E775" s="3" t="n">
        <v>13.578</v>
      </c>
      <c r="F775" s="4" t="n">
        <v>4</v>
      </c>
      <c r="G775" t="inlineStr">
        <is>
          <t>Ontario Tennis Association</t>
        </is>
      </c>
      <c r="H775" t="inlineStr">
        <is>
          <t>Markham Tennis Club</t>
        </is>
      </c>
      <c r="I775" t="n">
        <v>37.9</v>
      </c>
      <c r="J775" s="4" t="n">
        <v>51</v>
      </c>
      <c r="K775" t="inlineStr">
        <is>
          <t>32 / 19</t>
        </is>
      </c>
      <c r="L775" t="inlineStr">
        <is>
          <t>0 / 0</t>
        </is>
      </c>
      <c r="M775" s="5" t="n">
        <v>0.63</v>
      </c>
      <c r="N775" s="5" t="n">
        <v>0</v>
      </c>
    </row>
    <row r="776">
      <c r="A776" t="n">
        <v>775</v>
      </c>
      <c r="B776" t="n">
        <v>2013</v>
      </c>
      <c r="C776" t="inlineStr">
        <is>
          <t>Hailey Johnson</t>
        </is>
      </c>
      <c r="D776">
        <f>HYPERLINK("https://ota.tournamentsoftware.com/player-profile/D4247C6C-DBD8-41D1-867E-D35290341BA8", "Link")</f>
        <v/>
      </c>
      <c r="E776" s="3" t="n">
        <v>13.23</v>
      </c>
      <c r="F776" s="4" t="n">
        <v>2</v>
      </c>
      <c r="G776" t="inlineStr">
        <is>
          <t>British Columbia</t>
        </is>
      </c>
      <c r="H776" t="inlineStr">
        <is>
          <t>Tennis for Life</t>
        </is>
      </c>
      <c r="I776" t="inlineStr">
        <is>
          <t>unavailable</t>
        </is>
      </c>
      <c r="J776" s="4" t="n">
        <v>49</v>
      </c>
      <c r="K776" t="inlineStr">
        <is>
          <t>28 / 21</t>
        </is>
      </c>
      <c r="L776" t="inlineStr">
        <is>
          <t>1 / 1</t>
        </is>
      </c>
      <c r="M776" s="5" t="n">
        <v>0.57</v>
      </c>
      <c r="N776" s="5" t="n">
        <v>0.5</v>
      </c>
    </row>
    <row r="777">
      <c r="A777" t="n">
        <v>776</v>
      </c>
      <c r="B777" t="n">
        <v>2013</v>
      </c>
      <c r="C777" t="inlineStr">
        <is>
          <t>caitlin wong</t>
        </is>
      </c>
      <c r="D777">
        <f>HYPERLINK("https://ota.tournamentsoftware.com/player-profile/A6697051-116D-4981-AA23-11E1BF963FD3", "Link")</f>
        <v/>
      </c>
      <c r="E777" s="3" t="n">
        <v>13</v>
      </c>
      <c r="F777" s="4" t="n">
        <v>1</v>
      </c>
      <c r="G777" t="inlineStr">
        <is>
          <t>Ontario Tennis Association</t>
        </is>
      </c>
      <c r="H777" t="inlineStr">
        <is>
          <t>Blackmore Tennis Club</t>
        </is>
      </c>
      <c r="I777" t="n">
        <v>37.2</v>
      </c>
      <c r="J777" s="4" t="n">
        <v>56</v>
      </c>
      <c r="K777" t="inlineStr">
        <is>
          <t>29 / 27</t>
        </is>
      </c>
      <c r="L777" t="inlineStr">
        <is>
          <t>0 / 0</t>
        </is>
      </c>
      <c r="M777" s="5" t="n">
        <v>0.52</v>
      </c>
      <c r="N777" s="5" t="n">
        <v>0</v>
      </c>
    </row>
    <row r="778">
      <c r="A778" t="n">
        <v>777</v>
      </c>
      <c r="B778" t="n">
        <v>2016</v>
      </c>
      <c r="C778" t="inlineStr">
        <is>
          <t>Scarlett Prsa</t>
        </is>
      </c>
      <c r="D778">
        <f>HYPERLINK("https://ota.tournamentsoftware.com/player-profile/CDBDFDF5-0DDE-4F1C-B33B-F163CF134B52", "Link")</f>
        <v/>
      </c>
      <c r="E778" s="3" t="n">
        <v>12.911</v>
      </c>
      <c r="F778" s="4" t="n">
        <v>6</v>
      </c>
      <c r="G778" t="inlineStr">
        <is>
          <t>Ontario Tennis Association</t>
        </is>
      </c>
      <c r="H778" t="inlineStr">
        <is>
          <t>Advantage Tennis International at Veneto</t>
        </is>
      </c>
      <c r="I778" t="n">
        <v>38.4</v>
      </c>
      <c r="J778" s="4" t="n">
        <v>140</v>
      </c>
      <c r="K778" t="inlineStr">
        <is>
          <t>53 / 87</t>
        </is>
      </c>
      <c r="L778" t="inlineStr">
        <is>
          <t>17 / 21</t>
        </is>
      </c>
      <c r="M778" s="5" t="n">
        <v>0.38</v>
      </c>
      <c r="N778" s="5" t="n">
        <v>0.45</v>
      </c>
    </row>
    <row r="779">
      <c r="A779" t="n">
        <v>778</v>
      </c>
      <c r="B779" t="n">
        <v>2012</v>
      </c>
      <c r="C779" t="inlineStr">
        <is>
          <t>Ai-Ni Amelia Cheng</t>
        </is>
      </c>
      <c r="D779">
        <f>HYPERLINK("https://ota.tournamentsoftware.com/player-profile/040F8D36-CAF3-4E90-85FB-8F17F2F92E8F", "Link")</f>
        <v/>
      </c>
      <c r="E779" s="3" t="n">
        <v>12.906</v>
      </c>
      <c r="F779" s="4" t="n">
        <v>1</v>
      </c>
      <c r="G779" t="inlineStr">
        <is>
          <t>Ontario Tennis Association</t>
        </is>
      </c>
      <c r="H779" t="inlineStr">
        <is>
          <t>ON West Central No Club</t>
        </is>
      </c>
      <c r="I779" t="n">
        <v>38.5</v>
      </c>
      <c r="J779" s="4" t="n">
        <v>7</v>
      </c>
      <c r="K779" t="inlineStr">
        <is>
          <t>4 / 3</t>
        </is>
      </c>
      <c r="L779" t="inlineStr">
        <is>
          <t>0 / 2</t>
        </is>
      </c>
      <c r="M779" s="5" t="n">
        <v>0.57</v>
      </c>
      <c r="N779" s="5" t="n">
        <v>0</v>
      </c>
    </row>
    <row r="780">
      <c r="A780" t="n">
        <v>779</v>
      </c>
      <c r="B780" t="n">
        <v>2016</v>
      </c>
      <c r="C780" t="inlineStr">
        <is>
          <t>Delia Stoian</t>
        </is>
      </c>
      <c r="D780">
        <f>HYPERLINK("https://ota.tournamentsoftware.com/player-profile/97BF71BC-EF3B-40A8-B2A8-4211E6570024", "Link")</f>
        <v/>
      </c>
      <c r="E780" s="3" t="n">
        <v>12.871</v>
      </c>
      <c r="F780" s="4" t="n">
        <v>2</v>
      </c>
      <c r="G780" t="inlineStr">
        <is>
          <t>Tennis Québec</t>
        </is>
      </c>
      <c r="H780" t="inlineStr">
        <is>
          <t>SANI Sport</t>
        </is>
      </c>
      <c r="I780" t="n">
        <v>37.1</v>
      </c>
      <c r="J780" s="4" t="n">
        <v>84</v>
      </c>
      <c r="K780" t="inlineStr">
        <is>
          <t>48 / 36</t>
        </is>
      </c>
      <c r="L780" t="inlineStr">
        <is>
          <t>20 / 15</t>
        </is>
      </c>
      <c r="M780" s="5" t="n">
        <v>0.57</v>
      </c>
      <c r="N780" s="5" t="n">
        <v>0.57</v>
      </c>
    </row>
    <row r="781">
      <c r="A781" t="n">
        <v>780</v>
      </c>
      <c r="B781" t="n">
        <v>2013</v>
      </c>
      <c r="C781" t="inlineStr">
        <is>
          <t>Addison Gilbertson</t>
        </is>
      </c>
      <c r="D781">
        <f>HYPERLINK("https://ota.tournamentsoftware.com/player-profile/C50AF072-EF16-4516-9D5D-42DF1D345F44", "Link")</f>
        <v/>
      </c>
      <c r="E781" s="3" t="n">
        <v>12.687</v>
      </c>
      <c r="F781" s="4" t="n">
        <v>5</v>
      </c>
      <c r="G781" t="inlineStr">
        <is>
          <t>Tennis Alberta</t>
        </is>
      </c>
      <c r="H781" t="inlineStr">
        <is>
          <t>Royal Glenora Club</t>
        </is>
      </c>
      <c r="I781" t="n">
        <v>38.1</v>
      </c>
      <c r="J781" s="4" t="n">
        <v>48</v>
      </c>
      <c r="K781" t="inlineStr">
        <is>
          <t>18 / 30</t>
        </is>
      </c>
      <c r="L781" t="inlineStr">
        <is>
          <t>1 / 4</t>
        </is>
      </c>
      <c r="M781" s="5" t="n">
        <v>0.38</v>
      </c>
      <c r="N781" s="5" t="n">
        <v>0.2</v>
      </c>
    </row>
    <row r="782">
      <c r="A782" t="n">
        <v>781</v>
      </c>
      <c r="B782" t="n">
        <v>2015</v>
      </c>
      <c r="C782" t="inlineStr">
        <is>
          <t>Mirra Tverskaia</t>
        </is>
      </c>
      <c r="D782">
        <f>HYPERLINK("https://ota.tournamentsoftware.com/player-profile/A09D283B-5C23-4F54-A304-0C0125F7637B", "Link")</f>
        <v/>
      </c>
      <c r="E782" s="3" t="n">
        <v>12.632</v>
      </c>
      <c r="F782" s="4" t="n">
        <v>3</v>
      </c>
      <c r="G782" t="inlineStr">
        <is>
          <t>Tennis Prince Edward Island</t>
        </is>
      </c>
      <c r="H782" t="inlineStr">
        <is>
          <t>Royalty Racquet Centre</t>
        </is>
      </c>
      <c r="I782" t="inlineStr">
        <is>
          <t>unavailable</t>
        </is>
      </c>
      <c r="J782" s="4" t="n">
        <v>40</v>
      </c>
      <c r="K782" t="inlineStr">
        <is>
          <t>14 / 26</t>
        </is>
      </c>
      <c r="L782" t="inlineStr">
        <is>
          <t>0 / 2</t>
        </is>
      </c>
      <c r="M782" s="5" t="n">
        <v>0.35</v>
      </c>
      <c r="N782" s="5" t="n">
        <v>0</v>
      </c>
    </row>
    <row r="783">
      <c r="A783" t="n">
        <v>782</v>
      </c>
      <c r="B783" t="n">
        <v>2015</v>
      </c>
      <c r="C783" t="inlineStr">
        <is>
          <t>Amelia Alexei</t>
        </is>
      </c>
      <c r="D783">
        <f>HYPERLINK("https://ota.tournamentsoftware.com/player-profile/7C4A6760-7216-46E2-B5F7-A7F51935EA6B", "Link")</f>
        <v/>
      </c>
      <c r="E783" s="3" t="n">
        <v>12.6</v>
      </c>
      <c r="F783" s="4" t="n">
        <v>1</v>
      </c>
      <c r="G783" t="inlineStr">
        <is>
          <t>Ontario Tennis Association</t>
        </is>
      </c>
      <c r="H783" t="inlineStr">
        <is>
          <t>Toronto Tennis Academy</t>
        </is>
      </c>
      <c r="I783" t="n">
        <v>37.4</v>
      </c>
      <c r="J783" s="4" t="n">
        <v>95</v>
      </c>
      <c r="K783" t="inlineStr">
        <is>
          <t>63 / 32</t>
        </is>
      </c>
      <c r="L783" t="inlineStr">
        <is>
          <t>0 / 0</t>
        </is>
      </c>
      <c r="M783" s="5" t="n">
        <v>0.66</v>
      </c>
      <c r="N783" s="5" t="n">
        <v>0</v>
      </c>
    </row>
    <row r="784">
      <c r="A784" t="n">
        <v>783</v>
      </c>
      <c r="B784" t="n">
        <v>2015</v>
      </c>
      <c r="C784" t="inlineStr">
        <is>
          <t>Charlotte Huiyan Li</t>
        </is>
      </c>
      <c r="D784">
        <f>HYPERLINK("https://ota.tournamentsoftware.com/player-profile/150EC5E4-980E-4649-9619-E10B11D9BA5E", "Link")</f>
        <v/>
      </c>
      <c r="E784" s="3" t="n">
        <v>12.528</v>
      </c>
      <c r="F784" s="4" t="n">
        <v>3</v>
      </c>
      <c r="G784" t="inlineStr">
        <is>
          <t>British Columbia</t>
        </is>
      </c>
      <c r="H784" t="inlineStr">
        <is>
          <t>Tennis for Life</t>
        </is>
      </c>
      <c r="I784" t="n">
        <v>36.2</v>
      </c>
      <c r="J784" s="4" t="n">
        <v>39</v>
      </c>
      <c r="K784" t="inlineStr">
        <is>
          <t>15 / 24</t>
        </is>
      </c>
      <c r="L784" t="inlineStr">
        <is>
          <t>2 / 2</t>
        </is>
      </c>
      <c r="M784" s="5" t="n">
        <v>0.38</v>
      </c>
      <c r="N784" s="5" t="n">
        <v>0.5</v>
      </c>
    </row>
    <row r="785">
      <c r="A785" t="n">
        <v>784</v>
      </c>
      <c r="B785" t="n">
        <v>2013</v>
      </c>
      <c r="C785" t="inlineStr">
        <is>
          <t>Kashvi Chaudhary</t>
        </is>
      </c>
      <c r="D785">
        <f>HYPERLINK("https://ota.tournamentsoftware.com/player-profile/0597AAB7-43E9-42CF-B00B-4928F8A2A1CD", "Link")</f>
        <v/>
      </c>
      <c r="E785" s="3" t="n">
        <v>12.479</v>
      </c>
      <c r="F785" s="4" t="n">
        <v>2</v>
      </c>
      <c r="G785" t="inlineStr">
        <is>
          <t>Ontario Tennis Association</t>
        </is>
      </c>
      <c r="H785" t="inlineStr">
        <is>
          <t>Brampton Tennis Club</t>
        </is>
      </c>
      <c r="I785" t="n">
        <v>39.9</v>
      </c>
      <c r="J785" s="4" t="n">
        <v>14</v>
      </c>
      <c r="K785" t="inlineStr">
        <is>
          <t>2 / 12</t>
        </is>
      </c>
      <c r="L785" t="inlineStr">
        <is>
          <t>0 / 0</t>
        </is>
      </c>
      <c r="M785" s="5" t="n">
        <v>0.14</v>
      </c>
      <c r="N785" s="5" t="n">
        <v>0</v>
      </c>
    </row>
    <row r="786">
      <c r="A786" t="n">
        <v>785</v>
      </c>
      <c r="B786" t="n">
        <v>2013</v>
      </c>
      <c r="C786" t="inlineStr">
        <is>
          <t>Felicia Mingfei Li</t>
        </is>
      </c>
      <c r="D786">
        <f>HYPERLINK("https://ota.tournamentsoftware.com/player-profile/32F60D7D-3E57-4800-9C5C-282147021863", "Link")</f>
        <v/>
      </c>
      <c r="E786" s="3" t="n">
        <v>12.378</v>
      </c>
      <c r="F786" s="4" t="n">
        <v>2</v>
      </c>
      <c r="G786" t="inlineStr">
        <is>
          <t>Ontario Tennis Association</t>
        </is>
      </c>
      <c r="H786" t="inlineStr">
        <is>
          <t>Marilyn Redvers Tennis Club</t>
        </is>
      </c>
      <c r="I786" t="n">
        <v>39.7</v>
      </c>
      <c r="J786" s="4" t="n">
        <v>31</v>
      </c>
      <c r="K786" t="inlineStr">
        <is>
          <t>9 / 22</t>
        </is>
      </c>
      <c r="L786" t="inlineStr">
        <is>
          <t>0 / 2</t>
        </is>
      </c>
      <c r="M786" s="5" t="n">
        <v>0.29</v>
      </c>
      <c r="N786" s="5" t="n">
        <v>0</v>
      </c>
    </row>
    <row r="787">
      <c r="A787" t="n">
        <v>786</v>
      </c>
      <c r="B787" t="n">
        <v>2012</v>
      </c>
      <c r="C787" t="inlineStr">
        <is>
          <t>Anzhuo Yi</t>
        </is>
      </c>
      <c r="D787">
        <f>HYPERLINK("https://ota.tournamentsoftware.com/player-profile/60444867-D5FF-4226-8841-4058D520099B", "Link")</f>
        <v/>
      </c>
      <c r="E787" s="3" t="n">
        <v>12.336</v>
      </c>
      <c r="F787" s="4" t="n">
        <v>1</v>
      </c>
      <c r="G787" t="inlineStr">
        <is>
          <t>Ontario Tennis Association</t>
        </is>
      </c>
      <c r="H787" t="inlineStr">
        <is>
          <t>Premier Racquet Clubs – Mississauga</t>
        </is>
      </c>
      <c r="I787" t="n">
        <v>37.7</v>
      </c>
      <c r="J787" s="4" t="n">
        <v>8</v>
      </c>
      <c r="K787" t="inlineStr">
        <is>
          <t>2 / 6</t>
        </is>
      </c>
      <c r="L787" t="inlineStr">
        <is>
          <t>2 / 6</t>
        </is>
      </c>
      <c r="M787" s="5" t="n">
        <v>0.25</v>
      </c>
      <c r="N787" s="5" t="n">
        <v>0.25</v>
      </c>
    </row>
    <row r="788">
      <c r="A788" t="n">
        <v>786</v>
      </c>
      <c r="B788" t="n">
        <v>2012</v>
      </c>
      <c r="C788" t="inlineStr">
        <is>
          <t>Erika Vanessa Petko</t>
        </is>
      </c>
      <c r="D788">
        <f>HYPERLINK("https://ota.tournamentsoftware.com/player-profile/F03891C3-70EF-4EDD-962E-3C87823000BE", "Link")</f>
        <v/>
      </c>
      <c r="E788" s="3" t="n">
        <v>12.336</v>
      </c>
      <c r="F788" s="4" t="n">
        <v>1</v>
      </c>
      <c r="G788" t="inlineStr">
        <is>
          <t>Ontario Tennis Association</t>
        </is>
      </c>
      <c r="H788" t="inlineStr">
        <is>
          <t>Applewood Tennis Club</t>
        </is>
      </c>
      <c r="I788" t="n">
        <v>37.1</v>
      </c>
      <c r="J788" s="4" t="n">
        <v>11</v>
      </c>
      <c r="K788" t="inlineStr">
        <is>
          <t>3 / 8</t>
        </is>
      </c>
      <c r="L788" t="inlineStr">
        <is>
          <t>0 / 3</t>
        </is>
      </c>
      <c r="M788" s="5" t="n">
        <v>0.27</v>
      </c>
      <c r="N788" s="5" t="n">
        <v>0</v>
      </c>
    </row>
    <row r="789">
      <c r="A789" t="n">
        <v>788</v>
      </c>
      <c r="B789" t="n">
        <v>2016</v>
      </c>
      <c r="C789" t="inlineStr">
        <is>
          <t>Eiman Javaid Khan</t>
        </is>
      </c>
      <c r="D789">
        <f>HYPERLINK("https://ota.tournamentsoftware.com/player-profile/417EBA88-24AB-42AB-9421-1764C4FCA777", "Link")</f>
        <v/>
      </c>
      <c r="E789" s="3" t="n">
        <v>12</v>
      </c>
      <c r="F789" s="4" t="n">
        <v>2</v>
      </c>
      <c r="G789" t="inlineStr">
        <is>
          <t>Tennis Newfoundland &amp; Labrador</t>
        </is>
      </c>
      <c r="H789" t="inlineStr">
        <is>
          <t>Greenbelt Tennis Club</t>
        </is>
      </c>
      <c r="I789" t="inlineStr">
        <is>
          <t>unavailable</t>
        </is>
      </c>
      <c r="J789" s="4" t="n">
        <v>16</v>
      </c>
      <c r="K789" t="inlineStr">
        <is>
          <t>5 / 11</t>
        </is>
      </c>
      <c r="L789" t="inlineStr">
        <is>
          <t>4 / 7</t>
        </is>
      </c>
      <c r="M789" s="5" t="n">
        <v>0.31</v>
      </c>
      <c r="N789" s="5" t="n">
        <v>0.36</v>
      </c>
    </row>
    <row r="790">
      <c r="A790" t="n">
        <v>789</v>
      </c>
      <c r="B790" t="n">
        <v>2014</v>
      </c>
      <c r="C790" t="inlineStr">
        <is>
          <t>Kayla Caden</t>
        </is>
      </c>
      <c r="D790">
        <f>HYPERLINK("https://ota.tournamentsoftware.com/player-profile/EB31E71A-90E6-4B10-9538-33BC7B66EA6E", "Link")</f>
        <v/>
      </c>
      <c r="E790" s="3" t="n">
        <v>11.809</v>
      </c>
      <c r="F790" s="4" t="n">
        <v>3</v>
      </c>
      <c r="G790" t="inlineStr">
        <is>
          <t>Tennis Québec</t>
        </is>
      </c>
      <c r="H790" t="inlineStr">
        <is>
          <t>Club de tennis St-Lambert</t>
        </is>
      </c>
      <c r="I790" t="n">
        <v>38.1</v>
      </c>
      <c r="J790" s="4" t="n">
        <v>11</v>
      </c>
      <c r="K790" t="inlineStr">
        <is>
          <t>4 / 7</t>
        </is>
      </c>
      <c r="L790" t="inlineStr">
        <is>
          <t>2 / 3</t>
        </is>
      </c>
      <c r="M790" s="5" t="n">
        <v>0.36</v>
      </c>
      <c r="N790" s="5" t="n">
        <v>0.4</v>
      </c>
    </row>
    <row r="791">
      <c r="A791" t="n">
        <v>790</v>
      </c>
      <c r="B791" t="n">
        <v>2012</v>
      </c>
      <c r="C791" t="inlineStr">
        <is>
          <t>Angel Wen</t>
        </is>
      </c>
      <c r="D791">
        <f>HYPERLINK("https://ota.tournamentsoftware.com/player-profile/2BF37F0F-B2BA-4533-859D-5AFB82154AAC", "Link")</f>
        <v/>
      </c>
      <c r="E791" s="3" t="n">
        <v>11.664</v>
      </c>
      <c r="F791" s="4" t="n">
        <v>1</v>
      </c>
      <c r="G791" t="inlineStr">
        <is>
          <t>Tennis Nova Scotia</t>
        </is>
      </c>
      <c r="H791" t="inlineStr">
        <is>
          <t>Atlantic Tennis Centre</t>
        </is>
      </c>
      <c r="I791" t="n">
        <v>36.9</v>
      </c>
      <c r="J791" s="4" t="n">
        <v>4</v>
      </c>
      <c r="K791" t="inlineStr">
        <is>
          <t>0 / 4</t>
        </is>
      </c>
      <c r="L791" t="inlineStr">
        <is>
          <t>0 / 2</t>
        </is>
      </c>
      <c r="M791" s="5" t="n">
        <v>0</v>
      </c>
      <c r="N791" s="5" t="n">
        <v>0</v>
      </c>
    </row>
    <row r="792">
      <c r="A792" t="n">
        <v>791</v>
      </c>
      <c r="B792" t="n">
        <v>2013</v>
      </c>
      <c r="C792" t="inlineStr">
        <is>
          <t>Giselle Christine Lambert</t>
        </is>
      </c>
      <c r="D792">
        <f>HYPERLINK("https://ota.tournamentsoftware.com/player-profile/2E2CA1C3-86CC-418F-BF1B-9B9E4D99F292", "Link")</f>
        <v/>
      </c>
      <c r="E792" s="3" t="n">
        <v>11.48</v>
      </c>
      <c r="F792" s="4" t="n">
        <v>2</v>
      </c>
      <c r="G792" t="inlineStr">
        <is>
          <t>British Columbia</t>
        </is>
      </c>
      <c r="H792" t="inlineStr">
        <is>
          <t>Hollyburn Country Club</t>
        </is>
      </c>
      <c r="I792" t="n">
        <v>36.9</v>
      </c>
      <c r="J792" s="4" t="n">
        <v>44</v>
      </c>
      <c r="K792" t="inlineStr">
        <is>
          <t>10 / 34</t>
        </is>
      </c>
      <c r="L792" t="inlineStr">
        <is>
          <t>0 / 0</t>
        </is>
      </c>
      <c r="M792" s="5" t="n">
        <v>0.23</v>
      </c>
      <c r="N792" s="5" t="n">
        <v>0</v>
      </c>
    </row>
    <row r="793">
      <c r="A793" t="n">
        <v>792</v>
      </c>
      <c r="B793" t="n">
        <v>2016</v>
      </c>
      <c r="C793" t="inlineStr">
        <is>
          <t>Harper Whitehead</t>
        </is>
      </c>
      <c r="D793">
        <f>HYPERLINK("https://ota.tournamentsoftware.com/player-profile/11F4D113-D7D4-48BC-9EC5-3040B116C96D", "Link")</f>
        <v/>
      </c>
      <c r="E793" s="3" t="n">
        <v>11.448</v>
      </c>
      <c r="F793" s="4" t="n">
        <v>9</v>
      </c>
      <c r="G793" t="inlineStr">
        <is>
          <t>Tennis Nova Scotia</t>
        </is>
      </c>
      <c r="H793" t="inlineStr">
        <is>
          <t>Atlantic Tennis Centre</t>
        </is>
      </c>
      <c r="I793" t="n">
        <v>38.2</v>
      </c>
      <c r="J793" s="4" t="n">
        <v>83</v>
      </c>
      <c r="K793" t="inlineStr">
        <is>
          <t>36 / 47</t>
        </is>
      </c>
      <c r="L793" t="inlineStr">
        <is>
          <t>11 / 17</t>
        </is>
      </c>
      <c r="M793" s="5" t="n">
        <v>0.43</v>
      </c>
      <c r="N793" s="5" t="n">
        <v>0.39</v>
      </c>
    </row>
    <row r="794">
      <c r="A794" t="n">
        <v>793</v>
      </c>
      <c r="B794" t="n">
        <v>2015</v>
      </c>
      <c r="C794" t="inlineStr">
        <is>
          <t>Cléony Le</t>
        </is>
      </c>
      <c r="D794">
        <f>HYPERLINK("https://ota.tournamentsoftware.com/player-profile/D1C4971B-CB54-436E-9303-C69424DC84AC", "Link")</f>
        <v/>
      </c>
      <c r="E794" s="3" t="n">
        <v>11.429</v>
      </c>
      <c r="F794" s="4" t="n">
        <v>1</v>
      </c>
      <c r="G794" t="inlineStr">
        <is>
          <t>Tennis Québec</t>
        </is>
      </c>
      <c r="H794" t="inlineStr">
        <is>
          <t>Centre récréatif de Repentigny / Académie Tennis Momentum</t>
        </is>
      </c>
      <c r="I794" t="n">
        <v>37</v>
      </c>
      <c r="J794" s="4" t="n">
        <v>32</v>
      </c>
      <c r="K794" t="inlineStr">
        <is>
          <t>15 / 17</t>
        </is>
      </c>
      <c r="L794" t="inlineStr">
        <is>
          <t>0 / 1</t>
        </is>
      </c>
      <c r="M794" s="5" t="n">
        <v>0.47</v>
      </c>
      <c r="N794" s="5" t="n">
        <v>0</v>
      </c>
    </row>
    <row r="795">
      <c r="A795" t="n">
        <v>794</v>
      </c>
      <c r="B795" t="n">
        <v>2012</v>
      </c>
      <c r="C795" t="inlineStr">
        <is>
          <t>Charley Burgess</t>
        </is>
      </c>
      <c r="D795">
        <f>HYPERLINK("https://ota.tournamentsoftware.com/player-profile/F7818ED5-A370-4D5D-9CAE-03309F03D5FD", "Link")</f>
        <v/>
      </c>
      <c r="E795" s="3" t="n">
        <v>11.301</v>
      </c>
      <c r="F795" s="4" t="n">
        <v>3</v>
      </c>
      <c r="G795" t="inlineStr">
        <is>
          <t>Tennis Alberta</t>
        </is>
      </c>
      <c r="H795" t="inlineStr">
        <is>
          <t>The Glencoe Club</t>
        </is>
      </c>
      <c r="I795" t="inlineStr">
        <is>
          <t>unavailable</t>
        </is>
      </c>
      <c r="J795" s="4" t="n">
        <v>52</v>
      </c>
      <c r="K795" t="inlineStr">
        <is>
          <t>23 / 29</t>
        </is>
      </c>
      <c r="L795" t="inlineStr">
        <is>
          <t>0 / 0</t>
        </is>
      </c>
      <c r="M795" s="5" t="n">
        <v>0.44</v>
      </c>
      <c r="N795" s="5" t="n">
        <v>0</v>
      </c>
    </row>
    <row r="796">
      <c r="A796" t="n">
        <v>795</v>
      </c>
      <c r="B796" t="n">
        <v>2016</v>
      </c>
      <c r="C796" t="inlineStr">
        <is>
          <t>Emma Hao</t>
        </is>
      </c>
      <c r="D796">
        <f>HYPERLINK("https://ota.tournamentsoftware.com/player-profile/144D222A-CD06-4355-817D-B27D5DB62B85", "Link")</f>
        <v/>
      </c>
      <c r="E796" s="3" t="n">
        <v>11.141</v>
      </c>
      <c r="F796" s="4" t="n">
        <v>5</v>
      </c>
      <c r="G796" t="inlineStr">
        <is>
          <t>Ontario Tennis Association</t>
        </is>
      </c>
      <c r="H796" t="inlineStr">
        <is>
          <t>Toronto Tennis City</t>
        </is>
      </c>
      <c r="I796" t="n">
        <v>38.1</v>
      </c>
      <c r="J796" s="4" t="n">
        <v>72</v>
      </c>
      <c r="K796" t="inlineStr">
        <is>
          <t>38 / 34</t>
        </is>
      </c>
      <c r="L796" t="inlineStr">
        <is>
          <t>18 / 10</t>
        </is>
      </c>
      <c r="M796" s="5" t="n">
        <v>0.53</v>
      </c>
      <c r="N796" s="5" t="n">
        <v>0.64</v>
      </c>
    </row>
    <row r="797">
      <c r="A797" t="n">
        <v>796</v>
      </c>
      <c r="B797" t="n">
        <v>2015</v>
      </c>
      <c r="C797" t="inlineStr">
        <is>
          <t>Marissa Grisedale</t>
        </is>
      </c>
      <c r="D797">
        <f>HYPERLINK("https://ota.tournamentsoftware.com/player-profile/FACB5C24-4DB7-463B-A373-69C70E1AC8E4", "Link")</f>
        <v/>
      </c>
      <c r="E797" s="3" t="n">
        <v>11.043</v>
      </c>
      <c r="F797" s="4" t="n">
        <v>3</v>
      </c>
      <c r="G797" t="inlineStr">
        <is>
          <t>British Columbia</t>
        </is>
      </c>
      <c r="H797" t="inlineStr">
        <is>
          <t>Commons Racquet Club at Predator Ridge</t>
        </is>
      </c>
      <c r="I797" t="inlineStr">
        <is>
          <t>unavailable</t>
        </is>
      </c>
      <c r="J797" s="4" t="inlineStr"/>
      <c r="K797" t="inlineStr">
        <is>
          <t>unavailable</t>
        </is>
      </c>
      <c r="L797" t="inlineStr">
        <is>
          <t>unavailable</t>
        </is>
      </c>
      <c r="M797" s="5" t="inlineStr"/>
      <c r="N797" s="5" t="inlineStr"/>
    </row>
    <row r="798">
      <c r="A798" t="n">
        <v>797</v>
      </c>
      <c r="B798" t="n">
        <v>2012</v>
      </c>
      <c r="C798" t="inlineStr">
        <is>
          <t>Maya Chow</t>
        </is>
      </c>
      <c r="D798">
        <f>HYPERLINK("https://ota.tournamentsoftware.com/player-profile/FE33DD51-BEAF-4E17-BDBB-2558B4A2AFE6", "Link")</f>
        <v/>
      </c>
      <c r="E798" s="3" t="n">
        <v>11.011</v>
      </c>
      <c r="F798" s="4" t="n">
        <v>1</v>
      </c>
      <c r="G798" t="inlineStr">
        <is>
          <t>Ontario Tennis Association</t>
        </is>
      </c>
      <c r="H798" t="inlineStr">
        <is>
          <t>ACE Tennis - Toronto Tennis City</t>
        </is>
      </c>
      <c r="I798" t="n">
        <v>34.6</v>
      </c>
      <c r="J798" s="4" t="n">
        <v>16</v>
      </c>
      <c r="K798" t="inlineStr">
        <is>
          <t>10 / 6</t>
        </is>
      </c>
      <c r="L798" t="inlineStr">
        <is>
          <t>10 / 6</t>
        </is>
      </c>
      <c r="M798" s="5" t="n">
        <v>0.62</v>
      </c>
      <c r="N798" s="5" t="n">
        <v>0.62</v>
      </c>
    </row>
    <row r="799">
      <c r="A799" t="n">
        <v>798</v>
      </c>
      <c r="B799" t="n">
        <v>2015</v>
      </c>
      <c r="C799" t="inlineStr">
        <is>
          <t>Fabiola Antonella Sanchez Ferreyra</t>
        </is>
      </c>
      <c r="D799">
        <f>HYPERLINK("https://ota.tournamentsoftware.com/player-profile/B37A6388-D965-4303-A37E-1111875A98DF", "Link")</f>
        <v/>
      </c>
      <c r="E799" s="3" t="n">
        <v>10.873</v>
      </c>
      <c r="F799" s="4" t="n">
        <v>1</v>
      </c>
      <c r="G799" t="inlineStr">
        <is>
          <t>Tennis Québec</t>
        </is>
      </c>
      <c r="H799" t="inlineStr">
        <is>
          <t>SANI Sport</t>
        </is>
      </c>
      <c r="I799" t="n">
        <v>39.4</v>
      </c>
      <c r="J799" s="4" t="n">
        <v>12</v>
      </c>
      <c r="K799" t="inlineStr">
        <is>
          <t>7 / 5</t>
        </is>
      </c>
      <c r="L799" t="inlineStr">
        <is>
          <t>0 / 1</t>
        </is>
      </c>
      <c r="M799" s="5" t="n">
        <v>0.58</v>
      </c>
      <c r="N799" s="5" t="n">
        <v>0</v>
      </c>
    </row>
    <row r="800">
      <c r="A800" t="n">
        <v>799</v>
      </c>
      <c r="B800" t="n">
        <v>2016</v>
      </c>
      <c r="C800" t="inlineStr">
        <is>
          <t>Archini Bera</t>
        </is>
      </c>
      <c r="D800">
        <f>HYPERLINK("https://ota.tournamentsoftware.com/player-profile/6FA68B83-6E0E-4A78-81A0-6004576A8E6E", "Link")</f>
        <v/>
      </c>
      <c r="E800" s="3" t="n">
        <v>10.8</v>
      </c>
      <c r="F800" s="4" t="n">
        <v>3</v>
      </c>
      <c r="G800" t="inlineStr">
        <is>
          <t>Ontario Tennis Association</t>
        </is>
      </c>
      <c r="H800" t="inlineStr">
        <is>
          <t>Rideau Sports Centre</t>
        </is>
      </c>
      <c r="I800" t="inlineStr">
        <is>
          <t>unavailable</t>
        </is>
      </c>
      <c r="J800" s="4" t="n">
        <v>50</v>
      </c>
      <c r="K800" t="inlineStr">
        <is>
          <t>30 / 20</t>
        </is>
      </c>
      <c r="L800" t="inlineStr">
        <is>
          <t>27 / 11</t>
        </is>
      </c>
      <c r="M800" s="5" t="n">
        <v>0.6</v>
      </c>
      <c r="N800" s="5" t="n">
        <v>0.71</v>
      </c>
    </row>
    <row r="801">
      <c r="A801" t="n">
        <v>799</v>
      </c>
      <c r="B801" t="n">
        <v>2016</v>
      </c>
      <c r="C801" t="inlineStr">
        <is>
          <t>Christina Chen</t>
        </is>
      </c>
      <c r="D801">
        <f>HYPERLINK("https://ota.tournamentsoftware.com/player-profile/77F19A45-EF05-4CCE-896B-44A6BEF594C7", "Link")</f>
        <v/>
      </c>
      <c r="E801" s="3" t="n">
        <v>10.8</v>
      </c>
      <c r="F801" s="4" t="n">
        <v>3</v>
      </c>
      <c r="G801" t="inlineStr">
        <is>
          <t>Ontario Tennis Association</t>
        </is>
      </c>
      <c r="H801" t="inlineStr">
        <is>
          <t>No Club</t>
        </is>
      </c>
      <c r="I801" t="n">
        <v>39.9</v>
      </c>
      <c r="J801" s="4" t="n">
        <v>74</v>
      </c>
      <c r="K801" t="inlineStr">
        <is>
          <t>7 / 67</t>
        </is>
      </c>
      <c r="L801" t="inlineStr">
        <is>
          <t>3 / 14</t>
        </is>
      </c>
      <c r="M801" s="5" t="n">
        <v>0.09</v>
      </c>
      <c r="N801" s="5" t="n">
        <v>0.18</v>
      </c>
    </row>
    <row r="802">
      <c r="A802" t="n">
        <v>799</v>
      </c>
      <c r="B802" t="n">
        <v>2012</v>
      </c>
      <c r="C802" t="inlineStr">
        <is>
          <t>Jiayi Emma Wang</t>
        </is>
      </c>
      <c r="D802">
        <f>HYPERLINK("https://ota.tournamentsoftware.com/player-profile/C6ED9D5C-83AD-4AC9-9DCE-1D21A2304573", "Link")</f>
        <v/>
      </c>
      <c r="E802" s="3" t="n">
        <v>10.8</v>
      </c>
      <c r="F802" s="4" t="n">
        <v>1</v>
      </c>
      <c r="G802" t="inlineStr">
        <is>
          <t>British Columbia</t>
        </is>
      </c>
      <c r="H802" t="inlineStr">
        <is>
          <t>No Club</t>
        </is>
      </c>
      <c r="I802" t="inlineStr">
        <is>
          <t>unavailable</t>
        </is>
      </c>
      <c r="J802" s="4" t="n">
        <v>12</v>
      </c>
      <c r="K802" t="inlineStr">
        <is>
          <t>2 / 10</t>
        </is>
      </c>
      <c r="L802" t="inlineStr">
        <is>
          <t>1 / 1</t>
        </is>
      </c>
      <c r="M802" s="5" t="n">
        <v>0.17</v>
      </c>
      <c r="N802" s="5" t="n">
        <v>0.5</v>
      </c>
    </row>
    <row r="803">
      <c r="A803" t="n">
        <v>802</v>
      </c>
      <c r="B803" t="n">
        <v>2012</v>
      </c>
      <c r="C803" t="inlineStr">
        <is>
          <t>Sofia Kalchenko</t>
        </is>
      </c>
      <c r="D803">
        <f>HYPERLINK("https://ota.tournamentsoftware.com/player-profile/95371403-EC89-475C-B20A-60F935026FFA", "Link")</f>
        <v/>
      </c>
      <c r="E803" s="3" t="n">
        <v>10.627</v>
      </c>
      <c r="F803" s="4" t="n">
        <v>4</v>
      </c>
      <c r="G803" t="inlineStr">
        <is>
          <t>Tennis Alberta</t>
        </is>
      </c>
      <c r="H803" t="inlineStr">
        <is>
          <t>Aforza</t>
        </is>
      </c>
      <c r="I803" t="inlineStr">
        <is>
          <t>unavailable</t>
        </is>
      </c>
      <c r="J803" s="4" t="n">
        <v>41</v>
      </c>
      <c r="K803" t="inlineStr">
        <is>
          <t>20 / 21</t>
        </is>
      </c>
      <c r="L803" t="inlineStr">
        <is>
          <t>3 / 1</t>
        </is>
      </c>
      <c r="M803" s="5" t="n">
        <v>0.49</v>
      </c>
      <c r="N803" s="5" t="n">
        <v>0.75</v>
      </c>
    </row>
    <row r="804">
      <c r="A804" t="n">
        <v>803</v>
      </c>
      <c r="B804" t="n">
        <v>2016</v>
      </c>
      <c r="C804" t="inlineStr">
        <is>
          <t>Elena Vukovic</t>
        </is>
      </c>
      <c r="D804">
        <f>HYPERLINK("https://ota.tournamentsoftware.com/player-profile/80B75DE2-D271-4234-BD86-FA7911D1C524", "Link")</f>
        <v/>
      </c>
      <c r="E804" s="3" t="n">
        <v>10.557</v>
      </c>
      <c r="F804" s="4" t="n">
        <v>2</v>
      </c>
      <c r="G804" t="inlineStr">
        <is>
          <t>Ontario Tennis Association</t>
        </is>
      </c>
      <c r="H804" t="inlineStr">
        <is>
          <t>Mayfair West Fitness &amp; Racquet Club</t>
        </is>
      </c>
      <c r="I804" t="n">
        <v>38.9</v>
      </c>
      <c r="J804" s="4" t="n">
        <v>61</v>
      </c>
      <c r="K804" t="inlineStr">
        <is>
          <t>21 / 40</t>
        </is>
      </c>
      <c r="L804" t="inlineStr">
        <is>
          <t>13 / 22</t>
        </is>
      </c>
      <c r="M804" s="5" t="n">
        <v>0.34</v>
      </c>
      <c r="N804" s="5" t="n">
        <v>0.37</v>
      </c>
    </row>
    <row r="805">
      <c r="A805" t="n">
        <v>804</v>
      </c>
      <c r="B805" t="n">
        <v>2014</v>
      </c>
      <c r="C805" t="inlineStr">
        <is>
          <t>Madelyn Palsat</t>
        </is>
      </c>
      <c r="D805">
        <f>HYPERLINK("https://ota.tournamentsoftware.com/player-profile/B7A28D92-CC5D-460E-A752-75C63DAB2E9F", "Link")</f>
        <v/>
      </c>
      <c r="E805" s="3" t="n">
        <v>10.44</v>
      </c>
      <c r="F805" s="4" t="n">
        <v>7</v>
      </c>
      <c r="G805" t="inlineStr">
        <is>
          <t>Tennis Alberta</t>
        </is>
      </c>
      <c r="H805" t="inlineStr">
        <is>
          <t>Royal Glenora Club</t>
        </is>
      </c>
      <c r="I805" t="n">
        <v>37.1</v>
      </c>
      <c r="J805" s="4" t="n">
        <v>19</v>
      </c>
      <c r="K805" t="inlineStr">
        <is>
          <t>9 / 10</t>
        </is>
      </c>
      <c r="L805" t="inlineStr">
        <is>
          <t>9 / 10</t>
        </is>
      </c>
      <c r="M805" s="5" t="n">
        <v>0.47</v>
      </c>
      <c r="N805" s="5" t="n">
        <v>0.47</v>
      </c>
    </row>
    <row r="806">
      <c r="A806" t="n">
        <v>805</v>
      </c>
      <c r="B806" t="n">
        <v>2016</v>
      </c>
      <c r="C806" t="inlineStr">
        <is>
          <t>Alice Trépanier</t>
        </is>
      </c>
      <c r="D806">
        <f>HYPERLINK("https://ota.tournamentsoftware.com/player-profile/005FD3B5-057F-4BFE-B6D1-1D3CC87FBA27", "Link")</f>
        <v/>
      </c>
      <c r="E806" s="3" t="n">
        <v>10.368</v>
      </c>
      <c r="F806" s="4" t="n">
        <v>1</v>
      </c>
      <c r="G806" t="inlineStr">
        <is>
          <t>Tennis Québec</t>
        </is>
      </c>
      <c r="H806" t="inlineStr">
        <is>
          <t>Centre Récréatif Rock Forest</t>
        </is>
      </c>
      <c r="I806" t="inlineStr">
        <is>
          <t>unavailable</t>
        </is>
      </c>
      <c r="J806" s="4" t="n">
        <v>33</v>
      </c>
      <c r="K806" t="inlineStr">
        <is>
          <t>14 / 19</t>
        </is>
      </c>
      <c r="L806" t="inlineStr">
        <is>
          <t>10 / 11</t>
        </is>
      </c>
      <c r="M806" s="5" t="n">
        <v>0.42</v>
      </c>
      <c r="N806" s="5" t="n">
        <v>0.48</v>
      </c>
    </row>
    <row r="807">
      <c r="A807" t="n">
        <v>805</v>
      </c>
      <c r="B807" t="n">
        <v>2015</v>
      </c>
      <c r="C807" t="inlineStr">
        <is>
          <t>Emmanuelle Farah Kwin Onana</t>
        </is>
      </c>
      <c r="D807">
        <f>HYPERLINK("https://ota.tournamentsoftware.com/player-profile/7931DDBA-D7CA-40E8-97CF-DF1CA8113B24", "Link")</f>
        <v/>
      </c>
      <c r="E807" s="3" t="n">
        <v>10.368</v>
      </c>
      <c r="F807" s="4" t="n">
        <v>1</v>
      </c>
      <c r="G807" t="inlineStr">
        <is>
          <t>Tennis Québec</t>
        </is>
      </c>
      <c r="H807" t="inlineStr">
        <is>
          <t>Club de tennis de Gatineau</t>
        </is>
      </c>
      <c r="I807" t="inlineStr">
        <is>
          <t>unavailable</t>
        </is>
      </c>
      <c r="J807" s="4" t="n">
        <v>13</v>
      </c>
      <c r="K807" t="inlineStr">
        <is>
          <t>6 / 7</t>
        </is>
      </c>
      <c r="L807" t="inlineStr">
        <is>
          <t>0 / 1</t>
        </is>
      </c>
      <c r="M807" s="5" t="n">
        <v>0.46</v>
      </c>
      <c r="N807" s="5" t="n">
        <v>0</v>
      </c>
    </row>
    <row r="808">
      <c r="A808" t="n">
        <v>807</v>
      </c>
      <c r="B808" t="n">
        <v>2014</v>
      </c>
      <c r="C808" t="inlineStr">
        <is>
          <t>Flore Laferrière</t>
        </is>
      </c>
      <c r="D808">
        <f>HYPERLINK("https://ota.tournamentsoftware.com/player-profile/14AB607F-E600-4113-85A8-3FA78DC9A248", "Link")</f>
        <v/>
      </c>
      <c r="E808" s="3" t="n">
        <v>10.149</v>
      </c>
      <c r="F808" s="4" t="n">
        <v>3</v>
      </c>
      <c r="G808" t="inlineStr">
        <is>
          <t>Tennis Québec</t>
        </is>
      </c>
      <c r="H808" t="inlineStr">
        <is>
          <t>Tennis 3R- l’Academie l’échange</t>
        </is>
      </c>
      <c r="I808" t="n">
        <v>39.6</v>
      </c>
      <c r="J808" s="4" t="n">
        <v>8</v>
      </c>
      <c r="K808" t="inlineStr">
        <is>
          <t>1 / 7</t>
        </is>
      </c>
      <c r="L808" t="inlineStr">
        <is>
          <t>0 / 3</t>
        </is>
      </c>
      <c r="M808" s="5" t="n">
        <v>0.12</v>
      </c>
      <c r="N808" s="5" t="n">
        <v>0</v>
      </c>
    </row>
    <row r="809">
      <c r="A809" t="n">
        <v>808</v>
      </c>
      <c r="B809" t="n">
        <v>2015</v>
      </c>
      <c r="C809" t="inlineStr">
        <is>
          <t>Autumn VandeCoevering</t>
        </is>
      </c>
      <c r="D809">
        <f>HYPERLINK("https://ota.tournamentsoftware.com/player-profile/1CD9DDAD-A036-4365-A97E-F88D56D4B94B", "Link")</f>
        <v/>
      </c>
      <c r="E809" s="3" t="n">
        <v>10.146</v>
      </c>
      <c r="F809" s="4" t="n">
        <v>2</v>
      </c>
      <c r="G809" t="inlineStr">
        <is>
          <t>Ontario Tennis Association</t>
        </is>
      </c>
      <c r="H809" t="inlineStr">
        <is>
          <t>Greenhills Golf Club</t>
        </is>
      </c>
      <c r="I809" t="inlineStr">
        <is>
          <t>unavailable</t>
        </is>
      </c>
      <c r="J809" s="4" t="n">
        <v>6</v>
      </c>
      <c r="K809" t="inlineStr">
        <is>
          <t>2 / 4</t>
        </is>
      </c>
      <c r="L809" t="inlineStr">
        <is>
          <t>2 / 4</t>
        </is>
      </c>
      <c r="M809" s="5" t="n">
        <v>0.33</v>
      </c>
      <c r="N809" s="5" t="n">
        <v>0.33</v>
      </c>
    </row>
    <row r="810">
      <c r="A810" t="n">
        <v>809</v>
      </c>
      <c r="B810" t="n">
        <v>2015</v>
      </c>
      <c r="C810" t="inlineStr">
        <is>
          <t>Jaelynn Lumandas</t>
        </is>
      </c>
      <c r="D810">
        <f>HYPERLINK("https://ota.tournamentsoftware.com/player-profile/586CE1E5-E974-4A42-B919-DE1FC94F6144", "Link")</f>
        <v/>
      </c>
      <c r="E810" s="3" t="n">
        <v>10.137</v>
      </c>
      <c r="F810" s="4" t="n">
        <v>3</v>
      </c>
      <c r="G810" t="inlineStr">
        <is>
          <t>Tennis Alberta</t>
        </is>
      </c>
      <c r="H810" t="inlineStr">
        <is>
          <t>Saville Community Sports Centre</t>
        </is>
      </c>
      <c r="I810" t="n">
        <v>40</v>
      </c>
      <c r="J810" s="4" t="n">
        <v>25</v>
      </c>
      <c r="K810" t="inlineStr">
        <is>
          <t>1 / 24</t>
        </is>
      </c>
      <c r="L810" t="inlineStr">
        <is>
          <t>0 / 4</t>
        </is>
      </c>
      <c r="M810" s="5" t="n">
        <v>0.04</v>
      </c>
      <c r="N810" s="5" t="n">
        <v>0</v>
      </c>
    </row>
    <row r="811">
      <c r="A811" t="n">
        <v>810</v>
      </c>
      <c r="B811" t="n">
        <v>2013</v>
      </c>
      <c r="C811" t="inlineStr">
        <is>
          <t>Kate Sumner</t>
        </is>
      </c>
      <c r="D811">
        <f>HYPERLINK("https://ota.tournamentsoftware.com/player-profile/42BF9410-8926-4C81-9B50-F1262CEF0360", "Link")</f>
        <v/>
      </c>
      <c r="E811" s="3" t="n">
        <v>9.978999999999999</v>
      </c>
      <c r="F811" s="4" t="n">
        <v>2</v>
      </c>
      <c r="G811" t="inlineStr">
        <is>
          <t>Ontario Tennis Association</t>
        </is>
      </c>
      <c r="H811" t="inlineStr">
        <is>
          <t>Toronto Cricket Skating &amp; Curling</t>
        </is>
      </c>
      <c r="I811" t="inlineStr">
        <is>
          <t>unavailable</t>
        </is>
      </c>
      <c r="J811" s="4" t="n">
        <v>33</v>
      </c>
      <c r="K811" t="inlineStr">
        <is>
          <t>11 / 22</t>
        </is>
      </c>
      <c r="L811" t="inlineStr">
        <is>
          <t>1 / 1</t>
        </is>
      </c>
      <c r="M811" s="5" t="n">
        <v>0.33</v>
      </c>
      <c r="N811" s="5" t="n">
        <v>0.5</v>
      </c>
    </row>
    <row r="812">
      <c r="A812" t="n">
        <v>811</v>
      </c>
      <c r="B812" t="n">
        <v>2013</v>
      </c>
      <c r="C812" t="inlineStr">
        <is>
          <t>Anastasia Gorceac</t>
        </is>
      </c>
      <c r="D812">
        <f>HYPERLINK("https://ota.tournamentsoftware.com/player-profile/34DB6E68-DC2D-46A3-9FCF-82A58A1EDBE3", "Link")</f>
        <v/>
      </c>
      <c r="E812" s="3" t="n">
        <v>9.612</v>
      </c>
      <c r="F812" s="4" t="n">
        <v>2</v>
      </c>
      <c r="G812" t="inlineStr">
        <is>
          <t>Tennis Québec</t>
        </is>
      </c>
      <c r="H812" t="inlineStr">
        <is>
          <t>No Club</t>
        </is>
      </c>
      <c r="I812" t="n">
        <v>37.9</v>
      </c>
      <c r="J812" s="4" t="n">
        <v>8</v>
      </c>
      <c r="K812" t="inlineStr">
        <is>
          <t>4 / 4</t>
        </is>
      </c>
      <c r="L812" t="inlineStr">
        <is>
          <t>0 / 0</t>
        </is>
      </c>
      <c r="M812" s="5" t="n">
        <v>0.5</v>
      </c>
      <c r="N812" s="5" t="n">
        <v>0</v>
      </c>
    </row>
    <row r="813">
      <c r="A813" t="n">
        <v>812</v>
      </c>
      <c r="B813" t="n">
        <v>2015</v>
      </c>
      <c r="C813" t="inlineStr">
        <is>
          <t>Violet Rose Divell</t>
        </is>
      </c>
      <c r="D813">
        <f>HYPERLINK("https://ota.tournamentsoftware.com/player-profile/264EFCE5-2D5B-4014-A1E4-CF0F958237B9", "Link")</f>
        <v/>
      </c>
      <c r="E813" s="3" t="n">
        <v>9.598000000000001</v>
      </c>
      <c r="F813" s="4" t="n">
        <v>3</v>
      </c>
      <c r="G813" t="inlineStr">
        <is>
          <t>Tennis Québec</t>
        </is>
      </c>
      <c r="H813" t="inlineStr">
        <is>
          <t>Académie de tennis UNI(T)</t>
        </is>
      </c>
      <c r="I813" t="n">
        <v>39.4</v>
      </c>
      <c r="J813" s="4" t="n">
        <v>6</v>
      </c>
      <c r="K813" t="inlineStr">
        <is>
          <t>1 / 5</t>
        </is>
      </c>
      <c r="L813" t="inlineStr">
        <is>
          <t>1 / 5</t>
        </is>
      </c>
      <c r="M813" s="5" t="n">
        <v>0.17</v>
      </c>
      <c r="N813" s="5" t="n">
        <v>0.17</v>
      </c>
    </row>
    <row r="814">
      <c r="A814" t="n">
        <v>813</v>
      </c>
      <c r="B814" t="n">
        <v>2013</v>
      </c>
      <c r="C814" t="inlineStr">
        <is>
          <t>Yujin Cao</t>
        </is>
      </c>
      <c r="D814">
        <f>HYPERLINK("https://ota.tournamentsoftware.com/player-profile/8260D181-2742-4015-AD52-73D66B6FD70A", "Link")</f>
        <v/>
      </c>
      <c r="E814" s="3" t="n">
        <v>9.59</v>
      </c>
      <c r="F814" s="4" t="n">
        <v>2</v>
      </c>
      <c r="G814" t="inlineStr">
        <is>
          <t>Tennis Québec</t>
        </is>
      </c>
      <c r="H814" t="inlineStr">
        <is>
          <t>Tennis 13</t>
        </is>
      </c>
      <c r="I814" t="inlineStr">
        <is>
          <t>unavailable</t>
        </is>
      </c>
      <c r="J814" s="4" t="n">
        <v>5</v>
      </c>
      <c r="K814" t="inlineStr">
        <is>
          <t>2 / 3</t>
        </is>
      </c>
      <c r="L814" t="inlineStr">
        <is>
          <t>0 / 1</t>
        </is>
      </c>
      <c r="M814" s="5" t="n">
        <v>0.4</v>
      </c>
      <c r="N814" s="5" t="n">
        <v>0</v>
      </c>
    </row>
    <row r="815">
      <c r="A815" t="n">
        <v>814</v>
      </c>
      <c r="B815" t="n">
        <v>2012</v>
      </c>
      <c r="C815" t="inlineStr">
        <is>
          <t>Eya Louati</t>
        </is>
      </c>
      <c r="D815">
        <f>HYPERLINK("https://ota.tournamentsoftware.com/player-profile/679317D4-2CCC-4345-A8E0-4E4AB637C148", "Link")</f>
        <v/>
      </c>
      <c r="E815" s="3" t="n">
        <v>9.504</v>
      </c>
      <c r="F815" s="4" t="n">
        <v>1</v>
      </c>
      <c r="G815" t="inlineStr">
        <is>
          <t>Tennis Québec</t>
        </is>
      </c>
      <c r="H815" t="inlineStr">
        <is>
          <t>SANI Sport</t>
        </is>
      </c>
      <c r="I815" t="inlineStr">
        <is>
          <t>unavailable</t>
        </is>
      </c>
      <c r="J815" s="4" t="n">
        <v>90</v>
      </c>
      <c r="K815" t="inlineStr">
        <is>
          <t>28 / 62</t>
        </is>
      </c>
      <c r="L815" t="inlineStr">
        <is>
          <t>1 / 2</t>
        </is>
      </c>
      <c r="M815" s="5" t="n">
        <v>0.31</v>
      </c>
      <c r="N815" s="5" t="n">
        <v>0.33</v>
      </c>
    </row>
    <row r="816">
      <c r="A816" t="n">
        <v>815</v>
      </c>
      <c r="B816" t="n">
        <v>2014</v>
      </c>
      <c r="C816" t="inlineStr">
        <is>
          <t>Yingshan Zoey Chen</t>
        </is>
      </c>
      <c r="D816">
        <f>HYPERLINK("https://ota.tournamentsoftware.com/player-profile/A4F9AF2C-7FB4-474F-BA3A-0E1AB32672E3", "Link")</f>
        <v/>
      </c>
      <c r="E816" s="3" t="n">
        <v>9.414999999999999</v>
      </c>
      <c r="F816" s="4" t="n">
        <v>3</v>
      </c>
      <c r="G816" t="inlineStr">
        <is>
          <t>Ontario Tennis Association</t>
        </is>
      </c>
      <c r="H816" t="inlineStr">
        <is>
          <t>Thornhill Country Club</t>
        </is>
      </c>
      <c r="I816" t="n">
        <v>38.5</v>
      </c>
      <c r="J816" s="4" t="n">
        <v>24</v>
      </c>
      <c r="K816" t="inlineStr">
        <is>
          <t>5 / 19</t>
        </is>
      </c>
      <c r="L816" t="inlineStr">
        <is>
          <t>2 / 4</t>
        </is>
      </c>
      <c r="M816" s="5" t="n">
        <v>0.21</v>
      </c>
      <c r="N816" s="5" t="n">
        <v>0.33</v>
      </c>
    </row>
    <row r="817">
      <c r="A817" t="n">
        <v>816</v>
      </c>
      <c r="B817" t="n">
        <v>2013</v>
      </c>
      <c r="C817" t="inlineStr">
        <is>
          <t>Harper Thompson</t>
        </is>
      </c>
      <c r="D817">
        <f>HYPERLINK("https://ota.tournamentsoftware.com/player-profile/D930EA05-6917-4BB8-9AD8-DE7F29C99324", "Link")</f>
        <v/>
      </c>
      <c r="E817" s="3" t="n">
        <v>8.938000000000001</v>
      </c>
      <c r="F817" s="4" t="n">
        <v>3</v>
      </c>
      <c r="G817" t="inlineStr">
        <is>
          <t>Tennis Alberta</t>
        </is>
      </c>
      <c r="H817" t="inlineStr">
        <is>
          <t>The Glencoe Club</t>
        </is>
      </c>
      <c r="I817" t="inlineStr">
        <is>
          <t>unavailable</t>
        </is>
      </c>
      <c r="J817" s="4" t="n">
        <v>44</v>
      </c>
      <c r="K817" t="inlineStr">
        <is>
          <t>2 / 42</t>
        </is>
      </c>
      <c r="L817" t="inlineStr">
        <is>
          <t>0 / 2</t>
        </is>
      </c>
      <c r="M817" s="5" t="n">
        <v>0.05</v>
      </c>
      <c r="N817" s="5" t="n">
        <v>0</v>
      </c>
    </row>
    <row r="818">
      <c r="A818" t="n">
        <v>817</v>
      </c>
      <c r="B818" t="n">
        <v>2014</v>
      </c>
      <c r="C818" t="inlineStr">
        <is>
          <t>Avery Rose Kon</t>
        </is>
      </c>
      <c r="D818">
        <f>HYPERLINK("https://ota.tournamentsoftware.com/player-profile/3F621439-578C-4BDD-A8A2-880ECC795615", "Link")</f>
        <v/>
      </c>
      <c r="E818" s="3" t="n">
        <v>8.888</v>
      </c>
      <c r="F818" s="4" t="n">
        <v>2</v>
      </c>
      <c r="G818" t="inlineStr">
        <is>
          <t>Ontario Tennis Association</t>
        </is>
      </c>
      <c r="H818" t="inlineStr">
        <is>
          <t>Toronto Lawn Tennis Club</t>
        </is>
      </c>
      <c r="I818" t="n">
        <v>36.6</v>
      </c>
      <c r="J818" s="4" t="n">
        <v>8</v>
      </c>
      <c r="K818" t="inlineStr">
        <is>
          <t>1 / 7</t>
        </is>
      </c>
      <c r="L818" t="inlineStr">
        <is>
          <t>0 / 2</t>
        </is>
      </c>
      <c r="M818" s="5" t="n">
        <v>0.12</v>
      </c>
      <c r="N818" s="5" t="n">
        <v>0</v>
      </c>
    </row>
    <row r="819">
      <c r="A819" t="n">
        <v>818</v>
      </c>
      <c r="B819" t="n">
        <v>2014</v>
      </c>
      <c r="C819" t="inlineStr">
        <is>
          <t>Annabelle Zhao</t>
        </is>
      </c>
      <c r="D819">
        <f>HYPERLINK("https://ota.tournamentsoftware.com/player-profile/F9367D16-E3B7-41BB-810F-85E4C6371542", "Link")</f>
        <v/>
      </c>
      <c r="E819" s="3" t="n">
        <v>8.882999999999999</v>
      </c>
      <c r="F819" s="4" t="n">
        <v>3</v>
      </c>
      <c r="G819" t="inlineStr">
        <is>
          <t>British Columbia</t>
        </is>
      </c>
      <c r="H819" t="inlineStr">
        <is>
          <t>The Tennis Centre</t>
        </is>
      </c>
      <c r="I819" t="n">
        <v>39</v>
      </c>
      <c r="J819" s="4" t="n">
        <v>61</v>
      </c>
      <c r="K819" t="inlineStr">
        <is>
          <t>30 / 31</t>
        </is>
      </c>
      <c r="L819" t="inlineStr">
        <is>
          <t>10 / 8</t>
        </is>
      </c>
      <c r="M819" s="5" t="n">
        <v>0.49</v>
      </c>
      <c r="N819" s="5" t="n">
        <v>0.5600000000000001</v>
      </c>
    </row>
    <row r="820">
      <c r="A820" t="n">
        <v>819</v>
      </c>
      <c r="B820" t="n">
        <v>2014</v>
      </c>
      <c r="C820" t="inlineStr">
        <is>
          <t>Jylian May II Mauricio Luces</t>
        </is>
      </c>
      <c r="D820">
        <f>HYPERLINK("https://ota.tournamentsoftware.com/player-profile/EE4C1547-2DEF-4E96-BA65-F8069863F09D", "Link")</f>
        <v/>
      </c>
      <c r="E820" s="3" t="n">
        <v>8.861000000000001</v>
      </c>
      <c r="F820" s="4" t="n">
        <v>7</v>
      </c>
      <c r="G820" t="inlineStr">
        <is>
          <t>Tennis Alberta</t>
        </is>
      </c>
      <c r="H820" t="inlineStr">
        <is>
          <t>Osten &amp; Victor Alberta Tennis Centre</t>
        </is>
      </c>
      <c r="I820" t="inlineStr">
        <is>
          <t>unavailable</t>
        </is>
      </c>
      <c r="J820" s="4" t="n">
        <v>33</v>
      </c>
      <c r="K820" t="inlineStr">
        <is>
          <t>6 / 27</t>
        </is>
      </c>
      <c r="L820" t="inlineStr">
        <is>
          <t>2 / 8</t>
        </is>
      </c>
      <c r="M820" s="5" t="n">
        <v>0.18</v>
      </c>
      <c r="N820" s="5" t="n">
        <v>0.2</v>
      </c>
    </row>
    <row r="821">
      <c r="A821" t="n">
        <v>820</v>
      </c>
      <c r="B821" t="n">
        <v>2015</v>
      </c>
      <c r="C821" t="inlineStr">
        <is>
          <t>Olive Allen</t>
        </is>
      </c>
      <c r="D821">
        <f>HYPERLINK("https://ota.tournamentsoftware.com/player-profile/B0709DF4-F657-4BE5-870B-1467DB919D18", "Link")</f>
        <v/>
      </c>
      <c r="E821" s="3" t="n">
        <v>8.744999999999999</v>
      </c>
      <c r="F821" s="4" t="n">
        <v>3</v>
      </c>
      <c r="G821" t="inlineStr">
        <is>
          <t>British Columbia</t>
        </is>
      </c>
      <c r="H821" t="inlineStr">
        <is>
          <t>Hollyburn Country Club</t>
        </is>
      </c>
      <c r="I821" t="n">
        <v>40</v>
      </c>
      <c r="J821" s="4" t="n">
        <v>38</v>
      </c>
      <c r="K821" t="inlineStr">
        <is>
          <t>13 / 25</t>
        </is>
      </c>
      <c r="L821" t="inlineStr">
        <is>
          <t>4 / 9</t>
        </is>
      </c>
      <c r="M821" s="5" t="n">
        <v>0.34</v>
      </c>
      <c r="N821" s="5" t="n">
        <v>0.31</v>
      </c>
    </row>
    <row r="822">
      <c r="A822" t="n">
        <v>821</v>
      </c>
      <c r="B822" t="n">
        <v>2015</v>
      </c>
      <c r="C822" t="inlineStr">
        <is>
          <t>Isabella Maria Galati</t>
        </is>
      </c>
      <c r="D822">
        <f>HYPERLINK("https://ota.tournamentsoftware.com/player-profile/401ED85D-9EDD-4DED-B064-33902C7F4DF4", "Link")</f>
        <v/>
      </c>
      <c r="E822" s="3" t="n">
        <v>8.694000000000001</v>
      </c>
      <c r="F822" s="4" t="n">
        <v>2</v>
      </c>
      <c r="G822" t="inlineStr">
        <is>
          <t>Ontario Tennis Association</t>
        </is>
      </c>
      <c r="H822" t="inlineStr">
        <is>
          <t>Pickering Tennis Academy</t>
        </is>
      </c>
      <c r="I822" t="n">
        <v>37.7</v>
      </c>
      <c r="J822" s="4" t="n">
        <v>24</v>
      </c>
      <c r="K822" t="inlineStr">
        <is>
          <t>11 / 13</t>
        </is>
      </c>
      <c r="L822" t="inlineStr">
        <is>
          <t>5 / 2</t>
        </is>
      </c>
      <c r="M822" s="5" t="n">
        <v>0.46</v>
      </c>
      <c r="N822" s="5" t="n">
        <v>0.71</v>
      </c>
    </row>
    <row r="823">
      <c r="A823" t="n">
        <v>822</v>
      </c>
      <c r="B823" t="n">
        <v>2015</v>
      </c>
      <c r="C823" t="inlineStr">
        <is>
          <t>Chloe Brown</t>
        </is>
      </c>
      <c r="D823">
        <f>HYPERLINK("https://ota.tournamentsoftware.com/player-profile/E3B2C995-F41E-4C95-81DE-7B219EF03CBD", "Link")</f>
        <v/>
      </c>
      <c r="E823" s="3" t="n">
        <v>8.640000000000001</v>
      </c>
      <c r="F823" s="4" t="n">
        <v>3</v>
      </c>
      <c r="G823" t="inlineStr">
        <is>
          <t>British Columbia</t>
        </is>
      </c>
      <c r="H823" t="inlineStr">
        <is>
          <t>Commons Racquet Club at Predator Ridge</t>
        </is>
      </c>
      <c r="I823" t="n">
        <v>38.5</v>
      </c>
      <c r="J823" s="4" t="n">
        <v>25</v>
      </c>
      <c r="K823" t="inlineStr">
        <is>
          <t>10 / 15</t>
        </is>
      </c>
      <c r="L823" t="inlineStr">
        <is>
          <t>7 / 5</t>
        </is>
      </c>
      <c r="M823" s="5" t="n">
        <v>0.4</v>
      </c>
      <c r="N823" s="5" t="n">
        <v>0.58</v>
      </c>
    </row>
    <row r="824">
      <c r="A824" t="n">
        <v>822</v>
      </c>
      <c r="B824" t="n">
        <v>2014</v>
      </c>
      <c r="C824" t="inlineStr">
        <is>
          <t>Candice Cui</t>
        </is>
      </c>
      <c r="D824">
        <f>HYPERLINK("https://ota.tournamentsoftware.com/player-profile/389A79F0-4AEE-4BAD-A33E-98A21CD35738", "Link")</f>
        <v/>
      </c>
      <c r="E824" s="3" t="n">
        <v>8.640000000000001</v>
      </c>
      <c r="F824" s="4" t="n">
        <v>2</v>
      </c>
      <c r="G824" t="inlineStr">
        <is>
          <t>British Columbia</t>
        </is>
      </c>
      <c r="H824" t="inlineStr">
        <is>
          <t>Okanagan Mission Tennis Club Kelowna</t>
        </is>
      </c>
      <c r="I824" t="inlineStr">
        <is>
          <t>unavailable</t>
        </is>
      </c>
      <c r="J824" s="4" t="n">
        <v>30</v>
      </c>
      <c r="K824" t="inlineStr">
        <is>
          <t>11 / 19</t>
        </is>
      </c>
      <c r="L824" t="inlineStr">
        <is>
          <t>2 / 2</t>
        </is>
      </c>
      <c r="M824" s="5" t="n">
        <v>0.37</v>
      </c>
      <c r="N824" s="5" t="n">
        <v>0.5</v>
      </c>
    </row>
    <row r="825">
      <c r="A825" t="n">
        <v>824</v>
      </c>
      <c r="B825" t="n">
        <v>2013</v>
      </c>
      <c r="C825" t="inlineStr">
        <is>
          <t>Nya Robinson</t>
        </is>
      </c>
      <c r="D825">
        <f>HYPERLINK("https://ota.tournamentsoftware.com/player-profile/FCE45E04-6DF1-4A68-89D1-ACB65286BF31", "Link")</f>
        <v/>
      </c>
      <c r="E825" s="3" t="n">
        <v>8.449999999999999</v>
      </c>
      <c r="F825" s="4" t="n">
        <v>5</v>
      </c>
      <c r="G825" t="inlineStr">
        <is>
          <t>Tennis Alberta</t>
        </is>
      </c>
      <c r="H825" t="inlineStr">
        <is>
          <t>Osten &amp; Victor Alberta Tennis Centre</t>
        </is>
      </c>
      <c r="I825" t="n">
        <v>38.1</v>
      </c>
      <c r="J825" s="4" t="n">
        <v>17</v>
      </c>
      <c r="K825" t="inlineStr">
        <is>
          <t>7 / 10</t>
        </is>
      </c>
      <c r="L825" t="inlineStr">
        <is>
          <t>2 / 1</t>
        </is>
      </c>
      <c r="M825" s="5" t="n">
        <v>0.41</v>
      </c>
      <c r="N825" s="5" t="n">
        <v>0.67</v>
      </c>
    </row>
    <row r="826">
      <c r="A826" t="n">
        <v>825</v>
      </c>
      <c r="B826" t="n">
        <v>2012</v>
      </c>
      <c r="C826" t="inlineStr">
        <is>
          <t>LUCY HA</t>
        </is>
      </c>
      <c r="D826">
        <f>HYPERLINK("https://ota.tournamentsoftware.com/player-profile/5289FB1D-8B94-446A-83C5-187068CE2F5D", "Link")</f>
        <v/>
      </c>
      <c r="E826" s="3" t="n">
        <v>8.423999999999999</v>
      </c>
      <c r="F826" s="4" t="n">
        <v>2</v>
      </c>
      <c r="G826" t="inlineStr">
        <is>
          <t>British Columbia</t>
        </is>
      </c>
      <c r="H826" t="inlineStr">
        <is>
          <t>Tennis BC Hub @ Richmond</t>
        </is>
      </c>
      <c r="I826" t="n">
        <v>37.7</v>
      </c>
      <c r="J826" s="4" t="n">
        <v>28</v>
      </c>
      <c r="K826" t="inlineStr">
        <is>
          <t>4 / 24</t>
        </is>
      </c>
      <c r="L826" t="inlineStr">
        <is>
          <t>0 / 2</t>
        </is>
      </c>
      <c r="M826" s="5" t="n">
        <v>0.14</v>
      </c>
      <c r="N826" s="5" t="n">
        <v>0</v>
      </c>
    </row>
    <row r="827">
      <c r="A827" t="n">
        <v>825</v>
      </c>
      <c r="B827" t="n">
        <v>2012</v>
      </c>
      <c r="C827" t="inlineStr">
        <is>
          <t>Elisha Lee</t>
        </is>
      </c>
      <c r="D827">
        <f>HYPERLINK("https://ota.tournamentsoftware.com/player-profile/0D8F1552-F5AE-4BBB-B462-7DFD495EA5D1", "Link")</f>
        <v/>
      </c>
      <c r="E827" s="3" t="n">
        <v>8.423999999999999</v>
      </c>
      <c r="F827" s="4" t="n">
        <v>1</v>
      </c>
      <c r="G827" t="inlineStr">
        <is>
          <t>British Columbia</t>
        </is>
      </c>
      <c r="H827" t="inlineStr">
        <is>
          <t>Great West Fitness and Racquets Club</t>
        </is>
      </c>
      <c r="I827" t="n">
        <v>37.9</v>
      </c>
      <c r="J827" s="4" t="n">
        <v>52</v>
      </c>
      <c r="K827" t="inlineStr">
        <is>
          <t>21 / 31</t>
        </is>
      </c>
      <c r="L827" t="inlineStr">
        <is>
          <t>11 / 14</t>
        </is>
      </c>
      <c r="M827" s="5" t="n">
        <v>0.4</v>
      </c>
      <c r="N827" s="5" t="n">
        <v>0.44</v>
      </c>
    </row>
    <row r="828">
      <c r="A828" t="n">
        <v>825</v>
      </c>
      <c r="B828" t="n">
        <v>2013</v>
      </c>
      <c r="C828" t="inlineStr">
        <is>
          <t>KIanna Jia Christianson</t>
        </is>
      </c>
      <c r="D828">
        <f>HYPERLINK("https://ota.tournamentsoftware.com/player-profile/A76E75A0-5CAF-4017-8B3C-2D69366CF0FB", "Link")</f>
        <v/>
      </c>
      <c r="E828" s="3" t="n">
        <v>8.423999999999999</v>
      </c>
      <c r="F828" s="4" t="n">
        <v>1</v>
      </c>
      <c r="G828" t="inlineStr">
        <is>
          <t>British Columbia</t>
        </is>
      </c>
      <c r="H828" t="inlineStr">
        <is>
          <t>City of Burnaby</t>
        </is>
      </c>
      <c r="I828" t="n">
        <v>40</v>
      </c>
      <c r="J828" s="4" t="n">
        <v>10</v>
      </c>
      <c r="K828" t="inlineStr">
        <is>
          <t>5 / 5</t>
        </is>
      </c>
      <c r="L828" t="inlineStr">
        <is>
          <t>2 / 3</t>
        </is>
      </c>
      <c r="M828" s="5" t="n">
        <v>0.5</v>
      </c>
      <c r="N828" s="5" t="n">
        <v>0.4</v>
      </c>
    </row>
    <row r="829">
      <c r="A829" t="n">
        <v>828</v>
      </c>
      <c r="B829" t="n">
        <v>2015</v>
      </c>
      <c r="C829" t="inlineStr">
        <is>
          <t>Mila Sofia Galvez Bourgeois-Charbonneau</t>
        </is>
      </c>
      <c r="D829">
        <f>HYPERLINK("https://ota.tournamentsoftware.com/player-profile/4F9CCD8C-A7BD-4FA0-B17A-3689BD230A0C", "Link")</f>
        <v/>
      </c>
      <c r="E829" s="3" t="n">
        <v>8.298</v>
      </c>
      <c r="F829" s="4" t="n">
        <v>2</v>
      </c>
      <c r="G829" t="inlineStr">
        <is>
          <t>Tennis Québec</t>
        </is>
      </c>
      <c r="H829" t="inlineStr">
        <is>
          <t>AA Autre club</t>
        </is>
      </c>
      <c r="I829" t="n">
        <v>37.3</v>
      </c>
      <c r="J829" s="4" t="n">
        <v>10</v>
      </c>
      <c r="K829" t="inlineStr">
        <is>
          <t>5 / 5</t>
        </is>
      </c>
      <c r="L829" t="inlineStr">
        <is>
          <t>5 / 2</t>
        </is>
      </c>
      <c r="M829" s="5" t="n">
        <v>0.5</v>
      </c>
      <c r="N829" s="5" t="n">
        <v>0.71</v>
      </c>
    </row>
    <row r="830">
      <c r="A830" t="n">
        <v>829</v>
      </c>
      <c r="B830" t="n">
        <v>2016</v>
      </c>
      <c r="C830" t="inlineStr">
        <is>
          <t>Peiyu(Cici) Li</t>
        </is>
      </c>
      <c r="D830">
        <f>HYPERLINK("https://ota.tournamentsoftware.com/player-profile/C4571297-B444-4579-A011-D24753628021", "Link")</f>
        <v/>
      </c>
      <c r="E830" s="3" t="n">
        <v>8.156000000000001</v>
      </c>
      <c r="F830" s="4" t="n">
        <v>7</v>
      </c>
      <c r="G830" t="inlineStr">
        <is>
          <t>Tennis Nova Scotia</t>
        </is>
      </c>
      <c r="H830" t="inlineStr">
        <is>
          <t>Atlantic Tennis Centre</t>
        </is>
      </c>
      <c r="I830" t="n">
        <v>39.2</v>
      </c>
      <c r="J830" s="4" t="n">
        <v>51</v>
      </c>
      <c r="K830" t="inlineStr">
        <is>
          <t>18 / 33</t>
        </is>
      </c>
      <c r="L830" t="inlineStr">
        <is>
          <t>10 / 23</t>
        </is>
      </c>
      <c r="M830" s="5" t="n">
        <v>0.35</v>
      </c>
      <c r="N830" s="5" t="n">
        <v>0.3</v>
      </c>
    </row>
    <row r="831">
      <c r="A831" t="n">
        <v>830</v>
      </c>
      <c r="B831" t="n">
        <v>2015</v>
      </c>
      <c r="C831" t="inlineStr">
        <is>
          <t>Sofia Belyavskaya</t>
        </is>
      </c>
      <c r="D831">
        <f>HYPERLINK("https://ota.tournamentsoftware.com/player-profile/103C1284-54D3-4E14-8B3B-D860AD353A8C", "Link")</f>
        <v/>
      </c>
      <c r="E831" s="3" t="n">
        <v>8.045999999999999</v>
      </c>
      <c r="F831" s="4" t="n">
        <v>3</v>
      </c>
      <c r="G831" t="inlineStr">
        <is>
          <t>British Columbia</t>
        </is>
      </c>
      <c r="H831" t="inlineStr">
        <is>
          <t>The Tennis Centre</t>
        </is>
      </c>
      <c r="I831" t="n">
        <v>37.2</v>
      </c>
      <c r="J831" s="4" t="n">
        <v>88</v>
      </c>
      <c r="K831" t="inlineStr">
        <is>
          <t>35 / 53</t>
        </is>
      </c>
      <c r="L831" t="inlineStr">
        <is>
          <t>2 / 5</t>
        </is>
      </c>
      <c r="M831" s="5" t="n">
        <v>0.4</v>
      </c>
      <c r="N831" s="5" t="n">
        <v>0.29</v>
      </c>
    </row>
    <row r="832">
      <c r="A832" t="n">
        <v>831</v>
      </c>
      <c r="B832" t="n">
        <v>2013</v>
      </c>
      <c r="C832" t="inlineStr">
        <is>
          <t>Anaya Mohammed Shurrab</t>
        </is>
      </c>
      <c r="D832">
        <f>HYPERLINK("https://ota.tournamentsoftware.com/player-profile/A4BA7F79-3B20-4355-B83D-7B81774D6C97", "Link")</f>
        <v/>
      </c>
      <c r="E832" s="3" t="n">
        <v>8.01</v>
      </c>
      <c r="F832" s="4" t="n">
        <v>1</v>
      </c>
      <c r="G832" t="inlineStr">
        <is>
          <t>Ontario Tennis Association</t>
        </is>
      </c>
      <c r="H832" t="inlineStr">
        <is>
          <t>Sudbury Indoor Tennis Centre</t>
        </is>
      </c>
      <c r="I832" t="n">
        <v>38.8</v>
      </c>
      <c r="J832" s="4" t="n">
        <v>2</v>
      </c>
      <c r="K832" t="inlineStr">
        <is>
          <t>0 / 2</t>
        </is>
      </c>
      <c r="L832" t="inlineStr">
        <is>
          <t>0 / 0</t>
        </is>
      </c>
      <c r="M832" s="5" t="n">
        <v>0</v>
      </c>
      <c r="N832" s="5" t="n">
        <v>0</v>
      </c>
    </row>
    <row r="833">
      <c r="A833" t="n">
        <v>832</v>
      </c>
      <c r="B833" t="n">
        <v>2015</v>
      </c>
      <c r="C833" t="inlineStr">
        <is>
          <t>Lyskha Ann Louis</t>
        </is>
      </c>
      <c r="D833">
        <f>HYPERLINK("https://ota.tournamentsoftware.com/player-profile/E63460EF-56D0-4F3C-845C-D047E7B9C366", "Link")</f>
        <v/>
      </c>
      <c r="E833" s="3" t="n">
        <v>7.906</v>
      </c>
      <c r="F833" s="4" t="n">
        <v>2</v>
      </c>
      <c r="G833" t="inlineStr">
        <is>
          <t>Tennis Québec</t>
        </is>
      </c>
      <c r="H833" t="inlineStr">
        <is>
          <t>Tennis 13</t>
        </is>
      </c>
      <c r="I833" t="n">
        <v>36.4</v>
      </c>
      <c r="J833" s="4" t="n">
        <v>9</v>
      </c>
      <c r="K833" t="inlineStr">
        <is>
          <t>4 / 5</t>
        </is>
      </c>
      <c r="L833" t="inlineStr">
        <is>
          <t>4 / 2</t>
        </is>
      </c>
      <c r="M833" s="5" t="n">
        <v>0.44</v>
      </c>
      <c r="N833" s="5" t="n">
        <v>0.67</v>
      </c>
    </row>
    <row r="834">
      <c r="A834" t="n">
        <v>833</v>
      </c>
      <c r="B834" t="n">
        <v>2014</v>
      </c>
      <c r="C834" t="inlineStr">
        <is>
          <t>Gloriana Shiqi Zhang</t>
        </is>
      </c>
      <c r="D834">
        <f>HYPERLINK("https://ota.tournamentsoftware.com/player-profile/2717E828-0882-43B7-ADDB-D078FFA580CF", "Link")</f>
        <v/>
      </c>
      <c r="E834" s="3" t="n">
        <v>7.776</v>
      </c>
      <c r="F834" s="4" t="n">
        <v>2</v>
      </c>
      <c r="G834" t="inlineStr">
        <is>
          <t>British Columbia</t>
        </is>
      </c>
      <c r="H834" t="inlineStr">
        <is>
          <t>Hollyburn Country Club</t>
        </is>
      </c>
      <c r="I834" t="inlineStr">
        <is>
          <t>unavailable</t>
        </is>
      </c>
      <c r="J834" s="4" t="n">
        <v>32</v>
      </c>
      <c r="K834" t="inlineStr">
        <is>
          <t>5 / 27</t>
        </is>
      </c>
      <c r="L834" t="inlineStr">
        <is>
          <t>0 / 0</t>
        </is>
      </c>
      <c r="M834" s="5" t="n">
        <v>0.16</v>
      </c>
      <c r="N834" s="5" t="n">
        <v>0</v>
      </c>
    </row>
    <row r="835">
      <c r="A835" t="n">
        <v>834</v>
      </c>
      <c r="B835" t="n">
        <v>2015</v>
      </c>
      <c r="C835" t="inlineStr">
        <is>
          <t>Dani Banquicio</t>
        </is>
      </c>
      <c r="D835">
        <f>HYPERLINK("https://ota.tournamentsoftware.com/player-profile/46430071-90F3-4471-A44B-9BE4F31E2D72", "Link")</f>
        <v/>
      </c>
      <c r="E835" s="3" t="n">
        <v>7.652</v>
      </c>
      <c r="F835" s="4" t="n">
        <v>2</v>
      </c>
      <c r="G835" t="inlineStr">
        <is>
          <t>Tennis New Brunswick</t>
        </is>
      </c>
      <c r="H835" t="inlineStr">
        <is>
          <t>Abony Family Tennis Center</t>
        </is>
      </c>
      <c r="I835" t="n">
        <v>40</v>
      </c>
      <c r="J835" s="4" t="n">
        <v>54</v>
      </c>
      <c r="K835" t="inlineStr">
        <is>
          <t>17 / 37</t>
        </is>
      </c>
      <c r="L835" t="inlineStr">
        <is>
          <t>3 / 7</t>
        </is>
      </c>
      <c r="M835" s="5" t="n">
        <v>0.31</v>
      </c>
      <c r="N835" s="5" t="n">
        <v>0.3</v>
      </c>
    </row>
    <row r="836">
      <c r="A836" t="n">
        <v>835</v>
      </c>
      <c r="B836" t="n">
        <v>2014</v>
      </c>
      <c r="C836" t="inlineStr">
        <is>
          <t>Audrey Dionne-Chen</t>
        </is>
      </c>
      <c r="D836">
        <f>HYPERLINK("https://ota.tournamentsoftware.com/player-profile/7AE565BD-506E-4133-AA69-F89B361E38C0", "Link")</f>
        <v/>
      </c>
      <c r="E836" s="3" t="n">
        <v>7.552</v>
      </c>
      <c r="F836" s="4" t="n">
        <v>1</v>
      </c>
      <c r="G836" t="inlineStr">
        <is>
          <t>Ontario Tennis Association</t>
        </is>
      </c>
      <c r="H836" t="inlineStr">
        <is>
          <t>Rideau Sports Centre</t>
        </is>
      </c>
      <c r="I836" t="n">
        <v>39.4</v>
      </c>
      <c r="J836" s="4" t="n">
        <v>14</v>
      </c>
      <c r="K836" t="inlineStr">
        <is>
          <t>4 / 10</t>
        </is>
      </c>
      <c r="L836" t="inlineStr">
        <is>
          <t>0 / 1</t>
        </is>
      </c>
      <c r="M836" s="5" t="n">
        <v>0.29</v>
      </c>
      <c r="N836" s="5" t="n">
        <v>0</v>
      </c>
    </row>
    <row r="837">
      <c r="A837" t="n">
        <v>836</v>
      </c>
      <c r="B837" t="n">
        <v>2015</v>
      </c>
      <c r="C837" t="inlineStr">
        <is>
          <t>Ivana Novatus Nguma</t>
        </is>
      </c>
      <c r="D837">
        <f>HYPERLINK("https://ota.tournamentsoftware.com/player-profile/152EACD1-B447-4FFD-B45D-419526079F6E", "Link")</f>
        <v/>
      </c>
      <c r="E837" s="3" t="n">
        <v>7.507</v>
      </c>
      <c r="F837" s="4" t="n">
        <v>2</v>
      </c>
      <c r="G837" t="inlineStr">
        <is>
          <t>Tennis Alberta</t>
        </is>
      </c>
      <c r="H837" t="inlineStr">
        <is>
          <t>Calgary Tennis Society</t>
        </is>
      </c>
      <c r="I837" t="n">
        <v>37.7</v>
      </c>
      <c r="J837" s="4" t="n">
        <v>24</v>
      </c>
      <c r="K837" t="inlineStr">
        <is>
          <t>12 / 12</t>
        </is>
      </c>
      <c r="L837" t="inlineStr">
        <is>
          <t>8 / 4</t>
        </is>
      </c>
      <c r="M837" s="5" t="n">
        <v>0.5</v>
      </c>
      <c r="N837" s="5" t="n">
        <v>0.67</v>
      </c>
    </row>
    <row r="838">
      <c r="A838" t="n">
        <v>837</v>
      </c>
      <c r="B838" t="n">
        <v>2014</v>
      </c>
      <c r="C838" t="inlineStr">
        <is>
          <t>Abigale Julia Dioszeghy Beatty</t>
        </is>
      </c>
      <c r="D838">
        <f>HYPERLINK("https://ota.tournamentsoftware.com/player-profile/3376BA08-B4B7-40B5-A81E-8F995772526B", "Link")</f>
        <v/>
      </c>
      <c r="E838" s="3" t="n">
        <v>7.222</v>
      </c>
      <c r="F838" s="4" t="n">
        <v>6</v>
      </c>
      <c r="G838" t="inlineStr">
        <is>
          <t>Tennis Alberta</t>
        </is>
      </c>
      <c r="H838" t="inlineStr">
        <is>
          <t>Royal Glenora Club</t>
        </is>
      </c>
      <c r="I838" t="n">
        <v>37.3</v>
      </c>
      <c r="J838" s="4" t="n">
        <v>16</v>
      </c>
      <c r="K838" t="inlineStr">
        <is>
          <t>8 / 8</t>
        </is>
      </c>
      <c r="L838" t="inlineStr">
        <is>
          <t>8 / 8</t>
        </is>
      </c>
      <c r="M838" s="5" t="n">
        <v>0.5</v>
      </c>
      <c r="N838" s="5" t="n">
        <v>0.5</v>
      </c>
    </row>
    <row r="839">
      <c r="A839" t="n">
        <v>838</v>
      </c>
      <c r="B839" t="n">
        <v>2017</v>
      </c>
      <c r="C839" t="inlineStr">
        <is>
          <t>Kaja Gacanin</t>
        </is>
      </c>
      <c r="D839">
        <f>HYPERLINK("https://ota.tournamentsoftware.com/player-profile/51158AF8-F463-4974-AE1F-B1924D114B2F", "Link")</f>
        <v/>
      </c>
      <c r="E839" s="3" t="n">
        <v>6.84</v>
      </c>
      <c r="F839" s="4" t="n">
        <v>2</v>
      </c>
      <c r="G839" t="inlineStr">
        <is>
          <t>Ontario Tennis Association</t>
        </is>
      </c>
      <c r="H839" t="inlineStr">
        <is>
          <t>Zekelman Tennis Centre</t>
        </is>
      </c>
      <c r="I839" t="n">
        <v>38.6</v>
      </c>
      <c r="J839" s="4" t="n">
        <v>7</v>
      </c>
      <c r="K839" t="inlineStr">
        <is>
          <t>2 / 5</t>
        </is>
      </c>
      <c r="L839" t="inlineStr">
        <is>
          <t>2 / 5</t>
        </is>
      </c>
      <c r="M839" s="5" t="n">
        <v>0.29</v>
      </c>
      <c r="N839" s="5" t="n">
        <v>0.29</v>
      </c>
    </row>
    <row r="840">
      <c r="A840" t="n">
        <v>839</v>
      </c>
      <c r="B840" t="n">
        <v>2015</v>
      </c>
      <c r="C840" t="inlineStr">
        <is>
          <t>Ruby Mika Szakacs</t>
        </is>
      </c>
      <c r="D840">
        <f>HYPERLINK("https://ota.tournamentsoftware.com/player-profile/200B8C95-20A4-4F60-90C6-7E30A84EAEA7", "Link")</f>
        <v/>
      </c>
      <c r="E840" s="3" t="n">
        <v>6.607</v>
      </c>
      <c r="F840" s="4" t="n">
        <v>2</v>
      </c>
      <c r="G840" t="inlineStr">
        <is>
          <t>Ontario Tennis Association</t>
        </is>
      </c>
      <c r="H840" t="inlineStr">
        <is>
          <t>No Club</t>
        </is>
      </c>
      <c r="I840" t="n">
        <v>39.4</v>
      </c>
      <c r="J840" s="4" t="n">
        <v>55</v>
      </c>
      <c r="K840" t="inlineStr">
        <is>
          <t>28 / 27</t>
        </is>
      </c>
      <c r="L840" t="inlineStr">
        <is>
          <t>0 / 4</t>
        </is>
      </c>
      <c r="M840" s="5" t="n">
        <v>0.51</v>
      </c>
      <c r="N840" s="5" t="n">
        <v>0</v>
      </c>
    </row>
    <row r="841">
      <c r="A841" t="n">
        <v>839</v>
      </c>
      <c r="B841" t="n">
        <v>2014</v>
      </c>
      <c r="C841" t="inlineStr">
        <is>
          <t>Mantian Ellie Ni</t>
        </is>
      </c>
      <c r="D841">
        <f>HYPERLINK("https://ota.tournamentsoftware.com/player-profile/7FD8D72E-3679-4613-A482-A282508BEA32", "Link")</f>
        <v/>
      </c>
      <c r="E841" s="3" t="n">
        <v>6.607</v>
      </c>
      <c r="F841" s="4" t="n">
        <v>2</v>
      </c>
      <c r="G841" t="inlineStr">
        <is>
          <t>Ontario Tennis Association</t>
        </is>
      </c>
      <c r="H841" t="inlineStr">
        <is>
          <t>Premier Racquet Club - Markham</t>
        </is>
      </c>
      <c r="I841" t="n">
        <v>39.5</v>
      </c>
      <c r="J841" s="4" t="n">
        <v>23</v>
      </c>
      <c r="K841" t="inlineStr">
        <is>
          <t>7 / 16</t>
        </is>
      </c>
      <c r="L841" t="inlineStr">
        <is>
          <t>3 / 4</t>
        </is>
      </c>
      <c r="M841" s="5" t="n">
        <v>0.3</v>
      </c>
      <c r="N841" s="5" t="n">
        <v>0.43</v>
      </c>
    </row>
    <row r="842">
      <c r="A842" t="n">
        <v>841</v>
      </c>
      <c r="B842" t="n">
        <v>2013</v>
      </c>
      <c r="C842" t="inlineStr">
        <is>
          <t>Juliana Pena</t>
        </is>
      </c>
      <c r="D842">
        <f>HYPERLINK("https://ota.tournamentsoftware.com/player-profile/8F1CA811-953C-4FAC-980B-55D7FE7A6E50", "Link")</f>
        <v/>
      </c>
      <c r="E842" s="3" t="n">
        <v>6.48</v>
      </c>
      <c r="F842" s="4" t="n">
        <v>1</v>
      </c>
      <c r="G842" t="inlineStr">
        <is>
          <t>Tennis Québec</t>
        </is>
      </c>
      <c r="H842" t="inlineStr">
        <is>
          <t>Tennis Québec (région Montréal Ouest)</t>
        </is>
      </c>
      <c r="I842" t="inlineStr">
        <is>
          <t>unavailable</t>
        </is>
      </c>
      <c r="J842" s="4" t="n">
        <v>10</v>
      </c>
      <c r="K842" t="inlineStr">
        <is>
          <t>3 / 7</t>
        </is>
      </c>
      <c r="L842" t="inlineStr">
        <is>
          <t>0 / 0</t>
        </is>
      </c>
      <c r="M842" s="5" t="n">
        <v>0.3</v>
      </c>
      <c r="N842" s="5" t="n">
        <v>0</v>
      </c>
    </row>
    <row r="843">
      <c r="A843" t="n">
        <v>841</v>
      </c>
      <c r="B843" t="n">
        <v>2015</v>
      </c>
      <c r="C843" t="inlineStr">
        <is>
          <t>Catherine Qu</t>
        </is>
      </c>
      <c r="D843">
        <f>HYPERLINK("https://ota.tournamentsoftware.com/player-profile/6BFBAA24-1779-441C-B7FC-7EF81219D270", "Link")</f>
        <v/>
      </c>
      <c r="E843" s="3" t="n">
        <v>6.48</v>
      </c>
      <c r="F843" s="4" t="n">
        <v>1</v>
      </c>
      <c r="G843" t="inlineStr">
        <is>
          <t>Ontario Tennis Association</t>
        </is>
      </c>
      <c r="H843" t="inlineStr">
        <is>
          <t>Royal City Tennis Club</t>
        </is>
      </c>
      <c r="I843" t="n">
        <v>36.4</v>
      </c>
      <c r="J843" s="4" t="n">
        <v>19</v>
      </c>
      <c r="K843" t="inlineStr">
        <is>
          <t>3 / 16</t>
        </is>
      </c>
      <c r="L843" t="inlineStr">
        <is>
          <t>1 / 1</t>
        </is>
      </c>
      <c r="M843" s="5" t="n">
        <v>0.16</v>
      </c>
      <c r="N843" s="5" t="n">
        <v>0.5</v>
      </c>
    </row>
    <row r="844">
      <c r="A844" t="n">
        <v>841</v>
      </c>
      <c r="B844" t="n">
        <v>2016</v>
      </c>
      <c r="C844" t="inlineStr">
        <is>
          <t>Jaclyn Zhang</t>
        </is>
      </c>
      <c r="D844">
        <f>HYPERLINK("https://ota.tournamentsoftware.com/player-profile/E6E9780C-ACDE-4CFD-B134-4984C266BCEB", "Link")</f>
        <v/>
      </c>
      <c r="E844" s="3" t="n">
        <v>6.48</v>
      </c>
      <c r="F844" s="4" t="n">
        <v>5</v>
      </c>
      <c r="G844" t="inlineStr">
        <is>
          <t>British Columbia</t>
        </is>
      </c>
      <c r="H844" t="inlineStr">
        <is>
          <t>UBC Tennis Centre</t>
        </is>
      </c>
      <c r="I844" t="n">
        <v>39.5</v>
      </c>
      <c r="J844" s="4" t="n">
        <v>76</v>
      </c>
      <c r="K844" t="inlineStr">
        <is>
          <t>43 / 33</t>
        </is>
      </c>
      <c r="L844" t="inlineStr">
        <is>
          <t>17 / 21</t>
        </is>
      </c>
      <c r="M844" s="5" t="n">
        <v>0.57</v>
      </c>
      <c r="N844" s="5" t="n">
        <v>0.45</v>
      </c>
    </row>
    <row r="845">
      <c r="A845" t="n">
        <v>841</v>
      </c>
      <c r="B845" t="n">
        <v>2014</v>
      </c>
      <c r="C845" t="inlineStr">
        <is>
          <t>Elina Chai</t>
        </is>
      </c>
      <c r="D845">
        <f>HYPERLINK("https://ota.tournamentsoftware.com/player-profile/93EB3F3A-118C-460C-AB18-42D8F042E5A9", "Link")</f>
        <v/>
      </c>
      <c r="E845" s="3" t="n">
        <v>6.48</v>
      </c>
      <c r="F845" s="4" t="n">
        <v>1</v>
      </c>
      <c r="G845" t="inlineStr">
        <is>
          <t>Ontario Tennis Association</t>
        </is>
      </c>
      <c r="H845" t="inlineStr">
        <is>
          <t>ACE Tennis - Toronto Tennis City</t>
        </is>
      </c>
      <c r="I845" t="n">
        <v>38.5</v>
      </c>
      <c r="J845" s="4" t="n">
        <v>6</v>
      </c>
      <c r="K845" t="inlineStr">
        <is>
          <t>4 / 2</t>
        </is>
      </c>
      <c r="L845" t="inlineStr">
        <is>
          <t>4 / 2</t>
        </is>
      </c>
      <c r="M845" s="5" t="n">
        <v>0.67</v>
      </c>
      <c r="N845" s="5" t="n">
        <v>0.67</v>
      </c>
    </row>
    <row r="846">
      <c r="A846" t="n">
        <v>841</v>
      </c>
      <c r="B846" t="n">
        <v>2014</v>
      </c>
      <c r="C846" t="inlineStr">
        <is>
          <t>Mila Isaeva</t>
        </is>
      </c>
      <c r="D846">
        <f>HYPERLINK("https://ota.tournamentsoftware.com/player-profile/318B72C3-8E32-46E5-B532-524E3B59755C", "Link")</f>
        <v/>
      </c>
      <c r="E846" s="3" t="n">
        <v>6.48</v>
      </c>
      <c r="F846" s="4" t="n">
        <v>1</v>
      </c>
      <c r="G846" t="inlineStr">
        <is>
          <t>Ontario Tennis Association</t>
        </is>
      </c>
      <c r="H846" t="inlineStr">
        <is>
          <t>Tam Heather Tennis Club</t>
        </is>
      </c>
      <c r="I846" t="n">
        <v>38.3</v>
      </c>
      <c r="J846" s="4" t="n">
        <v>18</v>
      </c>
      <c r="K846" t="inlineStr">
        <is>
          <t>10 / 8</t>
        </is>
      </c>
      <c r="L846" t="inlineStr">
        <is>
          <t>8 / 5</t>
        </is>
      </c>
      <c r="M846" s="5" t="n">
        <v>0.5600000000000001</v>
      </c>
      <c r="N846" s="5" t="n">
        <v>0.62</v>
      </c>
    </row>
    <row r="847">
      <c r="A847" t="n">
        <v>841</v>
      </c>
      <c r="B847" t="n">
        <v>2017</v>
      </c>
      <c r="C847" t="inlineStr">
        <is>
          <t>Riley Yang</t>
        </is>
      </c>
      <c r="D847">
        <f>HYPERLINK("https://ota.tournamentsoftware.com/player-profile/26AD4F6A-B4DE-4D98-85C5-1F82427AD36B", "Link")</f>
        <v/>
      </c>
      <c r="E847" s="3" t="n">
        <v>6.48</v>
      </c>
      <c r="F847" s="4" t="n">
        <v>1</v>
      </c>
      <c r="G847" t="inlineStr">
        <is>
          <t>Ontario Tennis Association</t>
        </is>
      </c>
      <c r="H847" t="inlineStr">
        <is>
          <t>Mayfair West Fitness &amp; Racquet Club</t>
        </is>
      </c>
      <c r="I847" t="inlineStr">
        <is>
          <t>unavailable</t>
        </is>
      </c>
      <c r="J847" s="4" t="n">
        <v>178</v>
      </c>
      <c r="K847" t="inlineStr">
        <is>
          <t>95 / 83</t>
        </is>
      </c>
      <c r="L847" t="inlineStr">
        <is>
          <t>59 / 39</t>
        </is>
      </c>
      <c r="M847" s="5" t="n">
        <v>0.53</v>
      </c>
      <c r="N847" s="5" t="n">
        <v>0.6</v>
      </c>
    </row>
    <row r="848">
      <c r="A848" t="n">
        <v>841</v>
      </c>
      <c r="B848" t="n">
        <v>2016</v>
      </c>
      <c r="C848" t="inlineStr">
        <is>
          <t>Charlotte Gordovin</t>
        </is>
      </c>
      <c r="D848">
        <f>HYPERLINK("https://ota.tournamentsoftware.com/player-profile/961D5F8B-09E8-477B-A5D4-F4815570D913", "Link")</f>
        <v/>
      </c>
      <c r="E848" s="3" t="n">
        <v>6.48</v>
      </c>
      <c r="F848" s="4" t="n">
        <v>3</v>
      </c>
      <c r="G848" t="inlineStr">
        <is>
          <t>Ontario Tennis Association</t>
        </is>
      </c>
      <c r="H848" t="inlineStr">
        <is>
          <t>ON Tennis Toronto No Club</t>
        </is>
      </c>
      <c r="I848" t="inlineStr">
        <is>
          <t>unavailable</t>
        </is>
      </c>
      <c r="J848" s="4" t="n">
        <v>84</v>
      </c>
      <c r="K848" t="inlineStr">
        <is>
          <t>41 / 43</t>
        </is>
      </c>
      <c r="L848" t="inlineStr">
        <is>
          <t>14 / 16</t>
        </is>
      </c>
      <c r="M848" s="5" t="n">
        <v>0.49</v>
      </c>
      <c r="N848" s="5" t="n">
        <v>0.47</v>
      </c>
    </row>
    <row r="849">
      <c r="A849" t="n">
        <v>841</v>
      </c>
      <c r="B849" t="n">
        <v>2016</v>
      </c>
      <c r="C849" t="inlineStr">
        <is>
          <t>Liv Evangeline Bulfon</t>
        </is>
      </c>
      <c r="D849">
        <f>HYPERLINK("https://ota.tournamentsoftware.com/player-profile/237E5FDF-8DB1-4A71-A617-6A9246A16101", "Link")</f>
        <v/>
      </c>
      <c r="E849" s="3" t="n">
        <v>6.48</v>
      </c>
      <c r="F849" s="4" t="n">
        <v>1</v>
      </c>
      <c r="G849" t="inlineStr">
        <is>
          <t>Ontario Tennis Association</t>
        </is>
      </c>
      <c r="H849" t="inlineStr">
        <is>
          <t>Joshua Creek Golf &amp; Tennis</t>
        </is>
      </c>
      <c r="I849" t="n">
        <v>37.8</v>
      </c>
      <c r="J849" s="4" t="n">
        <v>31</v>
      </c>
      <c r="K849" t="inlineStr">
        <is>
          <t>17 / 14</t>
        </is>
      </c>
      <c r="L849" t="inlineStr">
        <is>
          <t>9 / 7</t>
        </is>
      </c>
      <c r="M849" s="5" t="n">
        <v>0.55</v>
      </c>
      <c r="N849" s="5" t="n">
        <v>0.5600000000000001</v>
      </c>
    </row>
    <row r="850">
      <c r="A850" t="n">
        <v>849</v>
      </c>
      <c r="B850" t="n">
        <v>2015</v>
      </c>
      <c r="C850" t="inlineStr">
        <is>
          <t>Rowan Ferris</t>
        </is>
      </c>
      <c r="D850">
        <f>HYPERLINK("https://ota.tournamentsoftware.com/player-profile/48292DD6-1A8C-41C7-997E-9A5C5BD68EFF", "Link")</f>
        <v/>
      </c>
      <c r="E850" s="3" t="n">
        <v>6.478</v>
      </c>
      <c r="F850" s="4" t="n">
        <v>2</v>
      </c>
      <c r="G850" t="inlineStr">
        <is>
          <t>Tennis Alberta</t>
        </is>
      </c>
      <c r="H850" t="inlineStr">
        <is>
          <t>Medicine Hat Tennis Club</t>
        </is>
      </c>
      <c r="I850" t="n">
        <v>39.3</v>
      </c>
      <c r="J850" s="4" t="n">
        <v>10</v>
      </c>
      <c r="K850" t="inlineStr">
        <is>
          <t>3 / 7</t>
        </is>
      </c>
      <c r="L850" t="inlineStr">
        <is>
          <t>1 / 3</t>
        </is>
      </c>
      <c r="M850" s="5" t="n">
        <v>0.3</v>
      </c>
      <c r="N850" s="5" t="n">
        <v>0.25</v>
      </c>
    </row>
    <row r="851">
      <c r="A851" t="n">
        <v>850</v>
      </c>
      <c r="B851" t="n">
        <v>2015</v>
      </c>
      <c r="C851" t="inlineStr">
        <is>
          <t>Niveah Watt-Shelton</t>
        </is>
      </c>
      <c r="D851">
        <f>HYPERLINK("https://ota.tournamentsoftware.com/player-profile/2142B288-43FF-46B4-8037-BD18E957E823", "Link")</f>
        <v/>
      </c>
      <c r="E851" s="3" t="n">
        <v>6.33</v>
      </c>
      <c r="F851" s="4" t="n">
        <v>2</v>
      </c>
      <c r="G851" t="inlineStr">
        <is>
          <t>British Columbia</t>
        </is>
      </c>
      <c r="H851" t="inlineStr">
        <is>
          <t>UBC Tennis Centre</t>
        </is>
      </c>
      <c r="I851" t="inlineStr">
        <is>
          <t>unavailable</t>
        </is>
      </c>
      <c r="J851" s="4" t="n">
        <v>58</v>
      </c>
      <c r="K851" t="inlineStr">
        <is>
          <t>28 / 30</t>
        </is>
      </c>
      <c r="L851" t="inlineStr">
        <is>
          <t>8 / 8</t>
        </is>
      </c>
      <c r="M851" s="5" t="n">
        <v>0.48</v>
      </c>
      <c r="N851" s="5" t="n">
        <v>0.5</v>
      </c>
    </row>
    <row r="852">
      <c r="A852" t="n">
        <v>851</v>
      </c>
      <c r="B852" t="n">
        <v>2012</v>
      </c>
      <c r="C852" t="inlineStr">
        <is>
          <t>Huiran Zhang</t>
        </is>
      </c>
      <c r="D852">
        <f>HYPERLINK("https://ota.tournamentsoftware.com/player-profile/1E917C5C-2B33-48E2-908B-A812DD532CD4", "Link")</f>
        <v/>
      </c>
      <c r="E852" s="3" t="n">
        <v>6.248</v>
      </c>
      <c r="F852" s="4" t="n">
        <v>1</v>
      </c>
      <c r="G852" t="inlineStr">
        <is>
          <t>British Columbia</t>
        </is>
      </c>
      <c r="H852" t="inlineStr">
        <is>
          <t>No Club</t>
        </is>
      </c>
      <c r="I852" t="n">
        <v>37.6</v>
      </c>
      <c r="J852" s="4" t="n">
        <v>13</v>
      </c>
      <c r="K852" t="inlineStr">
        <is>
          <t>2 / 11</t>
        </is>
      </c>
      <c r="L852" t="inlineStr">
        <is>
          <t>1 / 4</t>
        </is>
      </c>
      <c r="M852" s="5" t="n">
        <v>0.15</v>
      </c>
      <c r="N852" s="5" t="n">
        <v>0.2</v>
      </c>
    </row>
    <row r="853">
      <c r="A853" t="n">
        <v>851</v>
      </c>
      <c r="B853" t="n">
        <v>2012</v>
      </c>
      <c r="C853" t="inlineStr">
        <is>
          <t>Feiran Zhang</t>
        </is>
      </c>
      <c r="D853">
        <f>HYPERLINK("https://ota.tournamentsoftware.com/player-profile/8FFC114F-FEF3-40BF-AF97-E338D1EA4209", "Link")</f>
        <v/>
      </c>
      <c r="E853" s="3" t="n">
        <v>6.248</v>
      </c>
      <c r="F853" s="4" t="n">
        <v>1</v>
      </c>
      <c r="G853" t="inlineStr">
        <is>
          <t>British Columbia</t>
        </is>
      </c>
      <c r="H853" t="inlineStr">
        <is>
          <t>No Club</t>
        </is>
      </c>
      <c r="I853" t="n">
        <v>38.1</v>
      </c>
      <c r="J853" s="4" t="n">
        <v>14</v>
      </c>
      <c r="K853" t="inlineStr">
        <is>
          <t>5 / 9</t>
        </is>
      </c>
      <c r="L853" t="inlineStr">
        <is>
          <t>2 / 3</t>
        </is>
      </c>
      <c r="M853" s="5" t="n">
        <v>0.36</v>
      </c>
      <c r="N853" s="5" t="n">
        <v>0.4</v>
      </c>
    </row>
    <row r="854">
      <c r="A854" t="n">
        <v>853</v>
      </c>
      <c r="B854" t="n">
        <v>2014</v>
      </c>
      <c r="C854" t="inlineStr">
        <is>
          <t>Dina Karahotzitis</t>
        </is>
      </c>
      <c r="D854">
        <f>HYPERLINK("https://ota.tournamentsoftware.com/player-profile/741C9055-B842-4064-A339-E591B8FD72C4", "Link")</f>
        <v/>
      </c>
      <c r="E854" s="3" t="n">
        <v>6</v>
      </c>
      <c r="F854" s="4" t="n">
        <v>1</v>
      </c>
      <c r="G854" t="inlineStr">
        <is>
          <t>Ontario Tennis Association</t>
        </is>
      </c>
      <c r="H854" t="inlineStr">
        <is>
          <t>Mayfair West Fitness &amp; Racquet Club</t>
        </is>
      </c>
      <c r="I854" t="n">
        <v>34.9</v>
      </c>
      <c r="J854" s="4" t="n">
        <v>19</v>
      </c>
      <c r="K854" t="inlineStr">
        <is>
          <t>0 / 19</t>
        </is>
      </c>
      <c r="L854" t="inlineStr">
        <is>
          <t>0 / 0</t>
        </is>
      </c>
      <c r="M854" s="5" t="n">
        <v>0</v>
      </c>
      <c r="N854" s="5" t="n">
        <v>0</v>
      </c>
    </row>
    <row r="855">
      <c r="A855" t="n">
        <v>853</v>
      </c>
      <c r="B855" t="n">
        <v>2015</v>
      </c>
      <c r="C855" t="inlineStr">
        <is>
          <t>Allison Zhang</t>
        </is>
      </c>
      <c r="D855">
        <f>HYPERLINK("https://ota.tournamentsoftware.com/player-profile/7EED065B-4139-4D18-B6C0-4800BB20D171", "Link")</f>
        <v/>
      </c>
      <c r="E855" s="3" t="n">
        <v>6</v>
      </c>
      <c r="F855" s="4" t="n">
        <v>1</v>
      </c>
      <c r="G855" t="inlineStr">
        <is>
          <t>Ontario Tennis Association</t>
        </is>
      </c>
      <c r="H855" t="inlineStr">
        <is>
          <t>No Club</t>
        </is>
      </c>
      <c r="I855" t="inlineStr">
        <is>
          <t>unavailable</t>
        </is>
      </c>
      <c r="J855" s="4" t="n">
        <v>23</v>
      </c>
      <c r="K855" t="inlineStr">
        <is>
          <t>4 / 19</t>
        </is>
      </c>
      <c r="L855" t="inlineStr">
        <is>
          <t>0 / 0</t>
        </is>
      </c>
      <c r="M855" s="5" t="n">
        <v>0.17</v>
      </c>
      <c r="N855" s="5" t="n">
        <v>0</v>
      </c>
    </row>
    <row r="856">
      <c r="A856" t="n">
        <v>855</v>
      </c>
      <c r="B856" t="n">
        <v>2015</v>
      </c>
      <c r="C856" t="inlineStr">
        <is>
          <t>Vera Nino</t>
        </is>
      </c>
      <c r="D856">
        <f>HYPERLINK("https://ota.tournamentsoftware.com/player-profile/081EF9A9-B991-431D-B2FC-AC8426BD2711", "Link")</f>
        <v/>
      </c>
      <c r="E856" s="3" t="n">
        <v>5.803</v>
      </c>
      <c r="F856" s="4" t="n">
        <v>1</v>
      </c>
      <c r="G856" t="inlineStr">
        <is>
          <t>Ontario Tennis Association</t>
        </is>
      </c>
      <c r="H856" t="inlineStr">
        <is>
          <t>Zekelman Tennis Centre</t>
        </is>
      </c>
      <c r="I856" t="inlineStr">
        <is>
          <t>unavailable</t>
        </is>
      </c>
      <c r="J856" s="4" t="n">
        <v>6</v>
      </c>
      <c r="K856" t="inlineStr">
        <is>
          <t>0 / 6</t>
        </is>
      </c>
      <c r="L856" t="inlineStr">
        <is>
          <t>0 / 6</t>
        </is>
      </c>
      <c r="M856" s="5" t="n">
        <v>0</v>
      </c>
      <c r="N856" s="5" t="n">
        <v>0</v>
      </c>
    </row>
    <row r="857">
      <c r="A857" t="n">
        <v>856</v>
      </c>
      <c r="B857" t="n">
        <v>2012</v>
      </c>
      <c r="C857" t="inlineStr">
        <is>
          <t>Emma Thomson</t>
        </is>
      </c>
      <c r="D857">
        <f>HYPERLINK("https://ota.tournamentsoftware.com/player-profile/EE28DE8E-EE8A-4FBB-885B-733BCB8A08C4", "Link")</f>
        <v/>
      </c>
      <c r="E857" s="3" t="n">
        <v>5.404</v>
      </c>
      <c r="F857" s="4" t="n">
        <v>3</v>
      </c>
      <c r="G857" t="inlineStr">
        <is>
          <t>Tennis Alberta</t>
        </is>
      </c>
      <c r="H857" t="inlineStr">
        <is>
          <t>Osten &amp; Victor Alberta Tennis Centre</t>
        </is>
      </c>
      <c r="I857" t="inlineStr">
        <is>
          <t>unavailable</t>
        </is>
      </c>
      <c r="J857" s="4" t="n">
        <v>6</v>
      </c>
      <c r="K857" t="inlineStr">
        <is>
          <t>1 / 5</t>
        </is>
      </c>
      <c r="L857" t="inlineStr">
        <is>
          <t>1 / 1</t>
        </is>
      </c>
      <c r="M857" s="5" t="n">
        <v>0.17</v>
      </c>
      <c r="N857" s="5" t="n">
        <v>0.5</v>
      </c>
    </row>
    <row r="858">
      <c r="A858" t="n">
        <v>857</v>
      </c>
      <c r="B858" t="n">
        <v>2016</v>
      </c>
      <c r="C858" t="inlineStr">
        <is>
          <t>Marusya Bakaeva</t>
        </is>
      </c>
      <c r="D858">
        <f>HYPERLINK("https://ota.tournamentsoftware.com/player-profile/B7C51186-F387-4E99-B849-E8275BB7C0E9", "Link")</f>
        <v/>
      </c>
      <c r="E858" s="3" t="n">
        <v>5.125</v>
      </c>
      <c r="F858" s="4" t="n">
        <v>2</v>
      </c>
      <c r="G858" t="inlineStr">
        <is>
          <t>Ontario Tennis Association</t>
        </is>
      </c>
      <c r="H858" t="inlineStr">
        <is>
          <t>Toronto Tennis City</t>
        </is>
      </c>
      <c r="I858" t="n">
        <v>37.2</v>
      </c>
      <c r="J858" s="4" t="n">
        <v>16</v>
      </c>
      <c r="K858" t="inlineStr">
        <is>
          <t>6 / 10</t>
        </is>
      </c>
      <c r="L858" t="inlineStr">
        <is>
          <t>3 / 6</t>
        </is>
      </c>
      <c r="M858" s="5" t="n">
        <v>0.38</v>
      </c>
      <c r="N858" s="5" t="n">
        <v>0.33</v>
      </c>
    </row>
    <row r="859">
      <c r="A859" t="n">
        <v>857</v>
      </c>
      <c r="B859" t="n">
        <v>2014</v>
      </c>
      <c r="C859" t="inlineStr">
        <is>
          <t>Alexandra Ciacoi-Pop</t>
        </is>
      </c>
      <c r="D859">
        <f>HYPERLINK("https://ota.tournamentsoftware.com/player-profile/4F87B1A1-F52A-4C8C-8C6B-776A59CC6D03", "Link")</f>
        <v/>
      </c>
      <c r="E859" s="3" t="n">
        <v>5.125</v>
      </c>
      <c r="F859" s="4" t="n">
        <v>1</v>
      </c>
      <c r="G859" t="inlineStr">
        <is>
          <t>Ontario Tennis Association</t>
        </is>
      </c>
      <c r="H859" t="inlineStr">
        <is>
          <t>Parkway Valley Tennis Club</t>
        </is>
      </c>
      <c r="I859" t="n">
        <v>38.8</v>
      </c>
      <c r="J859" s="4" t="n">
        <v>28</v>
      </c>
      <c r="K859" t="inlineStr">
        <is>
          <t>11 / 17</t>
        </is>
      </c>
      <c r="L859" t="inlineStr">
        <is>
          <t>7 / 12</t>
        </is>
      </c>
      <c r="M859" s="5" t="n">
        <v>0.39</v>
      </c>
      <c r="N859" s="5" t="n">
        <v>0.37</v>
      </c>
    </row>
    <row r="860">
      <c r="A860" t="n">
        <v>859</v>
      </c>
      <c r="B860" t="n">
        <v>2012</v>
      </c>
      <c r="C860" t="inlineStr">
        <is>
          <t>Frankie Hunsberger</t>
        </is>
      </c>
      <c r="D860">
        <f>HYPERLINK("https://ota.tournamentsoftware.com/player-profile/288F03A3-20CB-46BE-B35D-7428B5B7FA35", "Link")</f>
        <v/>
      </c>
      <c r="E860" s="3" t="n">
        <v>5.054</v>
      </c>
      <c r="F860" s="4" t="n">
        <v>2</v>
      </c>
      <c r="G860" t="inlineStr">
        <is>
          <t>British Columbia</t>
        </is>
      </c>
      <c r="H860" t="inlineStr">
        <is>
          <t>North Shore Winter Club</t>
        </is>
      </c>
      <c r="I860" t="n">
        <v>38.6</v>
      </c>
      <c r="J860" s="4" t="n">
        <v>18</v>
      </c>
      <c r="K860" t="inlineStr">
        <is>
          <t>10 / 8</t>
        </is>
      </c>
      <c r="L860" t="inlineStr">
        <is>
          <t>3 / 2</t>
        </is>
      </c>
      <c r="M860" s="5" t="n">
        <v>0.5600000000000001</v>
      </c>
      <c r="N860" s="5" t="n">
        <v>0.6</v>
      </c>
    </row>
    <row r="861">
      <c r="A861" t="n">
        <v>860</v>
      </c>
      <c r="B861" t="n">
        <v>2015</v>
      </c>
      <c r="C861" t="inlineStr">
        <is>
          <t>Cynthia Wang</t>
        </is>
      </c>
      <c r="D861">
        <f>HYPERLINK("https://ota.tournamentsoftware.com/player-profile/C8736B80-1071-4F4F-86B0-CA7FB630F618", "Link")</f>
        <v/>
      </c>
      <c r="E861" s="3" t="n">
        <v>5</v>
      </c>
      <c r="F861" s="4" t="n">
        <v>1</v>
      </c>
      <c r="G861" t="inlineStr">
        <is>
          <t>Ontario Tennis Association</t>
        </is>
      </c>
      <c r="H861" t="inlineStr">
        <is>
          <t>SmartVMC Racquetsports by ACE</t>
        </is>
      </c>
      <c r="I861" t="n">
        <v>37.4</v>
      </c>
      <c r="J861" s="4" t="n">
        <v>3</v>
      </c>
      <c r="K861" t="inlineStr">
        <is>
          <t>0 / 3</t>
        </is>
      </c>
      <c r="L861" t="inlineStr">
        <is>
          <t>0 / 0</t>
        </is>
      </c>
      <c r="M861" s="5" t="n">
        <v>0</v>
      </c>
      <c r="N861" s="5" t="n">
        <v>0</v>
      </c>
    </row>
    <row r="862">
      <c r="A862" t="n">
        <v>860</v>
      </c>
      <c r="B862" t="n">
        <v>2013</v>
      </c>
      <c r="C862" t="inlineStr">
        <is>
          <t>Barbara Li</t>
        </is>
      </c>
      <c r="D862">
        <f>HYPERLINK("https://ota.tournamentsoftware.com/player-profile/FFEAFA99-A203-4A57-A5C8-1E0592A53A81", "Link")</f>
        <v/>
      </c>
      <c r="E862" s="3" t="n">
        <v>5</v>
      </c>
      <c r="F862" s="4" t="n">
        <v>1</v>
      </c>
      <c r="G862" t="inlineStr">
        <is>
          <t>British Columbia</t>
        </is>
      </c>
      <c r="H862" t="inlineStr">
        <is>
          <t>Hollyburn Country Club</t>
        </is>
      </c>
      <c r="I862" t="n">
        <v>39.7</v>
      </c>
      <c r="J862" s="4" t="n">
        <v>13</v>
      </c>
      <c r="K862" t="inlineStr">
        <is>
          <t>3 / 10</t>
        </is>
      </c>
      <c r="L862" t="inlineStr">
        <is>
          <t>0 / 0</t>
        </is>
      </c>
      <c r="M862" s="5" t="n">
        <v>0.23</v>
      </c>
      <c r="N862" s="5" t="n">
        <v>0</v>
      </c>
    </row>
    <row r="863">
      <c r="A863" t="n">
        <v>860</v>
      </c>
      <c r="B863" t="n">
        <v>2014</v>
      </c>
      <c r="C863" t="inlineStr">
        <is>
          <t>Freya Run Rutledge</t>
        </is>
      </c>
      <c r="D863">
        <f>HYPERLINK("https://ota.tournamentsoftware.com/player-profile/76B60137-7272-4F42-A455-109E20840062", "Link")</f>
        <v/>
      </c>
      <c r="E863" s="3" t="n">
        <v>5</v>
      </c>
      <c r="F863" s="4" t="n">
        <v>1</v>
      </c>
      <c r="G863" t="inlineStr">
        <is>
          <t>Ontario Tennis Association</t>
        </is>
      </c>
      <c r="H863" t="inlineStr">
        <is>
          <t>Boulevard Club</t>
        </is>
      </c>
      <c r="I863" t="n">
        <v>34.9</v>
      </c>
      <c r="J863" s="4" t="n">
        <v>14</v>
      </c>
      <c r="K863" t="inlineStr">
        <is>
          <t>0 / 14</t>
        </is>
      </c>
      <c r="L863" t="inlineStr">
        <is>
          <t>0 / 1</t>
        </is>
      </c>
      <c r="M863" s="5" t="n">
        <v>0</v>
      </c>
      <c r="N863" s="5" t="n">
        <v>0</v>
      </c>
    </row>
    <row r="864">
      <c r="A864" t="n">
        <v>860</v>
      </c>
      <c r="B864" t="n">
        <v>2014</v>
      </c>
      <c r="C864" t="inlineStr">
        <is>
          <t>Mackenzie Lee</t>
        </is>
      </c>
      <c r="D864">
        <f>HYPERLINK("https://ota.tournamentsoftware.com/player-profile/7734E749-B5B7-4067-9AE1-B5CB58EFDC1A", "Link")</f>
        <v/>
      </c>
      <c r="E864" s="3" t="n">
        <v>5</v>
      </c>
      <c r="F864" s="4" t="n">
        <v>1</v>
      </c>
      <c r="G864" t="inlineStr">
        <is>
          <t>Ontario Tennis Association</t>
        </is>
      </c>
      <c r="H864" t="inlineStr">
        <is>
          <t>Toronto Lawn Tennis Club</t>
        </is>
      </c>
      <c r="I864" t="inlineStr">
        <is>
          <t>unavailable</t>
        </is>
      </c>
      <c r="J864" s="4" t="n">
        <v>13</v>
      </c>
      <c r="K864" t="inlineStr">
        <is>
          <t>5 / 8</t>
        </is>
      </c>
      <c r="L864" t="inlineStr">
        <is>
          <t>4 / 3</t>
        </is>
      </c>
      <c r="M864" s="5" t="n">
        <v>0.38</v>
      </c>
      <c r="N864" s="5" t="n">
        <v>0.57</v>
      </c>
    </row>
    <row r="865">
      <c r="A865" t="n">
        <v>864</v>
      </c>
      <c r="B865" t="n">
        <v>2014</v>
      </c>
      <c r="C865" t="inlineStr">
        <is>
          <t>Alicia Januario</t>
        </is>
      </c>
      <c r="D865">
        <f>HYPERLINK("https://ota.tournamentsoftware.com/player-profile/C042725A-21A9-463F-848F-04CEA3B56FE5", "Link")</f>
        <v/>
      </c>
      <c r="E865" s="3" t="n">
        <v>4.927</v>
      </c>
      <c r="F865" s="4" t="n">
        <v>2</v>
      </c>
      <c r="G865" t="inlineStr">
        <is>
          <t>Tennis Québec</t>
        </is>
      </c>
      <c r="H865" t="inlineStr">
        <is>
          <t>No Club</t>
        </is>
      </c>
      <c r="I865" t="n">
        <v>37.7</v>
      </c>
      <c r="J865" s="4" t="n">
        <v>6</v>
      </c>
      <c r="K865" t="inlineStr">
        <is>
          <t>1 / 5</t>
        </is>
      </c>
      <c r="L865" t="inlineStr">
        <is>
          <t>1 / 5</t>
        </is>
      </c>
      <c r="M865" s="5" t="n">
        <v>0.17</v>
      </c>
      <c r="N865" s="5" t="n">
        <v>0.17</v>
      </c>
    </row>
    <row r="866">
      <c r="A866" t="n">
        <v>865</v>
      </c>
      <c r="B866" t="n">
        <v>2014</v>
      </c>
      <c r="C866" t="inlineStr">
        <is>
          <t>Hannah Kucherawy</t>
        </is>
      </c>
      <c r="D866">
        <f>HYPERLINK("https://ota.tournamentsoftware.com/player-profile/E2ACD595-E7E5-40E3-935D-57DCECB8E04C", "Link")</f>
        <v/>
      </c>
      <c r="E866" s="3" t="n">
        <v>4.806</v>
      </c>
      <c r="F866" s="4" t="n">
        <v>1</v>
      </c>
      <c r="G866" t="inlineStr">
        <is>
          <t>Ontario Tennis Association</t>
        </is>
      </c>
      <c r="H866" t="inlineStr">
        <is>
          <t>Simcoe Tennis</t>
        </is>
      </c>
      <c r="I866" t="n">
        <v>35.6</v>
      </c>
      <c r="J866" s="4" t="n">
        <v>23</v>
      </c>
      <c r="K866" t="inlineStr">
        <is>
          <t>3 / 20</t>
        </is>
      </c>
      <c r="L866" t="inlineStr">
        <is>
          <t>1 / 1</t>
        </is>
      </c>
      <c r="M866" s="5" t="n">
        <v>0.13</v>
      </c>
      <c r="N866" s="5" t="n">
        <v>0.5</v>
      </c>
    </row>
    <row r="867">
      <c r="A867" t="n">
        <v>865</v>
      </c>
      <c r="B867" t="n">
        <v>2014</v>
      </c>
      <c r="C867" t="inlineStr">
        <is>
          <t>Iris Li</t>
        </is>
      </c>
      <c r="D867">
        <f>HYPERLINK("https://ota.tournamentsoftware.com/player-profile/CC36F5CC-203F-4A28-B27C-068A0E15610C", "Link")</f>
        <v/>
      </c>
      <c r="E867" s="3" t="n">
        <v>4.806</v>
      </c>
      <c r="F867" s="4" t="n">
        <v>2</v>
      </c>
      <c r="G867" t="inlineStr">
        <is>
          <t>British Columbia</t>
        </is>
      </c>
      <c r="H867" t="inlineStr">
        <is>
          <t>Tennis for Life</t>
        </is>
      </c>
      <c r="I867" t="n">
        <v>39.6</v>
      </c>
      <c r="J867" s="4" t="n">
        <v>43</v>
      </c>
      <c r="K867" t="inlineStr">
        <is>
          <t>17 / 26</t>
        </is>
      </c>
      <c r="L867" t="inlineStr">
        <is>
          <t>8 / 4</t>
        </is>
      </c>
      <c r="M867" s="5" t="n">
        <v>0.4</v>
      </c>
      <c r="N867" s="5" t="n">
        <v>0.67</v>
      </c>
    </row>
    <row r="868">
      <c r="A868" t="n">
        <v>865</v>
      </c>
      <c r="B868" t="n">
        <v>2014</v>
      </c>
      <c r="C868" t="inlineStr">
        <is>
          <t>Emma Sun</t>
        </is>
      </c>
      <c r="D868">
        <f>HYPERLINK("https://ota.tournamentsoftware.com/player-profile/872E410F-742F-4F80-9387-6C15C73FE92E", "Link")</f>
        <v/>
      </c>
      <c r="E868" s="3" t="n">
        <v>4.806</v>
      </c>
      <c r="F868" s="4" t="n">
        <v>1</v>
      </c>
      <c r="G868" t="inlineStr">
        <is>
          <t>Ontario Tennis Association</t>
        </is>
      </c>
      <c r="H868" t="inlineStr">
        <is>
          <t>Valan Tennis Academy</t>
        </is>
      </c>
      <c r="I868" t="n">
        <v>38.5</v>
      </c>
      <c r="J868" s="4" t="n">
        <v>18</v>
      </c>
      <c r="K868" t="inlineStr">
        <is>
          <t>10 / 8</t>
        </is>
      </c>
      <c r="L868" t="inlineStr">
        <is>
          <t>1 / 1</t>
        </is>
      </c>
      <c r="M868" s="5" t="n">
        <v>0.5600000000000001</v>
      </c>
      <c r="N868" s="5" t="n">
        <v>0.5</v>
      </c>
    </row>
    <row r="869">
      <c r="A869" t="n">
        <v>865</v>
      </c>
      <c r="B869" t="n">
        <v>2013</v>
      </c>
      <c r="C869" t="inlineStr">
        <is>
          <t>Grâce-David Adzo TRAORÉ</t>
        </is>
      </c>
      <c r="D869">
        <f>HYPERLINK("https://ota.tournamentsoftware.com/player-profile/2A96F5BB-709B-450E-A0CA-0442985A8D03", "Link")</f>
        <v/>
      </c>
      <c r="E869" s="3" t="n">
        <v>4.806</v>
      </c>
      <c r="F869" s="4" t="n">
        <v>1</v>
      </c>
      <c r="G869" t="inlineStr">
        <is>
          <t>Tennis Québec</t>
        </is>
      </c>
      <c r="H869" t="inlineStr">
        <is>
          <t>QC AutreClub</t>
        </is>
      </c>
      <c r="I869" t="inlineStr">
        <is>
          <t>unavailable</t>
        </is>
      </c>
      <c r="J869" s="4" t="n">
        <v>1</v>
      </c>
      <c r="K869" t="inlineStr">
        <is>
          <t>0 / 1</t>
        </is>
      </c>
      <c r="L869" t="inlineStr">
        <is>
          <t>0 / 0</t>
        </is>
      </c>
      <c r="M869" s="5" t="n">
        <v>0</v>
      </c>
      <c r="N869" s="5" t="n">
        <v>0</v>
      </c>
    </row>
    <row r="870">
      <c r="A870" t="n">
        <v>869</v>
      </c>
      <c r="B870" t="n">
        <v>2012</v>
      </c>
      <c r="C870" t="inlineStr">
        <is>
          <t>Katie Elizabeth Furlan</t>
        </is>
      </c>
      <c r="D870">
        <f>HYPERLINK("https://ota.tournamentsoftware.com/player-profile/CB36C2DA-0DAF-44E4-AE44-0A925ED0DFC0", "Link")</f>
        <v/>
      </c>
      <c r="E870" s="3" t="n">
        <v>4.538</v>
      </c>
      <c r="F870" s="4" t="n">
        <v>4</v>
      </c>
      <c r="G870" t="inlineStr">
        <is>
          <t>Tennis Alberta</t>
        </is>
      </c>
      <c r="H870" t="inlineStr">
        <is>
          <t>The Glencoe Club</t>
        </is>
      </c>
      <c r="I870" t="n">
        <v>38.4</v>
      </c>
      <c r="J870" s="4" t="n">
        <v>25</v>
      </c>
      <c r="K870" t="inlineStr">
        <is>
          <t>6 / 19</t>
        </is>
      </c>
      <c r="L870" t="inlineStr">
        <is>
          <t>0 / 2</t>
        </is>
      </c>
      <c r="M870" s="5" t="n">
        <v>0.24</v>
      </c>
      <c r="N870" s="5" t="n">
        <v>0</v>
      </c>
    </row>
    <row r="871">
      <c r="A871" t="n">
        <v>870</v>
      </c>
      <c r="B871" t="n">
        <v>2016</v>
      </c>
      <c r="C871" t="inlineStr">
        <is>
          <t>Michelle Hiu Tung Law</t>
        </is>
      </c>
      <c r="D871">
        <f>HYPERLINK("https://ota.tournamentsoftware.com/player-profile/6B7246D7-C656-43B4-A93A-54E15E04D73D", "Link")</f>
        <v/>
      </c>
      <c r="E871" s="3" t="n">
        <v>4.536</v>
      </c>
      <c r="F871" s="4" t="n">
        <v>9</v>
      </c>
      <c r="G871" t="inlineStr">
        <is>
          <t>Tennis Alberta</t>
        </is>
      </c>
      <c r="H871" t="inlineStr">
        <is>
          <t>Saville Community Sports Centre</t>
        </is>
      </c>
      <c r="I871" t="n">
        <v>38.4</v>
      </c>
      <c r="J871" s="4" t="n">
        <v>77</v>
      </c>
      <c r="K871" t="inlineStr">
        <is>
          <t>31 / 46</t>
        </is>
      </c>
      <c r="L871" t="inlineStr">
        <is>
          <t>12 / 18</t>
        </is>
      </c>
      <c r="M871" s="5" t="n">
        <v>0.4</v>
      </c>
      <c r="N871" s="5" t="n">
        <v>0.4</v>
      </c>
    </row>
    <row r="872">
      <c r="A872" t="n">
        <v>871</v>
      </c>
      <c r="B872" t="n">
        <v>2013</v>
      </c>
      <c r="C872" t="inlineStr">
        <is>
          <t>rafaela pena</t>
        </is>
      </c>
      <c r="D872">
        <f>HYPERLINK("https://ota.tournamentsoftware.com/player-profile/A4EAF82E-5402-4B2B-B03B-0E790D9A9F99", "Link")</f>
        <v/>
      </c>
      <c r="E872" s="3" t="n">
        <v>4.29</v>
      </c>
      <c r="F872" s="4" t="n">
        <v>1</v>
      </c>
      <c r="G872" t="inlineStr">
        <is>
          <t>Tennis Québec</t>
        </is>
      </c>
      <c r="H872" t="inlineStr">
        <is>
          <t>Tennis Québec (région Montréal Ouest)</t>
        </is>
      </c>
      <c r="I872" t="inlineStr">
        <is>
          <t>unavailable</t>
        </is>
      </c>
      <c r="J872" s="4" t="n">
        <v>10</v>
      </c>
      <c r="K872" t="inlineStr">
        <is>
          <t>4 / 6</t>
        </is>
      </c>
      <c r="L872" t="inlineStr">
        <is>
          <t>0 / 0</t>
        </is>
      </c>
      <c r="M872" s="5" t="n">
        <v>0.4</v>
      </c>
      <c r="N872" s="5" t="n">
        <v>0</v>
      </c>
    </row>
    <row r="873">
      <c r="A873" t="n">
        <v>872</v>
      </c>
      <c r="B873" t="n">
        <v>2012</v>
      </c>
      <c r="C873" t="inlineStr">
        <is>
          <t>Lucia Racquel Deagle</t>
        </is>
      </c>
      <c r="D873">
        <f>HYPERLINK("https://ota.tournamentsoftware.com/player-profile/9262B9F2-035F-451E-8B86-6E98C95AB597", "Link")</f>
        <v/>
      </c>
      <c r="E873" s="3" t="n">
        <v>4.173</v>
      </c>
      <c r="F873" s="4" t="n">
        <v>2</v>
      </c>
      <c r="G873" t="inlineStr">
        <is>
          <t>Tennis Alberta</t>
        </is>
      </c>
      <c r="H873" t="inlineStr">
        <is>
          <t>Aforza</t>
        </is>
      </c>
      <c r="I873" t="n">
        <v>39.2</v>
      </c>
      <c r="J873" s="4" t="n">
        <v>17</v>
      </c>
      <c r="K873" t="inlineStr">
        <is>
          <t>1 / 16</t>
        </is>
      </c>
      <c r="L873" t="inlineStr">
        <is>
          <t>0 / 0</t>
        </is>
      </c>
      <c r="M873" s="5" t="n">
        <v>0.06</v>
      </c>
      <c r="N873" s="5" t="n">
        <v>0</v>
      </c>
    </row>
    <row r="874">
      <c r="A874" t="n">
        <v>873</v>
      </c>
      <c r="B874" t="n">
        <v>2015</v>
      </c>
      <c r="C874" t="inlineStr">
        <is>
          <t>Ruhi Juneja</t>
        </is>
      </c>
      <c r="D874">
        <f>HYPERLINK("https://ota.tournamentsoftware.com/player-profile/E7A03006-4960-4A35-8B80-22CB122EB413", "Link")</f>
        <v/>
      </c>
      <c r="E874" s="3" t="n">
        <v>4.166</v>
      </c>
      <c r="F874" s="4" t="n">
        <v>5</v>
      </c>
      <c r="G874" t="inlineStr">
        <is>
          <t>Tennis Alberta</t>
        </is>
      </c>
      <c r="H874" t="inlineStr">
        <is>
          <t>IQ Tennis and Pickleball Centre</t>
        </is>
      </c>
      <c r="I874" t="n">
        <v>40</v>
      </c>
      <c r="J874" s="4" t="n">
        <v>8</v>
      </c>
      <c r="K874" t="inlineStr">
        <is>
          <t>1 / 7</t>
        </is>
      </c>
      <c r="L874" t="inlineStr">
        <is>
          <t>1 / 7</t>
        </is>
      </c>
      <c r="M874" s="5" t="n">
        <v>0.12</v>
      </c>
      <c r="N874" s="5" t="n">
        <v>0.12</v>
      </c>
    </row>
    <row r="875">
      <c r="A875" t="n">
        <v>874</v>
      </c>
      <c r="B875" t="n">
        <v>2015</v>
      </c>
      <c r="C875" t="inlineStr">
        <is>
          <t>Emmy Judge</t>
        </is>
      </c>
      <c r="D875">
        <f>HYPERLINK("https://ota.tournamentsoftware.com/player-profile/553284DE-2D65-4837-B86A-2230DB300AC5", "Link")</f>
        <v/>
      </c>
      <c r="E875" s="3" t="n">
        <v>4.077</v>
      </c>
      <c r="F875" s="4" t="n">
        <v>1</v>
      </c>
      <c r="G875" t="inlineStr">
        <is>
          <t>Ontario Tennis Association</t>
        </is>
      </c>
      <c r="H875" t="inlineStr">
        <is>
          <t>No Club</t>
        </is>
      </c>
      <c r="I875" t="inlineStr">
        <is>
          <t>unavailable</t>
        </is>
      </c>
      <c r="J875" s="4" t="n">
        <v>4</v>
      </c>
      <c r="K875" t="inlineStr">
        <is>
          <t>0 / 4</t>
        </is>
      </c>
      <c r="L875" t="inlineStr">
        <is>
          <t>0 / 4</t>
        </is>
      </c>
      <c r="M875" s="5" t="n">
        <v>0</v>
      </c>
      <c r="N875" s="5" t="n">
        <v>0</v>
      </c>
    </row>
    <row r="876">
      <c r="A876" t="n">
        <v>875</v>
      </c>
      <c r="B876" t="n">
        <v>2014</v>
      </c>
      <c r="C876" t="inlineStr">
        <is>
          <t>Sophia Jaffer</t>
        </is>
      </c>
      <c r="D876">
        <f>HYPERLINK("https://ota.tournamentsoftware.com/player-profile/264F2E7F-0F8D-4B4E-875F-FAAFDB4E9D43", "Link")</f>
        <v/>
      </c>
      <c r="E876" s="3" t="n">
        <v>4</v>
      </c>
      <c r="F876" s="4" t="n">
        <v>1</v>
      </c>
      <c r="G876" t="inlineStr">
        <is>
          <t>British Columbia</t>
        </is>
      </c>
      <c r="H876" t="inlineStr">
        <is>
          <t>Hollyburn Country Club</t>
        </is>
      </c>
      <c r="I876" t="n">
        <v>38.6</v>
      </c>
      <c r="J876" s="4" t="n">
        <v>20</v>
      </c>
      <c r="K876" t="inlineStr">
        <is>
          <t>7 / 13</t>
        </is>
      </c>
      <c r="L876" t="inlineStr">
        <is>
          <t>7 / 8</t>
        </is>
      </c>
      <c r="M876" s="5" t="n">
        <v>0.35</v>
      </c>
      <c r="N876" s="5" t="n">
        <v>0.47</v>
      </c>
    </row>
    <row r="877">
      <c r="A877" t="n">
        <v>875</v>
      </c>
      <c r="B877" t="n">
        <v>2014</v>
      </c>
      <c r="C877" t="inlineStr">
        <is>
          <t>Sophia Zhao</t>
        </is>
      </c>
      <c r="D877">
        <f>HYPERLINK("https://ota.tournamentsoftware.com/player-profile/388D9D37-AB69-4888-AB07-C709FC6BB450", "Link")</f>
        <v/>
      </c>
      <c r="E877" s="3" t="n">
        <v>4</v>
      </c>
      <c r="F877" s="4" t="n">
        <v>1</v>
      </c>
      <c r="G877" t="inlineStr">
        <is>
          <t>British Columbia</t>
        </is>
      </c>
      <c r="H877" t="inlineStr">
        <is>
          <t>Hollyburn Country Club</t>
        </is>
      </c>
      <c r="I877" t="inlineStr">
        <is>
          <t>unavailable</t>
        </is>
      </c>
      <c r="J877" s="4" t="n">
        <v>3</v>
      </c>
      <c r="K877" t="inlineStr">
        <is>
          <t>0 / 3</t>
        </is>
      </c>
      <c r="L877" t="inlineStr">
        <is>
          <t>0 / 0</t>
        </is>
      </c>
      <c r="M877" s="5" t="n">
        <v>0</v>
      </c>
      <c r="N877" s="5" t="n">
        <v>0</v>
      </c>
    </row>
    <row r="878">
      <c r="A878" t="n">
        <v>875</v>
      </c>
      <c r="B878" t="n">
        <v>2013</v>
      </c>
      <c r="C878" t="inlineStr">
        <is>
          <t>Xi Niu</t>
        </is>
      </c>
      <c r="D878">
        <f>HYPERLINK("https://ota.tournamentsoftware.com/player-profile/B2759B21-5521-4528-9454-D7FF201653DE", "Link")</f>
        <v/>
      </c>
      <c r="E878" s="3" t="n">
        <v>4</v>
      </c>
      <c r="F878" s="4" t="n">
        <v>1</v>
      </c>
      <c r="G878" t="inlineStr">
        <is>
          <t>British Columbia</t>
        </is>
      </c>
      <c r="H878" t="inlineStr">
        <is>
          <t>No Club</t>
        </is>
      </c>
      <c r="I878" t="inlineStr">
        <is>
          <t>unavailable</t>
        </is>
      </c>
      <c r="J878" s="4" t="n">
        <v>3</v>
      </c>
      <c r="K878" t="inlineStr">
        <is>
          <t>0 / 3</t>
        </is>
      </c>
      <c r="L878" t="inlineStr">
        <is>
          <t>0 / 0</t>
        </is>
      </c>
      <c r="M878" s="5" t="n">
        <v>0</v>
      </c>
      <c r="N878" s="5" t="n">
        <v>0</v>
      </c>
    </row>
    <row r="879">
      <c r="A879" t="n">
        <v>878</v>
      </c>
      <c r="B879" t="n">
        <v>2016</v>
      </c>
      <c r="C879" t="inlineStr">
        <is>
          <t>Ella Luo</t>
        </is>
      </c>
      <c r="D879">
        <f>HYPERLINK("https://ota.tournamentsoftware.com/player-profile/3031CAE1-D7FD-42C8-B04F-2247B30476FE", "Link")</f>
        <v/>
      </c>
      <c r="E879" s="3" t="n">
        <v>3.931</v>
      </c>
      <c r="F879" s="4" t="n">
        <v>3</v>
      </c>
      <c r="G879" t="inlineStr">
        <is>
          <t>Tennis Alberta</t>
        </is>
      </c>
      <c r="H879" t="inlineStr">
        <is>
          <t>Saville Community Sports Centre</t>
        </is>
      </c>
      <c r="I879" t="n">
        <v>38.3</v>
      </c>
      <c r="J879" s="4" t="n">
        <v>30</v>
      </c>
      <c r="K879" t="inlineStr">
        <is>
          <t>12 / 18</t>
        </is>
      </c>
      <c r="L879" t="inlineStr">
        <is>
          <t>12 / 14</t>
        </is>
      </c>
      <c r="M879" s="5" t="n">
        <v>0.4</v>
      </c>
      <c r="N879" s="5" t="n">
        <v>0.46</v>
      </c>
    </row>
    <row r="880">
      <c r="A880" t="n">
        <v>879</v>
      </c>
      <c r="B880" t="n">
        <v>2013</v>
      </c>
      <c r="C880" t="inlineStr">
        <is>
          <t>Vittoria Veronica Noce</t>
        </is>
      </c>
      <c r="D880">
        <f>HYPERLINK("https://ota.tournamentsoftware.com/player-profile/00D388D4-0B24-4339-9B51-BDB96207A30D", "Link")</f>
        <v/>
      </c>
      <c r="E880" s="3" t="n">
        <v>3.889</v>
      </c>
      <c r="F880" s="4" t="n">
        <v>3</v>
      </c>
      <c r="G880" t="inlineStr">
        <is>
          <t>Tennis Alberta</t>
        </is>
      </c>
      <c r="H880" t="inlineStr">
        <is>
          <t>Derrick Golf &amp; Winter Club</t>
        </is>
      </c>
      <c r="I880" t="n">
        <v>37.1</v>
      </c>
      <c r="J880" s="4" t="n">
        <v>51</v>
      </c>
      <c r="K880" t="inlineStr">
        <is>
          <t>13 / 38</t>
        </is>
      </c>
      <c r="L880" t="inlineStr">
        <is>
          <t>3 / 5</t>
        </is>
      </c>
      <c r="M880" s="5" t="n">
        <v>0.25</v>
      </c>
      <c r="N880" s="5" t="n">
        <v>0.38</v>
      </c>
    </row>
    <row r="881">
      <c r="A881" t="n">
        <v>880</v>
      </c>
      <c r="B881" t="n">
        <v>2013</v>
      </c>
      <c r="C881" t="inlineStr">
        <is>
          <t>Amy Duo</t>
        </is>
      </c>
      <c r="D881">
        <f>HYPERLINK("https://ota.tournamentsoftware.com/player-profile/71495656-F9AD-402C-B368-62609F5D70B9", "Link")</f>
        <v/>
      </c>
      <c r="E881" s="3" t="n">
        <v>3.888</v>
      </c>
      <c r="F881" s="4" t="n">
        <v>1</v>
      </c>
      <c r="G881" t="inlineStr">
        <is>
          <t>British Columbia</t>
        </is>
      </c>
      <c r="H881" t="inlineStr">
        <is>
          <t>North Shore Winter Club</t>
        </is>
      </c>
      <c r="I881" t="inlineStr">
        <is>
          <t>unavailable</t>
        </is>
      </c>
      <c r="J881" s="4" t="n">
        <v>29</v>
      </c>
      <c r="K881" t="inlineStr">
        <is>
          <t>10 / 19</t>
        </is>
      </c>
      <c r="L881" t="inlineStr">
        <is>
          <t>2 / 2</t>
        </is>
      </c>
      <c r="M881" s="5" t="n">
        <v>0.34</v>
      </c>
      <c r="N881" s="5" t="n">
        <v>0.5</v>
      </c>
    </row>
    <row r="882">
      <c r="A882" t="n">
        <v>880</v>
      </c>
      <c r="B882" t="n">
        <v>2017</v>
      </c>
      <c r="C882" t="inlineStr">
        <is>
          <t>Nysa Iyer</t>
        </is>
      </c>
      <c r="D882">
        <f>HYPERLINK("https://ota.tournamentsoftware.com/player-profile/7133F3A1-6724-4B35-BBF9-2DFB20E0D933", "Link")</f>
        <v/>
      </c>
      <c r="E882" s="3" t="n">
        <v>3.888</v>
      </c>
      <c r="F882" s="4" t="n">
        <v>3</v>
      </c>
      <c r="G882" t="inlineStr">
        <is>
          <t>Tennis Alberta</t>
        </is>
      </c>
      <c r="H882" t="inlineStr">
        <is>
          <t>No Club</t>
        </is>
      </c>
      <c r="I882" t="n">
        <v>38.1</v>
      </c>
      <c r="J882" s="4" t="n">
        <v>65</v>
      </c>
      <c r="K882" t="inlineStr">
        <is>
          <t>32 / 33</t>
        </is>
      </c>
      <c r="L882" t="inlineStr">
        <is>
          <t>15 / 12</t>
        </is>
      </c>
      <c r="M882" s="5" t="n">
        <v>0.49</v>
      </c>
      <c r="N882" s="5" t="n">
        <v>0.5600000000000001</v>
      </c>
    </row>
    <row r="883">
      <c r="A883" t="n">
        <v>880</v>
      </c>
      <c r="B883" t="n">
        <v>2016</v>
      </c>
      <c r="C883" t="inlineStr">
        <is>
          <t>Yuxuan Niu</t>
        </is>
      </c>
      <c r="D883">
        <f>HYPERLINK("https://ota.tournamentsoftware.com/player-profile/49C2723D-DBBA-48CA-B20D-69A550E45FB4", "Link")</f>
        <v/>
      </c>
      <c r="E883" s="3" t="n">
        <v>3.888</v>
      </c>
      <c r="F883" s="4" t="n">
        <v>2</v>
      </c>
      <c r="G883" t="inlineStr">
        <is>
          <t>Ontario Tennis Association</t>
        </is>
      </c>
      <c r="H883" t="inlineStr">
        <is>
          <t>Premier Racquet Clubs – Mississauga</t>
        </is>
      </c>
      <c r="I883" t="inlineStr">
        <is>
          <t>unavailable</t>
        </is>
      </c>
      <c r="J883" s="4" t="n">
        <v>19</v>
      </c>
      <c r="K883" t="inlineStr">
        <is>
          <t>13 / 6</t>
        </is>
      </c>
      <c r="L883" t="inlineStr">
        <is>
          <t>13 / 6</t>
        </is>
      </c>
      <c r="M883" s="5" t="n">
        <v>0.68</v>
      </c>
      <c r="N883" s="5" t="n">
        <v>0.68</v>
      </c>
    </row>
    <row r="884">
      <c r="A884" t="n">
        <v>880</v>
      </c>
      <c r="B884" t="n">
        <v>2015</v>
      </c>
      <c r="C884" t="inlineStr">
        <is>
          <t>Olivia Franchi</t>
        </is>
      </c>
      <c r="D884">
        <f>HYPERLINK("https://ota.tournamentsoftware.com/player-profile/71DEE53D-92D1-4C5D-A9AE-0F02860DD189", "Link")</f>
        <v/>
      </c>
      <c r="E884" s="3" t="n">
        <v>3.888</v>
      </c>
      <c r="F884" s="4" t="n">
        <v>1</v>
      </c>
      <c r="G884" t="inlineStr">
        <is>
          <t>Ontario Tennis Association</t>
        </is>
      </c>
      <c r="H884" t="inlineStr">
        <is>
          <t>Barrie North Winter Tennis</t>
        </is>
      </c>
      <c r="I884" t="n">
        <v>37.6</v>
      </c>
      <c r="J884" s="4" t="n">
        <v>14</v>
      </c>
      <c r="K884" t="inlineStr">
        <is>
          <t>0 / 14</t>
        </is>
      </c>
      <c r="L884" t="inlineStr">
        <is>
          <t>0 / 2</t>
        </is>
      </c>
      <c r="M884" s="5" t="n">
        <v>0</v>
      </c>
      <c r="N884" s="5" t="n">
        <v>0</v>
      </c>
    </row>
    <row r="885">
      <c r="A885" t="n">
        <v>880</v>
      </c>
      <c r="B885" t="n">
        <v>2014</v>
      </c>
      <c r="C885" t="inlineStr">
        <is>
          <t>Yanxi Chen</t>
        </is>
      </c>
      <c r="D885">
        <f>HYPERLINK("https://ota.tournamentsoftware.com/player-profile/E6571B14-6651-4CD3-A420-8263947DBA1E", "Link")</f>
        <v/>
      </c>
      <c r="E885" s="3" t="n">
        <v>3.888</v>
      </c>
      <c r="F885" s="4" t="n">
        <v>1</v>
      </c>
      <c r="G885" t="inlineStr">
        <is>
          <t>British Columbia</t>
        </is>
      </c>
      <c r="H885" t="inlineStr">
        <is>
          <t>West Vancouver Tennis Club</t>
        </is>
      </c>
      <c r="I885" t="n">
        <v>38.6</v>
      </c>
      <c r="J885" s="4" t="n">
        <v>10</v>
      </c>
      <c r="K885" t="inlineStr">
        <is>
          <t>5 / 5</t>
        </is>
      </c>
      <c r="L885" t="inlineStr">
        <is>
          <t>3 / 3</t>
        </is>
      </c>
      <c r="M885" s="5" t="n">
        <v>0.5</v>
      </c>
      <c r="N885" s="5" t="n">
        <v>0.5</v>
      </c>
    </row>
    <row r="886">
      <c r="A886" t="n">
        <v>880</v>
      </c>
      <c r="B886" t="n">
        <v>2015</v>
      </c>
      <c r="C886" t="inlineStr">
        <is>
          <t>Maya Clara Shakra</t>
        </is>
      </c>
      <c r="D886">
        <f>HYPERLINK("https://ota.tournamentsoftware.com/player-profile/50FA5A17-1808-42C0-B8C3-34766E9151A2", "Link")</f>
        <v/>
      </c>
      <c r="E886" s="3" t="n">
        <v>3.888</v>
      </c>
      <c r="F886" s="4" t="n">
        <v>1</v>
      </c>
      <c r="G886" t="inlineStr">
        <is>
          <t>Ontario Tennis Association</t>
        </is>
      </c>
      <c r="H886" t="inlineStr">
        <is>
          <t>Toronto Tennis Academy</t>
        </is>
      </c>
      <c r="I886" t="inlineStr">
        <is>
          <t>unavailable</t>
        </is>
      </c>
      <c r="J886" s="4" t="n">
        <v>44</v>
      </c>
      <c r="K886" t="inlineStr">
        <is>
          <t>14 / 30</t>
        </is>
      </c>
      <c r="L886" t="inlineStr">
        <is>
          <t>3 / 6</t>
        </is>
      </c>
      <c r="M886" s="5" t="n">
        <v>0.32</v>
      </c>
      <c r="N886" s="5" t="n">
        <v>0.33</v>
      </c>
    </row>
    <row r="887">
      <c r="A887" t="n">
        <v>880</v>
      </c>
      <c r="B887" t="n">
        <v>2015</v>
      </c>
      <c r="C887" t="inlineStr">
        <is>
          <t>JIAYI LIN</t>
        </is>
      </c>
      <c r="D887">
        <f>HYPERLINK("https://ota.tournamentsoftware.com/player-profile/9025A036-DFDA-4A69-B03F-EEE43D14A3C3", "Link")</f>
        <v/>
      </c>
      <c r="E887" s="3" t="n">
        <v>3.888</v>
      </c>
      <c r="F887" s="4" t="n">
        <v>1</v>
      </c>
      <c r="G887" t="inlineStr">
        <is>
          <t>Ontario Tennis Association</t>
        </is>
      </c>
      <c r="H887" t="inlineStr">
        <is>
          <t>Mayfair Parkway Racquet Club</t>
        </is>
      </c>
      <c r="I887" t="n">
        <v>38.6</v>
      </c>
      <c r="J887" s="4" t="n">
        <v>2</v>
      </c>
      <c r="K887" t="inlineStr">
        <is>
          <t>0 / 2</t>
        </is>
      </c>
      <c r="L887" t="inlineStr">
        <is>
          <t>0 / 2</t>
        </is>
      </c>
      <c r="M887" s="5" t="n">
        <v>0</v>
      </c>
      <c r="N887" s="5" t="n">
        <v>0</v>
      </c>
    </row>
    <row r="888">
      <c r="A888" t="n">
        <v>887</v>
      </c>
      <c r="B888" t="n">
        <v>2014</v>
      </c>
      <c r="C888" t="inlineStr">
        <is>
          <t>Tillya Villeneuve</t>
        </is>
      </c>
      <c r="D888">
        <f>HYPERLINK("https://ota.tournamentsoftware.com/player-profile/B96926BC-0825-4914-B6C7-E7906E4AC960", "Link")</f>
        <v/>
      </c>
      <c r="E888" s="3" t="n">
        <v>3.845</v>
      </c>
      <c r="F888" s="4" t="n">
        <v>5</v>
      </c>
      <c r="G888" t="inlineStr">
        <is>
          <t>Tennis Alberta</t>
        </is>
      </c>
      <c r="H888" t="inlineStr">
        <is>
          <t>Aforza</t>
        </is>
      </c>
      <c r="I888" t="inlineStr">
        <is>
          <t>unavailable</t>
        </is>
      </c>
      <c r="J888" s="4" t="n">
        <v>11</v>
      </c>
      <c r="K888" t="inlineStr">
        <is>
          <t>4 / 7</t>
        </is>
      </c>
      <c r="L888" t="inlineStr">
        <is>
          <t>4 / 7</t>
        </is>
      </c>
      <c r="M888" s="5" t="n">
        <v>0.36</v>
      </c>
      <c r="N888" s="5" t="n">
        <v>0.36</v>
      </c>
    </row>
    <row r="889">
      <c r="A889" t="n">
        <v>888</v>
      </c>
      <c r="B889" t="n">
        <v>2014</v>
      </c>
      <c r="C889" t="inlineStr">
        <is>
          <t>Baani Kaur Saini</t>
        </is>
      </c>
      <c r="D889">
        <f>HYPERLINK("https://ota.tournamentsoftware.com/player-profile/F8A85050-87CB-4D78-BB4D-4D11F0D18229", "Link")</f>
        <v/>
      </c>
      <c r="E889" s="3" t="n">
        <v>3.806</v>
      </c>
      <c r="F889" s="4" t="n">
        <v>1</v>
      </c>
      <c r="G889" t="inlineStr">
        <is>
          <t>Ontario Tennis Association</t>
        </is>
      </c>
      <c r="H889" t="inlineStr">
        <is>
          <t>Bramalea Tennis Club</t>
        </is>
      </c>
      <c r="I889" t="n">
        <v>39.3</v>
      </c>
      <c r="J889" s="4" t="n">
        <v>5</v>
      </c>
      <c r="K889" t="inlineStr">
        <is>
          <t>0 / 5</t>
        </is>
      </c>
      <c r="L889" t="inlineStr">
        <is>
          <t>0 / 0</t>
        </is>
      </c>
      <c r="M889" s="5" t="n">
        <v>0</v>
      </c>
      <c r="N889" s="5" t="n">
        <v>0</v>
      </c>
    </row>
    <row r="890">
      <c r="A890" t="n">
        <v>889</v>
      </c>
      <c r="B890" t="n">
        <v>2014</v>
      </c>
      <c r="C890" t="inlineStr">
        <is>
          <t>Della Lynn Bulmer</t>
        </is>
      </c>
      <c r="D890">
        <f>HYPERLINK("https://ota.tournamentsoftware.com/player-profile/6487BDBD-D547-439D-A14A-BDB7B38FD35A", "Link")</f>
        <v/>
      </c>
      <c r="E890" s="3" t="n">
        <v>3.763</v>
      </c>
      <c r="F890" s="4" t="n">
        <v>1</v>
      </c>
      <c r="G890" t="inlineStr">
        <is>
          <t>British Columbia</t>
        </is>
      </c>
      <c r="H890" t="inlineStr">
        <is>
          <t>Nelson Tennis Club</t>
        </is>
      </c>
      <c r="I890" t="n">
        <v>39.5</v>
      </c>
      <c r="J890" s="4" t="n">
        <v>2</v>
      </c>
      <c r="K890" t="inlineStr">
        <is>
          <t>0 / 2</t>
        </is>
      </c>
      <c r="L890" t="inlineStr">
        <is>
          <t>0 / 2</t>
        </is>
      </c>
      <c r="M890" s="5" t="n">
        <v>0</v>
      </c>
      <c r="N890" s="5" t="n">
        <v>0</v>
      </c>
    </row>
    <row r="891">
      <c r="A891" t="n">
        <v>890</v>
      </c>
      <c r="B891" t="n">
        <v>2014</v>
      </c>
      <c r="C891" t="inlineStr">
        <is>
          <t>Charlotte Lanthier</t>
        </is>
      </c>
      <c r="D891">
        <f>HYPERLINK("https://ota.tournamentsoftware.com/player-profile/930A92EC-BBE2-40FD-8684-CB6F18EAD19A", "Link")</f>
        <v/>
      </c>
      <c r="E891" s="3" t="n">
        <v>3.758</v>
      </c>
      <c r="F891" s="4" t="n">
        <v>5</v>
      </c>
      <c r="G891" t="inlineStr">
        <is>
          <t>Tennis Québec</t>
        </is>
      </c>
      <c r="H891" t="inlineStr">
        <is>
          <t>EB Tennis inc.</t>
        </is>
      </c>
      <c r="I891" t="n">
        <v>39.6</v>
      </c>
      <c r="J891" s="4" t="n">
        <v>6</v>
      </c>
      <c r="K891" t="inlineStr">
        <is>
          <t>0 / 6</t>
        </is>
      </c>
      <c r="L891" t="inlineStr">
        <is>
          <t>0 / 4</t>
        </is>
      </c>
      <c r="M891" s="5" t="n">
        <v>0</v>
      </c>
      <c r="N891" s="5" t="n">
        <v>0</v>
      </c>
    </row>
    <row r="892">
      <c r="A892" t="n">
        <v>890</v>
      </c>
      <c r="B892" t="n">
        <v>2015</v>
      </c>
      <c r="C892" t="inlineStr">
        <is>
          <t>Tamara Skayem</t>
        </is>
      </c>
      <c r="D892">
        <f>HYPERLINK("https://ota.tournamentsoftware.com/player-profile/C90206C3-DC6E-4BE3-938F-C8608F20CDD6", "Link")</f>
        <v/>
      </c>
      <c r="E892" s="3" t="n">
        <v>3.758</v>
      </c>
      <c r="F892" s="4" t="n">
        <v>1</v>
      </c>
      <c r="G892" t="inlineStr">
        <is>
          <t>Tennis Québec</t>
        </is>
      </c>
      <c r="H892" t="inlineStr">
        <is>
          <t>Club Sportif Côte-de-Liesse</t>
        </is>
      </c>
      <c r="I892" t="inlineStr">
        <is>
          <t>unavailable</t>
        </is>
      </c>
      <c r="J892" s="4" t="n">
        <v>3</v>
      </c>
      <c r="K892" t="inlineStr">
        <is>
          <t>1 / 2</t>
        </is>
      </c>
      <c r="L892" t="inlineStr">
        <is>
          <t>1 / 2</t>
        </is>
      </c>
      <c r="M892" s="5" t="n">
        <v>0.33</v>
      </c>
      <c r="N892" s="5" t="n">
        <v>0.33</v>
      </c>
    </row>
    <row r="893">
      <c r="A893" t="n">
        <v>892</v>
      </c>
      <c r="B893" t="n">
        <v>2013</v>
      </c>
      <c r="C893" t="inlineStr">
        <is>
          <t>Apphia Anderson</t>
        </is>
      </c>
      <c r="D893">
        <f>HYPERLINK("https://ota.tournamentsoftware.com/player-profile/557E4D67-D9E9-47B3-800F-DB2194C8FCA3", "Link")</f>
        <v/>
      </c>
      <c r="E893" s="3" t="n">
        <v>3.629</v>
      </c>
      <c r="F893" s="4" t="n">
        <v>2</v>
      </c>
      <c r="G893" t="inlineStr">
        <is>
          <t>Tennis Alberta</t>
        </is>
      </c>
      <c r="H893" t="inlineStr">
        <is>
          <t>No Club</t>
        </is>
      </c>
      <c r="I893" t="inlineStr">
        <is>
          <t>unavailable</t>
        </is>
      </c>
      <c r="J893" s="4" t="inlineStr"/>
      <c r="K893" t="inlineStr">
        <is>
          <t>unavailable</t>
        </is>
      </c>
      <c r="L893" t="inlineStr">
        <is>
          <t>unavailable</t>
        </is>
      </c>
      <c r="M893" s="5" t="inlineStr"/>
      <c r="N893" s="5" t="inlineStr"/>
    </row>
    <row r="894">
      <c r="A894" t="n">
        <v>892</v>
      </c>
      <c r="B894" t="n">
        <v>2014</v>
      </c>
      <c r="C894" t="inlineStr">
        <is>
          <t>Kaira Ankit Arora</t>
        </is>
      </c>
      <c r="D894">
        <f>HYPERLINK("https://ota.tournamentsoftware.com/player-profile/48CDC473-6B50-4781-BB3F-2B72F12C6320", "Link")</f>
        <v/>
      </c>
      <c r="E894" s="3" t="n">
        <v>3.629</v>
      </c>
      <c r="F894" s="4" t="n">
        <v>1</v>
      </c>
      <c r="G894" t="inlineStr">
        <is>
          <t>Ontario Tennis Association</t>
        </is>
      </c>
      <c r="H894" t="inlineStr">
        <is>
          <t>Mohawk Tennis Club</t>
        </is>
      </c>
      <c r="I894" t="n">
        <v>39.1</v>
      </c>
      <c r="J894" s="4" t="n">
        <v>26</v>
      </c>
      <c r="K894" t="inlineStr">
        <is>
          <t>2 / 24</t>
        </is>
      </c>
      <c r="L894" t="inlineStr">
        <is>
          <t>0 / 3</t>
        </is>
      </c>
      <c r="M894" s="5" t="n">
        <v>0.08</v>
      </c>
      <c r="N894" s="5" t="n">
        <v>0</v>
      </c>
    </row>
    <row r="895">
      <c r="A895" t="n">
        <v>894</v>
      </c>
      <c r="B895" t="n">
        <v>2015</v>
      </c>
      <c r="C895" t="inlineStr">
        <is>
          <t>Lea Youssef</t>
        </is>
      </c>
      <c r="D895">
        <f>HYPERLINK("https://ota.tournamentsoftware.com/player-profile/DC3DBF03-8EF5-4959-B08E-EE226DB25DE6", "Link")</f>
        <v/>
      </c>
      <c r="E895" s="3" t="n">
        <v>3.471</v>
      </c>
      <c r="F895" s="4" t="n">
        <v>1</v>
      </c>
      <c r="G895" t="inlineStr">
        <is>
          <t>Tennis Québec</t>
        </is>
      </c>
      <c r="H895" t="inlineStr">
        <is>
          <t>Tennis 13</t>
        </is>
      </c>
      <c r="I895" t="inlineStr">
        <is>
          <t>unavailable</t>
        </is>
      </c>
      <c r="J895" s="4" t="n">
        <v>2</v>
      </c>
      <c r="K895" t="inlineStr">
        <is>
          <t>0 / 2</t>
        </is>
      </c>
      <c r="L895" t="inlineStr">
        <is>
          <t>0 / 2</t>
        </is>
      </c>
      <c r="M895" s="5" t="n">
        <v>0</v>
      </c>
      <c r="N895" s="5" t="n">
        <v>0</v>
      </c>
    </row>
    <row r="896">
      <c r="A896" t="n">
        <v>895</v>
      </c>
      <c r="B896" t="n">
        <v>2012</v>
      </c>
      <c r="C896" t="inlineStr">
        <is>
          <t>Hannah Grace Burrows</t>
        </is>
      </c>
      <c r="D896">
        <f>HYPERLINK("https://ota.tournamentsoftware.com/player-profile/A4FFA0A4-EAE7-43E6-AF92-E22114BE5D8B", "Link")</f>
        <v/>
      </c>
      <c r="E896" s="3" t="n">
        <v>3.421</v>
      </c>
      <c r="F896" s="4" t="n">
        <v>2</v>
      </c>
      <c r="G896" t="inlineStr">
        <is>
          <t>Tennis Alberta</t>
        </is>
      </c>
      <c r="H896" t="inlineStr">
        <is>
          <t>The Glencoe Club</t>
        </is>
      </c>
      <c r="I896" t="n">
        <v>38.8</v>
      </c>
      <c r="J896" s="4" t="n">
        <v>28</v>
      </c>
      <c r="K896" t="inlineStr">
        <is>
          <t>6 / 22</t>
        </is>
      </c>
      <c r="L896" t="inlineStr">
        <is>
          <t>0 / 2</t>
        </is>
      </c>
      <c r="M896" s="5" t="n">
        <v>0.21</v>
      </c>
      <c r="N896" s="5" t="n">
        <v>0</v>
      </c>
    </row>
    <row r="897">
      <c r="A897" t="n">
        <v>896</v>
      </c>
      <c r="B897" t="n">
        <v>2015</v>
      </c>
      <c r="C897" t="inlineStr">
        <is>
          <t>Jade Adepetu</t>
        </is>
      </c>
      <c r="D897">
        <f>HYPERLINK("https://ota.tournamentsoftware.com/player-profile/44B25337-8306-4D62-BB4F-8BAB0C726BA7", "Link")</f>
        <v/>
      </c>
      <c r="E897" s="3" t="n">
        <v>3.326</v>
      </c>
      <c r="F897" s="4" t="n">
        <v>4</v>
      </c>
      <c r="G897" t="inlineStr">
        <is>
          <t>Tennis Alberta</t>
        </is>
      </c>
      <c r="H897" t="inlineStr">
        <is>
          <t>Osten &amp; Victor Alberta Tennis Centre</t>
        </is>
      </c>
      <c r="I897" t="inlineStr">
        <is>
          <t>unavailable</t>
        </is>
      </c>
      <c r="J897" s="4" t="n">
        <v>25</v>
      </c>
      <c r="K897" t="inlineStr">
        <is>
          <t>6 / 19</t>
        </is>
      </c>
      <c r="L897" t="inlineStr">
        <is>
          <t>5 / 9</t>
        </is>
      </c>
      <c r="M897" s="5" t="n">
        <v>0.24</v>
      </c>
      <c r="N897" s="5" t="n">
        <v>0.36</v>
      </c>
    </row>
    <row r="898">
      <c r="A898" t="n">
        <v>897</v>
      </c>
      <c r="B898" t="n">
        <v>2015</v>
      </c>
      <c r="C898" t="inlineStr">
        <is>
          <t>Alison Kao</t>
        </is>
      </c>
      <c r="D898">
        <f>HYPERLINK("https://ota.tournamentsoftware.com/player-profile/BAEC89E7-F54C-49F7-AA56-227606797D02", "Link")</f>
        <v/>
      </c>
      <c r="E898" s="3" t="n">
        <v>3.24</v>
      </c>
      <c r="F898" s="4" t="n">
        <v>3</v>
      </c>
      <c r="G898" t="inlineStr">
        <is>
          <t>Tennis Alberta</t>
        </is>
      </c>
      <c r="H898" t="inlineStr">
        <is>
          <t>Osten &amp; Victor Alberta Tennis Centre</t>
        </is>
      </c>
      <c r="I898" t="n">
        <v>40</v>
      </c>
      <c r="J898" s="4" t="n">
        <v>40</v>
      </c>
      <c r="K898" t="inlineStr">
        <is>
          <t>18 / 22</t>
        </is>
      </c>
      <c r="L898" t="inlineStr">
        <is>
          <t>8 / 7</t>
        </is>
      </c>
      <c r="M898" s="5" t="n">
        <v>0.45</v>
      </c>
      <c r="N898" s="5" t="n">
        <v>0.53</v>
      </c>
    </row>
    <row r="899">
      <c r="A899" t="n">
        <v>897</v>
      </c>
      <c r="B899" t="n">
        <v>2016</v>
      </c>
      <c r="C899" t="inlineStr">
        <is>
          <t>Bella Huang</t>
        </is>
      </c>
      <c r="D899">
        <f>HYPERLINK("https://ota.tournamentsoftware.com/player-profile/468B6432-F842-48F8-9A02-3A80761D962B", "Link")</f>
        <v/>
      </c>
      <c r="E899" s="3" t="n">
        <v>3.24</v>
      </c>
      <c r="F899" s="4" t="n">
        <v>1</v>
      </c>
      <c r="G899" t="inlineStr">
        <is>
          <t>British Columbia</t>
        </is>
      </c>
      <c r="H899" t="inlineStr">
        <is>
          <t>Richmond Country Club</t>
        </is>
      </c>
      <c r="I899" t="n">
        <v>38.1</v>
      </c>
      <c r="J899" s="4" t="n">
        <v>33</v>
      </c>
      <c r="K899" t="inlineStr">
        <is>
          <t>10 / 23</t>
        </is>
      </c>
      <c r="L899" t="inlineStr">
        <is>
          <t>2 / 3</t>
        </is>
      </c>
      <c r="M899" s="5" t="n">
        <v>0.3</v>
      </c>
      <c r="N899" s="5" t="n">
        <v>0.4</v>
      </c>
    </row>
    <row r="900">
      <c r="A900" t="n">
        <v>897</v>
      </c>
      <c r="B900" t="n">
        <v>2014</v>
      </c>
      <c r="C900" t="inlineStr">
        <is>
          <t>Evelyn Foley</t>
        </is>
      </c>
      <c r="D900">
        <f>HYPERLINK("https://ota.tournamentsoftware.com/player-profile/1F8F4FE3-682A-4202-963D-8D61AA21A323", "Link")</f>
        <v/>
      </c>
      <c r="E900" s="3" t="n">
        <v>3.24</v>
      </c>
      <c r="F900" s="4" t="n">
        <v>1</v>
      </c>
      <c r="G900" t="inlineStr">
        <is>
          <t>British Columbia</t>
        </is>
      </c>
      <c r="H900" t="inlineStr">
        <is>
          <t>North Shore Winter Club</t>
        </is>
      </c>
      <c r="I900" t="n">
        <v>35.8</v>
      </c>
      <c r="J900" s="4" t="n">
        <v>3</v>
      </c>
      <c r="K900" t="inlineStr">
        <is>
          <t>2 / 1</t>
        </is>
      </c>
      <c r="L900" t="inlineStr">
        <is>
          <t>2 / 1</t>
        </is>
      </c>
      <c r="M900" s="5" t="n">
        <v>0.67</v>
      </c>
      <c r="N900" s="5" t="n">
        <v>0.67</v>
      </c>
    </row>
    <row r="901">
      <c r="A901" t="n">
        <v>900</v>
      </c>
      <c r="B901" t="n">
        <v>2014</v>
      </c>
      <c r="C901" t="inlineStr">
        <is>
          <t>Amaara Bhardwaj</t>
        </is>
      </c>
      <c r="D901">
        <f>HYPERLINK("https://ota.tournamentsoftware.com/player-profile/5E30A7A6-4E75-4094-9C50-E36BC2D57510", "Link")</f>
        <v/>
      </c>
      <c r="E901" s="3" t="n">
        <v>3.098</v>
      </c>
      <c r="F901" s="4" t="n">
        <v>1</v>
      </c>
      <c r="G901" t="inlineStr">
        <is>
          <t>British Columbia</t>
        </is>
      </c>
      <c r="H901" t="inlineStr">
        <is>
          <t>No Club</t>
        </is>
      </c>
      <c r="I901" t="n">
        <v>39.7</v>
      </c>
      <c r="J901" s="4" t="n">
        <v>15</v>
      </c>
      <c r="K901" t="inlineStr">
        <is>
          <t>7 / 8</t>
        </is>
      </c>
      <c r="L901" t="inlineStr">
        <is>
          <t>0 / 2</t>
        </is>
      </c>
      <c r="M901" s="5" t="n">
        <v>0.47</v>
      </c>
      <c r="N901" s="5" t="n">
        <v>0</v>
      </c>
    </row>
  </sheetData>
  <autoFilter ref="A1:N9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20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Brielle Amey</t>
        </is>
      </c>
      <c r="D4">
        <f>HYPERLINK("https://ota.tournamentsoftware.com/player-profile/11C037E9-F5E8-42BC-A8A0-6F4982B8329D", "Link")</f>
        <v/>
      </c>
      <c r="E4" s="3" t="n">
        <v>10198.4</v>
      </c>
      <c r="F4" s="4" t="n">
        <v>13</v>
      </c>
      <c r="G4" t="inlineStr">
        <is>
          <t>Ontario Tennis Association</t>
        </is>
      </c>
      <c r="H4" t="inlineStr">
        <is>
          <t>City of Kitchener</t>
        </is>
      </c>
      <c r="I4" t="n">
        <v>18.1</v>
      </c>
      <c r="J4" s="4" t="n">
        <v>31</v>
      </c>
      <c r="K4" t="inlineStr">
        <is>
          <t>23 / 8</t>
        </is>
      </c>
      <c r="L4" t="inlineStr">
        <is>
          <t>0 / 0</t>
        </is>
      </c>
      <c r="M4" s="5" t="n">
        <v>0.74</v>
      </c>
      <c r="N4" s="5" t="n">
        <v>0</v>
      </c>
    </row>
    <row r="5">
      <c r="A5" t="n">
        <v>4</v>
      </c>
      <c r="B5" t="n">
        <v>2012</v>
      </c>
      <c r="C5" t="inlineStr">
        <is>
          <t>Emma Cuirassier</t>
        </is>
      </c>
      <c r="D5">
        <f>HYPERLINK("https://ota.tournamentsoftware.com/player-profile/88442A27-D4CA-4614-86BE-89F6BAFA4C36", "Link")</f>
        <v/>
      </c>
      <c r="E5" s="3" t="n">
        <v>9585.811</v>
      </c>
      <c r="F5" s="4" t="n">
        <v>11</v>
      </c>
      <c r="G5" t="inlineStr">
        <is>
          <t>Tennis Québec</t>
        </is>
      </c>
      <c r="H5" t="inlineStr">
        <is>
          <t>Tennis Montréal Excellence</t>
        </is>
      </c>
      <c r="I5" t="n">
        <v>19.3</v>
      </c>
      <c r="J5" s="4" t="n">
        <v>304</v>
      </c>
      <c r="K5" t="inlineStr">
        <is>
          <t>198 / 106</t>
        </is>
      </c>
      <c r="L5" t="inlineStr">
        <is>
          <t>10 / 4</t>
        </is>
      </c>
      <c r="M5" s="5" t="n">
        <v>0.65</v>
      </c>
      <c r="N5" s="5" t="n">
        <v>0.71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20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17.8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Emma Ciobanu</t>
        </is>
      </c>
      <c r="D7">
        <f>HYPERLINK("https://ota.tournamentsoftware.com/player-profile/3FF64A25-D930-4C5E-8E36-3F04D7602157", "Link")</f>
        <v/>
      </c>
      <c r="E7" s="3" t="n">
        <v>8554.24</v>
      </c>
      <c r="F7" s="4" t="n">
        <v>18</v>
      </c>
      <c r="G7" t="inlineStr">
        <is>
          <t>Tennis Québec</t>
        </is>
      </c>
      <c r="H7" t="inlineStr">
        <is>
          <t>No Club</t>
        </is>
      </c>
      <c r="I7" t="n">
        <v>21.7</v>
      </c>
      <c r="J7" s="4" t="n">
        <v>445</v>
      </c>
      <c r="K7" t="inlineStr">
        <is>
          <t>254 / 191</t>
        </is>
      </c>
      <c r="L7" t="inlineStr">
        <is>
          <t>12 / 9</t>
        </is>
      </c>
      <c r="M7" s="5" t="n">
        <v>0.57</v>
      </c>
      <c r="N7" s="5" t="n">
        <v>0.57</v>
      </c>
    </row>
    <row r="8">
      <c r="A8" t="n">
        <v>7</v>
      </c>
      <c r="B8" t="n">
        <v>2012</v>
      </c>
      <c r="C8" t="inlineStr">
        <is>
          <t>Victoria Koniouchine</t>
        </is>
      </c>
      <c r="D8">
        <f>HYPERLINK("https://ota.tournamentsoftware.com/player-profile/4F2575CB-84B4-4072-ABEF-7652A7E74DBA", "Link")</f>
        <v/>
      </c>
      <c r="E8" s="3" t="n">
        <v>8177</v>
      </c>
      <c r="F8" s="4" t="n">
        <v>14</v>
      </c>
      <c r="G8" t="inlineStr">
        <is>
          <t>Tennis Québec</t>
        </is>
      </c>
      <c r="H8" t="inlineStr">
        <is>
          <t>Tennis Montréal Excellence</t>
        </is>
      </c>
      <c r="I8" t="n">
        <v>20.8</v>
      </c>
      <c r="J8" s="4" t="n">
        <v>380</v>
      </c>
      <c r="K8" t="inlineStr">
        <is>
          <t>244 / 136</t>
        </is>
      </c>
      <c r="L8" t="inlineStr">
        <is>
          <t>22 / 6</t>
        </is>
      </c>
      <c r="M8" s="5" t="n">
        <v>0.64</v>
      </c>
      <c r="N8" s="5" t="n">
        <v>0.79</v>
      </c>
    </row>
    <row r="9">
      <c r="A9" t="n">
        <v>8</v>
      </c>
      <c r="B9" t="n">
        <v>2012</v>
      </c>
      <c r="C9" t="inlineStr">
        <is>
          <t>Ruijing Chen</t>
        </is>
      </c>
      <c r="D9">
        <f>HYPERLINK("https://ota.tournamentsoftware.com/player-profile/CF3F9020-5B8A-4448-8412-B206DFD70D34", "Link")</f>
        <v/>
      </c>
      <c r="E9" s="3" t="n">
        <v>8026.067</v>
      </c>
      <c r="F9" s="4" t="n">
        <v>20</v>
      </c>
      <c r="G9" t="inlineStr">
        <is>
          <t>British Columbia</t>
        </is>
      </c>
      <c r="H9" t="inlineStr">
        <is>
          <t>North Vancouver Tennis Centre</t>
        </is>
      </c>
      <c r="I9" t="n">
        <v>20.5</v>
      </c>
      <c r="J9" s="4" t="n">
        <v>272</v>
      </c>
      <c r="K9" t="inlineStr">
        <is>
          <t>158 / 114</t>
        </is>
      </c>
      <c r="L9" t="inlineStr">
        <is>
          <t>40 / 19</t>
        </is>
      </c>
      <c r="M9" s="5" t="n">
        <v>0.58</v>
      </c>
      <c r="N9" s="5" t="n">
        <v>0.68</v>
      </c>
    </row>
    <row r="10">
      <c r="A10" t="n">
        <v>9</v>
      </c>
      <c r="B10" t="n">
        <v>2012</v>
      </c>
      <c r="C10" t="inlineStr">
        <is>
          <t>Karina Swaminath</t>
        </is>
      </c>
      <c r="D10">
        <f>HYPERLINK("https://ota.tournamentsoftware.com/player-profile/4DB9D061-D74F-4482-87A3-9C7480D14EFD", "Link")</f>
        <v/>
      </c>
      <c r="E10" s="3" t="n">
        <v>7284.4</v>
      </c>
      <c r="F10" s="4" t="n">
        <v>20</v>
      </c>
      <c r="G10" t="inlineStr">
        <is>
          <t>Ontario Tennis Association</t>
        </is>
      </c>
      <c r="H10" t="inlineStr">
        <is>
          <t>Premier Racquet Clubs – Mississauga</t>
        </is>
      </c>
      <c r="I10" t="n">
        <v>20.7</v>
      </c>
      <c r="J10" s="4" t="n">
        <v>318</v>
      </c>
      <c r="K10" t="inlineStr">
        <is>
          <t>206 / 112</t>
        </is>
      </c>
      <c r="L10" t="inlineStr">
        <is>
          <t>43 / 19</t>
        </is>
      </c>
      <c r="M10" s="5" t="n">
        <v>0.65</v>
      </c>
      <c r="N10" s="5" t="n">
        <v>0.6899999999999999</v>
      </c>
    </row>
    <row r="11">
      <c r="A11" t="n">
        <v>10</v>
      </c>
      <c r="B11" t="n">
        <v>2013</v>
      </c>
      <c r="C11" t="inlineStr">
        <is>
          <t>Callie Raharinosy</t>
        </is>
      </c>
      <c r="D11">
        <f>HYPERLINK("https://ota.tournamentsoftware.com/player-profile/C3BB19C9-39F8-4DF4-A576-AAB3D92B85C3", "Link")</f>
        <v/>
      </c>
      <c r="E11" s="3" t="n">
        <v>7178.294</v>
      </c>
      <c r="F11" s="4" t="n">
        <v>13</v>
      </c>
      <c r="G11" t="inlineStr">
        <is>
          <t>Ontario Tennis Association</t>
        </is>
      </c>
      <c r="H11" t="inlineStr">
        <is>
          <t>Richmondhill Golf &amp; Country Club</t>
        </is>
      </c>
      <c r="I11" t="n">
        <v>20.7</v>
      </c>
      <c r="J11" s="4" t="n">
        <v>243</v>
      </c>
      <c r="K11" t="inlineStr">
        <is>
          <t>157 / 86</t>
        </is>
      </c>
      <c r="L11" t="inlineStr">
        <is>
          <t>26 / 11</t>
        </is>
      </c>
      <c r="M11" s="5" t="n">
        <v>0.65</v>
      </c>
      <c r="N11" s="5" t="n">
        <v>0.7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6870.005</v>
      </c>
      <c r="F12" s="4" t="n">
        <v>21</v>
      </c>
      <c r="G12" t="inlineStr">
        <is>
          <t>British Columbia</t>
        </is>
      </c>
      <c r="H12" t="inlineStr">
        <is>
          <t>Kamloops Tennis Centre</t>
        </is>
      </c>
      <c r="I12" t="n">
        <v>20</v>
      </c>
      <c r="J12" s="4" t="n">
        <v>240</v>
      </c>
      <c r="K12" t="inlineStr">
        <is>
          <t>161 / 79</t>
        </is>
      </c>
      <c r="L12" t="inlineStr">
        <is>
          <t>40 / 17</t>
        </is>
      </c>
      <c r="M12" s="5" t="n">
        <v>0.67</v>
      </c>
      <c r="N12" s="5" t="n">
        <v>0.7</v>
      </c>
    </row>
    <row r="13">
      <c r="A13" t="n">
        <v>12</v>
      </c>
      <c r="B13" t="n">
        <v>2012</v>
      </c>
      <c r="C13" t="inlineStr">
        <is>
          <t>Elise Chen</t>
        </is>
      </c>
      <c r="D13">
        <f>HYPERLINK("https://ota.tournamentsoftware.com/player-profile/8E8A2CD5-37E0-4690-A780-846D1895BB0A", "Link")</f>
        <v/>
      </c>
      <c r="E13" s="3" t="n">
        <v>6210.149</v>
      </c>
      <c r="F13" s="4" t="n">
        <v>18</v>
      </c>
      <c r="G13" t="inlineStr">
        <is>
          <t>Tennis Québec</t>
        </is>
      </c>
      <c r="H13" t="inlineStr">
        <is>
          <t>AA Autre club</t>
        </is>
      </c>
      <c r="I13" t="n">
        <v>20.5</v>
      </c>
      <c r="J13" s="4" t="n">
        <v>341</v>
      </c>
      <c r="K13" t="inlineStr">
        <is>
          <t>225 / 116</t>
        </is>
      </c>
      <c r="L13" t="inlineStr">
        <is>
          <t>44 / 14</t>
        </is>
      </c>
      <c r="M13" s="5" t="n">
        <v>0.66</v>
      </c>
      <c r="N13" s="5" t="n">
        <v>0.76</v>
      </c>
    </row>
    <row r="14">
      <c r="A14" t="n">
        <v>13</v>
      </c>
      <c r="B14" t="n">
        <v>2012</v>
      </c>
      <c r="C14" t="inlineStr">
        <is>
          <t>kendra zhang</t>
        </is>
      </c>
      <c r="D14">
        <f>HYPERLINK("https://ota.tournamentsoftware.com/player-profile/23508257-17E1-4A1F-A208-90A41A8C5BC8", "Link")</f>
        <v/>
      </c>
      <c r="E14" s="3" t="n">
        <v>6085.707</v>
      </c>
      <c r="F14" s="4" t="n">
        <v>16</v>
      </c>
      <c r="G14" t="inlineStr">
        <is>
          <t>Tennis Alberta</t>
        </is>
      </c>
      <c r="H14" t="inlineStr">
        <is>
          <t>Osten &amp; Victor Alberta Tennis Centre</t>
        </is>
      </c>
      <c r="I14" t="n">
        <v>20.3</v>
      </c>
      <c r="J14" s="4" t="n">
        <v>315</v>
      </c>
      <c r="K14" t="inlineStr">
        <is>
          <t>248 / 67</t>
        </is>
      </c>
      <c r="L14" t="inlineStr">
        <is>
          <t>39 / 5</t>
        </is>
      </c>
      <c r="M14" s="5" t="n">
        <v>0.79</v>
      </c>
      <c r="N14" s="5" t="n">
        <v>0.89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14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20.7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5765.184</v>
      </c>
      <c r="F16" s="4" t="n">
        <v>15</v>
      </c>
      <c r="G16" t="inlineStr">
        <is>
          <t>Ontario Tennis Association</t>
        </is>
      </c>
      <c r="H16" t="inlineStr">
        <is>
          <t>Guildwood Tennis Club</t>
        </is>
      </c>
      <c r="I16" t="n">
        <v>19</v>
      </c>
      <c r="J16" s="4" t="n">
        <v>261</v>
      </c>
      <c r="K16" t="inlineStr">
        <is>
          <t>164 / 97</t>
        </is>
      </c>
      <c r="L16" t="inlineStr">
        <is>
          <t>36 / 15</t>
        </is>
      </c>
      <c r="M16" s="5" t="n">
        <v>0.63</v>
      </c>
      <c r="N16" s="5" t="n">
        <v>0.71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22</v>
      </c>
      <c r="G17" t="inlineStr">
        <is>
          <t>British Columbia</t>
        </is>
      </c>
      <c r="H17" t="inlineStr">
        <is>
          <t>North Vancouver Tennis Centre</t>
        </is>
      </c>
      <c r="I17" t="n">
        <v>22.3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23</v>
      </c>
      <c r="G18" t="inlineStr">
        <is>
          <t>Ontario Tennis Association</t>
        </is>
      </c>
      <c r="H18" t="inlineStr">
        <is>
          <t>North Toronto Tennis Club</t>
        </is>
      </c>
      <c r="I18" t="n">
        <v>21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19</v>
      </c>
      <c r="G20" t="inlineStr">
        <is>
          <t>Ontario Tennis Association</t>
        </is>
      </c>
      <c r="H20" t="inlineStr">
        <is>
          <t>10XTO</t>
        </is>
      </c>
      <c r="I20" t="n">
        <v>21.6</v>
      </c>
      <c r="J20" s="4" t="n">
        <v>343</v>
      </c>
      <c r="K20" t="inlineStr">
        <is>
          <t>237 / 106</t>
        </is>
      </c>
      <c r="L20" t="inlineStr">
        <is>
          <t>45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11</v>
      </c>
      <c r="G21" t="inlineStr">
        <is>
          <t>British Columbia</t>
        </is>
      </c>
      <c r="H21" t="inlineStr">
        <is>
          <t>Jericho Tennis Club</t>
        </is>
      </c>
      <c r="I21" t="n">
        <v>21.4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13</v>
      </c>
      <c r="G22" t="inlineStr">
        <is>
          <t>British Columbia</t>
        </is>
      </c>
      <c r="H22" t="inlineStr">
        <is>
          <t>No Club</t>
        </is>
      </c>
      <c r="I22" t="n">
        <v>21.4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22</v>
      </c>
      <c r="G23" t="inlineStr">
        <is>
          <t>Tennis Québec</t>
        </is>
      </c>
      <c r="H23" t="inlineStr">
        <is>
          <t>Tennis 13</t>
        </is>
      </c>
      <c r="I23" t="n">
        <v>22.5</v>
      </c>
      <c r="J23" s="4" t="n">
        <v>312</v>
      </c>
      <c r="K23" t="inlineStr">
        <is>
          <t>196 / 116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14</v>
      </c>
      <c r="G24" t="inlineStr">
        <is>
          <t>British Columbia</t>
        </is>
      </c>
      <c r="H24" t="inlineStr">
        <is>
          <t>Burnaby Tennis Club</t>
        </is>
      </c>
      <c r="I24" t="n">
        <v>22.4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Victoria Cui</t>
        </is>
      </c>
      <c r="D25">
        <f>HYPERLINK("https://ota.tournamentsoftware.com/player-profile/0645977B-E01D-437B-A80F-04D3BC7B5871", "Link")</f>
        <v/>
      </c>
      <c r="E25" s="3" t="n">
        <v>3957.76</v>
      </c>
      <c r="F25" s="4" t="n">
        <v>22</v>
      </c>
      <c r="G25" t="inlineStr">
        <is>
          <t>Ontario Tennis Association</t>
        </is>
      </c>
      <c r="H25" t="inlineStr">
        <is>
          <t>Mayfair East Racquet Club</t>
        </is>
      </c>
      <c r="I25" t="n">
        <v>23.4</v>
      </c>
      <c r="J25" s="4" t="n">
        <v>256</v>
      </c>
      <c r="K25" t="inlineStr">
        <is>
          <t>165 / 91</t>
        </is>
      </c>
      <c r="L25" t="inlineStr">
        <is>
          <t>37 / 18</t>
        </is>
      </c>
      <c r="M25" s="5" t="n">
        <v>0.64</v>
      </c>
      <c r="N25" s="5" t="n">
        <v>0.67</v>
      </c>
    </row>
    <row r="26">
      <c r="A26" t="n">
        <v>25</v>
      </c>
      <c r="B26" t="n">
        <v>2012</v>
      </c>
      <c r="C26" t="inlineStr">
        <is>
          <t>mackenzie zeidel</t>
        </is>
      </c>
      <c r="D26">
        <f>HYPERLINK("https://ota.tournamentsoftware.com/player-profile/3BADD9C6-CD9A-4858-8E91-EA11AA267135", "Link")</f>
        <v/>
      </c>
      <c r="E26" s="3" t="n">
        <v>3863.288</v>
      </c>
      <c r="F26" s="4" t="n">
        <v>11</v>
      </c>
      <c r="G26" t="inlineStr">
        <is>
          <t>Ontario Tennis Association</t>
        </is>
      </c>
      <c r="H26" t="inlineStr">
        <is>
          <t>Toronto Cricket Skating &amp; Curling</t>
        </is>
      </c>
      <c r="I26" t="n">
        <v>21.3</v>
      </c>
      <c r="J26" s="4" t="n">
        <v>258</v>
      </c>
      <c r="K26" t="inlineStr">
        <is>
          <t>172 / 86</t>
        </is>
      </c>
      <c r="L26" t="inlineStr">
        <is>
          <t>25 / 13</t>
        </is>
      </c>
      <c r="M26" s="5" t="n">
        <v>0.67</v>
      </c>
      <c r="N26" s="5" t="n">
        <v>0.66</v>
      </c>
    </row>
    <row r="27">
      <c r="A27" t="n">
        <v>26</v>
      </c>
      <c r="B27" t="n">
        <v>2013</v>
      </c>
      <c r="C27" t="inlineStr">
        <is>
          <t>Nadine Belmabrouk</t>
        </is>
      </c>
      <c r="D27">
        <f>HYPERLINK("https://ota.tournamentsoftware.com/player-profile/D855A2D9-8E65-4961-858B-62D00F053DDA", "Link")</f>
        <v/>
      </c>
      <c r="E27" s="3" t="n">
        <v>3642.089</v>
      </c>
      <c r="F27" s="4" t="n">
        <v>15</v>
      </c>
      <c r="G27" t="inlineStr">
        <is>
          <t>Tennis Québec</t>
        </is>
      </c>
      <c r="H27" t="inlineStr">
        <is>
          <t>Tennis Ile- des- Soeurs</t>
        </is>
      </c>
      <c r="I27" t="n">
        <v>22.6</v>
      </c>
      <c r="J27" s="4" t="n">
        <v>268</v>
      </c>
      <c r="K27" t="inlineStr">
        <is>
          <t>181 / 87</t>
        </is>
      </c>
      <c r="L27" t="inlineStr">
        <is>
          <t>42 / 16</t>
        </is>
      </c>
      <c r="M27" s="5" t="n">
        <v>0.68</v>
      </c>
      <c r="N27" s="5" t="n">
        <v>0.72</v>
      </c>
    </row>
    <row r="28">
      <c r="A28" t="n">
        <v>27</v>
      </c>
      <c r="B28" t="n">
        <v>2014</v>
      </c>
      <c r="C28" t="inlineStr">
        <is>
          <t>Yoyo Siyi Li</t>
        </is>
      </c>
      <c r="D28">
        <f>HYPERLINK("https://ota.tournamentsoftware.com/player-profile/E0E18831-EA34-4F88-BD1F-E79079687846", "Link")</f>
        <v/>
      </c>
      <c r="E28" s="3" t="n">
        <v>3589.518</v>
      </c>
      <c r="F28" s="4" t="n">
        <v>12</v>
      </c>
      <c r="G28" t="inlineStr">
        <is>
          <t>Tennis Saskatchewan</t>
        </is>
      </c>
      <c r="H28" t="inlineStr">
        <is>
          <t>Lakeshore Tennis Club</t>
        </is>
      </c>
      <c r="I28" t="inlineStr">
        <is>
          <t>unavailable</t>
        </is>
      </c>
      <c r="J28" s="4" t="n">
        <v>250</v>
      </c>
      <c r="K28" t="inlineStr">
        <is>
          <t>175 / 75</t>
        </is>
      </c>
      <c r="L28" t="inlineStr">
        <is>
          <t>57 / 12</t>
        </is>
      </c>
      <c r="M28" s="5" t="n">
        <v>0.7</v>
      </c>
      <c r="N28" s="5" t="n">
        <v>0.83</v>
      </c>
    </row>
    <row r="29">
      <c r="A29" t="n">
        <v>28</v>
      </c>
      <c r="B29" t="n">
        <v>2012</v>
      </c>
      <c r="C29" t="inlineStr">
        <is>
          <t>Hailey MacDonald</t>
        </is>
      </c>
      <c r="D29">
        <f>HYPERLINK("https://ota.tournamentsoftware.com/player-profile/7B752A16-6837-4A5A-AFD8-83F950F37834", "Link")</f>
        <v/>
      </c>
      <c r="E29" s="3" t="n">
        <v>3466.484</v>
      </c>
      <c r="F29" s="4" t="n">
        <v>14</v>
      </c>
      <c r="G29" t="inlineStr">
        <is>
          <t>Ontario Tennis Association</t>
        </is>
      </c>
      <c r="H29" t="inlineStr">
        <is>
          <t>Advantage Tennis International at Veneto</t>
        </is>
      </c>
      <c r="I29" t="n">
        <v>24</v>
      </c>
      <c r="J29" s="4" t="n">
        <v>331</v>
      </c>
      <c r="K29" t="inlineStr">
        <is>
          <t>227 / 104</t>
        </is>
      </c>
      <c r="L29" t="inlineStr">
        <is>
          <t>23 / 9</t>
        </is>
      </c>
      <c r="M29" s="5" t="n">
        <v>0.6899999999999999</v>
      </c>
      <c r="N29" s="5" t="n">
        <v>0.72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20</v>
      </c>
      <c r="G30" t="inlineStr">
        <is>
          <t>Tennis Alberta</t>
        </is>
      </c>
      <c r="H30" t="inlineStr">
        <is>
          <t>Aforza</t>
        </is>
      </c>
      <c r="I30" t="n">
        <v>23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22.7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28</v>
      </c>
      <c r="G32" t="inlineStr">
        <is>
          <t>Tennis Québec</t>
        </is>
      </c>
      <c r="H32" t="inlineStr">
        <is>
          <t>SANI Sport</t>
        </is>
      </c>
      <c r="I32" t="n">
        <v>24.1</v>
      </c>
      <c r="J32" s="4" t="n">
        <v>385</v>
      </c>
      <c r="K32" t="inlineStr">
        <is>
          <t>238 / 147</t>
        </is>
      </c>
      <c r="L32" t="inlineStr">
        <is>
          <t>47 / 28</t>
        </is>
      </c>
      <c r="M32" s="5" t="n">
        <v>0.62</v>
      </c>
      <c r="N32" s="5" t="n">
        <v>0.63</v>
      </c>
    </row>
    <row r="33">
      <c r="A33" t="n">
        <v>32</v>
      </c>
      <c r="B33" t="n">
        <v>2013</v>
      </c>
      <c r="C33" t="inlineStr">
        <is>
          <t>Valesca Calabrese</t>
        </is>
      </c>
      <c r="D33">
        <f>HYPERLINK("https://ota.tournamentsoftware.com/player-profile/B0833DD4-B006-4DA5-A204-F5A1B4F3FABB", "Link")</f>
        <v/>
      </c>
      <c r="E33" s="3" t="n">
        <v>3053.02</v>
      </c>
      <c r="F33" s="4" t="n">
        <v>24</v>
      </c>
      <c r="G33" t="inlineStr">
        <is>
          <t>Ontario Tennis Association</t>
        </is>
      </c>
      <c r="H33" t="inlineStr">
        <is>
          <t>Kingston Racquet Centre</t>
        </is>
      </c>
      <c r="I33" t="n">
        <v>24.1</v>
      </c>
      <c r="J33" s="4" t="n">
        <v>272</v>
      </c>
      <c r="K33" t="inlineStr">
        <is>
          <t>182 / 90</t>
        </is>
      </c>
      <c r="L33" t="inlineStr">
        <is>
          <t>33 / 14</t>
        </is>
      </c>
      <c r="M33" s="5" t="n">
        <v>0.67</v>
      </c>
      <c r="N33" s="5" t="n">
        <v>0.7</v>
      </c>
    </row>
    <row r="34">
      <c r="A34" t="n">
        <v>33</v>
      </c>
      <c r="B34" t="n">
        <v>2012</v>
      </c>
      <c r="C34" t="inlineStr">
        <is>
          <t>Sophie Rachel Murray</t>
        </is>
      </c>
      <c r="D34">
        <f>HYPERLINK("https://ota.tournamentsoftware.com/player-profile/ADAA4094-7084-435C-80A6-9DA79EB19D3F", "Link")</f>
        <v/>
      </c>
      <c r="E34" s="3" t="n">
        <v>2878.56</v>
      </c>
      <c r="F34" s="4" t="n">
        <v>16</v>
      </c>
      <c r="G34" t="inlineStr">
        <is>
          <t>Tennis Alberta</t>
        </is>
      </c>
      <c r="H34" t="inlineStr">
        <is>
          <t>Osten &amp; Victor Alberta Tennis Centre</t>
        </is>
      </c>
      <c r="I34" t="n">
        <v>21.5</v>
      </c>
      <c r="J34" s="4" t="n">
        <v>322</v>
      </c>
      <c r="K34" t="inlineStr">
        <is>
          <t>194 / 128</t>
        </is>
      </c>
      <c r="L34" t="inlineStr">
        <is>
          <t>20 / 6</t>
        </is>
      </c>
      <c r="M34" s="5" t="n">
        <v>0.6</v>
      </c>
      <c r="N34" s="5" t="n">
        <v>0.77</v>
      </c>
    </row>
    <row r="35">
      <c r="A35" t="n">
        <v>34</v>
      </c>
      <c r="B35" t="n">
        <v>2013</v>
      </c>
      <c r="C35" t="inlineStr">
        <is>
          <t>Mia Zhou</t>
        </is>
      </c>
      <c r="D35">
        <f>HYPERLINK("https://ota.tournamentsoftware.com/player-profile/88191DA6-771E-497F-B932-CBADA674D329", "Link")</f>
        <v/>
      </c>
      <c r="E35" s="3" t="n">
        <v>2807.223</v>
      </c>
      <c r="F35" s="4" t="n">
        <v>24</v>
      </c>
      <c r="G35" t="inlineStr">
        <is>
          <t>Ontario Tennis Association</t>
        </is>
      </c>
      <c r="H35" t="inlineStr">
        <is>
          <t>Richmondhill Golf &amp; Country Club</t>
        </is>
      </c>
      <c r="I35" t="n">
        <v>23.7</v>
      </c>
      <c r="J35" s="4" t="n">
        <v>262</v>
      </c>
      <c r="K35" t="inlineStr">
        <is>
          <t>146 / 116</t>
        </is>
      </c>
      <c r="L35" t="inlineStr">
        <is>
          <t>45 / 28</t>
        </is>
      </c>
      <c r="M35" s="5" t="n">
        <v>0.5600000000000001</v>
      </c>
      <c r="N35" s="5" t="n">
        <v>0.62</v>
      </c>
    </row>
    <row r="36">
      <c r="A36" t="n">
        <v>35</v>
      </c>
      <c r="B36" t="n">
        <v>2012</v>
      </c>
      <c r="C36" t="inlineStr">
        <is>
          <t>Misaki Rukovanjski</t>
        </is>
      </c>
      <c r="D36">
        <f>HYPERLINK("https://ota.tournamentsoftware.com/player-profile/CECDBF80-C74F-40ED-B426-04CA75BF14C1", "Link")</f>
        <v/>
      </c>
      <c r="E36" s="3" t="n">
        <v>2508.838</v>
      </c>
      <c r="F36" s="4" t="n">
        <v>23</v>
      </c>
      <c r="G36" t="inlineStr">
        <is>
          <t>Ontario Tennis Association</t>
        </is>
      </c>
      <c r="H36" t="inlineStr">
        <is>
          <t>No Club</t>
        </is>
      </c>
      <c r="I36" t="n">
        <v>24.1</v>
      </c>
      <c r="J36" s="4" t="n">
        <v>277</v>
      </c>
      <c r="K36" t="inlineStr">
        <is>
          <t>176 / 101</t>
        </is>
      </c>
      <c r="L36" t="inlineStr">
        <is>
          <t>32 / 21</t>
        </is>
      </c>
      <c r="M36" s="5" t="n">
        <v>0.64</v>
      </c>
      <c r="N36" s="5" t="n">
        <v>0.6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2464.817</v>
      </c>
      <c r="F37" s="4" t="n">
        <v>17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24.8</v>
      </c>
      <c r="J37" s="4" t="n">
        <v>179</v>
      </c>
      <c r="K37" t="inlineStr">
        <is>
          <t>95 / 84</t>
        </is>
      </c>
      <c r="L37" t="inlineStr">
        <is>
          <t>25 / 18</t>
        </is>
      </c>
      <c r="M37" s="5" t="n">
        <v>0.53</v>
      </c>
      <c r="N37" s="5" t="n">
        <v>0.58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24.5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10</v>
      </c>
      <c r="G39" t="inlineStr">
        <is>
          <t>Ontario Tennis Association</t>
        </is>
      </c>
      <c r="H39" t="inlineStr">
        <is>
          <t>Carleton Tennis Centre</t>
        </is>
      </c>
      <c r="I39" t="n">
        <v>26.9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25.3</v>
      </c>
      <c r="J40" s="4" t="n">
        <v>221</v>
      </c>
      <c r="K40" t="inlineStr">
        <is>
          <t>120 / 101</t>
        </is>
      </c>
      <c r="L40" t="inlineStr">
        <is>
          <t>23 / 16</t>
        </is>
      </c>
      <c r="M40" s="5" t="n">
        <v>0.54</v>
      </c>
      <c r="N40" s="5" t="n">
        <v>0.59</v>
      </c>
    </row>
    <row r="41">
      <c r="A41" t="n">
        <v>40</v>
      </c>
      <c r="B41" t="n">
        <v>2014</v>
      </c>
      <c r="C41" t="inlineStr">
        <is>
          <t>Wilma Wai Bo Yue</t>
        </is>
      </c>
      <c r="D41">
        <f>HYPERLINK("https://ota.tournamentsoftware.com/player-profile/6CAEB488-574A-45E0-B597-01F96FA5C987", "Link")</f>
        <v/>
      </c>
      <c r="E41" s="3" t="n">
        <v>2309.912</v>
      </c>
      <c r="F41" s="4" t="n">
        <v>14</v>
      </c>
      <c r="G41" t="inlineStr">
        <is>
          <t>Ontario Tennis Association</t>
        </is>
      </c>
      <c r="H41" t="inlineStr">
        <is>
          <t>No Club</t>
        </is>
      </c>
      <c r="I41" t="n">
        <v>25</v>
      </c>
      <c r="J41" s="4" t="n">
        <v>212</v>
      </c>
      <c r="K41" t="inlineStr">
        <is>
          <t>153 / 59</t>
        </is>
      </c>
      <c r="L41" t="inlineStr">
        <is>
          <t>38 / 13</t>
        </is>
      </c>
      <c r="M41" s="5" t="n">
        <v>0.72</v>
      </c>
      <c r="N41" s="5" t="n">
        <v>0.75</v>
      </c>
    </row>
    <row r="42">
      <c r="A42" t="n">
        <v>41</v>
      </c>
      <c r="B42" t="n">
        <v>2012</v>
      </c>
      <c r="C42" t="inlineStr">
        <is>
          <t>Xinyi Kwan</t>
        </is>
      </c>
      <c r="D42">
        <f>HYPERLINK("https://ota.tournamentsoftware.com/player-profile/5146AC8F-EF0E-4E7A-A6A0-D65D12E5BF6E", "Link")</f>
        <v/>
      </c>
      <c r="E42" s="3" t="n">
        <v>2308.904</v>
      </c>
      <c r="F42" s="4" t="n">
        <v>19</v>
      </c>
      <c r="G42" t="inlineStr">
        <is>
          <t>Ontario Tennis Association</t>
        </is>
      </c>
      <c r="H42" t="inlineStr">
        <is>
          <t>Burlington Hall Sporting Club</t>
        </is>
      </c>
      <c r="I42" t="n">
        <v>22.2</v>
      </c>
      <c r="J42" s="4" t="n">
        <v>212</v>
      </c>
      <c r="K42" t="inlineStr">
        <is>
          <t>104 / 108</t>
        </is>
      </c>
      <c r="L42" t="inlineStr">
        <is>
          <t>27 / 19</t>
        </is>
      </c>
      <c r="M42" s="5" t="n">
        <v>0.49</v>
      </c>
      <c r="N42" s="5" t="n">
        <v>0.59</v>
      </c>
    </row>
    <row r="43">
      <c r="A43" t="n">
        <v>42</v>
      </c>
      <c r="B43" t="n">
        <v>2013</v>
      </c>
      <c r="C43" t="inlineStr">
        <is>
          <t>YASMINE SOUISSI</t>
        </is>
      </c>
      <c r="D43">
        <f>HYPERLINK("https://ota.tournamentsoftware.com/player-profile/1B8E66F9-8E72-48A5-A280-1ADD14488B21", "Link")</f>
        <v/>
      </c>
      <c r="E43" s="3" t="n">
        <v>2224.521</v>
      </c>
      <c r="F43" s="4" t="n">
        <v>9</v>
      </c>
      <c r="G43" t="inlineStr">
        <is>
          <t>Tennis Québec</t>
        </is>
      </c>
      <c r="H43" t="inlineStr">
        <is>
          <t>Tennis 13</t>
        </is>
      </c>
      <c r="I43" t="n">
        <v>22.3</v>
      </c>
      <c r="J43" s="4" t="n">
        <v>248</v>
      </c>
      <c r="K43" t="inlineStr">
        <is>
          <t>167 / 81</t>
        </is>
      </c>
      <c r="L43" t="inlineStr">
        <is>
          <t>24 / 13</t>
        </is>
      </c>
      <c r="M43" s="5" t="n">
        <v>0.67</v>
      </c>
      <c r="N43" s="5" t="n">
        <v>0.65</v>
      </c>
    </row>
    <row r="44">
      <c r="A44" t="n">
        <v>43</v>
      </c>
      <c r="B44" t="n">
        <v>2014</v>
      </c>
      <c r="C44" t="inlineStr">
        <is>
          <t>Adelina Tanashikova</t>
        </is>
      </c>
      <c r="D44">
        <f>HYPERLINK("https://ota.tournamentsoftware.com/player-profile/AD7F41D2-B208-4518-963D-851BBA4276F4", "Link")</f>
        <v/>
      </c>
      <c r="E44" s="3" t="n">
        <v>2209.809</v>
      </c>
      <c r="F44" s="4" t="n">
        <v>14</v>
      </c>
      <c r="G44" t="inlineStr">
        <is>
          <t>Ontario Tennis Association</t>
        </is>
      </c>
      <c r="H44" t="inlineStr">
        <is>
          <t>No Club</t>
        </is>
      </c>
      <c r="I44" t="n">
        <v>24.2</v>
      </c>
      <c r="J44" s="4" t="n">
        <v>273</v>
      </c>
      <c r="K44" t="inlineStr">
        <is>
          <t>148 / 125</t>
        </is>
      </c>
      <c r="L44" t="inlineStr">
        <is>
          <t>31 / 8</t>
        </is>
      </c>
      <c r="M44" s="5" t="n">
        <v>0.54</v>
      </c>
      <c r="N44" s="5" t="n">
        <v>0.79</v>
      </c>
    </row>
    <row r="45">
      <c r="A45" t="n">
        <v>44</v>
      </c>
      <c r="B45" t="n">
        <v>2012</v>
      </c>
      <c r="C45" t="inlineStr">
        <is>
          <t>Marilyn deBruin-Sawutz</t>
        </is>
      </c>
      <c r="D45">
        <f>HYPERLINK("https://ota.tournamentsoftware.com/player-profile/3DC26724-8571-4345-A75C-D904297288CB", "Link")</f>
        <v/>
      </c>
      <c r="E45" s="3" t="n">
        <v>2134.817</v>
      </c>
      <c r="F45" s="4" t="n">
        <v>26</v>
      </c>
      <c r="G45" t="inlineStr">
        <is>
          <t>Ontario Tennis Association</t>
        </is>
      </c>
      <c r="H45" t="inlineStr">
        <is>
          <t>Advantage Tennis International at Veneto</t>
        </is>
      </c>
      <c r="I45" t="n">
        <v>23.7</v>
      </c>
      <c r="J45" s="4" t="n">
        <v>295</v>
      </c>
      <c r="K45" t="inlineStr">
        <is>
          <t>155 / 140</t>
        </is>
      </c>
      <c r="L45" t="inlineStr">
        <is>
          <t>34 / 21</t>
        </is>
      </c>
      <c r="M45" s="5" t="n">
        <v>0.53</v>
      </c>
      <c r="N45" s="5" t="n">
        <v>0.62</v>
      </c>
    </row>
    <row r="46">
      <c r="A46" t="n">
        <v>45</v>
      </c>
      <c r="B46" t="n">
        <v>2014</v>
      </c>
      <c r="C46" t="inlineStr">
        <is>
          <t>SOPHIA JIAJIA DENG</t>
        </is>
      </c>
      <c r="D46">
        <f>HYPERLINK("https://ota.tournamentsoftware.com/player-profile/FE6DD2AD-9E29-4128-BE09-D1E88B84D2C8", "Link")</f>
        <v/>
      </c>
      <c r="E46" s="3" t="n">
        <v>2125.702</v>
      </c>
      <c r="F46" s="4" t="n">
        <v>16</v>
      </c>
      <c r="G46" t="inlineStr">
        <is>
          <t>Ontario Tennis Association</t>
        </is>
      </c>
      <c r="H46" t="inlineStr">
        <is>
          <t>Peak Performance Tennis Academy</t>
        </is>
      </c>
      <c r="I46" t="n">
        <v>25.7</v>
      </c>
      <c r="J46" s="4" t="n">
        <v>186</v>
      </c>
      <c r="K46" t="inlineStr">
        <is>
          <t>137 / 49</t>
        </is>
      </c>
      <c r="L46" t="inlineStr">
        <is>
          <t>37 / 15</t>
        </is>
      </c>
      <c r="M46" s="5" t="n">
        <v>0.74</v>
      </c>
      <c r="N46" s="5" t="n">
        <v>0.71</v>
      </c>
    </row>
    <row r="47">
      <c r="A47" t="n">
        <v>46</v>
      </c>
      <c r="B47" t="n">
        <v>2014</v>
      </c>
      <c r="C47" t="inlineStr">
        <is>
          <t>Fiona Huang</t>
        </is>
      </c>
      <c r="D47">
        <f>HYPERLINK("https://ota.tournamentsoftware.com/player-profile/701ADA13-714A-48E5-B54F-4DB9E25DBDB3", "Link")</f>
        <v/>
      </c>
      <c r="E47" s="3" t="n">
        <v>2111.25</v>
      </c>
      <c r="F47" s="4" t="n">
        <v>14</v>
      </c>
      <c r="G47" t="inlineStr">
        <is>
          <t>British Columbia</t>
        </is>
      </c>
      <c r="H47" t="inlineStr">
        <is>
          <t>No Club</t>
        </is>
      </c>
      <c r="I47" t="n">
        <v>25.2</v>
      </c>
      <c r="J47" s="4" t="n">
        <v>223</v>
      </c>
      <c r="K47" t="inlineStr">
        <is>
          <t>142 / 81</t>
        </is>
      </c>
      <c r="L47" t="inlineStr">
        <is>
          <t>34 / 14</t>
        </is>
      </c>
      <c r="M47" s="5" t="n">
        <v>0.64</v>
      </c>
      <c r="N47" s="5" t="n">
        <v>0.71</v>
      </c>
    </row>
    <row r="48">
      <c r="A48" t="n">
        <v>47</v>
      </c>
      <c r="B48" t="n">
        <v>2014</v>
      </c>
      <c r="C48" t="inlineStr">
        <is>
          <t>Roseline Nana</t>
        </is>
      </c>
      <c r="D48">
        <f>HYPERLINK("https://ota.tournamentsoftware.com/player-profile/B0A425C4-2F23-4C29-8447-4FFBF9D90967", "Link")</f>
        <v/>
      </c>
      <c r="E48" s="3" t="n">
        <v>1993.2</v>
      </c>
      <c r="F48" s="4" t="n">
        <v>27</v>
      </c>
      <c r="G48" t="inlineStr">
        <is>
          <t>Tennis Québec</t>
        </is>
      </c>
      <c r="H48" t="inlineStr">
        <is>
          <t>Tennis Montréal Excellence</t>
        </is>
      </c>
      <c r="I48" t="n">
        <v>25.1</v>
      </c>
      <c r="J48" s="4" t="n">
        <v>193</v>
      </c>
      <c r="K48" t="inlineStr">
        <is>
          <t>137 / 56</t>
        </is>
      </c>
      <c r="L48" t="inlineStr">
        <is>
          <t>50 / 17</t>
        </is>
      </c>
      <c r="M48" s="5" t="n">
        <v>0.71</v>
      </c>
      <c r="N48" s="5" t="n">
        <v>0.75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17.7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25.5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1836.281</v>
      </c>
      <c r="F51" s="4" t="n">
        <v>17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25.2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14</v>
      </c>
      <c r="G52" t="inlineStr">
        <is>
          <t>Ontario Tennis Association</t>
        </is>
      </c>
      <c r="H52" t="inlineStr">
        <is>
          <t>Rexall Centre</t>
        </is>
      </c>
      <c r="I52" t="n">
        <v>25</v>
      </c>
      <c r="J52" s="4" t="n">
        <v>222</v>
      </c>
      <c r="K52" t="inlineStr">
        <is>
          <t>138 / 84</t>
        </is>
      </c>
      <c r="L52" t="inlineStr">
        <is>
          <t>37 / 15</t>
        </is>
      </c>
      <c r="M52" s="5" t="n">
        <v>0.62</v>
      </c>
      <c r="N52" s="5" t="n">
        <v>0.71</v>
      </c>
    </row>
    <row r="53">
      <c r="A53" t="n">
        <v>52</v>
      </c>
      <c r="B53" t="n">
        <v>2012</v>
      </c>
      <c r="C53" t="inlineStr">
        <is>
          <t>Daria Glinna</t>
        </is>
      </c>
      <c r="D53">
        <f>HYPERLINK("https://ota.tournamentsoftware.com/player-profile/75F31A41-BD9F-46AC-A064-06ECE54741E7", "Link")</f>
        <v/>
      </c>
      <c r="E53" s="3" t="n">
        <v>1760.552</v>
      </c>
      <c r="F53" s="4" t="n">
        <v>12</v>
      </c>
      <c r="G53" t="inlineStr">
        <is>
          <t>Ontario Tennis Association</t>
        </is>
      </c>
      <c r="H53" t="inlineStr">
        <is>
          <t>Premier Racquet Clubs – Mississauga</t>
        </is>
      </c>
      <c r="I53" t="n">
        <v>28.2</v>
      </c>
      <c r="J53" s="4" t="n">
        <v>158</v>
      </c>
      <c r="K53" t="inlineStr">
        <is>
          <t>59 / 99</t>
        </is>
      </c>
      <c r="L53" t="inlineStr">
        <is>
          <t>4 / 8</t>
        </is>
      </c>
      <c r="M53" s="5" t="n">
        <v>0.37</v>
      </c>
      <c r="N53" s="5" t="n">
        <v>0.33</v>
      </c>
    </row>
    <row r="54">
      <c r="A54" t="n">
        <v>53</v>
      </c>
      <c r="B54" t="n">
        <v>2012</v>
      </c>
      <c r="C54" t="inlineStr">
        <is>
          <t>Katelyn Pasula</t>
        </is>
      </c>
      <c r="D54">
        <f>HYPERLINK("https://ota.tournamentsoftware.com/player-profile/2F075CB1-8090-4588-823C-59BF58DDDA64", "Link")</f>
        <v/>
      </c>
      <c r="E54" s="3" t="n">
        <v>1747.487</v>
      </c>
      <c r="F54" s="4" t="n">
        <v>7</v>
      </c>
      <c r="G54" t="inlineStr">
        <is>
          <t>British Columbia</t>
        </is>
      </c>
      <c r="H54" t="inlineStr">
        <is>
          <t>BC NI No Club</t>
        </is>
      </c>
      <c r="I54" t="inlineStr">
        <is>
          <t>unavailable</t>
        </is>
      </c>
      <c r="J54" s="4" t="n">
        <v>35</v>
      </c>
      <c r="K54" t="inlineStr">
        <is>
          <t>21 / 14</t>
        </is>
      </c>
      <c r="L54" t="inlineStr">
        <is>
          <t>8 / 5</t>
        </is>
      </c>
      <c r="M54" s="5" t="n">
        <v>0.6</v>
      </c>
      <c r="N54" s="5" t="n">
        <v>0.62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1744</v>
      </c>
      <c r="F55" s="4" t="n">
        <v>27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27.9</v>
      </c>
      <c r="J55" s="4" t="n">
        <v>276</v>
      </c>
      <c r="K55" t="inlineStr">
        <is>
          <t>170 / 106</t>
        </is>
      </c>
      <c r="L55" t="inlineStr">
        <is>
          <t>26 / 16</t>
        </is>
      </c>
      <c r="M55" s="5" t="n">
        <v>0.62</v>
      </c>
      <c r="N55" s="5" t="n">
        <v>0.62</v>
      </c>
    </row>
    <row r="56">
      <c r="A56" t="n">
        <v>55</v>
      </c>
      <c r="B56" t="n">
        <v>2012</v>
      </c>
      <c r="C56" t="inlineStr">
        <is>
          <t>Allyson Experience</t>
        </is>
      </c>
      <c r="D56">
        <f>HYPERLINK("https://ota.tournamentsoftware.com/player-profile/9A5D0B4A-A8C7-47DA-8CAD-CA25D28C69CE", "Link")</f>
        <v/>
      </c>
      <c r="E56" s="3" t="n">
        <v>1725.227</v>
      </c>
      <c r="F56" s="4" t="n">
        <v>23</v>
      </c>
      <c r="G56" t="inlineStr">
        <is>
          <t>Tennis Québec</t>
        </is>
      </c>
      <c r="H56" t="inlineStr">
        <is>
          <t>Tennis Montréal Excellence</t>
        </is>
      </c>
      <c r="I56" t="n">
        <v>26.5</v>
      </c>
      <c r="J56" s="4" t="n">
        <v>264</v>
      </c>
      <c r="K56" t="inlineStr">
        <is>
          <t>123 / 141</t>
        </is>
      </c>
      <c r="L56" t="inlineStr">
        <is>
          <t>22 / 22</t>
        </is>
      </c>
      <c r="M56" s="5" t="n">
        <v>0.47</v>
      </c>
      <c r="N56" s="5" t="n">
        <v>0.5</v>
      </c>
    </row>
    <row r="57">
      <c r="A57" t="n">
        <v>56</v>
      </c>
      <c r="B57" t="n">
        <v>2013</v>
      </c>
      <c r="C57" t="inlineStr">
        <is>
          <t>Haeun (Emily) Jo</t>
        </is>
      </c>
      <c r="D57">
        <f>HYPERLINK("https://ota.tournamentsoftware.com/player-profile/BBD49A71-6CAE-4AC7-908B-9DB5263DA715", "Link")</f>
        <v/>
      </c>
      <c r="E57" s="3" t="n">
        <v>1714.8</v>
      </c>
      <c r="F57" s="4" t="n">
        <v>13</v>
      </c>
      <c r="G57" t="inlineStr">
        <is>
          <t>Tennis Nova Scotia</t>
        </is>
      </c>
      <c r="H57" t="inlineStr">
        <is>
          <t>Atlantic Tennis Centre</t>
        </is>
      </c>
      <c r="I57" t="n">
        <v>25.5</v>
      </c>
      <c r="J57" s="4" t="n">
        <v>288</v>
      </c>
      <c r="K57" t="inlineStr">
        <is>
          <t>192 / 96</t>
        </is>
      </c>
      <c r="L57" t="inlineStr">
        <is>
          <t>43 / 17</t>
        </is>
      </c>
      <c r="M57" s="5" t="n">
        <v>0.67</v>
      </c>
      <c r="N57" s="5" t="n">
        <v>0.72</v>
      </c>
    </row>
    <row r="58">
      <c r="A58" t="n">
        <v>57</v>
      </c>
      <c r="B58" t="n">
        <v>2013</v>
      </c>
      <c r="C58" t="inlineStr">
        <is>
          <t>xiayue(Cecelia) Bi</t>
        </is>
      </c>
      <c r="D58">
        <f>HYPERLINK("https://ota.tournamentsoftware.com/player-profile/081CD41C-A9E4-4340-A239-2D92F6639919", "Link")</f>
        <v/>
      </c>
      <c r="E58" s="3" t="n">
        <v>1681.279</v>
      </c>
      <c r="F58" s="4" t="n">
        <v>13</v>
      </c>
      <c r="G58" t="inlineStr">
        <is>
          <t>British Columbia</t>
        </is>
      </c>
      <c r="H58" t="inlineStr">
        <is>
          <t>North Vancouver Tennis Centre</t>
        </is>
      </c>
      <c r="I58" t="n">
        <v>24.4</v>
      </c>
      <c r="J58" s="4" t="n">
        <v>248</v>
      </c>
      <c r="K58" t="inlineStr">
        <is>
          <t>158 / 90</t>
        </is>
      </c>
      <c r="L58" t="inlineStr">
        <is>
          <t>19 / 22</t>
        </is>
      </c>
      <c r="M58" s="5" t="n">
        <v>0.64</v>
      </c>
      <c r="N58" s="5" t="n">
        <v>0.46</v>
      </c>
    </row>
    <row r="59">
      <c r="A59" t="n">
        <v>58</v>
      </c>
      <c r="B59" t="n">
        <v>2014</v>
      </c>
      <c r="C59" t="inlineStr">
        <is>
          <t>Naomi Danyod</t>
        </is>
      </c>
      <c r="D59">
        <f>HYPERLINK("https://ota.tournamentsoftware.com/player-profile/2037E4D8-F8CE-4A2B-858E-7FBBA84F2BC7", "Link")</f>
        <v/>
      </c>
      <c r="E59" s="3" t="n">
        <v>1674.084</v>
      </c>
      <c r="F59" s="4" t="n">
        <v>17</v>
      </c>
      <c r="G59" t="inlineStr">
        <is>
          <t>Tennis Québec</t>
        </is>
      </c>
      <c r="H59" t="inlineStr">
        <is>
          <t>Rouge et Or - Université Laval</t>
        </is>
      </c>
      <c r="I59" t="n">
        <v>26</v>
      </c>
      <c r="J59" s="4" t="n">
        <v>164</v>
      </c>
      <c r="K59" t="inlineStr">
        <is>
          <t>105 / 59</t>
        </is>
      </c>
      <c r="L59" t="inlineStr">
        <is>
          <t>35 / 20</t>
        </is>
      </c>
      <c r="M59" s="5" t="n">
        <v>0.64</v>
      </c>
      <c r="N59" s="5" t="n">
        <v>0.64</v>
      </c>
    </row>
    <row r="60">
      <c r="A60" t="n">
        <v>59</v>
      </c>
      <c r="B60" t="n">
        <v>2013</v>
      </c>
      <c r="C60" t="inlineStr">
        <is>
          <t>Adèle Juneau</t>
        </is>
      </c>
      <c r="D60">
        <f>HYPERLINK("https://ota.tournamentsoftware.com/player-profile/3A8C3EB0-444C-4108-A91E-FC74701A660D", "Link")</f>
        <v/>
      </c>
      <c r="E60" s="3" t="n">
        <v>1669.437</v>
      </c>
      <c r="F60" s="4" t="n">
        <v>17</v>
      </c>
      <c r="G60" t="inlineStr">
        <is>
          <t>Tennis Québec</t>
        </is>
      </c>
      <c r="H60" t="inlineStr">
        <is>
          <t>Tennis 13 / Académie Ménard et associé</t>
        </is>
      </c>
      <c r="I60" t="n">
        <v>24.5</v>
      </c>
      <c r="J60" s="4" t="n">
        <v>337</v>
      </c>
      <c r="K60" t="inlineStr">
        <is>
          <t>189 / 148</t>
        </is>
      </c>
      <c r="L60" t="inlineStr">
        <is>
          <t>20 / 23</t>
        </is>
      </c>
      <c r="M60" s="5" t="n">
        <v>0.5600000000000001</v>
      </c>
      <c r="N60" s="5" t="n">
        <v>0.47</v>
      </c>
    </row>
    <row r="61">
      <c r="A61" t="n">
        <v>60</v>
      </c>
      <c r="B61" t="n">
        <v>2013</v>
      </c>
      <c r="C61" t="inlineStr">
        <is>
          <t>Elena Rusic</t>
        </is>
      </c>
      <c r="D61">
        <f>HYPERLINK("https://ota.tournamentsoftware.com/player-profile/C202F0BA-61C5-459D-993A-2D56C17C2B04", "Link")</f>
        <v/>
      </c>
      <c r="E61" s="3" t="n">
        <v>1612.81</v>
      </c>
      <c r="F61" s="4" t="n">
        <v>22</v>
      </c>
      <c r="G61" t="inlineStr">
        <is>
          <t>Ontario Tennis Association</t>
        </is>
      </c>
      <c r="H61" t="inlineStr">
        <is>
          <t>Joshua Creek Golf &amp; Tennis</t>
        </is>
      </c>
      <c r="I61" t="n">
        <v>26.6</v>
      </c>
      <c r="J61" s="4" t="n">
        <v>258</v>
      </c>
      <c r="K61" t="inlineStr">
        <is>
          <t>183 / 75</t>
        </is>
      </c>
      <c r="L61" t="inlineStr">
        <is>
          <t>24 / 20</t>
        </is>
      </c>
      <c r="M61" s="5" t="n">
        <v>0.71</v>
      </c>
      <c r="N61" s="5" t="n">
        <v>0.55</v>
      </c>
    </row>
    <row r="62">
      <c r="A62" t="n">
        <v>61</v>
      </c>
      <c r="B62" t="n">
        <v>2012</v>
      </c>
      <c r="C62" t="inlineStr">
        <is>
          <t>Annika Richards</t>
        </is>
      </c>
      <c r="D62">
        <f>HYPERLINK("https://ota.tournamentsoftware.com/player-profile/CFED81F9-9EA3-48DF-84C4-507456D5D68B", "Link")</f>
        <v/>
      </c>
      <c r="E62" s="3" t="n">
        <v>1580.813</v>
      </c>
      <c r="F62" s="4" t="n">
        <v>16</v>
      </c>
      <c r="G62" t="inlineStr">
        <is>
          <t>Ontario Tennis Association</t>
        </is>
      </c>
      <c r="H62" t="inlineStr">
        <is>
          <t>Toronto Cricket Skating &amp; Curling</t>
        </is>
      </c>
      <c r="I62" t="n">
        <v>27.4</v>
      </c>
      <c r="J62" s="4" t="n">
        <v>190</v>
      </c>
      <c r="K62" t="inlineStr">
        <is>
          <t>82 / 108</t>
        </is>
      </c>
      <c r="L62" t="inlineStr">
        <is>
          <t>9 / 17</t>
        </is>
      </c>
      <c r="M62" s="5" t="n">
        <v>0.43</v>
      </c>
      <c r="N62" s="5" t="n">
        <v>0.35</v>
      </c>
    </row>
    <row r="63">
      <c r="A63" t="n">
        <v>62</v>
      </c>
      <c r="B63" t="n">
        <v>2013</v>
      </c>
      <c r="C63" t="inlineStr">
        <is>
          <t>Alexane Deschênes</t>
        </is>
      </c>
      <c r="D63">
        <f>HYPERLINK("https://ota.tournamentsoftware.com/player-profile/124D1E6B-E463-4461-A5D1-9C844DE2C6D9", "Link")</f>
        <v/>
      </c>
      <c r="E63" s="3" t="n">
        <v>1534.592</v>
      </c>
      <c r="F63" s="4" t="n">
        <v>22</v>
      </c>
      <c r="G63" t="inlineStr">
        <is>
          <t>Tennis Québec</t>
        </is>
      </c>
      <c r="H63" t="inlineStr">
        <is>
          <t>Centre récréatif de Repentigny / Académie Tennis Momentum</t>
        </is>
      </c>
      <c r="I63" t="n">
        <v>25</v>
      </c>
      <c r="J63" s="4" t="n">
        <v>294</v>
      </c>
      <c r="K63" t="inlineStr">
        <is>
          <t>157 / 137</t>
        </is>
      </c>
      <c r="L63" t="inlineStr">
        <is>
          <t>37 / 35</t>
        </is>
      </c>
      <c r="M63" s="5" t="n">
        <v>0.53</v>
      </c>
      <c r="N63" s="5" t="n">
        <v>0.51</v>
      </c>
    </row>
    <row r="64">
      <c r="A64" t="n">
        <v>63</v>
      </c>
      <c r="B64" t="n">
        <v>2013</v>
      </c>
      <c r="C64" t="inlineStr">
        <is>
          <t>Varvara Lutsyk</t>
        </is>
      </c>
      <c r="D64">
        <f>HYPERLINK("https://ota.tournamentsoftware.com/player-profile/5197490D-6996-4375-892E-2696E508FF34", "Link")</f>
        <v/>
      </c>
      <c r="E64" s="3" t="n">
        <v>1491.991</v>
      </c>
      <c r="F64" s="4" t="n">
        <v>19</v>
      </c>
      <c r="G64" t="inlineStr">
        <is>
          <t>Tennis Québec</t>
        </is>
      </c>
      <c r="H64" t="inlineStr">
        <is>
          <t>Club Sportif Côte-de-Liesse</t>
        </is>
      </c>
      <c r="I64" t="n">
        <v>24.9</v>
      </c>
      <c r="J64" s="4" t="n">
        <v>210</v>
      </c>
      <c r="K64" t="inlineStr">
        <is>
          <t>137 / 73</t>
        </is>
      </c>
      <c r="L64" t="inlineStr">
        <is>
          <t>31 / 17</t>
        </is>
      </c>
      <c r="M64" s="5" t="n">
        <v>0.65</v>
      </c>
      <c r="N64" s="5" t="n">
        <v>0.65</v>
      </c>
    </row>
    <row r="65">
      <c r="A65" t="n">
        <v>64</v>
      </c>
      <c r="B65" t="n">
        <v>2012</v>
      </c>
      <c r="C65" t="inlineStr">
        <is>
          <t>Natalie Le'er Sang</t>
        </is>
      </c>
      <c r="D65">
        <f>HYPERLINK("https://ota.tournamentsoftware.com/player-profile/993E5845-6FAB-4557-A6F0-C3D60CD8BB97", "Link")</f>
        <v/>
      </c>
      <c r="E65" s="3" t="n">
        <v>1488.96</v>
      </c>
      <c r="F65" s="4" t="n">
        <v>16</v>
      </c>
      <c r="G65" t="inlineStr">
        <is>
          <t>British Columbia</t>
        </is>
      </c>
      <c r="H65" t="inlineStr">
        <is>
          <t>No Club</t>
        </is>
      </c>
      <c r="I65" t="n">
        <v>25.5</v>
      </c>
      <c r="J65" s="4" t="n">
        <v>111</v>
      </c>
      <c r="K65" t="inlineStr">
        <is>
          <t>78 / 33</t>
        </is>
      </c>
      <c r="L65" t="inlineStr">
        <is>
          <t>21 / 19</t>
        </is>
      </c>
      <c r="M65" s="5" t="n">
        <v>0.7</v>
      </c>
      <c r="N65" s="5" t="n">
        <v>0.53</v>
      </c>
    </row>
    <row r="66">
      <c r="A66" t="n">
        <v>65</v>
      </c>
      <c r="B66" t="n">
        <v>2012</v>
      </c>
      <c r="C66" t="inlineStr">
        <is>
          <t>Kelly L Zhang</t>
        </is>
      </c>
      <c r="D66">
        <f>HYPERLINK("https://ota.tournamentsoftware.com/player-profile/2504E03B-B05C-4307-B90E-F3F72DD94827", "Link")</f>
        <v/>
      </c>
      <c r="E66" s="3" t="n">
        <v>1476.763</v>
      </c>
      <c r="F66" s="4" t="n">
        <v>22</v>
      </c>
      <c r="G66" t="inlineStr">
        <is>
          <t>Ontario Tennis Association</t>
        </is>
      </c>
      <c r="H66" t="inlineStr">
        <is>
          <t>NYTA Winter Tennis Club</t>
        </is>
      </c>
      <c r="I66" t="n">
        <v>28.1</v>
      </c>
      <c r="J66" s="4" t="n">
        <v>188</v>
      </c>
      <c r="K66" t="inlineStr">
        <is>
          <t>92 / 96</t>
        </is>
      </c>
      <c r="L66" t="inlineStr">
        <is>
          <t>25 / 18</t>
        </is>
      </c>
      <c r="M66" s="5" t="n">
        <v>0.49</v>
      </c>
      <c r="N66" s="5" t="n">
        <v>0.58</v>
      </c>
    </row>
    <row r="67">
      <c r="A67" t="n">
        <v>66</v>
      </c>
      <c r="B67" t="n">
        <v>2013</v>
      </c>
      <c r="C67" t="inlineStr">
        <is>
          <t>Avery Badyal</t>
        </is>
      </c>
      <c r="D67">
        <f>HYPERLINK("https://ota.tournamentsoftware.com/player-profile/9486479F-C8FD-48FB-BCCD-0246C53A632C", "Link")</f>
        <v/>
      </c>
      <c r="E67" s="3" t="n">
        <v>1469.906</v>
      </c>
      <c r="F67" s="4" t="n">
        <v>12</v>
      </c>
      <c r="G67" t="inlineStr">
        <is>
          <t>British Columbia</t>
        </is>
      </c>
      <c r="H67" t="inlineStr">
        <is>
          <t>The Tennis Centre</t>
        </is>
      </c>
      <c r="I67" t="n">
        <v>25.3</v>
      </c>
      <c r="J67" s="4" t="n">
        <v>239</v>
      </c>
      <c r="K67" t="inlineStr">
        <is>
          <t>145 / 94</t>
        </is>
      </c>
      <c r="L67" t="inlineStr">
        <is>
          <t>17 / 19</t>
        </is>
      </c>
      <c r="M67" s="5" t="n">
        <v>0.61</v>
      </c>
      <c r="N67" s="5" t="n">
        <v>0.47</v>
      </c>
    </row>
    <row r="68">
      <c r="A68" t="n">
        <v>67</v>
      </c>
      <c r="B68" t="n">
        <v>2014</v>
      </c>
      <c r="C68" t="inlineStr">
        <is>
          <t>jocelyn ai</t>
        </is>
      </c>
      <c r="D68">
        <f>HYPERLINK("https://ota.tournamentsoftware.com/player-profile/EADED953-942B-4335-BE21-C0DE8F31626D", "Link")</f>
        <v/>
      </c>
      <c r="E68" s="3" t="n">
        <v>1450.912</v>
      </c>
      <c r="F68" s="4" t="n">
        <v>19</v>
      </c>
      <c r="G68" t="inlineStr">
        <is>
          <t>Ontario Tennis Association</t>
        </is>
      </c>
      <c r="H68" t="inlineStr">
        <is>
          <t>No Club</t>
        </is>
      </c>
      <c r="I68" t="n">
        <v>27.1</v>
      </c>
      <c r="J68" s="4" t="n">
        <v>220</v>
      </c>
      <c r="K68" t="inlineStr">
        <is>
          <t>133 / 87</t>
        </is>
      </c>
      <c r="L68" t="inlineStr">
        <is>
          <t>39 / 24</t>
        </is>
      </c>
      <c r="M68" s="5" t="n">
        <v>0.6</v>
      </c>
      <c r="N68" s="5" t="n">
        <v>0.62</v>
      </c>
    </row>
    <row r="69">
      <c r="A69" t="n">
        <v>68</v>
      </c>
      <c r="B69" t="n">
        <v>2012</v>
      </c>
      <c r="C69" t="inlineStr">
        <is>
          <t>Karina Zhang</t>
        </is>
      </c>
      <c r="D69">
        <f>HYPERLINK("https://ota.tournamentsoftware.com/player-profile/7BB53E38-BBB9-4E1E-B8A2-8EFC2E762653", "Link")</f>
        <v/>
      </c>
      <c r="E69" s="3" t="n">
        <v>1427.367</v>
      </c>
      <c r="F69" s="4" t="n">
        <v>26</v>
      </c>
      <c r="G69" t="inlineStr">
        <is>
          <t>Ontario Tennis Association</t>
        </is>
      </c>
      <c r="H69" t="inlineStr">
        <is>
          <t>Richmondhill Golf &amp; Country Club</t>
        </is>
      </c>
      <c r="I69" t="n">
        <v>24.5</v>
      </c>
      <c r="J69" s="4" t="n">
        <v>211</v>
      </c>
      <c r="K69" t="inlineStr">
        <is>
          <t>131 / 80</t>
        </is>
      </c>
      <c r="L69" t="inlineStr">
        <is>
          <t>31 / 24</t>
        </is>
      </c>
      <c r="M69" s="5" t="n">
        <v>0.62</v>
      </c>
      <c r="N69" s="5" t="n">
        <v>0.5600000000000001</v>
      </c>
    </row>
    <row r="70">
      <c r="A70" t="n">
        <v>69</v>
      </c>
      <c r="B70" t="n">
        <v>2014</v>
      </c>
      <c r="C70" t="inlineStr">
        <is>
          <t>Amelia Grace Balasuriya</t>
        </is>
      </c>
      <c r="D70">
        <f>HYPERLINK("https://ota.tournamentsoftware.com/player-profile/741A3060-1EA3-4E29-A0BE-1717DEF32CEA", "Link")</f>
        <v/>
      </c>
      <c r="E70" s="3" t="n">
        <v>1414.433</v>
      </c>
      <c r="F70" s="4" t="n">
        <v>25</v>
      </c>
      <c r="G70" t="inlineStr">
        <is>
          <t>Ontario Tennis Association</t>
        </is>
      </c>
      <c r="H70" t="inlineStr">
        <is>
          <t>The Supreme Court Tennis Club</t>
        </is>
      </c>
      <c r="I70" t="n">
        <v>27.1</v>
      </c>
      <c r="J70" s="4" t="n">
        <v>270</v>
      </c>
      <c r="K70" t="inlineStr">
        <is>
          <t>174 / 96</t>
        </is>
      </c>
      <c r="L70" t="inlineStr">
        <is>
          <t>51 / 26</t>
        </is>
      </c>
      <c r="M70" s="5" t="n">
        <v>0.64</v>
      </c>
      <c r="N70" s="5" t="n">
        <v>0.66</v>
      </c>
    </row>
    <row r="71">
      <c r="A71" t="n">
        <v>70</v>
      </c>
      <c r="B71" t="n">
        <v>2014</v>
      </c>
      <c r="C71" t="inlineStr">
        <is>
          <t>Naella Sehic</t>
        </is>
      </c>
      <c r="D71">
        <f>HYPERLINK("https://ota.tournamentsoftware.com/player-profile/C86BA5BA-97F0-463B-BBE7-6A41452E0D47", "Link")</f>
        <v/>
      </c>
      <c r="E71" s="3" t="n">
        <v>1410.584</v>
      </c>
      <c r="F71" s="4" t="n">
        <v>21</v>
      </c>
      <c r="G71" t="inlineStr">
        <is>
          <t>Tennis Québec</t>
        </is>
      </c>
      <c r="H71" t="inlineStr">
        <is>
          <t>Tennis Ile- des- Soeurs</t>
        </is>
      </c>
      <c r="I71" t="n">
        <v>25.8</v>
      </c>
      <c r="J71" s="4" t="n">
        <v>302</v>
      </c>
      <c r="K71" t="inlineStr">
        <is>
          <t>187 / 115</t>
        </is>
      </c>
      <c r="L71" t="inlineStr">
        <is>
          <t>50 / 16</t>
        </is>
      </c>
      <c r="M71" s="5" t="n">
        <v>0.62</v>
      </c>
      <c r="N71" s="5" t="n">
        <v>0.76</v>
      </c>
    </row>
    <row r="72">
      <c r="A72" t="n">
        <v>71</v>
      </c>
      <c r="B72" t="n">
        <v>2012</v>
      </c>
      <c r="C72" t="inlineStr">
        <is>
          <t>Olivia Escobar</t>
        </is>
      </c>
      <c r="D72">
        <f>HYPERLINK("https://ota.tournamentsoftware.com/player-profile/9E3A15EA-D947-4048-B7A7-6C2437D34132", "Link")</f>
        <v/>
      </c>
      <c r="E72" s="3" t="n">
        <v>1405</v>
      </c>
      <c r="F72" s="4" t="n">
        <v>38</v>
      </c>
      <c r="G72" t="inlineStr">
        <is>
          <t>Tennis Québec</t>
        </is>
      </c>
      <c r="H72" t="inlineStr">
        <is>
          <t>Tennis Ile- des- Soeurs</t>
        </is>
      </c>
      <c r="I72" t="n">
        <v>26.8</v>
      </c>
      <c r="J72" s="4" t="n">
        <v>348</v>
      </c>
      <c r="K72" t="inlineStr">
        <is>
          <t>132 / 216</t>
        </is>
      </c>
      <c r="L72" t="inlineStr">
        <is>
          <t>19 / 24</t>
        </is>
      </c>
      <c r="M72" s="5" t="n">
        <v>0.38</v>
      </c>
      <c r="N72" s="5" t="n">
        <v>0.44</v>
      </c>
    </row>
    <row r="73">
      <c r="A73" t="n">
        <v>72</v>
      </c>
      <c r="B73" t="n">
        <v>2013</v>
      </c>
      <c r="C73" t="inlineStr">
        <is>
          <t>Dewa Ayu Devin Sum</t>
        </is>
      </c>
      <c r="D73">
        <f>HYPERLINK("https://ota.tournamentsoftware.com/player-profile/9DB24D5C-3B5C-4B40-BE7E-B331240C1B21", "Link")</f>
        <v/>
      </c>
      <c r="E73" s="3" t="n">
        <v>1397.453</v>
      </c>
      <c r="F73" s="4" t="n">
        <v>30</v>
      </c>
      <c r="G73" t="inlineStr">
        <is>
          <t>Ontario Tennis Association</t>
        </is>
      </c>
      <c r="H73" t="inlineStr">
        <is>
          <t>Premier Racquet Clubs – Mississauga</t>
        </is>
      </c>
      <c r="I73" t="n">
        <v>28.1</v>
      </c>
      <c r="J73" s="4" t="n">
        <v>181</v>
      </c>
      <c r="K73" t="inlineStr">
        <is>
          <t>93 / 88</t>
        </is>
      </c>
      <c r="L73" t="inlineStr">
        <is>
          <t>27 / 23</t>
        </is>
      </c>
      <c r="M73" s="5" t="n">
        <v>0.51</v>
      </c>
      <c r="N73" s="5" t="n">
        <v>0.54</v>
      </c>
    </row>
    <row r="74">
      <c r="A74" t="n">
        <v>73</v>
      </c>
      <c r="B74" t="n">
        <v>2012</v>
      </c>
      <c r="C74" t="inlineStr">
        <is>
          <t>Zahava Olszynko</t>
        </is>
      </c>
      <c r="D74">
        <f>HYPERLINK("https://ota.tournamentsoftware.com/player-profile/B6F84042-B29D-4CD8-984E-787094BFA8A4", "Link")</f>
        <v/>
      </c>
      <c r="E74" s="3" t="n">
        <v>1396.116</v>
      </c>
      <c r="F74" s="4" t="n">
        <v>31</v>
      </c>
      <c r="G74" t="inlineStr">
        <is>
          <t>Ontario Tennis Association</t>
        </is>
      </c>
      <c r="H74" t="inlineStr">
        <is>
          <t>Rideau Sports Centre</t>
        </is>
      </c>
      <c r="I74" t="n">
        <v>26.2</v>
      </c>
      <c r="J74" s="4" t="n">
        <v>231</v>
      </c>
      <c r="K74" t="inlineStr">
        <is>
          <t>127 / 104</t>
        </is>
      </c>
      <c r="L74" t="inlineStr">
        <is>
          <t>35 / 24</t>
        </is>
      </c>
      <c r="M74" s="5" t="n">
        <v>0.55</v>
      </c>
      <c r="N74" s="5" t="n">
        <v>0.59</v>
      </c>
    </row>
    <row r="75">
      <c r="A75" t="n">
        <v>74</v>
      </c>
      <c r="B75" t="n">
        <v>2013</v>
      </c>
      <c r="C75" t="inlineStr">
        <is>
          <t>Eleanor Victoria Paura</t>
        </is>
      </c>
      <c r="D75">
        <f>HYPERLINK("https://ota.tournamentsoftware.com/player-profile/4D9EBB83-94D7-44A3-BD6F-1D98EF9559DF", "Link")</f>
        <v/>
      </c>
      <c r="E75" s="3" t="n">
        <v>1376.144</v>
      </c>
      <c r="F75" s="4" t="n">
        <v>11</v>
      </c>
      <c r="G75" t="inlineStr">
        <is>
          <t>Tennis Saskatchewan</t>
        </is>
      </c>
      <c r="H75" t="inlineStr">
        <is>
          <t>Lakeshore Tennis Club</t>
        </is>
      </c>
      <c r="I75" t="n">
        <v>29.8</v>
      </c>
      <c r="J75" s="4" t="n">
        <v>196</v>
      </c>
      <c r="K75" t="inlineStr">
        <is>
          <t>85 / 111</t>
        </is>
      </c>
      <c r="L75" t="inlineStr">
        <is>
          <t>27 / 22</t>
        </is>
      </c>
      <c r="M75" s="5" t="n">
        <v>0.43</v>
      </c>
      <c r="N75" s="5" t="n">
        <v>0.55</v>
      </c>
    </row>
    <row r="76">
      <c r="A76" t="n">
        <v>75</v>
      </c>
      <c r="B76" t="n">
        <v>2014</v>
      </c>
      <c r="C76" t="inlineStr">
        <is>
          <t>Emma Allen</t>
        </is>
      </c>
      <c r="D76">
        <f>HYPERLINK("https://ota.tournamentsoftware.com/player-profile/5640B61E-0EE7-4BB3-ABC3-AD9CB508E4E9", "Link")</f>
        <v/>
      </c>
      <c r="E76" s="3" t="n">
        <v>1351.651</v>
      </c>
      <c r="F76" s="4" t="n">
        <v>21</v>
      </c>
      <c r="G76" t="inlineStr">
        <is>
          <t>Ontario Tennis Association</t>
        </is>
      </c>
      <c r="H76" t="inlineStr">
        <is>
          <t>Joshua Creek Golf &amp; Tennis</t>
        </is>
      </c>
      <c r="I76" t="n">
        <v>26.8</v>
      </c>
      <c r="J76" s="4" t="n">
        <v>261</v>
      </c>
      <c r="K76" t="inlineStr">
        <is>
          <t>188 / 73</t>
        </is>
      </c>
      <c r="L76" t="inlineStr">
        <is>
          <t>40 / 21</t>
        </is>
      </c>
      <c r="M76" s="5" t="n">
        <v>0.72</v>
      </c>
      <c r="N76" s="5" t="n">
        <v>0.66</v>
      </c>
    </row>
    <row r="77">
      <c r="A77" t="n">
        <v>76</v>
      </c>
      <c r="B77" t="n">
        <v>2014</v>
      </c>
      <c r="C77" t="inlineStr">
        <is>
          <t>Nanette Du</t>
        </is>
      </c>
      <c r="D77">
        <f>HYPERLINK("https://ota.tournamentsoftware.com/player-profile/53190390-CC68-4E5E-8079-A41733ADF41A", "Link")</f>
        <v/>
      </c>
      <c r="E77" s="3" t="n">
        <v>1337.773</v>
      </c>
      <c r="F77" s="4" t="n">
        <v>17</v>
      </c>
      <c r="G77" t="inlineStr">
        <is>
          <t>Ontario Tennis Association</t>
        </is>
      </c>
      <c r="H77" t="inlineStr">
        <is>
          <t>Advantage Tennis International at Veneto</t>
        </is>
      </c>
      <c r="I77" t="n">
        <v>28.1</v>
      </c>
      <c r="J77" s="4" t="n">
        <v>151</v>
      </c>
      <c r="K77" t="inlineStr">
        <is>
          <t>94 / 57</t>
        </is>
      </c>
      <c r="L77" t="inlineStr">
        <is>
          <t>28 / 13</t>
        </is>
      </c>
      <c r="M77" s="5" t="n">
        <v>0.62</v>
      </c>
      <c r="N77" s="5" t="n">
        <v>0.68</v>
      </c>
    </row>
    <row r="78">
      <c r="A78" t="n">
        <v>77</v>
      </c>
      <c r="B78" t="n">
        <v>2013</v>
      </c>
      <c r="C78" t="inlineStr">
        <is>
          <t>Charlotte Dawes</t>
        </is>
      </c>
      <c r="D78">
        <f>HYPERLINK("https://ota.tournamentsoftware.com/player-profile/F2AC6B3A-37CF-4522-9228-9A614DED4E6F", "Link")</f>
        <v/>
      </c>
      <c r="E78" s="3" t="n">
        <v>1333.136</v>
      </c>
      <c r="F78" s="4" t="n">
        <v>14</v>
      </c>
      <c r="G78" t="inlineStr">
        <is>
          <t>Tennis Alberta</t>
        </is>
      </c>
      <c r="H78" t="inlineStr">
        <is>
          <t>Osten &amp; Victor Alberta Tennis Centre</t>
        </is>
      </c>
      <c r="I78" t="n">
        <v>25.6</v>
      </c>
      <c r="J78" s="4" t="n">
        <v>225</v>
      </c>
      <c r="K78" t="inlineStr">
        <is>
          <t>112 / 113</t>
        </is>
      </c>
      <c r="L78" t="inlineStr">
        <is>
          <t>25 / 18</t>
        </is>
      </c>
      <c r="M78" s="5" t="n">
        <v>0.5</v>
      </c>
      <c r="N78" s="5" t="n">
        <v>0.58</v>
      </c>
    </row>
    <row r="79">
      <c r="A79" t="n">
        <v>78</v>
      </c>
      <c r="B79" t="n">
        <v>2013</v>
      </c>
      <c r="C79" t="inlineStr">
        <is>
          <t>Iris Fu</t>
        </is>
      </c>
      <c r="D79">
        <f>HYPERLINK("https://ota.tournamentsoftware.com/player-profile/0A3A4B5A-8950-4E67-BAA9-3F132754A3FD", "Link")</f>
        <v/>
      </c>
      <c r="E79" s="3" t="n">
        <v>1301.76</v>
      </c>
      <c r="F79" s="4" t="n">
        <v>18</v>
      </c>
      <c r="G79" t="inlineStr">
        <is>
          <t>Ontario Tennis Association</t>
        </is>
      </c>
      <c r="H79" t="inlineStr">
        <is>
          <t>Premier Racquet Clubs – Mississauga</t>
        </is>
      </c>
      <c r="I79" t="inlineStr">
        <is>
          <t>unavailable</t>
        </is>
      </c>
      <c r="J79" s="4" t="n">
        <v>247</v>
      </c>
      <c r="K79" t="inlineStr">
        <is>
          <t>144 / 103</t>
        </is>
      </c>
      <c r="L79" t="inlineStr">
        <is>
          <t>29 / 13</t>
        </is>
      </c>
      <c r="M79" s="5" t="n">
        <v>0.58</v>
      </c>
      <c r="N79" s="5" t="n">
        <v>0.6899999999999999</v>
      </c>
    </row>
    <row r="80">
      <c r="A80" t="n">
        <v>79</v>
      </c>
      <c r="B80" t="n">
        <v>2012</v>
      </c>
      <c r="C80" t="inlineStr">
        <is>
          <t>Emilie Chen</t>
        </is>
      </c>
      <c r="D80">
        <f>HYPERLINK("https://ota.tournamentsoftware.com/player-profile/829AD033-5D37-4AE8-9F34-8C50F25B20C3", "Link")</f>
        <v/>
      </c>
      <c r="E80" s="3" t="n">
        <v>1242.779</v>
      </c>
      <c r="F80" s="4" t="n">
        <v>12</v>
      </c>
      <c r="G80" t="inlineStr">
        <is>
          <t>Ontario Tennis Association</t>
        </is>
      </c>
      <c r="H80" t="inlineStr">
        <is>
          <t>Toronto Cricket Skating &amp; Curling</t>
        </is>
      </c>
      <c r="I80" t="n">
        <v>26.7</v>
      </c>
      <c r="J80" s="4" t="n">
        <v>218</v>
      </c>
      <c r="K80" t="inlineStr">
        <is>
          <t>91 / 127</t>
        </is>
      </c>
      <c r="L80" t="inlineStr">
        <is>
          <t>14 / 15</t>
        </is>
      </c>
      <c r="M80" s="5" t="n">
        <v>0.42</v>
      </c>
      <c r="N80" s="5" t="n">
        <v>0.48</v>
      </c>
    </row>
    <row r="81">
      <c r="A81" t="n">
        <v>80</v>
      </c>
      <c r="B81" t="n">
        <v>2012</v>
      </c>
      <c r="C81" t="inlineStr">
        <is>
          <t>Alessia Lungu</t>
        </is>
      </c>
      <c r="D81">
        <f>HYPERLINK("https://ota.tournamentsoftware.com/player-profile/99FF719F-9C8F-4394-BE76-5455D457977A", "Link")</f>
        <v/>
      </c>
      <c r="E81" s="3" t="n">
        <v>1212.805</v>
      </c>
      <c r="F81" s="4" t="n">
        <v>9</v>
      </c>
      <c r="G81" t="inlineStr">
        <is>
          <t>Ontario Tennis Association</t>
        </is>
      </c>
      <c r="H81" t="inlineStr">
        <is>
          <t>Joshua Creek Golf &amp; Tennis</t>
        </is>
      </c>
      <c r="I81" t="n">
        <v>23.3</v>
      </c>
      <c r="J81" s="4" t="n">
        <v>181</v>
      </c>
      <c r="K81" t="inlineStr">
        <is>
          <t>116 / 65</t>
        </is>
      </c>
      <c r="L81" t="inlineStr">
        <is>
          <t>5 / 3</t>
        </is>
      </c>
      <c r="M81" s="5" t="n">
        <v>0.64</v>
      </c>
      <c r="N81" s="5" t="n">
        <v>0.62</v>
      </c>
    </row>
    <row r="82">
      <c r="A82" t="n">
        <v>81</v>
      </c>
      <c r="B82" t="n">
        <v>2014</v>
      </c>
      <c r="C82" t="inlineStr">
        <is>
          <t>Ruoran Hou</t>
        </is>
      </c>
      <c r="D82">
        <f>HYPERLINK("https://ota.tournamentsoftware.com/player-profile/01D9A845-667C-4EDB-ABF5-CFE1C5418675", "Link")</f>
        <v/>
      </c>
      <c r="E82" s="3" t="n">
        <v>1181.094</v>
      </c>
      <c r="F82" s="4" t="n">
        <v>15</v>
      </c>
      <c r="G82" t="inlineStr">
        <is>
          <t>Tennis Nova Scotia</t>
        </is>
      </c>
      <c r="H82" t="inlineStr">
        <is>
          <t>Atlantic Tennis Centre</t>
        </is>
      </c>
      <c r="I82" t="n">
        <v>29.2</v>
      </c>
      <c r="J82" s="4" t="n">
        <v>239</v>
      </c>
      <c r="K82" t="inlineStr">
        <is>
          <t>139 / 100</t>
        </is>
      </c>
      <c r="L82" t="inlineStr">
        <is>
          <t>41 / 27</t>
        </is>
      </c>
      <c r="M82" s="5" t="n">
        <v>0.58</v>
      </c>
      <c r="N82" s="5" t="n">
        <v>0.6</v>
      </c>
    </row>
    <row r="83">
      <c r="A83" t="n">
        <v>82</v>
      </c>
      <c r="B83" t="n">
        <v>2012</v>
      </c>
      <c r="C83" t="inlineStr">
        <is>
          <t>Ashlee Hanul Yoo</t>
        </is>
      </c>
      <c r="D83">
        <f>HYPERLINK("https://ota.tournamentsoftware.com/player-profile/BA09F220-C66B-4A96-9C0C-1BEE71ADDA56", "Link")</f>
        <v/>
      </c>
      <c r="E83" s="3" t="n">
        <v>1170.503</v>
      </c>
      <c r="F83" s="4" t="n">
        <v>12</v>
      </c>
      <c r="G83" t="inlineStr">
        <is>
          <t>British Columbia</t>
        </is>
      </c>
      <c r="H83" t="inlineStr">
        <is>
          <t>No Club</t>
        </is>
      </c>
      <c r="I83" t="inlineStr">
        <is>
          <t>unavailable</t>
        </is>
      </c>
      <c r="J83" s="4" t="n">
        <v>205</v>
      </c>
      <c r="K83" t="inlineStr">
        <is>
          <t>109 / 96</t>
        </is>
      </c>
      <c r="L83" t="inlineStr">
        <is>
          <t>18 / 18</t>
        </is>
      </c>
      <c r="M83" s="5" t="n">
        <v>0.53</v>
      </c>
      <c r="N83" s="5" t="n">
        <v>0.5</v>
      </c>
    </row>
    <row r="84">
      <c r="A84" t="n">
        <v>83</v>
      </c>
      <c r="B84" t="n">
        <v>2013</v>
      </c>
      <c r="C84" t="inlineStr">
        <is>
          <t>Halo Boyu Li</t>
        </is>
      </c>
      <c r="D84">
        <f>HYPERLINK("https://ota.tournamentsoftware.com/player-profile/42371346-12B9-439B-B9EB-FB5DD0ABCB73", "Link")</f>
        <v/>
      </c>
      <c r="E84" s="3" t="n">
        <v>1165.149</v>
      </c>
      <c r="F84" s="4" t="n">
        <v>11</v>
      </c>
      <c r="G84" t="inlineStr">
        <is>
          <t>Tennis Saskatchewan</t>
        </is>
      </c>
      <c r="H84" t="inlineStr">
        <is>
          <t>No Club</t>
        </is>
      </c>
      <c r="I84" t="n">
        <v>31</v>
      </c>
      <c r="J84" s="4" t="n">
        <v>181</v>
      </c>
      <c r="K84" t="inlineStr">
        <is>
          <t>79 / 102</t>
        </is>
      </c>
      <c r="L84" t="inlineStr">
        <is>
          <t>29 / 27</t>
        </is>
      </c>
      <c r="M84" s="5" t="n">
        <v>0.44</v>
      </c>
      <c r="N84" s="5" t="n">
        <v>0.52</v>
      </c>
    </row>
    <row r="85">
      <c r="A85" t="n">
        <v>84</v>
      </c>
      <c r="B85" t="n">
        <v>2012</v>
      </c>
      <c r="C85" t="inlineStr">
        <is>
          <t>Alexsandra Stanislavksy</t>
        </is>
      </c>
      <c r="D85">
        <f>HYPERLINK("https://ota.tournamentsoftware.com/player-profile/A067EDC1-6B71-4023-8C13-88CA87AA808B", "Link")</f>
        <v/>
      </c>
      <c r="E85" s="3" t="n">
        <v>1142.629</v>
      </c>
      <c r="F85" s="4" t="n">
        <v>31</v>
      </c>
      <c r="G85" t="inlineStr">
        <is>
          <t>Ontario Tennis Association</t>
        </is>
      </c>
      <c r="H85" t="inlineStr">
        <is>
          <t>No Club</t>
        </is>
      </c>
      <c r="I85" t="n">
        <v>28.9</v>
      </c>
      <c r="J85" s="4" t="n">
        <v>199</v>
      </c>
      <c r="K85" t="inlineStr">
        <is>
          <t>90 / 109</t>
        </is>
      </c>
      <c r="L85" t="inlineStr">
        <is>
          <t>27 / 28</t>
        </is>
      </c>
      <c r="M85" s="5" t="n">
        <v>0.45</v>
      </c>
      <c r="N85" s="5" t="n">
        <v>0.49</v>
      </c>
    </row>
    <row r="86">
      <c r="A86" t="n">
        <v>85</v>
      </c>
      <c r="B86" t="n">
        <v>2013</v>
      </c>
      <c r="C86" t="inlineStr">
        <is>
          <t>Chloé Normandin</t>
        </is>
      </c>
      <c r="D86">
        <f>HYPERLINK("https://ota.tournamentsoftware.com/player-profile/A22608C6-6D99-476C-9EC7-9A31F3CACB0A", "Link")</f>
        <v/>
      </c>
      <c r="E86" s="3" t="n">
        <v>1139.173</v>
      </c>
      <c r="F86" s="4" t="n">
        <v>23</v>
      </c>
      <c r="G86" t="inlineStr">
        <is>
          <t>Tennis Québec</t>
        </is>
      </c>
      <c r="H86" t="inlineStr">
        <is>
          <t>Tennis Ile- des- Soeurs</t>
        </is>
      </c>
      <c r="I86" t="n">
        <v>26.1</v>
      </c>
      <c r="J86" s="4" t="n">
        <v>270</v>
      </c>
      <c r="K86" t="inlineStr">
        <is>
          <t>149 / 121</t>
        </is>
      </c>
      <c r="L86" t="inlineStr">
        <is>
          <t>38 / 21</t>
        </is>
      </c>
      <c r="M86" s="5" t="n">
        <v>0.55</v>
      </c>
      <c r="N86" s="5" t="n">
        <v>0.64</v>
      </c>
    </row>
    <row r="87">
      <c r="A87" t="n">
        <v>86</v>
      </c>
      <c r="B87" t="n">
        <v>2012</v>
      </c>
      <c r="C87" t="inlineStr">
        <is>
          <t>Kate Louise Violet Dee</t>
        </is>
      </c>
      <c r="D87">
        <f>HYPERLINK("https://ota.tournamentsoftware.com/player-profile/807F7468-99D8-4717-B3DF-3F2ED69EFA0A", "Link")</f>
        <v/>
      </c>
      <c r="E87" s="3" t="n">
        <v>1135.533</v>
      </c>
      <c r="F87" s="4" t="n">
        <v>11</v>
      </c>
      <c r="G87" t="inlineStr">
        <is>
          <t>British Columbia</t>
        </is>
      </c>
      <c r="H87" t="inlineStr">
        <is>
          <t>North Vancouver Tennis Centre</t>
        </is>
      </c>
      <c r="I87" t="n">
        <v>25.8</v>
      </c>
      <c r="J87" s="4" t="n">
        <v>244</v>
      </c>
      <c r="K87" t="inlineStr">
        <is>
          <t>136 / 108</t>
        </is>
      </c>
      <c r="L87" t="inlineStr">
        <is>
          <t>14 / 16</t>
        </is>
      </c>
      <c r="M87" s="5" t="n">
        <v>0.5600000000000001</v>
      </c>
      <c r="N87" s="5" t="n">
        <v>0.47</v>
      </c>
    </row>
    <row r="88">
      <c r="A88" t="n">
        <v>87</v>
      </c>
      <c r="B88" t="n">
        <v>2015</v>
      </c>
      <c r="C88" t="inlineStr">
        <is>
          <t>Sofia Tabunshchyk</t>
        </is>
      </c>
      <c r="D88">
        <f>HYPERLINK("https://ota.tournamentsoftware.com/player-profile/3714FE82-9045-425F-937B-7104A43D57F9", "Link")</f>
        <v/>
      </c>
      <c r="E88" s="3" t="n">
        <v>1122.606</v>
      </c>
      <c r="F88" s="4" t="n">
        <v>38</v>
      </c>
      <c r="G88" t="inlineStr">
        <is>
          <t>Ontario Tennis Association</t>
        </is>
      </c>
      <c r="H88" t="inlineStr">
        <is>
          <t>ACE Tennis - Burlington</t>
        </is>
      </c>
      <c r="I88" t="n">
        <v>26.9</v>
      </c>
      <c r="J88" s="4" t="n">
        <v>331</v>
      </c>
      <c r="K88" t="inlineStr">
        <is>
          <t>166 / 165</t>
        </is>
      </c>
      <c r="L88" t="inlineStr">
        <is>
          <t>56 / 29</t>
        </is>
      </c>
      <c r="M88" s="5" t="n">
        <v>0.5</v>
      </c>
      <c r="N88" s="5" t="n">
        <v>0.66</v>
      </c>
    </row>
    <row r="89">
      <c r="A89" t="n">
        <v>88</v>
      </c>
      <c r="B89" t="n">
        <v>2012</v>
      </c>
      <c r="C89" t="inlineStr">
        <is>
          <t>Adrienne Keaton Nelson</t>
        </is>
      </c>
      <c r="D89">
        <f>HYPERLINK("https://ota.tournamentsoftware.com/player-profile/1D977DD3-331D-4977-B4D6-E3202A6C56BD", "Link")</f>
        <v/>
      </c>
      <c r="E89" s="3" t="n">
        <v>1117.411</v>
      </c>
      <c r="F89" s="4" t="n">
        <v>43</v>
      </c>
      <c r="G89" t="inlineStr">
        <is>
          <t>Ontario Tennis Association</t>
        </is>
      </c>
      <c r="H89" t="inlineStr">
        <is>
          <t>Blackmore Tennis Club</t>
        </is>
      </c>
      <c r="I89" t="n">
        <v>27</v>
      </c>
      <c r="J89" s="4" t="n">
        <v>235</v>
      </c>
      <c r="K89" t="inlineStr">
        <is>
          <t>114 / 121</t>
        </is>
      </c>
      <c r="L89" t="inlineStr">
        <is>
          <t>28 / 26</t>
        </is>
      </c>
      <c r="M89" s="5" t="n">
        <v>0.49</v>
      </c>
      <c r="N89" s="5" t="n">
        <v>0.52</v>
      </c>
    </row>
    <row r="90">
      <c r="A90" t="n">
        <v>89</v>
      </c>
      <c r="B90" t="n">
        <v>2013</v>
      </c>
      <c r="C90" t="inlineStr">
        <is>
          <t>Cindy Liu</t>
        </is>
      </c>
      <c r="D90">
        <f>HYPERLINK("https://ota.tournamentsoftware.com/player-profile/89018759-835F-4CE0-A297-3449F2A42D00", "Link")</f>
        <v/>
      </c>
      <c r="E90" s="3" t="n">
        <v>1113.273</v>
      </c>
      <c r="F90" s="4" t="n">
        <v>23</v>
      </c>
      <c r="G90" t="inlineStr">
        <is>
          <t>British Columbia</t>
        </is>
      </c>
      <c r="H90" t="inlineStr">
        <is>
          <t>The Tennis Centre</t>
        </is>
      </c>
      <c r="I90" t="n">
        <v>25.9</v>
      </c>
      <c r="J90" s="4" t="n">
        <v>197</v>
      </c>
      <c r="K90" t="inlineStr">
        <is>
          <t>104 / 93</t>
        </is>
      </c>
      <c r="L90" t="inlineStr">
        <is>
          <t>34 / 20</t>
        </is>
      </c>
      <c r="M90" s="5" t="n">
        <v>0.53</v>
      </c>
      <c r="N90" s="5" t="n">
        <v>0.63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19</v>
      </c>
      <c r="G91" t="inlineStr">
        <is>
          <t>Tennis Alberta</t>
        </is>
      </c>
      <c r="H91" t="inlineStr">
        <is>
          <t>Saville Community Sports Centre</t>
        </is>
      </c>
      <c r="I91" t="n">
        <v>26.5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29</v>
      </c>
      <c r="G92" t="inlineStr">
        <is>
          <t>Ontario Tennis Association</t>
        </is>
      </c>
      <c r="H92" t="inlineStr">
        <is>
          <t>Blackmore Tennis Club</t>
        </is>
      </c>
      <c r="I92" t="n">
        <v>30.6</v>
      </c>
      <c r="J92" s="4" t="n">
        <v>220</v>
      </c>
      <c r="K92" t="inlineStr">
        <is>
          <t>124 / 96</t>
        </is>
      </c>
      <c r="L92" t="inlineStr">
        <is>
          <t>33 / 22</t>
        </is>
      </c>
      <c r="M92" s="5" t="n">
        <v>0.5600000000000001</v>
      </c>
      <c r="N92" s="5" t="n">
        <v>0.6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19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2014</v>
      </c>
      <c r="C95" t="inlineStr">
        <is>
          <t>Victoria Markova</t>
        </is>
      </c>
      <c r="D95">
        <f>HYPERLINK("https://ota.tournamentsoftware.com/player-profile/DE909631-ADF4-4157-ABE4-0097B95C4307", "Link")</f>
        <v/>
      </c>
      <c r="E95" s="3" t="n">
        <v>1059.342</v>
      </c>
      <c r="F95" s="4" t="n">
        <v>24</v>
      </c>
      <c r="G95" t="inlineStr">
        <is>
          <t>Tennis Québec</t>
        </is>
      </c>
      <c r="H95" t="inlineStr">
        <is>
          <t>Carrefour Multisports</t>
        </is>
      </c>
      <c r="I95" t="n">
        <v>28.8</v>
      </c>
      <c r="J95" s="4" t="n">
        <v>232</v>
      </c>
      <c r="K95" t="inlineStr">
        <is>
          <t>128 / 104</t>
        </is>
      </c>
      <c r="L95" t="inlineStr">
        <is>
          <t>42 / 26</t>
        </is>
      </c>
      <c r="M95" s="5" t="n">
        <v>0.55</v>
      </c>
      <c r="N95" s="5" t="n">
        <v>0.62</v>
      </c>
    </row>
    <row r="96">
      <c r="A96" t="n">
        <v>95</v>
      </c>
      <c r="B96" t="n">
        <v>2014</v>
      </c>
      <c r="C96" t="inlineStr">
        <is>
          <t>JOANNA QIHENG FEI</t>
        </is>
      </c>
      <c r="D96">
        <f>HYPERLINK("https://ota.tournamentsoftware.com/player-profile/1DD48A17-96B6-42F9-8D67-EE4CBF6DFA95", "Link")</f>
        <v/>
      </c>
      <c r="E96" s="3" t="n">
        <v>1051.658</v>
      </c>
      <c r="F96" s="4" t="n">
        <v>20</v>
      </c>
      <c r="G96" t="inlineStr">
        <is>
          <t>British Columbia</t>
        </is>
      </c>
      <c r="H96" t="inlineStr">
        <is>
          <t>Richmond Country Club</t>
        </is>
      </c>
      <c r="I96" t="n">
        <v>25.5</v>
      </c>
      <c r="J96" s="4" t="n">
        <v>268</v>
      </c>
      <c r="K96" t="inlineStr">
        <is>
          <t>133 / 135</t>
        </is>
      </c>
      <c r="L96" t="inlineStr">
        <is>
          <t>40 / 19</t>
        </is>
      </c>
      <c r="M96" s="5" t="n">
        <v>0.5</v>
      </c>
      <c r="N96" s="5" t="n">
        <v>0.68</v>
      </c>
    </row>
    <row r="97">
      <c r="A97" t="n">
        <v>96</v>
      </c>
      <c r="B97" t="n">
        <v>2012</v>
      </c>
      <c r="C97" t="inlineStr">
        <is>
          <t>Margarita Ter-Grigoryan</t>
        </is>
      </c>
      <c r="D97">
        <f>HYPERLINK("https://ota.tournamentsoftware.com/player-profile/A86B3E87-30AA-4D57-86CF-572CF663421E", "Link")</f>
        <v/>
      </c>
      <c r="E97" s="3" t="n">
        <v>1020.42</v>
      </c>
      <c r="F97" s="4" t="n">
        <v>14</v>
      </c>
      <c r="G97" t="inlineStr">
        <is>
          <t>Tennis Saskatchewan</t>
        </is>
      </c>
      <c r="H97" t="inlineStr">
        <is>
          <t>No Club</t>
        </is>
      </c>
      <c r="I97" t="n">
        <v>30</v>
      </c>
      <c r="J97" s="4" t="n">
        <v>130</v>
      </c>
      <c r="K97" t="inlineStr">
        <is>
          <t>70 / 60</t>
        </is>
      </c>
      <c r="L97" t="inlineStr">
        <is>
          <t>30 / 30</t>
        </is>
      </c>
      <c r="M97" s="5" t="n">
        <v>0.54</v>
      </c>
      <c r="N97" s="5" t="n">
        <v>0.5</v>
      </c>
    </row>
    <row r="98">
      <c r="A98" t="n">
        <v>97</v>
      </c>
      <c r="B98" t="n">
        <v>2012</v>
      </c>
      <c r="C98" t="inlineStr">
        <is>
          <t>Maia-Alexandra Popa</t>
        </is>
      </c>
      <c r="D98">
        <f>HYPERLINK("https://ota.tournamentsoftware.com/player-profile/1D5E0C32-9DDE-4B44-ADF9-FDB75BF638BC", "Link")</f>
        <v/>
      </c>
      <c r="E98" s="3" t="n">
        <v>992.261</v>
      </c>
      <c r="F98" s="4" t="n">
        <v>20</v>
      </c>
      <c r="G98" t="inlineStr">
        <is>
          <t>Ontario Tennis Association</t>
        </is>
      </c>
      <c r="H98" t="inlineStr">
        <is>
          <t>No Club</t>
        </is>
      </c>
      <c r="I98" t="n">
        <v>26.2</v>
      </c>
      <c r="J98" s="4" t="n">
        <v>207</v>
      </c>
      <c r="K98" t="inlineStr">
        <is>
          <t>109 / 98</t>
        </is>
      </c>
      <c r="L98" t="inlineStr">
        <is>
          <t>27 / 13</t>
        </is>
      </c>
      <c r="M98" s="5" t="n">
        <v>0.53</v>
      </c>
      <c r="N98" s="5" t="n">
        <v>0.68</v>
      </c>
    </row>
    <row r="99">
      <c r="A99" t="n">
        <v>98</v>
      </c>
      <c r="B99" t="n">
        <v>2012</v>
      </c>
      <c r="C99" t="inlineStr">
        <is>
          <t>Estelle Kroupetski</t>
        </is>
      </c>
      <c r="D99">
        <f>HYPERLINK("https://ota.tournamentsoftware.com/player-profile/7A8D0D40-A77C-429C-81D6-05DC21DB8D28", "Link")</f>
        <v/>
      </c>
      <c r="E99" s="3" t="n">
        <v>982.264</v>
      </c>
      <c r="F99" s="4" t="n">
        <v>19</v>
      </c>
      <c r="G99" t="inlineStr">
        <is>
          <t>Ontario Tennis Association</t>
        </is>
      </c>
      <c r="H99" t="inlineStr">
        <is>
          <t>Ontario Racquet Club</t>
        </is>
      </c>
      <c r="I99" t="n">
        <v>27.3</v>
      </c>
      <c r="J99" s="4" t="n">
        <v>149</v>
      </c>
      <c r="K99" t="inlineStr">
        <is>
          <t>76 / 73</t>
        </is>
      </c>
      <c r="L99" t="inlineStr">
        <is>
          <t>32 / 11</t>
        </is>
      </c>
      <c r="M99" s="5" t="n">
        <v>0.51</v>
      </c>
      <c r="N99" s="5" t="n">
        <v>0.74</v>
      </c>
    </row>
    <row r="100">
      <c r="A100" t="n">
        <v>99</v>
      </c>
      <c r="B100" t="n">
        <v>2013</v>
      </c>
      <c r="C100" t="inlineStr">
        <is>
          <t>Aubrianna Ellen York</t>
        </is>
      </c>
      <c r="D100">
        <f>HYPERLINK("https://ota.tournamentsoftware.com/player-profile/FDFD6FEF-AD8B-4B1E-ADE3-15417E1BCF05", "Link")</f>
        <v/>
      </c>
      <c r="E100" s="3" t="n">
        <v>970.944</v>
      </c>
      <c r="F100" s="4" t="n">
        <v>18</v>
      </c>
      <c r="G100" t="inlineStr">
        <is>
          <t>Tennis Alberta</t>
        </is>
      </c>
      <c r="H100" t="inlineStr">
        <is>
          <t>Aforza</t>
        </is>
      </c>
      <c r="I100" t="n">
        <v>28.1</v>
      </c>
      <c r="J100" s="4" t="n">
        <v>214</v>
      </c>
      <c r="K100" t="inlineStr">
        <is>
          <t>113 / 101</t>
        </is>
      </c>
      <c r="L100" t="inlineStr">
        <is>
          <t>28 / 19</t>
        </is>
      </c>
      <c r="M100" s="5" t="n">
        <v>0.53</v>
      </c>
      <c r="N100" s="5" t="n">
        <v>0.6</v>
      </c>
    </row>
    <row r="101">
      <c r="A101" t="n">
        <v>100</v>
      </c>
      <c r="B101" t="n">
        <v>2014</v>
      </c>
      <c r="C101" t="inlineStr">
        <is>
          <t>Qiuyue Li</t>
        </is>
      </c>
      <c r="D101">
        <f>HYPERLINK("https://ota.tournamentsoftware.com/player-profile/20DDEF60-3700-4387-8C53-C32DB7F857D4", "Link")</f>
        <v/>
      </c>
      <c r="E101" s="3" t="n">
        <v>961.8</v>
      </c>
      <c r="F101" s="4" t="n">
        <v>5</v>
      </c>
      <c r="G101" t="inlineStr">
        <is>
          <t>Ontario Tennis Association</t>
        </is>
      </c>
      <c r="H101" t="inlineStr">
        <is>
          <t>No Club</t>
        </is>
      </c>
      <c r="I101" t="n">
        <v>26.7</v>
      </c>
      <c r="J101" s="4" t="n">
        <v>26</v>
      </c>
      <c r="K101" t="inlineStr">
        <is>
          <t>24 / 2</t>
        </is>
      </c>
      <c r="L101" t="inlineStr">
        <is>
          <t>14 / 1</t>
        </is>
      </c>
      <c r="M101" s="5" t="n">
        <v>0.92</v>
      </c>
      <c r="N101" s="5" t="n">
        <v>0.93</v>
      </c>
    </row>
    <row r="102">
      <c r="A102" t="n">
        <v>101</v>
      </c>
      <c r="B102" t="n">
        <v>2012</v>
      </c>
      <c r="C102" t="inlineStr">
        <is>
          <t>Chloe Lou Friesen</t>
        </is>
      </c>
      <c r="D102">
        <f>HYPERLINK("https://ota.tournamentsoftware.com/player-profile/A0A11672-F1E8-4BD3-A43A-BB82984EDDA5", "Link")</f>
        <v/>
      </c>
      <c r="E102" s="3" t="n">
        <v>959.691</v>
      </c>
      <c r="F102" s="4" t="n">
        <v>17</v>
      </c>
      <c r="G102" t="inlineStr">
        <is>
          <t>British Columbia</t>
        </is>
      </c>
      <c r="H102" t="inlineStr">
        <is>
          <t>Vancouver Lawn Tennis and Badminton Club</t>
        </is>
      </c>
      <c r="I102" t="n">
        <v>26</v>
      </c>
      <c r="J102" s="4" t="n">
        <v>235</v>
      </c>
      <c r="K102" t="inlineStr">
        <is>
          <t>129 / 106</t>
        </is>
      </c>
      <c r="L102" t="inlineStr">
        <is>
          <t>24 / 16</t>
        </is>
      </c>
      <c r="M102" s="5" t="n">
        <v>0.55</v>
      </c>
      <c r="N102" s="5" t="n">
        <v>0.6</v>
      </c>
    </row>
    <row r="103">
      <c r="A103" t="n">
        <v>102</v>
      </c>
      <c r="B103" t="n">
        <v>2015</v>
      </c>
      <c r="C103" t="inlineStr">
        <is>
          <t>Evelyn J.C. Liu</t>
        </is>
      </c>
      <c r="D103">
        <f>HYPERLINK("https://ota.tournamentsoftware.com/player-profile/193F9EEB-1528-48A2-A0D8-C6448E62254A", "Link")</f>
        <v/>
      </c>
      <c r="E103" s="3" t="n">
        <v>945.349</v>
      </c>
      <c r="F103" s="4" t="n">
        <v>17</v>
      </c>
      <c r="G103" t="inlineStr">
        <is>
          <t>British Columbia</t>
        </is>
      </c>
      <c r="H103" t="inlineStr">
        <is>
          <t>Vancouver Lawn Tennis and Badminton Club</t>
        </is>
      </c>
      <c r="I103" t="n">
        <v>27</v>
      </c>
      <c r="J103" s="4" t="n">
        <v>271</v>
      </c>
      <c r="K103" t="inlineStr">
        <is>
          <t>152 / 119</t>
        </is>
      </c>
      <c r="L103" t="inlineStr">
        <is>
          <t>41 / 22</t>
        </is>
      </c>
      <c r="M103" s="5" t="n">
        <v>0.5600000000000001</v>
      </c>
      <c r="N103" s="5" t="n">
        <v>0.65</v>
      </c>
    </row>
    <row r="104">
      <c r="A104" t="n">
        <v>103</v>
      </c>
      <c r="B104" t="n">
        <v>2015</v>
      </c>
      <c r="C104" t="inlineStr">
        <is>
          <t>Aahana Guha</t>
        </is>
      </c>
      <c r="D104">
        <f>HYPERLINK("https://ota.tournamentsoftware.com/player-profile/B6BFAEC0-924F-4635-B45C-E700061D4B03", "Link")</f>
        <v/>
      </c>
      <c r="E104" s="3" t="n">
        <v>944.747</v>
      </c>
      <c r="F104" s="4" t="n">
        <v>12</v>
      </c>
      <c r="G104" t="inlineStr">
        <is>
          <t>Tennis Saskatchewan</t>
        </is>
      </c>
      <c r="H104" t="inlineStr">
        <is>
          <t>Lakeshore Tennis Club</t>
        </is>
      </c>
      <c r="I104" t="n">
        <v>30.8</v>
      </c>
      <c r="J104" s="4" t="n">
        <v>171</v>
      </c>
      <c r="K104" t="inlineStr">
        <is>
          <t>90 / 81</t>
        </is>
      </c>
      <c r="L104" t="inlineStr">
        <is>
          <t>34 / 23</t>
        </is>
      </c>
      <c r="M104" s="5" t="n">
        <v>0.53</v>
      </c>
      <c r="N104" s="5" t="n">
        <v>0.6</v>
      </c>
    </row>
    <row r="105">
      <c r="A105" t="n">
        <v>104</v>
      </c>
      <c r="B105" t="n">
        <v>2012</v>
      </c>
      <c r="C105" t="inlineStr">
        <is>
          <t>Laura Patsynka</t>
        </is>
      </c>
      <c r="D105">
        <f>HYPERLINK("https://ota.tournamentsoftware.com/player-profile/49340E93-6E30-4683-9E0F-4D50A1C584F1", "Link")</f>
        <v/>
      </c>
      <c r="E105" s="3" t="n">
        <v>932.872</v>
      </c>
      <c r="F105" s="4" t="n">
        <v>28</v>
      </c>
      <c r="G105" t="inlineStr">
        <is>
          <t>Ontario Tennis Association</t>
        </is>
      </c>
      <c r="H105" t="inlineStr">
        <is>
          <t>SmartVMC Racquetsports by ACE</t>
        </is>
      </c>
      <c r="I105" t="inlineStr">
        <is>
          <t>unavailable</t>
        </is>
      </c>
      <c r="J105" s="4" t="n">
        <v>201</v>
      </c>
      <c r="K105" t="inlineStr">
        <is>
          <t>79 / 122</t>
        </is>
      </c>
      <c r="L105" t="inlineStr">
        <is>
          <t>10 / 23</t>
        </is>
      </c>
      <c r="M105" s="5" t="n">
        <v>0.39</v>
      </c>
      <c r="N105" s="5" t="n">
        <v>0.3</v>
      </c>
    </row>
    <row r="106">
      <c r="A106" t="n">
        <v>105</v>
      </c>
      <c r="B106" t="n">
        <v>2013</v>
      </c>
      <c r="C106" t="inlineStr">
        <is>
          <t>Akshara Bavanaka</t>
        </is>
      </c>
      <c r="D106">
        <f>HYPERLINK("https://ota.tournamentsoftware.com/player-profile/DB56F65D-8A18-4169-BE31-18F89B25E14B", "Link")</f>
        <v/>
      </c>
      <c r="E106" s="3" t="n">
        <v>923.843</v>
      </c>
      <c r="F106" s="4" t="n">
        <v>37</v>
      </c>
      <c r="G106" t="inlineStr">
        <is>
          <t>Ontario Tennis Association</t>
        </is>
      </c>
      <c r="H106" t="inlineStr">
        <is>
          <t>Advantage Tennis International at Veneto</t>
        </is>
      </c>
      <c r="I106" t="n">
        <v>29.9</v>
      </c>
      <c r="J106" s="4" t="n">
        <v>238</v>
      </c>
      <c r="K106" t="inlineStr">
        <is>
          <t>121 / 117</t>
        </is>
      </c>
      <c r="L106" t="inlineStr">
        <is>
          <t>20 / 26</t>
        </is>
      </c>
      <c r="M106" s="5" t="n">
        <v>0.51</v>
      </c>
      <c r="N106" s="5" t="n">
        <v>0.43</v>
      </c>
    </row>
    <row r="107">
      <c r="A107" t="n">
        <v>106</v>
      </c>
      <c r="B107" t="n">
        <v>2013</v>
      </c>
      <c r="C107" t="inlineStr">
        <is>
          <t>Amelia Karapalevski</t>
        </is>
      </c>
      <c r="D107">
        <f>HYPERLINK("https://ota.tournamentsoftware.com/player-profile/FA2D2790-6EBD-4928-94F7-17F54621E2B4", "Link")</f>
        <v/>
      </c>
      <c r="E107" s="3" t="n">
        <v>896.6180000000001</v>
      </c>
      <c r="F107" s="4" t="n">
        <v>32</v>
      </c>
      <c r="G107" t="inlineStr">
        <is>
          <t>Ontario Tennis Association</t>
        </is>
      </c>
      <c r="H107" t="inlineStr">
        <is>
          <t>SmartVMC Racquetsports by ACE</t>
        </is>
      </c>
      <c r="I107" t="n">
        <v>28</v>
      </c>
      <c r="J107" s="4" t="n">
        <v>221</v>
      </c>
      <c r="K107" t="inlineStr">
        <is>
          <t>128 / 93</t>
        </is>
      </c>
      <c r="L107" t="inlineStr">
        <is>
          <t>34 / 22</t>
        </is>
      </c>
      <c r="M107" s="5" t="n">
        <v>0.58</v>
      </c>
      <c r="N107" s="5" t="n">
        <v>0.61</v>
      </c>
    </row>
    <row r="108">
      <c r="A108" t="n">
        <v>107</v>
      </c>
      <c r="B108" t="n">
        <v>2013</v>
      </c>
      <c r="C108" t="inlineStr">
        <is>
          <t>Mia Nikolovska</t>
        </is>
      </c>
      <c r="D108">
        <f>HYPERLINK("https://ota.tournamentsoftware.com/player-profile/52158395-8ADB-4430-ABAA-C56A79756D09", "Link")</f>
        <v/>
      </c>
      <c r="E108" s="3" t="n">
        <v>895.96</v>
      </c>
      <c r="F108" s="4" t="n">
        <v>35</v>
      </c>
      <c r="G108" t="inlineStr">
        <is>
          <t>Ontario Tennis Association</t>
        </is>
      </c>
      <c r="H108" t="inlineStr">
        <is>
          <t>No Club</t>
        </is>
      </c>
      <c r="I108" t="inlineStr">
        <is>
          <t>unavailable</t>
        </is>
      </c>
      <c r="J108" s="4" t="n">
        <v>366</v>
      </c>
      <c r="K108" t="inlineStr">
        <is>
          <t>223 / 143</t>
        </is>
      </c>
      <c r="L108" t="inlineStr">
        <is>
          <t>33 / 22</t>
        </is>
      </c>
      <c r="M108" s="5" t="n">
        <v>0.61</v>
      </c>
      <c r="N108" s="5" t="n">
        <v>0.6</v>
      </c>
    </row>
    <row r="109">
      <c r="A109" t="n">
        <v>108</v>
      </c>
      <c r="B109" t="n">
        <v>2015</v>
      </c>
      <c r="C109" t="inlineStr">
        <is>
          <t>Emilie Joly</t>
        </is>
      </c>
      <c r="D109">
        <f>HYPERLINK("https://ota.tournamentsoftware.com/player-profile/57736008-B9CA-4FCE-BEF6-90222787F336", "Link")</f>
        <v/>
      </c>
      <c r="E109" s="3" t="n">
        <v>865.3150000000001</v>
      </c>
      <c r="F109" s="4" t="n">
        <v>16</v>
      </c>
      <c r="G109" t="inlineStr">
        <is>
          <t>Ontario Tennis Association</t>
        </is>
      </c>
      <c r="H109" t="inlineStr">
        <is>
          <t>Kingston Racquet Centre</t>
        </is>
      </c>
      <c r="I109" t="n">
        <v>27.6</v>
      </c>
      <c r="J109" s="4" t="n">
        <v>224</v>
      </c>
      <c r="K109" t="inlineStr">
        <is>
          <t>156 / 68</t>
        </is>
      </c>
      <c r="L109" t="inlineStr">
        <is>
          <t>33 / 8</t>
        </is>
      </c>
      <c r="M109" s="5" t="n">
        <v>0.7</v>
      </c>
      <c r="N109" s="5" t="n">
        <v>0.8</v>
      </c>
    </row>
    <row r="110">
      <c r="A110" t="n">
        <v>109</v>
      </c>
      <c r="B110" t="n">
        <v>2012</v>
      </c>
      <c r="C110" t="inlineStr">
        <is>
          <t>Jaydalie Isaac</t>
        </is>
      </c>
      <c r="D110">
        <f>HYPERLINK("https://ota.tournamentsoftware.com/player-profile/A56DDC7B-03D0-424A-907D-63A363906F9A", "Link")</f>
        <v/>
      </c>
      <c r="E110" s="3" t="n">
        <v>851.111</v>
      </c>
      <c r="F110" s="4" t="n">
        <v>13</v>
      </c>
      <c r="G110" t="inlineStr">
        <is>
          <t>Tennis Québec</t>
        </is>
      </c>
      <c r="H110" t="inlineStr">
        <is>
          <t>No Club</t>
        </is>
      </c>
      <c r="I110" t="n">
        <v>28</v>
      </c>
      <c r="J110" s="4" t="n">
        <v>235</v>
      </c>
      <c r="K110" t="inlineStr">
        <is>
          <t>111 / 124</t>
        </is>
      </c>
      <c r="L110" t="inlineStr">
        <is>
          <t>21 / 12</t>
        </is>
      </c>
      <c r="M110" s="5" t="n">
        <v>0.47</v>
      </c>
      <c r="N110" s="5" t="n">
        <v>0.64</v>
      </c>
    </row>
    <row r="111">
      <c r="A111" t="n">
        <v>110</v>
      </c>
      <c r="B111" t="n">
        <v>2013</v>
      </c>
      <c r="C111" t="inlineStr">
        <is>
          <t>Jeanne Lampron</t>
        </is>
      </c>
      <c r="D111">
        <f>HYPERLINK("https://ota.tournamentsoftware.com/player-profile/DBA36429-C15E-4F24-9832-7D6BA94887C6", "Link")</f>
        <v/>
      </c>
      <c r="E111" s="3" t="n">
        <v>850.005</v>
      </c>
      <c r="F111" s="4" t="n">
        <v>24</v>
      </c>
      <c r="G111" t="inlineStr">
        <is>
          <t>Tennis Québec</t>
        </is>
      </c>
      <c r="H111" t="inlineStr">
        <is>
          <t>Tennis Montréal Excellence</t>
        </is>
      </c>
      <c r="I111" t="n">
        <v>26</v>
      </c>
      <c r="J111" s="4" t="n">
        <v>133</v>
      </c>
      <c r="K111" t="inlineStr">
        <is>
          <t>63 / 70</t>
        </is>
      </c>
      <c r="L111" t="inlineStr">
        <is>
          <t>28 / 23</t>
        </is>
      </c>
      <c r="M111" s="5" t="n">
        <v>0.47</v>
      </c>
      <c r="N111" s="5" t="n">
        <v>0.55</v>
      </c>
    </row>
    <row r="112">
      <c r="A112" t="n">
        <v>111</v>
      </c>
      <c r="B112" t="n">
        <v>2012</v>
      </c>
      <c r="C112" t="inlineStr">
        <is>
          <t>Emma Abdou</t>
        </is>
      </c>
      <c r="D112">
        <f>HYPERLINK("https://ota.tournamentsoftware.com/player-profile/FD6387AB-774D-491E-8A68-CE4DD20FAEF7", "Link")</f>
        <v/>
      </c>
      <c r="E112" s="3" t="n">
        <v>837.727</v>
      </c>
      <c r="F112" s="4" t="n">
        <v>34</v>
      </c>
      <c r="G112" t="inlineStr">
        <is>
          <t>Ontario Tennis Association</t>
        </is>
      </c>
      <c r="H112" t="inlineStr">
        <is>
          <t>Granite Club</t>
        </is>
      </c>
      <c r="I112" t="n">
        <v>29.7</v>
      </c>
      <c r="J112" s="4" t="n">
        <v>214</v>
      </c>
      <c r="K112" t="inlineStr">
        <is>
          <t>102 / 112</t>
        </is>
      </c>
      <c r="L112" t="inlineStr">
        <is>
          <t>34 / 29</t>
        </is>
      </c>
      <c r="M112" s="5" t="n">
        <v>0.48</v>
      </c>
      <c r="N112" s="5" t="n">
        <v>0.54</v>
      </c>
    </row>
    <row r="113">
      <c r="A113" t="n">
        <v>112</v>
      </c>
      <c r="B113" t="n">
        <v>2014</v>
      </c>
      <c r="C113" t="inlineStr">
        <is>
          <t>Thanida (Belle) Shaipanich</t>
        </is>
      </c>
      <c r="D113">
        <f>HYPERLINK("https://ota.tournamentsoftware.com/player-profile/98546C72-5CCA-44E8-AFB9-20B9D560E5E3", "Link")</f>
        <v/>
      </c>
      <c r="E113" s="3" t="n">
        <v>835.515</v>
      </c>
      <c r="F113" s="4" t="n">
        <v>15</v>
      </c>
      <c r="G113" t="inlineStr">
        <is>
          <t>British Columbia</t>
        </is>
      </c>
      <c r="H113" t="inlineStr">
        <is>
          <t>UBC Tennis Centre</t>
        </is>
      </c>
      <c r="I113" t="n">
        <v>27.8</v>
      </c>
      <c r="J113" s="4" t="n">
        <v>206</v>
      </c>
      <c r="K113" t="inlineStr">
        <is>
          <t>148 / 58</t>
        </is>
      </c>
      <c r="L113" t="inlineStr">
        <is>
          <t>31 / 21</t>
        </is>
      </c>
      <c r="M113" s="5" t="n">
        <v>0.72</v>
      </c>
      <c r="N113" s="5" t="n">
        <v>0.6</v>
      </c>
    </row>
    <row r="114">
      <c r="A114" t="n">
        <v>113</v>
      </c>
      <c r="B114" t="n">
        <v>2012</v>
      </c>
      <c r="C114" t="inlineStr">
        <is>
          <t>Zenaida May Kolesnikov</t>
        </is>
      </c>
      <c r="D114">
        <f>HYPERLINK("https://ota.tournamentsoftware.com/player-profile/0D20CA06-CC79-483F-87DD-AD6F5FC76972", "Link")</f>
        <v/>
      </c>
      <c r="E114" s="3" t="n">
        <v>834.88</v>
      </c>
      <c r="F114" s="4" t="n">
        <v>5</v>
      </c>
      <c r="G114" t="inlineStr">
        <is>
          <t>Ontario Tennis Association</t>
        </is>
      </c>
      <c r="H114" t="inlineStr">
        <is>
          <t>Kew Gardens Tennis Club</t>
        </is>
      </c>
      <c r="I114" t="n">
        <v>24.4</v>
      </c>
      <c r="J114" s="4" t="n">
        <v>87</v>
      </c>
      <c r="K114" t="inlineStr">
        <is>
          <t>67 / 20</t>
        </is>
      </c>
      <c r="L114" t="inlineStr">
        <is>
          <t>13 / 3</t>
        </is>
      </c>
      <c r="M114" s="5" t="n">
        <v>0.77</v>
      </c>
      <c r="N114" s="5" t="n">
        <v>0.8100000000000001</v>
      </c>
    </row>
    <row r="115">
      <c r="A115" t="n">
        <v>114</v>
      </c>
      <c r="B115" t="n">
        <v>2013</v>
      </c>
      <c r="C115" t="inlineStr">
        <is>
          <t>Natalia Sena</t>
        </is>
      </c>
      <c r="D115">
        <f>HYPERLINK("https://ota.tournamentsoftware.com/player-profile/D89592D5-D2EA-499E-9A9C-8B20B391C761", "Link")</f>
        <v/>
      </c>
      <c r="E115" s="3" t="n">
        <v>830.0940000000001</v>
      </c>
      <c r="F115" s="4" t="n">
        <v>29</v>
      </c>
      <c r="G115" t="inlineStr">
        <is>
          <t>Tennis Québec</t>
        </is>
      </c>
      <c r="H115" t="inlineStr">
        <is>
          <t>No Club</t>
        </is>
      </c>
      <c r="I115" t="n">
        <v>28.9</v>
      </c>
      <c r="J115" s="4" t="n">
        <v>92</v>
      </c>
      <c r="K115" t="inlineStr">
        <is>
          <t>47 / 45</t>
        </is>
      </c>
      <c r="L115" t="inlineStr">
        <is>
          <t>28 / 16</t>
        </is>
      </c>
      <c r="M115" s="5" t="n">
        <v>0.51</v>
      </c>
      <c r="N115" s="5" t="n">
        <v>0.64</v>
      </c>
    </row>
    <row r="116">
      <c r="A116" t="n">
        <v>115</v>
      </c>
      <c r="B116" t="n">
        <v>2014</v>
      </c>
      <c r="C116" t="inlineStr">
        <is>
          <t>Edwina Ed Xue</t>
        </is>
      </c>
      <c r="D116">
        <f>HYPERLINK("https://ota.tournamentsoftware.com/player-profile/16F3FDF7-F098-4A63-9D5F-87B196D248B5", "Link")</f>
        <v/>
      </c>
      <c r="E116" s="3" t="n">
        <v>821.777</v>
      </c>
      <c r="F116" s="4" t="n">
        <v>21</v>
      </c>
      <c r="G116" t="inlineStr">
        <is>
          <t>Ontario Tennis Association</t>
        </is>
      </c>
      <c r="H116" t="inlineStr">
        <is>
          <t>Granite Club</t>
        </is>
      </c>
      <c r="I116" t="n">
        <v>28.6</v>
      </c>
      <c r="J116" s="4" t="n">
        <v>288</v>
      </c>
      <c r="K116" t="inlineStr">
        <is>
          <t>169 / 119</t>
        </is>
      </c>
      <c r="L116" t="inlineStr">
        <is>
          <t>29 / 23</t>
        </is>
      </c>
      <c r="M116" s="5" t="n">
        <v>0.59</v>
      </c>
      <c r="N116" s="5" t="n">
        <v>0.5600000000000001</v>
      </c>
    </row>
    <row r="117">
      <c r="A117" t="n">
        <v>116</v>
      </c>
      <c r="B117" t="n">
        <v>2015</v>
      </c>
      <c r="C117" t="inlineStr">
        <is>
          <t>Olivia Lu</t>
        </is>
      </c>
      <c r="D117">
        <f>HYPERLINK("https://ota.tournamentsoftware.com/player-profile/807CAE71-A1FD-4ED2-952F-E0EDBF0E66E6", "Link")</f>
        <v/>
      </c>
      <c r="E117" s="3" t="n">
        <v>814.568</v>
      </c>
      <c r="F117" s="4" t="n">
        <v>23</v>
      </c>
      <c r="G117" t="inlineStr">
        <is>
          <t>Ontario Tennis Association</t>
        </is>
      </c>
      <c r="H117" t="inlineStr">
        <is>
          <t>Advantage Tennis International at Veneto</t>
        </is>
      </c>
      <c r="I117" t="n">
        <v>30.8</v>
      </c>
      <c r="J117" s="4" t="n">
        <v>165</v>
      </c>
      <c r="K117" t="inlineStr">
        <is>
          <t>95 / 70</t>
        </is>
      </c>
      <c r="L117" t="inlineStr">
        <is>
          <t>28 / 18</t>
        </is>
      </c>
      <c r="M117" s="5" t="n">
        <v>0.58</v>
      </c>
      <c r="N117" s="5" t="n">
        <v>0.61</v>
      </c>
    </row>
    <row r="118">
      <c r="A118" t="n">
        <v>117</v>
      </c>
      <c r="B118" t="n">
        <v>2014</v>
      </c>
      <c r="C118" t="inlineStr">
        <is>
          <t>Nyah Morgan</t>
        </is>
      </c>
      <c r="D118">
        <f>HYPERLINK("https://ota.tournamentsoftware.com/player-profile/D9CA028A-3366-4954-9B65-F9840B84F93D", "Link")</f>
        <v/>
      </c>
      <c r="E118" s="3" t="n">
        <v>794.096</v>
      </c>
      <c r="F118" s="4" t="n">
        <v>22</v>
      </c>
      <c r="G118" t="inlineStr">
        <is>
          <t>Ontario Tennis Association</t>
        </is>
      </c>
      <c r="H118" t="inlineStr">
        <is>
          <t>Premier Racquet Clubs – Mississauga</t>
        </is>
      </c>
      <c r="I118" t="n">
        <v>28.2</v>
      </c>
      <c r="J118" s="4" t="n">
        <v>209</v>
      </c>
      <c r="K118" t="inlineStr">
        <is>
          <t>133 / 76</t>
        </is>
      </c>
      <c r="L118" t="inlineStr">
        <is>
          <t>31 / 20</t>
        </is>
      </c>
      <c r="M118" s="5" t="n">
        <v>0.64</v>
      </c>
      <c r="N118" s="5" t="n">
        <v>0.61</v>
      </c>
    </row>
    <row r="119">
      <c r="A119" t="n">
        <v>118</v>
      </c>
      <c r="B119" t="n">
        <v>2012</v>
      </c>
      <c r="C119" t="inlineStr">
        <is>
          <t>Penelope Brandt</t>
        </is>
      </c>
      <c r="D119">
        <f>HYPERLINK("https://ota.tournamentsoftware.com/player-profile/AA2E46A9-EC33-4492-A527-0C8E0CA405B0", "Link")</f>
        <v/>
      </c>
      <c r="E119" s="3" t="n">
        <v>793.876</v>
      </c>
      <c r="F119" s="4" t="n">
        <v>26</v>
      </c>
      <c r="G119" t="inlineStr">
        <is>
          <t>Tennis Québec</t>
        </is>
      </c>
      <c r="H119" t="inlineStr">
        <is>
          <t>SANI Sport</t>
        </is>
      </c>
      <c r="I119" t="n">
        <v>28</v>
      </c>
      <c r="J119" s="4" t="n">
        <v>249</v>
      </c>
      <c r="K119" t="inlineStr">
        <is>
          <t>125 / 124</t>
        </is>
      </c>
      <c r="L119" t="inlineStr">
        <is>
          <t>34 / 23</t>
        </is>
      </c>
      <c r="M119" s="5" t="n">
        <v>0.5</v>
      </c>
      <c r="N119" s="5" t="n">
        <v>0.6</v>
      </c>
    </row>
    <row r="120">
      <c r="A120" t="n">
        <v>119</v>
      </c>
      <c r="B120" t="n">
        <v>2012</v>
      </c>
      <c r="C120" t="inlineStr">
        <is>
          <t>Joanna Pananchickal</t>
        </is>
      </c>
      <c r="D120">
        <f>HYPERLINK("https://ota.tournamentsoftware.com/player-profile/6487D297-D67D-4189-9D3C-05A8EA398E60", "Link")</f>
        <v/>
      </c>
      <c r="E120" s="3" t="n">
        <v>788.022</v>
      </c>
      <c r="F120" s="4" t="n">
        <v>13</v>
      </c>
      <c r="G120" t="inlineStr">
        <is>
          <t>Ontario Tennis Association</t>
        </is>
      </c>
      <c r="H120" t="inlineStr">
        <is>
          <t>No Club</t>
        </is>
      </c>
      <c r="I120" t="n">
        <v>29.8</v>
      </c>
      <c r="J120" s="4" t="n">
        <v>69</v>
      </c>
      <c r="K120" t="inlineStr">
        <is>
          <t>33 / 36</t>
        </is>
      </c>
      <c r="L120" t="inlineStr">
        <is>
          <t>15 / 8</t>
        </is>
      </c>
      <c r="M120" s="5" t="n">
        <v>0.48</v>
      </c>
      <c r="N120" s="5" t="n">
        <v>0.65</v>
      </c>
    </row>
    <row r="121">
      <c r="A121" t="n">
        <v>120</v>
      </c>
      <c r="B121" t="n">
        <v>2013</v>
      </c>
      <c r="C121" t="inlineStr">
        <is>
          <t>Melanie Moon</t>
        </is>
      </c>
      <c r="D121">
        <f>HYPERLINK("https://ota.tournamentsoftware.com/player-profile/90FC60A1-D48C-4A9A-97D8-A17B60CF6D4A", "Link")</f>
        <v/>
      </c>
      <c r="E121" s="3" t="n">
        <v>784.8390000000001</v>
      </c>
      <c r="F121" s="4" t="n">
        <v>15</v>
      </c>
      <c r="G121" t="inlineStr">
        <is>
          <t>British Columbia</t>
        </is>
      </c>
      <c r="H121" t="inlineStr">
        <is>
          <t>Vancouver Lawn Tennis and Badminton Club</t>
        </is>
      </c>
      <c r="I121" t="n">
        <v>28.3</v>
      </c>
      <c r="J121" s="4" t="n">
        <v>236</v>
      </c>
      <c r="K121" t="inlineStr">
        <is>
          <t>119 / 117</t>
        </is>
      </c>
      <c r="L121" t="inlineStr">
        <is>
          <t>10 / 17</t>
        </is>
      </c>
      <c r="M121" s="5" t="n">
        <v>0.5</v>
      </c>
      <c r="N121" s="5" t="n">
        <v>0.37</v>
      </c>
    </row>
    <row r="122">
      <c r="A122" t="n">
        <v>121</v>
      </c>
      <c r="B122" t="n">
        <v>2013</v>
      </c>
      <c r="C122" t="inlineStr">
        <is>
          <t>Élianne Bouchard</t>
        </is>
      </c>
      <c r="D122">
        <f>HYPERLINK("https://ota.tournamentsoftware.com/player-profile/44233F45-64EC-49B2-AA72-859E176C2987", "Link")</f>
        <v/>
      </c>
      <c r="E122" s="3" t="n">
        <v>784.313</v>
      </c>
      <c r="F122" s="4" t="n">
        <v>30</v>
      </c>
      <c r="G122" t="inlineStr">
        <is>
          <t>Tennis Québec</t>
        </is>
      </c>
      <c r="H122" t="inlineStr">
        <is>
          <t>Tennis Interclub Piedmont</t>
        </is>
      </c>
      <c r="I122" t="n">
        <v>29.3</v>
      </c>
      <c r="J122" s="4" t="n">
        <v>249</v>
      </c>
      <c r="K122" t="inlineStr">
        <is>
          <t>118 / 131</t>
        </is>
      </c>
      <c r="L122" t="inlineStr">
        <is>
          <t>32 / 23</t>
        </is>
      </c>
      <c r="M122" s="5" t="n">
        <v>0.47</v>
      </c>
      <c r="N122" s="5" t="n">
        <v>0.58</v>
      </c>
    </row>
    <row r="123">
      <c r="A123" t="n">
        <v>122</v>
      </c>
      <c r="B123" t="n">
        <v>2013</v>
      </c>
      <c r="C123" t="inlineStr">
        <is>
          <t>Navya Chawla</t>
        </is>
      </c>
      <c r="D123">
        <f>HYPERLINK("https://ota.tournamentsoftware.com/player-profile/26838C23-66D4-4CAD-825B-C69620EB242D", "Link")</f>
        <v/>
      </c>
      <c r="E123" s="3" t="n">
        <v>777.96</v>
      </c>
      <c r="F123" s="4" t="n">
        <v>18</v>
      </c>
      <c r="G123" t="inlineStr">
        <is>
          <t>Tennis Alberta</t>
        </is>
      </c>
      <c r="H123" t="inlineStr">
        <is>
          <t>Osten &amp; Victor Alberta Tennis Centre</t>
        </is>
      </c>
      <c r="I123" t="n">
        <v>24.6</v>
      </c>
      <c r="J123" s="4" t="n">
        <v>281</v>
      </c>
      <c r="K123" t="inlineStr">
        <is>
          <t>178 / 103</t>
        </is>
      </c>
      <c r="L123" t="inlineStr">
        <is>
          <t>14 / 13</t>
        </is>
      </c>
      <c r="M123" s="5" t="n">
        <v>0.63</v>
      </c>
      <c r="N123" s="5" t="n">
        <v>0.52</v>
      </c>
    </row>
    <row r="124">
      <c r="A124" t="n">
        <v>123</v>
      </c>
      <c r="B124" t="n">
        <v>2012</v>
      </c>
      <c r="C124" t="inlineStr">
        <is>
          <t>Anna Lucenti</t>
        </is>
      </c>
      <c r="D124">
        <f>HYPERLINK("https://ota.tournamentsoftware.com/player-profile/332E40CD-AB90-41CE-81C3-858501B2FAD3", "Link")</f>
        <v/>
      </c>
      <c r="E124" s="3" t="n">
        <v>766.526</v>
      </c>
      <c r="F124" s="4" t="n">
        <v>28</v>
      </c>
      <c r="G124" t="inlineStr">
        <is>
          <t>Ontario Tennis Association</t>
        </is>
      </c>
      <c r="H124" t="inlineStr">
        <is>
          <t>SmartVMC Racquetsports by ACE</t>
        </is>
      </c>
      <c r="I124" t="n">
        <v>29.2</v>
      </c>
      <c r="J124" s="4" t="n">
        <v>138</v>
      </c>
      <c r="K124" t="inlineStr">
        <is>
          <t>59 / 79</t>
        </is>
      </c>
      <c r="L124" t="inlineStr">
        <is>
          <t>26 / 16</t>
        </is>
      </c>
      <c r="M124" s="5" t="n">
        <v>0.43</v>
      </c>
      <c r="N124" s="5" t="n">
        <v>0.62</v>
      </c>
    </row>
    <row r="125">
      <c r="A125" t="n">
        <v>124</v>
      </c>
      <c r="B125" t="n">
        <v>2014</v>
      </c>
      <c r="C125" t="inlineStr">
        <is>
          <t>Fengfei ZHANG</t>
        </is>
      </c>
      <c r="D125">
        <f>HYPERLINK("https://ota.tournamentsoftware.com/player-profile/AB18AFB2-DEDF-42AF-BFB1-458553AF250C", "Link")</f>
        <v/>
      </c>
      <c r="E125" s="3" t="n">
        <v>766.082</v>
      </c>
      <c r="F125" s="4" t="n">
        <v>30</v>
      </c>
      <c r="G125" t="inlineStr">
        <is>
          <t>Tennis Québec</t>
        </is>
      </c>
      <c r="H125" t="inlineStr">
        <is>
          <t>Tennis Ile- des- Soeurs</t>
        </is>
      </c>
      <c r="I125" t="n">
        <v>29.4</v>
      </c>
      <c r="J125" s="4" t="n">
        <v>242</v>
      </c>
      <c r="K125" t="inlineStr">
        <is>
          <t>110 / 132</t>
        </is>
      </c>
      <c r="L125" t="inlineStr">
        <is>
          <t>41 / 32</t>
        </is>
      </c>
      <c r="M125" s="5" t="n">
        <v>0.45</v>
      </c>
      <c r="N125" s="5" t="n">
        <v>0.5600000000000001</v>
      </c>
    </row>
    <row r="126">
      <c r="A126" t="n">
        <v>125</v>
      </c>
      <c r="B126" t="n">
        <v>2012</v>
      </c>
      <c r="C126" t="inlineStr">
        <is>
          <t>Lourdes Valentina Haun</t>
        </is>
      </c>
      <c r="D126">
        <f>HYPERLINK("https://ota.tournamentsoftware.com/player-profile/97D1640C-AAFD-43B2-8C9A-BAA1649A3937", "Link")</f>
        <v/>
      </c>
      <c r="E126" s="3" t="n">
        <v>761.729</v>
      </c>
      <c r="F126" s="4" t="n">
        <v>14</v>
      </c>
      <c r="G126" t="inlineStr">
        <is>
          <t>Tennis Alberta</t>
        </is>
      </c>
      <c r="H126" t="inlineStr">
        <is>
          <t>Osten &amp; Victor Alberta Tennis Centre</t>
        </is>
      </c>
      <c r="I126" t="n">
        <v>26.2</v>
      </c>
      <c r="J126" s="4" t="n">
        <v>292</v>
      </c>
      <c r="K126" t="inlineStr">
        <is>
          <t>170 / 122</t>
        </is>
      </c>
      <c r="L126" t="inlineStr">
        <is>
          <t>21 / 16</t>
        </is>
      </c>
      <c r="M126" s="5" t="n">
        <v>0.58</v>
      </c>
      <c r="N126" s="5" t="n">
        <v>0.57</v>
      </c>
    </row>
    <row r="127">
      <c r="A127" t="n">
        <v>126</v>
      </c>
      <c r="B127" t="n">
        <v>2012</v>
      </c>
      <c r="C127" t="inlineStr">
        <is>
          <t>Victoria Chow</t>
        </is>
      </c>
      <c r="D127">
        <f>HYPERLINK("https://ota.tournamentsoftware.com/player-profile/7A966C5F-11C4-49ED-9F9D-2B1D18AB7E3B", "Link")</f>
        <v/>
      </c>
      <c r="E127" s="3" t="n">
        <v>743.375</v>
      </c>
      <c r="F127" s="4" t="n">
        <v>21</v>
      </c>
      <c r="G127" t="inlineStr">
        <is>
          <t>Ontario Tennis Association</t>
        </is>
      </c>
      <c r="H127" t="inlineStr">
        <is>
          <t>No Club</t>
        </is>
      </c>
      <c r="I127" t="inlineStr">
        <is>
          <t>unavailable</t>
        </is>
      </c>
      <c r="J127" s="4" t="n">
        <v>280</v>
      </c>
      <c r="K127" t="inlineStr">
        <is>
          <t>142 / 138</t>
        </is>
      </c>
      <c r="L127" t="inlineStr">
        <is>
          <t>16 / 24</t>
        </is>
      </c>
      <c r="M127" s="5" t="n">
        <v>0.51</v>
      </c>
      <c r="N127" s="5" t="n">
        <v>0.4</v>
      </c>
    </row>
    <row r="128">
      <c r="A128" t="n">
        <v>127</v>
      </c>
      <c r="B128" t="n">
        <v>2014</v>
      </c>
      <c r="C128" t="inlineStr">
        <is>
          <t>Michelle Zhang</t>
        </is>
      </c>
      <c r="D128">
        <f>HYPERLINK("https://ota.tournamentsoftware.com/player-profile/9912697B-2876-4A36-8F98-3B7F524694E1", "Link")</f>
        <v/>
      </c>
      <c r="E128" s="3" t="n">
        <v>738.6799999999999</v>
      </c>
      <c r="F128" s="4" t="n">
        <v>12</v>
      </c>
      <c r="G128" t="inlineStr">
        <is>
          <t>Tennis Nova Scotia</t>
        </is>
      </c>
      <c r="H128" t="inlineStr">
        <is>
          <t>Atlantic Tennis Centre</t>
        </is>
      </c>
      <c r="I128" t="n">
        <v>29.3</v>
      </c>
      <c r="J128" s="4" t="n">
        <v>159</v>
      </c>
      <c r="K128" t="inlineStr">
        <is>
          <t>89 / 70</t>
        </is>
      </c>
      <c r="L128" t="inlineStr">
        <is>
          <t>27 / 29</t>
        </is>
      </c>
      <c r="M128" s="5" t="n">
        <v>0.5600000000000001</v>
      </c>
      <c r="N128" s="5" t="n">
        <v>0.48</v>
      </c>
    </row>
    <row r="129">
      <c r="A129" t="n">
        <v>128</v>
      </c>
      <c r="B129" t="n">
        <v>2013</v>
      </c>
      <c r="C129" t="inlineStr">
        <is>
          <t>Sonya Resnikova</t>
        </is>
      </c>
      <c r="D129">
        <f>HYPERLINK("https://ota.tournamentsoftware.com/player-profile/083F5EEA-6E2D-488B-B778-27E4248C2F0D", "Link")</f>
        <v/>
      </c>
      <c r="E129" s="3" t="n">
        <v>725.702</v>
      </c>
      <c r="F129" s="4" t="n">
        <v>29</v>
      </c>
      <c r="G129" t="inlineStr">
        <is>
          <t>Ontario Tennis Association</t>
        </is>
      </c>
      <c r="H129" t="inlineStr">
        <is>
          <t>SmartVMC Racquetsports by ACE</t>
        </is>
      </c>
      <c r="I129" t="n">
        <v>31.1</v>
      </c>
      <c r="J129" s="4" t="n">
        <v>94</v>
      </c>
      <c r="K129" t="inlineStr">
        <is>
          <t>60 / 34</t>
        </is>
      </c>
      <c r="L129" t="inlineStr">
        <is>
          <t>28 / 20</t>
        </is>
      </c>
      <c r="M129" s="5" t="n">
        <v>0.64</v>
      </c>
      <c r="N129" s="5" t="n">
        <v>0.58</v>
      </c>
    </row>
    <row r="130">
      <c r="A130" t="n">
        <v>129</v>
      </c>
      <c r="B130" t="n">
        <v>2012</v>
      </c>
      <c r="C130" t="inlineStr">
        <is>
          <t>Meika Sebastian</t>
        </is>
      </c>
      <c r="D130">
        <f>HYPERLINK("https://ota.tournamentsoftware.com/player-profile/0CA7407B-419A-43BA-82FB-32200AA68BA2", "Link")</f>
        <v/>
      </c>
      <c r="E130" s="3" t="n">
        <v>719.111</v>
      </c>
      <c r="F130" s="4" t="n">
        <v>8</v>
      </c>
      <c r="G130" t="inlineStr">
        <is>
          <t>Ontario Tennis Association</t>
        </is>
      </c>
      <c r="H130" t="inlineStr">
        <is>
          <t>City of Kingston</t>
        </is>
      </c>
      <c r="I130" t="n">
        <v>24.8</v>
      </c>
      <c r="J130" s="4" t="n">
        <v>287</v>
      </c>
      <c r="K130" t="inlineStr">
        <is>
          <t>147 / 140</t>
        </is>
      </c>
      <c r="L130" t="inlineStr">
        <is>
          <t>0 / 4</t>
        </is>
      </c>
      <c r="M130" s="5" t="n">
        <v>0.51</v>
      </c>
      <c r="N130" s="5" t="n">
        <v>0</v>
      </c>
    </row>
    <row r="131">
      <c r="A131" t="n">
        <v>130</v>
      </c>
      <c r="B131" t="n">
        <v>2014</v>
      </c>
      <c r="C131" t="inlineStr">
        <is>
          <t>Nuanyi Li</t>
        </is>
      </c>
      <c r="D131">
        <f>HYPERLINK("https://ota.tournamentsoftware.com/player-profile/341DA394-9039-4254-B369-B8C52872A168", "Link")</f>
        <v/>
      </c>
      <c r="E131" s="3" t="n">
        <v>710.697</v>
      </c>
      <c r="F131" s="4" t="n">
        <v>28</v>
      </c>
      <c r="G131" t="inlineStr">
        <is>
          <t>Ontario Tennis Association</t>
        </is>
      </c>
      <c r="H131" t="inlineStr">
        <is>
          <t>Fainblum Tennis Academy</t>
        </is>
      </c>
      <c r="I131" t="n">
        <v>28.5</v>
      </c>
      <c r="J131" s="4" t="n">
        <v>290</v>
      </c>
      <c r="K131" t="inlineStr">
        <is>
          <t>179 / 111</t>
        </is>
      </c>
      <c r="L131" t="inlineStr">
        <is>
          <t>28 / 28</t>
        </is>
      </c>
      <c r="M131" s="5" t="n">
        <v>0.62</v>
      </c>
      <c r="N131" s="5" t="n">
        <v>0.5</v>
      </c>
    </row>
    <row r="132">
      <c r="A132" t="n">
        <v>131</v>
      </c>
      <c r="B132" t="n">
        <v>2012</v>
      </c>
      <c r="C132" t="inlineStr">
        <is>
          <t>Dina Yijia Zhang</t>
        </is>
      </c>
      <c r="D132">
        <f>HYPERLINK("https://ota.tournamentsoftware.com/player-profile/CF7261D5-5723-40A9-853D-2B21D7A35985", "Link")</f>
        <v/>
      </c>
      <c r="E132" s="3" t="n">
        <v>703.611</v>
      </c>
      <c r="F132" s="4" t="n">
        <v>9</v>
      </c>
      <c r="G132" t="inlineStr">
        <is>
          <t>Tennis Nova Scotia</t>
        </is>
      </c>
      <c r="H132" t="inlineStr">
        <is>
          <t>HEADSTART</t>
        </is>
      </c>
      <c r="I132" t="n">
        <v>30.2</v>
      </c>
      <c r="J132" s="4" t="n">
        <v>163</v>
      </c>
      <c r="K132" t="inlineStr">
        <is>
          <t>67 / 96</t>
        </is>
      </c>
      <c r="L132" t="inlineStr">
        <is>
          <t>11 / 17</t>
        </is>
      </c>
      <c r="M132" s="5" t="n">
        <v>0.41</v>
      </c>
      <c r="N132" s="5" t="n">
        <v>0.39</v>
      </c>
    </row>
    <row r="133">
      <c r="A133" t="n">
        <v>132</v>
      </c>
      <c r="B133" t="n">
        <v>2013</v>
      </c>
      <c r="C133" t="inlineStr">
        <is>
          <t>Elena Vamoser</t>
        </is>
      </c>
      <c r="D133">
        <f>HYPERLINK("https://ota.tournamentsoftware.com/player-profile/F839ADA6-2875-4712-9FE7-C958E075D669", "Link")</f>
        <v/>
      </c>
      <c r="E133" s="3" t="n">
        <v>697.77</v>
      </c>
      <c r="F133" s="4" t="n">
        <v>25</v>
      </c>
      <c r="G133" t="inlineStr">
        <is>
          <t>Ontario Tennis Association</t>
        </is>
      </c>
      <c r="H133" t="inlineStr">
        <is>
          <t>ACE Tennis - Burlington</t>
        </is>
      </c>
      <c r="I133" t="n">
        <v>30.7</v>
      </c>
      <c r="J133" s="4" t="n">
        <v>129</v>
      </c>
      <c r="K133" t="inlineStr">
        <is>
          <t>74 / 55</t>
        </is>
      </c>
      <c r="L133" t="inlineStr">
        <is>
          <t>15 / 18</t>
        </is>
      </c>
      <c r="M133" s="5" t="n">
        <v>0.57</v>
      </c>
      <c r="N133" s="5" t="n">
        <v>0.45</v>
      </c>
    </row>
    <row r="134">
      <c r="A134" t="n">
        <v>133</v>
      </c>
      <c r="B134" t="n">
        <v>2016</v>
      </c>
      <c r="C134" t="inlineStr">
        <is>
          <t>Kaili Ear Gui</t>
        </is>
      </c>
      <c r="D134">
        <f>HYPERLINK("https://ota.tournamentsoftware.com/player-profile/6E1FCBA7-1BA6-4DCA-9440-D121E3710638", "Link")</f>
        <v/>
      </c>
      <c r="E134" s="3" t="n">
        <v>695.772</v>
      </c>
      <c r="F134" s="4" t="n">
        <v>13</v>
      </c>
      <c r="G134" t="inlineStr">
        <is>
          <t>Tennis Saskatchewan</t>
        </is>
      </c>
      <c r="H134" t="inlineStr">
        <is>
          <t>Lakeshore Tennis Club</t>
        </is>
      </c>
      <c r="I134" t="n">
        <v>31.7</v>
      </c>
      <c r="J134" s="4" t="n">
        <v>147</v>
      </c>
      <c r="K134" t="inlineStr">
        <is>
          <t>84 / 63</t>
        </is>
      </c>
      <c r="L134" t="inlineStr">
        <is>
          <t>35 / 30</t>
        </is>
      </c>
      <c r="M134" s="5" t="n">
        <v>0.57</v>
      </c>
      <c r="N134" s="5" t="n">
        <v>0.54</v>
      </c>
    </row>
    <row r="135">
      <c r="A135" t="n">
        <v>134</v>
      </c>
      <c r="B135" t="n">
        <v>2012</v>
      </c>
      <c r="C135" t="inlineStr">
        <is>
          <t>Avea Ungureanu Pinto</t>
        </is>
      </c>
      <c r="D135">
        <f>HYPERLINK("https://ota.tournamentsoftware.com/player-profile/527FEC9E-D920-4439-9E01-51A3CFDED939", "Link")</f>
        <v/>
      </c>
      <c r="E135" s="3" t="n">
        <v>681.7809999999999</v>
      </c>
      <c r="F135" s="4" t="n">
        <v>26</v>
      </c>
      <c r="G135" t="inlineStr">
        <is>
          <t>Ontario Tennis Association</t>
        </is>
      </c>
      <c r="H135" t="inlineStr">
        <is>
          <t>Mayfair East Racquet Club</t>
        </is>
      </c>
      <c r="I135" t="n">
        <v>28.3</v>
      </c>
      <c r="J135" s="4" t="n">
        <v>144</v>
      </c>
      <c r="K135" t="inlineStr">
        <is>
          <t>78 / 66</t>
        </is>
      </c>
      <c r="L135" t="inlineStr">
        <is>
          <t>23 / 17</t>
        </is>
      </c>
      <c r="M135" s="5" t="n">
        <v>0.54</v>
      </c>
      <c r="N135" s="5" t="n">
        <v>0.57</v>
      </c>
    </row>
    <row r="136">
      <c r="A136" t="n">
        <v>135</v>
      </c>
      <c r="B136" t="n">
        <v>2013</v>
      </c>
      <c r="C136" t="inlineStr">
        <is>
          <t>Leyan Isabella Yik Sum Leung</t>
        </is>
      </c>
      <c r="D136">
        <f>HYPERLINK("https://ota.tournamentsoftware.com/player-profile/7FB2D792-ABB2-4F05-B9D4-757321E9FA35", "Link")</f>
        <v/>
      </c>
      <c r="E136" s="3" t="n">
        <v>663.989</v>
      </c>
      <c r="F136" s="4" t="n">
        <v>21</v>
      </c>
      <c r="G136" t="inlineStr">
        <is>
          <t>British Columbia</t>
        </is>
      </c>
      <c r="H136" t="inlineStr">
        <is>
          <t>Vanguard Tennis Academy</t>
        </is>
      </c>
      <c r="I136" t="n">
        <v>27.2</v>
      </c>
      <c r="J136" s="4" t="n">
        <v>127</v>
      </c>
      <c r="K136" t="inlineStr">
        <is>
          <t>82 / 45</t>
        </is>
      </c>
      <c r="L136" t="inlineStr">
        <is>
          <t>32 / 17</t>
        </is>
      </c>
      <c r="M136" s="5" t="n">
        <v>0.65</v>
      </c>
      <c r="N136" s="5" t="n">
        <v>0.65</v>
      </c>
    </row>
    <row r="137">
      <c r="A137" t="n">
        <v>136</v>
      </c>
      <c r="B137" t="n">
        <v>2012</v>
      </c>
      <c r="C137" t="inlineStr">
        <is>
          <t>Cindy Zixuan Li</t>
        </is>
      </c>
      <c r="D137">
        <f>HYPERLINK("https://ota.tournamentsoftware.com/player-profile/23E61DC5-74BF-4612-8E7F-7DA0B013D911", "Link")</f>
        <v/>
      </c>
      <c r="E137" s="3" t="n">
        <v>661.299</v>
      </c>
      <c r="F137" s="4" t="n">
        <v>9</v>
      </c>
      <c r="G137" t="inlineStr">
        <is>
          <t>British Columbia</t>
        </is>
      </c>
      <c r="H137" t="inlineStr">
        <is>
          <t>Vanguard Tennis Academy</t>
        </is>
      </c>
      <c r="I137" t="n">
        <v>27.2</v>
      </c>
      <c r="J137" s="4" t="n">
        <v>137</v>
      </c>
      <c r="K137" t="inlineStr">
        <is>
          <t>69 / 68</t>
        </is>
      </c>
      <c r="L137" t="inlineStr">
        <is>
          <t>8 / 7</t>
        </is>
      </c>
      <c r="M137" s="5" t="n">
        <v>0.5</v>
      </c>
      <c r="N137" s="5" t="n">
        <v>0.53</v>
      </c>
    </row>
    <row r="138">
      <c r="A138" t="n">
        <v>137</v>
      </c>
      <c r="B138" t="n">
        <v>2012</v>
      </c>
      <c r="C138" t="inlineStr">
        <is>
          <t>Luisa Victoria Davis</t>
        </is>
      </c>
      <c r="D138">
        <f>HYPERLINK("https://ota.tournamentsoftware.com/player-profile/F5AE6D4A-50BA-4E57-AD34-589189161D57", "Link")</f>
        <v/>
      </c>
      <c r="E138" s="3" t="n">
        <v>656.047</v>
      </c>
      <c r="F138" s="4" t="n">
        <v>12</v>
      </c>
      <c r="G138" t="inlineStr">
        <is>
          <t>Ontario Tennis Association</t>
        </is>
      </c>
      <c r="H138" t="inlineStr">
        <is>
          <t>Mayfair West Fitness &amp; Racquet Club</t>
        </is>
      </c>
      <c r="I138" t="inlineStr">
        <is>
          <t>unavailable</t>
        </is>
      </c>
      <c r="J138" s="4" t="n">
        <v>200</v>
      </c>
      <c r="K138" t="inlineStr">
        <is>
          <t>128 / 72</t>
        </is>
      </c>
      <c r="L138" t="inlineStr">
        <is>
          <t>6 / 10</t>
        </is>
      </c>
      <c r="M138" s="5" t="n">
        <v>0.64</v>
      </c>
      <c r="N138" s="5" t="n">
        <v>0.38</v>
      </c>
    </row>
    <row r="139">
      <c r="A139" t="n">
        <v>138</v>
      </c>
      <c r="B139" t="n">
        <v>2012</v>
      </c>
      <c r="C139" t="inlineStr">
        <is>
          <t>Margot de Candé</t>
        </is>
      </c>
      <c r="D139">
        <f>HYPERLINK("https://ota.tournamentsoftware.com/player-profile/695315EE-6360-44B7-9352-E2A867A09DAD", "Link")</f>
        <v/>
      </c>
      <c r="E139" s="3" t="n">
        <v>647.8</v>
      </c>
      <c r="F139" s="4" t="n">
        <v>16</v>
      </c>
      <c r="G139" t="inlineStr">
        <is>
          <t>Tennis Québec</t>
        </is>
      </c>
      <c r="H139" t="inlineStr">
        <is>
          <t>Tennis Ile- des- Soeurs</t>
        </is>
      </c>
      <c r="I139" t="n">
        <v>29.8</v>
      </c>
      <c r="J139" s="4" t="n">
        <v>123</v>
      </c>
      <c r="K139" t="inlineStr">
        <is>
          <t>59 / 64</t>
        </is>
      </c>
      <c r="L139" t="inlineStr">
        <is>
          <t>18 / 7</t>
        </is>
      </c>
      <c r="M139" s="5" t="n">
        <v>0.48</v>
      </c>
      <c r="N139" s="5" t="n">
        <v>0.72</v>
      </c>
    </row>
    <row r="140">
      <c r="A140" t="n">
        <v>139</v>
      </c>
      <c r="B140" t="n">
        <v>2012</v>
      </c>
      <c r="C140" t="inlineStr">
        <is>
          <t>Chloe Fischer</t>
        </is>
      </c>
      <c r="D140">
        <f>HYPERLINK("https://ota.tournamentsoftware.com/player-profile/4F19921D-D25C-4DFA-8A7D-90DE48FEB722", "Link")</f>
        <v/>
      </c>
      <c r="E140" s="3" t="n">
        <v>646.653</v>
      </c>
      <c r="F140" s="4" t="n">
        <v>21</v>
      </c>
      <c r="G140" t="inlineStr">
        <is>
          <t>Ontario Tennis Association</t>
        </is>
      </c>
      <c r="H140" t="inlineStr">
        <is>
          <t>No Club</t>
        </is>
      </c>
      <c r="I140" t="n">
        <v>32.7</v>
      </c>
      <c r="J140" s="4" t="n">
        <v>220</v>
      </c>
      <c r="K140" t="inlineStr">
        <is>
          <t>102 / 118</t>
        </is>
      </c>
      <c r="L140" t="inlineStr">
        <is>
          <t>6 / 23</t>
        </is>
      </c>
      <c r="M140" s="5" t="n">
        <v>0.46</v>
      </c>
      <c r="N140" s="5" t="n">
        <v>0.21</v>
      </c>
    </row>
    <row r="141">
      <c r="A141" t="n">
        <v>140</v>
      </c>
      <c r="B141" t="n">
        <v>2013</v>
      </c>
      <c r="C141" t="inlineStr">
        <is>
          <t>Chloe Elizabeth Kotorobai</t>
        </is>
      </c>
      <c r="D141">
        <f>HYPERLINK("https://ota.tournamentsoftware.com/player-profile/FA516D57-03A4-4F2E-810D-864F5732F5CE", "Link")</f>
        <v/>
      </c>
      <c r="E141" s="3" t="n">
        <v>644.04</v>
      </c>
      <c r="F141" s="4" t="n">
        <v>22</v>
      </c>
      <c r="G141" t="inlineStr">
        <is>
          <t>Ontario Tennis Association</t>
        </is>
      </c>
      <c r="H141" t="inlineStr">
        <is>
          <t>City of Stoney Creek</t>
        </is>
      </c>
      <c r="I141" t="n">
        <v>31.3</v>
      </c>
      <c r="J141" s="4" t="n">
        <v>96</v>
      </c>
      <c r="K141" t="inlineStr">
        <is>
          <t>38 / 58</t>
        </is>
      </c>
      <c r="L141" t="inlineStr">
        <is>
          <t>10 / 17</t>
        </is>
      </c>
      <c r="M141" s="5" t="n">
        <v>0.4</v>
      </c>
      <c r="N141" s="5" t="n">
        <v>0.37</v>
      </c>
    </row>
    <row r="142">
      <c r="A142" t="n">
        <v>141</v>
      </c>
      <c r="B142" t="n">
        <v>2015</v>
      </c>
      <c r="C142" t="inlineStr">
        <is>
          <t>Sofia Chan</t>
        </is>
      </c>
      <c r="D142">
        <f>HYPERLINK("https://ota.tournamentsoftware.com/player-profile/62C41ADF-8A1D-416E-AAF9-4C80ECB74645", "Link")</f>
        <v/>
      </c>
      <c r="E142" s="3" t="n">
        <v>643.928</v>
      </c>
      <c r="F142" s="4" t="n">
        <v>31</v>
      </c>
      <c r="G142" t="inlineStr">
        <is>
          <t>Ontario Tennis Association</t>
        </is>
      </c>
      <c r="H142" t="inlineStr">
        <is>
          <t>No Club</t>
        </is>
      </c>
      <c r="I142" t="n">
        <v>30.4</v>
      </c>
      <c r="J142" s="4" t="n">
        <v>158</v>
      </c>
      <c r="K142" t="inlineStr">
        <is>
          <t>100 / 58</t>
        </is>
      </c>
      <c r="L142" t="inlineStr">
        <is>
          <t>43 / 27</t>
        </is>
      </c>
      <c r="M142" s="5" t="n">
        <v>0.63</v>
      </c>
      <c r="N142" s="5" t="n">
        <v>0.61</v>
      </c>
    </row>
    <row r="143">
      <c r="A143" t="n">
        <v>142</v>
      </c>
      <c r="B143" t="n">
        <v>2015</v>
      </c>
      <c r="C143" t="inlineStr">
        <is>
          <t>Amy Jiao</t>
        </is>
      </c>
      <c r="D143">
        <f>HYPERLINK("https://ota.tournamentsoftware.com/player-profile/5977984B-8EC9-4812-BCFA-CD93C4FFD7AF", "Link")</f>
        <v/>
      </c>
      <c r="E143" s="3" t="n">
        <v>641.838</v>
      </c>
      <c r="F143" s="4" t="n">
        <v>24</v>
      </c>
      <c r="G143" t="inlineStr">
        <is>
          <t>Ontario Tennis Association</t>
        </is>
      </c>
      <c r="H143" t="inlineStr">
        <is>
          <t>Rideau Sports Centre</t>
        </is>
      </c>
      <c r="I143" t="n">
        <v>29.5</v>
      </c>
      <c r="J143" s="4" t="n">
        <v>299</v>
      </c>
      <c r="K143" t="inlineStr">
        <is>
          <t>169 / 130</t>
        </is>
      </c>
      <c r="L143" t="inlineStr">
        <is>
          <t>50 / 28</t>
        </is>
      </c>
      <c r="M143" s="5" t="n">
        <v>0.57</v>
      </c>
      <c r="N143" s="5" t="n">
        <v>0.64</v>
      </c>
    </row>
    <row r="144">
      <c r="A144" t="n">
        <v>143</v>
      </c>
      <c r="B144" t="n">
        <v>2012</v>
      </c>
      <c r="C144" t="inlineStr">
        <is>
          <t>Madison Tam</t>
        </is>
      </c>
      <c r="D144">
        <f>HYPERLINK("https://ota.tournamentsoftware.com/player-profile/827C7FCD-2D7D-406E-B5C0-29D0720096DC", "Link")</f>
        <v/>
      </c>
      <c r="E144" s="3" t="n">
        <v>638.2</v>
      </c>
      <c r="F144" s="4" t="n">
        <v>17</v>
      </c>
      <c r="G144" t="inlineStr">
        <is>
          <t>Ontario Tennis Association</t>
        </is>
      </c>
      <c r="H144" t="inlineStr">
        <is>
          <t>Sir Winston Churchill Tennis Club</t>
        </is>
      </c>
      <c r="I144" t="n">
        <v>29.1</v>
      </c>
      <c r="J144" s="4" t="n">
        <v>441</v>
      </c>
      <c r="K144" t="inlineStr">
        <is>
          <t>316 / 125</t>
        </is>
      </c>
      <c r="L144" t="inlineStr">
        <is>
          <t>19 / 10</t>
        </is>
      </c>
      <c r="M144" s="5" t="n">
        <v>0.72</v>
      </c>
      <c r="N144" s="5" t="n">
        <v>0.66</v>
      </c>
    </row>
    <row r="145">
      <c r="A145" t="n">
        <v>144</v>
      </c>
      <c r="B145" t="n">
        <v>2014</v>
      </c>
      <c r="C145" t="inlineStr">
        <is>
          <t>Emmanuella Ibrahim</t>
        </is>
      </c>
      <c r="D145">
        <f>HYPERLINK("https://ota.tournamentsoftware.com/player-profile/8CFFE2B1-9508-4CB2-8E6A-6761AA8394EA", "Link")</f>
        <v/>
      </c>
      <c r="E145" s="3" t="n">
        <v>628.717</v>
      </c>
      <c r="F145" s="4" t="n">
        <v>18</v>
      </c>
      <c r="G145" t="inlineStr">
        <is>
          <t>Tennis Alberta</t>
        </is>
      </c>
      <c r="H145" t="inlineStr">
        <is>
          <t>Aforza</t>
        </is>
      </c>
      <c r="I145" t="inlineStr">
        <is>
          <t>unavailable</t>
        </is>
      </c>
      <c r="J145" s="4" t="n">
        <v>190</v>
      </c>
      <c r="K145" t="inlineStr">
        <is>
          <t>137 / 53</t>
        </is>
      </c>
      <c r="L145" t="inlineStr">
        <is>
          <t>39 / 16</t>
        </is>
      </c>
      <c r="M145" s="5" t="n">
        <v>0.72</v>
      </c>
      <c r="N145" s="5" t="n">
        <v>0.71</v>
      </c>
    </row>
    <row r="146">
      <c r="A146" t="n">
        <v>145</v>
      </c>
      <c r="B146" t="n">
        <v>2012</v>
      </c>
      <c r="C146" t="inlineStr">
        <is>
          <t>Yutong (Olivia) Ha</t>
        </is>
      </c>
      <c r="D146">
        <f>HYPERLINK("https://ota.tournamentsoftware.com/player-profile/53AE0DB5-1F76-4FB8-9870-3B236A9DAA97", "Link")</f>
        <v/>
      </c>
      <c r="E146" s="3" t="n">
        <v>624.7430000000001</v>
      </c>
      <c r="F146" s="4" t="n">
        <v>15</v>
      </c>
      <c r="G146" t="inlineStr">
        <is>
          <t>Ontario Tennis Association</t>
        </is>
      </c>
      <c r="H146" t="inlineStr">
        <is>
          <t>Richmondhill Golf &amp; Country Club</t>
        </is>
      </c>
      <c r="I146" t="inlineStr">
        <is>
          <t>unavailable</t>
        </is>
      </c>
      <c r="J146" s="4" t="n">
        <v>195</v>
      </c>
      <c r="K146" t="inlineStr">
        <is>
          <t>84 / 111</t>
        </is>
      </c>
      <c r="L146" t="inlineStr">
        <is>
          <t>6 / 16</t>
        </is>
      </c>
      <c r="M146" s="5" t="n">
        <v>0.43</v>
      </c>
      <c r="N146" s="5" t="n">
        <v>0.27</v>
      </c>
    </row>
    <row r="147">
      <c r="A147" t="n">
        <v>146</v>
      </c>
      <c r="B147" t="n">
        <v>2012</v>
      </c>
      <c r="C147" t="inlineStr">
        <is>
          <t>Riddhi Jha</t>
        </is>
      </c>
      <c r="D147">
        <f>HYPERLINK("https://ota.tournamentsoftware.com/player-profile/3B4B01BB-2AAD-49DD-B186-312576B12DC9", "Link")</f>
        <v/>
      </c>
      <c r="E147" s="3" t="n">
        <v>622.258</v>
      </c>
      <c r="F147" s="4" t="n">
        <v>15</v>
      </c>
      <c r="G147" t="inlineStr">
        <is>
          <t>Ontario Tennis Association</t>
        </is>
      </c>
      <c r="H147" t="inlineStr">
        <is>
          <t>Bramalea Tennis Club</t>
        </is>
      </c>
      <c r="I147" t="n">
        <v>30.8</v>
      </c>
      <c r="J147" s="4" t="n">
        <v>242</v>
      </c>
      <c r="K147" t="inlineStr">
        <is>
          <t>89 / 153</t>
        </is>
      </c>
      <c r="L147" t="inlineStr">
        <is>
          <t>18 / 12</t>
        </is>
      </c>
      <c r="M147" s="5" t="n">
        <v>0.37</v>
      </c>
      <c r="N147" s="5" t="n">
        <v>0.6</v>
      </c>
    </row>
    <row r="148">
      <c r="A148" t="n">
        <v>147</v>
      </c>
      <c r="B148" t="n">
        <v>2012</v>
      </c>
      <c r="C148" t="inlineStr">
        <is>
          <t>Marisol Hilal</t>
        </is>
      </c>
      <c r="D148">
        <f>HYPERLINK("https://ota.tournamentsoftware.com/player-profile/A59841ED-F3F4-4773-A197-5502453988FE", "Link")</f>
        <v/>
      </c>
      <c r="E148" s="3" t="n">
        <v>621.989</v>
      </c>
      <c r="F148" s="4" t="n">
        <v>33</v>
      </c>
      <c r="G148" t="inlineStr">
        <is>
          <t>Tennis Québec</t>
        </is>
      </c>
      <c r="H148" t="inlineStr">
        <is>
          <t>Carrefour Multisports</t>
        </is>
      </c>
      <c r="I148" t="n">
        <v>29.7</v>
      </c>
      <c r="J148" s="4" t="n">
        <v>291</v>
      </c>
      <c r="K148" t="inlineStr">
        <is>
          <t>117 / 174</t>
        </is>
      </c>
      <c r="L148" t="inlineStr">
        <is>
          <t>18 / 28</t>
        </is>
      </c>
      <c r="M148" s="5" t="n">
        <v>0.4</v>
      </c>
      <c r="N148" s="5" t="n">
        <v>0.39</v>
      </c>
    </row>
    <row r="149">
      <c r="A149" t="n">
        <v>148</v>
      </c>
      <c r="B149" t="n">
        <v>2013</v>
      </c>
      <c r="C149" t="inlineStr">
        <is>
          <t>Maliah Morgan</t>
        </is>
      </c>
      <c r="D149">
        <f>HYPERLINK("https://ota.tournamentsoftware.com/player-profile/9A3C1326-AE04-42FE-BCE6-AF95D32715F8", "Link")</f>
        <v/>
      </c>
      <c r="E149" s="3" t="n">
        <v>619.681</v>
      </c>
      <c r="F149" s="4" t="n">
        <v>19</v>
      </c>
      <c r="G149" t="inlineStr">
        <is>
          <t>Ontario Tennis Association</t>
        </is>
      </c>
      <c r="H149" t="inlineStr">
        <is>
          <t>Joshua Creek Golf &amp; Tennis</t>
        </is>
      </c>
      <c r="I149" t="n">
        <v>28.2</v>
      </c>
      <c r="J149" s="4" t="n">
        <v>197</v>
      </c>
      <c r="K149" t="inlineStr">
        <is>
          <t>119 / 78</t>
        </is>
      </c>
      <c r="L149" t="inlineStr">
        <is>
          <t>19 / 15</t>
        </is>
      </c>
      <c r="M149" s="5" t="n">
        <v>0.6</v>
      </c>
      <c r="N149" s="5" t="n">
        <v>0.5600000000000001</v>
      </c>
    </row>
    <row r="150">
      <c r="A150" t="n">
        <v>149</v>
      </c>
      <c r="B150" t="n">
        <v>2014</v>
      </c>
      <c r="C150" t="inlineStr">
        <is>
          <t>Evelyn Wang</t>
        </is>
      </c>
      <c r="D150">
        <f>HYPERLINK("https://ota.tournamentsoftware.com/player-profile/3A43E7FB-647C-4296-8E8D-106421DC2080", "Link")</f>
        <v/>
      </c>
      <c r="E150" s="3" t="n">
        <v>615.356</v>
      </c>
      <c r="F150" s="4" t="n">
        <v>16</v>
      </c>
      <c r="G150" t="inlineStr">
        <is>
          <t>British Columbia</t>
        </is>
      </c>
      <c r="H150" t="inlineStr">
        <is>
          <t>UBC Tennis Centre</t>
        </is>
      </c>
      <c r="I150" t="n">
        <v>28.3</v>
      </c>
      <c r="J150" s="4" t="n">
        <v>248</v>
      </c>
      <c r="K150" t="inlineStr">
        <is>
          <t>125 / 123</t>
        </is>
      </c>
      <c r="L150" t="inlineStr">
        <is>
          <t>29 / 24</t>
        </is>
      </c>
      <c r="M150" s="5" t="n">
        <v>0.5</v>
      </c>
      <c r="N150" s="5" t="n">
        <v>0.55</v>
      </c>
    </row>
    <row r="151">
      <c r="A151" t="n">
        <v>150</v>
      </c>
      <c r="B151" t="n">
        <v>2015</v>
      </c>
      <c r="C151" t="inlineStr">
        <is>
          <t>Emma Yin</t>
        </is>
      </c>
      <c r="D151">
        <f>HYPERLINK("https://ota.tournamentsoftware.com/player-profile/F90E2576-5989-4051-9E1F-45C789378967", "Link")</f>
        <v/>
      </c>
      <c r="E151" s="3" t="n">
        <v>613.705</v>
      </c>
      <c r="F151" s="4" t="n">
        <v>11</v>
      </c>
      <c r="G151" t="inlineStr">
        <is>
          <t>Tennis Saskatchewan</t>
        </is>
      </c>
      <c r="H151" t="inlineStr">
        <is>
          <t>Lakeshore Tennis Club</t>
        </is>
      </c>
      <c r="I151" t="n">
        <v>30.1</v>
      </c>
      <c r="J151" s="4" t="n">
        <v>157</v>
      </c>
      <c r="K151" t="inlineStr">
        <is>
          <t>80 / 77</t>
        </is>
      </c>
      <c r="L151" t="inlineStr">
        <is>
          <t>34 / 22</t>
        </is>
      </c>
      <c r="M151" s="5" t="n">
        <v>0.51</v>
      </c>
      <c r="N151" s="5" t="n">
        <v>0.61</v>
      </c>
    </row>
    <row r="152">
      <c r="A152" t="n">
        <v>151</v>
      </c>
      <c r="B152" t="n">
        <v>2014</v>
      </c>
      <c r="C152" t="inlineStr">
        <is>
          <t>Alice Yu-Qi Ren</t>
        </is>
      </c>
      <c r="D152">
        <f>HYPERLINK("https://ota.tournamentsoftware.com/player-profile/FE127D3B-825E-4C4F-9666-BA4529348FE4", "Link")</f>
        <v/>
      </c>
      <c r="E152" s="3" t="n">
        <v>610.301</v>
      </c>
      <c r="F152" s="4" t="n">
        <v>19</v>
      </c>
      <c r="G152" t="inlineStr">
        <is>
          <t>Tennis Alberta</t>
        </is>
      </c>
      <c r="H152" t="inlineStr">
        <is>
          <t>Saville Community Sports Centre</t>
        </is>
      </c>
      <c r="I152" t="n">
        <v>28.2</v>
      </c>
      <c r="J152" s="4" t="n">
        <v>208</v>
      </c>
      <c r="K152" t="inlineStr">
        <is>
          <t>142 / 66</t>
        </is>
      </c>
      <c r="L152" t="inlineStr">
        <is>
          <t>39 / 17</t>
        </is>
      </c>
      <c r="M152" s="5" t="n">
        <v>0.68</v>
      </c>
      <c r="N152" s="5" t="n">
        <v>0.7</v>
      </c>
    </row>
    <row r="153">
      <c r="A153" t="n">
        <v>152</v>
      </c>
      <c r="B153" t="n">
        <v>2012</v>
      </c>
      <c r="C153" t="inlineStr">
        <is>
          <t>OLIVIA JUNHAN CAO</t>
        </is>
      </c>
      <c r="D153">
        <f>HYPERLINK("https://ota.tournamentsoftware.com/player-profile/3D68BE77-5DE2-40D9-BCC3-C836A764F3EF", "Link")</f>
        <v/>
      </c>
      <c r="E153" s="3" t="n">
        <v>608.6</v>
      </c>
      <c r="F153" s="4" t="n">
        <v>20</v>
      </c>
      <c r="G153" t="inlineStr">
        <is>
          <t>British Columbia</t>
        </is>
      </c>
      <c r="H153" t="inlineStr">
        <is>
          <t>Richmond Country Club</t>
        </is>
      </c>
      <c r="I153" t="n">
        <v>27.3</v>
      </c>
      <c r="J153" s="4" t="n">
        <v>150</v>
      </c>
      <c r="K153" t="inlineStr">
        <is>
          <t>102 / 48</t>
        </is>
      </c>
      <c r="L153" t="inlineStr">
        <is>
          <t>39 / 17</t>
        </is>
      </c>
      <c r="M153" s="5" t="n">
        <v>0.68</v>
      </c>
      <c r="N153" s="5" t="n">
        <v>0.7</v>
      </c>
    </row>
    <row r="154">
      <c r="A154" t="n">
        <v>153</v>
      </c>
      <c r="B154" t="n">
        <v>2014</v>
      </c>
      <c r="C154" t="inlineStr">
        <is>
          <t>Naomi Iamandi</t>
        </is>
      </c>
      <c r="D154">
        <f>HYPERLINK("https://ota.tournamentsoftware.com/player-profile/5653599F-FFB6-46FA-B574-E53D7FBC278E", "Link")</f>
        <v/>
      </c>
      <c r="E154" s="3" t="n">
        <v>607.422</v>
      </c>
      <c r="F154" s="4" t="n">
        <v>22</v>
      </c>
      <c r="G154" t="inlineStr">
        <is>
          <t>Ontario Tennis Association</t>
        </is>
      </c>
      <c r="H154" t="inlineStr">
        <is>
          <t>Joshua Creek Golf &amp; Tennis</t>
        </is>
      </c>
      <c r="I154" t="n">
        <v>30.2</v>
      </c>
      <c r="J154" s="4" t="n">
        <v>232</v>
      </c>
      <c r="K154" t="inlineStr">
        <is>
          <t>125 / 107</t>
        </is>
      </c>
      <c r="L154" t="inlineStr">
        <is>
          <t>16 / 26</t>
        </is>
      </c>
      <c r="M154" s="5" t="n">
        <v>0.54</v>
      </c>
      <c r="N154" s="5" t="n">
        <v>0.38</v>
      </c>
    </row>
    <row r="155">
      <c r="A155" t="n">
        <v>154</v>
      </c>
      <c r="B155" t="n">
        <v>2013</v>
      </c>
      <c r="C155" t="inlineStr">
        <is>
          <t>Blaire Ming min kaminski</t>
        </is>
      </c>
      <c r="D155">
        <f>HYPERLINK("https://ota.tournamentsoftware.com/player-profile/F1255585-993D-4DBF-ADE9-E5818DCBA131", "Link")</f>
        <v/>
      </c>
      <c r="E155" s="3" t="n">
        <v>601.103</v>
      </c>
      <c r="F155" s="4" t="n">
        <v>16</v>
      </c>
      <c r="G155" t="inlineStr">
        <is>
          <t>Tennis Alberta</t>
        </is>
      </c>
      <c r="H155" t="inlineStr">
        <is>
          <t>Osten &amp; Victor Alberta Tennis Centre</t>
        </is>
      </c>
      <c r="I155" t="inlineStr">
        <is>
          <t>unavailable</t>
        </is>
      </c>
      <c r="J155" s="4" t="n">
        <v>124</v>
      </c>
      <c r="K155" t="inlineStr">
        <is>
          <t>60 / 64</t>
        </is>
      </c>
      <c r="L155" t="inlineStr">
        <is>
          <t>15 / 13</t>
        </is>
      </c>
      <c r="M155" s="5" t="n">
        <v>0.48</v>
      </c>
      <c r="N155" s="5" t="n">
        <v>0.54</v>
      </c>
    </row>
    <row r="156">
      <c r="A156" t="n">
        <v>155</v>
      </c>
      <c r="B156" t="n">
        <v>2013</v>
      </c>
      <c r="C156" t="inlineStr">
        <is>
          <t>Bianca Nestor</t>
        </is>
      </c>
      <c r="D156">
        <f>HYPERLINK("https://ota.tournamentsoftware.com/player-profile/8BAE5D37-8145-43F6-9016-30DDC5E4E994", "Link")</f>
        <v/>
      </c>
      <c r="E156" s="3" t="n">
        <v>587.992</v>
      </c>
      <c r="F156" s="4" t="n">
        <v>20</v>
      </c>
      <c r="G156" t="inlineStr">
        <is>
          <t>Ontario Tennis Association</t>
        </is>
      </c>
      <c r="H156" t="inlineStr">
        <is>
          <t>Toronto Lawn Tennis Club</t>
        </is>
      </c>
      <c r="I156" t="n">
        <v>30.2</v>
      </c>
      <c r="J156" s="4" t="n">
        <v>199</v>
      </c>
      <c r="K156" t="inlineStr">
        <is>
          <t>96 / 103</t>
        </is>
      </c>
      <c r="L156" t="inlineStr">
        <is>
          <t>15 / 17</t>
        </is>
      </c>
      <c r="M156" s="5" t="n">
        <v>0.48</v>
      </c>
      <c r="N156" s="5" t="n">
        <v>0.47</v>
      </c>
    </row>
    <row r="157">
      <c r="A157" t="n">
        <v>156</v>
      </c>
      <c r="B157" t="n">
        <v>2013</v>
      </c>
      <c r="C157" t="inlineStr">
        <is>
          <t>Zoe Yeung</t>
        </is>
      </c>
      <c r="D157">
        <f>HYPERLINK("https://ota.tournamentsoftware.com/player-profile/69712725-5DA5-49A3-9C42-5A05BBB6B230", "Link")</f>
        <v/>
      </c>
      <c r="E157" s="3" t="n">
        <v>583.942</v>
      </c>
      <c r="F157" s="4" t="n">
        <v>16</v>
      </c>
      <c r="G157" t="inlineStr">
        <is>
          <t>Tennis Alberta</t>
        </is>
      </c>
      <c r="H157" t="inlineStr">
        <is>
          <t>Osten &amp; Victor Alberta Tennis Centre</t>
        </is>
      </c>
      <c r="I157" t="n">
        <v>29.2</v>
      </c>
      <c r="J157" s="4" t="n">
        <v>184</v>
      </c>
      <c r="K157" t="inlineStr">
        <is>
          <t>87 / 97</t>
        </is>
      </c>
      <c r="L157" t="inlineStr">
        <is>
          <t>13 / 16</t>
        </is>
      </c>
      <c r="M157" s="5" t="n">
        <v>0.47</v>
      </c>
      <c r="N157" s="5" t="n">
        <v>0.45</v>
      </c>
    </row>
    <row r="158">
      <c r="A158" t="n">
        <v>157</v>
      </c>
      <c r="B158" t="n">
        <v>2014</v>
      </c>
      <c r="C158" t="inlineStr">
        <is>
          <t>Veronica Mourlatov</t>
        </is>
      </c>
      <c r="D158">
        <f>HYPERLINK("https://ota.tournamentsoftware.com/player-profile/B6154A4C-BA94-41F6-A39C-E106D7116C1A", "Link")</f>
        <v/>
      </c>
      <c r="E158" s="3" t="n">
        <v>583.4</v>
      </c>
      <c r="F158" s="4" t="n">
        <v>34</v>
      </c>
      <c r="G158" t="inlineStr">
        <is>
          <t>Ontario Tennis Association</t>
        </is>
      </c>
      <c r="H158" t="inlineStr">
        <is>
          <t>SmartVMC Racquetsports by ACE</t>
        </is>
      </c>
      <c r="I158" t="n">
        <v>30.9</v>
      </c>
      <c r="J158" s="4" t="n">
        <v>220</v>
      </c>
      <c r="K158" t="inlineStr">
        <is>
          <t>139 / 81</t>
        </is>
      </c>
      <c r="L158" t="inlineStr">
        <is>
          <t>42 / 18</t>
        </is>
      </c>
      <c r="M158" s="5" t="n">
        <v>0.63</v>
      </c>
      <c r="N158" s="5" t="n">
        <v>0.7</v>
      </c>
    </row>
    <row r="159">
      <c r="A159" t="n">
        <v>158</v>
      </c>
      <c r="B159" t="n">
        <v>2012</v>
      </c>
      <c r="C159" t="inlineStr">
        <is>
          <t>Malia Lee Datta</t>
        </is>
      </c>
      <c r="D159">
        <f>HYPERLINK("https://ota.tournamentsoftware.com/player-profile/0FC1E5E7-0316-49C4-95C5-C429E3032398", "Link")</f>
        <v/>
      </c>
      <c r="E159" s="3" t="n">
        <v>583.375</v>
      </c>
      <c r="F159" s="4" t="n">
        <v>17</v>
      </c>
      <c r="G159" t="inlineStr">
        <is>
          <t>Tennis Alberta</t>
        </is>
      </c>
      <c r="H159" t="inlineStr">
        <is>
          <t>Osten &amp; Victor Alberta Tennis Centre</t>
        </is>
      </c>
      <c r="I159" t="n">
        <v>28.6</v>
      </c>
      <c r="J159" s="4" t="n">
        <v>149</v>
      </c>
      <c r="K159" t="inlineStr">
        <is>
          <t>64 / 85</t>
        </is>
      </c>
      <c r="L159" t="inlineStr">
        <is>
          <t>13 / 18</t>
        </is>
      </c>
      <c r="M159" s="5" t="n">
        <v>0.43</v>
      </c>
      <c r="N159" s="5" t="n">
        <v>0.42</v>
      </c>
    </row>
    <row r="160">
      <c r="A160" t="n">
        <v>159</v>
      </c>
      <c r="B160" t="n">
        <v>2014</v>
      </c>
      <c r="C160" t="inlineStr">
        <is>
          <t>Adrianna Gianvito</t>
        </is>
      </c>
      <c r="D160">
        <f>HYPERLINK("https://ota.tournamentsoftware.com/player-profile/1412F0F4-82D3-410D-980E-969EFE386B01", "Link")</f>
        <v/>
      </c>
      <c r="E160" s="3" t="n">
        <v>579.152</v>
      </c>
      <c r="F160" s="4" t="n">
        <v>21</v>
      </c>
      <c r="G160" t="inlineStr">
        <is>
          <t>Tennis Québec</t>
        </is>
      </c>
      <c r="H160" t="inlineStr">
        <is>
          <t>No Club</t>
        </is>
      </c>
      <c r="I160" t="inlineStr">
        <is>
          <t>unavailable</t>
        </is>
      </c>
      <c r="J160" s="4" t="n">
        <v>148</v>
      </c>
      <c r="K160" t="inlineStr">
        <is>
          <t>78 / 70</t>
        </is>
      </c>
      <c r="L160" t="inlineStr">
        <is>
          <t>28 / 18</t>
        </is>
      </c>
      <c r="M160" s="5" t="n">
        <v>0.53</v>
      </c>
      <c r="N160" s="5" t="n">
        <v>0.61</v>
      </c>
    </row>
    <row r="161">
      <c r="A161" t="n">
        <v>160</v>
      </c>
      <c r="B161" t="n">
        <v>2012</v>
      </c>
      <c r="C161" t="inlineStr">
        <is>
          <t>Eliana Cantin</t>
        </is>
      </c>
      <c r="D161">
        <f>HYPERLINK("https://ota.tournamentsoftware.com/player-profile/D4DBD3FF-74D7-4D84-BB8F-104CA729E69E", "Link")</f>
        <v/>
      </c>
      <c r="E161" s="3" t="n">
        <v>579.148</v>
      </c>
      <c r="F161" s="4" t="n">
        <v>14</v>
      </c>
      <c r="G161" t="inlineStr">
        <is>
          <t>Tennis Québec</t>
        </is>
      </c>
      <c r="H161" t="inlineStr">
        <is>
          <t>Centre récréatif de Repentigny / Académie Tennis Momentum</t>
        </is>
      </c>
      <c r="I161" t="n">
        <v>29.1</v>
      </c>
      <c r="J161" s="4" t="n">
        <v>186</v>
      </c>
      <c r="K161" t="inlineStr">
        <is>
          <t>91 / 95</t>
        </is>
      </c>
      <c r="L161" t="inlineStr">
        <is>
          <t>9 / 16</t>
        </is>
      </c>
      <c r="M161" s="5" t="n">
        <v>0.49</v>
      </c>
      <c r="N161" s="5" t="n">
        <v>0.36</v>
      </c>
    </row>
    <row r="162">
      <c r="A162" t="n">
        <v>161</v>
      </c>
      <c r="B162" t="n">
        <v>2013</v>
      </c>
      <c r="C162" t="inlineStr">
        <is>
          <t>Mathilde Labeeuw</t>
        </is>
      </c>
      <c r="D162">
        <f>HYPERLINK("https://ota.tournamentsoftware.com/player-profile/ACCBCF37-0334-4ED1-B564-DFD6E35F3445", "Link")</f>
        <v/>
      </c>
      <c r="E162" s="3" t="n">
        <v>578.7809999999999</v>
      </c>
      <c r="F162" s="4" t="n">
        <v>21</v>
      </c>
      <c r="G162" t="inlineStr">
        <is>
          <t>Tennis Québec</t>
        </is>
      </c>
      <c r="H162" t="inlineStr">
        <is>
          <t>SANI Sport</t>
        </is>
      </c>
      <c r="I162" t="n">
        <v>30.4</v>
      </c>
      <c r="J162" s="4" t="n">
        <v>195</v>
      </c>
      <c r="K162" t="inlineStr">
        <is>
          <t>93 / 102</t>
        </is>
      </c>
      <c r="L162" t="inlineStr">
        <is>
          <t>15 / 16</t>
        </is>
      </c>
      <c r="M162" s="5" t="n">
        <v>0.48</v>
      </c>
      <c r="N162" s="5" t="n">
        <v>0.48</v>
      </c>
    </row>
    <row r="163">
      <c r="A163" t="n">
        <v>162</v>
      </c>
      <c r="B163" t="n">
        <v>2012</v>
      </c>
      <c r="C163" t="inlineStr">
        <is>
          <t>Caroline ChuYun Yang</t>
        </is>
      </c>
      <c r="D163">
        <f>HYPERLINK("https://ota.tournamentsoftware.com/player-profile/973A8D96-42F5-42BC-9DF2-0A195E1A983F", "Link")</f>
        <v/>
      </c>
      <c r="E163" s="3" t="n">
        <v>574.0700000000001</v>
      </c>
      <c r="F163" s="4" t="n">
        <v>20</v>
      </c>
      <c r="G163" t="inlineStr">
        <is>
          <t>British Columbia</t>
        </is>
      </c>
      <c r="H163" t="inlineStr">
        <is>
          <t>The Tennis Centre</t>
        </is>
      </c>
      <c r="I163" t="n">
        <v>28.6</v>
      </c>
      <c r="J163" s="4" t="n">
        <v>265</v>
      </c>
      <c r="K163" t="inlineStr">
        <is>
          <t>159 / 106</t>
        </is>
      </c>
      <c r="L163" t="inlineStr">
        <is>
          <t>27 / 20</t>
        </is>
      </c>
      <c r="M163" s="5" t="n">
        <v>0.6</v>
      </c>
      <c r="N163" s="5" t="n">
        <v>0.57</v>
      </c>
    </row>
    <row r="164">
      <c r="A164" t="n">
        <v>163</v>
      </c>
      <c r="B164" t="n">
        <v>2014</v>
      </c>
      <c r="C164" t="inlineStr">
        <is>
          <t>Sophie Lu</t>
        </is>
      </c>
      <c r="D164">
        <f>HYPERLINK("https://ota.tournamentsoftware.com/player-profile/5C3C8ABA-3BF6-4232-B65C-B26C16207D0A", "Link")</f>
        <v/>
      </c>
      <c r="E164" s="3" t="n">
        <v>569.085</v>
      </c>
      <c r="F164" s="4" t="n">
        <v>18</v>
      </c>
      <c r="G164" t="inlineStr">
        <is>
          <t>Tennis Québec</t>
        </is>
      </c>
      <c r="H164" t="inlineStr">
        <is>
          <t>Tennis Ile- des- Soeurs</t>
        </is>
      </c>
      <c r="I164" t="inlineStr">
        <is>
          <t>unavailable</t>
        </is>
      </c>
      <c r="J164" s="4" t="n">
        <v>210</v>
      </c>
      <c r="K164" t="inlineStr">
        <is>
          <t>107 / 103</t>
        </is>
      </c>
      <c r="L164" t="inlineStr">
        <is>
          <t>36 / 24</t>
        </is>
      </c>
      <c r="M164" s="5" t="n">
        <v>0.51</v>
      </c>
      <c r="N164" s="5" t="n">
        <v>0.6</v>
      </c>
    </row>
    <row r="165">
      <c r="A165" t="n">
        <v>164</v>
      </c>
      <c r="B165" t="n">
        <v>2012</v>
      </c>
      <c r="C165" t="inlineStr">
        <is>
          <t>Alexandra Dorobantu</t>
        </is>
      </c>
      <c r="D165">
        <f>HYPERLINK("https://ota.tournamentsoftware.com/player-profile/CE7FB59F-F5CB-4CA3-A3EB-27DC05EB2B7D", "Link")</f>
        <v/>
      </c>
      <c r="E165" s="3" t="n">
        <v>568.771</v>
      </c>
      <c r="F165" s="4" t="n">
        <v>13</v>
      </c>
      <c r="G165" t="inlineStr">
        <is>
          <t>Tennis Alberta</t>
        </is>
      </c>
      <c r="H165" t="inlineStr">
        <is>
          <t>Saville Community Sports Centre</t>
        </is>
      </c>
      <c r="I165" t="inlineStr">
        <is>
          <t>unavailable</t>
        </is>
      </c>
      <c r="J165" s="4" t="n">
        <v>156</v>
      </c>
      <c r="K165" t="inlineStr">
        <is>
          <t>76 / 80</t>
        </is>
      </c>
      <c r="L165" t="inlineStr">
        <is>
          <t>14 / 17</t>
        </is>
      </c>
      <c r="M165" s="5" t="n">
        <v>0.49</v>
      </c>
      <c r="N165" s="5" t="n">
        <v>0.45</v>
      </c>
    </row>
    <row r="166">
      <c r="A166" t="n">
        <v>165</v>
      </c>
      <c r="B166" t="n">
        <v>2015</v>
      </c>
      <c r="C166" t="inlineStr">
        <is>
          <t>Alexia Djomo</t>
        </is>
      </c>
      <c r="D166">
        <f>HYPERLINK("https://ota.tournamentsoftware.com/player-profile/DCE433A3-22C1-4484-BA5B-62931094794E", "Link")</f>
        <v/>
      </c>
      <c r="E166" s="3" t="n">
        <v>559.021</v>
      </c>
      <c r="F166" s="4" t="n">
        <v>13</v>
      </c>
      <c r="G166" t="inlineStr">
        <is>
          <t>Tennis Manitoba</t>
        </is>
      </c>
      <c r="H166" t="inlineStr">
        <is>
          <t>Winnipeg Winter Club</t>
        </is>
      </c>
      <c r="I166" t="n">
        <v>33</v>
      </c>
      <c r="J166" s="4" t="n">
        <v>78</v>
      </c>
      <c r="K166" t="inlineStr">
        <is>
          <t>31 / 47</t>
        </is>
      </c>
      <c r="L166" t="inlineStr">
        <is>
          <t>24 / 28</t>
        </is>
      </c>
      <c r="M166" s="5" t="n">
        <v>0.4</v>
      </c>
      <c r="N166" s="5" t="n">
        <v>0.46</v>
      </c>
    </row>
    <row r="167">
      <c r="A167" t="n">
        <v>166</v>
      </c>
      <c r="B167" t="n">
        <v>2015</v>
      </c>
      <c r="C167" t="inlineStr">
        <is>
          <t>NELIA BERKOUD</t>
        </is>
      </c>
      <c r="D167">
        <f>HYPERLINK("https://ota.tournamentsoftware.com/player-profile/2E73021E-DEDD-484B-95FC-00429D223FB2", "Link")</f>
        <v/>
      </c>
      <c r="E167" s="3" t="n">
        <v>554.133</v>
      </c>
      <c r="F167" s="4" t="n">
        <v>22</v>
      </c>
      <c r="G167" t="inlineStr">
        <is>
          <t>Tennis Québec</t>
        </is>
      </c>
      <c r="H167" t="inlineStr">
        <is>
          <t>Carrefour Multisports</t>
        </is>
      </c>
      <c r="I167" t="n">
        <v>30.3</v>
      </c>
      <c r="J167" s="4" t="n">
        <v>143</v>
      </c>
      <c r="K167" t="inlineStr">
        <is>
          <t>87 / 56</t>
        </is>
      </c>
      <c r="L167" t="inlineStr">
        <is>
          <t>31 / 28</t>
        </is>
      </c>
      <c r="M167" s="5" t="n">
        <v>0.61</v>
      </c>
      <c r="N167" s="5" t="n">
        <v>0.53</v>
      </c>
    </row>
    <row r="168">
      <c r="A168" t="n">
        <v>167</v>
      </c>
      <c r="B168" t="n">
        <v>2015</v>
      </c>
      <c r="C168" t="inlineStr">
        <is>
          <t>Grace Wang</t>
        </is>
      </c>
      <c r="D168">
        <f>HYPERLINK("https://ota.tournamentsoftware.com/player-profile/2F68C1DC-1A19-4E3A-AF58-6DC4541843F2", "Link")</f>
        <v/>
      </c>
      <c r="E168" s="3" t="n">
        <v>553.759</v>
      </c>
      <c r="F168" s="4" t="n">
        <v>25</v>
      </c>
      <c r="G168" t="inlineStr">
        <is>
          <t>British Columbia</t>
        </is>
      </c>
      <c r="H168" t="inlineStr">
        <is>
          <t>No Club</t>
        </is>
      </c>
      <c r="I168" t="n">
        <v>28.8</v>
      </c>
      <c r="J168" s="4" t="n">
        <v>242</v>
      </c>
      <c r="K168" t="inlineStr">
        <is>
          <t>145 / 97</t>
        </is>
      </c>
      <c r="L168" t="inlineStr">
        <is>
          <t>44 / 24</t>
        </is>
      </c>
      <c r="M168" s="5" t="n">
        <v>0.6</v>
      </c>
      <c r="N168" s="5" t="n">
        <v>0.65</v>
      </c>
    </row>
    <row r="169">
      <c r="A169" t="n">
        <v>168</v>
      </c>
      <c r="B169" t="n">
        <v>2014</v>
      </c>
      <c r="C169" t="inlineStr">
        <is>
          <t>Charlie Thomas-Simard</t>
        </is>
      </c>
      <c r="D169">
        <f>HYPERLINK("https://ota.tournamentsoftware.com/player-profile/E101E3D0-39D8-4861-AB44-D9BE1C346E1E", "Link")</f>
        <v/>
      </c>
      <c r="E169" s="3" t="n">
        <v>550.771</v>
      </c>
      <c r="F169" s="4" t="n">
        <v>22</v>
      </c>
      <c r="G169" t="inlineStr">
        <is>
          <t>Tennis Québec</t>
        </is>
      </c>
      <c r="H169" t="inlineStr">
        <is>
          <t>Club Avantage Multi-sports / Académie de tennis Hérisset Bordeleau</t>
        </is>
      </c>
      <c r="I169" t="n">
        <v>31.8</v>
      </c>
      <c r="J169" s="4" t="n">
        <v>122</v>
      </c>
      <c r="K169" t="inlineStr">
        <is>
          <t>65 / 57</t>
        </is>
      </c>
      <c r="L169" t="inlineStr">
        <is>
          <t>29 / 29</t>
        </is>
      </c>
      <c r="M169" s="5" t="n">
        <v>0.53</v>
      </c>
      <c r="N169" s="5" t="n">
        <v>0.5</v>
      </c>
    </row>
    <row r="170">
      <c r="A170" t="n">
        <v>169</v>
      </c>
      <c r="B170" t="n">
        <v>2013</v>
      </c>
      <c r="C170" t="inlineStr">
        <is>
          <t>Mariela Ibrahim</t>
        </is>
      </c>
      <c r="D170">
        <f>HYPERLINK("https://ota.tournamentsoftware.com/player-profile/D80C965C-4117-4C2C-9F46-F371E9E47454", "Link")</f>
        <v/>
      </c>
      <c r="E170" s="3" t="n">
        <v>550.674</v>
      </c>
      <c r="F170" s="4" t="n">
        <v>31</v>
      </c>
      <c r="G170" t="inlineStr">
        <is>
          <t>Ontario Tennis Association</t>
        </is>
      </c>
      <c r="H170" t="inlineStr">
        <is>
          <t>Concord Tennis Academy</t>
        </is>
      </c>
      <c r="I170" t="inlineStr">
        <is>
          <t>unavailable</t>
        </is>
      </c>
      <c r="J170" s="4" t="n">
        <v>110</v>
      </c>
      <c r="K170" t="inlineStr">
        <is>
          <t>64 / 46</t>
        </is>
      </c>
      <c r="L170" t="inlineStr">
        <is>
          <t>30 / 20</t>
        </is>
      </c>
      <c r="M170" s="5" t="n">
        <v>0.58</v>
      </c>
      <c r="N170" s="5" t="n">
        <v>0.6</v>
      </c>
    </row>
    <row r="171">
      <c r="A171" t="n">
        <v>170</v>
      </c>
      <c r="B171" t="n">
        <v>2012</v>
      </c>
      <c r="C171" t="inlineStr">
        <is>
          <t>Yuehan DONG</t>
        </is>
      </c>
      <c r="D171">
        <f>HYPERLINK("https://ota.tournamentsoftware.com/player-profile/F5996998-771E-46C9-A222-1C90911DD4C3", "Link")</f>
        <v/>
      </c>
      <c r="E171" s="3" t="n">
        <v>534.77</v>
      </c>
      <c r="F171" s="4" t="n">
        <v>25</v>
      </c>
      <c r="G171" t="inlineStr">
        <is>
          <t>Ontario Tennis Association</t>
        </is>
      </c>
      <c r="H171" t="inlineStr">
        <is>
          <t>Fainblum Tennis Academy</t>
        </is>
      </c>
      <c r="I171" t="n">
        <v>31.8</v>
      </c>
      <c r="J171" s="4" t="n">
        <v>125</v>
      </c>
      <c r="K171" t="inlineStr">
        <is>
          <t>56 / 69</t>
        </is>
      </c>
      <c r="L171" t="inlineStr">
        <is>
          <t>8 / 18</t>
        </is>
      </c>
      <c r="M171" s="5" t="n">
        <v>0.45</v>
      </c>
      <c r="N171" s="5" t="n">
        <v>0.31</v>
      </c>
    </row>
    <row r="172">
      <c r="A172" t="n">
        <v>171</v>
      </c>
      <c r="B172" t="n">
        <v>2015</v>
      </c>
      <c r="C172" t="inlineStr">
        <is>
          <t>Alyanna Jane Principe</t>
        </is>
      </c>
      <c r="D172">
        <f>HYPERLINK("https://ota.tournamentsoftware.com/player-profile/DF18434B-FE2E-4647-9481-0DA91B5C9B92", "Link")</f>
        <v/>
      </c>
      <c r="E172" s="3" t="n">
        <v>532.043</v>
      </c>
      <c r="F172" s="4" t="n">
        <v>21</v>
      </c>
      <c r="G172" t="inlineStr">
        <is>
          <t>British Columbia</t>
        </is>
      </c>
      <c r="H172" t="inlineStr">
        <is>
          <t>The Tennis Centre</t>
        </is>
      </c>
      <c r="I172" t="n">
        <v>28.4</v>
      </c>
      <c r="J172" s="4" t="n">
        <v>238</v>
      </c>
      <c r="K172" t="inlineStr">
        <is>
          <t>156 / 82</t>
        </is>
      </c>
      <c r="L172" t="inlineStr">
        <is>
          <t>34 / 23</t>
        </is>
      </c>
      <c r="M172" s="5" t="n">
        <v>0.66</v>
      </c>
      <c r="N172" s="5" t="n">
        <v>0.6</v>
      </c>
    </row>
    <row r="173">
      <c r="A173" t="n">
        <v>172</v>
      </c>
      <c r="B173" t="n">
        <v>2013</v>
      </c>
      <c r="C173" t="inlineStr">
        <is>
          <t>Sonya Notta</t>
        </is>
      </c>
      <c r="D173">
        <f>HYPERLINK("https://ota.tournamentsoftware.com/player-profile/6AF626BE-D8F1-4939-AF03-813D0A17EE25", "Link")</f>
        <v/>
      </c>
      <c r="E173" s="3" t="n">
        <v>530.568</v>
      </c>
      <c r="F173" s="4" t="n">
        <v>8</v>
      </c>
      <c r="G173" t="inlineStr">
        <is>
          <t>Ontario Tennis Association</t>
        </is>
      </c>
      <c r="H173" t="inlineStr">
        <is>
          <t>Mayfair East Racquet Club</t>
        </is>
      </c>
      <c r="I173" t="inlineStr">
        <is>
          <t>unavailable</t>
        </is>
      </c>
      <c r="J173" s="4" t="n">
        <v>78</v>
      </c>
      <c r="K173" t="inlineStr">
        <is>
          <t>53 / 25</t>
        </is>
      </c>
      <c r="L173" t="inlineStr">
        <is>
          <t>10 / 3</t>
        </is>
      </c>
      <c r="M173" s="5" t="n">
        <v>0.68</v>
      </c>
      <c r="N173" s="5" t="n">
        <v>0.77</v>
      </c>
    </row>
    <row r="174">
      <c r="A174" t="n">
        <v>173</v>
      </c>
      <c r="B174" t="n">
        <v>2014</v>
      </c>
      <c r="C174" t="inlineStr">
        <is>
          <t>Laetitia Thuy Van Nguyen</t>
        </is>
      </c>
      <c r="D174">
        <f>HYPERLINK("https://ota.tournamentsoftware.com/player-profile/B151CB64-D12D-48B2-8087-4EABB50157E8", "Link")</f>
        <v/>
      </c>
      <c r="E174" s="3" t="n">
        <v>522.812</v>
      </c>
      <c r="F174" s="4" t="n">
        <v>23</v>
      </c>
      <c r="G174" t="inlineStr">
        <is>
          <t>Tennis Québec</t>
        </is>
      </c>
      <c r="H174" t="inlineStr">
        <is>
          <t>Tennis Outaouais Performance (TOP)</t>
        </is>
      </c>
      <c r="I174" t="n">
        <v>29.6</v>
      </c>
      <c r="J174" s="4" t="n">
        <v>221</v>
      </c>
      <c r="K174" t="inlineStr">
        <is>
          <t>122 / 99</t>
        </is>
      </c>
      <c r="L174" t="inlineStr">
        <is>
          <t>36 / 24</t>
        </is>
      </c>
      <c r="M174" s="5" t="n">
        <v>0.55</v>
      </c>
      <c r="N174" s="5" t="n">
        <v>0.6</v>
      </c>
    </row>
    <row r="175">
      <c r="A175" t="n">
        <v>174</v>
      </c>
      <c r="B175" t="n">
        <v>2012</v>
      </c>
      <c r="C175" t="inlineStr">
        <is>
          <t>Meeth Kaur Rai</t>
        </is>
      </c>
      <c r="D175">
        <f>HYPERLINK("https://ota.tournamentsoftware.com/player-profile/3C191393-570A-4DF7-80D4-0613143CE54B", "Link")</f>
        <v/>
      </c>
      <c r="E175" s="3" t="n">
        <v>517.12</v>
      </c>
      <c r="F175" s="4" t="n">
        <v>18</v>
      </c>
      <c r="G175" t="inlineStr">
        <is>
          <t>British Columbia</t>
        </is>
      </c>
      <c r="H175" t="inlineStr">
        <is>
          <t>No Club</t>
        </is>
      </c>
      <c r="I175" t="n">
        <v>28.4</v>
      </c>
      <c r="J175" s="4" t="n">
        <v>230</v>
      </c>
      <c r="K175" t="inlineStr">
        <is>
          <t>126 / 104</t>
        </is>
      </c>
      <c r="L175" t="inlineStr">
        <is>
          <t>16 / 27</t>
        </is>
      </c>
      <c r="M175" s="5" t="n">
        <v>0.55</v>
      </c>
      <c r="N175" s="5" t="n">
        <v>0.37</v>
      </c>
    </row>
    <row r="176">
      <c r="A176" t="n">
        <v>175</v>
      </c>
      <c r="B176" t="n">
        <v>2012</v>
      </c>
      <c r="C176" t="inlineStr">
        <is>
          <t>Daniella Kulemin</t>
        </is>
      </c>
      <c r="D176">
        <f>HYPERLINK("https://ota.tournamentsoftware.com/player-profile/665847C2-A172-4164-B9E1-C1030269B793", "Link")</f>
        <v/>
      </c>
      <c r="E176" s="3" t="n">
        <v>515.465</v>
      </c>
      <c r="F176" s="4" t="n">
        <v>20</v>
      </c>
      <c r="G176" t="inlineStr">
        <is>
          <t>Ontario Tennis Association</t>
        </is>
      </c>
      <c r="H176" t="inlineStr">
        <is>
          <t>Concord Tennis Academy</t>
        </is>
      </c>
      <c r="I176" t="n">
        <v>30.5</v>
      </c>
      <c r="J176" s="4" t="n">
        <v>59</v>
      </c>
      <c r="K176" t="inlineStr">
        <is>
          <t>27 / 32</t>
        </is>
      </c>
      <c r="L176" t="inlineStr">
        <is>
          <t>17 / 18</t>
        </is>
      </c>
      <c r="M176" s="5" t="n">
        <v>0.46</v>
      </c>
      <c r="N176" s="5" t="n">
        <v>0.49</v>
      </c>
    </row>
    <row r="177">
      <c r="A177" t="n">
        <v>176</v>
      </c>
      <c r="B177" t="n">
        <v>2012</v>
      </c>
      <c r="C177" t="inlineStr">
        <is>
          <t>Ira Karthi</t>
        </is>
      </c>
      <c r="D177">
        <f>HYPERLINK("https://ota.tournamentsoftware.com/player-profile/87DFD688-7475-43FD-B605-7E13CDDC471C", "Link")</f>
        <v/>
      </c>
      <c r="E177" s="3" t="n">
        <v>515.125</v>
      </c>
      <c r="F177" s="4" t="n">
        <v>19</v>
      </c>
      <c r="G177" t="inlineStr">
        <is>
          <t>Ontario Tennis Association</t>
        </is>
      </c>
      <c r="H177" t="inlineStr">
        <is>
          <t>Sandy Beach Tennis Club</t>
        </is>
      </c>
      <c r="I177" t="n">
        <v>32.2</v>
      </c>
      <c r="J177" s="4" t="n">
        <v>76</v>
      </c>
      <c r="K177" t="inlineStr">
        <is>
          <t>23 / 53</t>
        </is>
      </c>
      <c r="L177" t="inlineStr">
        <is>
          <t>12 / 15</t>
        </is>
      </c>
      <c r="M177" s="5" t="n">
        <v>0.3</v>
      </c>
      <c r="N177" s="5" t="n">
        <v>0.44</v>
      </c>
    </row>
    <row r="178">
      <c r="A178" t="n">
        <v>177</v>
      </c>
      <c r="B178" t="n">
        <v>2013</v>
      </c>
      <c r="C178" t="inlineStr">
        <is>
          <t>Nelly Campagna</t>
        </is>
      </c>
      <c r="D178">
        <f>HYPERLINK("https://ota.tournamentsoftware.com/player-profile/57A742FF-F88B-4C14-A895-DA6559972095", "Link")</f>
        <v/>
      </c>
      <c r="E178" s="3" t="n">
        <v>514.603</v>
      </c>
      <c r="F178" s="4" t="n">
        <v>19</v>
      </c>
      <c r="G178" t="inlineStr">
        <is>
          <t>Tennis Québec</t>
        </is>
      </c>
      <c r="H178" t="inlineStr">
        <is>
          <t>Centre récréatif de Repentigny / Académie Tennis Momentum</t>
        </is>
      </c>
      <c r="I178" t="n">
        <v>29.6</v>
      </c>
      <c r="J178" s="4" t="n">
        <v>168</v>
      </c>
      <c r="K178" t="inlineStr">
        <is>
          <t>90 / 78</t>
        </is>
      </c>
      <c r="L178" t="inlineStr">
        <is>
          <t>22 / 16</t>
        </is>
      </c>
      <c r="M178" s="5" t="n">
        <v>0.54</v>
      </c>
      <c r="N178" s="5" t="n">
        <v>0.58</v>
      </c>
    </row>
    <row r="179">
      <c r="A179" t="n">
        <v>178</v>
      </c>
      <c r="B179" t="n">
        <v>2012</v>
      </c>
      <c r="C179" t="inlineStr">
        <is>
          <t>Emma Sun</t>
        </is>
      </c>
      <c r="D179">
        <f>HYPERLINK("https://ota.tournamentsoftware.com/player-profile/00B8EFA4-17DF-49B4-90DE-B5A577BC8620", "Link")</f>
        <v/>
      </c>
      <c r="E179" s="3" t="n">
        <v>503.724</v>
      </c>
      <c r="F179" s="4" t="n">
        <v>15</v>
      </c>
      <c r="G179" t="inlineStr">
        <is>
          <t>British Columbia</t>
        </is>
      </c>
      <c r="H179" t="inlineStr">
        <is>
          <t>The Tennis Centre</t>
        </is>
      </c>
      <c r="I179" t="n">
        <v>27.6</v>
      </c>
      <c r="J179" s="4" t="n">
        <v>260</v>
      </c>
      <c r="K179" t="inlineStr">
        <is>
          <t>124 / 136</t>
        </is>
      </c>
      <c r="L179" t="inlineStr">
        <is>
          <t>15 / 15</t>
        </is>
      </c>
      <c r="M179" s="5" t="n">
        <v>0.48</v>
      </c>
      <c r="N179" s="5" t="n">
        <v>0.5</v>
      </c>
    </row>
    <row r="180">
      <c r="A180" t="n">
        <v>179</v>
      </c>
      <c r="B180" t="n">
        <v>2014</v>
      </c>
      <c r="C180" t="inlineStr">
        <is>
          <t>Hanna Julia Barta</t>
        </is>
      </c>
      <c r="D180">
        <f>HYPERLINK("https://ota.tournamentsoftware.com/player-profile/BAF4D69B-39E5-4A7E-BB04-5AF0EDC7734B", "Link")</f>
        <v/>
      </c>
      <c r="E180" s="3" t="n">
        <v>500.277</v>
      </c>
      <c r="F180" s="4" t="n">
        <v>26</v>
      </c>
      <c r="G180" t="inlineStr">
        <is>
          <t>Ontario Tennis Association</t>
        </is>
      </c>
      <c r="H180" t="inlineStr">
        <is>
          <t>Advantage Tennis International at Veneto</t>
        </is>
      </c>
      <c r="I180" t="n">
        <v>31.9</v>
      </c>
      <c r="J180" s="4" t="n">
        <v>211</v>
      </c>
      <c r="K180" t="inlineStr">
        <is>
          <t>105 / 106</t>
        </is>
      </c>
      <c r="L180" t="inlineStr">
        <is>
          <t>25 / 20</t>
        </is>
      </c>
      <c r="M180" s="5" t="n">
        <v>0.5</v>
      </c>
      <c r="N180" s="5" t="n">
        <v>0.5600000000000001</v>
      </c>
    </row>
    <row r="181">
      <c r="A181" t="n">
        <v>180</v>
      </c>
      <c r="B181" t="n">
        <v>2012</v>
      </c>
      <c r="C181" t="inlineStr">
        <is>
          <t>Alexandra Bayentin</t>
        </is>
      </c>
      <c r="D181">
        <f>HYPERLINK("https://ota.tournamentsoftware.com/player-profile/EFF894D9-35F7-45C9-9C57-06584708D213", "Link")</f>
        <v/>
      </c>
      <c r="E181" s="3" t="n">
        <v>499.016</v>
      </c>
      <c r="F181" s="4" t="n">
        <v>14</v>
      </c>
      <c r="G181" t="inlineStr">
        <is>
          <t>Tennis Alberta</t>
        </is>
      </c>
      <c r="H181" t="inlineStr">
        <is>
          <t>Osten &amp; Victor Alberta Tennis Centre</t>
        </is>
      </c>
      <c r="I181" t="n">
        <v>29.1</v>
      </c>
      <c r="J181" s="4" t="n">
        <v>167</v>
      </c>
      <c r="K181" t="inlineStr">
        <is>
          <t>81 / 86</t>
        </is>
      </c>
      <c r="L181" t="inlineStr">
        <is>
          <t>11 / 12</t>
        </is>
      </c>
      <c r="M181" s="5" t="n">
        <v>0.49</v>
      </c>
      <c r="N181" s="5" t="n">
        <v>0.48</v>
      </c>
    </row>
    <row r="182">
      <c r="A182" t="n">
        <v>181</v>
      </c>
      <c r="B182" t="n">
        <v>2015</v>
      </c>
      <c r="C182" t="inlineStr">
        <is>
          <t>Abbey Crump</t>
        </is>
      </c>
      <c r="D182">
        <f>HYPERLINK("https://ota.tournamentsoftware.com/player-profile/92F0423F-2B57-40B1-A6AA-5C7DC6477800", "Link")</f>
        <v/>
      </c>
      <c r="E182" s="3" t="n">
        <v>493.889</v>
      </c>
      <c r="F182" s="4" t="n">
        <v>16</v>
      </c>
      <c r="G182" t="inlineStr">
        <is>
          <t>Ontario Tennis Association</t>
        </is>
      </c>
      <c r="H182" t="inlineStr">
        <is>
          <t>Joshua Creek Golf &amp; Tennis</t>
        </is>
      </c>
      <c r="I182" t="n">
        <v>30.7</v>
      </c>
      <c r="J182" s="4" t="n">
        <v>146</v>
      </c>
      <c r="K182" t="inlineStr">
        <is>
          <t>120 / 26</t>
        </is>
      </c>
      <c r="L182" t="inlineStr">
        <is>
          <t>28 / 15</t>
        </is>
      </c>
      <c r="M182" s="5" t="n">
        <v>0.82</v>
      </c>
      <c r="N182" s="5" t="n">
        <v>0.65</v>
      </c>
    </row>
    <row r="183">
      <c r="A183" t="n">
        <v>182</v>
      </c>
      <c r="B183" t="n">
        <v>2013</v>
      </c>
      <c r="C183" t="inlineStr">
        <is>
          <t>Livia Seguin</t>
        </is>
      </c>
      <c r="D183">
        <f>HYPERLINK("https://ota.tournamentsoftware.com/player-profile/2B987274-8A56-4EE6-B85D-948871231CC0", "Link")</f>
        <v/>
      </c>
      <c r="E183" s="3" t="n">
        <v>493.701</v>
      </c>
      <c r="F183" s="4" t="n">
        <v>36</v>
      </c>
      <c r="G183" t="inlineStr">
        <is>
          <t>Tennis Québec</t>
        </is>
      </c>
      <c r="H183" t="inlineStr">
        <is>
          <t>Tennis Interclub Piedmont</t>
        </is>
      </c>
      <c r="I183" t="n">
        <v>32.7</v>
      </c>
      <c r="J183" s="4" t="n">
        <v>137</v>
      </c>
      <c r="K183" t="inlineStr">
        <is>
          <t>43 / 94</t>
        </is>
      </c>
      <c r="L183" t="inlineStr">
        <is>
          <t>19 / 33</t>
        </is>
      </c>
      <c r="M183" s="5" t="n">
        <v>0.31</v>
      </c>
      <c r="N183" s="5" t="n">
        <v>0.37</v>
      </c>
    </row>
    <row r="184">
      <c r="A184" t="n">
        <v>183</v>
      </c>
      <c r="B184" t="n">
        <v>2013</v>
      </c>
      <c r="C184" t="inlineStr">
        <is>
          <t>Mila Anna Kodjian</t>
        </is>
      </c>
      <c r="D184">
        <f>HYPERLINK("https://ota.tournamentsoftware.com/player-profile/CE1F1BC7-04CB-4652-A947-AF91FA03ECD5", "Link")</f>
        <v/>
      </c>
      <c r="E184" s="3" t="n">
        <v>491.4</v>
      </c>
      <c r="F184" s="4" t="n">
        <v>17</v>
      </c>
      <c r="G184" t="inlineStr">
        <is>
          <t>Ontario Tennis Association</t>
        </is>
      </c>
      <c r="H184" t="inlineStr">
        <is>
          <t>Rosethorn Tennis Club</t>
        </is>
      </c>
      <c r="I184" t="n">
        <v>31.6</v>
      </c>
      <c r="J184" s="4" t="n">
        <v>114</v>
      </c>
      <c r="K184" t="inlineStr">
        <is>
          <t>66 / 48</t>
        </is>
      </c>
      <c r="L184" t="inlineStr">
        <is>
          <t>25 / 10</t>
        </is>
      </c>
      <c r="M184" s="5" t="n">
        <v>0.58</v>
      </c>
      <c r="N184" s="5" t="n">
        <v>0.71</v>
      </c>
    </row>
    <row r="185">
      <c r="A185" t="n">
        <v>184</v>
      </c>
      <c r="B185" t="n">
        <v>2012</v>
      </c>
      <c r="C185" t="inlineStr">
        <is>
          <t>Maya Sophia Abdullah</t>
        </is>
      </c>
      <c r="D185">
        <f>HYPERLINK("https://ota.tournamentsoftware.com/player-profile/6169AD2A-5AC2-4220-8B87-C5D54BAF6AD4", "Link")</f>
        <v/>
      </c>
      <c r="E185" s="3" t="n">
        <v>485.934</v>
      </c>
      <c r="F185" s="4" t="n">
        <v>20</v>
      </c>
      <c r="G185" t="inlineStr">
        <is>
          <t>Tennis Alberta</t>
        </is>
      </c>
      <c r="H185" t="inlineStr">
        <is>
          <t>Aforza</t>
        </is>
      </c>
      <c r="I185" t="n">
        <v>31.6</v>
      </c>
      <c r="J185" s="4" t="n">
        <v>61</v>
      </c>
      <c r="K185" t="inlineStr">
        <is>
          <t>30 / 31</t>
        </is>
      </c>
      <c r="L185" t="inlineStr">
        <is>
          <t>18 / 19</t>
        </is>
      </c>
      <c r="M185" s="5" t="n">
        <v>0.49</v>
      </c>
      <c r="N185" s="5" t="n">
        <v>0.49</v>
      </c>
    </row>
    <row r="186">
      <c r="A186" t="n">
        <v>185</v>
      </c>
      <c r="B186" t="n">
        <v>2014</v>
      </c>
      <c r="C186" t="inlineStr">
        <is>
          <t>Naima Majumdar-Moreau</t>
        </is>
      </c>
      <c r="D186">
        <f>HYPERLINK("https://ota.tournamentsoftware.com/player-profile/DCA02929-B08F-46CE-9CFE-852A987CEBF8", "Link")</f>
        <v/>
      </c>
      <c r="E186" s="3" t="n">
        <v>485.9</v>
      </c>
      <c r="F186" s="4" t="n">
        <v>31</v>
      </c>
      <c r="G186" t="inlineStr">
        <is>
          <t>Tennis Québec</t>
        </is>
      </c>
      <c r="H186" t="inlineStr">
        <is>
          <t>Tennis Ile- des- Soeurs</t>
        </is>
      </c>
      <c r="I186" t="inlineStr">
        <is>
          <t>unavailable</t>
        </is>
      </c>
      <c r="J186" s="4" t="n">
        <v>163</v>
      </c>
      <c r="K186" t="inlineStr">
        <is>
          <t>77 / 86</t>
        </is>
      </c>
      <c r="L186" t="inlineStr">
        <is>
          <t>31 / 30</t>
        </is>
      </c>
      <c r="M186" s="5" t="n">
        <v>0.47</v>
      </c>
      <c r="N186" s="5" t="n">
        <v>0.51</v>
      </c>
    </row>
    <row r="187">
      <c r="A187" t="n">
        <v>186</v>
      </c>
      <c r="B187" t="n">
        <v>2015</v>
      </c>
      <c r="C187" t="inlineStr">
        <is>
          <t>Elina Wang</t>
        </is>
      </c>
      <c r="D187">
        <f>HYPERLINK("https://ota.tournamentsoftware.com/player-profile/D1A88E02-8A26-413B-866E-8A72948B268F", "Link")</f>
        <v/>
      </c>
      <c r="E187" s="3" t="n">
        <v>482.596</v>
      </c>
      <c r="F187" s="4" t="n">
        <v>20</v>
      </c>
      <c r="G187" t="inlineStr">
        <is>
          <t>Ontario Tennis Association</t>
        </is>
      </c>
      <c r="H187" t="inlineStr">
        <is>
          <t>Richmondhill Golf &amp; Country Club</t>
        </is>
      </c>
      <c r="I187" t="n">
        <v>30.5</v>
      </c>
      <c r="J187" s="4" t="n">
        <v>234</v>
      </c>
      <c r="K187" t="inlineStr">
        <is>
          <t>154 / 80</t>
        </is>
      </c>
      <c r="L187" t="inlineStr">
        <is>
          <t>37 / 15</t>
        </is>
      </c>
      <c r="M187" s="5" t="n">
        <v>0.66</v>
      </c>
      <c r="N187" s="5" t="n">
        <v>0.71</v>
      </c>
    </row>
    <row r="188">
      <c r="A188" t="n">
        <v>187</v>
      </c>
      <c r="B188" t="n">
        <v>2013</v>
      </c>
      <c r="C188" t="inlineStr">
        <is>
          <t>Alexandra Choe</t>
        </is>
      </c>
      <c r="D188">
        <f>HYPERLINK("https://ota.tournamentsoftware.com/player-profile/0BFF8F09-A612-40D9-B491-E305A472672B", "Link")</f>
        <v/>
      </c>
      <c r="E188" s="3" t="n">
        <v>481.947</v>
      </c>
      <c r="F188" s="4" t="n">
        <v>13</v>
      </c>
      <c r="G188" t="inlineStr">
        <is>
          <t>Ontario Tennis Association</t>
        </is>
      </c>
      <c r="H188" t="inlineStr">
        <is>
          <t>Joshua Creek Golf &amp; Tennis</t>
        </is>
      </c>
      <c r="I188" t="n">
        <v>30</v>
      </c>
      <c r="J188" s="4" t="n">
        <v>221</v>
      </c>
      <c r="K188" t="inlineStr">
        <is>
          <t>135 / 86</t>
        </is>
      </c>
      <c r="L188" t="inlineStr">
        <is>
          <t>8 / 4</t>
        </is>
      </c>
      <c r="M188" s="5" t="n">
        <v>0.61</v>
      </c>
      <c r="N188" s="5" t="n">
        <v>0.67</v>
      </c>
    </row>
    <row r="189">
      <c r="A189" t="n">
        <v>188</v>
      </c>
      <c r="B189" t="n">
        <v>2014</v>
      </c>
      <c r="C189" t="inlineStr">
        <is>
          <t>Anica Yachun Liu</t>
        </is>
      </c>
      <c r="D189">
        <f>HYPERLINK("https://ota.tournamentsoftware.com/player-profile/B58148E6-4895-4918-B4B6-ADFAA5FEE0D2", "Link")</f>
        <v/>
      </c>
      <c r="E189" s="3" t="n">
        <v>479.105</v>
      </c>
      <c r="F189" s="4" t="n">
        <v>23</v>
      </c>
      <c r="G189" t="inlineStr">
        <is>
          <t>Tennis Alberta</t>
        </is>
      </c>
      <c r="H189" t="inlineStr">
        <is>
          <t>Saville Community Sports Centre</t>
        </is>
      </c>
      <c r="I189" t="n">
        <v>29.4</v>
      </c>
      <c r="J189" s="4" t="n">
        <v>224</v>
      </c>
      <c r="K189" t="inlineStr">
        <is>
          <t>111 / 113</t>
        </is>
      </c>
      <c r="L189" t="inlineStr">
        <is>
          <t>30 / 35</t>
        </is>
      </c>
      <c r="M189" s="5" t="n">
        <v>0.5</v>
      </c>
      <c r="N189" s="5" t="n">
        <v>0.46</v>
      </c>
    </row>
    <row r="190">
      <c r="A190" t="n">
        <v>189</v>
      </c>
      <c r="B190" t="n">
        <v>2013</v>
      </c>
      <c r="C190" t="inlineStr">
        <is>
          <t>Juliana Sophie Ho</t>
        </is>
      </c>
      <c r="D190">
        <f>HYPERLINK("https://ota.tournamentsoftware.com/player-profile/D79AC720-EA55-42CC-ACCB-558E5C86D00C", "Link")</f>
        <v/>
      </c>
      <c r="E190" s="3" t="n">
        <v>468.722</v>
      </c>
      <c r="F190" s="4" t="n">
        <v>28</v>
      </c>
      <c r="G190" t="inlineStr">
        <is>
          <t>Ontario Tennis Association</t>
        </is>
      </c>
      <c r="H190" t="inlineStr">
        <is>
          <t>Ontario Racquet Club</t>
        </is>
      </c>
      <c r="I190" t="n">
        <v>32.4</v>
      </c>
      <c r="J190" s="4" t="n">
        <v>143</v>
      </c>
      <c r="K190" t="inlineStr">
        <is>
          <t>73 / 70</t>
        </is>
      </c>
      <c r="L190" t="inlineStr">
        <is>
          <t>21 / 19</t>
        </is>
      </c>
      <c r="M190" s="5" t="n">
        <v>0.51</v>
      </c>
      <c r="N190" s="5" t="n">
        <v>0.53</v>
      </c>
    </row>
    <row r="191">
      <c r="A191" t="n">
        <v>190</v>
      </c>
      <c r="B191" t="n">
        <v>2012</v>
      </c>
      <c r="C191" t="inlineStr">
        <is>
          <t>Izibeyle Bhopal</t>
        </is>
      </c>
      <c r="D191">
        <f>HYPERLINK("https://ota.tournamentsoftware.com/player-profile/E9C7A60A-D097-4925-9456-764C57DCF01A", "Link")</f>
        <v/>
      </c>
      <c r="E191" s="3" t="n">
        <v>468.448</v>
      </c>
      <c r="F191" s="4" t="n">
        <v>2</v>
      </c>
      <c r="G191" t="inlineStr">
        <is>
          <t>British Columbia</t>
        </is>
      </c>
      <c r="H191" t="inlineStr">
        <is>
          <t>Bear Mountain Tennis Centre</t>
        </is>
      </c>
      <c r="I191" t="n">
        <v>24.5</v>
      </c>
      <c r="J191" s="4" t="n">
        <v>64</v>
      </c>
      <c r="K191" t="inlineStr">
        <is>
          <t>39 / 25</t>
        </is>
      </c>
      <c r="L191" t="inlineStr">
        <is>
          <t>4 / 0</t>
        </is>
      </c>
      <c r="M191" s="5" t="n">
        <v>0.61</v>
      </c>
      <c r="N191" s="5" t="n">
        <v>1</v>
      </c>
    </row>
    <row r="192">
      <c r="A192" t="n">
        <v>191</v>
      </c>
      <c r="B192" t="n">
        <v>2014</v>
      </c>
      <c r="C192" t="inlineStr">
        <is>
          <t>Eva Larose</t>
        </is>
      </c>
      <c r="D192">
        <f>HYPERLINK("https://ota.tournamentsoftware.com/player-profile/BC2D4F14-515B-4F2A-AD3B-8DA03F3E5E5B", "Link")</f>
        <v/>
      </c>
      <c r="E192" s="3" t="n">
        <v>466.782</v>
      </c>
      <c r="F192" s="4" t="n">
        <v>23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167</v>
      </c>
      <c r="K192" t="inlineStr">
        <is>
          <t>96 / 71</t>
        </is>
      </c>
      <c r="L192" t="inlineStr">
        <is>
          <t>43 / 20</t>
        </is>
      </c>
      <c r="M192" s="5" t="n">
        <v>0.57</v>
      </c>
      <c r="N192" s="5" t="n">
        <v>0.68</v>
      </c>
    </row>
    <row r="193">
      <c r="A193" t="n">
        <v>192</v>
      </c>
      <c r="B193" t="n">
        <v>2016</v>
      </c>
      <c r="C193" t="inlineStr">
        <is>
          <t>Alisha Goel</t>
        </is>
      </c>
      <c r="D193">
        <f>HYPERLINK("https://ota.tournamentsoftware.com/player-profile/7F9E9DD0-77A1-4F40-B2B5-C4B89592B089", "Link")</f>
        <v/>
      </c>
      <c r="E193" s="3" t="n">
        <v>459.47</v>
      </c>
      <c r="F193" s="4" t="n">
        <v>25</v>
      </c>
      <c r="G193" t="inlineStr">
        <is>
          <t>Ontario Tennis Association</t>
        </is>
      </c>
      <c r="H193" t="inlineStr">
        <is>
          <t>The Supreme Court Tennis Club</t>
        </is>
      </c>
      <c r="I193" t="n">
        <v>32.7</v>
      </c>
      <c r="J193" s="4" t="n">
        <v>182</v>
      </c>
      <c r="K193" t="inlineStr">
        <is>
          <t>123 / 59</t>
        </is>
      </c>
      <c r="L193" t="inlineStr">
        <is>
          <t>36 / 21</t>
        </is>
      </c>
      <c r="M193" s="5" t="n">
        <v>0.68</v>
      </c>
      <c r="N193" s="5" t="n">
        <v>0.63</v>
      </c>
    </row>
    <row r="194">
      <c r="A194" t="n">
        <v>193</v>
      </c>
      <c r="B194" t="n">
        <v>2012</v>
      </c>
      <c r="C194" t="inlineStr">
        <is>
          <t>MISHIKA SURESH BALAJI</t>
        </is>
      </c>
      <c r="D194">
        <f>HYPERLINK("https://ota.tournamentsoftware.com/player-profile/B11C615C-6BB8-4655-BCAA-370D01C186B1", "Link")</f>
        <v/>
      </c>
      <c r="E194" s="3" t="n">
        <v>448</v>
      </c>
      <c r="F194" s="4" t="n">
        <v>17</v>
      </c>
      <c r="G194" t="inlineStr">
        <is>
          <t>Tennis Nova Scotia</t>
        </is>
      </c>
      <c r="H194" t="inlineStr">
        <is>
          <t>Atlantic Tennis Centre</t>
        </is>
      </c>
      <c r="I194" t="n">
        <v>27.9</v>
      </c>
      <c r="J194" s="4" t="n">
        <v>173</v>
      </c>
      <c r="K194" t="inlineStr">
        <is>
          <t>91 / 82</t>
        </is>
      </c>
      <c r="L194" t="inlineStr">
        <is>
          <t>26 / 14</t>
        </is>
      </c>
      <c r="M194" s="5" t="n">
        <v>0.53</v>
      </c>
      <c r="N194" s="5" t="n">
        <v>0.65</v>
      </c>
    </row>
    <row r="195">
      <c r="A195" t="n">
        <v>194</v>
      </c>
      <c r="B195" t="n">
        <v>2013</v>
      </c>
      <c r="C195" t="inlineStr">
        <is>
          <t>Bianca Bordogna</t>
        </is>
      </c>
      <c r="D195">
        <f>HYPERLINK("https://ota.tournamentsoftware.com/player-profile/71A0B4E7-3A92-4F64-82D6-42A032600DC7", "Link")</f>
        <v/>
      </c>
      <c r="E195" s="3" t="n">
        <v>447.08</v>
      </c>
      <c r="F195" s="4" t="n">
        <v>16</v>
      </c>
      <c r="G195" t="inlineStr">
        <is>
          <t>Ontario Tennis Association</t>
        </is>
      </c>
      <c r="H195" t="inlineStr">
        <is>
          <t>Carleton Tennis Centre</t>
        </is>
      </c>
      <c r="I195" t="n">
        <v>31.6</v>
      </c>
      <c r="J195" s="4" t="n">
        <v>111</v>
      </c>
      <c r="K195" t="inlineStr">
        <is>
          <t>57 / 54</t>
        </is>
      </c>
      <c r="L195" t="inlineStr">
        <is>
          <t>14 / 14</t>
        </is>
      </c>
      <c r="M195" s="5" t="n">
        <v>0.51</v>
      </c>
      <c r="N195" s="5" t="n">
        <v>0.5</v>
      </c>
    </row>
    <row r="196">
      <c r="A196" t="n">
        <v>195</v>
      </c>
      <c r="B196" t="n">
        <v>2015</v>
      </c>
      <c r="C196" t="inlineStr">
        <is>
          <t>Sunandita Pal</t>
        </is>
      </c>
      <c r="D196">
        <f>HYPERLINK("https://ota.tournamentsoftware.com/player-profile/10185E41-C6E2-4C6A-9A47-A3AF6C77F2A4", "Link")</f>
        <v/>
      </c>
      <c r="E196" s="3" t="n">
        <v>444.977</v>
      </c>
      <c r="F196" s="4" t="n">
        <v>27</v>
      </c>
      <c r="G196" t="inlineStr">
        <is>
          <t>Ontario Tennis Association</t>
        </is>
      </c>
      <c r="H196" t="inlineStr">
        <is>
          <t>No Club</t>
        </is>
      </c>
      <c r="I196" t="n">
        <v>32.8</v>
      </c>
      <c r="J196" s="4" t="n">
        <v>238</v>
      </c>
      <c r="K196" t="inlineStr">
        <is>
          <t>114 / 124</t>
        </is>
      </c>
      <c r="L196" t="inlineStr">
        <is>
          <t>30 / 23</t>
        </is>
      </c>
      <c r="M196" s="5" t="n">
        <v>0.48</v>
      </c>
      <c r="N196" s="5" t="n">
        <v>0.57</v>
      </c>
    </row>
    <row r="197">
      <c r="A197" t="n">
        <v>196</v>
      </c>
      <c r="B197" t="n">
        <v>2013</v>
      </c>
      <c r="C197" t="inlineStr">
        <is>
          <t>Rihanna Kulyk</t>
        </is>
      </c>
      <c r="D197">
        <f>HYPERLINK("https://ota.tournamentsoftware.com/player-profile/6E1703BA-DB25-4B47-9BB7-314BDDCFDBAC", "Link")</f>
        <v/>
      </c>
      <c r="E197" s="3" t="n">
        <v>444.665</v>
      </c>
      <c r="F197" s="4" t="n">
        <v>24</v>
      </c>
      <c r="G197" t="inlineStr">
        <is>
          <t>Tennis Québec</t>
        </is>
      </c>
      <c r="H197" t="inlineStr">
        <is>
          <t>Tennis Ile- des- Soeurs</t>
        </is>
      </c>
      <c r="I197" t="inlineStr">
        <is>
          <t>unavailable</t>
        </is>
      </c>
      <c r="J197" s="4" t="n">
        <v>241</v>
      </c>
      <c r="K197" t="inlineStr">
        <is>
          <t>106 / 135</t>
        </is>
      </c>
      <c r="L197" t="inlineStr">
        <is>
          <t>13 / 21</t>
        </is>
      </c>
      <c r="M197" s="5" t="n">
        <v>0.44</v>
      </c>
      <c r="N197" s="5" t="n">
        <v>0.38</v>
      </c>
    </row>
    <row r="198">
      <c r="A198" t="n">
        <v>197</v>
      </c>
      <c r="B198" t="n">
        <v>2014</v>
      </c>
      <c r="C198" t="inlineStr">
        <is>
          <t>Sara Liao</t>
        </is>
      </c>
      <c r="D198">
        <f>HYPERLINK("https://ota.tournamentsoftware.com/player-profile/A86A9BCB-375D-415C-BD04-3D7638B2F6E8", "Link")</f>
        <v/>
      </c>
      <c r="E198" s="3" t="n">
        <v>443.842</v>
      </c>
      <c r="F198" s="4" t="n">
        <v>36</v>
      </c>
      <c r="G198" t="inlineStr">
        <is>
          <t>Ontario Tennis Association</t>
        </is>
      </c>
      <c r="H198" t="inlineStr">
        <is>
          <t>Ontario Racquet Club</t>
        </is>
      </c>
      <c r="I198" t="n">
        <v>32</v>
      </c>
      <c r="J198" s="4" t="n">
        <v>124</v>
      </c>
      <c r="K198" t="inlineStr">
        <is>
          <t>61 / 63</t>
        </is>
      </c>
      <c r="L198" t="inlineStr">
        <is>
          <t>34 / 30</t>
        </is>
      </c>
      <c r="M198" s="5" t="n">
        <v>0.49</v>
      </c>
      <c r="N198" s="5" t="n">
        <v>0.53</v>
      </c>
    </row>
    <row r="199">
      <c r="A199" t="n">
        <v>198</v>
      </c>
      <c r="B199" t="n">
        <v>2012</v>
      </c>
      <c r="C199" t="inlineStr">
        <is>
          <t>Ella Zhao</t>
        </is>
      </c>
      <c r="D199">
        <f>HYPERLINK("https://ota.tournamentsoftware.com/player-profile/4CFC4B61-0F67-4AD7-8CC6-03CC7A224737", "Link")</f>
        <v/>
      </c>
      <c r="E199" s="3" t="n">
        <v>442.478</v>
      </c>
      <c r="F199" s="4" t="n">
        <v>9</v>
      </c>
      <c r="G199" t="inlineStr">
        <is>
          <t>British Columbia</t>
        </is>
      </c>
      <c r="H199" t="inlineStr">
        <is>
          <t>North Shore Winter Club</t>
        </is>
      </c>
      <c r="I199" t="n">
        <v>26.9</v>
      </c>
      <c r="J199" s="4" t="n">
        <v>121</v>
      </c>
      <c r="K199" t="inlineStr">
        <is>
          <t>89 / 32</t>
        </is>
      </c>
      <c r="L199" t="inlineStr">
        <is>
          <t>9 / 7</t>
        </is>
      </c>
      <c r="M199" s="5" t="n">
        <v>0.74</v>
      </c>
      <c r="N199" s="5" t="n">
        <v>0.5600000000000001</v>
      </c>
    </row>
    <row r="200">
      <c r="A200" t="n">
        <v>199</v>
      </c>
      <c r="B200" t="n">
        <v>2013</v>
      </c>
      <c r="C200" t="inlineStr">
        <is>
          <t>Audrey Yiyi Xu</t>
        </is>
      </c>
      <c r="D200">
        <f>HYPERLINK("https://ota.tournamentsoftware.com/player-profile/25D8C643-E3DC-418B-948B-22520C94F8E3", "Link")</f>
        <v/>
      </c>
      <c r="E200" s="3" t="n">
        <v>440.022</v>
      </c>
      <c r="F200" s="4" t="n">
        <v>22</v>
      </c>
      <c r="G200" t="inlineStr">
        <is>
          <t>Ontario Tennis Association</t>
        </is>
      </c>
      <c r="H200" t="inlineStr">
        <is>
          <t>Joshua Creek Golf &amp; Tennis</t>
        </is>
      </c>
      <c r="I200" t="n">
        <v>32.1</v>
      </c>
      <c r="J200" s="4" t="n">
        <v>146</v>
      </c>
      <c r="K200" t="inlineStr">
        <is>
          <t>65 / 81</t>
        </is>
      </c>
      <c r="L200" t="inlineStr">
        <is>
          <t>26 / 17</t>
        </is>
      </c>
      <c r="M200" s="5" t="n">
        <v>0.45</v>
      </c>
      <c r="N200" s="5" t="n">
        <v>0.6</v>
      </c>
    </row>
    <row r="201">
      <c r="A201" t="n">
        <v>200</v>
      </c>
      <c r="B201" t="n">
        <v>2015</v>
      </c>
      <c r="C201" t="inlineStr">
        <is>
          <t>Tina liu</t>
        </is>
      </c>
      <c r="D201">
        <f>HYPERLINK("https://ota.tournamentsoftware.com/player-profile/E7D1FBAC-8033-480E-A688-28CBCEF6D907", "Link")</f>
        <v/>
      </c>
      <c r="E201" s="3" t="n">
        <v>436.506</v>
      </c>
      <c r="F201" s="4" t="n">
        <v>27</v>
      </c>
      <c r="G201" t="inlineStr">
        <is>
          <t>Ontario Tennis Association</t>
        </is>
      </c>
      <c r="H201" t="inlineStr">
        <is>
          <t>Advantage Tennis International at Veneto</t>
        </is>
      </c>
      <c r="I201" t="n">
        <v>32.6</v>
      </c>
      <c r="J201" s="4" t="n">
        <v>200</v>
      </c>
      <c r="K201" t="inlineStr">
        <is>
          <t>128 / 72</t>
        </is>
      </c>
      <c r="L201" t="inlineStr">
        <is>
          <t>32 / 19</t>
        </is>
      </c>
      <c r="M201" s="5" t="n">
        <v>0.64</v>
      </c>
      <c r="N201" s="5" t="n">
        <v>0.63</v>
      </c>
    </row>
    <row r="202">
      <c r="A202" t="n">
        <v>201</v>
      </c>
      <c r="B202" t="n">
        <v>2014</v>
      </c>
      <c r="C202" t="inlineStr">
        <is>
          <t>Maeva Cantin</t>
        </is>
      </c>
      <c r="D202">
        <f>HYPERLINK("https://ota.tournamentsoftware.com/player-profile/B46D6374-4A68-4FB0-8516-4056AFA1047A", "Link")</f>
        <v/>
      </c>
      <c r="E202" s="3" t="n">
        <v>433.008</v>
      </c>
      <c r="F202" s="4" t="n">
        <v>16</v>
      </c>
      <c r="G202" t="inlineStr">
        <is>
          <t>Tennis Québec</t>
        </is>
      </c>
      <c r="H202" t="inlineStr">
        <is>
          <t>Centre récréatif de Repentigny / Académie Tennis Momentum</t>
        </is>
      </c>
      <c r="I202" t="n">
        <v>30.7</v>
      </c>
      <c r="J202" s="4" t="n">
        <v>152</v>
      </c>
      <c r="K202" t="inlineStr">
        <is>
          <t>82 / 70</t>
        </is>
      </c>
      <c r="L202" t="inlineStr">
        <is>
          <t>29 / 17</t>
        </is>
      </c>
      <c r="M202" s="5" t="n">
        <v>0.54</v>
      </c>
      <c r="N202" s="5" t="n">
        <v>0.63</v>
      </c>
    </row>
    <row r="203">
      <c r="A203" t="n">
        <v>202</v>
      </c>
      <c r="B203" t="n">
        <v>2013</v>
      </c>
      <c r="C203" t="inlineStr">
        <is>
          <t>Rosemarie Gagnon</t>
        </is>
      </c>
      <c r="D203">
        <f>HYPERLINK("https://ota.tournamentsoftware.com/player-profile/55A370D6-4FAD-414D-9E3D-2889C644855A", "Link")</f>
        <v/>
      </c>
      <c r="E203" s="3" t="n">
        <v>429.244</v>
      </c>
      <c r="F203" s="4" t="n">
        <v>22</v>
      </c>
      <c r="G203" t="inlineStr">
        <is>
          <t>Tennis Québec</t>
        </is>
      </c>
      <c r="H203" t="inlineStr">
        <is>
          <t>Club de tennis intérieur Saguenay / École de tennis Delisle-Poirel</t>
        </is>
      </c>
      <c r="I203" t="n">
        <v>32.2</v>
      </c>
      <c r="J203" s="4" t="n">
        <v>113</v>
      </c>
      <c r="K203" t="inlineStr">
        <is>
          <t>50 / 63</t>
        </is>
      </c>
      <c r="L203" t="inlineStr">
        <is>
          <t>12 / 18</t>
        </is>
      </c>
      <c r="M203" s="5" t="n">
        <v>0.44</v>
      </c>
      <c r="N203" s="5" t="n">
        <v>0.4</v>
      </c>
    </row>
    <row r="204">
      <c r="A204" t="n">
        <v>203</v>
      </c>
      <c r="B204" t="n">
        <v>2012</v>
      </c>
      <c r="C204" t="inlineStr">
        <is>
          <t>Milena Mavrin</t>
        </is>
      </c>
      <c r="D204">
        <f>HYPERLINK("https://ota.tournamentsoftware.com/player-profile/E6DED1E8-57C3-4627-8D59-94A636610A6B", "Link")</f>
        <v/>
      </c>
      <c r="E204" s="3" t="n">
        <v>427.8</v>
      </c>
      <c r="F204" s="4" t="n">
        <v>26</v>
      </c>
      <c r="G204" t="inlineStr">
        <is>
          <t>Ontario Tennis Association</t>
        </is>
      </c>
      <c r="H204" t="inlineStr">
        <is>
          <t>Blackmore Tennis Club</t>
        </is>
      </c>
      <c r="I204" t="n">
        <v>31.9</v>
      </c>
      <c r="J204" s="4" t="n">
        <v>80</v>
      </c>
      <c r="K204" t="inlineStr">
        <is>
          <t>37 / 43</t>
        </is>
      </c>
      <c r="L204" t="inlineStr">
        <is>
          <t>29 / 23</t>
        </is>
      </c>
      <c r="M204" s="5" t="n">
        <v>0.46</v>
      </c>
      <c r="N204" s="5" t="n">
        <v>0.5600000000000001</v>
      </c>
    </row>
    <row r="205">
      <c r="A205" t="n">
        <v>204</v>
      </c>
      <c r="B205" t="n">
        <v>2014</v>
      </c>
      <c r="C205" t="inlineStr">
        <is>
          <t>Ema Zonjic</t>
        </is>
      </c>
      <c r="D205">
        <f>HYPERLINK("https://ota.tournamentsoftware.com/player-profile/42A43C76-E08F-4134-B876-2E9D05859D92", "Link")</f>
        <v/>
      </c>
      <c r="E205" s="3" t="n">
        <v>427.7</v>
      </c>
      <c r="F205" s="4" t="n">
        <v>27</v>
      </c>
      <c r="G205" t="inlineStr">
        <is>
          <t>Ontario Tennis Association</t>
        </is>
      </c>
      <c r="H205" t="inlineStr">
        <is>
          <t>Rideau Sports Centre</t>
        </is>
      </c>
      <c r="I205" t="n">
        <v>30.8</v>
      </c>
      <c r="J205" s="4" t="n">
        <v>190</v>
      </c>
      <c r="K205" t="inlineStr">
        <is>
          <t>109 / 81</t>
        </is>
      </c>
      <c r="L205" t="inlineStr">
        <is>
          <t>41 / 24</t>
        </is>
      </c>
      <c r="M205" s="5" t="n">
        <v>0.57</v>
      </c>
      <c r="N205" s="5" t="n">
        <v>0.63</v>
      </c>
    </row>
    <row r="206">
      <c r="A206" t="n">
        <v>205</v>
      </c>
      <c r="B206" t="n">
        <v>2012</v>
      </c>
      <c r="C206" t="inlineStr">
        <is>
          <t>Tiffany Ren Jun Cao</t>
        </is>
      </c>
      <c r="D206">
        <f>HYPERLINK("https://ota.tournamentsoftware.com/player-profile/07B17DA5-DD47-4C90-B575-478C58AD7465", "Link")</f>
        <v/>
      </c>
      <c r="E206" s="3" t="n">
        <v>426.413</v>
      </c>
      <c r="F206" s="4" t="n">
        <v>21</v>
      </c>
      <c r="G206" t="inlineStr">
        <is>
          <t>British Columbia</t>
        </is>
      </c>
      <c r="H206" t="inlineStr">
        <is>
          <t>Richmond Country Club</t>
        </is>
      </c>
      <c r="I206" t="n">
        <v>29.8</v>
      </c>
      <c r="J206" s="4" t="n">
        <v>207</v>
      </c>
      <c r="K206" t="inlineStr">
        <is>
          <t>105 / 102</t>
        </is>
      </c>
      <c r="L206" t="inlineStr">
        <is>
          <t>18 / 22</t>
        </is>
      </c>
      <c r="M206" s="5" t="n">
        <v>0.51</v>
      </c>
      <c r="N206" s="5" t="n">
        <v>0.45</v>
      </c>
    </row>
    <row r="207">
      <c r="A207" t="n">
        <v>206</v>
      </c>
      <c r="B207" t="n">
        <v>2014</v>
      </c>
      <c r="C207" t="inlineStr">
        <is>
          <t>KENZA JERBI</t>
        </is>
      </c>
      <c r="D207">
        <f>HYPERLINK("https://ota.tournamentsoftware.com/player-profile/C6A8B859-96DA-46D9-A270-B08DA27DDE5C", "Link")</f>
        <v/>
      </c>
      <c r="E207" s="3" t="n">
        <v>421.308</v>
      </c>
      <c r="F207" s="4" t="n">
        <v>14</v>
      </c>
      <c r="G207" t="inlineStr">
        <is>
          <t>Tennis Québec</t>
        </is>
      </c>
      <c r="H207" t="inlineStr">
        <is>
          <t>Tennis Montréal Excellence</t>
        </is>
      </c>
      <c r="I207" t="n">
        <v>31.9</v>
      </c>
      <c r="J207" s="4" t="n">
        <v>108</v>
      </c>
      <c r="K207" t="inlineStr">
        <is>
          <t>65 / 43</t>
        </is>
      </c>
      <c r="L207" t="inlineStr">
        <is>
          <t>7 / 11</t>
        </is>
      </c>
      <c r="M207" s="5" t="n">
        <v>0.6</v>
      </c>
      <c r="N207" s="5" t="n">
        <v>0.39</v>
      </c>
    </row>
    <row r="208">
      <c r="A208" t="n">
        <v>207</v>
      </c>
      <c r="B208" t="n">
        <v>2014</v>
      </c>
      <c r="C208" t="inlineStr">
        <is>
          <t>Olivia Zhang</t>
        </is>
      </c>
      <c r="D208">
        <f>HYPERLINK("https://ota.tournamentsoftware.com/player-profile/8A1E61A8-3535-4F88-8C90-68A511D75AC2", "Link")</f>
        <v/>
      </c>
      <c r="E208" s="3" t="n">
        <v>420.2</v>
      </c>
      <c r="F208" s="4" t="n">
        <v>21</v>
      </c>
      <c r="G208" t="inlineStr">
        <is>
          <t>Ontario Tennis Association</t>
        </is>
      </c>
      <c r="H208" t="inlineStr">
        <is>
          <t>Richmondhill Golf &amp; Country Club</t>
        </is>
      </c>
      <c r="I208" t="n">
        <v>30.1</v>
      </c>
      <c r="J208" s="4" t="n">
        <v>105</v>
      </c>
      <c r="K208" t="inlineStr">
        <is>
          <t>63 / 42</t>
        </is>
      </c>
      <c r="L208" t="inlineStr">
        <is>
          <t>32 / 19</t>
        </is>
      </c>
      <c r="M208" s="5" t="n">
        <v>0.6</v>
      </c>
      <c r="N208" s="5" t="n">
        <v>0.63</v>
      </c>
    </row>
    <row r="209">
      <c r="A209" t="n">
        <v>208</v>
      </c>
      <c r="B209" t="n">
        <v>2014</v>
      </c>
      <c r="C209" t="inlineStr">
        <is>
          <t>Katelyn Li</t>
        </is>
      </c>
      <c r="D209">
        <f>HYPERLINK("https://ota.tournamentsoftware.com/player-profile/4A74B151-256A-40ED-9F9D-F00036EDD0A5", "Link")</f>
        <v/>
      </c>
      <c r="E209" s="3" t="n">
        <v>419.141</v>
      </c>
      <c r="F209" s="4" t="n">
        <v>25</v>
      </c>
      <c r="G209" t="inlineStr">
        <is>
          <t>Ontario Tennis Association</t>
        </is>
      </c>
      <c r="H209" t="inlineStr">
        <is>
          <t>Burlington Hall Sporting Club</t>
        </is>
      </c>
      <c r="I209" t="inlineStr">
        <is>
          <t>unavailable</t>
        </is>
      </c>
      <c r="J209" s="4" t="n">
        <v>135</v>
      </c>
      <c r="K209" t="inlineStr">
        <is>
          <t>63 / 72</t>
        </is>
      </c>
      <c r="L209" t="inlineStr">
        <is>
          <t>22 / 22</t>
        </is>
      </c>
      <c r="M209" s="5" t="n">
        <v>0.47</v>
      </c>
      <c r="N209" s="5" t="n">
        <v>0.5</v>
      </c>
    </row>
    <row r="210">
      <c r="A210" t="n">
        <v>209</v>
      </c>
      <c r="B210" t="n">
        <v>2014</v>
      </c>
      <c r="C210" t="inlineStr">
        <is>
          <t>Erin Yida Li</t>
        </is>
      </c>
      <c r="D210">
        <f>HYPERLINK("https://ota.tournamentsoftware.com/player-profile/48592A27-18BE-4C04-BE24-73F536B6D5D5", "Link")</f>
        <v/>
      </c>
      <c r="E210" s="3" t="n">
        <v>416.184</v>
      </c>
      <c r="F210" s="4" t="n">
        <v>22</v>
      </c>
      <c r="G210" t="inlineStr">
        <is>
          <t>Ontario Tennis Association</t>
        </is>
      </c>
      <c r="H210" t="inlineStr">
        <is>
          <t>Richmondhill Golf &amp; Country Club</t>
        </is>
      </c>
      <c r="I210" t="n">
        <v>32.3</v>
      </c>
      <c r="J210" s="4" t="n">
        <v>89</v>
      </c>
      <c r="K210" t="inlineStr">
        <is>
          <t>44 / 45</t>
        </is>
      </c>
      <c r="L210" t="inlineStr">
        <is>
          <t>21 / 20</t>
        </is>
      </c>
      <c r="M210" s="5" t="n">
        <v>0.49</v>
      </c>
      <c r="N210" s="5" t="n">
        <v>0.51</v>
      </c>
    </row>
    <row r="211">
      <c r="A211" t="n">
        <v>210</v>
      </c>
      <c r="B211" t="n">
        <v>2014</v>
      </c>
      <c r="C211" t="inlineStr">
        <is>
          <t>Sophia Pavlovska</t>
        </is>
      </c>
      <c r="D211">
        <f>HYPERLINK("https://ota.tournamentsoftware.com/player-profile/5C58F1EE-F291-431D-AC00-FB9096274E0A", "Link")</f>
        <v/>
      </c>
      <c r="E211" s="3" t="n">
        <v>413.785</v>
      </c>
      <c r="F211" s="4" t="n">
        <v>13</v>
      </c>
      <c r="G211" t="inlineStr">
        <is>
          <t>Tennis New Brunswick</t>
        </is>
      </c>
      <c r="H211" t="inlineStr">
        <is>
          <t>Dieppe</t>
        </is>
      </c>
      <c r="I211" t="n">
        <v>33.3</v>
      </c>
      <c r="J211" s="4" t="n">
        <v>178</v>
      </c>
      <c r="K211" t="inlineStr">
        <is>
          <t>66 / 112</t>
        </is>
      </c>
      <c r="L211" t="inlineStr">
        <is>
          <t>18 / 17</t>
        </is>
      </c>
      <c r="M211" s="5" t="n">
        <v>0.37</v>
      </c>
      <c r="N211" s="5" t="n">
        <v>0.51</v>
      </c>
    </row>
    <row r="212">
      <c r="A212" t="n">
        <v>211</v>
      </c>
      <c r="B212" t="n">
        <v>2013</v>
      </c>
      <c r="C212" t="inlineStr">
        <is>
          <t>Isidora Trkulja</t>
        </is>
      </c>
      <c r="D212">
        <f>HYPERLINK("https://ota.tournamentsoftware.com/player-profile/1A3F3EE8-FB93-483C-A52C-E761E6FA42CE", "Link")</f>
        <v/>
      </c>
      <c r="E212" s="3" t="n">
        <v>413.395</v>
      </c>
      <c r="F212" s="4" t="n">
        <v>8</v>
      </c>
      <c r="G212" t="inlineStr">
        <is>
          <t>Tennis Alberta</t>
        </is>
      </c>
      <c r="H212" t="inlineStr">
        <is>
          <t>Saville Community Sports Centre</t>
        </is>
      </c>
      <c r="I212" t="n">
        <v>26.2</v>
      </c>
      <c r="J212" s="4" t="n">
        <v>194</v>
      </c>
      <c r="K212" t="inlineStr">
        <is>
          <t>125 / 69</t>
        </is>
      </c>
      <c r="L212" t="inlineStr">
        <is>
          <t>8 / 6</t>
        </is>
      </c>
      <c r="M212" s="5" t="n">
        <v>0.64</v>
      </c>
      <c r="N212" s="5" t="n">
        <v>0.57</v>
      </c>
    </row>
    <row r="213">
      <c r="A213" t="n">
        <v>212</v>
      </c>
      <c r="B213" t="n">
        <v>2012</v>
      </c>
      <c r="C213" t="inlineStr">
        <is>
          <t>Trisha Singh</t>
        </is>
      </c>
      <c r="D213">
        <f>HYPERLINK("https://ota.tournamentsoftware.com/player-profile/CA831513-6963-4556-B8FD-4D148748EB19", "Link")</f>
        <v/>
      </c>
      <c r="E213" s="3" t="n">
        <v>409.352</v>
      </c>
      <c r="F213" s="4" t="n">
        <v>18</v>
      </c>
      <c r="G213" t="inlineStr">
        <is>
          <t>Ontario Tennis Association</t>
        </is>
      </c>
      <c r="H213" t="inlineStr">
        <is>
          <t>Rideau Sports Centre</t>
        </is>
      </c>
      <c r="I213" t="n">
        <v>31.4</v>
      </c>
      <c r="J213" s="4" t="n">
        <v>98</v>
      </c>
      <c r="K213" t="inlineStr">
        <is>
          <t>45 / 53</t>
        </is>
      </c>
      <c r="L213" t="inlineStr">
        <is>
          <t>13 / 19</t>
        </is>
      </c>
      <c r="M213" s="5" t="n">
        <v>0.46</v>
      </c>
      <c r="N213" s="5" t="n">
        <v>0.41</v>
      </c>
    </row>
    <row r="214">
      <c r="A214" t="n">
        <v>213</v>
      </c>
      <c r="B214" t="n">
        <v>2013</v>
      </c>
      <c r="C214" t="inlineStr">
        <is>
          <t>Coralie D'Amours</t>
        </is>
      </c>
      <c r="D214">
        <f>HYPERLINK("https://ota.tournamentsoftware.com/player-profile/35A6230C-9F9D-4861-B1DB-6367FB38A039", "Link")</f>
        <v/>
      </c>
      <c r="E214" s="3" t="n">
        <v>408.39</v>
      </c>
      <c r="F214" s="4" t="n">
        <v>17</v>
      </c>
      <c r="G214" t="inlineStr">
        <is>
          <t>Ontario Tennis Association</t>
        </is>
      </c>
      <c r="H214" t="inlineStr">
        <is>
          <t>Rideau Sports Centre</t>
        </is>
      </c>
      <c r="I214" t="n">
        <v>32.9</v>
      </c>
      <c r="J214" s="4" t="n">
        <v>63</v>
      </c>
      <c r="K214" t="inlineStr">
        <is>
          <t>22 / 41</t>
        </is>
      </c>
      <c r="L214" t="inlineStr">
        <is>
          <t>14 / 19</t>
        </is>
      </c>
      <c r="M214" s="5" t="n">
        <v>0.35</v>
      </c>
      <c r="N214" s="5" t="n">
        <v>0.42</v>
      </c>
    </row>
    <row r="215">
      <c r="A215" t="n">
        <v>214</v>
      </c>
      <c r="B215" t="n">
        <v>2013</v>
      </c>
      <c r="C215" t="inlineStr">
        <is>
          <t>Arya Kaur Dhillon</t>
        </is>
      </c>
      <c r="D215">
        <f>HYPERLINK("https://ota.tournamentsoftware.com/player-profile/3DBC0BDE-C3D6-40A5-992E-F7274098EF5D", "Link")</f>
        <v/>
      </c>
      <c r="E215" s="3" t="n">
        <v>405.446</v>
      </c>
      <c r="F215" s="4" t="n">
        <v>18</v>
      </c>
      <c r="G215" t="inlineStr">
        <is>
          <t>Tennis Alberta</t>
        </is>
      </c>
      <c r="H215" t="inlineStr">
        <is>
          <t>Saville Community Sports Centre</t>
        </is>
      </c>
      <c r="I215" t="n">
        <v>29.5</v>
      </c>
      <c r="J215" s="4" t="n">
        <v>173</v>
      </c>
      <c r="K215" t="inlineStr">
        <is>
          <t>85 / 88</t>
        </is>
      </c>
      <c r="L215" t="inlineStr">
        <is>
          <t>23 / 20</t>
        </is>
      </c>
      <c r="M215" s="5" t="n">
        <v>0.49</v>
      </c>
      <c r="N215" s="5" t="n">
        <v>0.53</v>
      </c>
    </row>
    <row r="216">
      <c r="A216" t="n">
        <v>215</v>
      </c>
      <c r="B216" t="n">
        <v>2013</v>
      </c>
      <c r="C216" t="inlineStr">
        <is>
          <t>Rachel Daniel</t>
        </is>
      </c>
      <c r="D216">
        <f>HYPERLINK("https://ota.tournamentsoftware.com/player-profile/C70279D5-586C-4A9D-94CC-EB9551085FF4", "Link")</f>
        <v/>
      </c>
      <c r="E216" s="3" t="n">
        <v>398.854</v>
      </c>
      <c r="F216" s="4" t="n">
        <v>17</v>
      </c>
      <c r="G216" t="inlineStr">
        <is>
          <t>Ontario Tennis Association</t>
        </is>
      </c>
      <c r="H216" t="inlineStr">
        <is>
          <t>Advantage Tennis International at Veneto</t>
        </is>
      </c>
      <c r="I216" t="n">
        <v>32.8</v>
      </c>
      <c r="J216" s="4" t="n">
        <v>100</v>
      </c>
      <c r="K216" t="inlineStr">
        <is>
          <t>39 / 61</t>
        </is>
      </c>
      <c r="L216" t="inlineStr">
        <is>
          <t>9 / 12</t>
        </is>
      </c>
      <c r="M216" s="5" t="n">
        <v>0.39</v>
      </c>
      <c r="N216" s="5" t="n">
        <v>0.43</v>
      </c>
    </row>
    <row r="217">
      <c r="A217" t="n">
        <v>216</v>
      </c>
      <c r="B217" t="n">
        <v>2012</v>
      </c>
      <c r="C217" t="inlineStr">
        <is>
          <t>Victoria Perez Vargas</t>
        </is>
      </c>
      <c r="D217">
        <f>HYPERLINK("https://ota.tournamentsoftware.com/player-profile/6649B15F-628D-4ED7-81D6-AEB9036DF19A", "Link")</f>
        <v/>
      </c>
      <c r="E217" s="3" t="n">
        <v>396.088</v>
      </c>
      <c r="F217" s="4" t="n">
        <v>25</v>
      </c>
      <c r="G217" t="inlineStr">
        <is>
          <t>Tennis Québec</t>
        </is>
      </c>
      <c r="H217" t="inlineStr">
        <is>
          <t>Centre récréatif de Repentigny / Académie Tennis Momentum</t>
        </is>
      </c>
      <c r="I217" t="n">
        <v>32.4</v>
      </c>
      <c r="J217" s="4" t="n">
        <v>110</v>
      </c>
      <c r="K217" t="inlineStr">
        <is>
          <t>55 / 55</t>
        </is>
      </c>
      <c r="L217" t="inlineStr">
        <is>
          <t>30 / 18</t>
        </is>
      </c>
      <c r="M217" s="5" t="n">
        <v>0.5</v>
      </c>
      <c r="N217" s="5" t="n">
        <v>0.62</v>
      </c>
    </row>
    <row r="218">
      <c r="A218" t="n">
        <v>217</v>
      </c>
      <c r="B218" t="n">
        <v>2015</v>
      </c>
      <c r="C218" t="inlineStr">
        <is>
          <t>Danica Stamatovic</t>
        </is>
      </c>
      <c r="D218">
        <f>HYPERLINK("https://ota.tournamentsoftware.com/player-profile/3D976EDA-1737-4852-A9BF-C67ED47C73C1", "Link")</f>
        <v/>
      </c>
      <c r="E218" s="3" t="n">
        <v>395.232</v>
      </c>
      <c r="F218" s="4" t="n">
        <v>24</v>
      </c>
      <c r="G218" t="inlineStr">
        <is>
          <t>Ontario Tennis Association</t>
        </is>
      </c>
      <c r="H218" t="inlineStr">
        <is>
          <t>SmartVMC Racquetsports by ACE</t>
        </is>
      </c>
      <c r="I218" t="n">
        <v>30.8</v>
      </c>
      <c r="J218" s="4" t="n">
        <v>202</v>
      </c>
      <c r="K218" t="inlineStr">
        <is>
          <t>105 / 97</t>
        </is>
      </c>
      <c r="L218" t="inlineStr">
        <is>
          <t>38 / 18</t>
        </is>
      </c>
      <c r="M218" s="5" t="n">
        <v>0.52</v>
      </c>
      <c r="N218" s="5" t="n">
        <v>0.68</v>
      </c>
    </row>
    <row r="219">
      <c r="A219" t="n">
        <v>218</v>
      </c>
      <c r="B219" t="n">
        <v>2013</v>
      </c>
      <c r="C219" t="inlineStr">
        <is>
          <t>Élisabeth Circé</t>
        </is>
      </c>
      <c r="D219">
        <f>HYPERLINK("https://ota.tournamentsoftware.com/player-profile/6616439A-F3CD-4D57-876F-DCE4AC4B88C9", "Link")</f>
        <v/>
      </c>
      <c r="E219" s="3" t="n">
        <v>392.873</v>
      </c>
      <c r="F219" s="4" t="n">
        <v>26</v>
      </c>
      <c r="G219" t="inlineStr">
        <is>
          <t>Tennis Québec</t>
        </is>
      </c>
      <c r="H219" t="inlineStr">
        <is>
          <t>Tennis Interclub Piedmont</t>
        </is>
      </c>
      <c r="I219" t="inlineStr">
        <is>
          <t>unavailable</t>
        </is>
      </c>
      <c r="J219" s="4" t="n">
        <v>149</v>
      </c>
      <c r="K219" t="inlineStr">
        <is>
          <t>50 / 99</t>
        </is>
      </c>
      <c r="L219" t="inlineStr">
        <is>
          <t>16 / 23</t>
        </is>
      </c>
      <c r="M219" s="5" t="n">
        <v>0.34</v>
      </c>
      <c r="N219" s="5" t="n">
        <v>0.41</v>
      </c>
    </row>
    <row r="220">
      <c r="A220" t="n">
        <v>219</v>
      </c>
      <c r="B220" t="n">
        <v>2014</v>
      </c>
      <c r="C220" t="inlineStr">
        <is>
          <t>Isabella Quintero-Gonzalez</t>
        </is>
      </c>
      <c r="D220">
        <f>HYPERLINK("https://ota.tournamentsoftware.com/player-profile/7215E114-BC9E-4292-9B97-03B766DB64EA", "Link")</f>
        <v/>
      </c>
      <c r="E220" s="3" t="n">
        <v>392.276</v>
      </c>
      <c r="F220" s="4" t="n">
        <v>13</v>
      </c>
      <c r="G220" t="inlineStr">
        <is>
          <t>Tennis Nova Scotia</t>
        </is>
      </c>
      <c r="H220" t="inlineStr">
        <is>
          <t>Atlantic Tennis Centre</t>
        </is>
      </c>
      <c r="I220" t="n">
        <v>31.4</v>
      </c>
      <c r="J220" s="4" t="n">
        <v>133</v>
      </c>
      <c r="K220" t="inlineStr">
        <is>
          <t>69 / 64</t>
        </is>
      </c>
      <c r="L220" t="inlineStr">
        <is>
          <t>33 / 24</t>
        </is>
      </c>
      <c r="M220" s="5" t="n">
        <v>0.52</v>
      </c>
      <c r="N220" s="5" t="n">
        <v>0.58</v>
      </c>
    </row>
    <row r="221">
      <c r="A221" t="n">
        <v>220</v>
      </c>
      <c r="B221" t="n">
        <v>2015</v>
      </c>
      <c r="C221" t="inlineStr">
        <is>
          <t>Mila Caporusso</t>
        </is>
      </c>
      <c r="D221">
        <f>HYPERLINK("https://ota.tournamentsoftware.com/player-profile/71A1C940-3E73-49DA-929B-3B90328FC4BC", "Link")</f>
        <v/>
      </c>
      <c r="E221" s="3" t="n">
        <v>392.138</v>
      </c>
      <c r="F221" s="4" t="n">
        <v>8</v>
      </c>
      <c r="G221" t="inlineStr">
        <is>
          <t>Tennis Québec</t>
        </is>
      </c>
      <c r="H221" t="inlineStr">
        <is>
          <t>Tennis 13 / Académie Ménard et associé</t>
        </is>
      </c>
      <c r="I221" t="n">
        <v>30.7</v>
      </c>
      <c r="J221" s="4" t="n">
        <v>112</v>
      </c>
      <c r="K221" t="inlineStr">
        <is>
          <t>73 / 39</t>
        </is>
      </c>
      <c r="L221" t="inlineStr">
        <is>
          <t>11 / 11</t>
        </is>
      </c>
      <c r="M221" s="5" t="n">
        <v>0.65</v>
      </c>
      <c r="N221" s="5" t="n">
        <v>0.5</v>
      </c>
    </row>
    <row r="222">
      <c r="A222" t="n">
        <v>221</v>
      </c>
      <c r="B222" t="n">
        <v>2013</v>
      </c>
      <c r="C222" t="inlineStr">
        <is>
          <t>Ria Tamber</t>
        </is>
      </c>
      <c r="D222">
        <f>HYPERLINK("https://ota.tournamentsoftware.com/player-profile/4A086BBB-EEC2-48A4-BDDA-142D9D4A3534", "Link")</f>
        <v/>
      </c>
      <c r="E222" s="3" t="n">
        <v>391.555</v>
      </c>
      <c r="F222" s="4" t="n">
        <v>25</v>
      </c>
      <c r="G222" t="inlineStr">
        <is>
          <t>Ontario Tennis Association</t>
        </is>
      </c>
      <c r="H222" t="inlineStr">
        <is>
          <t>Premier Racquet Clubs – Mississauga</t>
        </is>
      </c>
      <c r="I222" t="inlineStr">
        <is>
          <t>unavailable</t>
        </is>
      </c>
      <c r="J222" s="4" t="n">
        <v>101</v>
      </c>
      <c r="K222" t="inlineStr">
        <is>
          <t>44 / 57</t>
        </is>
      </c>
      <c r="L222" t="inlineStr">
        <is>
          <t>17 / 17</t>
        </is>
      </c>
      <c r="M222" s="5" t="n">
        <v>0.44</v>
      </c>
      <c r="N222" s="5" t="n">
        <v>0.5</v>
      </c>
    </row>
    <row r="223">
      <c r="A223" t="n">
        <v>222</v>
      </c>
      <c r="B223" t="n">
        <v>2012</v>
      </c>
      <c r="C223" t="inlineStr">
        <is>
          <t>Aliya Star Michel</t>
        </is>
      </c>
      <c r="D223">
        <f>HYPERLINK("https://ota.tournamentsoftware.com/player-profile/B34E6AA6-2962-4DB5-93DB-BCA4DBF97316", "Link")</f>
        <v/>
      </c>
      <c r="E223" s="3" t="n">
        <v>386.865</v>
      </c>
      <c r="F223" s="4" t="n">
        <v>6</v>
      </c>
      <c r="G223" t="inlineStr">
        <is>
          <t>Tennis Québec</t>
        </is>
      </c>
      <c r="H223" t="inlineStr">
        <is>
          <t>Carrefour Multisports</t>
        </is>
      </c>
      <c r="I223" t="n">
        <v>30</v>
      </c>
      <c r="J223" s="4" t="n">
        <v>184</v>
      </c>
      <c r="K223" t="inlineStr">
        <is>
          <t>96 / 88</t>
        </is>
      </c>
      <c r="L223" t="inlineStr">
        <is>
          <t>2 / 2</t>
        </is>
      </c>
      <c r="M223" s="5" t="n">
        <v>0.52</v>
      </c>
      <c r="N223" s="5" t="n">
        <v>0.5</v>
      </c>
    </row>
    <row r="224">
      <c r="A224" t="n">
        <v>223</v>
      </c>
      <c r="B224" t="n">
        <v>2013</v>
      </c>
      <c r="C224" t="inlineStr">
        <is>
          <t>EMMA ANTONIA DOBREAN</t>
        </is>
      </c>
      <c r="D224">
        <f>HYPERLINK("https://ota.tournamentsoftware.com/player-profile/A556E1FC-8159-42C1-A5DB-35375535B6F4", "Link")</f>
        <v/>
      </c>
      <c r="E224" s="3" t="n">
        <v>386.415</v>
      </c>
      <c r="F224" s="4" t="n">
        <v>3</v>
      </c>
      <c r="G224" t="inlineStr">
        <is>
          <t>Ontario Tennis Association</t>
        </is>
      </c>
      <c r="H224" t="inlineStr">
        <is>
          <t>No Club</t>
        </is>
      </c>
      <c r="I224" t="inlineStr">
        <is>
          <t>unavailable</t>
        </is>
      </c>
      <c r="J224" s="4" t="n">
        <v>137</v>
      </c>
      <c r="K224" t="inlineStr">
        <is>
          <t>98 / 39</t>
        </is>
      </c>
      <c r="L224" t="inlineStr">
        <is>
          <t>2 / 3</t>
        </is>
      </c>
      <c r="M224" s="5" t="n">
        <v>0.72</v>
      </c>
      <c r="N224" s="5" t="n">
        <v>0.4</v>
      </c>
    </row>
    <row r="225">
      <c r="A225" t="n">
        <v>224</v>
      </c>
      <c r="B225" t="n">
        <v>2014</v>
      </c>
      <c r="C225" t="inlineStr">
        <is>
          <t>anne xie</t>
        </is>
      </c>
      <c r="D225">
        <f>HYPERLINK("https://ota.tournamentsoftware.com/player-profile/FA9126B9-8D97-4D5E-9E34-8893BB836AE1", "Link")</f>
        <v/>
      </c>
      <c r="E225" s="3" t="n">
        <v>378.598</v>
      </c>
      <c r="F225" s="4" t="n">
        <v>25</v>
      </c>
      <c r="G225" t="inlineStr">
        <is>
          <t>British Columbia</t>
        </is>
      </c>
      <c r="H225" t="inlineStr">
        <is>
          <t>North Vancouver Tennis Centre</t>
        </is>
      </c>
      <c r="I225" t="n">
        <v>29.2</v>
      </c>
      <c r="J225" s="4" t="n">
        <v>261</v>
      </c>
      <c r="K225" t="inlineStr">
        <is>
          <t>127 / 134</t>
        </is>
      </c>
      <c r="L225" t="inlineStr">
        <is>
          <t>30 / 26</t>
        </is>
      </c>
      <c r="M225" s="5" t="n">
        <v>0.49</v>
      </c>
      <c r="N225" s="5" t="n">
        <v>0.54</v>
      </c>
    </row>
    <row r="226">
      <c r="A226" t="n">
        <v>225</v>
      </c>
      <c r="B226" t="n">
        <v>2013</v>
      </c>
      <c r="C226" t="inlineStr">
        <is>
          <t>Noelle Coyne</t>
        </is>
      </c>
      <c r="D226">
        <f>HYPERLINK("https://ota.tournamentsoftware.com/player-profile/F9F10EB5-F22D-4997-85F1-78377170C70A", "Link")</f>
        <v/>
      </c>
      <c r="E226" s="3" t="n">
        <v>367.853</v>
      </c>
      <c r="F226" s="4" t="n">
        <v>26</v>
      </c>
      <c r="G226" t="inlineStr">
        <is>
          <t>Tennis Alberta</t>
        </is>
      </c>
      <c r="H226" t="inlineStr">
        <is>
          <t>Osten &amp; Victor Alberta Tennis Centre</t>
        </is>
      </c>
      <c r="I226" t="n">
        <v>31.9</v>
      </c>
      <c r="J226" s="4" t="n">
        <v>122</v>
      </c>
      <c r="K226" t="inlineStr">
        <is>
          <t>51 / 71</t>
        </is>
      </c>
      <c r="L226" t="inlineStr">
        <is>
          <t>23 / 32</t>
        </is>
      </c>
      <c r="M226" s="5" t="n">
        <v>0.42</v>
      </c>
      <c r="N226" s="5" t="n">
        <v>0.42</v>
      </c>
    </row>
    <row r="227">
      <c r="A227" t="n">
        <v>226</v>
      </c>
      <c r="B227" t="n">
        <v>2013</v>
      </c>
      <c r="C227" t="inlineStr">
        <is>
          <t>Mary Grace MacDonnell Doak</t>
        </is>
      </c>
      <c r="D227">
        <f>HYPERLINK("https://ota.tournamentsoftware.com/player-profile/7E3C3388-CB92-4FE9-B0C8-FE6415D966E4", "Link")</f>
        <v/>
      </c>
      <c r="E227" s="3" t="n">
        <v>366.079</v>
      </c>
      <c r="F227" s="4" t="n">
        <v>17</v>
      </c>
      <c r="G227" t="inlineStr">
        <is>
          <t>Ontario Tennis Association</t>
        </is>
      </c>
      <c r="H227" t="inlineStr">
        <is>
          <t>St. James Tennis Club</t>
        </is>
      </c>
      <c r="I227" t="n">
        <v>36.3</v>
      </c>
      <c r="J227" s="4" t="n">
        <v>146</v>
      </c>
      <c r="K227" t="inlineStr">
        <is>
          <t>69 / 77</t>
        </is>
      </c>
      <c r="L227" t="inlineStr">
        <is>
          <t>5 / 15</t>
        </is>
      </c>
      <c r="M227" s="5" t="n">
        <v>0.47</v>
      </c>
      <c r="N227" s="5" t="n">
        <v>0.25</v>
      </c>
    </row>
    <row r="228">
      <c r="A228" t="n">
        <v>227</v>
      </c>
      <c r="B228" t="n">
        <v>2012</v>
      </c>
      <c r="C228" t="inlineStr">
        <is>
          <t>Naomi Brown</t>
        </is>
      </c>
      <c r="D228">
        <f>HYPERLINK("https://ota.tournamentsoftware.com/player-profile/3302BB60-F05F-49BC-8E90-BE5B9A063576", "Link")</f>
        <v/>
      </c>
      <c r="E228" s="3" t="n">
        <v>349.554</v>
      </c>
      <c r="F228" s="4" t="n">
        <v>10</v>
      </c>
      <c r="G228" t="inlineStr">
        <is>
          <t>Ontario Tennis Association</t>
        </is>
      </c>
      <c r="H228" t="inlineStr">
        <is>
          <t>No Club</t>
        </is>
      </c>
      <c r="I228" t="inlineStr">
        <is>
          <t>unavailable</t>
        </is>
      </c>
      <c r="J228" s="4" t="n">
        <v>85</v>
      </c>
      <c r="K228" t="inlineStr">
        <is>
          <t>38 / 47</t>
        </is>
      </c>
      <c r="L228" t="inlineStr">
        <is>
          <t>10 / 9</t>
        </is>
      </c>
      <c r="M228" s="5" t="n">
        <v>0.45</v>
      </c>
      <c r="N228" s="5" t="n">
        <v>0.53</v>
      </c>
    </row>
    <row r="229">
      <c r="A229" t="n">
        <v>228</v>
      </c>
      <c r="B229" t="n">
        <v>2014</v>
      </c>
      <c r="C229" t="inlineStr">
        <is>
          <t>Hailey Zhou</t>
        </is>
      </c>
      <c r="D229">
        <f>HYPERLINK("https://ota.tournamentsoftware.com/player-profile/3046278B-E91E-4DE6-B598-5CD7D202AA49", "Link")</f>
        <v/>
      </c>
      <c r="E229" s="3" t="n">
        <v>344.77</v>
      </c>
      <c r="F229" s="4" t="n">
        <v>38</v>
      </c>
      <c r="G229" t="inlineStr">
        <is>
          <t>Ontario Tennis Association</t>
        </is>
      </c>
      <c r="H229" t="inlineStr">
        <is>
          <t>Advantage Tennis International at Veneto</t>
        </is>
      </c>
      <c r="I229" t="n">
        <v>33.6</v>
      </c>
      <c r="J229" s="4" t="n">
        <v>89</v>
      </c>
      <c r="K229" t="inlineStr">
        <is>
          <t>44 / 45</t>
        </is>
      </c>
      <c r="L229" t="inlineStr">
        <is>
          <t>34 / 33</t>
        </is>
      </c>
      <c r="M229" s="5" t="n">
        <v>0.49</v>
      </c>
      <c r="N229" s="5" t="n">
        <v>0.51</v>
      </c>
    </row>
    <row r="230">
      <c r="A230" t="n">
        <v>229</v>
      </c>
      <c r="B230" t="n">
        <v>2012</v>
      </c>
      <c r="C230" t="inlineStr">
        <is>
          <t>Sneha Sahiba Bhatti</t>
        </is>
      </c>
      <c r="D230">
        <f>HYPERLINK("https://ota.tournamentsoftware.com/player-profile/16EA0E7B-0025-4333-9A2A-28395C436A40", "Link")</f>
        <v/>
      </c>
      <c r="E230" s="3" t="n">
        <v>343.767</v>
      </c>
      <c r="F230" s="4" t="n">
        <v>17</v>
      </c>
      <c r="G230" t="inlineStr">
        <is>
          <t>British Columbia</t>
        </is>
      </c>
      <c r="H230" t="inlineStr">
        <is>
          <t>Coquitlam Tennis Club</t>
        </is>
      </c>
      <c r="I230" t="n">
        <v>30.3</v>
      </c>
      <c r="J230" s="4" t="n">
        <v>188</v>
      </c>
      <c r="K230" t="inlineStr">
        <is>
          <t>93 / 95</t>
        </is>
      </c>
      <c r="L230" t="inlineStr">
        <is>
          <t>15 / 21</t>
        </is>
      </c>
      <c r="M230" s="5" t="n">
        <v>0.49</v>
      </c>
      <c r="N230" s="5" t="n">
        <v>0.42</v>
      </c>
    </row>
    <row r="231">
      <c r="A231" t="n">
        <v>230</v>
      </c>
      <c r="B231" t="n">
        <v>2015</v>
      </c>
      <c r="C231" t="inlineStr">
        <is>
          <t>Clara Fanoos</t>
        </is>
      </c>
      <c r="D231">
        <f>HYPERLINK("https://ota.tournamentsoftware.com/player-profile/4AE431B3-C9E6-49D8-8003-48666B13F94B", "Link")</f>
        <v/>
      </c>
      <c r="E231" s="3" t="n">
        <v>342.309</v>
      </c>
      <c r="F231" s="4" t="n">
        <v>21</v>
      </c>
      <c r="G231" t="inlineStr">
        <is>
          <t>Tennis Québec</t>
        </is>
      </c>
      <c r="H231" t="inlineStr">
        <is>
          <t>Rouge et Or - Université Laval</t>
        </is>
      </c>
      <c r="I231" t="n">
        <v>30.6</v>
      </c>
      <c r="J231" s="4" t="n">
        <v>197</v>
      </c>
      <c r="K231" t="inlineStr">
        <is>
          <t>121 / 76</t>
        </is>
      </c>
      <c r="L231" t="inlineStr">
        <is>
          <t>33 / 20</t>
        </is>
      </c>
      <c r="M231" s="5" t="n">
        <v>0.61</v>
      </c>
      <c r="N231" s="5" t="n">
        <v>0.62</v>
      </c>
    </row>
    <row r="232">
      <c r="A232" t="n">
        <v>231</v>
      </c>
      <c r="B232" t="n">
        <v>2012</v>
      </c>
      <c r="C232" t="inlineStr">
        <is>
          <t>Ariyana Usharah Mahanandan</t>
        </is>
      </c>
      <c r="D232">
        <f>HYPERLINK("https://ota.tournamentsoftware.com/player-profile/FE0B9224-EA2B-4B60-AB52-7A0A2ACA90DA", "Link")</f>
        <v/>
      </c>
      <c r="E232" s="3" t="n">
        <v>340.822</v>
      </c>
      <c r="F232" s="4" t="n">
        <v>22</v>
      </c>
      <c r="G232" t="inlineStr">
        <is>
          <t>Ontario Tennis Association</t>
        </is>
      </c>
      <c r="H232" t="inlineStr">
        <is>
          <t>Premier Racquet Clubs – Mississauga</t>
        </is>
      </c>
      <c r="I232" t="inlineStr">
        <is>
          <t>unavailable</t>
        </is>
      </c>
      <c r="J232" s="4" t="n">
        <v>139</v>
      </c>
      <c r="K232" t="inlineStr">
        <is>
          <t>59 / 80</t>
        </is>
      </c>
      <c r="L232" t="inlineStr">
        <is>
          <t>13 / 22</t>
        </is>
      </c>
      <c r="M232" s="5" t="n">
        <v>0.42</v>
      </c>
      <c r="N232" s="5" t="n">
        <v>0.37</v>
      </c>
    </row>
    <row r="233">
      <c r="A233" t="n">
        <v>232</v>
      </c>
      <c r="B233" t="n">
        <v>2012</v>
      </c>
      <c r="C233" t="inlineStr">
        <is>
          <t>Anne-Frédérique Jacob</t>
        </is>
      </c>
      <c r="D233">
        <f>HYPERLINK("https://ota.tournamentsoftware.com/player-profile/6FDF9E24-9EF2-40B8-AA29-4E8DB70822F9", "Link")</f>
        <v/>
      </c>
      <c r="E233" s="3" t="n">
        <v>339.237</v>
      </c>
      <c r="F233" s="4" t="n">
        <v>15</v>
      </c>
      <c r="G233" t="inlineStr">
        <is>
          <t>Tennis Québec</t>
        </is>
      </c>
      <c r="H233" t="inlineStr">
        <is>
          <t>SANI Sport</t>
        </is>
      </c>
      <c r="I233" t="n">
        <v>30.4</v>
      </c>
      <c r="J233" s="4" t="n">
        <v>147</v>
      </c>
      <c r="K233" t="inlineStr">
        <is>
          <t>73 / 74</t>
        </is>
      </c>
      <c r="L233" t="inlineStr">
        <is>
          <t>5 / 11</t>
        </is>
      </c>
      <c r="M233" s="5" t="n">
        <v>0.5</v>
      </c>
      <c r="N233" s="5" t="n">
        <v>0.31</v>
      </c>
    </row>
    <row r="234">
      <c r="A234" t="n">
        <v>233</v>
      </c>
      <c r="B234" t="n">
        <v>2014</v>
      </c>
      <c r="C234" t="inlineStr">
        <is>
          <t>Isabelle Prusinkiewicz</t>
        </is>
      </c>
      <c r="D234">
        <f>HYPERLINK("https://ota.tournamentsoftware.com/player-profile/15F8CE0F-EF62-4029-B13B-F131581B8B29", "Link")</f>
        <v/>
      </c>
      <c r="E234" s="3" t="n">
        <v>338.545</v>
      </c>
      <c r="F234" s="4" t="n">
        <v>24</v>
      </c>
      <c r="G234" t="inlineStr">
        <is>
          <t>Tennis Alberta</t>
        </is>
      </c>
      <c r="H234" t="inlineStr">
        <is>
          <t>Aforza</t>
        </is>
      </c>
      <c r="I234" t="n">
        <v>32.1</v>
      </c>
      <c r="J234" s="4" t="n">
        <v>178</v>
      </c>
      <c r="K234" t="inlineStr">
        <is>
          <t>102 / 76</t>
        </is>
      </c>
      <c r="L234" t="inlineStr">
        <is>
          <t>30 / 20</t>
        </is>
      </c>
      <c r="M234" s="5" t="n">
        <v>0.57</v>
      </c>
      <c r="N234" s="5" t="n">
        <v>0.6</v>
      </c>
    </row>
    <row r="235">
      <c r="A235" t="n">
        <v>234</v>
      </c>
      <c r="B235" t="n">
        <v>2015</v>
      </c>
      <c r="C235" t="inlineStr">
        <is>
          <t>Mia Louise LADEWIG</t>
        </is>
      </c>
      <c r="D235">
        <f>HYPERLINK("https://ota.tournamentsoftware.com/player-profile/25055713-74C7-482D-8A9B-00D94FB7068B", "Link")</f>
        <v/>
      </c>
      <c r="E235" s="3" t="n">
        <v>337.743</v>
      </c>
      <c r="F235" s="4" t="n">
        <v>22</v>
      </c>
      <c r="G235" t="inlineStr">
        <is>
          <t>British Columbia</t>
        </is>
      </c>
      <c r="H235" t="inlineStr">
        <is>
          <t>North Vancouver Tennis Centre</t>
        </is>
      </c>
      <c r="I235" t="n">
        <v>29.3</v>
      </c>
      <c r="J235" s="4" t="n">
        <v>228</v>
      </c>
      <c r="K235" t="inlineStr">
        <is>
          <t>145 / 83</t>
        </is>
      </c>
      <c r="L235" t="inlineStr">
        <is>
          <t>35 / 21</t>
        </is>
      </c>
      <c r="M235" s="5" t="n">
        <v>0.64</v>
      </c>
      <c r="N235" s="5" t="n">
        <v>0.62</v>
      </c>
    </row>
    <row r="236">
      <c r="A236" t="n">
        <v>235</v>
      </c>
      <c r="B236" t="n">
        <v>2013</v>
      </c>
      <c r="C236" t="inlineStr">
        <is>
          <t>Jessica Rosemary Hill</t>
        </is>
      </c>
      <c r="D236">
        <f>HYPERLINK("https://ota.tournamentsoftware.com/player-profile/9F68BF9A-4FFA-4754-8023-C9F4ABCF0003", "Link")</f>
        <v/>
      </c>
      <c r="E236" s="3" t="n">
        <v>336.999</v>
      </c>
      <c r="F236" s="4" t="n">
        <v>21</v>
      </c>
      <c r="G236" t="inlineStr">
        <is>
          <t>British Columbia</t>
        </is>
      </c>
      <c r="H236" t="inlineStr">
        <is>
          <t>Vancouver International Tennis Academy</t>
        </is>
      </c>
      <c r="I236" t="n">
        <v>30.6</v>
      </c>
      <c r="J236" s="4" t="n">
        <v>167</v>
      </c>
      <c r="K236" t="inlineStr">
        <is>
          <t>93 / 74</t>
        </is>
      </c>
      <c r="L236" t="inlineStr">
        <is>
          <t>23 / 19</t>
        </is>
      </c>
      <c r="M236" s="5" t="n">
        <v>0.5600000000000001</v>
      </c>
      <c r="N236" s="5" t="n">
        <v>0.55</v>
      </c>
    </row>
    <row r="237">
      <c r="A237" t="n">
        <v>236</v>
      </c>
      <c r="B237" t="n">
        <v>2013</v>
      </c>
      <c r="C237" t="inlineStr">
        <is>
          <t>Alina Luo</t>
        </is>
      </c>
      <c r="D237">
        <f>HYPERLINK("https://ota.tournamentsoftware.com/player-profile/848C25E0-4CBB-4051-8AB5-C8460313D4A3", "Link")</f>
        <v/>
      </c>
      <c r="E237" s="3" t="n">
        <v>336.847</v>
      </c>
      <c r="F237" s="4" t="n">
        <v>22</v>
      </c>
      <c r="G237" t="inlineStr">
        <is>
          <t>Tennis Québec</t>
        </is>
      </c>
      <c r="H237" t="inlineStr">
        <is>
          <t>SANI Sport</t>
        </is>
      </c>
      <c r="I237" t="n">
        <v>32.5</v>
      </c>
      <c r="J237" s="4" t="n">
        <v>219</v>
      </c>
      <c r="K237" t="inlineStr">
        <is>
          <t>105 / 114</t>
        </is>
      </c>
      <c r="L237" t="inlineStr">
        <is>
          <t>5 / 17</t>
        </is>
      </c>
      <c r="M237" s="5" t="n">
        <v>0.48</v>
      </c>
      <c r="N237" s="5" t="n">
        <v>0.23</v>
      </c>
    </row>
    <row r="238">
      <c r="A238" t="n">
        <v>237</v>
      </c>
      <c r="B238" t="n">
        <v>2014</v>
      </c>
      <c r="C238" t="inlineStr">
        <is>
          <t>Eva Paquette</t>
        </is>
      </c>
      <c r="D238">
        <f>HYPERLINK("https://ota.tournamentsoftware.com/player-profile/631BF8EC-5FD6-41F7-A4BC-1B4980693D40", "Link")</f>
        <v/>
      </c>
      <c r="E238" s="3" t="n">
        <v>336.645</v>
      </c>
      <c r="F238" s="4" t="n">
        <v>32</v>
      </c>
      <c r="G238" t="inlineStr">
        <is>
          <t>Tennis Québec</t>
        </is>
      </c>
      <c r="H238" t="inlineStr">
        <is>
          <t>Club Sportif Côte-de-Liesse</t>
        </is>
      </c>
      <c r="I238" t="n">
        <v>32.2</v>
      </c>
      <c r="J238" s="4" t="n">
        <v>208</v>
      </c>
      <c r="K238" t="inlineStr">
        <is>
          <t>105 / 103</t>
        </is>
      </c>
      <c r="L238" t="inlineStr">
        <is>
          <t>41 / 28</t>
        </is>
      </c>
      <c r="M238" s="5" t="n">
        <v>0.5</v>
      </c>
      <c r="N238" s="5" t="n">
        <v>0.59</v>
      </c>
    </row>
    <row r="239">
      <c r="A239" t="n">
        <v>238</v>
      </c>
      <c r="B239" t="n">
        <v>2013</v>
      </c>
      <c r="C239" t="inlineStr">
        <is>
          <t>Anastazia De Lain</t>
        </is>
      </c>
      <c r="D239">
        <f>HYPERLINK("https://ota.tournamentsoftware.com/player-profile/BEE8D838-8464-4CCF-9268-D0D58F108999", "Link")</f>
        <v/>
      </c>
      <c r="E239" s="3" t="n">
        <v>335.359</v>
      </c>
      <c r="F239" s="4" t="n">
        <v>21</v>
      </c>
      <c r="G239" t="inlineStr">
        <is>
          <t>Tennis Québec</t>
        </is>
      </c>
      <c r="H239" t="inlineStr">
        <is>
          <t>EB Tennis inc.</t>
        </is>
      </c>
      <c r="I239" t="n">
        <v>36.6</v>
      </c>
      <c r="J239" s="4" t="n">
        <v>174</v>
      </c>
      <c r="K239" t="inlineStr">
        <is>
          <t>37 / 137</t>
        </is>
      </c>
      <c r="L239" t="inlineStr">
        <is>
          <t>4 / 23</t>
        </is>
      </c>
      <c r="M239" s="5" t="n">
        <v>0.21</v>
      </c>
      <c r="N239" s="5" t="n">
        <v>0.15</v>
      </c>
    </row>
    <row r="240">
      <c r="A240" t="n">
        <v>239</v>
      </c>
      <c r="B240" t="n">
        <v>2013</v>
      </c>
      <c r="C240" t="inlineStr">
        <is>
          <t>Kmar ELHOUIJ</t>
        </is>
      </c>
      <c r="D240">
        <f>HYPERLINK("https://ota.tournamentsoftware.com/player-profile/D690466C-B3D9-45B2-B453-BA40F436A5C1", "Link")</f>
        <v/>
      </c>
      <c r="E240" s="3" t="n">
        <v>335.176</v>
      </c>
      <c r="F240" s="4" t="n">
        <v>4</v>
      </c>
      <c r="G240" t="inlineStr">
        <is>
          <t>Tennis New Brunswick</t>
        </is>
      </c>
      <c r="H240" t="inlineStr">
        <is>
          <t>No Club</t>
        </is>
      </c>
      <c r="I240" t="n">
        <v>28.4</v>
      </c>
      <c r="J240" s="4" t="n">
        <v>42</v>
      </c>
      <c r="K240" t="inlineStr">
        <is>
          <t>30 / 12</t>
        </is>
      </c>
      <c r="L240" t="inlineStr">
        <is>
          <t>19 / 9</t>
        </is>
      </c>
      <c r="M240" s="5" t="n">
        <v>0.71</v>
      </c>
      <c r="N240" s="5" t="n">
        <v>0.68</v>
      </c>
    </row>
    <row r="241">
      <c r="A241" t="n">
        <v>240</v>
      </c>
      <c r="B241" t="n">
        <v>2014</v>
      </c>
      <c r="C241" t="inlineStr">
        <is>
          <t>Alaia Grace Serravalle</t>
        </is>
      </c>
      <c r="D241">
        <f>HYPERLINK("https://ota.tournamentsoftware.com/player-profile/EDBCEC0C-45DE-4DFD-B17A-C176B306FC97", "Link")</f>
        <v/>
      </c>
      <c r="E241" s="3" t="n">
        <v>333.24</v>
      </c>
      <c r="F241" s="4" t="n">
        <v>24</v>
      </c>
      <c r="G241" t="inlineStr">
        <is>
          <t>Ontario Tennis Association</t>
        </is>
      </c>
      <c r="H241" t="inlineStr">
        <is>
          <t>Youngs Sportsplex</t>
        </is>
      </c>
      <c r="I241" t="n">
        <v>32.5</v>
      </c>
      <c r="J241" s="4" t="n">
        <v>63</v>
      </c>
      <c r="K241" t="inlineStr">
        <is>
          <t>35 / 28</t>
        </is>
      </c>
      <c r="L241" t="inlineStr">
        <is>
          <t>23 / 19</t>
        </is>
      </c>
      <c r="M241" s="5" t="n">
        <v>0.5600000000000001</v>
      </c>
      <c r="N241" s="5" t="n">
        <v>0.55</v>
      </c>
    </row>
    <row r="242">
      <c r="A242" t="n">
        <v>241</v>
      </c>
      <c r="B242" t="n">
        <v>2012</v>
      </c>
      <c r="C242" t="inlineStr">
        <is>
          <t>Yunia Bartha</t>
        </is>
      </c>
      <c r="D242">
        <f>HYPERLINK("https://ota.tournamentsoftware.com/player-profile/3A2980C0-C922-4870-A2B4-18E74AC903C2", "Link")</f>
        <v/>
      </c>
      <c r="E242" s="3" t="n">
        <v>332.284</v>
      </c>
      <c r="F242" s="4" t="n">
        <v>25</v>
      </c>
      <c r="G242" t="inlineStr">
        <is>
          <t>Tennis Québec</t>
        </is>
      </c>
      <c r="H242" t="inlineStr">
        <is>
          <t>Club Sportif Côte-de-Liesse</t>
        </is>
      </c>
      <c r="I242" t="n">
        <v>32.7</v>
      </c>
      <c r="J242" s="4" t="n">
        <v>142</v>
      </c>
      <c r="K242" t="inlineStr">
        <is>
          <t>56 / 86</t>
        </is>
      </c>
      <c r="L242" t="inlineStr">
        <is>
          <t>12 / 22</t>
        </is>
      </c>
      <c r="M242" s="5" t="n">
        <v>0.39</v>
      </c>
      <c r="N242" s="5" t="n">
        <v>0.35</v>
      </c>
    </row>
    <row r="243">
      <c r="A243" t="n">
        <v>242</v>
      </c>
      <c r="B243" t="n">
        <v>2013</v>
      </c>
      <c r="C243" t="inlineStr">
        <is>
          <t>Aicha Ben Ali</t>
        </is>
      </c>
      <c r="D243">
        <f>HYPERLINK("https://ota.tournamentsoftware.com/player-profile/87F8F2BE-10FE-41D7-8382-85524C1D5D23", "Link")</f>
        <v/>
      </c>
      <c r="E243" s="3" t="n">
        <v>330.988</v>
      </c>
      <c r="F243" s="4" t="n">
        <v>9</v>
      </c>
      <c r="G243" t="inlineStr">
        <is>
          <t>Tennis Saskatchewan</t>
        </is>
      </c>
      <c r="H243" t="inlineStr">
        <is>
          <t>Lakeshore Tennis Club</t>
        </is>
      </c>
      <c r="I243" t="inlineStr">
        <is>
          <t>unavailable</t>
        </is>
      </c>
      <c r="J243" s="4" t="n">
        <v>31</v>
      </c>
      <c r="K243" t="inlineStr">
        <is>
          <t>4 / 27</t>
        </is>
      </c>
      <c r="L243" t="inlineStr">
        <is>
          <t>4 / 23</t>
        </is>
      </c>
      <c r="M243" s="5" t="n">
        <v>0.13</v>
      </c>
      <c r="N243" s="5" t="n">
        <v>0.15</v>
      </c>
    </row>
    <row r="244">
      <c r="A244" t="n">
        <v>243</v>
      </c>
      <c r="B244" t="n">
        <v>2014</v>
      </c>
      <c r="C244" t="inlineStr">
        <is>
          <t>Vrishti Gehlot</t>
        </is>
      </c>
      <c r="D244">
        <f>HYPERLINK("https://ota.tournamentsoftware.com/player-profile/8D59FB71-FC68-41E0-B69F-920C29B60AD3", "Link")</f>
        <v/>
      </c>
      <c r="E244" s="3" t="n">
        <v>322.528</v>
      </c>
      <c r="F244" s="4" t="n">
        <v>26</v>
      </c>
      <c r="G244" t="inlineStr">
        <is>
          <t>Ontario Tennis Association</t>
        </is>
      </c>
      <c r="H244" t="inlineStr">
        <is>
          <t>Premier Racquet Clubs – Mississauga</t>
        </is>
      </c>
      <c r="I244" t="n">
        <v>33</v>
      </c>
      <c r="J244" s="4" t="n">
        <v>161</v>
      </c>
      <c r="K244" t="inlineStr">
        <is>
          <t>81 / 80</t>
        </is>
      </c>
      <c r="L244" t="inlineStr">
        <is>
          <t>33 / 21</t>
        </is>
      </c>
      <c r="M244" s="5" t="n">
        <v>0.5</v>
      </c>
      <c r="N244" s="5" t="n">
        <v>0.61</v>
      </c>
    </row>
    <row r="245">
      <c r="A245" t="n">
        <v>244</v>
      </c>
      <c r="B245" t="n">
        <v>2015</v>
      </c>
      <c r="C245" t="inlineStr">
        <is>
          <t>Josephine Yitong Wu</t>
        </is>
      </c>
      <c r="D245">
        <f>HYPERLINK("https://ota.tournamentsoftware.com/player-profile/1DF0BC06-9057-4469-9CEF-A9B5D864D9C9", "Link")</f>
        <v/>
      </c>
      <c r="E245" s="3" t="n">
        <v>321.68</v>
      </c>
      <c r="F245" s="4" t="n">
        <v>19</v>
      </c>
      <c r="G245" t="inlineStr">
        <is>
          <t>British Columbia</t>
        </is>
      </c>
      <c r="H245" t="inlineStr">
        <is>
          <t>North Vancouver Tennis Centre</t>
        </is>
      </c>
      <c r="I245" t="n">
        <v>29.1</v>
      </c>
      <c r="J245" s="4" t="n">
        <v>169</v>
      </c>
      <c r="K245" t="inlineStr">
        <is>
          <t>100 / 69</t>
        </is>
      </c>
      <c r="L245" t="inlineStr">
        <is>
          <t>23 / 13</t>
        </is>
      </c>
      <c r="M245" s="5" t="n">
        <v>0.59</v>
      </c>
      <c r="N245" s="5" t="n">
        <v>0.64</v>
      </c>
    </row>
    <row r="246">
      <c r="A246" t="n">
        <v>245</v>
      </c>
      <c r="B246" t="n">
        <v>2012</v>
      </c>
      <c r="C246" t="inlineStr">
        <is>
          <t>Abby Jean Tobac</t>
        </is>
      </c>
      <c r="D246">
        <f>HYPERLINK("https://ota.tournamentsoftware.com/player-profile/CDFDF0FB-A147-4D3C-BF4D-24E115B9EC1A", "Link")</f>
        <v/>
      </c>
      <c r="E246" s="3" t="n">
        <v>318.528</v>
      </c>
      <c r="F246" s="4" t="n">
        <v>6</v>
      </c>
      <c r="G246" t="inlineStr">
        <is>
          <t>Tennis Manitoba</t>
        </is>
      </c>
      <c r="H246" t="inlineStr">
        <is>
          <t>Taylor Tennis</t>
        </is>
      </c>
      <c r="I246" t="n">
        <v>35.1</v>
      </c>
      <c r="J246" s="4" t="n">
        <v>49</v>
      </c>
      <c r="K246" t="inlineStr">
        <is>
          <t>14 / 35</t>
        </is>
      </c>
      <c r="L246" t="inlineStr">
        <is>
          <t>2 / 9</t>
        </is>
      </c>
      <c r="M246" s="5" t="n">
        <v>0.29</v>
      </c>
      <c r="N246" s="5" t="n">
        <v>0.18</v>
      </c>
    </row>
    <row r="247">
      <c r="A247" t="n">
        <v>246</v>
      </c>
      <c r="B247" t="n">
        <v>2012</v>
      </c>
      <c r="C247" t="inlineStr">
        <is>
          <t>Eva Brisson</t>
        </is>
      </c>
      <c r="D247">
        <f>HYPERLINK("https://ota.tournamentsoftware.com/player-profile/BC349487-CEB9-4CB8-ABCF-1006DD0F69AA", "Link")</f>
        <v/>
      </c>
      <c r="E247" s="3" t="n">
        <v>313.816</v>
      </c>
      <c r="F247" s="4" t="n">
        <v>24</v>
      </c>
      <c r="G247" t="inlineStr">
        <is>
          <t>Tennis Québec</t>
        </is>
      </c>
      <c r="H247" t="inlineStr">
        <is>
          <t>Club Sportif Côte-de-Liesse</t>
        </is>
      </c>
      <c r="I247" t="n">
        <v>31.1</v>
      </c>
      <c r="J247" s="4" t="n">
        <v>150</v>
      </c>
      <c r="K247" t="inlineStr">
        <is>
          <t>63 / 87</t>
        </is>
      </c>
      <c r="L247" t="inlineStr">
        <is>
          <t>17 / 19</t>
        </is>
      </c>
      <c r="M247" s="5" t="n">
        <v>0.42</v>
      </c>
      <c r="N247" s="5" t="n">
        <v>0.47</v>
      </c>
    </row>
    <row r="248">
      <c r="A248" t="n">
        <v>247</v>
      </c>
      <c r="B248" t="n">
        <v>2012</v>
      </c>
      <c r="C248" t="inlineStr">
        <is>
          <t>helena Khorsid-G-Mahdi</t>
        </is>
      </c>
      <c r="D248">
        <f>HYPERLINK("https://ota.tournamentsoftware.com/player-profile/D9FB3068-A1A7-4F96-B728-095D292B805C", "Link")</f>
        <v/>
      </c>
      <c r="E248" s="3" t="n">
        <v>312.56</v>
      </c>
      <c r="F248" s="4" t="n">
        <v>22</v>
      </c>
      <c r="G248" t="inlineStr">
        <is>
          <t>Ontario Tennis Association</t>
        </is>
      </c>
      <c r="H248" t="inlineStr">
        <is>
          <t>Cottingham Tennis Club</t>
        </is>
      </c>
      <c r="I248" t="inlineStr">
        <is>
          <t>unavailable</t>
        </is>
      </c>
      <c r="J248" s="4" t="n">
        <v>56</v>
      </c>
      <c r="K248" t="inlineStr">
        <is>
          <t>33 / 23</t>
        </is>
      </c>
      <c r="L248" t="inlineStr">
        <is>
          <t>19 / 16</t>
        </is>
      </c>
      <c r="M248" s="5" t="n">
        <v>0.59</v>
      </c>
      <c r="N248" s="5" t="n">
        <v>0.54</v>
      </c>
    </row>
    <row r="249">
      <c r="A249" t="n">
        <v>248</v>
      </c>
      <c r="B249" t="n">
        <v>2013</v>
      </c>
      <c r="C249" t="inlineStr">
        <is>
          <t>Katelyn Zhao</t>
        </is>
      </c>
      <c r="D249">
        <f>HYPERLINK("https://ota.tournamentsoftware.com/player-profile/C6305E19-1670-4857-9967-0344F0C8AB1D", "Link")</f>
        <v/>
      </c>
      <c r="E249" s="3" t="n">
        <v>312.472</v>
      </c>
      <c r="F249" s="4" t="n">
        <v>26</v>
      </c>
      <c r="G249" t="inlineStr">
        <is>
          <t>Ontario Tennis Association</t>
        </is>
      </c>
      <c r="H249" t="inlineStr">
        <is>
          <t>Premier Racquet Club - Markham</t>
        </is>
      </c>
      <c r="I249" t="n">
        <v>33.5</v>
      </c>
      <c r="J249" s="4" t="n">
        <v>101</v>
      </c>
      <c r="K249" t="inlineStr">
        <is>
          <t>52 / 49</t>
        </is>
      </c>
      <c r="L249" t="inlineStr">
        <is>
          <t>20 / 23</t>
        </is>
      </c>
      <c r="M249" s="5" t="n">
        <v>0.51</v>
      </c>
      <c r="N249" s="5" t="n">
        <v>0.47</v>
      </c>
    </row>
    <row r="250">
      <c r="A250" t="n">
        <v>249</v>
      </c>
      <c r="B250" t="n">
        <v>2012</v>
      </c>
      <c r="C250" t="inlineStr">
        <is>
          <t>Camie Wang</t>
        </is>
      </c>
      <c r="D250">
        <f>HYPERLINK("https://ota.tournamentsoftware.com/player-profile/5CE5CCC5-E821-48EF-86C9-6973D97D1F92", "Link")</f>
        <v/>
      </c>
      <c r="E250" s="3" t="n">
        <v>311.911</v>
      </c>
      <c r="F250" s="4" t="n">
        <v>16</v>
      </c>
      <c r="G250" t="inlineStr">
        <is>
          <t>Tennis Alberta</t>
        </is>
      </c>
      <c r="H250" t="inlineStr">
        <is>
          <t>Osten &amp; Victor Alberta Tennis Centre</t>
        </is>
      </c>
      <c r="I250" t="n">
        <v>28</v>
      </c>
      <c r="J250" s="4" t="n">
        <v>115</v>
      </c>
      <c r="K250" t="inlineStr">
        <is>
          <t>61 / 54</t>
        </is>
      </c>
      <c r="L250" t="inlineStr">
        <is>
          <t>20 / 19</t>
        </is>
      </c>
      <c r="M250" s="5" t="n">
        <v>0.53</v>
      </c>
      <c r="N250" s="5" t="n">
        <v>0.51</v>
      </c>
    </row>
    <row r="251">
      <c r="A251" t="n">
        <v>250</v>
      </c>
      <c r="B251" t="n">
        <v>2012</v>
      </c>
      <c r="C251" t="inlineStr">
        <is>
          <t>Daisy Tingru Wang</t>
        </is>
      </c>
      <c r="D251">
        <f>HYPERLINK("https://ota.tournamentsoftware.com/player-profile/40DA5F9F-8E70-4030-A0ED-A54E3D8832D2", "Link")</f>
        <v/>
      </c>
      <c r="E251" s="3" t="n">
        <v>310.853</v>
      </c>
      <c r="F251" s="4" t="n">
        <v>8</v>
      </c>
      <c r="G251" t="inlineStr">
        <is>
          <t>Tennis Nova Scotia</t>
        </is>
      </c>
      <c r="H251" t="inlineStr">
        <is>
          <t>HEADSTART</t>
        </is>
      </c>
      <c r="I251" t="n">
        <v>36.1</v>
      </c>
      <c r="J251" s="4" t="n">
        <v>42</v>
      </c>
      <c r="K251" t="inlineStr">
        <is>
          <t>9 / 33</t>
        </is>
      </c>
      <c r="L251" t="inlineStr">
        <is>
          <t>6 / 23</t>
        </is>
      </c>
      <c r="M251" s="5" t="n">
        <v>0.21</v>
      </c>
      <c r="N251" s="5" t="n">
        <v>0.21</v>
      </c>
    </row>
    <row r="252">
      <c r="A252" t="n">
        <v>251</v>
      </c>
      <c r="B252" t="n">
        <v>2013</v>
      </c>
      <c r="C252" t="inlineStr">
        <is>
          <t>Lily Gaumond-Boivin</t>
        </is>
      </c>
      <c r="D252">
        <f>HYPERLINK("https://ota.tournamentsoftware.com/player-profile/98461C64-ECF9-40D8-849E-C8999A9F9BA1", "Link")</f>
        <v/>
      </c>
      <c r="E252" s="3" t="n">
        <v>310.601</v>
      </c>
      <c r="F252" s="4" t="n">
        <v>21</v>
      </c>
      <c r="G252" t="inlineStr">
        <is>
          <t>Tennis Québec</t>
        </is>
      </c>
      <c r="H252" t="inlineStr">
        <is>
          <t>Club Avantage Multi-sports / Académie de tennis Hérisset Bordeleau</t>
        </is>
      </c>
      <c r="I252" t="inlineStr">
        <is>
          <t>unavailable</t>
        </is>
      </c>
      <c r="J252" s="4" t="n">
        <v>128</v>
      </c>
      <c r="K252" t="inlineStr">
        <is>
          <t>62 / 66</t>
        </is>
      </c>
      <c r="L252" t="inlineStr">
        <is>
          <t>12 / 17</t>
        </is>
      </c>
      <c r="M252" s="5" t="n">
        <v>0.48</v>
      </c>
      <c r="N252" s="5" t="n">
        <v>0.41</v>
      </c>
    </row>
    <row r="253">
      <c r="A253" t="n">
        <v>252</v>
      </c>
      <c r="B253" t="n">
        <v>2013</v>
      </c>
      <c r="C253" t="inlineStr">
        <is>
          <t>Keona Asogwa</t>
        </is>
      </c>
      <c r="D253">
        <f>HYPERLINK("https://ota.tournamentsoftware.com/player-profile/1F426AE8-5B0F-4535-AD10-450570C37073", "Link")</f>
        <v/>
      </c>
      <c r="E253" s="3" t="n">
        <v>308.808</v>
      </c>
      <c r="F253" s="4" t="n">
        <v>17</v>
      </c>
      <c r="G253" t="inlineStr">
        <is>
          <t>Ontario Tennis Association</t>
        </is>
      </c>
      <c r="H253" t="inlineStr">
        <is>
          <t>Carleton Tennis Centre</t>
        </is>
      </c>
      <c r="I253" t="inlineStr">
        <is>
          <t>unavailable</t>
        </is>
      </c>
      <c r="J253" s="4" t="n">
        <v>110</v>
      </c>
      <c r="K253" t="inlineStr">
        <is>
          <t>41 / 69</t>
        </is>
      </c>
      <c r="L253" t="inlineStr">
        <is>
          <t>5 / 13</t>
        </is>
      </c>
      <c r="M253" s="5" t="n">
        <v>0.37</v>
      </c>
      <c r="N253" s="5" t="n">
        <v>0.28</v>
      </c>
    </row>
    <row r="254">
      <c r="A254" t="n">
        <v>253</v>
      </c>
      <c r="B254" t="n">
        <v>2015</v>
      </c>
      <c r="C254" t="inlineStr">
        <is>
          <t>Maya Lupu</t>
        </is>
      </c>
      <c r="D254">
        <f>HYPERLINK("https://ota.tournamentsoftware.com/player-profile/C02052CF-6FBB-4C91-8237-A96FF9B4C794", "Link")</f>
        <v/>
      </c>
      <c r="E254" s="3" t="n">
        <v>308.771</v>
      </c>
      <c r="F254" s="4" t="n">
        <v>16</v>
      </c>
      <c r="G254" t="inlineStr">
        <is>
          <t>Tennis Alberta</t>
        </is>
      </c>
      <c r="H254" t="inlineStr">
        <is>
          <t>Saville Community Sports Centre</t>
        </is>
      </c>
      <c r="I254" t="n">
        <v>31.2</v>
      </c>
      <c r="J254" s="4" t="n">
        <v>162</v>
      </c>
      <c r="K254" t="inlineStr">
        <is>
          <t>104 / 58</t>
        </is>
      </c>
      <c r="L254" t="inlineStr">
        <is>
          <t>19 / 23</t>
        </is>
      </c>
      <c r="M254" s="5" t="n">
        <v>0.64</v>
      </c>
      <c r="N254" s="5" t="n">
        <v>0.45</v>
      </c>
    </row>
    <row r="255">
      <c r="A255" t="n">
        <v>254</v>
      </c>
      <c r="B255" t="n">
        <v>2013</v>
      </c>
      <c r="C255" t="inlineStr">
        <is>
          <t>Kany Kaba</t>
        </is>
      </c>
      <c r="D255">
        <f>HYPERLINK("https://ota.tournamentsoftware.com/player-profile/7816DF47-252D-402D-BF26-B906A8AB6ED7", "Link")</f>
        <v/>
      </c>
      <c r="E255" s="3" t="n">
        <v>308.626</v>
      </c>
      <c r="F255" s="4" t="n">
        <v>11</v>
      </c>
      <c r="G255" t="inlineStr">
        <is>
          <t>Tennis Québec</t>
        </is>
      </c>
      <c r="H255" t="inlineStr">
        <is>
          <t>EB Tennis inc.</t>
        </is>
      </c>
      <c r="I255" t="n">
        <v>33.1</v>
      </c>
      <c r="J255" s="4" t="n">
        <v>140</v>
      </c>
      <c r="K255" t="inlineStr">
        <is>
          <t>84 / 56</t>
        </is>
      </c>
      <c r="L255" t="inlineStr">
        <is>
          <t>6 / 13</t>
        </is>
      </c>
      <c r="M255" s="5" t="n">
        <v>0.6</v>
      </c>
      <c r="N255" s="5" t="n">
        <v>0.32</v>
      </c>
    </row>
    <row r="256">
      <c r="A256" t="n">
        <v>255</v>
      </c>
      <c r="B256" t="n">
        <v>2013</v>
      </c>
      <c r="C256" t="inlineStr">
        <is>
          <t>ZOE SOFIA CARDENAS PANIAGUA</t>
        </is>
      </c>
      <c r="D256">
        <f>HYPERLINK("https://ota.tournamentsoftware.com/player-profile/6ADCA248-D68F-47BB-9ED7-CDC7448C4AE9", "Link")</f>
        <v/>
      </c>
      <c r="E256" s="3" t="n">
        <v>307.118</v>
      </c>
      <c r="F256" s="4" t="n">
        <v>6</v>
      </c>
      <c r="G256" t="inlineStr">
        <is>
          <t>Tennis Manitoba</t>
        </is>
      </c>
      <c r="H256" t="inlineStr">
        <is>
          <t>Tuxedo Tennis Club</t>
        </is>
      </c>
      <c r="I256" t="inlineStr">
        <is>
          <t>unavailable</t>
        </is>
      </c>
      <c r="J256" s="4" t="n">
        <v>59</v>
      </c>
      <c r="K256" t="inlineStr">
        <is>
          <t>22 / 37</t>
        </is>
      </c>
      <c r="L256" t="inlineStr">
        <is>
          <t>6 / 8</t>
        </is>
      </c>
      <c r="M256" s="5" t="n">
        <v>0.37</v>
      </c>
      <c r="N256" s="5" t="n">
        <v>0.43</v>
      </c>
    </row>
    <row r="257">
      <c r="A257" t="n">
        <v>256</v>
      </c>
      <c r="B257" t="n">
        <v>2014</v>
      </c>
      <c r="C257" t="inlineStr">
        <is>
          <t>Rosie Mai Kowalewski</t>
        </is>
      </c>
      <c r="D257">
        <f>HYPERLINK("https://ota.tournamentsoftware.com/player-profile/6AE6D507-C7A4-4B8D-AF2E-EBFE848DD41B", "Link")</f>
        <v/>
      </c>
      <c r="E257" s="3" t="n">
        <v>303.327</v>
      </c>
      <c r="F257" s="4" t="n">
        <v>17</v>
      </c>
      <c r="G257" t="inlineStr">
        <is>
          <t>Ontario Tennis Association</t>
        </is>
      </c>
      <c r="H257" t="inlineStr">
        <is>
          <t>No Club</t>
        </is>
      </c>
      <c r="I257" t="n">
        <v>31.5</v>
      </c>
      <c r="J257" s="4" t="n">
        <v>192</v>
      </c>
      <c r="K257" t="inlineStr">
        <is>
          <t>113 / 79</t>
        </is>
      </c>
      <c r="L257" t="inlineStr">
        <is>
          <t>14 / 11</t>
        </is>
      </c>
      <c r="M257" s="5" t="n">
        <v>0.59</v>
      </c>
      <c r="N257" s="5" t="n">
        <v>0.5600000000000001</v>
      </c>
    </row>
    <row r="258">
      <c r="A258" t="n">
        <v>257</v>
      </c>
      <c r="B258" t="n">
        <v>2014</v>
      </c>
      <c r="C258" t="inlineStr">
        <is>
          <t>Isabella Huang</t>
        </is>
      </c>
      <c r="D258">
        <f>HYPERLINK("https://ota.tournamentsoftware.com/player-profile/DB8FA904-8DE1-4D99-951F-F44CD792291A", "Link")</f>
        <v/>
      </c>
      <c r="E258" s="3" t="n">
        <v>302.648</v>
      </c>
      <c r="F258" s="4" t="n">
        <v>17</v>
      </c>
      <c r="G258" t="inlineStr">
        <is>
          <t>British Columbia</t>
        </is>
      </c>
      <c r="H258" t="inlineStr">
        <is>
          <t>Burnaby Tennis Club</t>
        </is>
      </c>
      <c r="I258" t="inlineStr">
        <is>
          <t>unavailable</t>
        </is>
      </c>
      <c r="J258" s="4" t="n">
        <v>198</v>
      </c>
      <c r="K258" t="inlineStr">
        <is>
          <t>113 / 85</t>
        </is>
      </c>
      <c r="L258" t="inlineStr">
        <is>
          <t>26 / 13</t>
        </is>
      </c>
      <c r="M258" s="5" t="n">
        <v>0.57</v>
      </c>
      <c r="N258" s="5" t="n">
        <v>0.67</v>
      </c>
    </row>
    <row r="259">
      <c r="A259" t="n">
        <v>258</v>
      </c>
      <c r="B259" t="n">
        <v>2013</v>
      </c>
      <c r="C259" t="inlineStr">
        <is>
          <t>Chloe Lu</t>
        </is>
      </c>
      <c r="D259">
        <f>HYPERLINK("https://ota.tournamentsoftware.com/player-profile/30F898AC-1C96-41C5-BBB0-3BFD30EC0D0D", "Link")</f>
        <v/>
      </c>
      <c r="E259" s="3" t="n">
        <v>300.706</v>
      </c>
      <c r="F259" s="4" t="n">
        <v>25</v>
      </c>
      <c r="G259" t="inlineStr">
        <is>
          <t>British Columbia</t>
        </is>
      </c>
      <c r="H259" t="inlineStr">
        <is>
          <t>UBC Tennis Centre</t>
        </is>
      </c>
      <c r="I259" t="n">
        <v>32.1</v>
      </c>
      <c r="J259" s="4" t="n">
        <v>164</v>
      </c>
      <c r="K259" t="inlineStr">
        <is>
          <t>61 / 103</t>
        </is>
      </c>
      <c r="L259" t="inlineStr">
        <is>
          <t>21 / 25</t>
        </is>
      </c>
      <c r="M259" s="5" t="n">
        <v>0.37</v>
      </c>
      <c r="N259" s="5" t="n">
        <v>0.46</v>
      </c>
    </row>
    <row r="260">
      <c r="A260" t="n">
        <v>259</v>
      </c>
      <c r="B260" t="n">
        <v>2015</v>
      </c>
      <c r="C260" t="inlineStr">
        <is>
          <t>Zoë Crago</t>
        </is>
      </c>
      <c r="D260">
        <f>HYPERLINK("https://ota.tournamentsoftware.com/player-profile/C2D18227-6075-4F1E-83A2-40A822F874D3", "Link")</f>
        <v/>
      </c>
      <c r="E260" s="3" t="n">
        <v>298.67</v>
      </c>
      <c r="F260" s="4" t="n">
        <v>28</v>
      </c>
      <c r="G260" t="inlineStr">
        <is>
          <t>Tennis Québec</t>
        </is>
      </c>
      <c r="H260" t="inlineStr">
        <is>
          <t>Tennis Montréal Excellence</t>
        </is>
      </c>
      <c r="I260" t="n">
        <v>33</v>
      </c>
      <c r="J260" s="4" t="n">
        <v>198</v>
      </c>
      <c r="K260" t="inlineStr">
        <is>
          <t>104 / 94</t>
        </is>
      </c>
      <c r="L260" t="inlineStr">
        <is>
          <t>32 / 26</t>
        </is>
      </c>
      <c r="M260" s="5" t="n">
        <v>0.53</v>
      </c>
      <c r="N260" s="5" t="n">
        <v>0.55</v>
      </c>
    </row>
    <row r="261">
      <c r="A261" t="n">
        <v>260</v>
      </c>
      <c r="B261" t="n">
        <v>2013</v>
      </c>
      <c r="C261" t="inlineStr">
        <is>
          <t>Tia Patel</t>
        </is>
      </c>
      <c r="D261">
        <f>HYPERLINK("https://ota.tournamentsoftware.com/player-profile/5C480574-FD9C-4816-B1CF-F51441726B25", "Link")</f>
        <v/>
      </c>
      <c r="E261" s="3" t="n">
        <v>295.069</v>
      </c>
      <c r="F261" s="4" t="n">
        <v>16</v>
      </c>
      <c r="G261" t="inlineStr">
        <is>
          <t>Ontario Tennis Association</t>
        </is>
      </c>
      <c r="H261" t="inlineStr">
        <is>
          <t>Waterloo Tennis Club</t>
        </is>
      </c>
      <c r="I261" t="n">
        <v>34.2</v>
      </c>
      <c r="J261" s="4" t="n">
        <v>78</v>
      </c>
      <c r="K261" t="inlineStr">
        <is>
          <t>28 / 50</t>
        </is>
      </c>
      <c r="L261" t="inlineStr">
        <is>
          <t>6 / 10</t>
        </is>
      </c>
      <c r="M261" s="5" t="n">
        <v>0.36</v>
      </c>
      <c r="N261" s="5" t="n">
        <v>0.38</v>
      </c>
    </row>
    <row r="262">
      <c r="A262" t="n">
        <v>261</v>
      </c>
      <c r="B262" t="n">
        <v>2014</v>
      </c>
      <c r="C262" t="inlineStr">
        <is>
          <t>Tehzeeb MRAR</t>
        </is>
      </c>
      <c r="D262">
        <f>HYPERLINK("https://ota.tournamentsoftware.com/player-profile/9E69163B-7ED7-4450-8845-0676D6C943B8", "Link")</f>
        <v/>
      </c>
      <c r="E262" s="3" t="n">
        <v>293.832</v>
      </c>
      <c r="F262" s="4" t="n">
        <v>19</v>
      </c>
      <c r="G262" t="inlineStr">
        <is>
          <t>British Columbia</t>
        </is>
      </c>
      <c r="H262" t="inlineStr">
        <is>
          <t>No Club</t>
        </is>
      </c>
      <c r="I262" t="n">
        <v>29.6</v>
      </c>
      <c r="J262" s="4" t="n">
        <v>198</v>
      </c>
      <c r="K262" t="inlineStr">
        <is>
          <t>109 / 89</t>
        </is>
      </c>
      <c r="L262" t="inlineStr">
        <is>
          <t>19 / 15</t>
        </is>
      </c>
      <c r="M262" s="5" t="n">
        <v>0.55</v>
      </c>
      <c r="N262" s="5" t="n">
        <v>0.5600000000000001</v>
      </c>
    </row>
    <row r="263">
      <c r="A263" t="n">
        <v>262</v>
      </c>
      <c r="B263" t="n">
        <v>2014</v>
      </c>
      <c r="C263" t="inlineStr">
        <is>
          <t>Krystal Xuan Sun</t>
        </is>
      </c>
      <c r="D263">
        <f>HYPERLINK("https://ota.tournamentsoftware.com/player-profile/683C106F-AE4B-4C63-B1A3-D9C25FFAD31B", "Link")</f>
        <v/>
      </c>
      <c r="E263" s="3" t="n">
        <v>289.981</v>
      </c>
      <c r="F263" s="4" t="n">
        <v>11</v>
      </c>
      <c r="G263" t="inlineStr">
        <is>
          <t>Tennis Manitoba</t>
        </is>
      </c>
      <c r="H263" t="inlineStr">
        <is>
          <t>Taylor Tennis</t>
        </is>
      </c>
      <c r="I263" t="inlineStr">
        <is>
          <t>unavailable</t>
        </is>
      </c>
      <c r="J263" s="4" t="n">
        <v>74</v>
      </c>
      <c r="K263" t="inlineStr">
        <is>
          <t>21 / 53</t>
        </is>
      </c>
      <c r="L263" t="inlineStr">
        <is>
          <t>10 / 29</t>
        </is>
      </c>
      <c r="M263" s="5" t="n">
        <v>0.28</v>
      </c>
      <c r="N263" s="5" t="n">
        <v>0.26</v>
      </c>
    </row>
    <row r="264">
      <c r="A264" t="n">
        <v>263</v>
      </c>
      <c r="B264" t="n">
        <v>2012</v>
      </c>
      <c r="C264" t="inlineStr">
        <is>
          <t>Norah Diop</t>
        </is>
      </c>
      <c r="D264">
        <f>HYPERLINK("https://ota.tournamentsoftware.com/player-profile/1B130952-D24A-467D-813D-2DA5B56ADFFF", "Link")</f>
        <v/>
      </c>
      <c r="E264" s="3" t="n">
        <v>289.524</v>
      </c>
      <c r="F264" s="4" t="n">
        <v>17</v>
      </c>
      <c r="G264" t="inlineStr">
        <is>
          <t>Tennis Québec</t>
        </is>
      </c>
      <c r="H264" t="inlineStr">
        <is>
          <t>Tennis 13</t>
        </is>
      </c>
      <c r="I264" t="inlineStr">
        <is>
          <t>unavailable</t>
        </is>
      </c>
      <c r="J264" s="4" t="n">
        <v>85</v>
      </c>
      <c r="K264" t="inlineStr">
        <is>
          <t>38 / 47</t>
        </is>
      </c>
      <c r="L264" t="inlineStr">
        <is>
          <t>13 / 12</t>
        </is>
      </c>
      <c r="M264" s="5" t="n">
        <v>0.45</v>
      </c>
      <c r="N264" s="5" t="n">
        <v>0.52</v>
      </c>
    </row>
    <row r="265">
      <c r="A265" t="n">
        <v>264</v>
      </c>
      <c r="B265" t="n">
        <v>2016</v>
      </c>
      <c r="C265" t="inlineStr">
        <is>
          <t>Victoria Chang</t>
        </is>
      </c>
      <c r="D265">
        <f>HYPERLINK("https://ota.tournamentsoftware.com/player-profile/A391B4A7-44C6-4D9F-9A04-161A8B22E0C3", "Link")</f>
        <v/>
      </c>
      <c r="E265" s="3" t="n">
        <v>285.077</v>
      </c>
      <c r="F265" s="4" t="n">
        <v>19</v>
      </c>
      <c r="G265" t="inlineStr">
        <is>
          <t>Ontario Tennis Association</t>
        </is>
      </c>
      <c r="H265" t="inlineStr">
        <is>
          <t>Richmond Hill Country Club</t>
        </is>
      </c>
      <c r="I265" t="n">
        <v>31</v>
      </c>
      <c r="J265" s="4" t="n">
        <v>123</v>
      </c>
      <c r="K265" t="inlineStr">
        <is>
          <t>96 / 27</t>
        </is>
      </c>
      <c r="L265" t="inlineStr">
        <is>
          <t>48 / 11</t>
        </is>
      </c>
      <c r="M265" s="5" t="n">
        <v>0.78</v>
      </c>
      <c r="N265" s="5" t="n">
        <v>0.8100000000000001</v>
      </c>
    </row>
    <row r="266">
      <c r="A266" t="n">
        <v>265</v>
      </c>
      <c r="B266" t="n">
        <v>2013</v>
      </c>
      <c r="C266" t="inlineStr">
        <is>
          <t>Sasha Stack</t>
        </is>
      </c>
      <c r="D266">
        <f>HYPERLINK("https://ota.tournamentsoftware.com/player-profile/C0B95842-5E69-4EBF-8E5C-398666A7112E", "Link")</f>
        <v/>
      </c>
      <c r="E266" s="3" t="n">
        <v>283.679</v>
      </c>
      <c r="F266" s="4" t="n">
        <v>15</v>
      </c>
      <c r="G266" t="inlineStr">
        <is>
          <t>British Columbia</t>
        </is>
      </c>
      <c r="H266" t="inlineStr">
        <is>
          <t>Hollyburn Country Club</t>
        </is>
      </c>
      <c r="I266" t="n">
        <v>33</v>
      </c>
      <c r="J266" s="4" t="n">
        <v>113</v>
      </c>
      <c r="K266" t="inlineStr">
        <is>
          <t>52 / 61</t>
        </is>
      </c>
      <c r="L266" t="inlineStr">
        <is>
          <t>8 / 15</t>
        </is>
      </c>
      <c r="M266" s="5" t="n">
        <v>0.46</v>
      </c>
      <c r="N266" s="5" t="n">
        <v>0.35</v>
      </c>
    </row>
    <row r="267">
      <c r="A267" t="n">
        <v>266</v>
      </c>
      <c r="B267" t="n">
        <v>2014</v>
      </c>
      <c r="C267" t="inlineStr">
        <is>
          <t>Ela Velic</t>
        </is>
      </c>
      <c r="D267">
        <f>HYPERLINK("https://ota.tournamentsoftware.com/player-profile/5CC54F7D-0D30-4EF4-BE6C-A336041BBEE2", "Link")</f>
        <v/>
      </c>
      <c r="E267" s="3" t="n">
        <v>283.442</v>
      </c>
      <c r="F267" s="4" t="n">
        <v>27</v>
      </c>
      <c r="G267" t="inlineStr">
        <is>
          <t>Ontario Tennis Association</t>
        </is>
      </c>
      <c r="H267" t="inlineStr">
        <is>
          <t>Central Tennis Club</t>
        </is>
      </c>
      <c r="I267" t="n">
        <v>34</v>
      </c>
      <c r="J267" s="4" t="n">
        <v>107</v>
      </c>
      <c r="K267" t="inlineStr">
        <is>
          <t>54 / 53</t>
        </is>
      </c>
      <c r="L267" t="inlineStr">
        <is>
          <t>23 / 25</t>
        </is>
      </c>
      <c r="M267" s="5" t="n">
        <v>0.5</v>
      </c>
      <c r="N267" s="5" t="n">
        <v>0.48</v>
      </c>
    </row>
    <row r="268">
      <c r="A268" t="n">
        <v>267</v>
      </c>
      <c r="B268" t="n">
        <v>2014</v>
      </c>
      <c r="C268" t="inlineStr">
        <is>
          <t>Avelyn Deepak</t>
        </is>
      </c>
      <c r="D268">
        <f>HYPERLINK("https://ota.tournamentsoftware.com/player-profile/4412DB09-5DE9-45DA-AB13-46B4F24B409F", "Link")</f>
        <v/>
      </c>
      <c r="E268" s="3" t="n">
        <v>282.546</v>
      </c>
      <c r="F268" s="4" t="n">
        <v>10</v>
      </c>
      <c r="G268" t="inlineStr">
        <is>
          <t>Tennis Manitoba</t>
        </is>
      </c>
      <c r="H268" t="inlineStr">
        <is>
          <t>Winnipeg Winter Club</t>
        </is>
      </c>
      <c r="I268" t="n">
        <v>35.2</v>
      </c>
      <c r="J268" s="4" t="n">
        <v>35</v>
      </c>
      <c r="K268" t="inlineStr">
        <is>
          <t>9 / 26</t>
        </is>
      </c>
      <c r="L268" t="inlineStr">
        <is>
          <t>9 / 26</t>
        </is>
      </c>
      <c r="M268" s="5" t="n">
        <v>0.26</v>
      </c>
      <c r="N268" s="5" t="n">
        <v>0.26</v>
      </c>
    </row>
    <row r="269">
      <c r="A269" t="n">
        <v>268</v>
      </c>
      <c r="B269" t="n">
        <v>2012</v>
      </c>
      <c r="C269" t="inlineStr">
        <is>
          <t>Jessica Li</t>
        </is>
      </c>
      <c r="D269">
        <f>HYPERLINK("https://ota.tournamentsoftware.com/player-profile/9F51CCE2-07F1-48BF-B635-CE7622769243", "Link")</f>
        <v/>
      </c>
      <c r="E269" s="3" t="n">
        <v>281.299</v>
      </c>
      <c r="F269" s="4" t="n">
        <v>13</v>
      </c>
      <c r="G269" t="inlineStr">
        <is>
          <t>Ontario Tennis Association</t>
        </is>
      </c>
      <c r="H269" t="inlineStr">
        <is>
          <t>Markham Tennis Club</t>
        </is>
      </c>
      <c r="I269" t="inlineStr">
        <is>
          <t>unavailable</t>
        </is>
      </c>
      <c r="J269" s="4" t="n">
        <v>61</v>
      </c>
      <c r="K269" t="inlineStr">
        <is>
          <t>29 / 32</t>
        </is>
      </c>
      <c r="L269" t="inlineStr">
        <is>
          <t>11 / 10</t>
        </is>
      </c>
      <c r="M269" s="5" t="n">
        <v>0.48</v>
      </c>
      <c r="N269" s="5" t="n">
        <v>0.52</v>
      </c>
    </row>
    <row r="270">
      <c r="A270" t="n">
        <v>269</v>
      </c>
      <c r="B270" t="n">
        <v>2013</v>
      </c>
      <c r="C270" t="inlineStr">
        <is>
          <t>Chanjoban Kaur Birdi</t>
        </is>
      </c>
      <c r="D270">
        <f>HYPERLINK("https://ota.tournamentsoftware.com/player-profile/26D50988-CF95-4A0A-9087-8DC8E38F0BDB", "Link")</f>
        <v/>
      </c>
      <c r="E270" s="3" t="n">
        <v>279.108</v>
      </c>
      <c r="F270" s="4" t="n">
        <v>20</v>
      </c>
      <c r="G270" t="inlineStr">
        <is>
          <t>British Columbia</t>
        </is>
      </c>
      <c r="H270" t="inlineStr">
        <is>
          <t>Newton Tennis Club</t>
        </is>
      </c>
      <c r="I270" t="n">
        <v>29.3</v>
      </c>
      <c r="J270" s="4" t="n">
        <v>207</v>
      </c>
      <c r="K270" t="inlineStr">
        <is>
          <t>103 / 104</t>
        </is>
      </c>
      <c r="L270" t="inlineStr">
        <is>
          <t>28 / 17</t>
        </is>
      </c>
      <c r="M270" s="5" t="n">
        <v>0.5</v>
      </c>
      <c r="N270" s="5" t="n">
        <v>0.62</v>
      </c>
    </row>
    <row r="271">
      <c r="A271" t="n">
        <v>270</v>
      </c>
      <c r="B271" t="n">
        <v>2014</v>
      </c>
      <c r="C271" t="inlineStr">
        <is>
          <t>Elliette Leah Tran</t>
        </is>
      </c>
      <c r="D271">
        <f>HYPERLINK("https://ota.tournamentsoftware.com/player-profile/9986D752-4364-42A6-9A1B-E1BC239760F0", "Link")</f>
        <v/>
      </c>
      <c r="E271" s="3" t="n">
        <v>278.539</v>
      </c>
      <c r="F271" s="4" t="n">
        <v>17</v>
      </c>
      <c r="G271" t="inlineStr">
        <is>
          <t>Tennis Alberta</t>
        </is>
      </c>
      <c r="H271" t="inlineStr">
        <is>
          <t>Saville Community Sports Centre</t>
        </is>
      </c>
      <c r="I271" t="inlineStr">
        <is>
          <t>unavailable</t>
        </is>
      </c>
      <c r="J271" s="4" t="n">
        <v>118</v>
      </c>
      <c r="K271" t="inlineStr">
        <is>
          <t>59 / 59</t>
        </is>
      </c>
      <c r="L271" t="inlineStr">
        <is>
          <t>24 / 19</t>
        </is>
      </c>
      <c r="M271" s="5" t="n">
        <v>0.5</v>
      </c>
      <c r="N271" s="5" t="n">
        <v>0.5600000000000001</v>
      </c>
    </row>
    <row r="272">
      <c r="A272" t="n">
        <v>271</v>
      </c>
      <c r="B272" t="n">
        <v>2013</v>
      </c>
      <c r="C272" t="inlineStr">
        <is>
          <t>Maddie Kershaw</t>
        </is>
      </c>
      <c r="D272">
        <f>HYPERLINK("https://ota.tournamentsoftware.com/player-profile/14F8911D-BF5A-4FE7-BFF6-D5A71E72307F", "Link")</f>
        <v/>
      </c>
      <c r="E272" s="3" t="n">
        <v>278.432</v>
      </c>
      <c r="F272" s="4" t="n">
        <v>10</v>
      </c>
      <c r="G272" t="inlineStr">
        <is>
          <t>Tennis New Brunswick</t>
        </is>
      </c>
      <c r="H272" t="inlineStr">
        <is>
          <t>Abony Family Tennis Center</t>
        </is>
      </c>
      <c r="I272" t="n">
        <v>33.9</v>
      </c>
      <c r="J272" s="4" t="n">
        <v>188</v>
      </c>
      <c r="K272" t="inlineStr">
        <is>
          <t>95 / 93</t>
        </is>
      </c>
      <c r="L272" t="inlineStr">
        <is>
          <t>16 / 23</t>
        </is>
      </c>
      <c r="M272" s="5" t="n">
        <v>0.51</v>
      </c>
      <c r="N272" s="5" t="n">
        <v>0.41</v>
      </c>
    </row>
    <row r="273">
      <c r="A273" t="n">
        <v>272</v>
      </c>
      <c r="B273" t="n">
        <v>2015</v>
      </c>
      <c r="C273" t="inlineStr">
        <is>
          <t>Keira Braudo</t>
        </is>
      </c>
      <c r="D273">
        <f>HYPERLINK("https://ota.tournamentsoftware.com/player-profile/8D683600-A107-430B-BBAA-BD98BDCE0FD8", "Link")</f>
        <v/>
      </c>
      <c r="E273" s="3" t="n">
        <v>277.503</v>
      </c>
      <c r="F273" s="4" t="n">
        <v>14</v>
      </c>
      <c r="G273" t="inlineStr">
        <is>
          <t>Ontario Tennis Association</t>
        </is>
      </c>
      <c r="H273" t="inlineStr">
        <is>
          <t>Mayfair West Fitness &amp; Racquet Club</t>
        </is>
      </c>
      <c r="I273" t="n">
        <v>30.1</v>
      </c>
      <c r="J273" s="4" t="n">
        <v>74</v>
      </c>
      <c r="K273" t="inlineStr">
        <is>
          <t>49 / 25</t>
        </is>
      </c>
      <c r="L273" t="inlineStr">
        <is>
          <t>26 / 7</t>
        </is>
      </c>
      <c r="M273" s="5" t="n">
        <v>0.66</v>
      </c>
      <c r="N273" s="5" t="n">
        <v>0.79</v>
      </c>
    </row>
    <row r="274">
      <c r="A274" t="n">
        <v>273</v>
      </c>
      <c r="B274" t="n">
        <v>2012</v>
      </c>
      <c r="C274" t="inlineStr">
        <is>
          <t>Jana Karkoukli</t>
        </is>
      </c>
      <c r="D274">
        <f>HYPERLINK("https://ota.tournamentsoftware.com/player-profile/ED5D7332-7665-453C-87FD-D7E5B172FD8A", "Link")</f>
        <v/>
      </c>
      <c r="E274" s="3" t="n">
        <v>276.736</v>
      </c>
      <c r="F274" s="4" t="n">
        <v>22</v>
      </c>
      <c r="G274" t="inlineStr">
        <is>
          <t>Tennis Québec</t>
        </is>
      </c>
      <c r="H274" t="inlineStr">
        <is>
          <t>EB Tennis inc.</t>
        </is>
      </c>
      <c r="I274" t="n">
        <v>35.7</v>
      </c>
      <c r="J274" s="4" t="n">
        <v>187</v>
      </c>
      <c r="K274" t="inlineStr">
        <is>
          <t>51 / 136</t>
        </is>
      </c>
      <c r="L274" t="inlineStr">
        <is>
          <t>2 / 19</t>
        </is>
      </c>
      <c r="M274" s="5" t="n">
        <v>0.27</v>
      </c>
      <c r="N274" s="5" t="n">
        <v>0.1</v>
      </c>
    </row>
    <row r="275">
      <c r="A275" t="n">
        <v>274</v>
      </c>
      <c r="B275" t="n">
        <v>2012</v>
      </c>
      <c r="C275" t="inlineStr">
        <is>
          <t>ella kim brend</t>
        </is>
      </c>
      <c r="D275">
        <f>HYPERLINK("https://ota.tournamentsoftware.com/player-profile/C777EDB2-AC2E-4E02-948A-26DCAC347821", "Link")</f>
        <v/>
      </c>
      <c r="E275" s="3" t="n">
        <v>274.297</v>
      </c>
      <c r="F275" s="4" t="n">
        <v>19</v>
      </c>
      <c r="G275" t="inlineStr">
        <is>
          <t>British Columbia</t>
        </is>
      </c>
      <c r="H275" t="inlineStr">
        <is>
          <t>The Tennis Centre</t>
        </is>
      </c>
      <c r="I275" t="n">
        <v>30.1</v>
      </c>
      <c r="J275" s="4" t="n">
        <v>128</v>
      </c>
      <c r="K275" t="inlineStr">
        <is>
          <t>88 / 40</t>
        </is>
      </c>
      <c r="L275" t="inlineStr">
        <is>
          <t>36 / 15</t>
        </is>
      </c>
      <c r="M275" s="5" t="n">
        <v>0.6899999999999999</v>
      </c>
      <c r="N275" s="5" t="n">
        <v>0.71</v>
      </c>
    </row>
    <row r="276">
      <c r="A276" t="n">
        <v>275</v>
      </c>
      <c r="B276" t="n">
        <v>2014</v>
      </c>
      <c r="C276" t="inlineStr">
        <is>
          <t>Candice YAO</t>
        </is>
      </c>
      <c r="D276">
        <f>HYPERLINK("https://ota.tournamentsoftware.com/player-profile/2EEE6D95-1504-4E36-A996-F48A3CD7FC03", "Link")</f>
        <v/>
      </c>
      <c r="E276" s="3" t="n">
        <v>273.266</v>
      </c>
      <c r="F276" s="4" t="n">
        <v>20</v>
      </c>
      <c r="G276" t="inlineStr">
        <is>
          <t>Ontario Tennis Association</t>
        </is>
      </c>
      <c r="H276" t="inlineStr">
        <is>
          <t>Richmondhill Golf &amp; Country Club</t>
        </is>
      </c>
      <c r="I276" t="n">
        <v>32.9</v>
      </c>
      <c r="J276" s="4" t="n">
        <v>97</v>
      </c>
      <c r="K276" t="inlineStr">
        <is>
          <t>44 / 53</t>
        </is>
      </c>
      <c r="L276" t="inlineStr">
        <is>
          <t>20 / 14</t>
        </is>
      </c>
      <c r="M276" s="5" t="n">
        <v>0.45</v>
      </c>
      <c r="N276" s="5" t="n">
        <v>0.59</v>
      </c>
    </row>
    <row r="277">
      <c r="A277" t="n">
        <v>276</v>
      </c>
      <c r="B277" t="n">
        <v>2014</v>
      </c>
      <c r="C277" t="inlineStr">
        <is>
          <t>Mégane Bernard</t>
        </is>
      </c>
      <c r="D277">
        <f>HYPERLINK("https://ota.tournamentsoftware.com/player-profile/041B9415-6EB0-452F-AD3F-EA68CADBA2FB", "Link")</f>
        <v/>
      </c>
      <c r="E277" s="3" t="n">
        <v>272.306</v>
      </c>
      <c r="F277" s="4" t="n">
        <v>22</v>
      </c>
      <c r="G277" t="inlineStr">
        <is>
          <t>Tennis Québec</t>
        </is>
      </c>
      <c r="H277" t="inlineStr">
        <is>
          <t>Tennis 13</t>
        </is>
      </c>
      <c r="I277" t="n">
        <v>32.6</v>
      </c>
      <c r="J277" s="4" t="n">
        <v>199</v>
      </c>
      <c r="K277" t="inlineStr">
        <is>
          <t>89 / 110</t>
        </is>
      </c>
      <c r="L277" t="inlineStr">
        <is>
          <t>19 / 24</t>
        </is>
      </c>
      <c r="M277" s="5" t="n">
        <v>0.45</v>
      </c>
      <c r="N277" s="5" t="n">
        <v>0.44</v>
      </c>
    </row>
    <row r="278">
      <c r="A278" t="n">
        <v>277</v>
      </c>
      <c r="B278" t="n">
        <v>2014</v>
      </c>
      <c r="C278" t="inlineStr">
        <is>
          <t>Elisa Krumov</t>
        </is>
      </c>
      <c r="D278">
        <f>HYPERLINK("https://ota.tournamentsoftware.com/player-profile/8B5D18FC-0F51-468A-BE7C-7EA242A06382", "Link")</f>
        <v/>
      </c>
      <c r="E278" s="3" t="n">
        <v>270.273</v>
      </c>
      <c r="F278" s="4" t="n">
        <v>19</v>
      </c>
      <c r="G278" t="inlineStr">
        <is>
          <t>Ontario Tennis Association</t>
        </is>
      </c>
      <c r="H278" t="inlineStr">
        <is>
          <t>Joshua Creek Golf &amp; Tennis</t>
        </is>
      </c>
      <c r="I278" t="n">
        <v>33</v>
      </c>
      <c r="J278" s="4" t="n">
        <v>93</v>
      </c>
      <c r="K278" t="inlineStr">
        <is>
          <t>43 / 50</t>
        </is>
      </c>
      <c r="L278" t="inlineStr">
        <is>
          <t>16 / 20</t>
        </is>
      </c>
      <c r="M278" s="5" t="n">
        <v>0.46</v>
      </c>
      <c r="N278" s="5" t="n">
        <v>0.44</v>
      </c>
    </row>
    <row r="279">
      <c r="A279" t="n">
        <v>278</v>
      </c>
      <c r="B279" t="n">
        <v>2013</v>
      </c>
      <c r="C279" t="inlineStr">
        <is>
          <t>Gabriela Gardonyi</t>
        </is>
      </c>
      <c r="D279">
        <f>HYPERLINK("https://ota.tournamentsoftware.com/player-profile/EA584DC9-AF4E-413B-BF0B-75746024F8E4", "Link")</f>
        <v/>
      </c>
      <c r="E279" s="3" t="n">
        <v>269.544</v>
      </c>
      <c r="F279" s="4" t="n">
        <v>23</v>
      </c>
      <c r="G279" t="inlineStr">
        <is>
          <t>Ontario Tennis Association</t>
        </is>
      </c>
      <c r="H279" t="inlineStr">
        <is>
          <t>Richmond Hill Country Club</t>
        </is>
      </c>
      <c r="I279" t="inlineStr">
        <is>
          <t>unavailable</t>
        </is>
      </c>
      <c r="J279" s="4" t="n">
        <v>122</v>
      </c>
      <c r="K279" t="inlineStr">
        <is>
          <t>56 / 66</t>
        </is>
      </c>
      <c r="L279" t="inlineStr">
        <is>
          <t>21 / 22</t>
        </is>
      </c>
      <c r="M279" s="5" t="n">
        <v>0.46</v>
      </c>
      <c r="N279" s="5" t="n">
        <v>0.49</v>
      </c>
    </row>
    <row r="280">
      <c r="A280" t="n">
        <v>279</v>
      </c>
      <c r="B280" t="n">
        <v>2015</v>
      </c>
      <c r="C280" t="inlineStr">
        <is>
          <t>Sophia Shiqi Zeng</t>
        </is>
      </c>
      <c r="D280">
        <f>HYPERLINK("https://ota.tournamentsoftware.com/player-profile/F1A373DA-18B2-46FA-AF39-157644DB679B", "Link")</f>
        <v/>
      </c>
      <c r="E280" s="3" t="n">
        <v>267.836</v>
      </c>
      <c r="F280" s="4" t="n">
        <v>21</v>
      </c>
      <c r="G280" t="inlineStr">
        <is>
          <t>British Columbia</t>
        </is>
      </c>
      <c r="H280" t="inlineStr">
        <is>
          <t>The Tennis Centre</t>
        </is>
      </c>
      <c r="I280" t="n">
        <v>31.5</v>
      </c>
      <c r="J280" s="4" t="n">
        <v>189</v>
      </c>
      <c r="K280" t="inlineStr">
        <is>
          <t>104 / 85</t>
        </is>
      </c>
      <c r="L280" t="inlineStr">
        <is>
          <t>30 / 16</t>
        </is>
      </c>
      <c r="M280" s="5" t="n">
        <v>0.55</v>
      </c>
      <c r="N280" s="5" t="n">
        <v>0.65</v>
      </c>
    </row>
    <row r="281">
      <c r="A281" t="n">
        <v>280</v>
      </c>
      <c r="B281" t="n">
        <v>2012</v>
      </c>
      <c r="C281" t="inlineStr">
        <is>
          <t>Kristina Khlyebnykova</t>
        </is>
      </c>
      <c r="D281">
        <f>HYPERLINK("https://ota.tournamentsoftware.com/player-profile/D585FC7E-ABD0-44A4-A0AC-539E39880B84", "Link")</f>
        <v/>
      </c>
      <c r="E281" s="3" t="n">
        <v>267.654</v>
      </c>
      <c r="F281" s="4" t="n">
        <v>14</v>
      </c>
      <c r="G281" t="inlineStr">
        <is>
          <t>Ontario Tennis Association</t>
        </is>
      </c>
      <c r="H281" t="inlineStr">
        <is>
          <t>Concord Tennis Academy</t>
        </is>
      </c>
      <c r="I281" t="n">
        <v>32.5</v>
      </c>
      <c r="J281" s="4" t="n">
        <v>73</v>
      </c>
      <c r="K281" t="inlineStr">
        <is>
          <t>35 / 38</t>
        </is>
      </c>
      <c r="L281" t="inlineStr">
        <is>
          <t>14 / 11</t>
        </is>
      </c>
      <c r="M281" s="5" t="n">
        <v>0.48</v>
      </c>
      <c r="N281" s="5" t="n">
        <v>0.5600000000000001</v>
      </c>
    </row>
    <row r="282">
      <c r="A282" t="n">
        <v>281</v>
      </c>
      <c r="B282" t="n">
        <v>2015</v>
      </c>
      <c r="C282" t="inlineStr">
        <is>
          <t>Alia Idrissi Serghini</t>
        </is>
      </c>
      <c r="D282">
        <f>HYPERLINK("https://ota.tournamentsoftware.com/player-profile/CF328206-362D-4259-AA9F-74B7EF760A80", "Link")</f>
        <v/>
      </c>
      <c r="E282" s="3" t="n">
        <v>267.456</v>
      </c>
      <c r="F282" s="4" t="n">
        <v>18</v>
      </c>
      <c r="G282" t="inlineStr">
        <is>
          <t>Tennis Québec</t>
        </is>
      </c>
      <c r="H282" t="inlineStr">
        <is>
          <t>Centre récréatif de Repentigny / Académie Tennis Momentum</t>
        </is>
      </c>
      <c r="I282" t="n">
        <v>32.6</v>
      </c>
      <c r="J282" s="4" t="n">
        <v>139</v>
      </c>
      <c r="K282" t="inlineStr">
        <is>
          <t>84 / 55</t>
        </is>
      </c>
      <c r="L282" t="inlineStr">
        <is>
          <t>19 / 19</t>
        </is>
      </c>
      <c r="M282" s="5" t="n">
        <v>0.6</v>
      </c>
      <c r="N282" s="5" t="n">
        <v>0.5</v>
      </c>
    </row>
    <row r="283">
      <c r="A283" t="n">
        <v>282</v>
      </c>
      <c r="B283" t="n">
        <v>2015</v>
      </c>
      <c r="C283" t="inlineStr">
        <is>
          <t>Alexia Picciola</t>
        </is>
      </c>
      <c r="D283">
        <f>HYPERLINK("https://ota.tournamentsoftware.com/player-profile/91C9A734-3E6E-45CC-B46D-51BF9C9A7FC4", "Link")</f>
        <v/>
      </c>
      <c r="E283" s="3" t="n">
        <v>264.417</v>
      </c>
      <c r="F283" s="4" t="n">
        <v>19</v>
      </c>
      <c r="G283" t="inlineStr">
        <is>
          <t>Tennis Québec</t>
        </is>
      </c>
      <c r="H283" t="inlineStr">
        <is>
          <t>Tennis Montréal Excellence</t>
        </is>
      </c>
      <c r="I283" t="n">
        <v>31.7</v>
      </c>
      <c r="J283" s="4" t="n">
        <v>164</v>
      </c>
      <c r="K283" t="inlineStr">
        <is>
          <t>79 / 85</t>
        </is>
      </c>
      <c r="L283" t="inlineStr">
        <is>
          <t>32 / 19</t>
        </is>
      </c>
      <c r="M283" s="5" t="n">
        <v>0.48</v>
      </c>
      <c r="N283" s="5" t="n">
        <v>0.63</v>
      </c>
    </row>
    <row r="284">
      <c r="A284" t="n">
        <v>283</v>
      </c>
      <c r="B284" t="n">
        <v>2013</v>
      </c>
      <c r="C284" t="inlineStr">
        <is>
          <t>Mia Tran</t>
        </is>
      </c>
      <c r="D284">
        <f>HYPERLINK("https://ota.tournamentsoftware.com/player-profile/140A029D-3BE9-44F2-AA6A-53ED5C2991A8", "Link")</f>
        <v/>
      </c>
      <c r="E284" s="3" t="n">
        <v>263.48</v>
      </c>
      <c r="F284" s="4" t="n">
        <v>11</v>
      </c>
      <c r="G284" t="inlineStr">
        <is>
          <t>Ontario Tennis Association</t>
        </is>
      </c>
      <c r="H284" t="inlineStr">
        <is>
          <t>SmartVMC Racquetsports by ACE</t>
        </is>
      </c>
      <c r="I284" t="n">
        <v>32.7</v>
      </c>
      <c r="J284" s="4" t="n">
        <v>86</v>
      </c>
      <c r="K284" t="inlineStr">
        <is>
          <t>53 / 33</t>
        </is>
      </c>
      <c r="L284" t="inlineStr">
        <is>
          <t>14 / 8</t>
        </is>
      </c>
      <c r="M284" s="5" t="n">
        <v>0.62</v>
      </c>
      <c r="N284" s="5" t="n">
        <v>0.64</v>
      </c>
    </row>
    <row r="285">
      <c r="A285" t="n">
        <v>284</v>
      </c>
      <c r="B285" t="n">
        <v>2015</v>
      </c>
      <c r="C285" t="inlineStr">
        <is>
          <t>Hannah D'Souza</t>
        </is>
      </c>
      <c r="D285">
        <f>HYPERLINK("https://ota.tournamentsoftware.com/player-profile/6516E6BE-4D11-4CDB-8F62-FFE106E8A899", "Link")</f>
        <v/>
      </c>
      <c r="E285" s="3" t="n">
        <v>263.065</v>
      </c>
      <c r="F285" s="4" t="n">
        <v>29</v>
      </c>
      <c r="G285" t="inlineStr">
        <is>
          <t>Ontario Tennis Association</t>
        </is>
      </c>
      <c r="H285" t="inlineStr">
        <is>
          <t>No Club</t>
        </is>
      </c>
      <c r="I285" t="n">
        <v>33.4</v>
      </c>
      <c r="J285" s="4" t="n">
        <v>162</v>
      </c>
      <c r="K285" t="inlineStr">
        <is>
          <t>67 / 95</t>
        </is>
      </c>
      <c r="L285" t="inlineStr">
        <is>
          <t>23 / 26</t>
        </is>
      </c>
      <c r="M285" s="5" t="n">
        <v>0.41</v>
      </c>
      <c r="N285" s="5" t="n">
        <v>0.47</v>
      </c>
    </row>
    <row r="286">
      <c r="A286" t="n">
        <v>285</v>
      </c>
      <c r="B286" t="n">
        <v>2014</v>
      </c>
      <c r="C286" t="inlineStr">
        <is>
          <t>Thanushka Sadasivam</t>
        </is>
      </c>
      <c r="D286">
        <f>HYPERLINK("https://ota.tournamentsoftware.com/player-profile/CA495DA8-0B9D-4530-9886-FC567CD73AE9", "Link")</f>
        <v/>
      </c>
      <c r="E286" s="3" t="n">
        <v>260.403</v>
      </c>
      <c r="F286" s="4" t="n">
        <v>15</v>
      </c>
      <c r="G286" t="inlineStr">
        <is>
          <t>Ontario Tennis Association</t>
        </is>
      </c>
      <c r="H286" t="inlineStr">
        <is>
          <t>Ontario Racquet Club</t>
        </is>
      </c>
      <c r="I286" t="n">
        <v>35.2</v>
      </c>
      <c r="J286" s="4" t="n">
        <v>59</v>
      </c>
      <c r="K286" t="inlineStr">
        <is>
          <t>25 / 34</t>
        </is>
      </c>
      <c r="L286" t="inlineStr">
        <is>
          <t>7 / 12</t>
        </is>
      </c>
      <c r="M286" s="5" t="n">
        <v>0.42</v>
      </c>
      <c r="N286" s="5" t="n">
        <v>0.37</v>
      </c>
    </row>
    <row r="287">
      <c r="A287" t="n">
        <v>286</v>
      </c>
      <c r="B287" t="n">
        <v>2015</v>
      </c>
      <c r="C287" t="inlineStr">
        <is>
          <t>Emma Xu</t>
        </is>
      </c>
      <c r="D287">
        <f>HYPERLINK("https://ota.tournamentsoftware.com/player-profile/464089C3-D2B4-413F-A102-AF0AEFF9A318", "Link")</f>
        <v/>
      </c>
      <c r="E287" s="3" t="n">
        <v>259.338</v>
      </c>
      <c r="F287" s="4" t="n">
        <v>9</v>
      </c>
      <c r="G287" t="inlineStr">
        <is>
          <t>Tennis Manitoba</t>
        </is>
      </c>
      <c r="H287" t="inlineStr">
        <is>
          <t>Taylor Tennis</t>
        </is>
      </c>
      <c r="I287" t="n">
        <v>36.3</v>
      </c>
      <c r="J287" s="4" t="n">
        <v>100</v>
      </c>
      <c r="K287" t="inlineStr">
        <is>
          <t>27 / 73</t>
        </is>
      </c>
      <c r="L287" t="inlineStr">
        <is>
          <t>9 / 28</t>
        </is>
      </c>
      <c r="M287" s="5" t="n">
        <v>0.27</v>
      </c>
      <c r="N287" s="5" t="n">
        <v>0.24</v>
      </c>
    </row>
    <row r="288">
      <c r="A288" t="n">
        <v>287</v>
      </c>
      <c r="B288" t="n">
        <v>2015</v>
      </c>
      <c r="C288" t="inlineStr">
        <is>
          <t>Sofia Twynam</t>
        </is>
      </c>
      <c r="D288">
        <f>HYPERLINK("https://ota.tournamentsoftware.com/player-profile/025F0929-F490-4440-8CB6-08E8D1F59F08", "Link")</f>
        <v/>
      </c>
      <c r="E288" s="3" t="n">
        <v>259.039</v>
      </c>
      <c r="F288" s="4" t="n">
        <v>16</v>
      </c>
      <c r="G288" t="inlineStr">
        <is>
          <t>Tennis Québec</t>
        </is>
      </c>
      <c r="H288" t="inlineStr">
        <is>
          <t>SANI Sport</t>
        </is>
      </c>
      <c r="I288" t="n">
        <v>32.1</v>
      </c>
      <c r="J288" s="4" t="n">
        <v>131</v>
      </c>
      <c r="K288" t="inlineStr">
        <is>
          <t>72 / 59</t>
        </is>
      </c>
      <c r="L288" t="inlineStr">
        <is>
          <t>17 / 16</t>
        </is>
      </c>
      <c r="M288" s="5" t="n">
        <v>0.55</v>
      </c>
      <c r="N288" s="5" t="n">
        <v>0.52</v>
      </c>
    </row>
    <row r="289">
      <c r="A289" t="n">
        <v>288</v>
      </c>
      <c r="B289" t="n">
        <v>2012</v>
      </c>
      <c r="C289" t="inlineStr">
        <is>
          <t>Louanna Perron</t>
        </is>
      </c>
      <c r="D289">
        <f>HYPERLINK("https://ota.tournamentsoftware.com/player-profile/0D5BD355-F71F-4A8A-B269-0D225B56C809", "Link")</f>
        <v/>
      </c>
      <c r="E289" s="3" t="n">
        <v>258.079</v>
      </c>
      <c r="F289" s="4" t="n">
        <v>10</v>
      </c>
      <c r="G289" t="inlineStr">
        <is>
          <t>Tennis Québec</t>
        </is>
      </c>
      <c r="H289" t="inlineStr">
        <is>
          <t>Tennis 13 / Académie Ménard et associé</t>
        </is>
      </c>
      <c r="I289" t="n">
        <v>33.1</v>
      </c>
      <c r="J289" s="4" t="n">
        <v>25</v>
      </c>
      <c r="K289" t="inlineStr">
        <is>
          <t>10 / 15</t>
        </is>
      </c>
      <c r="L289" t="inlineStr">
        <is>
          <t>4 / 7</t>
        </is>
      </c>
      <c r="M289" s="5" t="n">
        <v>0.4</v>
      </c>
      <c r="N289" s="5" t="n">
        <v>0.36</v>
      </c>
    </row>
    <row r="290">
      <c r="A290" t="n">
        <v>289</v>
      </c>
      <c r="B290" t="n">
        <v>2013</v>
      </c>
      <c r="C290" t="inlineStr">
        <is>
          <t>Victoria Ta</t>
        </is>
      </c>
      <c r="D290">
        <f>HYPERLINK("https://ota.tournamentsoftware.com/player-profile/A9D6CF45-A7F1-427F-A376-2C40852D98CD", "Link")</f>
        <v/>
      </c>
      <c r="E290" s="3" t="n">
        <v>256.435</v>
      </c>
      <c r="F290" s="4" t="n">
        <v>18</v>
      </c>
      <c r="G290" t="inlineStr">
        <is>
          <t>Ontario Tennis Association</t>
        </is>
      </c>
      <c r="H290" t="inlineStr">
        <is>
          <t>Lambton Golf &amp; Country Club</t>
        </is>
      </c>
      <c r="I290" t="n">
        <v>32.4</v>
      </c>
      <c r="J290" s="4" t="n">
        <v>103</v>
      </c>
      <c r="K290" t="inlineStr">
        <is>
          <t>50 / 53</t>
        </is>
      </c>
      <c r="L290" t="inlineStr">
        <is>
          <t>15 / 13</t>
        </is>
      </c>
      <c r="M290" s="5" t="n">
        <v>0.49</v>
      </c>
      <c r="N290" s="5" t="n">
        <v>0.54</v>
      </c>
    </row>
    <row r="291">
      <c r="A291" t="n">
        <v>290</v>
      </c>
      <c r="B291" t="n">
        <v>2013</v>
      </c>
      <c r="C291" t="inlineStr">
        <is>
          <t>Ebun Fasanya</t>
        </is>
      </c>
      <c r="D291">
        <f>HYPERLINK("https://ota.tournamentsoftware.com/player-profile/943BB22B-8108-44B4-80BD-15A6984D1D23", "Link")</f>
        <v/>
      </c>
      <c r="E291" s="3" t="n">
        <v>256.168</v>
      </c>
      <c r="F291" s="4" t="n">
        <v>17</v>
      </c>
      <c r="G291" t="inlineStr">
        <is>
          <t>Ontario Tennis Association</t>
        </is>
      </c>
      <c r="H291" t="inlineStr">
        <is>
          <t>Joshua Creek Golf &amp; Tennis</t>
        </is>
      </c>
      <c r="I291" t="n">
        <v>33.9</v>
      </c>
      <c r="J291" s="4" t="n">
        <v>82</v>
      </c>
      <c r="K291" t="inlineStr">
        <is>
          <t>45 / 37</t>
        </is>
      </c>
      <c r="L291" t="inlineStr">
        <is>
          <t>17 / 14</t>
        </is>
      </c>
      <c r="M291" s="5" t="n">
        <v>0.55</v>
      </c>
      <c r="N291" s="5" t="n">
        <v>0.55</v>
      </c>
    </row>
    <row r="292">
      <c r="A292" t="n">
        <v>291</v>
      </c>
      <c r="B292" t="n">
        <v>2014</v>
      </c>
      <c r="C292" t="inlineStr">
        <is>
          <t>SOFIA LUCKY</t>
        </is>
      </c>
      <c r="D292">
        <f>HYPERLINK("https://ota.tournamentsoftware.com/player-profile/9A590660-3C23-4CD7-A9AF-30CC3227EC17", "Link")</f>
        <v/>
      </c>
      <c r="E292" s="3" t="n">
        <v>252.375</v>
      </c>
      <c r="F292" s="4" t="n">
        <v>12</v>
      </c>
      <c r="G292" t="inlineStr">
        <is>
          <t>Tennis Québec</t>
        </is>
      </c>
      <c r="H292" t="inlineStr">
        <is>
          <t>Académie de tennis UNI(T)</t>
        </is>
      </c>
      <c r="I292" t="n">
        <v>34.1</v>
      </c>
      <c r="J292" s="4" t="n">
        <v>88</v>
      </c>
      <c r="K292" t="inlineStr">
        <is>
          <t>33 / 55</t>
        </is>
      </c>
      <c r="L292" t="inlineStr">
        <is>
          <t>12 / 10</t>
        </is>
      </c>
      <c r="M292" s="5" t="n">
        <v>0.38</v>
      </c>
      <c r="N292" s="5" t="n">
        <v>0.55</v>
      </c>
    </row>
    <row r="293">
      <c r="A293" t="n">
        <v>292</v>
      </c>
      <c r="B293" t="n">
        <v>2015</v>
      </c>
      <c r="C293" t="inlineStr">
        <is>
          <t>Ella Potechin</t>
        </is>
      </c>
      <c r="D293">
        <f>HYPERLINK("https://ota.tournamentsoftware.com/player-profile/6611C50A-5A2F-4DF7-B99B-97DD644D2C2A", "Link")</f>
        <v/>
      </c>
      <c r="E293" s="3" t="n">
        <v>251.009</v>
      </c>
      <c r="F293" s="4" t="n">
        <v>16</v>
      </c>
      <c r="G293" t="inlineStr">
        <is>
          <t>Ontario Tennis Association</t>
        </is>
      </c>
      <c r="H293" t="inlineStr">
        <is>
          <t>Tennis Outaouais Performance (TOP) ON</t>
        </is>
      </c>
      <c r="I293" t="n">
        <v>34.9</v>
      </c>
      <c r="J293" s="4" t="n">
        <v>98</v>
      </c>
      <c r="K293" t="inlineStr">
        <is>
          <t>40 / 58</t>
        </is>
      </c>
      <c r="L293" t="inlineStr">
        <is>
          <t>23 / 22</t>
        </is>
      </c>
      <c r="M293" s="5" t="n">
        <v>0.41</v>
      </c>
      <c r="N293" s="5" t="n">
        <v>0.51</v>
      </c>
    </row>
    <row r="294">
      <c r="A294" t="n">
        <v>293</v>
      </c>
      <c r="B294" t="n">
        <v>2015</v>
      </c>
      <c r="C294" t="inlineStr">
        <is>
          <t>Lydia Huang</t>
        </is>
      </c>
      <c r="D294">
        <f>HYPERLINK("https://ota.tournamentsoftware.com/player-profile/C398C976-6D88-4D76-B532-8E986C6FF0EA", "Link")</f>
        <v/>
      </c>
      <c r="E294" s="3" t="n">
        <v>250.066</v>
      </c>
      <c r="F294" s="4" t="n">
        <v>31</v>
      </c>
      <c r="G294" t="inlineStr">
        <is>
          <t>Ontario Tennis Association</t>
        </is>
      </c>
      <c r="H294" t="inlineStr">
        <is>
          <t>The Supreme Court Tennis Club</t>
        </is>
      </c>
      <c r="I294" t="n">
        <v>32.4</v>
      </c>
      <c r="J294" s="4" t="n">
        <v>106</v>
      </c>
      <c r="K294" t="inlineStr">
        <is>
          <t>65 / 41</t>
        </is>
      </c>
      <c r="L294" t="inlineStr">
        <is>
          <t>36 / 23</t>
        </is>
      </c>
      <c r="M294" s="5" t="n">
        <v>0.61</v>
      </c>
      <c r="N294" s="5" t="n">
        <v>0.61</v>
      </c>
    </row>
    <row r="295">
      <c r="A295" t="n">
        <v>294</v>
      </c>
      <c r="B295" t="n">
        <v>2014</v>
      </c>
      <c r="C295" t="inlineStr">
        <is>
          <t>Emma Lajoie</t>
        </is>
      </c>
      <c r="D295">
        <f>HYPERLINK("https://ota.tournamentsoftware.com/player-profile/E1635D80-45C0-4A06-8270-280699032897", "Link")</f>
        <v/>
      </c>
      <c r="E295" s="3" t="n">
        <v>249.285</v>
      </c>
      <c r="F295" s="4" t="n">
        <v>20</v>
      </c>
      <c r="G295" t="inlineStr">
        <is>
          <t>Tennis Québec</t>
        </is>
      </c>
      <c r="H295" t="inlineStr">
        <is>
          <t>SANI Sport</t>
        </is>
      </c>
      <c r="I295" t="n">
        <v>33.1</v>
      </c>
      <c r="J295" s="4" t="n">
        <v>160</v>
      </c>
      <c r="K295" t="inlineStr">
        <is>
          <t>81 / 79</t>
        </is>
      </c>
      <c r="L295" t="inlineStr">
        <is>
          <t>19 / 23</t>
        </is>
      </c>
      <c r="M295" s="5" t="n">
        <v>0.51</v>
      </c>
      <c r="N295" s="5" t="n">
        <v>0.45</v>
      </c>
    </row>
    <row r="296">
      <c r="A296" t="n">
        <v>295</v>
      </c>
      <c r="B296" t="n">
        <v>2012</v>
      </c>
      <c r="C296" t="inlineStr">
        <is>
          <t>Shrreya Elkturi</t>
        </is>
      </c>
      <c r="D296">
        <f>HYPERLINK("https://ota.tournamentsoftware.com/player-profile/1A8DA0C1-51FB-48B8-8AED-D37DAB186E95", "Link")</f>
        <v/>
      </c>
      <c r="E296" s="3" t="n">
        <v>245.675</v>
      </c>
      <c r="F296" s="4" t="n">
        <v>22</v>
      </c>
      <c r="G296" t="inlineStr">
        <is>
          <t>Ontario Tennis Association</t>
        </is>
      </c>
      <c r="H296" t="inlineStr">
        <is>
          <t>No Club</t>
        </is>
      </c>
      <c r="I296" t="n">
        <v>32.7</v>
      </c>
      <c r="J296" s="4" t="n">
        <v>87</v>
      </c>
      <c r="K296" t="inlineStr">
        <is>
          <t>31 / 56</t>
        </is>
      </c>
      <c r="L296" t="inlineStr">
        <is>
          <t>16 / 18</t>
        </is>
      </c>
      <c r="M296" s="5" t="n">
        <v>0.36</v>
      </c>
      <c r="N296" s="5" t="n">
        <v>0.47</v>
      </c>
    </row>
    <row r="297">
      <c r="A297" t="n">
        <v>296</v>
      </c>
      <c r="B297" t="n">
        <v>2013</v>
      </c>
      <c r="C297" t="inlineStr">
        <is>
          <t>Ava Dancik</t>
        </is>
      </c>
      <c r="D297">
        <f>HYPERLINK("https://ota.tournamentsoftware.com/player-profile/CF808414-C0CE-4B07-9667-D3EE492D6BCE", "Link")</f>
        <v/>
      </c>
      <c r="E297" s="3" t="n">
        <v>245.24</v>
      </c>
      <c r="F297" s="4" t="n">
        <v>14</v>
      </c>
      <c r="G297" t="inlineStr">
        <is>
          <t>Tennis Québec</t>
        </is>
      </c>
      <c r="H297" t="inlineStr">
        <is>
          <t>Tennis de l'Île des Sœurs / École de tennis</t>
        </is>
      </c>
      <c r="I297" t="n">
        <v>31.5</v>
      </c>
      <c r="J297" s="4" t="n">
        <v>219</v>
      </c>
      <c r="K297" t="inlineStr">
        <is>
          <t>112 / 107</t>
        </is>
      </c>
      <c r="L297" t="inlineStr">
        <is>
          <t>16 / 10</t>
        </is>
      </c>
      <c r="M297" s="5" t="n">
        <v>0.51</v>
      </c>
      <c r="N297" s="5" t="n">
        <v>0.62</v>
      </c>
    </row>
    <row r="298">
      <c r="A298" t="n">
        <v>297</v>
      </c>
      <c r="B298" t="n">
        <v>2015</v>
      </c>
      <c r="C298" t="inlineStr">
        <is>
          <t>MASAL ELA YAZICI</t>
        </is>
      </c>
      <c r="D298">
        <f>HYPERLINK("https://ota.tournamentsoftware.com/player-profile/8556435C-B5F1-47A5-8C4A-46AF5B800D78", "Link")</f>
        <v/>
      </c>
      <c r="E298" s="3" t="n">
        <v>245.186</v>
      </c>
      <c r="F298" s="4" t="n">
        <v>23</v>
      </c>
      <c r="G298" t="inlineStr">
        <is>
          <t>Ontario Tennis Association</t>
        </is>
      </c>
      <c r="H298" t="inlineStr">
        <is>
          <t>Mayfair West Fitness &amp; Racquet Club</t>
        </is>
      </c>
      <c r="I298" t="n">
        <v>33.6</v>
      </c>
      <c r="J298" s="4" t="n">
        <v>62</v>
      </c>
      <c r="K298" t="inlineStr">
        <is>
          <t>37 / 25</t>
        </is>
      </c>
      <c r="L298" t="inlineStr">
        <is>
          <t>29 / 18</t>
        </is>
      </c>
      <c r="M298" s="5" t="n">
        <v>0.6</v>
      </c>
      <c r="N298" s="5" t="n">
        <v>0.62</v>
      </c>
    </row>
    <row r="299">
      <c r="A299" t="n">
        <v>298</v>
      </c>
      <c r="B299" t="n">
        <v>2016</v>
      </c>
      <c r="C299" t="inlineStr">
        <is>
          <t>Minna TAN</t>
        </is>
      </c>
      <c r="D299">
        <f>HYPERLINK("https://ota.tournamentsoftware.com/player-profile/4830D271-776A-41F3-B5D9-B5D2EC272CB4", "Link")</f>
        <v/>
      </c>
      <c r="E299" s="3" t="n">
        <v>244.921</v>
      </c>
      <c r="F299" s="4" t="n">
        <v>11</v>
      </c>
      <c r="G299" t="inlineStr">
        <is>
          <t>Tennis Québec</t>
        </is>
      </c>
      <c r="H299" t="inlineStr">
        <is>
          <t>Tennis Ile- des- Soeurs</t>
        </is>
      </c>
      <c r="I299" t="n">
        <v>31.7</v>
      </c>
      <c r="J299" s="4" t="n">
        <v>87</v>
      </c>
      <c r="K299" t="inlineStr">
        <is>
          <t>55 / 32</t>
        </is>
      </c>
      <c r="L299" t="inlineStr">
        <is>
          <t>23 / 7</t>
        </is>
      </c>
      <c r="M299" s="5" t="n">
        <v>0.63</v>
      </c>
      <c r="N299" s="5" t="n">
        <v>0.77</v>
      </c>
    </row>
    <row r="300">
      <c r="A300" t="n">
        <v>299</v>
      </c>
      <c r="B300" t="n">
        <v>2012</v>
      </c>
      <c r="C300" t="inlineStr">
        <is>
          <t>Sophia Zhang</t>
        </is>
      </c>
      <c r="D300">
        <f>HYPERLINK("https://ota.tournamentsoftware.com/player-profile/D3858E79-6F6D-42C3-B497-74590CD50165", "Link")</f>
        <v/>
      </c>
      <c r="E300" s="3" t="n">
        <v>242.786</v>
      </c>
      <c r="F300" s="4" t="n">
        <v>9</v>
      </c>
      <c r="G300" t="inlineStr">
        <is>
          <t>British Columbia</t>
        </is>
      </c>
      <c r="H300" t="inlineStr">
        <is>
          <t>Richmond Country Club</t>
        </is>
      </c>
      <c r="I300" t="n">
        <v>33.8</v>
      </c>
      <c r="J300" s="4" t="n">
        <v>122</v>
      </c>
      <c r="K300" t="inlineStr">
        <is>
          <t>33 / 89</t>
        </is>
      </c>
      <c r="L300" t="inlineStr">
        <is>
          <t>1 / 12</t>
        </is>
      </c>
      <c r="M300" s="5" t="n">
        <v>0.27</v>
      </c>
      <c r="N300" s="5" t="n">
        <v>0.08</v>
      </c>
    </row>
    <row r="301">
      <c r="A301" t="n">
        <v>300</v>
      </c>
      <c r="B301" t="n">
        <v>2012</v>
      </c>
      <c r="C301" t="inlineStr">
        <is>
          <t>MICHELLE OREANE OLA ECHAO</t>
        </is>
      </c>
      <c r="D301">
        <f>HYPERLINK("https://ota.tournamentsoftware.com/player-profile/50FA5AE5-9557-483C-94FB-05937E25C837", "Link")</f>
        <v/>
      </c>
      <c r="E301" s="3" t="n">
        <v>241.101</v>
      </c>
      <c r="F301" s="4" t="n">
        <v>9</v>
      </c>
      <c r="G301" t="inlineStr">
        <is>
          <t>Ontario Tennis Association</t>
        </is>
      </c>
      <c r="H301" t="inlineStr">
        <is>
          <t>Rideau Sports Centre</t>
        </is>
      </c>
      <c r="I301" t="n">
        <v>36.9</v>
      </c>
      <c r="J301" s="4" t="n">
        <v>55</v>
      </c>
      <c r="K301" t="inlineStr">
        <is>
          <t>12 / 43</t>
        </is>
      </c>
      <c r="L301" t="inlineStr">
        <is>
          <t>3 / 8</t>
        </is>
      </c>
      <c r="M301" s="5" t="n">
        <v>0.22</v>
      </c>
      <c r="N301" s="5" t="n">
        <v>0.27</v>
      </c>
    </row>
    <row r="302">
      <c r="A302" t="n">
        <v>301</v>
      </c>
      <c r="B302" t="n">
        <v>2015</v>
      </c>
      <c r="C302" t="inlineStr">
        <is>
          <t>Liana Arendain</t>
        </is>
      </c>
      <c r="D302">
        <f>HYPERLINK("https://ota.tournamentsoftware.com/player-profile/2D89D481-D621-43AF-8792-3F0114FE4D77", "Link")</f>
        <v/>
      </c>
      <c r="E302" s="3" t="n">
        <v>238.244</v>
      </c>
      <c r="F302" s="4" t="n">
        <v>20</v>
      </c>
      <c r="G302" t="inlineStr">
        <is>
          <t>Tennis Alberta</t>
        </is>
      </c>
      <c r="H302" t="inlineStr">
        <is>
          <t>Saville Community Sports Centre</t>
        </is>
      </c>
      <c r="I302" t="n">
        <v>31.1</v>
      </c>
      <c r="J302" s="4" t="n">
        <v>147</v>
      </c>
      <c r="K302" t="inlineStr">
        <is>
          <t>100 / 47</t>
        </is>
      </c>
      <c r="L302" t="inlineStr">
        <is>
          <t>33 / 19</t>
        </is>
      </c>
      <c r="M302" s="5" t="n">
        <v>0.68</v>
      </c>
      <c r="N302" s="5" t="n">
        <v>0.63</v>
      </c>
    </row>
    <row r="303">
      <c r="A303" t="n">
        <v>302</v>
      </c>
      <c r="B303" t="n">
        <v>2012</v>
      </c>
      <c r="C303" t="inlineStr">
        <is>
          <t>Ariella Wainer</t>
        </is>
      </c>
      <c r="D303">
        <f>HYPERLINK("https://ota.tournamentsoftware.com/player-profile/29A07F50-E6F3-4FFE-84BF-31DB048552D6", "Link")</f>
        <v/>
      </c>
      <c r="E303" s="3" t="n">
        <v>238.158</v>
      </c>
      <c r="F303" s="4" t="n">
        <v>21</v>
      </c>
      <c r="G303" t="inlineStr">
        <is>
          <t>Tennis Québec</t>
        </is>
      </c>
      <c r="H303" t="inlineStr">
        <is>
          <t>Club Sportif Côte-de-Liesse</t>
        </is>
      </c>
      <c r="I303" t="n">
        <v>34.9</v>
      </c>
      <c r="J303" s="4" t="n">
        <v>169</v>
      </c>
      <c r="K303" t="inlineStr">
        <is>
          <t>57 / 112</t>
        </is>
      </c>
      <c r="L303" t="inlineStr">
        <is>
          <t>3 / 17</t>
        </is>
      </c>
      <c r="M303" s="5" t="n">
        <v>0.34</v>
      </c>
      <c r="N303" s="5" t="n">
        <v>0.15</v>
      </c>
    </row>
    <row r="304">
      <c r="A304" t="n">
        <v>303</v>
      </c>
      <c r="B304" t="n">
        <v>2015</v>
      </c>
      <c r="C304" t="inlineStr">
        <is>
          <t>Violetta Munoz</t>
        </is>
      </c>
      <c r="D304">
        <f>HYPERLINK("https://ota.tournamentsoftware.com/player-profile/55FD2B42-2961-45DA-8250-9ECCED0E6566", "Link")</f>
        <v/>
      </c>
      <c r="E304" s="3" t="n">
        <v>236.517</v>
      </c>
      <c r="F304" s="4" t="n">
        <v>22</v>
      </c>
      <c r="G304" t="inlineStr">
        <is>
          <t>Tennis Québec</t>
        </is>
      </c>
      <c r="H304" t="inlineStr">
        <is>
          <t>Carrefour Multisports</t>
        </is>
      </c>
      <c r="I304" t="n">
        <v>32.4</v>
      </c>
      <c r="J304" s="4" t="n">
        <v>180</v>
      </c>
      <c r="K304" t="inlineStr">
        <is>
          <t>94 / 86</t>
        </is>
      </c>
      <c r="L304" t="inlineStr">
        <is>
          <t>23 / 21</t>
        </is>
      </c>
      <c r="M304" s="5" t="n">
        <v>0.52</v>
      </c>
      <c r="N304" s="5" t="n">
        <v>0.52</v>
      </c>
    </row>
    <row r="305">
      <c r="A305" t="n">
        <v>304</v>
      </c>
      <c r="B305" t="n">
        <v>2014</v>
      </c>
      <c r="C305" t="inlineStr">
        <is>
          <t>Penelope Anne McMillan</t>
        </is>
      </c>
      <c r="D305">
        <f>HYPERLINK("https://ota.tournamentsoftware.com/player-profile/D7699338-4FE5-4F30-9A7D-8E14842C2A9B", "Link")</f>
        <v/>
      </c>
      <c r="E305" s="3" t="n">
        <v>235.813</v>
      </c>
      <c r="F305" s="4" t="n">
        <v>9</v>
      </c>
      <c r="G305" t="inlineStr">
        <is>
          <t>Tennis Nova Scotia</t>
        </is>
      </c>
      <c r="H305" t="inlineStr">
        <is>
          <t>Atlantic Tennis Centre</t>
        </is>
      </c>
      <c r="I305" t="n">
        <v>35.7</v>
      </c>
      <c r="J305" s="4" t="n">
        <v>110</v>
      </c>
      <c r="K305" t="inlineStr">
        <is>
          <t>46 / 64</t>
        </is>
      </c>
      <c r="L305" t="inlineStr">
        <is>
          <t>16 / 24</t>
        </is>
      </c>
      <c r="M305" s="5" t="n">
        <v>0.42</v>
      </c>
      <c r="N305" s="5" t="n">
        <v>0.4</v>
      </c>
    </row>
    <row r="306">
      <c r="A306" t="n">
        <v>305</v>
      </c>
      <c r="B306" t="n">
        <v>2013</v>
      </c>
      <c r="C306" t="inlineStr">
        <is>
          <t>Hazel Sharma</t>
        </is>
      </c>
      <c r="D306">
        <f>HYPERLINK("https://ota.tournamentsoftware.com/player-profile/114D9BCA-C6DA-49E0-9F64-5FB54E5B0E3E", "Link")</f>
        <v/>
      </c>
      <c r="E306" s="3" t="n">
        <v>234.934</v>
      </c>
      <c r="F306" s="4" t="n">
        <v>15</v>
      </c>
      <c r="G306" t="inlineStr">
        <is>
          <t>British Columbia</t>
        </is>
      </c>
      <c r="H306" t="inlineStr">
        <is>
          <t>The Tennis Centre</t>
        </is>
      </c>
      <c r="I306" t="n">
        <v>32.6</v>
      </c>
      <c r="J306" s="4" t="n">
        <v>192</v>
      </c>
      <c r="K306" t="inlineStr">
        <is>
          <t>85 / 107</t>
        </is>
      </c>
      <c r="L306" t="inlineStr">
        <is>
          <t>16 / 12</t>
        </is>
      </c>
      <c r="M306" s="5" t="n">
        <v>0.44</v>
      </c>
      <c r="N306" s="5" t="n">
        <v>0.57</v>
      </c>
    </row>
    <row r="307">
      <c r="A307" t="n">
        <v>306</v>
      </c>
      <c r="B307" t="n">
        <v>2015</v>
      </c>
      <c r="C307" t="inlineStr">
        <is>
          <t>ESTHER HAO</t>
        </is>
      </c>
      <c r="D307">
        <f>HYPERLINK("https://ota.tournamentsoftware.com/player-profile/8EA584DE-3986-4803-A3AA-F96230F853A7", "Link")</f>
        <v/>
      </c>
      <c r="E307" s="3" t="n">
        <v>233.33</v>
      </c>
      <c r="F307" s="4" t="n">
        <v>15</v>
      </c>
      <c r="G307" t="inlineStr">
        <is>
          <t>Ontario Tennis Association</t>
        </is>
      </c>
      <c r="H307" t="inlineStr">
        <is>
          <t>Ontario Racquet Club</t>
        </is>
      </c>
      <c r="I307" t="n">
        <v>34.2</v>
      </c>
      <c r="J307" s="4" t="n">
        <v>215</v>
      </c>
      <c r="K307" t="inlineStr">
        <is>
          <t>131 / 84</t>
        </is>
      </c>
      <c r="L307" t="inlineStr">
        <is>
          <t>9 / 9</t>
        </is>
      </c>
      <c r="M307" s="5" t="n">
        <v>0.61</v>
      </c>
      <c r="N307" s="5" t="n">
        <v>0.5</v>
      </c>
    </row>
    <row r="308">
      <c r="A308" t="n">
        <v>307</v>
      </c>
      <c r="B308" t="n">
        <v>2015</v>
      </c>
      <c r="C308" t="inlineStr">
        <is>
          <t>Daniella Lynne Lee</t>
        </is>
      </c>
      <c r="D308">
        <f>HYPERLINK("https://ota.tournamentsoftware.com/player-profile/92FC49CB-246B-48E6-ABC3-903AA780449F", "Link")</f>
        <v/>
      </c>
      <c r="E308" s="3" t="n">
        <v>232.641</v>
      </c>
      <c r="F308" s="4" t="n">
        <v>27</v>
      </c>
      <c r="G308" t="inlineStr">
        <is>
          <t>British Columbia</t>
        </is>
      </c>
      <c r="H308" t="inlineStr">
        <is>
          <t>Arbutus Club</t>
        </is>
      </c>
      <c r="I308" t="n">
        <v>32.2</v>
      </c>
      <c r="J308" s="4" t="n">
        <v>134</v>
      </c>
      <c r="K308" t="inlineStr">
        <is>
          <t>69 / 65</t>
        </is>
      </c>
      <c r="L308" t="inlineStr">
        <is>
          <t>30 / 26</t>
        </is>
      </c>
      <c r="M308" s="5" t="n">
        <v>0.51</v>
      </c>
      <c r="N308" s="5" t="n">
        <v>0.54</v>
      </c>
    </row>
    <row r="309">
      <c r="A309" t="n">
        <v>308</v>
      </c>
      <c r="B309" t="n">
        <v>2016</v>
      </c>
      <c r="C309" t="inlineStr">
        <is>
          <t>Tanishka Varishtha Tripathi</t>
        </is>
      </c>
      <c r="D309">
        <f>HYPERLINK("https://ota.tournamentsoftware.com/player-profile/C966D3AB-F944-4405-A712-C5FA591776A1", "Link")</f>
        <v/>
      </c>
      <c r="E309" s="3" t="n">
        <v>232.274</v>
      </c>
      <c r="F309" s="4" t="n">
        <v>14</v>
      </c>
      <c r="G309" t="inlineStr">
        <is>
          <t>Ontario Tennis Association</t>
        </is>
      </c>
      <c r="H309" t="inlineStr">
        <is>
          <t>Tennis Outaouais Performance (TOP) ON</t>
        </is>
      </c>
      <c r="I309" t="n">
        <v>32.2</v>
      </c>
      <c r="J309" s="4" t="n">
        <v>151</v>
      </c>
      <c r="K309" t="inlineStr">
        <is>
          <t>111 / 40</t>
        </is>
      </c>
      <c r="L309" t="inlineStr">
        <is>
          <t>34 / 13</t>
        </is>
      </c>
      <c r="M309" s="5" t="n">
        <v>0.74</v>
      </c>
      <c r="N309" s="5" t="n">
        <v>0.72</v>
      </c>
    </row>
    <row r="310">
      <c r="A310" t="n">
        <v>309</v>
      </c>
      <c r="B310" t="n">
        <v>2015</v>
      </c>
      <c r="C310" t="inlineStr">
        <is>
          <t>Navena Thelepan</t>
        </is>
      </c>
      <c r="D310">
        <f>HYPERLINK("https://ota.tournamentsoftware.com/player-profile/811C2EA5-51E7-4FDE-BF82-1DF3D9D0AD27", "Link")</f>
        <v/>
      </c>
      <c r="E310" s="3" t="n">
        <v>231.661</v>
      </c>
      <c r="F310" s="4" t="n">
        <v>45</v>
      </c>
      <c r="G310" t="inlineStr">
        <is>
          <t>Ontario Tennis Association</t>
        </is>
      </c>
      <c r="H310" t="inlineStr">
        <is>
          <t>Markham Tennis Club</t>
        </is>
      </c>
      <c r="I310" t="n">
        <v>36.1</v>
      </c>
      <c r="J310" s="4" t="n">
        <v>148</v>
      </c>
      <c r="K310" t="inlineStr">
        <is>
          <t>66 / 82</t>
        </is>
      </c>
      <c r="L310" t="inlineStr">
        <is>
          <t>22 / 45</t>
        </is>
      </c>
      <c r="M310" s="5" t="n">
        <v>0.45</v>
      </c>
      <c r="N310" s="5" t="n">
        <v>0.33</v>
      </c>
    </row>
    <row r="311">
      <c r="A311" t="n">
        <v>310</v>
      </c>
      <c r="B311" t="n">
        <v>2012</v>
      </c>
      <c r="C311" t="inlineStr">
        <is>
          <t>Harsimran Kaur Sandhu</t>
        </is>
      </c>
      <c r="D311">
        <f>HYPERLINK("https://ota.tournamentsoftware.com/player-profile/10345BBC-2CC8-4DA1-AA88-2730495B6CB8", "Link")</f>
        <v/>
      </c>
      <c r="E311" s="3" t="n">
        <v>231.48</v>
      </c>
      <c r="F311" s="4" t="n">
        <v>26</v>
      </c>
      <c r="G311" t="inlineStr">
        <is>
          <t>Ontario Tennis Association</t>
        </is>
      </c>
      <c r="H311" t="inlineStr">
        <is>
          <t>Premier Racquet Clubs – Mississauga</t>
        </is>
      </c>
      <c r="I311" t="inlineStr">
        <is>
          <t>unavailable</t>
        </is>
      </c>
      <c r="J311" s="4" t="n">
        <v>111</v>
      </c>
      <c r="K311" t="inlineStr">
        <is>
          <t>50 / 61</t>
        </is>
      </c>
      <c r="L311" t="inlineStr">
        <is>
          <t>25 / 22</t>
        </is>
      </c>
      <c r="M311" s="5" t="n">
        <v>0.45</v>
      </c>
      <c r="N311" s="5" t="n">
        <v>0.53</v>
      </c>
    </row>
    <row r="312">
      <c r="A312" t="n">
        <v>311</v>
      </c>
      <c r="B312" t="n">
        <v>2015</v>
      </c>
      <c r="C312" t="inlineStr">
        <is>
          <t>Lacey Isabella Ly</t>
        </is>
      </c>
      <c r="D312">
        <f>HYPERLINK("https://ota.tournamentsoftware.com/player-profile/878918D3-5C76-4815-A98A-1D1A49BFC21F", "Link")</f>
        <v/>
      </c>
      <c r="E312" s="3" t="n">
        <v>231.26</v>
      </c>
      <c r="F312" s="4" t="n">
        <v>12</v>
      </c>
      <c r="G312" t="inlineStr">
        <is>
          <t>British Columbia</t>
        </is>
      </c>
      <c r="H312" t="inlineStr">
        <is>
          <t>The Tennis Centre</t>
        </is>
      </c>
      <c r="I312" t="n">
        <v>30.8</v>
      </c>
      <c r="J312" s="4" t="n">
        <v>133</v>
      </c>
      <c r="K312" t="inlineStr">
        <is>
          <t>100 / 33</t>
        </is>
      </c>
      <c r="L312" t="inlineStr">
        <is>
          <t>23 / 9</t>
        </is>
      </c>
      <c r="M312" s="5" t="n">
        <v>0.75</v>
      </c>
      <c r="N312" s="5" t="n">
        <v>0.72</v>
      </c>
    </row>
    <row r="313">
      <c r="A313" t="n">
        <v>312</v>
      </c>
      <c r="B313" t="n">
        <v>2014</v>
      </c>
      <c r="C313" t="inlineStr">
        <is>
          <t>Aryella Ainame Duran Khongwir</t>
        </is>
      </c>
      <c r="D313">
        <f>HYPERLINK("https://ota.tournamentsoftware.com/player-profile/6DB3D46F-3C74-400D-92A4-62CF55426936", "Link")</f>
        <v/>
      </c>
      <c r="E313" s="3" t="n">
        <v>230.594</v>
      </c>
      <c r="F313" s="4" t="n">
        <v>19</v>
      </c>
      <c r="G313" t="inlineStr">
        <is>
          <t>Ontario Tennis Association</t>
        </is>
      </c>
      <c r="H313" t="inlineStr">
        <is>
          <t>Stefanovic Tennis Academy</t>
        </is>
      </c>
      <c r="I313" t="n">
        <v>34.7</v>
      </c>
      <c r="J313" s="4" t="n">
        <v>180</v>
      </c>
      <c r="K313" t="inlineStr">
        <is>
          <t>50 / 130</t>
        </is>
      </c>
      <c r="L313" t="inlineStr">
        <is>
          <t>16 / 18</t>
        </is>
      </c>
      <c r="M313" s="5" t="n">
        <v>0.28</v>
      </c>
      <c r="N313" s="5" t="n">
        <v>0.47</v>
      </c>
    </row>
    <row r="314">
      <c r="A314" t="n">
        <v>313</v>
      </c>
      <c r="B314" t="n">
        <v>2015</v>
      </c>
      <c r="C314" t="inlineStr">
        <is>
          <t>Kiyara Dinuli Hinidumarachchi</t>
        </is>
      </c>
      <c r="D314">
        <f>HYPERLINK("https://ota.tournamentsoftware.com/player-profile/FD2638E4-B06D-478E-9F5A-FE51B9EC8DF8", "Link")</f>
        <v/>
      </c>
      <c r="E314" s="3" t="n">
        <v>229.928</v>
      </c>
      <c r="F314" s="4" t="n">
        <v>17</v>
      </c>
      <c r="G314" t="inlineStr">
        <is>
          <t>Ontario Tennis Association</t>
        </is>
      </c>
      <c r="H314" t="inlineStr">
        <is>
          <t>Sarnia Tennis Club</t>
        </is>
      </c>
      <c r="I314" t="inlineStr">
        <is>
          <t>unavailable</t>
        </is>
      </c>
      <c r="J314" s="4" t="n">
        <v>157</v>
      </c>
      <c r="K314" t="inlineStr">
        <is>
          <t>96 / 61</t>
        </is>
      </c>
      <c r="L314" t="inlineStr">
        <is>
          <t>11 / 15</t>
        </is>
      </c>
      <c r="M314" s="5" t="n">
        <v>0.61</v>
      </c>
      <c r="N314" s="5" t="n">
        <v>0.42</v>
      </c>
    </row>
    <row r="315">
      <c r="A315" t="n">
        <v>314</v>
      </c>
      <c r="B315" t="n">
        <v>2012</v>
      </c>
      <c r="C315" t="inlineStr">
        <is>
          <t>Charlotte Gal</t>
        </is>
      </c>
      <c r="D315">
        <f>HYPERLINK("https://ota.tournamentsoftware.com/player-profile/EF0AF614-E6CE-4E3C-9FC4-7EF8A5EB6B57", "Link")</f>
        <v/>
      </c>
      <c r="E315" s="3" t="n">
        <v>229.165</v>
      </c>
      <c r="F315" s="4" t="n">
        <v>4</v>
      </c>
      <c r="G315" t="inlineStr">
        <is>
          <t>Tennis Nova Scotia</t>
        </is>
      </c>
      <c r="H315" t="inlineStr">
        <is>
          <t>HEADSTART</t>
        </is>
      </c>
      <c r="I315" t="n">
        <v>37.1</v>
      </c>
      <c r="J315" s="4" t="n">
        <v>24</v>
      </c>
      <c r="K315" t="inlineStr">
        <is>
          <t>6 / 18</t>
        </is>
      </c>
      <c r="L315" t="inlineStr">
        <is>
          <t>2 / 12</t>
        </is>
      </c>
      <c r="M315" s="5" t="n">
        <v>0.25</v>
      </c>
      <c r="N315" s="5" t="n">
        <v>0.14</v>
      </c>
    </row>
    <row r="316">
      <c r="A316" t="n">
        <v>315</v>
      </c>
      <c r="B316" t="n">
        <v>2012</v>
      </c>
      <c r="C316" t="inlineStr">
        <is>
          <t>Jamie Cui</t>
        </is>
      </c>
      <c r="D316">
        <f>HYPERLINK("https://ota.tournamentsoftware.com/player-profile/6F7B90A5-BECB-44C9-9B4E-74FED8443672", "Link")</f>
        <v/>
      </c>
      <c r="E316" s="3" t="n">
        <v>228.114</v>
      </c>
      <c r="F316" s="4" t="n">
        <v>19</v>
      </c>
      <c r="G316" t="inlineStr">
        <is>
          <t>British Columbia</t>
        </is>
      </c>
      <c r="H316" t="inlineStr">
        <is>
          <t>Coquitlam Tennis Club</t>
        </is>
      </c>
      <c r="I316" t="inlineStr">
        <is>
          <t>unavailable</t>
        </is>
      </c>
      <c r="J316" s="4" t="n">
        <v>173</v>
      </c>
      <c r="K316" t="inlineStr">
        <is>
          <t>49 / 124</t>
        </is>
      </c>
      <c r="L316" t="inlineStr">
        <is>
          <t>12 / 21</t>
        </is>
      </c>
      <c r="M316" s="5" t="n">
        <v>0.28</v>
      </c>
      <c r="N316" s="5" t="n">
        <v>0.36</v>
      </c>
    </row>
    <row r="317">
      <c r="A317" t="n">
        <v>316</v>
      </c>
      <c r="B317" t="n">
        <v>2012</v>
      </c>
      <c r="C317" t="inlineStr">
        <is>
          <t>Saroop Randhawa</t>
        </is>
      </c>
      <c r="D317">
        <f>HYPERLINK("https://ota.tournamentsoftware.com/player-profile/5F710ADB-6059-4376-8917-220BAD95C9B2", "Link")</f>
        <v/>
      </c>
      <c r="E317" s="3" t="n">
        <v>228</v>
      </c>
      <c r="F317" s="4" t="n">
        <v>2</v>
      </c>
      <c r="G317" t="inlineStr">
        <is>
          <t>Ontario Tennis Association</t>
        </is>
      </c>
      <c r="H317" t="inlineStr">
        <is>
          <t>Advantage Tennis International at Veneto</t>
        </is>
      </c>
      <c r="I317" t="n">
        <v>22.5</v>
      </c>
      <c r="J317" s="4" t="n">
        <v>155</v>
      </c>
      <c r="K317" t="inlineStr">
        <is>
          <t>115 / 40</t>
        </is>
      </c>
      <c r="L317" t="inlineStr">
        <is>
          <t>5 / 0</t>
        </is>
      </c>
      <c r="M317" s="5" t="n">
        <v>0.74</v>
      </c>
      <c r="N317" s="5" t="n">
        <v>1</v>
      </c>
    </row>
    <row r="318">
      <c r="A318" t="n">
        <v>317</v>
      </c>
      <c r="B318" t="n">
        <v>2012</v>
      </c>
      <c r="C318" t="inlineStr">
        <is>
          <t>Mavis Li</t>
        </is>
      </c>
      <c r="D318">
        <f>HYPERLINK("https://ota.tournamentsoftware.com/player-profile/FC8D1AE6-D9A0-409A-A095-1B2C12EDB359", "Link")</f>
        <v/>
      </c>
      <c r="E318" s="3" t="n">
        <v>224.257</v>
      </c>
      <c r="F318" s="4" t="n">
        <v>22</v>
      </c>
      <c r="G318" t="inlineStr">
        <is>
          <t>Ontario Tennis Association</t>
        </is>
      </c>
      <c r="H318" t="inlineStr">
        <is>
          <t>Blackmore Tennis Club</t>
        </is>
      </c>
      <c r="I318" t="n">
        <v>35.4</v>
      </c>
      <c r="J318" s="4" t="n">
        <v>67</v>
      </c>
      <c r="K318" t="inlineStr">
        <is>
          <t>24 / 43</t>
        </is>
      </c>
      <c r="L318" t="inlineStr">
        <is>
          <t>9 / 26</t>
        </is>
      </c>
      <c r="M318" s="5" t="n">
        <v>0.36</v>
      </c>
      <c r="N318" s="5" t="n">
        <v>0.26</v>
      </c>
    </row>
    <row r="319">
      <c r="A319" t="n">
        <v>318</v>
      </c>
      <c r="B319" t="n">
        <v>2014</v>
      </c>
      <c r="C319" t="inlineStr">
        <is>
          <t>Skylar Isabelle JOHNSTON</t>
        </is>
      </c>
      <c r="D319">
        <f>HYPERLINK("https://ota.tournamentsoftware.com/player-profile/18CCEC3F-12DA-4A55-A300-393E64FB4F6E", "Link")</f>
        <v/>
      </c>
      <c r="E319" s="3" t="n">
        <v>223.404</v>
      </c>
      <c r="F319" s="4" t="n">
        <v>12</v>
      </c>
      <c r="G319" t="inlineStr">
        <is>
          <t>Tennis Nova Scotia</t>
        </is>
      </c>
      <c r="H319" t="inlineStr">
        <is>
          <t>Gordon Hughes Tennis Club</t>
        </is>
      </c>
      <c r="I319" t="n">
        <v>32.8</v>
      </c>
      <c r="J319" s="4" t="n">
        <v>98</v>
      </c>
      <c r="K319" t="inlineStr">
        <is>
          <t>49 / 49</t>
        </is>
      </c>
      <c r="L319" t="inlineStr">
        <is>
          <t>28 / 16</t>
        </is>
      </c>
      <c r="M319" s="5" t="n">
        <v>0.5</v>
      </c>
      <c r="N319" s="5" t="n">
        <v>0.64</v>
      </c>
    </row>
    <row r="320">
      <c r="A320" t="n">
        <v>319</v>
      </c>
      <c r="B320" t="n">
        <v>2013</v>
      </c>
      <c r="C320" t="inlineStr">
        <is>
          <t>Léa Crépault</t>
        </is>
      </c>
      <c r="D320">
        <f>HYPERLINK("https://ota.tournamentsoftware.com/player-profile/A3D2A82D-C6E8-410C-A1B3-E5DC3B845B7A", "Link")</f>
        <v/>
      </c>
      <c r="E320" s="3" t="n">
        <v>219.739</v>
      </c>
      <c r="F320" s="4" t="n">
        <v>22</v>
      </c>
      <c r="G320" t="inlineStr">
        <is>
          <t>Tennis Québec</t>
        </is>
      </c>
      <c r="H320" t="inlineStr">
        <is>
          <t>EB Tennis inc.</t>
        </is>
      </c>
      <c r="I320" t="n">
        <v>34.7</v>
      </c>
      <c r="J320" s="4" t="n">
        <v>161</v>
      </c>
      <c r="K320" t="inlineStr">
        <is>
          <t>45 / 116</t>
        </is>
      </c>
      <c r="L320" t="inlineStr">
        <is>
          <t>9 / 17</t>
        </is>
      </c>
      <c r="M320" s="5" t="n">
        <v>0.28</v>
      </c>
      <c r="N320" s="5" t="n">
        <v>0.35</v>
      </c>
    </row>
    <row r="321">
      <c r="A321" t="n">
        <v>320</v>
      </c>
      <c r="B321" t="n">
        <v>2013</v>
      </c>
      <c r="C321" t="inlineStr">
        <is>
          <t>Makayla Najjar</t>
        </is>
      </c>
      <c r="D321">
        <f>HYPERLINK("https://ota.tournamentsoftware.com/player-profile/A931D3E2-A84F-4018-9B2A-A1664811863E", "Link")</f>
        <v/>
      </c>
      <c r="E321" s="3" t="n">
        <v>219.584</v>
      </c>
      <c r="F321" s="4" t="n">
        <v>13</v>
      </c>
      <c r="G321" t="inlineStr">
        <is>
          <t>Ontario Tennis Association</t>
        </is>
      </c>
      <c r="H321" t="inlineStr">
        <is>
          <t>Premier Racquet Clubs – Mississauga</t>
        </is>
      </c>
      <c r="I321" t="n">
        <v>33.3</v>
      </c>
      <c r="J321" s="4" t="n">
        <v>90</v>
      </c>
      <c r="K321" t="inlineStr">
        <is>
          <t>60 / 30</t>
        </is>
      </c>
      <c r="L321" t="inlineStr">
        <is>
          <t>17 / 11</t>
        </is>
      </c>
      <c r="M321" s="5" t="n">
        <v>0.67</v>
      </c>
      <c r="N321" s="5" t="n">
        <v>0.61</v>
      </c>
    </row>
    <row r="322">
      <c r="A322" t="n">
        <v>321</v>
      </c>
      <c r="B322" t="n">
        <v>2015</v>
      </c>
      <c r="C322" t="inlineStr">
        <is>
          <t>Mikaëlla Jean-Bart</t>
        </is>
      </c>
      <c r="D322">
        <f>HYPERLINK("https://ota.tournamentsoftware.com/player-profile/5309814B-24E5-4F46-920F-74FD0DAF8C7D", "Link")</f>
        <v/>
      </c>
      <c r="E322" s="3" t="n">
        <v>218.826</v>
      </c>
      <c r="F322" s="4" t="n">
        <v>16</v>
      </c>
      <c r="G322" t="inlineStr">
        <is>
          <t>Tennis Québec</t>
        </is>
      </c>
      <c r="H322" t="inlineStr">
        <is>
          <t>Centre récréatif de Repentigny / Académie Tennis Momentum</t>
        </is>
      </c>
      <c r="I322" t="n">
        <v>34.1</v>
      </c>
      <c r="J322" s="4" t="n">
        <v>76</v>
      </c>
      <c r="K322" t="inlineStr">
        <is>
          <t>32 / 44</t>
        </is>
      </c>
      <c r="L322" t="inlineStr">
        <is>
          <t>15 / 16</t>
        </is>
      </c>
      <c r="M322" s="5" t="n">
        <v>0.42</v>
      </c>
      <c r="N322" s="5" t="n">
        <v>0.48</v>
      </c>
    </row>
    <row r="323">
      <c r="A323" t="n">
        <v>322</v>
      </c>
      <c r="B323" t="n">
        <v>2013</v>
      </c>
      <c r="C323" t="inlineStr">
        <is>
          <t>Helena Shengyi Chen</t>
        </is>
      </c>
      <c r="D323">
        <f>HYPERLINK("https://ota.tournamentsoftware.com/player-profile/097D6397-0826-4C15-948E-B983C1D748F4", "Link")</f>
        <v/>
      </c>
      <c r="E323" s="3" t="n">
        <v>218.438</v>
      </c>
      <c r="F323" s="4" t="n">
        <v>15</v>
      </c>
      <c r="G323" t="inlineStr">
        <is>
          <t>British Columbia</t>
        </is>
      </c>
      <c r="H323" t="inlineStr">
        <is>
          <t>Tennis BC Hub @ Richmond</t>
        </is>
      </c>
      <c r="I323" t="n">
        <v>32.9</v>
      </c>
      <c r="J323" s="4" t="n">
        <v>118</v>
      </c>
      <c r="K323" t="inlineStr">
        <is>
          <t>50 / 68</t>
        </is>
      </c>
      <c r="L323" t="inlineStr">
        <is>
          <t>13 / 17</t>
        </is>
      </c>
      <c r="M323" s="5" t="n">
        <v>0.42</v>
      </c>
      <c r="N323" s="5" t="n">
        <v>0.43</v>
      </c>
    </row>
    <row r="324">
      <c r="A324" t="n">
        <v>323</v>
      </c>
      <c r="B324" t="n">
        <v>2015</v>
      </c>
      <c r="C324" t="inlineStr">
        <is>
          <t>Kayla Chevez</t>
        </is>
      </c>
      <c r="D324">
        <f>HYPERLINK("https://ota.tournamentsoftware.com/player-profile/EE941149-B269-44AA-A65B-D00099EE4086", "Link")</f>
        <v/>
      </c>
      <c r="E324" s="3" t="n">
        <v>218.12</v>
      </c>
      <c r="F324" s="4" t="n">
        <v>27</v>
      </c>
      <c r="G324" t="inlineStr">
        <is>
          <t>Tennis Québec</t>
        </is>
      </c>
      <c r="H324" t="inlineStr">
        <is>
          <t>Tennis Montréal Excellence</t>
        </is>
      </c>
      <c r="I324" t="n">
        <v>33.8</v>
      </c>
      <c r="J324" s="4" t="n">
        <v>148</v>
      </c>
      <c r="K324" t="inlineStr">
        <is>
          <t>72 / 76</t>
        </is>
      </c>
      <c r="L324" t="inlineStr">
        <is>
          <t>21 / 25</t>
        </is>
      </c>
      <c r="M324" s="5" t="n">
        <v>0.49</v>
      </c>
      <c r="N324" s="5" t="n">
        <v>0.46</v>
      </c>
    </row>
    <row r="325">
      <c r="A325" t="n">
        <v>324</v>
      </c>
      <c r="B325" t="n">
        <v>2013</v>
      </c>
      <c r="C325" t="inlineStr">
        <is>
          <t>Alma Safinia</t>
        </is>
      </c>
      <c r="D325">
        <f>HYPERLINK("https://ota.tournamentsoftware.com/player-profile/5EF88718-BF69-42BC-A643-1C11174AD1CB", "Link")</f>
        <v/>
      </c>
      <c r="E325" s="3" t="n">
        <v>217.826</v>
      </c>
      <c r="F325" s="4" t="n">
        <v>2</v>
      </c>
      <c r="G325" t="inlineStr">
        <is>
          <t>Tennis Nova Scotia</t>
        </is>
      </c>
      <c r="H325" t="inlineStr">
        <is>
          <t>Atlantic Tennis Centre</t>
        </is>
      </c>
      <c r="I325" t="n">
        <v>33.9</v>
      </c>
      <c r="J325" s="4" t="n">
        <v>26</v>
      </c>
      <c r="K325" t="inlineStr">
        <is>
          <t>13 / 13</t>
        </is>
      </c>
      <c r="L325" t="inlineStr">
        <is>
          <t>2 / 5</t>
        </is>
      </c>
      <c r="M325" s="5" t="n">
        <v>0.5</v>
      </c>
      <c r="N325" s="5" t="n">
        <v>0.29</v>
      </c>
    </row>
    <row r="326">
      <c r="A326" t="n">
        <v>325</v>
      </c>
      <c r="B326" t="n">
        <v>2012</v>
      </c>
      <c r="C326" t="inlineStr">
        <is>
          <t>Clémence Martin</t>
        </is>
      </c>
      <c r="D326">
        <f>HYPERLINK("https://ota.tournamentsoftware.com/player-profile/CF2B02DD-EFB8-49FD-8774-B98F78A30C1A", "Link")</f>
        <v/>
      </c>
      <c r="E326" s="3" t="n">
        <v>216.993</v>
      </c>
      <c r="F326" s="4" t="n">
        <v>5</v>
      </c>
      <c r="G326" t="inlineStr">
        <is>
          <t>Tennis Québec</t>
        </is>
      </c>
      <c r="H326" t="inlineStr">
        <is>
          <t>Centre sportif Sport Scène / Élite Tennis Académie</t>
        </is>
      </c>
      <c r="I326" t="n">
        <v>31.3</v>
      </c>
      <c r="J326" s="4" t="n">
        <v>34</v>
      </c>
      <c r="K326" t="inlineStr">
        <is>
          <t>19 / 15</t>
        </is>
      </c>
      <c r="L326" t="inlineStr">
        <is>
          <t>5 / 5</t>
        </is>
      </c>
      <c r="M326" s="5" t="n">
        <v>0.5600000000000001</v>
      </c>
      <c r="N326" s="5" t="n">
        <v>0.5</v>
      </c>
    </row>
    <row r="327">
      <c r="A327" t="n">
        <v>326</v>
      </c>
      <c r="B327" t="n">
        <v>2015</v>
      </c>
      <c r="C327" t="inlineStr">
        <is>
          <t>Yasmine Maazouz</t>
        </is>
      </c>
      <c r="D327">
        <f>HYPERLINK("https://ota.tournamentsoftware.com/player-profile/004E04F8-71A7-4C1F-B42C-805F1590C456", "Link")</f>
        <v/>
      </c>
      <c r="E327" s="3" t="n">
        <v>215.212</v>
      </c>
      <c r="F327" s="4" t="n">
        <v>8</v>
      </c>
      <c r="G327" t="inlineStr">
        <is>
          <t>Tennis Québec</t>
        </is>
      </c>
      <c r="H327" t="inlineStr">
        <is>
          <t>Tennis Montréal Excellence</t>
        </is>
      </c>
      <c r="I327" t="n">
        <v>31.3</v>
      </c>
      <c r="J327" s="4" t="n">
        <v>116</v>
      </c>
      <c r="K327" t="inlineStr">
        <is>
          <t>69 / 47</t>
        </is>
      </c>
      <c r="L327" t="inlineStr">
        <is>
          <t>20 / 8</t>
        </is>
      </c>
      <c r="M327" s="5" t="n">
        <v>0.59</v>
      </c>
      <c r="N327" s="5" t="n">
        <v>0.71</v>
      </c>
    </row>
    <row r="328">
      <c r="A328" t="n">
        <v>327</v>
      </c>
      <c r="B328" t="n">
        <v>2014</v>
      </c>
      <c r="C328" t="inlineStr">
        <is>
          <t>Esabel Liu</t>
        </is>
      </c>
      <c r="D328">
        <f>HYPERLINK("https://ota.tournamentsoftware.com/player-profile/03274A3B-556F-4321-880B-2AF255E6A817", "Link")</f>
        <v/>
      </c>
      <c r="E328" s="3" t="n">
        <v>212.86</v>
      </c>
      <c r="F328" s="4" t="n">
        <v>20</v>
      </c>
      <c r="G328" t="inlineStr">
        <is>
          <t>British Columbia</t>
        </is>
      </c>
      <c r="H328" t="inlineStr">
        <is>
          <t>North Vancouver Tennis Centre</t>
        </is>
      </c>
      <c r="I328" t="n">
        <v>29.9</v>
      </c>
      <c r="J328" s="4" t="n">
        <v>229</v>
      </c>
      <c r="K328" t="inlineStr">
        <is>
          <t>143 / 86</t>
        </is>
      </c>
      <c r="L328" t="inlineStr">
        <is>
          <t>35 / 20</t>
        </is>
      </c>
      <c r="M328" s="5" t="n">
        <v>0.62</v>
      </c>
      <c r="N328" s="5" t="n">
        <v>0.64</v>
      </c>
    </row>
    <row r="329">
      <c r="A329" t="n">
        <v>328</v>
      </c>
      <c r="B329" t="n">
        <v>2013</v>
      </c>
      <c r="C329" t="inlineStr">
        <is>
          <t>Annabelle Chen</t>
        </is>
      </c>
      <c r="D329">
        <f>HYPERLINK("https://ota.tournamentsoftware.com/player-profile/E532A343-867C-4B97-BCB3-998A28EC84A8", "Link")</f>
        <v/>
      </c>
      <c r="E329" s="3" t="n">
        <v>208.256</v>
      </c>
      <c r="F329" s="4" t="n">
        <v>8</v>
      </c>
      <c r="G329" t="inlineStr">
        <is>
          <t>British Columbia</t>
        </is>
      </c>
      <c r="H329" t="inlineStr">
        <is>
          <t>UBC Tennis Centre</t>
        </is>
      </c>
      <c r="I329" t="n">
        <v>32</v>
      </c>
      <c r="J329" s="4" t="n">
        <v>152</v>
      </c>
      <c r="K329" t="inlineStr">
        <is>
          <t>84 / 68</t>
        </is>
      </c>
      <c r="L329" t="inlineStr">
        <is>
          <t>0 / 4</t>
        </is>
      </c>
      <c r="M329" s="5" t="n">
        <v>0.55</v>
      </c>
      <c r="N329" s="5" t="n">
        <v>0</v>
      </c>
    </row>
    <row r="330">
      <c r="A330" t="n">
        <v>329</v>
      </c>
      <c r="B330" t="n">
        <v>2012</v>
      </c>
      <c r="C330" t="inlineStr">
        <is>
          <t>Ruoyu Wang</t>
        </is>
      </c>
      <c r="D330">
        <f>HYPERLINK("https://ota.tournamentsoftware.com/player-profile/BF1A51BB-FF4F-417F-AE41-0914B75C7FF1", "Link")</f>
        <v/>
      </c>
      <c r="E330" s="3" t="n">
        <v>206.594</v>
      </c>
      <c r="F330" s="4" t="n">
        <v>13</v>
      </c>
      <c r="G330" t="inlineStr">
        <is>
          <t>Tennis Québec</t>
        </is>
      </c>
      <c r="H330" t="inlineStr">
        <is>
          <t>Tennis 13</t>
        </is>
      </c>
      <c r="I330" t="inlineStr">
        <is>
          <t>unavailable</t>
        </is>
      </c>
      <c r="J330" s="4" t="n">
        <v>23</v>
      </c>
      <c r="K330" t="inlineStr">
        <is>
          <t>7 / 16</t>
        </is>
      </c>
      <c r="L330" t="inlineStr">
        <is>
          <t>6 / 10</t>
        </is>
      </c>
      <c r="M330" s="5" t="n">
        <v>0.3</v>
      </c>
      <c r="N330" s="5" t="n">
        <v>0.38</v>
      </c>
    </row>
    <row r="331">
      <c r="A331" t="n">
        <v>330</v>
      </c>
      <c r="B331" t="n">
        <v>2014</v>
      </c>
      <c r="C331" t="inlineStr">
        <is>
          <t>Vida Jeftic</t>
        </is>
      </c>
      <c r="D331">
        <f>HYPERLINK("https://ota.tournamentsoftware.com/player-profile/5A42C908-572E-4E42-A8CB-609FCF083DE9", "Link")</f>
        <v/>
      </c>
      <c r="E331" s="3" t="n">
        <v>206.56</v>
      </c>
      <c r="F331" s="4" t="n">
        <v>9</v>
      </c>
      <c r="G331" t="inlineStr">
        <is>
          <t>Ontario Tennis Association</t>
        </is>
      </c>
      <c r="H331" t="inlineStr">
        <is>
          <t>Parkside Tennis Club</t>
        </is>
      </c>
      <c r="I331" t="n">
        <v>30.8</v>
      </c>
      <c r="J331" s="4" t="n">
        <v>38</v>
      </c>
      <c r="K331" t="inlineStr">
        <is>
          <t>27 / 11</t>
        </is>
      </c>
      <c r="L331" t="inlineStr">
        <is>
          <t>11 / 4</t>
        </is>
      </c>
      <c r="M331" s="5" t="n">
        <v>0.71</v>
      </c>
      <c r="N331" s="5" t="n">
        <v>0.73</v>
      </c>
    </row>
    <row r="332">
      <c r="A332" t="n">
        <v>331</v>
      </c>
      <c r="B332" t="n">
        <v>2014</v>
      </c>
      <c r="C332" t="inlineStr">
        <is>
          <t>Dora Zhang</t>
        </is>
      </c>
      <c r="D332">
        <f>HYPERLINK("https://ota.tournamentsoftware.com/player-profile/3772BD57-A73E-4652-86C8-E1885FE20DCF", "Link")</f>
        <v/>
      </c>
      <c r="E332" s="3" t="n">
        <v>205.59</v>
      </c>
      <c r="F332" s="4" t="n">
        <v>14</v>
      </c>
      <c r="G332" t="inlineStr">
        <is>
          <t>Ontario Tennis Association</t>
        </is>
      </c>
      <c r="H332" t="inlineStr">
        <is>
          <t>Toronto Tennis City</t>
        </is>
      </c>
      <c r="I332" t="n">
        <v>33.1</v>
      </c>
      <c r="J332" s="4" t="n">
        <v>50</v>
      </c>
      <c r="K332" t="inlineStr">
        <is>
          <t>36 / 14</t>
        </is>
      </c>
      <c r="L332" t="inlineStr">
        <is>
          <t>5 / 4</t>
        </is>
      </c>
      <c r="M332" s="5" t="n">
        <v>0.72</v>
      </c>
      <c r="N332" s="5" t="n">
        <v>0.5600000000000001</v>
      </c>
    </row>
    <row r="333">
      <c r="A333" t="n">
        <v>332</v>
      </c>
      <c r="B333" t="n">
        <v>2014</v>
      </c>
      <c r="C333" t="inlineStr">
        <is>
          <t>Alexandra Strgacic</t>
        </is>
      </c>
      <c r="D333">
        <f>HYPERLINK("https://ota.tournamentsoftware.com/player-profile/C809B120-C1B7-4F85-B411-257E3DC9B63B", "Link")</f>
        <v/>
      </c>
      <c r="E333" s="3" t="n">
        <v>205.183</v>
      </c>
      <c r="F333" s="4" t="n">
        <v>6</v>
      </c>
      <c r="G333" t="inlineStr">
        <is>
          <t>Ontario Tennis Association</t>
        </is>
      </c>
      <c r="H333" t="inlineStr">
        <is>
          <t>Advantage Tennis International at Veneto</t>
        </is>
      </c>
      <c r="I333" t="n">
        <v>33.5</v>
      </c>
      <c r="J333" s="4" t="n">
        <v>165</v>
      </c>
      <c r="K333" t="inlineStr">
        <is>
          <t>96 / 69</t>
        </is>
      </c>
      <c r="L333" t="inlineStr">
        <is>
          <t>3 / 5</t>
        </is>
      </c>
      <c r="M333" s="5" t="n">
        <v>0.58</v>
      </c>
      <c r="N333" s="5" t="n">
        <v>0.38</v>
      </c>
    </row>
    <row r="334">
      <c r="A334" t="n">
        <v>333</v>
      </c>
      <c r="B334" t="n">
        <v>2013</v>
      </c>
      <c r="C334" t="inlineStr">
        <is>
          <t>Ella Iva Mavretic</t>
        </is>
      </c>
      <c r="D334">
        <f>HYPERLINK("https://ota.tournamentsoftware.com/player-profile/CF99D041-FAEF-47A9-BBE6-3D6335355408", "Link")</f>
        <v/>
      </c>
      <c r="E334" s="3" t="n">
        <v>203.735</v>
      </c>
      <c r="F334" s="4" t="n">
        <v>11</v>
      </c>
      <c r="G334" t="inlineStr">
        <is>
          <t>Ontario Tennis Association</t>
        </is>
      </c>
      <c r="H334" t="inlineStr">
        <is>
          <t>Pinafore Park</t>
        </is>
      </c>
      <c r="I334" t="n">
        <v>34.8</v>
      </c>
      <c r="J334" s="4" t="n">
        <v>198</v>
      </c>
      <c r="K334" t="inlineStr">
        <is>
          <t>88 / 110</t>
        </is>
      </c>
      <c r="L334" t="inlineStr">
        <is>
          <t>4 / 6</t>
        </is>
      </c>
      <c r="M334" s="5" t="n">
        <v>0.44</v>
      </c>
      <c r="N334" s="5" t="n">
        <v>0.4</v>
      </c>
    </row>
    <row r="335">
      <c r="A335" t="n">
        <v>334</v>
      </c>
      <c r="B335" t="n">
        <v>2014</v>
      </c>
      <c r="C335" t="inlineStr">
        <is>
          <t>Freya Jiaxin He</t>
        </is>
      </c>
      <c r="D335">
        <f>HYPERLINK("https://ota.tournamentsoftware.com/player-profile/8C1C07F2-C769-4A85-8385-40B14C9CD709", "Link")</f>
        <v/>
      </c>
      <c r="E335" s="3" t="n">
        <v>203.592</v>
      </c>
      <c r="F335" s="4" t="n">
        <v>6</v>
      </c>
      <c r="G335" t="inlineStr">
        <is>
          <t>Tennis Prince Edward Island</t>
        </is>
      </c>
      <c r="H335" t="inlineStr">
        <is>
          <t>Charlottetown Recreation Tennis Group</t>
        </is>
      </c>
      <c r="I335" t="n">
        <v>31.9</v>
      </c>
      <c r="J335" s="4" t="n">
        <v>104</v>
      </c>
      <c r="K335" t="inlineStr">
        <is>
          <t>58 / 46</t>
        </is>
      </c>
      <c r="L335" t="inlineStr">
        <is>
          <t>19 / 7</t>
        </is>
      </c>
      <c r="M335" s="5" t="n">
        <v>0.5600000000000001</v>
      </c>
      <c r="N335" s="5" t="n">
        <v>0.73</v>
      </c>
    </row>
    <row r="336">
      <c r="A336" t="n">
        <v>335</v>
      </c>
      <c r="B336" t="n">
        <v>2012</v>
      </c>
      <c r="C336" t="inlineStr">
        <is>
          <t>Victoria Trempe</t>
        </is>
      </c>
      <c r="D336">
        <f>HYPERLINK("https://ota.tournamentsoftware.com/player-profile/90EB2857-D907-47BD-ABB6-AAED21876912", "Link")</f>
        <v/>
      </c>
      <c r="E336" s="3" t="n">
        <v>203.573</v>
      </c>
      <c r="F336" s="4" t="n">
        <v>8</v>
      </c>
      <c r="G336" t="inlineStr">
        <is>
          <t>Tennis Québec</t>
        </is>
      </c>
      <c r="H336" t="inlineStr">
        <is>
          <t>Club Sportif Côte-de-Liesse</t>
        </is>
      </c>
      <c r="I336" t="n">
        <v>34</v>
      </c>
      <c r="J336" s="4" t="n">
        <v>122</v>
      </c>
      <c r="K336" t="inlineStr">
        <is>
          <t>45 / 77</t>
        </is>
      </c>
      <c r="L336" t="inlineStr">
        <is>
          <t>2 / 4</t>
        </is>
      </c>
      <c r="M336" s="5" t="n">
        <v>0.37</v>
      </c>
      <c r="N336" s="5" t="n">
        <v>0.33</v>
      </c>
    </row>
    <row r="337">
      <c r="A337" t="n">
        <v>336</v>
      </c>
      <c r="B337" t="n">
        <v>2014</v>
      </c>
      <c r="C337" t="inlineStr">
        <is>
          <t>Payton Isabelle JOHNSTON</t>
        </is>
      </c>
      <c r="D337">
        <f>HYPERLINK("https://ota.tournamentsoftware.com/player-profile/30639279-6EB4-43A0-806A-9F7E6209EBA5", "Link")</f>
        <v/>
      </c>
      <c r="E337" s="3" t="n">
        <v>202.312</v>
      </c>
      <c r="F337" s="4" t="n">
        <v>12</v>
      </c>
      <c r="G337" t="inlineStr">
        <is>
          <t>Tennis Nova Scotia</t>
        </is>
      </c>
      <c r="H337" t="inlineStr">
        <is>
          <t>Gordon Hughes Tennis Club</t>
        </is>
      </c>
      <c r="I337" t="n">
        <v>34.3</v>
      </c>
      <c r="J337" s="4" t="n">
        <v>100</v>
      </c>
      <c r="K337" t="inlineStr">
        <is>
          <t>51 / 49</t>
        </is>
      </c>
      <c r="L337" t="inlineStr">
        <is>
          <t>20 / 23</t>
        </is>
      </c>
      <c r="M337" s="5" t="n">
        <v>0.51</v>
      </c>
      <c r="N337" s="5" t="n">
        <v>0.47</v>
      </c>
    </row>
    <row r="338">
      <c r="A338" t="n">
        <v>337</v>
      </c>
      <c r="B338" t="n">
        <v>2013</v>
      </c>
      <c r="C338" t="inlineStr">
        <is>
          <t>Ophélia Carbonneau</t>
        </is>
      </c>
      <c r="D338">
        <f>HYPERLINK("https://ota.tournamentsoftware.com/player-profile/8B592B8F-8B82-48EF-9CDD-0CBA40EBB412", "Link")</f>
        <v/>
      </c>
      <c r="E338" s="3" t="n">
        <v>200.846</v>
      </c>
      <c r="F338" s="4" t="n">
        <v>17</v>
      </c>
      <c r="G338" t="inlineStr">
        <is>
          <t>Tennis Québec</t>
        </is>
      </c>
      <c r="H338" t="inlineStr">
        <is>
          <t>Tennis Interclub Piedmont</t>
        </is>
      </c>
      <c r="I338" t="n">
        <v>35.8</v>
      </c>
      <c r="J338" s="4" t="n">
        <v>109</v>
      </c>
      <c r="K338" t="inlineStr">
        <is>
          <t>31 / 78</t>
        </is>
      </c>
      <c r="L338" t="inlineStr">
        <is>
          <t>7 / 15</t>
        </is>
      </c>
      <c r="M338" s="5" t="n">
        <v>0.28</v>
      </c>
      <c r="N338" s="5" t="n">
        <v>0.32</v>
      </c>
    </row>
    <row r="339">
      <c r="A339" t="n">
        <v>338</v>
      </c>
      <c r="B339" t="n">
        <v>2014</v>
      </c>
      <c r="C339" t="inlineStr">
        <is>
          <t>Lana Kasumovic</t>
        </is>
      </c>
      <c r="D339">
        <f>HYPERLINK("https://ota.tournamentsoftware.com/player-profile/7F2BA85F-A3DF-40B8-9457-1DD55A7C11FB", "Link")</f>
        <v/>
      </c>
      <c r="E339" s="3" t="n">
        <v>200.268</v>
      </c>
      <c r="F339" s="4" t="n">
        <v>25</v>
      </c>
      <c r="G339" t="inlineStr">
        <is>
          <t>Ontario Tennis Association</t>
        </is>
      </c>
      <c r="H339" t="inlineStr">
        <is>
          <t>Rideau Sports Centre</t>
        </is>
      </c>
      <c r="I339" t="n">
        <v>33.6</v>
      </c>
      <c r="J339" s="4" t="n">
        <v>153</v>
      </c>
      <c r="K339" t="inlineStr">
        <is>
          <t>54 / 99</t>
        </is>
      </c>
      <c r="L339" t="inlineStr">
        <is>
          <t>28 / 24</t>
        </is>
      </c>
      <c r="M339" s="5" t="n">
        <v>0.35</v>
      </c>
      <c r="N339" s="5" t="n">
        <v>0.54</v>
      </c>
    </row>
    <row r="340">
      <c r="A340" t="n">
        <v>339</v>
      </c>
      <c r="B340" t="n">
        <v>2013</v>
      </c>
      <c r="C340" t="inlineStr">
        <is>
          <t>Ana Sofia Prieto Echandia</t>
        </is>
      </c>
      <c r="D340">
        <f>HYPERLINK("https://ota.tournamentsoftware.com/player-profile/0A98F660-17C5-4374-B63C-9B5B0E183AF0", "Link")</f>
        <v/>
      </c>
      <c r="E340" s="3" t="n">
        <v>198.964</v>
      </c>
      <c r="F340" s="4" t="n">
        <v>8</v>
      </c>
      <c r="G340" t="inlineStr">
        <is>
          <t>Tennis Québec</t>
        </is>
      </c>
      <c r="H340" t="inlineStr">
        <is>
          <t>Tennis Ile- des- Soeurs</t>
        </is>
      </c>
      <c r="I340" t="n">
        <v>32.7</v>
      </c>
      <c r="J340" s="4" t="n">
        <v>33</v>
      </c>
      <c r="K340" t="inlineStr">
        <is>
          <t>19 / 14</t>
        </is>
      </c>
      <c r="L340" t="inlineStr">
        <is>
          <t>2 / 6</t>
        </is>
      </c>
      <c r="M340" s="5" t="n">
        <v>0.58</v>
      </c>
      <c r="N340" s="5" t="n">
        <v>0.25</v>
      </c>
    </row>
    <row r="341">
      <c r="A341" t="n">
        <v>340</v>
      </c>
      <c r="B341" t="n">
        <v>2014</v>
      </c>
      <c r="C341" t="inlineStr">
        <is>
          <t>Mariah Jorge-Eman</t>
        </is>
      </c>
      <c r="D341">
        <f>HYPERLINK("https://ota.tournamentsoftware.com/player-profile/B6887B12-5A2B-48B9-8A94-164305BBBBBE", "Link")</f>
        <v/>
      </c>
      <c r="E341" s="3" t="n">
        <v>198.746</v>
      </c>
      <c r="F341" s="4" t="n">
        <v>21</v>
      </c>
      <c r="G341" t="inlineStr">
        <is>
          <t>Ontario Tennis Association</t>
        </is>
      </c>
      <c r="H341" t="inlineStr">
        <is>
          <t>Premier Racquet Clubs – Mississauga</t>
        </is>
      </c>
      <c r="I341" t="n">
        <v>33.2</v>
      </c>
      <c r="J341" s="4" t="n">
        <v>105</v>
      </c>
      <c r="K341" t="inlineStr">
        <is>
          <t>50 / 55</t>
        </is>
      </c>
      <c r="L341" t="inlineStr">
        <is>
          <t>17 / 15</t>
        </is>
      </c>
      <c r="M341" s="5" t="n">
        <v>0.48</v>
      </c>
      <c r="N341" s="5" t="n">
        <v>0.53</v>
      </c>
    </row>
    <row r="342">
      <c r="A342" t="n">
        <v>341</v>
      </c>
      <c r="B342" t="n">
        <v>2013</v>
      </c>
      <c r="C342" t="inlineStr">
        <is>
          <t>Eliza Willow Nguyen</t>
        </is>
      </c>
      <c r="D342">
        <f>HYPERLINK("https://ota.tournamentsoftware.com/player-profile/1A3AE60F-B4FB-4C4C-AE09-5D730884AC0A", "Link")</f>
        <v/>
      </c>
      <c r="E342" s="3" t="n">
        <v>198.067</v>
      </c>
      <c r="F342" s="4" t="n">
        <v>12</v>
      </c>
      <c r="G342" t="inlineStr">
        <is>
          <t>Tennis Alberta</t>
        </is>
      </c>
      <c r="H342" t="inlineStr">
        <is>
          <t>Saville Community Sports Centre</t>
        </is>
      </c>
      <c r="I342" t="n">
        <v>33.1</v>
      </c>
      <c r="J342" s="4" t="n">
        <v>143</v>
      </c>
      <c r="K342" t="inlineStr">
        <is>
          <t>66 / 77</t>
        </is>
      </c>
      <c r="L342" t="inlineStr">
        <is>
          <t>10 / 13</t>
        </is>
      </c>
      <c r="M342" s="5" t="n">
        <v>0.46</v>
      </c>
      <c r="N342" s="5" t="n">
        <v>0.43</v>
      </c>
    </row>
    <row r="343">
      <c r="A343" t="n">
        <v>342</v>
      </c>
      <c r="B343" t="n">
        <v>2014</v>
      </c>
      <c r="C343" t="inlineStr">
        <is>
          <t>Ella Meng</t>
        </is>
      </c>
      <c r="D343">
        <f>HYPERLINK("https://ota.tournamentsoftware.com/player-profile/B7EC0DBA-A6B8-49FA-A398-63ABEF8384E7", "Link")</f>
        <v/>
      </c>
      <c r="E343" s="3" t="n">
        <v>194.534</v>
      </c>
      <c r="F343" s="4" t="n">
        <v>13</v>
      </c>
      <c r="G343" t="inlineStr">
        <is>
          <t>Ontario Tennis Association</t>
        </is>
      </c>
      <c r="H343" t="inlineStr">
        <is>
          <t>Marilyn Redvers Tennis Club</t>
        </is>
      </c>
      <c r="I343" t="n">
        <v>33.8</v>
      </c>
      <c r="J343" s="4" t="n">
        <v>85</v>
      </c>
      <c r="K343" t="inlineStr">
        <is>
          <t>30 / 55</t>
        </is>
      </c>
      <c r="L343" t="inlineStr">
        <is>
          <t>11 / 13</t>
        </is>
      </c>
      <c r="M343" s="5" t="n">
        <v>0.35</v>
      </c>
      <c r="N343" s="5" t="n">
        <v>0.46</v>
      </c>
    </row>
    <row r="344">
      <c r="A344" t="n">
        <v>343</v>
      </c>
      <c r="B344" t="n">
        <v>2012</v>
      </c>
      <c r="C344" t="inlineStr">
        <is>
          <t>Carys Miles</t>
        </is>
      </c>
      <c r="D344">
        <f>HYPERLINK("https://ota.tournamentsoftware.com/player-profile/7FCFD8F6-5B52-4825-B8AA-B72BF77A3298", "Link")</f>
        <v/>
      </c>
      <c r="E344" s="3" t="n">
        <v>194.325</v>
      </c>
      <c r="F344" s="4" t="n">
        <v>15</v>
      </c>
      <c r="G344" t="inlineStr">
        <is>
          <t>Tennis Alberta</t>
        </is>
      </c>
      <c r="H344" t="inlineStr">
        <is>
          <t>Osten &amp; Victor Alberta Tennis Centre</t>
        </is>
      </c>
      <c r="I344" t="n">
        <v>31.1</v>
      </c>
      <c r="J344" s="4" t="n">
        <v>200</v>
      </c>
      <c r="K344" t="inlineStr">
        <is>
          <t>98 / 102</t>
        </is>
      </c>
      <c r="L344" t="inlineStr">
        <is>
          <t>4 / 9</t>
        </is>
      </c>
      <c r="M344" s="5" t="n">
        <v>0.49</v>
      </c>
      <c r="N344" s="5" t="n">
        <v>0.31</v>
      </c>
    </row>
    <row r="345">
      <c r="A345" t="n">
        <v>344</v>
      </c>
      <c r="B345" t="n">
        <v>2015</v>
      </c>
      <c r="C345" t="inlineStr">
        <is>
          <t>Emma Echeverri Vujicic</t>
        </is>
      </c>
      <c r="D345">
        <f>HYPERLINK("https://ota.tournamentsoftware.com/player-profile/644C3F8A-163C-4BEA-8EBD-9263F89347F9", "Link")</f>
        <v/>
      </c>
      <c r="E345" s="3" t="n">
        <v>194.237</v>
      </c>
      <c r="F345" s="4" t="n">
        <v>21</v>
      </c>
      <c r="G345" t="inlineStr">
        <is>
          <t>Ontario Tennis Association</t>
        </is>
      </c>
      <c r="H345" t="inlineStr">
        <is>
          <t>Mayfair West Fitness &amp; Racquet Club</t>
        </is>
      </c>
      <c r="I345" t="n">
        <v>33.4</v>
      </c>
      <c r="J345" s="4" t="n">
        <v>132</v>
      </c>
      <c r="K345" t="inlineStr">
        <is>
          <t>64 / 68</t>
        </is>
      </c>
      <c r="L345" t="inlineStr">
        <is>
          <t>25 / 14</t>
        </is>
      </c>
      <c r="M345" s="5" t="n">
        <v>0.48</v>
      </c>
      <c r="N345" s="5" t="n">
        <v>0.64</v>
      </c>
    </row>
    <row r="346">
      <c r="A346" t="n">
        <v>345</v>
      </c>
      <c r="B346" t="n">
        <v>2014</v>
      </c>
      <c r="C346" t="inlineStr">
        <is>
          <t>Nadia Stuparyk</t>
        </is>
      </c>
      <c r="D346">
        <f>HYPERLINK("https://ota.tournamentsoftware.com/player-profile/05ABA68F-2EB2-4BFB-B6CA-677BDD1DCDCA", "Link")</f>
        <v/>
      </c>
      <c r="E346" s="3" t="n">
        <v>193.522</v>
      </c>
      <c r="F346" s="4" t="n">
        <v>35</v>
      </c>
      <c r="G346" t="inlineStr">
        <is>
          <t>Ontario Tennis Association</t>
        </is>
      </c>
      <c r="H346" t="inlineStr">
        <is>
          <t>Parkside Tennis Club</t>
        </is>
      </c>
      <c r="I346" t="n">
        <v>33</v>
      </c>
      <c r="J346" s="4" t="n">
        <v>190</v>
      </c>
      <c r="K346" t="inlineStr">
        <is>
          <t>92 / 98</t>
        </is>
      </c>
      <c r="L346" t="inlineStr">
        <is>
          <t>27 / 22</t>
        </is>
      </c>
      <c r="M346" s="5" t="n">
        <v>0.48</v>
      </c>
      <c r="N346" s="5" t="n">
        <v>0.55</v>
      </c>
    </row>
    <row r="347">
      <c r="A347" t="n">
        <v>346</v>
      </c>
      <c r="B347" t="n">
        <v>2012</v>
      </c>
      <c r="C347" t="inlineStr">
        <is>
          <t>Gabrielle Siewe Meliatou</t>
        </is>
      </c>
      <c r="D347">
        <f>HYPERLINK("https://ota.tournamentsoftware.com/player-profile/7E53A46A-6CF0-4DB8-9382-FCE1966714A8", "Link")</f>
        <v/>
      </c>
      <c r="E347" s="3" t="n">
        <v>192.866</v>
      </c>
      <c r="F347" s="4" t="n">
        <v>15</v>
      </c>
      <c r="G347" t="inlineStr">
        <is>
          <t>Tennis Québec</t>
        </is>
      </c>
      <c r="H347" t="inlineStr">
        <is>
          <t>SANI Sport</t>
        </is>
      </c>
      <c r="I347" t="inlineStr">
        <is>
          <t>unavailable</t>
        </is>
      </c>
      <c r="J347" s="4" t="inlineStr"/>
      <c r="K347" t="inlineStr">
        <is>
          <t>unavailable</t>
        </is>
      </c>
      <c r="L347" t="inlineStr">
        <is>
          <t>unavailable</t>
        </is>
      </c>
      <c r="M347" s="5" t="inlineStr"/>
      <c r="N347" s="5" t="inlineStr"/>
    </row>
    <row r="348">
      <c r="A348" t="n">
        <v>347</v>
      </c>
      <c r="B348" t="n">
        <v>2012</v>
      </c>
      <c r="C348" t="inlineStr">
        <is>
          <t>Xinyi Zhang</t>
        </is>
      </c>
      <c r="D348">
        <f>HYPERLINK("https://ota.tournamentsoftware.com/player-profile/BCC8B346-C184-4803-9CC2-592D143B667B", "Link")</f>
        <v/>
      </c>
      <c r="E348" s="3" t="n">
        <v>191.822</v>
      </c>
      <c r="F348" s="4" t="n">
        <v>15</v>
      </c>
      <c r="G348" t="inlineStr">
        <is>
          <t>Ontario Tennis Association</t>
        </is>
      </c>
      <c r="H348" t="inlineStr">
        <is>
          <t>Marilyn Redvers Tennis Club</t>
        </is>
      </c>
      <c r="I348" t="n">
        <v>33.6</v>
      </c>
      <c r="J348" s="4" t="n">
        <v>53</v>
      </c>
      <c r="K348" t="inlineStr">
        <is>
          <t>26 / 27</t>
        </is>
      </c>
      <c r="L348" t="inlineStr">
        <is>
          <t>15 / 19</t>
        </is>
      </c>
      <c r="M348" s="5" t="n">
        <v>0.49</v>
      </c>
      <c r="N348" s="5" t="n">
        <v>0.44</v>
      </c>
    </row>
    <row r="349">
      <c r="A349" t="n">
        <v>348</v>
      </c>
      <c r="B349" t="n">
        <v>2015</v>
      </c>
      <c r="C349" t="inlineStr">
        <is>
          <t>Olivia Ormandy</t>
        </is>
      </c>
      <c r="D349">
        <f>HYPERLINK("https://ota.tournamentsoftware.com/player-profile/C2722647-7EFC-4E85-B2ED-55E77949843B", "Link")</f>
        <v/>
      </c>
      <c r="E349" s="3" t="n">
        <v>190.2</v>
      </c>
      <c r="F349" s="4" t="n">
        <v>26</v>
      </c>
      <c r="G349" t="inlineStr">
        <is>
          <t>Tennis Québec</t>
        </is>
      </c>
      <c r="H349" t="inlineStr">
        <is>
          <t>Tennis Interclub Piedmont</t>
        </is>
      </c>
      <c r="I349" t="n">
        <v>33.3</v>
      </c>
      <c r="J349" s="4" t="n">
        <v>196</v>
      </c>
      <c r="K349" t="inlineStr">
        <is>
          <t>96 / 100</t>
        </is>
      </c>
      <c r="L349" t="inlineStr">
        <is>
          <t>24 / 26</t>
        </is>
      </c>
      <c r="M349" s="5" t="n">
        <v>0.49</v>
      </c>
      <c r="N349" s="5" t="n">
        <v>0.48</v>
      </c>
    </row>
    <row r="350">
      <c r="A350" t="n">
        <v>349</v>
      </c>
      <c r="B350" t="n">
        <v>2012</v>
      </c>
      <c r="C350" t="inlineStr">
        <is>
          <t>Sabrina Sajjad</t>
        </is>
      </c>
      <c r="D350">
        <f>HYPERLINK("https://ota.tournamentsoftware.com/player-profile/6C7EB560-0C6C-49E6-9B42-49009727ED3D", "Link")</f>
        <v/>
      </c>
      <c r="E350" s="3" t="n">
        <v>189.48</v>
      </c>
      <c r="F350" s="4" t="n">
        <v>16</v>
      </c>
      <c r="G350" t="inlineStr">
        <is>
          <t>Ontario Tennis Association</t>
        </is>
      </c>
      <c r="H350" t="inlineStr">
        <is>
          <t>No Club</t>
        </is>
      </c>
      <c r="I350" t="n">
        <v>34.2</v>
      </c>
      <c r="J350" s="4" t="n">
        <v>71</v>
      </c>
      <c r="K350" t="inlineStr">
        <is>
          <t>36 / 35</t>
        </is>
      </c>
      <c r="L350" t="inlineStr">
        <is>
          <t>9 / 11</t>
        </is>
      </c>
      <c r="M350" s="5" t="n">
        <v>0.51</v>
      </c>
      <c r="N350" s="5" t="n">
        <v>0.45</v>
      </c>
    </row>
    <row r="351">
      <c r="A351" t="n">
        <v>350</v>
      </c>
      <c r="B351" t="n">
        <v>2012</v>
      </c>
      <c r="C351" t="inlineStr">
        <is>
          <t>GURMEHR KAUR</t>
        </is>
      </c>
      <c r="D351">
        <f>HYPERLINK("https://ota.tournamentsoftware.com/player-profile/2C69CAA6-FCC8-49BC-ACA2-32F5C15717ED", "Link")</f>
        <v/>
      </c>
      <c r="E351" s="3" t="n">
        <v>189.248</v>
      </c>
      <c r="F351" s="4" t="n">
        <v>19</v>
      </c>
      <c r="G351" t="inlineStr">
        <is>
          <t>British Columbia</t>
        </is>
      </c>
      <c r="H351" t="inlineStr">
        <is>
          <t>Newton Tennis Club</t>
        </is>
      </c>
      <c r="I351" t="n">
        <v>32.4</v>
      </c>
      <c r="J351" s="4" t="n">
        <v>180</v>
      </c>
      <c r="K351" t="inlineStr">
        <is>
          <t>78 / 102</t>
        </is>
      </c>
      <c r="L351" t="inlineStr">
        <is>
          <t>18 / 23</t>
        </is>
      </c>
      <c r="M351" s="5" t="n">
        <v>0.43</v>
      </c>
      <c r="N351" s="5" t="n">
        <v>0.44</v>
      </c>
    </row>
    <row r="352">
      <c r="A352" t="n">
        <v>351</v>
      </c>
      <c r="B352" t="n">
        <v>2013</v>
      </c>
      <c r="C352" t="inlineStr">
        <is>
          <t>Sophie Pothel</t>
        </is>
      </c>
      <c r="D352">
        <f>HYPERLINK("https://ota.tournamentsoftware.com/player-profile/21DD6509-0C4D-4711-BEB0-DC2D198520FD", "Link")</f>
        <v/>
      </c>
      <c r="E352" s="3" t="n">
        <v>188.14</v>
      </c>
      <c r="F352" s="4" t="n">
        <v>17</v>
      </c>
      <c r="G352" t="inlineStr">
        <is>
          <t>Tennis Québec</t>
        </is>
      </c>
      <c r="H352" t="inlineStr">
        <is>
          <t>Tennis Ile- des- Soeurs</t>
        </is>
      </c>
      <c r="I352" t="inlineStr">
        <is>
          <t>unavailable</t>
        </is>
      </c>
      <c r="J352" s="4" t="n">
        <v>61</v>
      </c>
      <c r="K352" t="inlineStr">
        <is>
          <t>10 / 51</t>
        </is>
      </c>
      <c r="L352" t="inlineStr">
        <is>
          <t>5 / 19</t>
        </is>
      </c>
      <c r="M352" s="5" t="n">
        <v>0.16</v>
      </c>
      <c r="N352" s="5" t="n">
        <v>0.21</v>
      </c>
    </row>
    <row r="353">
      <c r="A353" t="n">
        <v>352</v>
      </c>
      <c r="B353" t="n">
        <v>2016</v>
      </c>
      <c r="C353" t="inlineStr">
        <is>
          <t>Emily Zheng</t>
        </is>
      </c>
      <c r="D353">
        <f>HYPERLINK("https://ota.tournamentsoftware.com/player-profile/6AB11A61-4852-4958-84E1-2773676D29C2", "Link")</f>
        <v/>
      </c>
      <c r="E353" s="3" t="n">
        <v>187.89</v>
      </c>
      <c r="F353" s="4" t="n">
        <v>25</v>
      </c>
      <c r="G353" t="inlineStr">
        <is>
          <t>Ontario Tennis Association</t>
        </is>
      </c>
      <c r="H353" t="inlineStr">
        <is>
          <t>Toronto Cricket Skating &amp; Curling</t>
        </is>
      </c>
      <c r="I353" t="n">
        <v>33.2</v>
      </c>
      <c r="J353" s="4" t="n">
        <v>108</v>
      </c>
      <c r="K353" t="inlineStr">
        <is>
          <t>44 / 64</t>
        </is>
      </c>
      <c r="L353" t="inlineStr">
        <is>
          <t>23 / 14</t>
        </is>
      </c>
      <c r="M353" s="5" t="n">
        <v>0.41</v>
      </c>
      <c r="N353" s="5" t="n">
        <v>0.62</v>
      </c>
    </row>
    <row r="354">
      <c r="A354" t="n">
        <v>353</v>
      </c>
      <c r="B354" t="n">
        <v>2013</v>
      </c>
      <c r="C354" t="inlineStr">
        <is>
          <t>Alysha Alexis</t>
        </is>
      </c>
      <c r="D354">
        <f>HYPERLINK("https://ota.tournamentsoftware.com/player-profile/42191CE6-0E1E-460D-80E0-9A7FF78DA6C6", "Link")</f>
        <v/>
      </c>
      <c r="E354" s="3" t="n">
        <v>185.03</v>
      </c>
      <c r="F354" s="4" t="n">
        <v>17</v>
      </c>
      <c r="G354" t="inlineStr">
        <is>
          <t>Tennis Québec</t>
        </is>
      </c>
      <c r="H354" t="inlineStr">
        <is>
          <t>Académie Tennis Momentum (club extérieur)</t>
        </is>
      </c>
      <c r="I354" t="n">
        <v>33.9</v>
      </c>
      <c r="J354" s="4" t="n">
        <v>68</v>
      </c>
      <c r="K354" t="inlineStr">
        <is>
          <t>32 / 36</t>
        </is>
      </c>
      <c r="L354" t="inlineStr">
        <is>
          <t>12 / 12</t>
        </is>
      </c>
      <c r="M354" s="5" t="n">
        <v>0.47</v>
      </c>
      <c r="N354" s="5" t="n">
        <v>0.5</v>
      </c>
    </row>
    <row r="355">
      <c r="A355" t="n">
        <v>354</v>
      </c>
      <c r="B355" t="n">
        <v>2014</v>
      </c>
      <c r="C355" t="inlineStr">
        <is>
          <t>Mila Alexandra Voros</t>
        </is>
      </c>
      <c r="D355">
        <f>HYPERLINK("https://ota.tournamentsoftware.com/player-profile/96155B79-5199-481D-8AF1-A174FA860401", "Link")</f>
        <v/>
      </c>
      <c r="E355" s="3" t="n">
        <v>184.412</v>
      </c>
      <c r="F355" s="4" t="n">
        <v>13</v>
      </c>
      <c r="G355" t="inlineStr">
        <is>
          <t>Ontario Tennis Association</t>
        </is>
      </c>
      <c r="H355" t="inlineStr">
        <is>
          <t>GSM Tennis Club</t>
        </is>
      </c>
      <c r="I355" t="n">
        <v>34.8</v>
      </c>
      <c r="J355" s="4" t="n">
        <v>136</v>
      </c>
      <c r="K355" t="inlineStr">
        <is>
          <t>58 / 78</t>
        </is>
      </c>
      <c r="L355" t="inlineStr">
        <is>
          <t>7 / 15</t>
        </is>
      </c>
      <c r="M355" s="5" t="n">
        <v>0.43</v>
      </c>
      <c r="N355" s="5" t="n">
        <v>0.32</v>
      </c>
    </row>
    <row r="356">
      <c r="A356" t="n">
        <v>355</v>
      </c>
      <c r="B356" t="n">
        <v>2014</v>
      </c>
      <c r="C356" t="inlineStr">
        <is>
          <t>Amelia Rogette Hinnawi</t>
        </is>
      </c>
      <c r="D356">
        <f>HYPERLINK("https://ota.tournamentsoftware.com/player-profile/1DADE780-E571-45F1-BC6D-21B72637C0B7", "Link")</f>
        <v/>
      </c>
      <c r="E356" s="3" t="n">
        <v>184.213</v>
      </c>
      <c r="F356" s="4" t="n">
        <v>22</v>
      </c>
      <c r="G356" t="inlineStr">
        <is>
          <t>Tennis Québec</t>
        </is>
      </c>
      <c r="H356" t="inlineStr">
        <is>
          <t>Tennis Ile- des- Soeurs</t>
        </is>
      </c>
      <c r="I356" t="inlineStr">
        <is>
          <t>unavailable</t>
        </is>
      </c>
      <c r="J356" s="4" t="n">
        <v>138</v>
      </c>
      <c r="K356" t="inlineStr">
        <is>
          <t>43 / 95</t>
        </is>
      </c>
      <c r="L356" t="inlineStr">
        <is>
          <t>12 / 21</t>
        </is>
      </c>
      <c r="M356" s="5" t="n">
        <v>0.31</v>
      </c>
      <c r="N356" s="5" t="n">
        <v>0.36</v>
      </c>
    </row>
    <row r="357">
      <c r="A357" t="n">
        <v>356</v>
      </c>
      <c r="B357" t="n">
        <v>2013</v>
      </c>
      <c r="C357" t="inlineStr">
        <is>
          <t>Kate Penalba</t>
        </is>
      </c>
      <c r="D357">
        <f>HYPERLINK("https://ota.tournamentsoftware.com/player-profile/C3F08CFB-765E-4234-8D01-16CB3E717037", "Link")</f>
        <v/>
      </c>
      <c r="E357" s="3" t="n">
        <v>182.596</v>
      </c>
      <c r="F357" s="4" t="n">
        <v>16</v>
      </c>
      <c r="G357" t="inlineStr">
        <is>
          <t>Ontario Tennis Association</t>
        </is>
      </c>
      <c r="H357" t="inlineStr">
        <is>
          <t>No Club</t>
        </is>
      </c>
      <c r="I357" t="n">
        <v>34.7</v>
      </c>
      <c r="J357" s="4" t="n">
        <v>132</v>
      </c>
      <c r="K357" t="inlineStr">
        <is>
          <t>53 / 79</t>
        </is>
      </c>
      <c r="L357" t="inlineStr">
        <is>
          <t>10 / 17</t>
        </is>
      </c>
      <c r="M357" s="5" t="n">
        <v>0.4</v>
      </c>
      <c r="N357" s="5" t="n">
        <v>0.37</v>
      </c>
    </row>
    <row r="358">
      <c r="A358" t="n">
        <v>357</v>
      </c>
      <c r="B358" t="n">
        <v>2013</v>
      </c>
      <c r="C358" t="inlineStr">
        <is>
          <t>Victoria Pellerin</t>
        </is>
      </c>
      <c r="D358">
        <f>HYPERLINK("https://ota.tournamentsoftware.com/player-profile/097573BE-64EA-4951-9B1B-3779B5938722", "Link")</f>
        <v/>
      </c>
      <c r="E358" s="3" t="n">
        <v>181.263</v>
      </c>
      <c r="F358" s="4" t="n">
        <v>15</v>
      </c>
      <c r="G358" t="inlineStr">
        <is>
          <t>Tennis Québec</t>
        </is>
      </c>
      <c r="H358" t="inlineStr">
        <is>
          <t>Centre récréatif de Repentigny / Académie Tennis Momentum</t>
        </is>
      </c>
      <c r="I358" t="n">
        <v>36.7</v>
      </c>
      <c r="J358" s="4" t="n">
        <v>58</v>
      </c>
      <c r="K358" t="inlineStr">
        <is>
          <t>16 / 42</t>
        </is>
      </c>
      <c r="L358" t="inlineStr">
        <is>
          <t>4 / 14</t>
        </is>
      </c>
      <c r="M358" s="5" t="n">
        <v>0.28</v>
      </c>
      <c r="N358" s="5" t="n">
        <v>0.22</v>
      </c>
    </row>
    <row r="359">
      <c r="A359" t="n">
        <v>358</v>
      </c>
      <c r="B359" t="n">
        <v>2015</v>
      </c>
      <c r="C359" t="inlineStr">
        <is>
          <t>Jesi Myra Kumaran</t>
        </is>
      </c>
      <c r="D359">
        <f>HYPERLINK("https://ota.tournamentsoftware.com/player-profile/8DE19A2A-095B-4432-92FE-7CA64D28B7F1", "Link")</f>
        <v/>
      </c>
      <c r="E359" s="3" t="n">
        <v>179.454</v>
      </c>
      <c r="F359" s="4" t="n">
        <v>31</v>
      </c>
      <c r="G359" t="inlineStr">
        <is>
          <t>Ontario Tennis Association</t>
        </is>
      </c>
      <c r="H359" t="inlineStr">
        <is>
          <t>Valan Tennis Academy</t>
        </is>
      </c>
      <c r="I359" t="n">
        <v>36.7</v>
      </c>
      <c r="J359" s="4" t="n">
        <v>196</v>
      </c>
      <c r="K359" t="inlineStr">
        <is>
          <t>69 / 127</t>
        </is>
      </c>
      <c r="L359" t="inlineStr">
        <is>
          <t>15 / 30</t>
        </is>
      </c>
      <c r="M359" s="5" t="n">
        <v>0.35</v>
      </c>
      <c r="N359" s="5" t="n">
        <v>0.33</v>
      </c>
    </row>
    <row r="360">
      <c r="A360" t="n">
        <v>359</v>
      </c>
      <c r="B360" t="n">
        <v>2015</v>
      </c>
      <c r="C360" t="inlineStr">
        <is>
          <t>Kynarra Tayt Burthwright</t>
        </is>
      </c>
      <c r="D360">
        <f>HYPERLINK("https://ota.tournamentsoftware.com/player-profile/54340729-CFE8-4AE6-B072-4BD29664CBEC", "Link")</f>
        <v/>
      </c>
      <c r="E360" s="3" t="n">
        <v>179.393</v>
      </c>
      <c r="F360" s="4" t="n">
        <v>27</v>
      </c>
      <c r="G360" t="inlineStr">
        <is>
          <t>Ontario Tennis Association</t>
        </is>
      </c>
      <c r="H360" t="inlineStr">
        <is>
          <t>Newmarket Community Tennis Club</t>
        </is>
      </c>
      <c r="I360" t="n">
        <v>34.4</v>
      </c>
      <c r="J360" s="4" t="n">
        <v>131</v>
      </c>
      <c r="K360" t="inlineStr">
        <is>
          <t>68 / 63</t>
        </is>
      </c>
      <c r="L360" t="inlineStr">
        <is>
          <t>31 / 30</t>
        </is>
      </c>
      <c r="M360" s="5" t="n">
        <v>0.52</v>
      </c>
      <c r="N360" s="5" t="n">
        <v>0.51</v>
      </c>
    </row>
    <row r="361">
      <c r="A361" t="n">
        <v>360</v>
      </c>
      <c r="B361" t="n">
        <v>2017</v>
      </c>
      <c r="C361" t="inlineStr">
        <is>
          <t>Ella Nicolaeva</t>
        </is>
      </c>
      <c r="D361">
        <f>HYPERLINK("https://ota.tournamentsoftware.com/player-profile/7A11DAF6-4353-49AB-8591-07AB86D11272", "Link")</f>
        <v/>
      </c>
      <c r="E361" s="3" t="n">
        <v>178.458</v>
      </c>
      <c r="F361" s="4" t="n">
        <v>40</v>
      </c>
      <c r="G361" t="inlineStr">
        <is>
          <t>Ontario Tennis Association</t>
        </is>
      </c>
      <c r="H361" t="inlineStr">
        <is>
          <t>Valan Tennis Academy</t>
        </is>
      </c>
      <c r="I361" t="n">
        <v>32.8</v>
      </c>
      <c r="J361" s="4" t="n">
        <v>192</v>
      </c>
      <c r="K361" t="inlineStr">
        <is>
          <t>135 / 57</t>
        </is>
      </c>
      <c r="L361" t="inlineStr">
        <is>
          <t>46 / 27</t>
        </is>
      </c>
      <c r="M361" s="5" t="n">
        <v>0.7</v>
      </c>
      <c r="N361" s="5" t="n">
        <v>0.63</v>
      </c>
    </row>
    <row r="362">
      <c r="A362" t="n">
        <v>361</v>
      </c>
      <c r="B362" t="n">
        <v>2015</v>
      </c>
      <c r="C362" t="inlineStr">
        <is>
          <t>Brielle York</t>
        </is>
      </c>
      <c r="D362">
        <f>HYPERLINK("https://ota.tournamentsoftware.com/player-profile/C0B1A514-EDF7-4907-9E4D-D3B8C705EB1D", "Link")</f>
        <v/>
      </c>
      <c r="E362" s="3" t="n">
        <v>177.941</v>
      </c>
      <c r="F362" s="4" t="n">
        <v>16</v>
      </c>
      <c r="G362" t="inlineStr">
        <is>
          <t>Tennis Alberta</t>
        </is>
      </c>
      <c r="H362" t="inlineStr">
        <is>
          <t>Aforza</t>
        </is>
      </c>
      <c r="I362" t="n">
        <v>36.3</v>
      </c>
      <c r="J362" s="4" t="n">
        <v>144</v>
      </c>
      <c r="K362" t="inlineStr">
        <is>
          <t>68 / 76</t>
        </is>
      </c>
      <c r="L362" t="inlineStr">
        <is>
          <t>13 / 21</t>
        </is>
      </c>
      <c r="M362" s="5" t="n">
        <v>0.47</v>
      </c>
      <c r="N362" s="5" t="n">
        <v>0.38</v>
      </c>
    </row>
    <row r="363">
      <c r="A363" t="n">
        <v>362</v>
      </c>
      <c r="B363" t="n">
        <v>2013</v>
      </c>
      <c r="C363" t="inlineStr">
        <is>
          <t>Renée Jugalbot</t>
        </is>
      </c>
      <c r="D363">
        <f>HYPERLINK("https://ota.tournamentsoftware.com/player-profile/A487A79B-AB42-4314-BD75-6EFD99F64BC7", "Link")</f>
        <v/>
      </c>
      <c r="E363" s="3" t="n">
        <v>176.744</v>
      </c>
      <c r="F363" s="4" t="n">
        <v>26</v>
      </c>
      <c r="G363" t="inlineStr">
        <is>
          <t>Ontario Tennis Association</t>
        </is>
      </c>
      <c r="H363" t="inlineStr">
        <is>
          <t>Rosedale Tennis Club (Hamilton)</t>
        </is>
      </c>
      <c r="I363" t="n">
        <v>35.9</v>
      </c>
      <c r="J363" s="4" t="n">
        <v>91</v>
      </c>
      <c r="K363" t="inlineStr">
        <is>
          <t>37 / 54</t>
        </is>
      </c>
      <c r="L363" t="inlineStr">
        <is>
          <t>19 / 27</t>
        </is>
      </c>
      <c r="M363" s="5" t="n">
        <v>0.41</v>
      </c>
      <c r="N363" s="5" t="n">
        <v>0.41</v>
      </c>
    </row>
    <row r="364">
      <c r="A364" t="n">
        <v>363</v>
      </c>
      <c r="B364" t="n">
        <v>2012</v>
      </c>
      <c r="C364" t="inlineStr">
        <is>
          <t>Charlianne Grace Kiss</t>
        </is>
      </c>
      <c r="D364">
        <f>HYPERLINK("https://ota.tournamentsoftware.com/player-profile/09C918D2-187B-42AF-836D-E31A35062CB3", "Link")</f>
        <v/>
      </c>
      <c r="E364" s="3" t="n">
        <v>176.12</v>
      </c>
      <c r="F364" s="4" t="n">
        <v>10</v>
      </c>
      <c r="G364" t="inlineStr">
        <is>
          <t>Tennis Alberta</t>
        </is>
      </c>
      <c r="H364" t="inlineStr">
        <is>
          <t>Saville Community Sports Centre</t>
        </is>
      </c>
      <c r="I364" t="n">
        <v>35.9</v>
      </c>
      <c r="J364" s="4" t="n">
        <v>72</v>
      </c>
      <c r="K364" t="inlineStr">
        <is>
          <t>27 / 45</t>
        </is>
      </c>
      <c r="L364" t="inlineStr">
        <is>
          <t>9 / 15</t>
        </is>
      </c>
      <c r="M364" s="5" t="n">
        <v>0.38</v>
      </c>
      <c r="N364" s="5" t="n">
        <v>0.38</v>
      </c>
    </row>
    <row r="365">
      <c r="A365" t="n">
        <v>364</v>
      </c>
      <c r="B365" t="n">
        <v>2012</v>
      </c>
      <c r="C365" t="inlineStr">
        <is>
          <t>Angelica Rose Spyrka</t>
        </is>
      </c>
      <c r="D365">
        <f>HYPERLINK("https://ota.tournamentsoftware.com/player-profile/7A8F99DB-3ADA-4FDB-AC08-5095AAF01985", "Link")</f>
        <v/>
      </c>
      <c r="E365" s="3" t="n">
        <v>173.417</v>
      </c>
      <c r="F365" s="4" t="n">
        <v>12</v>
      </c>
      <c r="G365" t="inlineStr">
        <is>
          <t>British Columbia</t>
        </is>
      </c>
      <c r="H365" t="inlineStr">
        <is>
          <t>Vanguard Tennis Academy</t>
        </is>
      </c>
      <c r="I365" t="n">
        <v>33.3</v>
      </c>
      <c r="J365" s="4" t="n">
        <v>74</v>
      </c>
      <c r="K365" t="inlineStr">
        <is>
          <t>32 / 42</t>
        </is>
      </c>
      <c r="L365" t="inlineStr">
        <is>
          <t>6 / 10</t>
        </is>
      </c>
      <c r="M365" s="5" t="n">
        <v>0.43</v>
      </c>
      <c r="N365" s="5" t="n">
        <v>0.38</v>
      </c>
    </row>
    <row r="366">
      <c r="A366" t="n">
        <v>365</v>
      </c>
      <c r="B366" t="n">
        <v>2015</v>
      </c>
      <c r="C366" t="inlineStr">
        <is>
          <t>Isla J Green</t>
        </is>
      </c>
      <c r="D366">
        <f>HYPERLINK("https://ota.tournamentsoftware.com/player-profile/B2E098BE-DB7E-4756-BD31-93298500E09D", "Link")</f>
        <v/>
      </c>
      <c r="E366" s="3" t="n">
        <v>173.154</v>
      </c>
      <c r="F366" s="4" t="n">
        <v>28</v>
      </c>
      <c r="G366" t="inlineStr">
        <is>
          <t>Ontario Tennis Association</t>
        </is>
      </c>
      <c r="H366" t="inlineStr">
        <is>
          <t>Advantage Tennis International at Veneto</t>
        </is>
      </c>
      <c r="I366" t="n">
        <v>32.7</v>
      </c>
      <c r="J366" s="4" t="n">
        <v>252</v>
      </c>
      <c r="K366" t="inlineStr">
        <is>
          <t>167 / 85</t>
        </is>
      </c>
      <c r="L366" t="inlineStr">
        <is>
          <t>40 / 22</t>
        </is>
      </c>
      <c r="M366" s="5" t="n">
        <v>0.66</v>
      </c>
      <c r="N366" s="5" t="n">
        <v>0.65</v>
      </c>
    </row>
    <row r="367">
      <c r="A367" t="n">
        <v>365</v>
      </c>
      <c r="B367" t="n">
        <v>2017</v>
      </c>
      <c r="C367" t="inlineStr">
        <is>
          <t>Nalayah Smith</t>
        </is>
      </c>
      <c r="D367">
        <f>HYPERLINK("https://ota.tournamentsoftware.com/player-profile/6F913BA8-58BB-4BEE-9CA1-8E064E1332B8", "Link")</f>
        <v/>
      </c>
      <c r="E367" s="3" t="n">
        <v>173.154</v>
      </c>
      <c r="F367" s="4" t="n">
        <v>23</v>
      </c>
      <c r="G367" t="inlineStr">
        <is>
          <t>Ontario Tennis Association</t>
        </is>
      </c>
      <c r="H367" t="inlineStr">
        <is>
          <t>SmartVMC Racquetsports by ACE</t>
        </is>
      </c>
      <c r="I367" t="n">
        <v>32.6</v>
      </c>
      <c r="J367" s="4" t="n">
        <v>141</v>
      </c>
      <c r="K367" t="inlineStr">
        <is>
          <t>93 / 48</t>
        </is>
      </c>
      <c r="L367" t="inlineStr">
        <is>
          <t>38 / 15</t>
        </is>
      </c>
      <c r="M367" s="5" t="n">
        <v>0.66</v>
      </c>
      <c r="N367" s="5" t="n">
        <v>0.72</v>
      </c>
    </row>
    <row r="368">
      <c r="A368" t="n">
        <v>367</v>
      </c>
      <c r="B368" t="n">
        <v>2012</v>
      </c>
      <c r="C368" t="inlineStr">
        <is>
          <t>Riley Lynn Banath</t>
        </is>
      </c>
      <c r="D368">
        <f>HYPERLINK("https://ota.tournamentsoftware.com/player-profile/4B613A1C-293C-4701-B6BA-BEC5F8EBDA29", "Link")</f>
        <v/>
      </c>
      <c r="E368" s="3" t="n">
        <v>173.105</v>
      </c>
      <c r="F368" s="4" t="n">
        <v>14</v>
      </c>
      <c r="G368" t="inlineStr">
        <is>
          <t>British Columbia</t>
        </is>
      </c>
      <c r="H368" t="inlineStr">
        <is>
          <t>Arbutus Club</t>
        </is>
      </c>
      <c r="I368" t="n">
        <v>36.5</v>
      </c>
      <c r="J368" s="4" t="n">
        <v>46</v>
      </c>
      <c r="K368" t="inlineStr">
        <is>
          <t>10 / 36</t>
        </is>
      </c>
      <c r="L368" t="inlineStr">
        <is>
          <t>6 / 21</t>
        </is>
      </c>
      <c r="M368" s="5" t="n">
        <v>0.22</v>
      </c>
      <c r="N368" s="5" t="n">
        <v>0.22</v>
      </c>
    </row>
    <row r="369">
      <c r="A369" t="n">
        <v>368</v>
      </c>
      <c r="B369" t="n">
        <v>2012</v>
      </c>
      <c r="C369" t="inlineStr">
        <is>
          <t>Amelia Jee</t>
        </is>
      </c>
      <c r="D369">
        <f>HYPERLINK("https://ota.tournamentsoftware.com/player-profile/485EA829-3893-4703-AF9A-1CF8D304CE5D", "Link")</f>
        <v/>
      </c>
      <c r="E369" s="3" t="n">
        <v>173.084</v>
      </c>
      <c r="F369" s="4" t="n">
        <v>11</v>
      </c>
      <c r="G369" t="inlineStr">
        <is>
          <t>Ontario Tennis Association</t>
        </is>
      </c>
      <c r="H369" t="inlineStr">
        <is>
          <t>Toronto Cricket Skating &amp; Curling</t>
        </is>
      </c>
      <c r="I369" t="n">
        <v>32.8</v>
      </c>
      <c r="J369" s="4" t="n">
        <v>125</v>
      </c>
      <c r="K369" t="inlineStr">
        <is>
          <t>53 / 72</t>
        </is>
      </c>
      <c r="L369" t="inlineStr">
        <is>
          <t>11 / 13</t>
        </is>
      </c>
      <c r="M369" s="5" t="n">
        <v>0.42</v>
      </c>
      <c r="N369" s="5" t="n">
        <v>0.46</v>
      </c>
    </row>
    <row r="370">
      <c r="A370" t="n">
        <v>369</v>
      </c>
      <c r="B370" t="n">
        <v>2013</v>
      </c>
      <c r="C370" t="inlineStr">
        <is>
          <t>Eva Eile</t>
        </is>
      </c>
      <c r="D370">
        <f>HYPERLINK("https://ota.tournamentsoftware.com/player-profile/EE5E7036-3979-48DF-A095-8C40584653EF", "Link")</f>
        <v/>
      </c>
      <c r="E370" s="3" t="n">
        <v>172.661</v>
      </c>
      <c r="F370" s="4" t="n">
        <v>15</v>
      </c>
      <c r="G370" t="inlineStr">
        <is>
          <t>Tennis Québec</t>
        </is>
      </c>
      <c r="H370" t="inlineStr">
        <is>
          <t>Midtown Le Sporting Club Sanctuaire</t>
        </is>
      </c>
      <c r="I370" t="n">
        <v>39.2</v>
      </c>
      <c r="J370" s="4" t="n">
        <v>27</v>
      </c>
      <c r="K370" t="inlineStr">
        <is>
          <t>3 / 24</t>
        </is>
      </c>
      <c r="L370" t="inlineStr">
        <is>
          <t>0 / 13</t>
        </is>
      </c>
      <c r="M370" s="5" t="n">
        <v>0.11</v>
      </c>
      <c r="N370" s="5" t="n">
        <v>0</v>
      </c>
    </row>
    <row r="371">
      <c r="A371" t="n">
        <v>370</v>
      </c>
      <c r="B371" t="n">
        <v>2013</v>
      </c>
      <c r="C371" t="inlineStr">
        <is>
          <t>Alice Laganière</t>
        </is>
      </c>
      <c r="D371">
        <f>HYPERLINK("https://ota.tournamentsoftware.com/player-profile/C9532D29-EE9A-4084-ACB5-2DBCAD4DF862", "Link")</f>
        <v/>
      </c>
      <c r="E371" s="3" t="n">
        <v>171.17</v>
      </c>
      <c r="F371" s="4" t="n">
        <v>9</v>
      </c>
      <c r="G371" t="inlineStr">
        <is>
          <t>Tennis Québec</t>
        </is>
      </c>
      <c r="H371" t="inlineStr">
        <is>
          <t>Club de tennis intérieur Saguenay / École de tennis Delisle-Poirel</t>
        </is>
      </c>
      <c r="I371" t="n">
        <v>35.4</v>
      </c>
      <c r="J371" s="4" t="n">
        <v>40</v>
      </c>
      <c r="K371" t="inlineStr">
        <is>
          <t>13 / 27</t>
        </is>
      </c>
      <c r="L371" t="inlineStr">
        <is>
          <t>1 / 7</t>
        </is>
      </c>
      <c r="M371" s="5" t="n">
        <v>0.33</v>
      </c>
      <c r="N371" s="5" t="n">
        <v>0.12</v>
      </c>
    </row>
    <row r="372">
      <c r="A372" t="n">
        <v>371</v>
      </c>
      <c r="B372" t="n">
        <v>2015</v>
      </c>
      <c r="C372" t="inlineStr">
        <is>
          <t>Ruichu Rachel Piao</t>
        </is>
      </c>
      <c r="D372">
        <f>HYPERLINK("https://ota.tournamentsoftware.com/player-profile/13F65932-C96D-4F89-B571-4AA7315B2EEB", "Link")</f>
        <v/>
      </c>
      <c r="E372" s="3" t="n">
        <v>170.967</v>
      </c>
      <c r="F372" s="4" t="n">
        <v>14</v>
      </c>
      <c r="G372" t="inlineStr">
        <is>
          <t>Tennis Québec</t>
        </is>
      </c>
      <c r="H372" t="inlineStr">
        <is>
          <t>Tennis Ile- des- Soeurs</t>
        </is>
      </c>
      <c r="I372" t="inlineStr">
        <is>
          <t>unavailable</t>
        </is>
      </c>
      <c r="J372" s="4" t="n">
        <v>75</v>
      </c>
      <c r="K372" t="inlineStr">
        <is>
          <t>35 / 40</t>
        </is>
      </c>
      <c r="L372" t="inlineStr">
        <is>
          <t>7 / 12</t>
        </is>
      </c>
      <c r="M372" s="5" t="n">
        <v>0.47</v>
      </c>
      <c r="N372" s="5" t="n">
        <v>0.37</v>
      </c>
    </row>
    <row r="373">
      <c r="A373" t="n">
        <v>372</v>
      </c>
      <c r="B373" t="n">
        <v>2016</v>
      </c>
      <c r="C373" t="inlineStr">
        <is>
          <t>Dorothy Ning</t>
        </is>
      </c>
      <c r="D373">
        <f>HYPERLINK("https://ota.tournamentsoftware.com/player-profile/15BEDAE4-AB73-4AE9-B466-BA81BCA77DB1", "Link")</f>
        <v/>
      </c>
      <c r="E373" s="3" t="n">
        <v>170.864</v>
      </c>
      <c r="F373" s="4" t="n">
        <v>22</v>
      </c>
      <c r="G373" t="inlineStr">
        <is>
          <t>Ontario Tennis Association</t>
        </is>
      </c>
      <c r="H373" t="inlineStr">
        <is>
          <t>Toronto Tennis Academy</t>
        </is>
      </c>
      <c r="I373" t="inlineStr">
        <is>
          <t>unavailable</t>
        </is>
      </c>
      <c r="J373" s="4" t="n">
        <v>153</v>
      </c>
      <c r="K373" t="inlineStr">
        <is>
          <t>82 / 71</t>
        </is>
      </c>
      <c r="L373" t="inlineStr">
        <is>
          <t>23 / 16</t>
        </is>
      </c>
      <c r="M373" s="5" t="n">
        <v>0.54</v>
      </c>
      <c r="N373" s="5" t="n">
        <v>0.59</v>
      </c>
    </row>
    <row r="374">
      <c r="A374" t="n">
        <v>373</v>
      </c>
      <c r="B374" t="n">
        <v>2015</v>
      </c>
      <c r="C374" t="inlineStr">
        <is>
          <t>Adelaide Mossop</t>
        </is>
      </c>
      <c r="D374">
        <f>HYPERLINK("https://ota.tournamentsoftware.com/player-profile/0BA4F4DB-3133-41DE-9EE3-39EB4A609399", "Link")</f>
        <v/>
      </c>
      <c r="E374" s="3" t="n">
        <v>170.614</v>
      </c>
      <c r="F374" s="4" t="n">
        <v>12</v>
      </c>
      <c r="G374" t="inlineStr">
        <is>
          <t>Tennis Nova Scotia</t>
        </is>
      </c>
      <c r="H374" t="inlineStr">
        <is>
          <t>Atlantic Tennis Centre</t>
        </is>
      </c>
      <c r="I374" t="n">
        <v>36.2</v>
      </c>
      <c r="J374" s="4" t="n">
        <v>167</v>
      </c>
      <c r="K374" t="inlineStr">
        <is>
          <t>68 / 99</t>
        </is>
      </c>
      <c r="L374" t="inlineStr">
        <is>
          <t>17 / 26</t>
        </is>
      </c>
      <c r="M374" s="5" t="n">
        <v>0.41</v>
      </c>
      <c r="N374" s="5" t="n">
        <v>0.4</v>
      </c>
    </row>
    <row r="375">
      <c r="A375" t="n">
        <v>374</v>
      </c>
      <c r="B375" t="n">
        <v>2016</v>
      </c>
      <c r="C375" t="inlineStr">
        <is>
          <t>Amaranna Ugwunze</t>
        </is>
      </c>
      <c r="D375">
        <f>HYPERLINK("https://ota.tournamentsoftware.com/player-profile/2C6CBEBE-C5D2-4EC5-B283-CB703335834E", "Link")</f>
        <v/>
      </c>
      <c r="E375" s="3" t="n">
        <v>170.064</v>
      </c>
      <c r="F375" s="4" t="n">
        <v>19</v>
      </c>
      <c r="G375" t="inlineStr">
        <is>
          <t>Ontario Tennis Association</t>
        </is>
      </c>
      <c r="H375" t="inlineStr">
        <is>
          <t>Ontario Racquet Club</t>
        </is>
      </c>
      <c r="I375" t="n">
        <v>33.9</v>
      </c>
      <c r="J375" s="4" t="n">
        <v>93</v>
      </c>
      <c r="K375" t="inlineStr">
        <is>
          <t>49 / 44</t>
        </is>
      </c>
      <c r="L375" t="inlineStr">
        <is>
          <t>25 / 16</t>
        </is>
      </c>
      <c r="M375" s="5" t="n">
        <v>0.53</v>
      </c>
      <c r="N375" s="5" t="n">
        <v>0.61</v>
      </c>
    </row>
    <row r="376">
      <c r="A376" t="n">
        <v>375</v>
      </c>
      <c r="B376" t="n">
        <v>2015</v>
      </c>
      <c r="C376" t="inlineStr">
        <is>
          <t>Allison Penev</t>
        </is>
      </c>
      <c r="D376">
        <f>HYPERLINK("https://ota.tournamentsoftware.com/player-profile/C34C7D86-0233-454A-9C07-62AD41AF32CE", "Link")</f>
        <v/>
      </c>
      <c r="E376" s="3" t="n">
        <v>169.413</v>
      </c>
      <c r="F376" s="4" t="n">
        <v>19</v>
      </c>
      <c r="G376" t="inlineStr">
        <is>
          <t>Tennis Québec</t>
        </is>
      </c>
      <c r="H376" t="inlineStr">
        <is>
          <t>Carrefour Multisports</t>
        </is>
      </c>
      <c r="I376" t="n">
        <v>35.9</v>
      </c>
      <c r="J376" s="4" t="n">
        <v>154</v>
      </c>
      <c r="K376" t="inlineStr">
        <is>
          <t>66 / 88</t>
        </is>
      </c>
      <c r="L376" t="inlineStr">
        <is>
          <t>8 / 18</t>
        </is>
      </c>
      <c r="M376" s="5" t="n">
        <v>0.43</v>
      </c>
      <c r="N376" s="5" t="n">
        <v>0.31</v>
      </c>
    </row>
    <row r="377">
      <c r="A377" t="n">
        <v>376</v>
      </c>
      <c r="B377" t="n">
        <v>2015</v>
      </c>
      <c r="C377" t="inlineStr">
        <is>
          <t>Nora Firoozi</t>
        </is>
      </c>
      <c r="D377">
        <f>HYPERLINK("https://ota.tournamentsoftware.com/player-profile/328F4CA8-B72D-4F94-9BB6-3F666B5E0706", "Link")</f>
        <v/>
      </c>
      <c r="E377" s="3" t="n">
        <v>167.643</v>
      </c>
      <c r="F377" s="4" t="n">
        <v>17</v>
      </c>
      <c r="G377" t="inlineStr">
        <is>
          <t>British Columbia</t>
        </is>
      </c>
      <c r="H377" t="inlineStr">
        <is>
          <t>North Vancouver Tennis Centre</t>
        </is>
      </c>
      <c r="I377" t="n">
        <v>33.5</v>
      </c>
      <c r="J377" s="4" t="n">
        <v>165</v>
      </c>
      <c r="K377" t="inlineStr">
        <is>
          <t>81 / 84</t>
        </is>
      </c>
      <c r="L377" t="inlineStr">
        <is>
          <t>15 / 18</t>
        </is>
      </c>
      <c r="M377" s="5" t="n">
        <v>0.49</v>
      </c>
      <c r="N377" s="5" t="n">
        <v>0.45</v>
      </c>
    </row>
    <row r="378">
      <c r="A378" t="n">
        <v>377</v>
      </c>
      <c r="B378" t="n">
        <v>2014</v>
      </c>
      <c r="C378" t="inlineStr">
        <is>
          <t>Hunter Anne Wilkinson</t>
        </is>
      </c>
      <c r="D378">
        <f>HYPERLINK("https://ota.tournamentsoftware.com/player-profile/EB893DF0-DCAD-49C8-BAB9-0D044090A656", "Link")</f>
        <v/>
      </c>
      <c r="E378" s="3" t="n">
        <v>167.587</v>
      </c>
      <c r="F378" s="4" t="n">
        <v>18</v>
      </c>
      <c r="G378" t="inlineStr">
        <is>
          <t>Ontario Tennis Association</t>
        </is>
      </c>
      <c r="H378" t="inlineStr">
        <is>
          <t>GSM Tennis Club</t>
        </is>
      </c>
      <c r="I378" t="n">
        <v>34</v>
      </c>
      <c r="J378" s="4" t="n">
        <v>187</v>
      </c>
      <c r="K378" t="inlineStr">
        <is>
          <t>89 / 98</t>
        </is>
      </c>
      <c r="L378" t="inlineStr">
        <is>
          <t>12 / 15</t>
        </is>
      </c>
      <c r="M378" s="5" t="n">
        <v>0.48</v>
      </c>
      <c r="N378" s="5" t="n">
        <v>0.44</v>
      </c>
    </row>
    <row r="379">
      <c r="A379" t="n">
        <v>378</v>
      </c>
      <c r="B379" t="n">
        <v>2014</v>
      </c>
      <c r="C379" t="inlineStr">
        <is>
          <t>Sahana Bath</t>
        </is>
      </c>
      <c r="D379">
        <f>HYPERLINK("https://ota.tournamentsoftware.com/player-profile/25E19F82-227F-4B69-8295-16AA8F4F207F", "Link")</f>
        <v/>
      </c>
      <c r="E379" s="3" t="n">
        <v>166.44</v>
      </c>
      <c r="F379" s="4" t="n">
        <v>23</v>
      </c>
      <c r="G379" t="inlineStr">
        <is>
          <t>British Columbia</t>
        </is>
      </c>
      <c r="H379" t="inlineStr">
        <is>
          <t>The Tennis Centre</t>
        </is>
      </c>
      <c r="I379" t="n">
        <v>31.9</v>
      </c>
      <c r="J379" s="4" t="n">
        <v>176</v>
      </c>
      <c r="K379" t="inlineStr">
        <is>
          <t>101 / 75</t>
        </is>
      </c>
      <c r="L379" t="inlineStr">
        <is>
          <t>46 / 22</t>
        </is>
      </c>
      <c r="M379" s="5" t="n">
        <v>0.57</v>
      </c>
      <c r="N379" s="5" t="n">
        <v>0.68</v>
      </c>
    </row>
    <row r="380">
      <c r="A380" t="n">
        <v>379</v>
      </c>
      <c r="B380" t="n">
        <v>2012</v>
      </c>
      <c r="C380" t="inlineStr">
        <is>
          <t>Naomi Lucy McCrank</t>
        </is>
      </c>
      <c r="D380">
        <f>HYPERLINK("https://ota.tournamentsoftware.com/player-profile/68E80EA0-3999-4449-8E0B-83CC30E1EF77", "Link")</f>
        <v/>
      </c>
      <c r="E380" s="3" t="n">
        <v>166.417</v>
      </c>
      <c r="F380" s="4" t="n">
        <v>15</v>
      </c>
      <c r="G380" t="inlineStr">
        <is>
          <t>Tennis Alberta</t>
        </is>
      </c>
      <c r="H380" t="inlineStr">
        <is>
          <t>Aforza</t>
        </is>
      </c>
      <c r="I380" t="n">
        <v>33.5</v>
      </c>
      <c r="J380" s="4" t="n">
        <v>80</v>
      </c>
      <c r="K380" t="inlineStr">
        <is>
          <t>24 / 56</t>
        </is>
      </c>
      <c r="L380" t="inlineStr">
        <is>
          <t>8 / 11</t>
        </is>
      </c>
      <c r="M380" s="5" t="n">
        <v>0.3</v>
      </c>
      <c r="N380" s="5" t="n">
        <v>0.42</v>
      </c>
    </row>
    <row r="381">
      <c r="A381" t="n">
        <v>380</v>
      </c>
      <c r="B381" t="n">
        <v>2014</v>
      </c>
      <c r="C381" t="inlineStr">
        <is>
          <t>Grace Li</t>
        </is>
      </c>
      <c r="D381">
        <f>HYPERLINK("https://ota.tournamentsoftware.com/player-profile/5B95D38D-7E3D-4B41-B418-6B2307ED0863", "Link")</f>
        <v/>
      </c>
      <c r="E381" s="3" t="n">
        <v>166.105</v>
      </c>
      <c r="F381" s="4" t="n">
        <v>20</v>
      </c>
      <c r="G381" t="inlineStr">
        <is>
          <t>Tennis Québec</t>
        </is>
      </c>
      <c r="H381" t="inlineStr">
        <is>
          <t>Tennis 13</t>
        </is>
      </c>
      <c r="I381" t="n">
        <v>35.1</v>
      </c>
      <c r="J381" s="4" t="n">
        <v>168</v>
      </c>
      <c r="K381" t="inlineStr">
        <is>
          <t>72 / 96</t>
        </is>
      </c>
      <c r="L381" t="inlineStr">
        <is>
          <t>8 / 15</t>
        </is>
      </c>
      <c r="M381" s="5" t="n">
        <v>0.43</v>
      </c>
      <c r="N381" s="5" t="n">
        <v>0.35</v>
      </c>
    </row>
    <row r="382">
      <c r="A382" t="n">
        <v>381</v>
      </c>
      <c r="B382" t="n">
        <v>2013</v>
      </c>
      <c r="C382" t="inlineStr">
        <is>
          <t>Adriana Juliana Tambini</t>
        </is>
      </c>
      <c r="D382">
        <f>HYPERLINK("https://ota.tournamentsoftware.com/player-profile/7D7985A7-C189-4AE6-9641-F7EA5AE89364", "Link")</f>
        <v/>
      </c>
      <c r="E382" s="3" t="n">
        <v>165.937</v>
      </c>
      <c r="F382" s="4" t="n">
        <v>7</v>
      </c>
      <c r="G382" t="inlineStr">
        <is>
          <t>Ontario Tennis Association</t>
        </is>
      </c>
      <c r="H382" t="inlineStr">
        <is>
          <t>Headwaters Racquet Club</t>
        </is>
      </c>
      <c r="I382" t="n">
        <v>38.5</v>
      </c>
      <c r="J382" s="4" t="n">
        <v>23</v>
      </c>
      <c r="K382" t="inlineStr">
        <is>
          <t>12 / 11</t>
        </is>
      </c>
      <c r="L382" t="inlineStr">
        <is>
          <t>7 / 10</t>
        </is>
      </c>
      <c r="M382" s="5" t="n">
        <v>0.52</v>
      </c>
      <c r="N382" s="5" t="n">
        <v>0.41</v>
      </c>
    </row>
    <row r="383">
      <c r="A383" t="n">
        <v>382</v>
      </c>
      <c r="B383" t="n">
        <v>2014</v>
      </c>
      <c r="C383" t="inlineStr">
        <is>
          <t>Melissa Yi Nuo Yang</t>
        </is>
      </c>
      <c r="D383">
        <f>HYPERLINK("https://ota.tournamentsoftware.com/player-profile/870FB276-B8EA-4586-B0F5-B2318D4B1CD6", "Link")</f>
        <v/>
      </c>
      <c r="E383" s="3" t="n">
        <v>164.547</v>
      </c>
      <c r="F383" s="4" t="n">
        <v>18</v>
      </c>
      <c r="G383" t="inlineStr">
        <is>
          <t>Tennis Québec</t>
        </is>
      </c>
      <c r="H383" t="inlineStr">
        <is>
          <t>Club Sportif Côte-de-Liesse</t>
        </is>
      </c>
      <c r="I383" t="n">
        <v>33.3</v>
      </c>
      <c r="J383" s="4" t="n">
        <v>88</v>
      </c>
      <c r="K383" t="inlineStr">
        <is>
          <t>45 / 43</t>
        </is>
      </c>
      <c r="L383" t="inlineStr">
        <is>
          <t>25 / 12</t>
        </is>
      </c>
      <c r="M383" s="5" t="n">
        <v>0.51</v>
      </c>
      <c r="N383" s="5" t="n">
        <v>0.68</v>
      </c>
    </row>
    <row r="384">
      <c r="A384" t="n">
        <v>383</v>
      </c>
      <c r="B384" t="n">
        <v>2013</v>
      </c>
      <c r="C384" t="inlineStr">
        <is>
          <t>Nisa Karim</t>
        </is>
      </c>
      <c r="D384">
        <f>HYPERLINK("https://ota.tournamentsoftware.com/player-profile/11CB5752-5D45-47AB-82AD-AC3D554873E5", "Link")</f>
        <v/>
      </c>
      <c r="E384" s="3" t="n">
        <v>163.167</v>
      </c>
      <c r="F384" s="4" t="n">
        <v>17</v>
      </c>
      <c r="G384" t="inlineStr">
        <is>
          <t>British Columbia</t>
        </is>
      </c>
      <c r="H384" t="inlineStr">
        <is>
          <t>Arbutus Club</t>
        </is>
      </c>
      <c r="I384" t="n">
        <v>34.7</v>
      </c>
      <c r="J384" s="4" t="n">
        <v>97</v>
      </c>
      <c r="K384" t="inlineStr">
        <is>
          <t>51 / 46</t>
        </is>
      </c>
      <c r="L384" t="inlineStr">
        <is>
          <t>17 / 20</t>
        </is>
      </c>
      <c r="M384" s="5" t="n">
        <v>0.53</v>
      </c>
      <c r="N384" s="5" t="n">
        <v>0.46</v>
      </c>
    </row>
    <row r="385">
      <c r="A385" t="n">
        <v>384</v>
      </c>
      <c r="B385" t="n">
        <v>2014</v>
      </c>
      <c r="C385" t="inlineStr">
        <is>
          <t>Eve Martel</t>
        </is>
      </c>
      <c r="D385">
        <f>HYPERLINK("https://ota.tournamentsoftware.com/player-profile/590DE091-4FC9-494D-A8AC-45DB223E71D8", "Link")</f>
        <v/>
      </c>
      <c r="E385" s="3" t="n">
        <v>160.307</v>
      </c>
      <c r="F385" s="4" t="n">
        <v>19</v>
      </c>
      <c r="G385" t="inlineStr">
        <is>
          <t>Tennis Québec</t>
        </is>
      </c>
      <c r="H385" t="inlineStr">
        <is>
          <t>Club Avantage Multi-sports / Académie de tennis Hérisset Bordeleau</t>
        </is>
      </c>
      <c r="I385" t="inlineStr">
        <is>
          <t>unavailable</t>
        </is>
      </c>
      <c r="J385" s="4" t="n">
        <v>130</v>
      </c>
      <c r="K385" t="inlineStr">
        <is>
          <t>41 / 89</t>
        </is>
      </c>
      <c r="L385" t="inlineStr">
        <is>
          <t>12 / 17</t>
        </is>
      </c>
      <c r="M385" s="5" t="n">
        <v>0.32</v>
      </c>
      <c r="N385" s="5" t="n">
        <v>0.41</v>
      </c>
    </row>
    <row r="386">
      <c r="A386" t="n">
        <v>385</v>
      </c>
      <c r="B386" t="n">
        <v>2013</v>
      </c>
      <c r="C386" t="inlineStr">
        <is>
          <t>Diya Vasudeva</t>
        </is>
      </c>
      <c r="D386">
        <f>HYPERLINK("https://ota.tournamentsoftware.com/player-profile/81C22EEF-F10A-4447-AF45-2B9B6D1A7F5B", "Link")</f>
        <v/>
      </c>
      <c r="E386" s="3" t="n">
        <v>159.16</v>
      </c>
      <c r="F386" s="4" t="n">
        <v>9</v>
      </c>
      <c r="G386" t="inlineStr">
        <is>
          <t>Ontario Tennis Association</t>
        </is>
      </c>
      <c r="H386" t="inlineStr">
        <is>
          <t>ACE Tennis - Burlington</t>
        </is>
      </c>
      <c r="I386" t="n">
        <v>36.4</v>
      </c>
      <c r="J386" s="4" t="n">
        <v>99</v>
      </c>
      <c r="K386" t="inlineStr">
        <is>
          <t>34 / 65</t>
        </is>
      </c>
      <c r="L386" t="inlineStr">
        <is>
          <t>5 / 10</t>
        </is>
      </c>
      <c r="M386" s="5" t="n">
        <v>0.34</v>
      </c>
      <c r="N386" s="5" t="n">
        <v>0.33</v>
      </c>
    </row>
    <row r="387">
      <c r="A387" t="n">
        <v>386</v>
      </c>
      <c r="B387" t="n">
        <v>2012</v>
      </c>
      <c r="C387" t="inlineStr">
        <is>
          <t>Sophia Zhang</t>
        </is>
      </c>
      <c r="D387">
        <f>HYPERLINK("https://ota.tournamentsoftware.com/player-profile/2BBD611B-69D1-4A97-AAC3-1D897498B21A", "Link")</f>
        <v/>
      </c>
      <c r="E387" s="3" t="n">
        <v>157.227</v>
      </c>
      <c r="F387" s="4" t="n">
        <v>10</v>
      </c>
      <c r="G387" t="inlineStr">
        <is>
          <t>Ontario Tennis Association</t>
        </is>
      </c>
      <c r="H387" t="inlineStr">
        <is>
          <t>Burlington Tennis Club</t>
        </is>
      </c>
      <c r="I387" t="inlineStr">
        <is>
          <t>unavailable</t>
        </is>
      </c>
      <c r="J387" s="4" t="n">
        <v>40</v>
      </c>
      <c r="K387" t="inlineStr">
        <is>
          <t>18 / 22</t>
        </is>
      </c>
      <c r="L387" t="inlineStr">
        <is>
          <t>12 / 11</t>
        </is>
      </c>
      <c r="M387" s="5" t="n">
        <v>0.45</v>
      </c>
      <c r="N387" s="5" t="n">
        <v>0.52</v>
      </c>
    </row>
    <row r="388">
      <c r="A388" t="n">
        <v>387</v>
      </c>
      <c r="B388" t="n">
        <v>2017</v>
      </c>
      <c r="C388" t="inlineStr">
        <is>
          <t>Yuetwing, Doris Li</t>
        </is>
      </c>
      <c r="D388">
        <f>HYPERLINK("https://ota.tournamentsoftware.com/player-profile/C901A65F-E3DE-47DE-A4BC-21149FEBA20C", "Link")</f>
        <v/>
      </c>
      <c r="E388" s="3" t="n">
        <v>157.026</v>
      </c>
      <c r="F388" s="4" t="n">
        <v>5</v>
      </c>
      <c r="G388" t="inlineStr">
        <is>
          <t>Ontario Tennis Association</t>
        </is>
      </c>
      <c r="H388" t="inlineStr">
        <is>
          <t>No Club</t>
        </is>
      </c>
      <c r="I388" t="n">
        <v>32.7</v>
      </c>
      <c r="J388" s="4" t="n">
        <v>16</v>
      </c>
      <c r="K388" t="inlineStr">
        <is>
          <t>14 / 2</t>
        </is>
      </c>
      <c r="L388" t="inlineStr">
        <is>
          <t>10 / 2</t>
        </is>
      </c>
      <c r="M388" s="5" t="n">
        <v>0.88</v>
      </c>
      <c r="N388" s="5" t="n">
        <v>0.83</v>
      </c>
    </row>
    <row r="389">
      <c r="A389" t="n">
        <v>388</v>
      </c>
      <c r="B389" t="n">
        <v>2012</v>
      </c>
      <c r="C389" t="inlineStr">
        <is>
          <t>Eliana Yiannacouras</t>
        </is>
      </c>
      <c r="D389">
        <f>HYPERLINK("https://ota.tournamentsoftware.com/player-profile/B77AA2DD-5FF4-4B16-8ABD-E6ED22D4B5E1", "Link")</f>
        <v/>
      </c>
      <c r="E389" s="3" t="n">
        <v>156.168</v>
      </c>
      <c r="F389" s="4" t="n">
        <v>14</v>
      </c>
      <c r="G389" t="inlineStr">
        <is>
          <t>Ontario Tennis Association</t>
        </is>
      </c>
      <c r="H389" t="inlineStr">
        <is>
          <t>The Supreme Court Tennis Club</t>
        </is>
      </c>
      <c r="I389" t="n">
        <v>34.4</v>
      </c>
      <c r="J389" s="4" t="n">
        <v>102</v>
      </c>
      <c r="K389" t="inlineStr">
        <is>
          <t>28 / 74</t>
        </is>
      </c>
      <c r="L389" t="inlineStr">
        <is>
          <t>9 / 11</t>
        </is>
      </c>
      <c r="M389" s="5" t="n">
        <v>0.27</v>
      </c>
      <c r="N389" s="5" t="n">
        <v>0.45</v>
      </c>
    </row>
    <row r="390">
      <c r="A390" t="n">
        <v>389</v>
      </c>
      <c r="B390" t="n">
        <v>2012</v>
      </c>
      <c r="C390" t="inlineStr">
        <is>
          <t>Alyssa Grace Clouden</t>
        </is>
      </c>
      <c r="D390">
        <f>HYPERLINK("https://ota.tournamentsoftware.com/player-profile/85FC5E76-6ACD-4520-94D0-C05BABDC2184", "Link")</f>
        <v/>
      </c>
      <c r="E390" s="3" t="n">
        <v>155.832</v>
      </c>
      <c r="F390" s="4" t="n">
        <v>14</v>
      </c>
      <c r="G390" t="inlineStr">
        <is>
          <t>Ontario Tennis Association</t>
        </is>
      </c>
      <c r="H390" t="inlineStr">
        <is>
          <t>Headwaters Racquet Club</t>
        </is>
      </c>
      <c r="I390" t="n">
        <v>35.2</v>
      </c>
      <c r="J390" s="4" t="n">
        <v>56</v>
      </c>
      <c r="K390" t="inlineStr">
        <is>
          <t>26 / 30</t>
        </is>
      </c>
      <c r="L390" t="inlineStr">
        <is>
          <t>11 / 14</t>
        </is>
      </c>
      <c r="M390" s="5" t="n">
        <v>0.46</v>
      </c>
      <c r="N390" s="5" t="n">
        <v>0.44</v>
      </c>
    </row>
    <row r="391">
      <c r="A391" t="n">
        <v>390</v>
      </c>
      <c r="B391" t="n">
        <v>2013</v>
      </c>
      <c r="C391" t="inlineStr">
        <is>
          <t>Gabrielle Pompa</t>
        </is>
      </c>
      <c r="D391">
        <f>HYPERLINK("https://ota.tournamentsoftware.com/player-profile/668A29C0-962F-4DAD-B317-933787C09DCF", "Link")</f>
        <v/>
      </c>
      <c r="E391" s="3" t="n">
        <v>153.753</v>
      </c>
      <c r="F391" s="4" t="n">
        <v>7</v>
      </c>
      <c r="G391" t="inlineStr">
        <is>
          <t>Tennis Alberta</t>
        </is>
      </c>
      <c r="H391" t="inlineStr">
        <is>
          <t>Osten &amp; Victor Alberta Tennis Centre</t>
        </is>
      </c>
      <c r="I391" t="n">
        <v>29.1</v>
      </c>
      <c r="J391" s="4" t="n">
        <v>162</v>
      </c>
      <c r="K391" t="inlineStr">
        <is>
          <t>111 / 51</t>
        </is>
      </c>
      <c r="L391" t="inlineStr">
        <is>
          <t>6 / 4</t>
        </is>
      </c>
      <c r="M391" s="5" t="n">
        <v>0.6899999999999999</v>
      </c>
      <c r="N391" s="5" t="n">
        <v>0.6</v>
      </c>
    </row>
    <row r="392">
      <c r="A392" t="n">
        <v>391</v>
      </c>
      <c r="B392" t="n">
        <v>2014</v>
      </c>
      <c r="C392" t="inlineStr">
        <is>
          <t>Olivia Lee</t>
        </is>
      </c>
      <c r="D392">
        <f>HYPERLINK("https://ota.tournamentsoftware.com/player-profile/DEF89846-A0EF-4373-B8DC-8305F756E612", "Link")</f>
        <v/>
      </c>
      <c r="E392" s="3" t="n">
        <v>153.166</v>
      </c>
      <c r="F392" s="4" t="n">
        <v>23</v>
      </c>
      <c r="G392" t="inlineStr">
        <is>
          <t>Tennis Québec</t>
        </is>
      </c>
      <c r="H392" t="inlineStr">
        <is>
          <t>SANI Sport</t>
        </is>
      </c>
      <c r="I392" t="n">
        <v>35.6</v>
      </c>
      <c r="J392" s="4" t="n">
        <v>115</v>
      </c>
      <c r="K392" t="inlineStr">
        <is>
          <t>43 / 72</t>
        </is>
      </c>
      <c r="L392" t="inlineStr">
        <is>
          <t>13 / 24</t>
        </is>
      </c>
      <c r="M392" s="5" t="n">
        <v>0.37</v>
      </c>
      <c r="N392" s="5" t="n">
        <v>0.35</v>
      </c>
    </row>
    <row r="393">
      <c r="A393" t="n">
        <v>392</v>
      </c>
      <c r="B393" t="n">
        <v>2014</v>
      </c>
      <c r="C393" t="inlineStr">
        <is>
          <t>Rain Yu Chan</t>
        </is>
      </c>
      <c r="D393">
        <f>HYPERLINK("https://ota.tournamentsoftware.com/player-profile/BF26AD2D-BAAC-4E82-A862-14039C1584F2", "Link")</f>
        <v/>
      </c>
      <c r="E393" s="3" t="n">
        <v>152.222</v>
      </c>
      <c r="F393" s="4" t="n">
        <v>32</v>
      </c>
      <c r="G393" t="inlineStr">
        <is>
          <t>British Columbia</t>
        </is>
      </c>
      <c r="H393" t="inlineStr">
        <is>
          <t>Burnaby Tennis Club</t>
        </is>
      </c>
      <c r="I393" t="inlineStr">
        <is>
          <t>unavailable</t>
        </is>
      </c>
      <c r="J393" s="4" t="n">
        <v>206</v>
      </c>
      <c r="K393" t="inlineStr">
        <is>
          <t>97 / 109</t>
        </is>
      </c>
      <c r="L393" t="inlineStr">
        <is>
          <t>31 / 32</t>
        </is>
      </c>
      <c r="M393" s="5" t="n">
        <v>0.47</v>
      </c>
      <c r="N393" s="5" t="n">
        <v>0.49</v>
      </c>
    </row>
    <row r="394">
      <c r="A394" t="n">
        <v>393</v>
      </c>
      <c r="B394" t="n">
        <v>2014</v>
      </c>
      <c r="C394" t="inlineStr">
        <is>
          <t>Andrea Robles Sgambatti</t>
        </is>
      </c>
      <c r="D394">
        <f>HYPERLINK("https://ota.tournamentsoftware.com/player-profile/842B5763-8026-4DFF-BD28-4FA110C3A345", "Link")</f>
        <v/>
      </c>
      <c r="E394" s="3" t="n">
        <v>152.162</v>
      </c>
      <c r="F394" s="4" t="n">
        <v>17</v>
      </c>
      <c r="G394" t="inlineStr">
        <is>
          <t>Tennis Alberta</t>
        </is>
      </c>
      <c r="H394" t="inlineStr">
        <is>
          <t>Osten &amp; Victor Alberta Tennis Centre</t>
        </is>
      </c>
      <c r="I394" t="n">
        <v>34.3</v>
      </c>
      <c r="J394" s="4" t="n">
        <v>150</v>
      </c>
      <c r="K394" t="inlineStr">
        <is>
          <t>62 / 88</t>
        </is>
      </c>
      <c r="L394" t="inlineStr">
        <is>
          <t>13 / 20</t>
        </is>
      </c>
      <c r="M394" s="5" t="n">
        <v>0.41</v>
      </c>
      <c r="N394" s="5" t="n">
        <v>0.39</v>
      </c>
    </row>
    <row r="395">
      <c r="A395" t="n">
        <v>394</v>
      </c>
      <c r="B395" t="n">
        <v>2013</v>
      </c>
      <c r="C395" t="inlineStr">
        <is>
          <t>Jaheema Jajah Joseph</t>
        </is>
      </c>
      <c r="D395">
        <f>HYPERLINK("https://ota.tournamentsoftware.com/player-profile/2C08ABD4-0853-4E02-96D6-4CBDA8251E2A", "Link")</f>
        <v/>
      </c>
      <c r="E395" s="3" t="n">
        <v>150.699</v>
      </c>
      <c r="F395" s="4" t="n">
        <v>15</v>
      </c>
      <c r="G395" t="inlineStr">
        <is>
          <t>Tennis Québec</t>
        </is>
      </c>
      <c r="H395" t="inlineStr">
        <is>
          <t>Tennis Montréal</t>
        </is>
      </c>
      <c r="I395" t="n">
        <v>36.8</v>
      </c>
      <c r="J395" s="4" t="n">
        <v>94</v>
      </c>
      <c r="K395" t="inlineStr">
        <is>
          <t>38 / 56</t>
        </is>
      </c>
      <c r="L395" t="inlineStr">
        <is>
          <t>6 / 16</t>
        </is>
      </c>
      <c r="M395" s="5" t="n">
        <v>0.4</v>
      </c>
      <c r="N395" s="5" t="n">
        <v>0.27</v>
      </c>
    </row>
    <row r="396">
      <c r="A396" t="n">
        <v>395</v>
      </c>
      <c r="B396" t="n">
        <v>2013</v>
      </c>
      <c r="C396" t="inlineStr">
        <is>
          <t>Aarushi Pal</t>
        </is>
      </c>
      <c r="D396">
        <f>HYPERLINK("https://ota.tournamentsoftware.com/player-profile/F5E1E459-0A97-4C1F-8F37-D8CEF64DA1FA", "Link")</f>
        <v/>
      </c>
      <c r="E396" s="3" t="n">
        <v>149.571</v>
      </c>
      <c r="F396" s="4" t="n">
        <v>14</v>
      </c>
      <c r="G396" t="inlineStr">
        <is>
          <t>Tennis Alberta</t>
        </is>
      </c>
      <c r="H396" t="inlineStr">
        <is>
          <t>Osten &amp; Victor Alberta Tennis Centre</t>
        </is>
      </c>
      <c r="I396" t="n">
        <v>33.9</v>
      </c>
      <c r="J396" s="4" t="n">
        <v>165</v>
      </c>
      <c r="K396" t="inlineStr">
        <is>
          <t>81 / 84</t>
        </is>
      </c>
      <c r="L396" t="inlineStr">
        <is>
          <t>5 / 12</t>
        </is>
      </c>
      <c r="M396" s="5" t="n">
        <v>0.49</v>
      </c>
      <c r="N396" s="5" t="n">
        <v>0.29</v>
      </c>
    </row>
    <row r="397">
      <c r="A397" t="n">
        <v>396</v>
      </c>
      <c r="B397" t="n">
        <v>2015</v>
      </c>
      <c r="C397" t="inlineStr">
        <is>
          <t>Emma Lucenti</t>
        </is>
      </c>
      <c r="D397">
        <f>HYPERLINK("https://ota.tournamentsoftware.com/player-profile/F174A813-5F1A-4B24-BDFF-B6E6160FE2EB", "Link")</f>
        <v/>
      </c>
      <c r="E397" s="3" t="n">
        <v>148.828</v>
      </c>
      <c r="F397" s="4" t="n">
        <v>12</v>
      </c>
      <c r="G397" t="inlineStr">
        <is>
          <t>Ontario Tennis Association</t>
        </is>
      </c>
      <c r="H397" t="inlineStr">
        <is>
          <t>SmartVMC Racquetsports by ACE</t>
        </is>
      </c>
      <c r="I397" t="n">
        <v>35.5</v>
      </c>
      <c r="J397" s="4" t="n">
        <v>85</v>
      </c>
      <c r="K397" t="inlineStr">
        <is>
          <t>30 / 55</t>
        </is>
      </c>
      <c r="L397" t="inlineStr">
        <is>
          <t>9 / 13</t>
        </is>
      </c>
      <c r="M397" s="5" t="n">
        <v>0.35</v>
      </c>
      <c r="N397" s="5" t="n">
        <v>0.41</v>
      </c>
    </row>
    <row r="398">
      <c r="A398" t="n">
        <v>397</v>
      </c>
      <c r="B398" t="n">
        <v>2016</v>
      </c>
      <c r="C398" t="inlineStr">
        <is>
          <t>Eva Yanakieva</t>
        </is>
      </c>
      <c r="D398">
        <f>HYPERLINK("https://ota.tournamentsoftware.com/player-profile/7FBBEC05-D20C-448B-93F1-1F8C6BA80758", "Link")</f>
        <v/>
      </c>
      <c r="E398" s="3" t="n">
        <v>148.333</v>
      </c>
      <c r="F398" s="4" t="n">
        <v>21</v>
      </c>
      <c r="G398" t="inlineStr">
        <is>
          <t>Tennis Québec</t>
        </is>
      </c>
      <c r="H398" t="inlineStr">
        <is>
          <t>Tennis Montréal Excellence</t>
        </is>
      </c>
      <c r="I398" t="n">
        <v>35.2</v>
      </c>
      <c r="J398" s="4" t="n">
        <v>177</v>
      </c>
      <c r="K398" t="inlineStr">
        <is>
          <t>85 / 92</t>
        </is>
      </c>
      <c r="L398" t="inlineStr">
        <is>
          <t>24 / 24</t>
        </is>
      </c>
      <c r="M398" s="5" t="n">
        <v>0.48</v>
      </c>
      <c r="N398" s="5" t="n">
        <v>0.5</v>
      </c>
    </row>
    <row r="399">
      <c r="A399" t="n">
        <v>398</v>
      </c>
      <c r="B399" t="n">
        <v>2015</v>
      </c>
      <c r="C399" t="inlineStr">
        <is>
          <t>Stefaniia Grimailo</t>
        </is>
      </c>
      <c r="D399">
        <f>HYPERLINK("https://ota.tournamentsoftware.com/player-profile/63AAF188-F773-4BFA-B6C2-97B1DFB9AF3A", "Link")</f>
        <v/>
      </c>
      <c r="E399" s="3" t="n">
        <v>147.389</v>
      </c>
      <c r="F399" s="4" t="n">
        <v>9</v>
      </c>
      <c r="G399" t="inlineStr">
        <is>
          <t>Tennis Manitoba</t>
        </is>
      </c>
      <c r="H399" t="inlineStr">
        <is>
          <t>Winnipeg Winter Club</t>
        </is>
      </c>
      <c r="I399" t="n">
        <v>38.6</v>
      </c>
      <c r="J399" s="4" t="n">
        <v>64</v>
      </c>
      <c r="K399" t="inlineStr">
        <is>
          <t>9 / 55</t>
        </is>
      </c>
      <c r="L399" t="inlineStr">
        <is>
          <t>2 / 25</t>
        </is>
      </c>
      <c r="M399" s="5" t="n">
        <v>0.14</v>
      </c>
      <c r="N399" s="5" t="n">
        <v>0.07000000000000001</v>
      </c>
    </row>
    <row r="400">
      <c r="A400" t="n">
        <v>399</v>
      </c>
      <c r="B400" t="n">
        <v>2012</v>
      </c>
      <c r="C400" t="inlineStr">
        <is>
          <t>Chloe Park</t>
        </is>
      </c>
      <c r="D400">
        <f>HYPERLINK("https://ota.tournamentsoftware.com/player-profile/FD8FB9A4-F5D9-4A90-AA66-D8E6FC3D3BC5", "Link")</f>
        <v/>
      </c>
      <c r="E400" s="3" t="n">
        <v>146.362</v>
      </c>
      <c r="F400" s="4" t="n">
        <v>4</v>
      </c>
      <c r="G400" t="inlineStr">
        <is>
          <t>Tennis Prince Edward Island</t>
        </is>
      </c>
      <c r="H400" t="inlineStr">
        <is>
          <t>No Club</t>
        </is>
      </c>
      <c r="I400" t="n">
        <v>34.9</v>
      </c>
      <c r="J400" s="4" t="n">
        <v>57</v>
      </c>
      <c r="K400" t="inlineStr">
        <is>
          <t>13 / 44</t>
        </is>
      </c>
      <c r="L400" t="inlineStr">
        <is>
          <t>8 / 13</t>
        </is>
      </c>
      <c r="M400" s="5" t="n">
        <v>0.23</v>
      </c>
      <c r="N400" s="5" t="n">
        <v>0.38</v>
      </c>
    </row>
    <row r="401">
      <c r="A401" t="n">
        <v>400</v>
      </c>
      <c r="B401" t="n">
        <v>2015</v>
      </c>
      <c r="C401" t="inlineStr">
        <is>
          <t>Elaina York</t>
        </is>
      </c>
      <c r="D401">
        <f>HYPERLINK("https://ota.tournamentsoftware.com/player-profile/7D4D2F10-C754-4560-B490-903FD1C70ADE", "Link")</f>
        <v/>
      </c>
      <c r="E401" s="3" t="n">
        <v>145.952</v>
      </c>
      <c r="F401" s="4" t="n">
        <v>16</v>
      </c>
      <c r="G401" t="inlineStr">
        <is>
          <t>Tennis Alberta</t>
        </is>
      </c>
      <c r="H401" t="inlineStr">
        <is>
          <t>Aforza</t>
        </is>
      </c>
      <c r="I401" t="n">
        <v>34.9</v>
      </c>
      <c r="J401" s="4" t="n">
        <v>149</v>
      </c>
      <c r="K401" t="inlineStr">
        <is>
          <t>61 / 88</t>
        </is>
      </c>
      <c r="L401" t="inlineStr">
        <is>
          <t>15 / 23</t>
        </is>
      </c>
      <c r="M401" s="5" t="n">
        <v>0.41</v>
      </c>
      <c r="N401" s="5" t="n">
        <v>0.39</v>
      </c>
    </row>
    <row r="402">
      <c r="A402" t="n">
        <v>401</v>
      </c>
      <c r="B402" t="n">
        <v>2014</v>
      </c>
      <c r="C402" t="inlineStr">
        <is>
          <t>Sofia Zhuchenko</t>
        </is>
      </c>
      <c r="D402">
        <f>HYPERLINK("https://ota.tournamentsoftware.com/player-profile/F633DD21-A0C3-4CAC-B560-7222D07936B7", "Link")</f>
        <v/>
      </c>
      <c r="E402" s="3" t="n">
        <v>145.261</v>
      </c>
      <c r="F402" s="4" t="n">
        <v>15</v>
      </c>
      <c r="G402" t="inlineStr">
        <is>
          <t>Tennis Alberta</t>
        </is>
      </c>
      <c r="H402" t="inlineStr">
        <is>
          <t>Osten &amp; Victor Alberta Tennis Centre</t>
        </is>
      </c>
      <c r="I402" t="n">
        <v>33.6</v>
      </c>
      <c r="J402" s="4" t="n">
        <v>111</v>
      </c>
      <c r="K402" t="inlineStr">
        <is>
          <t>43 / 68</t>
        </is>
      </c>
      <c r="L402" t="inlineStr">
        <is>
          <t>13 / 18</t>
        </is>
      </c>
      <c r="M402" s="5" t="n">
        <v>0.39</v>
      </c>
      <c r="N402" s="5" t="n">
        <v>0.42</v>
      </c>
    </row>
    <row r="403">
      <c r="A403" t="n">
        <v>402</v>
      </c>
      <c r="B403" t="n">
        <v>2014</v>
      </c>
      <c r="C403" t="inlineStr">
        <is>
          <t>Kira Wong</t>
        </is>
      </c>
      <c r="D403">
        <f>HYPERLINK("https://ota.tournamentsoftware.com/player-profile/E305B648-4548-45A0-B043-623E1473C7E5", "Link")</f>
        <v/>
      </c>
      <c r="E403" s="3" t="n">
        <v>144.621</v>
      </c>
      <c r="F403" s="4" t="n">
        <v>24</v>
      </c>
      <c r="G403" t="inlineStr">
        <is>
          <t>Tennis Alberta</t>
        </is>
      </c>
      <c r="H403" t="inlineStr">
        <is>
          <t>Aforza</t>
        </is>
      </c>
      <c r="I403" t="n">
        <v>35.2</v>
      </c>
      <c r="J403" s="4" t="n">
        <v>130</v>
      </c>
      <c r="K403" t="inlineStr">
        <is>
          <t>48 / 82</t>
        </is>
      </c>
      <c r="L403" t="inlineStr">
        <is>
          <t>24 / 28</t>
        </is>
      </c>
      <c r="M403" s="5" t="n">
        <v>0.37</v>
      </c>
      <c r="N403" s="5" t="n">
        <v>0.46</v>
      </c>
    </row>
    <row r="404">
      <c r="A404" t="n">
        <v>403</v>
      </c>
      <c r="B404" t="n">
        <v>2016</v>
      </c>
      <c r="C404" t="inlineStr">
        <is>
          <t>Milana Piazza</t>
        </is>
      </c>
      <c r="D404">
        <f>HYPERLINK("https://ota.tournamentsoftware.com/player-profile/4CDBB0C3-0D8B-4D7B-873C-3CEC65600FA0", "Link")</f>
        <v/>
      </c>
      <c r="E404" s="3" t="n">
        <v>144.058</v>
      </c>
      <c r="F404" s="4" t="n">
        <v>10</v>
      </c>
      <c r="G404" t="inlineStr">
        <is>
          <t>Tennis Québec</t>
        </is>
      </c>
      <c r="H404" t="inlineStr">
        <is>
          <t>Tennis 13</t>
        </is>
      </c>
      <c r="I404" t="n">
        <v>32.9</v>
      </c>
      <c r="J404" s="4" t="n">
        <v>92</v>
      </c>
      <c r="K404" t="inlineStr">
        <is>
          <t>56 / 36</t>
        </is>
      </c>
      <c r="L404" t="inlineStr">
        <is>
          <t>23 / 8</t>
        </is>
      </c>
      <c r="M404" s="5" t="n">
        <v>0.61</v>
      </c>
      <c r="N404" s="5" t="n">
        <v>0.74</v>
      </c>
    </row>
    <row r="405">
      <c r="A405" t="n">
        <v>404</v>
      </c>
      <c r="B405" t="n">
        <v>2015</v>
      </c>
      <c r="C405" t="inlineStr">
        <is>
          <t>Vera Toptounov</t>
        </is>
      </c>
      <c r="D405">
        <f>HYPERLINK("https://ota.tournamentsoftware.com/player-profile/6AC05446-ED22-406D-9460-F30F3FC8B16B", "Link")</f>
        <v/>
      </c>
      <c r="E405" s="3" t="n">
        <v>144.013</v>
      </c>
      <c r="F405" s="4" t="n">
        <v>20</v>
      </c>
      <c r="G405" t="inlineStr">
        <is>
          <t>Ontario Tennis Association</t>
        </is>
      </c>
      <c r="H405" t="inlineStr">
        <is>
          <t>SmartVMC Racquetsports by ACE</t>
        </is>
      </c>
      <c r="I405" t="n">
        <v>35.5</v>
      </c>
      <c r="J405" s="4" t="n">
        <v>106</v>
      </c>
      <c r="K405" t="inlineStr">
        <is>
          <t>46 / 60</t>
        </is>
      </c>
      <c r="L405" t="inlineStr">
        <is>
          <t>12 / 16</t>
        </is>
      </c>
      <c r="M405" s="5" t="n">
        <v>0.43</v>
      </c>
      <c r="N405" s="5" t="n">
        <v>0.43</v>
      </c>
    </row>
    <row r="406">
      <c r="A406" t="n">
        <v>405</v>
      </c>
      <c r="B406" t="n">
        <v>2015</v>
      </c>
      <c r="C406" t="inlineStr">
        <is>
          <t>Theia Zhang</t>
        </is>
      </c>
      <c r="D406">
        <f>HYPERLINK("https://ota.tournamentsoftware.com/player-profile/8628DB3F-1A24-45E1-A1F1-727AFFD593DD", "Link")</f>
        <v/>
      </c>
      <c r="E406" s="3" t="n">
        <v>142.594</v>
      </c>
      <c r="F406" s="4" t="n">
        <v>10</v>
      </c>
      <c r="G406" t="inlineStr">
        <is>
          <t>Ontario Tennis Association</t>
        </is>
      </c>
      <c r="H406" t="inlineStr">
        <is>
          <t>Premier Racquet Clubs – Mississauga</t>
        </is>
      </c>
      <c r="I406" t="n">
        <v>35.8</v>
      </c>
      <c r="J406" s="4" t="n">
        <v>102</v>
      </c>
      <c r="K406" t="inlineStr">
        <is>
          <t>48 / 54</t>
        </is>
      </c>
      <c r="L406" t="inlineStr">
        <is>
          <t>1 / 6</t>
        </is>
      </c>
      <c r="M406" s="5" t="n">
        <v>0.47</v>
      </c>
      <c r="N406" s="5" t="n">
        <v>0.14</v>
      </c>
    </row>
    <row r="407">
      <c r="A407" t="n">
        <v>406</v>
      </c>
      <c r="B407" t="n">
        <v>2015</v>
      </c>
      <c r="C407" t="inlineStr">
        <is>
          <t>Maranata Okubazgi</t>
        </is>
      </c>
      <c r="D407">
        <f>HYPERLINK("https://ota.tournamentsoftware.com/player-profile/D41680BB-0D07-401E-A1E3-7ECB40E4830A", "Link")</f>
        <v/>
      </c>
      <c r="E407" s="3" t="n">
        <v>142.224</v>
      </c>
      <c r="F407" s="4" t="n">
        <v>18</v>
      </c>
      <c r="G407" t="inlineStr">
        <is>
          <t>Ontario Tennis Association</t>
        </is>
      </c>
      <c r="H407" t="inlineStr">
        <is>
          <t>Premier Racquet Clubs – Mississauga</t>
        </is>
      </c>
      <c r="I407" t="n">
        <v>34.6</v>
      </c>
      <c r="J407" s="4" t="n">
        <v>101</v>
      </c>
      <c r="K407" t="inlineStr">
        <is>
          <t>58 / 43</t>
        </is>
      </c>
      <c r="L407" t="inlineStr">
        <is>
          <t>19 / 15</t>
        </is>
      </c>
      <c r="M407" s="5" t="n">
        <v>0.57</v>
      </c>
      <c r="N407" s="5" t="n">
        <v>0.5600000000000001</v>
      </c>
    </row>
    <row r="408">
      <c r="A408" t="n">
        <v>407</v>
      </c>
      <c r="B408" t="n">
        <v>2014</v>
      </c>
      <c r="C408" t="inlineStr">
        <is>
          <t>myra Malik</t>
        </is>
      </c>
      <c r="D408">
        <f>HYPERLINK("https://ota.tournamentsoftware.com/player-profile/B5B677E5-44EA-48DD-95B7-05BF38E3758B", "Link")</f>
        <v/>
      </c>
      <c r="E408" s="3" t="n">
        <v>140.56</v>
      </c>
      <c r="F408" s="4" t="n">
        <v>27</v>
      </c>
      <c r="G408" t="inlineStr">
        <is>
          <t>British Columbia</t>
        </is>
      </c>
      <c r="H408" t="inlineStr">
        <is>
          <t>The Tennis Centre</t>
        </is>
      </c>
      <c r="I408" t="n">
        <v>32.9</v>
      </c>
      <c r="J408" s="4" t="n">
        <v>72</v>
      </c>
      <c r="K408" t="inlineStr">
        <is>
          <t>34 / 38</t>
        </is>
      </c>
      <c r="L408" t="inlineStr">
        <is>
          <t>27 / 24</t>
        </is>
      </c>
      <c r="M408" s="5" t="n">
        <v>0.47</v>
      </c>
      <c r="N408" s="5" t="n">
        <v>0.53</v>
      </c>
    </row>
    <row r="409">
      <c r="A409" t="n">
        <v>408</v>
      </c>
      <c r="B409" t="n">
        <v>2015</v>
      </c>
      <c r="C409" t="inlineStr">
        <is>
          <t>Athisayah Viji</t>
        </is>
      </c>
      <c r="D409">
        <f>HYPERLINK("https://ota.tournamentsoftware.com/player-profile/C8684F68-4EF9-414D-BDA9-FC73111C2DB8", "Link")</f>
        <v/>
      </c>
      <c r="E409" s="3" t="n">
        <v>139.162</v>
      </c>
      <c r="F409" s="4" t="n">
        <v>20</v>
      </c>
      <c r="G409" t="inlineStr">
        <is>
          <t>British Columbia</t>
        </is>
      </c>
      <c r="H409" t="inlineStr">
        <is>
          <t>The Tennis Centre</t>
        </is>
      </c>
      <c r="I409" t="n">
        <v>31.8</v>
      </c>
      <c r="J409" s="4" t="n">
        <v>129</v>
      </c>
      <c r="K409" t="inlineStr">
        <is>
          <t>77 / 52</t>
        </is>
      </c>
      <c r="L409" t="inlineStr">
        <is>
          <t>37 / 17</t>
        </is>
      </c>
      <c r="M409" s="5" t="n">
        <v>0.6</v>
      </c>
      <c r="N409" s="5" t="n">
        <v>0.6899999999999999</v>
      </c>
    </row>
    <row r="410">
      <c r="A410" t="n">
        <v>409</v>
      </c>
      <c r="B410" t="n">
        <v>2012</v>
      </c>
      <c r="C410" t="inlineStr">
        <is>
          <t>Spencer Xie</t>
        </is>
      </c>
      <c r="D410">
        <f>HYPERLINK("https://ota.tournamentsoftware.com/player-profile/E8C882F3-740E-4E76-A249-7FC036AFD1F8", "Link")</f>
        <v/>
      </c>
      <c r="E410" s="3" t="n">
        <v>138.244</v>
      </c>
      <c r="F410" s="4" t="n">
        <v>12</v>
      </c>
      <c r="G410" t="inlineStr">
        <is>
          <t>Ontario Tennis Association</t>
        </is>
      </c>
      <c r="H410" t="inlineStr">
        <is>
          <t>Granite Club</t>
        </is>
      </c>
      <c r="I410" t="n">
        <v>35.2</v>
      </c>
      <c r="J410" s="4" t="n">
        <v>71</v>
      </c>
      <c r="K410" t="inlineStr">
        <is>
          <t>19 / 52</t>
        </is>
      </c>
      <c r="L410" t="inlineStr">
        <is>
          <t>6 / 13</t>
        </is>
      </c>
      <c r="M410" s="5" t="n">
        <v>0.27</v>
      </c>
      <c r="N410" s="5" t="n">
        <v>0.32</v>
      </c>
    </row>
    <row r="411">
      <c r="A411" t="n">
        <v>410</v>
      </c>
      <c r="B411" t="n">
        <v>2013</v>
      </c>
      <c r="C411" t="inlineStr">
        <is>
          <t>Audrey Ziqi Liu</t>
        </is>
      </c>
      <c r="D411">
        <f>HYPERLINK("https://ota.tournamentsoftware.com/player-profile/C2E6156A-D7ED-45A1-B728-0FA7A8D2D6A1", "Link")</f>
        <v/>
      </c>
      <c r="E411" s="3" t="n">
        <v>138.106</v>
      </c>
      <c r="F411" s="4" t="n">
        <v>11</v>
      </c>
      <c r="G411" t="inlineStr">
        <is>
          <t>British Columbia</t>
        </is>
      </c>
      <c r="H411" t="inlineStr">
        <is>
          <t>UBC Tennis Centre</t>
        </is>
      </c>
      <c r="I411" t="n">
        <v>34.8</v>
      </c>
      <c r="J411" s="4" t="n">
        <v>28</v>
      </c>
      <c r="K411" t="inlineStr">
        <is>
          <t>9 / 19</t>
        </is>
      </c>
      <c r="L411" t="inlineStr">
        <is>
          <t>8 / 17</t>
        </is>
      </c>
      <c r="M411" s="5" t="n">
        <v>0.32</v>
      </c>
      <c r="N411" s="5" t="n">
        <v>0.32</v>
      </c>
    </row>
    <row r="412">
      <c r="A412" t="n">
        <v>411</v>
      </c>
      <c r="B412" t="n">
        <v>2012</v>
      </c>
      <c r="C412" t="inlineStr">
        <is>
          <t>Sophia Hamel</t>
        </is>
      </c>
      <c r="D412">
        <f>HYPERLINK("https://ota.tournamentsoftware.com/player-profile/D6C2A4EC-5F86-459B-A81E-7C31F47AD78D", "Link")</f>
        <v/>
      </c>
      <c r="E412" s="3" t="n">
        <v>135.331</v>
      </c>
      <c r="F412" s="4" t="n">
        <v>8</v>
      </c>
      <c r="G412" t="inlineStr">
        <is>
          <t>Tennis Québec</t>
        </is>
      </c>
      <c r="H412" t="inlineStr">
        <is>
          <t>Rouge et Or - Université Laval</t>
        </is>
      </c>
      <c r="I412" t="n">
        <v>35.1</v>
      </c>
      <c r="J412" s="4" t="n">
        <v>71</v>
      </c>
      <c r="K412" t="inlineStr">
        <is>
          <t>15 / 56</t>
        </is>
      </c>
      <c r="L412" t="inlineStr">
        <is>
          <t>6 / 11</t>
        </is>
      </c>
      <c r="M412" s="5" t="n">
        <v>0.21</v>
      </c>
      <c r="N412" s="5" t="n">
        <v>0.35</v>
      </c>
    </row>
    <row r="413">
      <c r="A413" t="n">
        <v>412</v>
      </c>
      <c r="B413" t="n">
        <v>2012</v>
      </c>
      <c r="C413" t="inlineStr">
        <is>
          <t>Aila Olivia Brimacombe</t>
        </is>
      </c>
      <c r="D413">
        <f>HYPERLINK("https://ota.tournamentsoftware.com/player-profile/665F5A6C-3B65-4541-A5CF-6A84DC235104", "Link")</f>
        <v/>
      </c>
      <c r="E413" s="3" t="n">
        <v>134.944</v>
      </c>
      <c r="F413" s="4" t="n">
        <v>21</v>
      </c>
      <c r="G413" t="inlineStr">
        <is>
          <t>British Columbia</t>
        </is>
      </c>
      <c r="H413" t="inlineStr">
        <is>
          <t>West Vancouver Tennis Club</t>
        </is>
      </c>
      <c r="I413" t="n">
        <v>35.6</v>
      </c>
      <c r="J413" s="4" t="n">
        <v>115</v>
      </c>
      <c r="K413" t="inlineStr">
        <is>
          <t>19 / 96</t>
        </is>
      </c>
      <c r="L413" t="inlineStr">
        <is>
          <t>9 / 31</t>
        </is>
      </c>
      <c r="M413" s="5" t="n">
        <v>0.17</v>
      </c>
      <c r="N413" s="5" t="n">
        <v>0.23</v>
      </c>
    </row>
    <row r="414">
      <c r="A414" t="n">
        <v>413</v>
      </c>
      <c r="B414" t="n">
        <v>2015</v>
      </c>
      <c r="C414" t="inlineStr">
        <is>
          <t>Anya De Lain</t>
        </is>
      </c>
      <c r="D414">
        <f>HYPERLINK("https://ota.tournamentsoftware.com/player-profile/563B79E2-A8FE-4D68-B224-8FB6861F2D7F", "Link")</f>
        <v/>
      </c>
      <c r="E414" s="3" t="n">
        <v>134.241</v>
      </c>
      <c r="F414" s="4" t="n">
        <v>14</v>
      </c>
      <c r="G414" t="inlineStr">
        <is>
          <t>Tennis Québec</t>
        </is>
      </c>
      <c r="H414" t="inlineStr">
        <is>
          <t>EB Tennis inc.</t>
        </is>
      </c>
      <c r="I414" t="n">
        <v>40</v>
      </c>
      <c r="J414" s="4" t="n">
        <v>90</v>
      </c>
      <c r="K414" t="inlineStr">
        <is>
          <t>16 / 74</t>
        </is>
      </c>
      <c r="L414" t="inlineStr">
        <is>
          <t>2 / 18</t>
        </is>
      </c>
      <c r="M414" s="5" t="n">
        <v>0.18</v>
      </c>
      <c r="N414" s="5" t="n">
        <v>0.1</v>
      </c>
    </row>
    <row r="415">
      <c r="A415" t="n">
        <v>414</v>
      </c>
      <c r="B415" t="n">
        <v>2014</v>
      </c>
      <c r="C415" t="inlineStr">
        <is>
          <t>Sonia Leung</t>
        </is>
      </c>
      <c r="D415">
        <f>HYPERLINK("https://ota.tournamentsoftware.com/player-profile/CCA302B0-3E0B-42DA-BCF9-B1A9AF0035E5", "Link")</f>
        <v/>
      </c>
      <c r="E415" s="3" t="n">
        <v>134.04</v>
      </c>
      <c r="F415" s="4" t="n">
        <v>17</v>
      </c>
      <c r="G415" t="inlineStr">
        <is>
          <t>Ontario Tennis Association</t>
        </is>
      </c>
      <c r="H415" t="inlineStr">
        <is>
          <t>Toronto Tennis Academy</t>
        </is>
      </c>
      <c r="I415" t="n">
        <v>33.8</v>
      </c>
      <c r="J415" s="4" t="n">
        <v>69</v>
      </c>
      <c r="K415" t="inlineStr">
        <is>
          <t>35 / 34</t>
        </is>
      </c>
      <c r="L415" t="inlineStr">
        <is>
          <t>26 / 14</t>
        </is>
      </c>
      <c r="M415" s="5" t="n">
        <v>0.51</v>
      </c>
      <c r="N415" s="5" t="n">
        <v>0.65</v>
      </c>
    </row>
    <row r="416">
      <c r="A416" t="n">
        <v>415</v>
      </c>
      <c r="B416" t="n">
        <v>2015</v>
      </c>
      <c r="C416" t="inlineStr">
        <is>
          <t>Blake Badger</t>
        </is>
      </c>
      <c r="D416">
        <f>HYPERLINK("https://ota.tournamentsoftware.com/player-profile/33B72483-1E5D-4043-8C06-81F76F0504E6", "Link")</f>
        <v/>
      </c>
      <c r="E416" s="3" t="n">
        <v>133.817</v>
      </c>
      <c r="F416" s="4" t="n">
        <v>4</v>
      </c>
      <c r="G416" t="inlineStr">
        <is>
          <t>Tennis Saskatchewan</t>
        </is>
      </c>
      <c r="H416" t="inlineStr">
        <is>
          <t>Lakeshore Tennis Club</t>
        </is>
      </c>
      <c r="I416" t="n">
        <v>38.3</v>
      </c>
      <c r="J416" s="4" t="n">
        <v>63</v>
      </c>
      <c r="K416" t="inlineStr">
        <is>
          <t>20 / 43</t>
        </is>
      </c>
      <c r="L416" t="inlineStr">
        <is>
          <t>2 / 7</t>
        </is>
      </c>
      <c r="M416" s="5" t="n">
        <v>0.32</v>
      </c>
      <c r="N416" s="5" t="n">
        <v>0.22</v>
      </c>
    </row>
    <row r="417">
      <c r="A417" t="n">
        <v>416</v>
      </c>
      <c r="B417" t="n">
        <v>2013</v>
      </c>
      <c r="C417" t="inlineStr">
        <is>
          <t>Zoé Pilon</t>
        </is>
      </c>
      <c r="D417">
        <f>HYPERLINK("https://ota.tournamentsoftware.com/player-profile/5CF92DF6-CB3B-4E9E-9D03-B9CC6481DEBA", "Link")</f>
        <v/>
      </c>
      <c r="E417" s="3" t="n">
        <v>133.497</v>
      </c>
      <c r="F417" s="4" t="n">
        <v>12</v>
      </c>
      <c r="G417" t="inlineStr">
        <is>
          <t>Tennis Québec</t>
        </is>
      </c>
      <c r="H417" t="inlineStr">
        <is>
          <t>Tennis Interclub Piedmont</t>
        </is>
      </c>
      <c r="I417" t="n">
        <v>37.7</v>
      </c>
      <c r="J417" s="4" t="n">
        <v>22</v>
      </c>
      <c r="K417" t="inlineStr">
        <is>
          <t>7 / 15</t>
        </is>
      </c>
      <c r="L417" t="inlineStr">
        <is>
          <t>3 / 12</t>
        </is>
      </c>
      <c r="M417" s="5" t="n">
        <v>0.32</v>
      </c>
      <c r="N417" s="5" t="n">
        <v>0.2</v>
      </c>
    </row>
    <row r="418">
      <c r="A418" t="n">
        <v>417</v>
      </c>
      <c r="B418" t="n">
        <v>2014</v>
      </c>
      <c r="C418" t="inlineStr">
        <is>
          <t>Jaynaëlle Isaac</t>
        </is>
      </c>
      <c r="D418">
        <f>HYPERLINK("https://ota.tournamentsoftware.com/player-profile/6748F07C-41D2-4D26-87D9-8636B60DC389", "Link")</f>
        <v/>
      </c>
      <c r="E418" s="3" t="n">
        <v>132.874</v>
      </c>
      <c r="F418" s="4" t="n">
        <v>11</v>
      </c>
      <c r="G418" t="inlineStr">
        <is>
          <t>Tennis Québec</t>
        </is>
      </c>
      <c r="H418" t="inlineStr">
        <is>
          <t>No Club</t>
        </is>
      </c>
      <c r="I418" t="n">
        <v>32.5</v>
      </c>
      <c r="J418" s="4" t="n">
        <v>124</v>
      </c>
      <c r="K418" t="inlineStr">
        <is>
          <t>49 / 75</t>
        </is>
      </c>
      <c r="L418" t="inlineStr">
        <is>
          <t>9 / 11</t>
        </is>
      </c>
      <c r="M418" s="5" t="n">
        <v>0.4</v>
      </c>
      <c r="N418" s="5" t="n">
        <v>0.45</v>
      </c>
    </row>
    <row r="419">
      <c r="A419" t="n">
        <v>418</v>
      </c>
      <c r="B419" t="n">
        <v>2013</v>
      </c>
      <c r="C419" t="inlineStr">
        <is>
          <t>Olivia Xing</t>
        </is>
      </c>
      <c r="D419">
        <f>HYPERLINK("https://ota.tournamentsoftware.com/player-profile/03475BC0-CC60-490A-8E94-0D82D43C8EDC", "Link")</f>
        <v/>
      </c>
      <c r="E419" s="3" t="n">
        <v>132.497</v>
      </c>
      <c r="F419" s="4" t="n">
        <v>17</v>
      </c>
      <c r="G419" t="inlineStr">
        <is>
          <t>British Columbia</t>
        </is>
      </c>
      <c r="H419" t="inlineStr">
        <is>
          <t>Vancouver Lawn Tennis and Badminton Club</t>
        </is>
      </c>
      <c r="I419" t="inlineStr">
        <is>
          <t>unavailable</t>
        </is>
      </c>
      <c r="J419" s="4" t="n">
        <v>117</v>
      </c>
      <c r="K419" t="inlineStr">
        <is>
          <t>57 / 60</t>
        </is>
      </c>
      <c r="L419" t="inlineStr">
        <is>
          <t>10 / 13</t>
        </is>
      </c>
      <c r="M419" s="5" t="n">
        <v>0.49</v>
      </c>
      <c r="N419" s="5" t="n">
        <v>0.43</v>
      </c>
    </row>
    <row r="420">
      <c r="A420" t="n">
        <v>419</v>
      </c>
      <c r="B420" t="n">
        <v>2014</v>
      </c>
      <c r="C420" t="inlineStr">
        <is>
          <t>Olivia Weiwei Kong</t>
        </is>
      </c>
      <c r="D420">
        <f>HYPERLINK("https://ota.tournamentsoftware.com/player-profile/D959AEB1-2F72-4DC3-9FC0-C7595A80CDA0", "Link")</f>
        <v/>
      </c>
      <c r="E420" s="3" t="n">
        <v>130.887</v>
      </c>
      <c r="F420" s="4" t="n">
        <v>6</v>
      </c>
      <c r="G420" t="inlineStr">
        <is>
          <t>Tennis Saskatchewan</t>
        </is>
      </c>
      <c r="H420" t="inlineStr">
        <is>
          <t>Lakeshore Tennis Club</t>
        </is>
      </c>
      <c r="I420" t="n">
        <v>35.9</v>
      </c>
      <c r="J420" s="4" t="n">
        <v>91</v>
      </c>
      <c r="K420" t="inlineStr">
        <is>
          <t>23 / 68</t>
        </is>
      </c>
      <c r="L420" t="inlineStr">
        <is>
          <t>4 / 11</t>
        </is>
      </c>
      <c r="M420" s="5" t="n">
        <v>0.25</v>
      </c>
      <c r="N420" s="5" t="n">
        <v>0.27</v>
      </c>
    </row>
    <row r="421">
      <c r="A421" t="n">
        <v>420</v>
      </c>
      <c r="B421" t="n">
        <v>2013</v>
      </c>
      <c r="C421" t="inlineStr">
        <is>
          <t>Ellie Patricia Wilson</t>
        </is>
      </c>
      <c r="D421">
        <f>HYPERLINK("https://ota.tournamentsoftware.com/player-profile/CB4D2A63-DEA3-4EB8-9085-4317BC39804E", "Link")</f>
        <v/>
      </c>
      <c r="E421" s="3" t="n">
        <v>130.711</v>
      </c>
      <c r="F421" s="4" t="n">
        <v>7</v>
      </c>
      <c r="G421" t="inlineStr">
        <is>
          <t>Ontario Tennis Association</t>
        </is>
      </c>
      <c r="H421" t="inlineStr">
        <is>
          <t>Milton Tennis Club</t>
        </is>
      </c>
      <c r="I421" t="n">
        <v>34.5</v>
      </c>
      <c r="J421" s="4" t="n">
        <v>66</v>
      </c>
      <c r="K421" t="inlineStr">
        <is>
          <t>24 / 42</t>
        </is>
      </c>
      <c r="L421" t="inlineStr">
        <is>
          <t>3 / 5</t>
        </is>
      </c>
      <c r="M421" s="5" t="n">
        <v>0.36</v>
      </c>
      <c r="N421" s="5" t="n">
        <v>0.38</v>
      </c>
    </row>
    <row r="422">
      <c r="A422" t="n">
        <v>421</v>
      </c>
      <c r="B422" t="n">
        <v>2013</v>
      </c>
      <c r="C422" t="inlineStr">
        <is>
          <t>LEAH SHOJAIE</t>
        </is>
      </c>
      <c r="D422">
        <f>HYPERLINK("https://ota.tournamentsoftware.com/player-profile/A1DEEE7E-F9FE-4AA1-9DCF-5A3FDD2E189E", "Link")</f>
        <v/>
      </c>
      <c r="E422" s="3" t="n">
        <v>130.147</v>
      </c>
      <c r="F422" s="4" t="n">
        <v>14</v>
      </c>
      <c r="G422" t="inlineStr">
        <is>
          <t>Ontario Tennis Association</t>
        </is>
      </c>
      <c r="H422" t="inlineStr">
        <is>
          <t>Valan Tennis Academy</t>
        </is>
      </c>
      <c r="I422" t="n">
        <v>36</v>
      </c>
      <c r="J422" s="4" t="n">
        <v>21</v>
      </c>
      <c r="K422" t="inlineStr">
        <is>
          <t>6 / 15</t>
        </is>
      </c>
      <c r="L422" t="inlineStr">
        <is>
          <t>6 / 15</t>
        </is>
      </c>
      <c r="M422" s="5" t="n">
        <v>0.29</v>
      </c>
      <c r="N422" s="5" t="n">
        <v>0.29</v>
      </c>
    </row>
    <row r="423">
      <c r="A423" t="n">
        <v>422</v>
      </c>
      <c r="B423" t="n">
        <v>2012</v>
      </c>
      <c r="C423" t="inlineStr">
        <is>
          <t>Myra Chowdhary</t>
        </is>
      </c>
      <c r="D423">
        <f>HYPERLINK("https://ota.tournamentsoftware.com/player-profile/CE7139B1-580D-4EF4-A747-D0E1E897EAFB", "Link")</f>
        <v/>
      </c>
      <c r="E423" s="3" t="n">
        <v>130.123</v>
      </c>
      <c r="F423" s="4" t="n">
        <v>10</v>
      </c>
      <c r="G423" t="inlineStr">
        <is>
          <t>Ontario Tennis Association</t>
        </is>
      </c>
      <c r="H423" t="inlineStr">
        <is>
          <t>Youngs Sportsplex</t>
        </is>
      </c>
      <c r="I423" t="n">
        <v>38.4</v>
      </c>
      <c r="J423" s="4" t="n">
        <v>41</v>
      </c>
      <c r="K423" t="inlineStr">
        <is>
          <t>12 / 29</t>
        </is>
      </c>
      <c r="L423" t="inlineStr">
        <is>
          <t>4 / 13</t>
        </is>
      </c>
      <c r="M423" s="5" t="n">
        <v>0.29</v>
      </c>
      <c r="N423" s="5" t="n">
        <v>0.24</v>
      </c>
    </row>
    <row r="424">
      <c r="A424" t="n">
        <v>423</v>
      </c>
      <c r="B424" t="n">
        <v>2014</v>
      </c>
      <c r="C424" t="inlineStr">
        <is>
          <t>Audrey JIA</t>
        </is>
      </c>
      <c r="D424">
        <f>HYPERLINK("https://ota.tournamentsoftware.com/player-profile/3F7A519A-489C-490B-9AA2-F4FCBBCA474F", "Link")</f>
        <v/>
      </c>
      <c r="E424" s="3" t="n">
        <v>129.849</v>
      </c>
      <c r="F424" s="4" t="n">
        <v>22</v>
      </c>
      <c r="G424" t="inlineStr">
        <is>
          <t>Ontario Tennis Association</t>
        </is>
      </c>
      <c r="H424" t="inlineStr">
        <is>
          <t>Newmarket Community Tennis Club</t>
        </is>
      </c>
      <c r="I424" t="inlineStr">
        <is>
          <t>unavailable</t>
        </is>
      </c>
      <c r="J424" s="4" t="n">
        <v>98</v>
      </c>
      <c r="K424" t="inlineStr">
        <is>
          <t>54 / 44</t>
        </is>
      </c>
      <c r="L424" t="inlineStr">
        <is>
          <t>37 / 17</t>
        </is>
      </c>
      <c r="M424" s="5" t="n">
        <v>0.55</v>
      </c>
      <c r="N424" s="5" t="n">
        <v>0.6899999999999999</v>
      </c>
    </row>
    <row r="425">
      <c r="A425" t="n">
        <v>424</v>
      </c>
      <c r="B425" t="n">
        <v>2014</v>
      </c>
      <c r="C425" t="inlineStr">
        <is>
          <t>Scarlett Hannah Yip</t>
        </is>
      </c>
      <c r="D425">
        <f>HYPERLINK("https://ota.tournamentsoftware.com/player-profile/D01B38C8-E207-4D1F-B33D-970B1F8BDC78", "Link")</f>
        <v/>
      </c>
      <c r="E425" s="3" t="n">
        <v>128.523</v>
      </c>
      <c r="F425" s="4" t="n">
        <v>12</v>
      </c>
      <c r="G425" t="inlineStr">
        <is>
          <t>Tennis Alberta</t>
        </is>
      </c>
      <c r="H425" t="inlineStr">
        <is>
          <t>Osten &amp; Victor Alberta Tennis Centre</t>
        </is>
      </c>
      <c r="I425" t="n">
        <v>33.7</v>
      </c>
      <c r="J425" s="4" t="n">
        <v>146</v>
      </c>
      <c r="K425" t="inlineStr">
        <is>
          <t>65 / 81</t>
        </is>
      </c>
      <c r="L425" t="inlineStr">
        <is>
          <t>6 / 8</t>
        </is>
      </c>
      <c r="M425" s="5" t="n">
        <v>0.45</v>
      </c>
      <c r="N425" s="5" t="n">
        <v>0.43</v>
      </c>
    </row>
    <row r="426">
      <c r="A426" t="n">
        <v>425</v>
      </c>
      <c r="B426" t="n">
        <v>2014</v>
      </c>
      <c r="C426" t="inlineStr">
        <is>
          <t>Afsoune Wassel</t>
        </is>
      </c>
      <c r="D426">
        <f>HYPERLINK("https://ota.tournamentsoftware.com/player-profile/72D5D7A1-94DE-47DF-B01E-F83205C53092", "Link")</f>
        <v/>
      </c>
      <c r="E426" s="3" t="n">
        <v>128.099</v>
      </c>
      <c r="F426" s="4" t="n">
        <v>18</v>
      </c>
      <c r="G426" t="inlineStr">
        <is>
          <t>Tennis Québec</t>
        </is>
      </c>
      <c r="H426" t="inlineStr">
        <is>
          <t>SANI Sport</t>
        </is>
      </c>
      <c r="I426" t="n">
        <v>34.7</v>
      </c>
      <c r="J426" s="4" t="n">
        <v>118</v>
      </c>
      <c r="K426" t="inlineStr">
        <is>
          <t>59 / 59</t>
        </is>
      </c>
      <c r="L426" t="inlineStr">
        <is>
          <t>7 / 13</t>
        </is>
      </c>
      <c r="M426" s="5" t="n">
        <v>0.5</v>
      </c>
      <c r="N426" s="5" t="n">
        <v>0.35</v>
      </c>
    </row>
    <row r="427">
      <c r="A427" t="n">
        <v>426</v>
      </c>
      <c r="B427" t="n">
        <v>2014</v>
      </c>
      <c r="C427" t="inlineStr">
        <is>
          <t>Mikayla Avani Mahanandan</t>
        </is>
      </c>
      <c r="D427">
        <f>HYPERLINK("https://ota.tournamentsoftware.com/player-profile/DAFD5F0F-733D-4242-B572-5905268B6041", "Link")</f>
        <v/>
      </c>
      <c r="E427" s="3" t="n">
        <v>127.05</v>
      </c>
      <c r="F427" s="4" t="n">
        <v>22</v>
      </c>
      <c r="G427" t="inlineStr">
        <is>
          <t>Ontario Tennis Association</t>
        </is>
      </c>
      <c r="H427" t="inlineStr">
        <is>
          <t>Premier Racquet Clubs – Mississauga</t>
        </is>
      </c>
      <c r="I427" t="inlineStr">
        <is>
          <t>unavailable</t>
        </is>
      </c>
      <c r="J427" s="4" t="n">
        <v>110</v>
      </c>
      <c r="K427" t="inlineStr">
        <is>
          <t>38 / 72</t>
        </is>
      </c>
      <c r="L427" t="inlineStr">
        <is>
          <t>14 / 23</t>
        </is>
      </c>
      <c r="M427" s="5" t="n">
        <v>0.35</v>
      </c>
      <c r="N427" s="5" t="n">
        <v>0.38</v>
      </c>
    </row>
    <row r="428">
      <c r="A428" t="n">
        <v>427</v>
      </c>
      <c r="B428" t="n">
        <v>2015</v>
      </c>
      <c r="C428" t="inlineStr">
        <is>
          <t>Isla Suokas</t>
        </is>
      </c>
      <c r="D428">
        <f>HYPERLINK("https://ota.tournamentsoftware.com/player-profile/4CF0CDA6-2600-4F1B-8775-31212B766E74", "Link")</f>
        <v/>
      </c>
      <c r="E428" s="3" t="n">
        <v>126</v>
      </c>
      <c r="F428" s="4" t="n">
        <v>23</v>
      </c>
      <c r="G428" t="inlineStr">
        <is>
          <t>Ontario Tennis Association</t>
        </is>
      </c>
      <c r="H428" t="inlineStr">
        <is>
          <t>Boulevard Club</t>
        </is>
      </c>
      <c r="I428" t="n">
        <v>34.7</v>
      </c>
      <c r="J428" s="4" t="n">
        <v>100</v>
      </c>
      <c r="K428" t="inlineStr">
        <is>
          <t>60 / 40</t>
        </is>
      </c>
      <c r="L428" t="inlineStr">
        <is>
          <t>25 / 17</t>
        </is>
      </c>
      <c r="M428" s="5" t="n">
        <v>0.6</v>
      </c>
      <c r="N428" s="5" t="n">
        <v>0.6</v>
      </c>
    </row>
    <row r="429">
      <c r="A429" t="n">
        <v>428</v>
      </c>
      <c r="B429" t="n">
        <v>2015</v>
      </c>
      <c r="C429" t="inlineStr">
        <is>
          <t>Xinyue Grace zhu</t>
        </is>
      </c>
      <c r="D429">
        <f>HYPERLINK("https://ota.tournamentsoftware.com/player-profile/9C1D6B37-A27B-4B15-8F8F-72E6D4418B50", "Link")</f>
        <v/>
      </c>
      <c r="E429" s="3" t="n">
        <v>124.998</v>
      </c>
      <c r="F429" s="4" t="n">
        <v>11</v>
      </c>
      <c r="G429" t="inlineStr">
        <is>
          <t>British Columbia</t>
        </is>
      </c>
      <c r="H429" t="inlineStr">
        <is>
          <t>North Vancouver Tennis Centre</t>
        </is>
      </c>
      <c r="I429" t="inlineStr">
        <is>
          <t>unavailable</t>
        </is>
      </c>
      <c r="J429" s="4" t="n">
        <v>184</v>
      </c>
      <c r="K429" t="inlineStr">
        <is>
          <t>111 / 73</t>
        </is>
      </c>
      <c r="L429" t="inlineStr">
        <is>
          <t>12 / 10</t>
        </is>
      </c>
      <c r="M429" s="5" t="n">
        <v>0.6</v>
      </c>
      <c r="N429" s="5" t="n">
        <v>0.55</v>
      </c>
    </row>
    <row r="430">
      <c r="A430" t="n">
        <v>429</v>
      </c>
      <c r="B430" t="n">
        <v>2014</v>
      </c>
      <c r="C430" t="inlineStr">
        <is>
          <t>Grace Wu</t>
        </is>
      </c>
      <c r="D430">
        <f>HYPERLINK("https://ota.tournamentsoftware.com/player-profile/0E55C3D7-7F72-4CDB-9BC3-2D90797931A5", "Link")</f>
        <v/>
      </c>
      <c r="E430" s="3" t="n">
        <v>123.93</v>
      </c>
      <c r="F430" s="4" t="n">
        <v>5</v>
      </c>
      <c r="G430" t="inlineStr">
        <is>
          <t>British Columbia</t>
        </is>
      </c>
      <c r="H430" t="inlineStr">
        <is>
          <t>The Tennis Centre</t>
        </is>
      </c>
      <c r="I430" t="n">
        <v>32.1</v>
      </c>
      <c r="J430" s="4" t="n">
        <v>96</v>
      </c>
      <c r="K430" t="inlineStr">
        <is>
          <t>63 / 33</t>
        </is>
      </c>
      <c r="L430" t="inlineStr">
        <is>
          <t>3 / 4</t>
        </is>
      </c>
      <c r="M430" s="5" t="n">
        <v>0.66</v>
      </c>
      <c r="N430" s="5" t="n">
        <v>0.43</v>
      </c>
    </row>
    <row r="431">
      <c r="A431" t="n">
        <v>430</v>
      </c>
      <c r="B431" t="n">
        <v>2015</v>
      </c>
      <c r="C431" t="inlineStr">
        <is>
          <t>Chloe Zhiyan Bai</t>
        </is>
      </c>
      <c r="D431">
        <f>HYPERLINK("https://ota.tournamentsoftware.com/player-profile/D190414C-9B0E-4001-86BC-CD88F7FCF827", "Link")</f>
        <v/>
      </c>
      <c r="E431" s="3" t="n">
        <v>123.895</v>
      </c>
      <c r="F431" s="4" t="n">
        <v>26</v>
      </c>
      <c r="G431" t="inlineStr">
        <is>
          <t>British Columbia</t>
        </is>
      </c>
      <c r="H431" t="inlineStr">
        <is>
          <t>Tennis BC Hub @ Richmond</t>
        </is>
      </c>
      <c r="I431" t="inlineStr">
        <is>
          <t>unavailable</t>
        </is>
      </c>
      <c r="J431" s="4" t="n">
        <v>176</v>
      </c>
      <c r="K431" t="inlineStr">
        <is>
          <t>81 / 95</t>
        </is>
      </c>
      <c r="L431" t="inlineStr">
        <is>
          <t>28 / 22</t>
        </is>
      </c>
      <c r="M431" s="5" t="n">
        <v>0.46</v>
      </c>
      <c r="N431" s="5" t="n">
        <v>0.5600000000000001</v>
      </c>
    </row>
    <row r="432">
      <c r="A432" t="n">
        <v>431</v>
      </c>
      <c r="B432" t="n">
        <v>2013</v>
      </c>
      <c r="C432" t="inlineStr">
        <is>
          <t>Alyxandra Grace Bellot Wildeman</t>
        </is>
      </c>
      <c r="D432">
        <f>HYPERLINK("https://ota.tournamentsoftware.com/player-profile/E2171261-67FD-4CFA-B4F2-64D9B979CCE5", "Link")</f>
        <v/>
      </c>
      <c r="E432" s="3" t="n">
        <v>122.607</v>
      </c>
      <c r="F432" s="4" t="n">
        <v>12</v>
      </c>
      <c r="G432" t="inlineStr">
        <is>
          <t>British Columbia</t>
        </is>
      </c>
      <c r="H432" t="inlineStr">
        <is>
          <t>Vanguard Tennis Academy</t>
        </is>
      </c>
      <c r="I432" t="n">
        <v>33.8</v>
      </c>
      <c r="J432" s="4" t="n">
        <v>128</v>
      </c>
      <c r="K432" t="inlineStr">
        <is>
          <t>56 / 72</t>
        </is>
      </c>
      <c r="L432" t="inlineStr">
        <is>
          <t>12 / 14</t>
        </is>
      </c>
      <c r="M432" s="5" t="n">
        <v>0.44</v>
      </c>
      <c r="N432" s="5" t="n">
        <v>0.46</v>
      </c>
    </row>
    <row r="433">
      <c r="A433" t="n">
        <v>432</v>
      </c>
      <c r="B433" t="n">
        <v>2013</v>
      </c>
      <c r="C433" t="inlineStr">
        <is>
          <t>Kaylie Kam</t>
        </is>
      </c>
      <c r="D433">
        <f>HYPERLINK("https://ota.tournamentsoftware.com/player-profile/29B7928E-12B2-4691-8B4A-1DE557B4F068", "Link")</f>
        <v/>
      </c>
      <c r="E433" s="3" t="n">
        <v>120.891</v>
      </c>
      <c r="F433" s="4" t="n">
        <v>16</v>
      </c>
      <c r="G433" t="inlineStr">
        <is>
          <t>Ontario Tennis Association</t>
        </is>
      </c>
      <c r="H433" t="inlineStr">
        <is>
          <t>Blackmore Tennis Club</t>
        </is>
      </c>
      <c r="I433" t="n">
        <v>33.7</v>
      </c>
      <c r="J433" s="4" t="n">
        <v>60</v>
      </c>
      <c r="K433" t="inlineStr">
        <is>
          <t>39 / 21</t>
        </is>
      </c>
      <c r="L433" t="inlineStr">
        <is>
          <t>13 / 13</t>
        </is>
      </c>
      <c r="M433" s="5" t="n">
        <v>0.65</v>
      </c>
      <c r="N433" s="5" t="n">
        <v>0.5</v>
      </c>
    </row>
    <row r="434">
      <c r="A434" t="n">
        <v>433</v>
      </c>
      <c r="B434" t="n">
        <v>2014</v>
      </c>
      <c r="C434" t="inlineStr">
        <is>
          <t>Bella Beiqi Zhao</t>
        </is>
      </c>
      <c r="D434">
        <f>HYPERLINK("https://ota.tournamentsoftware.com/player-profile/440C1FD3-B189-4153-99D4-C9B6B43D7D03", "Link")</f>
        <v/>
      </c>
      <c r="E434" s="3" t="n">
        <v>120.871</v>
      </c>
      <c r="F434" s="4" t="n">
        <v>26</v>
      </c>
      <c r="G434" t="inlineStr">
        <is>
          <t>British Columbia</t>
        </is>
      </c>
      <c r="H434" t="inlineStr">
        <is>
          <t>No Club</t>
        </is>
      </c>
      <c r="I434" t="n">
        <v>31.4</v>
      </c>
      <c r="J434" s="4" t="n">
        <v>210</v>
      </c>
      <c r="K434" t="inlineStr">
        <is>
          <t>85 / 125</t>
        </is>
      </c>
      <c r="L434" t="inlineStr">
        <is>
          <t>23 / 25</t>
        </is>
      </c>
      <c r="M434" s="5" t="n">
        <v>0.4</v>
      </c>
      <c r="N434" s="5" t="n">
        <v>0.48</v>
      </c>
    </row>
    <row r="435">
      <c r="A435" t="n">
        <v>434</v>
      </c>
      <c r="B435" t="n">
        <v>2013</v>
      </c>
      <c r="C435" t="inlineStr">
        <is>
          <t>Noa Margaux Dery</t>
        </is>
      </c>
      <c r="D435">
        <f>HYPERLINK("https://ota.tournamentsoftware.com/player-profile/2BE09915-8A78-4187-839F-E3A10E233213", "Link")</f>
        <v/>
      </c>
      <c r="E435" s="3" t="n">
        <v>119.111</v>
      </c>
      <c r="F435" s="4" t="n">
        <v>6</v>
      </c>
      <c r="G435" t="inlineStr">
        <is>
          <t>Tennis Québec</t>
        </is>
      </c>
      <c r="H435" t="inlineStr">
        <is>
          <t>Club Sportif Côte-de-Liesse</t>
        </is>
      </c>
      <c r="I435" t="n">
        <v>35.5</v>
      </c>
      <c r="J435" s="4" t="n">
        <v>39</v>
      </c>
      <c r="K435" t="inlineStr">
        <is>
          <t>14 / 25</t>
        </is>
      </c>
      <c r="L435" t="inlineStr">
        <is>
          <t>7 / 6</t>
        </is>
      </c>
      <c r="M435" s="5" t="n">
        <v>0.36</v>
      </c>
      <c r="N435" s="5" t="n">
        <v>0.54</v>
      </c>
    </row>
    <row r="436">
      <c r="A436" t="n">
        <v>435</v>
      </c>
      <c r="B436" t="n">
        <v>2014</v>
      </c>
      <c r="C436" t="inlineStr">
        <is>
          <t>Ranica Li</t>
        </is>
      </c>
      <c r="D436">
        <f>HYPERLINK("https://ota.tournamentsoftware.com/player-profile/5C189397-D536-4086-AA1D-1AD29C093438", "Link")</f>
        <v/>
      </c>
      <c r="E436" s="3" t="n">
        <v>118.633</v>
      </c>
      <c r="F436" s="4" t="n">
        <v>21</v>
      </c>
      <c r="G436" t="inlineStr">
        <is>
          <t>British Columbia</t>
        </is>
      </c>
      <c r="H436" t="inlineStr">
        <is>
          <t>The Tennis Centre</t>
        </is>
      </c>
      <c r="I436" t="n">
        <v>32.8</v>
      </c>
      <c r="J436" s="4" t="n">
        <v>96</v>
      </c>
      <c r="K436" t="inlineStr">
        <is>
          <t>56 / 40</t>
        </is>
      </c>
      <c r="L436" t="inlineStr">
        <is>
          <t>32 / 17</t>
        </is>
      </c>
      <c r="M436" s="5" t="n">
        <v>0.58</v>
      </c>
      <c r="N436" s="5" t="n">
        <v>0.65</v>
      </c>
    </row>
    <row r="437">
      <c r="A437" t="n">
        <v>436</v>
      </c>
      <c r="B437" t="n">
        <v>2013</v>
      </c>
      <c r="C437" t="inlineStr">
        <is>
          <t>Zaria Antonella Tambini</t>
        </is>
      </c>
      <c r="D437">
        <f>HYPERLINK("https://ota.tournamentsoftware.com/player-profile/92DDE685-2967-4CDD-8CA6-2827E6AC3AEB", "Link")</f>
        <v/>
      </c>
      <c r="E437" s="3" t="n">
        <v>117.899</v>
      </c>
      <c r="F437" s="4" t="n">
        <v>8</v>
      </c>
      <c r="G437" t="inlineStr">
        <is>
          <t>Ontario Tennis Association</t>
        </is>
      </c>
      <c r="H437" t="inlineStr">
        <is>
          <t>Headwaters Racquet Club</t>
        </is>
      </c>
      <c r="I437" t="n">
        <v>38</v>
      </c>
      <c r="J437" s="4" t="n">
        <v>26</v>
      </c>
      <c r="K437" t="inlineStr">
        <is>
          <t>10 / 16</t>
        </is>
      </c>
      <c r="L437" t="inlineStr">
        <is>
          <t>5 / 14</t>
        </is>
      </c>
      <c r="M437" s="5" t="n">
        <v>0.38</v>
      </c>
      <c r="N437" s="5" t="n">
        <v>0.26</v>
      </c>
    </row>
    <row r="438">
      <c r="A438" t="n">
        <v>437</v>
      </c>
      <c r="B438" t="n">
        <v>2016</v>
      </c>
      <c r="C438" t="inlineStr">
        <is>
          <t>Paulina Mangal</t>
        </is>
      </c>
      <c r="D438">
        <f>HYPERLINK("https://ota.tournamentsoftware.com/player-profile/ADDD5986-263D-4338-B6C0-6F72A2AC55F7", "Link")</f>
        <v/>
      </c>
      <c r="E438" s="3" t="n">
        <v>117.826</v>
      </c>
      <c r="F438" s="4" t="n">
        <v>26</v>
      </c>
      <c r="G438" t="inlineStr">
        <is>
          <t>Ontario Tennis Association</t>
        </is>
      </c>
      <c r="H438" t="inlineStr">
        <is>
          <t>Premier Racquet Clubs – Mississauga</t>
        </is>
      </c>
      <c r="I438" t="n">
        <v>36.1</v>
      </c>
      <c r="J438" s="4" t="n">
        <v>186</v>
      </c>
      <c r="K438" t="inlineStr">
        <is>
          <t>79 / 107</t>
        </is>
      </c>
      <c r="L438" t="inlineStr">
        <is>
          <t>20 / 22</t>
        </is>
      </c>
      <c r="M438" s="5" t="n">
        <v>0.42</v>
      </c>
      <c r="N438" s="5" t="n">
        <v>0.48</v>
      </c>
    </row>
    <row r="439">
      <c r="A439" t="n">
        <v>438</v>
      </c>
      <c r="B439" t="n">
        <v>2015</v>
      </c>
      <c r="C439" t="inlineStr">
        <is>
          <t>Grace Raymond</t>
        </is>
      </c>
      <c r="D439">
        <f>HYPERLINK("https://ota.tournamentsoftware.com/player-profile/879338D5-D59E-4EA6-A8E9-135220F52905", "Link")</f>
        <v/>
      </c>
      <c r="E439" s="3" t="n">
        <v>117.654</v>
      </c>
      <c r="F439" s="4" t="n">
        <v>14</v>
      </c>
      <c r="G439" t="inlineStr">
        <is>
          <t>Tennis Alberta</t>
        </is>
      </c>
      <c r="H439" t="inlineStr">
        <is>
          <t>Osten &amp; Victor Alberta Tennis Centre</t>
        </is>
      </c>
      <c r="I439" t="n">
        <v>35.7</v>
      </c>
      <c r="J439" s="4" t="n">
        <v>69</v>
      </c>
      <c r="K439" t="inlineStr">
        <is>
          <t>30 / 39</t>
        </is>
      </c>
      <c r="L439" t="inlineStr">
        <is>
          <t>5 / 10</t>
        </is>
      </c>
      <c r="M439" s="5" t="n">
        <v>0.43</v>
      </c>
      <c r="N439" s="5" t="n">
        <v>0.33</v>
      </c>
    </row>
    <row r="440">
      <c r="A440" t="n">
        <v>439</v>
      </c>
      <c r="B440" t="n">
        <v>2015</v>
      </c>
      <c r="C440" t="inlineStr">
        <is>
          <t>Emma Plugaru</t>
        </is>
      </c>
      <c r="D440">
        <f>HYPERLINK("https://ota.tournamentsoftware.com/player-profile/A8C9C47A-4B9A-43CD-97A6-5516A6BAA15D", "Link")</f>
        <v/>
      </c>
      <c r="E440" s="3" t="n">
        <v>117.51</v>
      </c>
      <c r="F440" s="4" t="n">
        <v>14</v>
      </c>
      <c r="G440" t="inlineStr">
        <is>
          <t>Tennis Québec</t>
        </is>
      </c>
      <c r="H440" t="inlineStr">
        <is>
          <t>Tennis 13</t>
        </is>
      </c>
      <c r="I440" t="n">
        <v>33.6</v>
      </c>
      <c r="J440" s="4" t="n">
        <v>131</v>
      </c>
      <c r="K440" t="inlineStr">
        <is>
          <t>72 / 59</t>
        </is>
      </c>
      <c r="L440" t="inlineStr">
        <is>
          <t>19 / 10</t>
        </is>
      </c>
      <c r="M440" s="5" t="n">
        <v>0.55</v>
      </c>
      <c r="N440" s="5" t="n">
        <v>0.66</v>
      </c>
    </row>
    <row r="441">
      <c r="A441" t="n">
        <v>440</v>
      </c>
      <c r="B441" t="n">
        <v>2015</v>
      </c>
      <c r="C441" t="inlineStr">
        <is>
          <t>Mia Pan</t>
        </is>
      </c>
      <c r="D441">
        <f>HYPERLINK("https://ota.tournamentsoftware.com/player-profile/AC58096C-5119-4221-95E0-C06E89FC8EFF", "Link")</f>
        <v/>
      </c>
      <c r="E441" s="3" t="n">
        <v>116.37</v>
      </c>
      <c r="F441" s="4" t="n">
        <v>17</v>
      </c>
      <c r="G441" t="inlineStr">
        <is>
          <t>British Columbia</t>
        </is>
      </c>
      <c r="H441" t="inlineStr">
        <is>
          <t>Vanguard Tennis Academy</t>
        </is>
      </c>
      <c r="I441" t="inlineStr">
        <is>
          <t>unavailable</t>
        </is>
      </c>
      <c r="J441" s="4" t="n">
        <v>123</v>
      </c>
      <c r="K441" t="inlineStr">
        <is>
          <t>70 / 53</t>
        </is>
      </c>
      <c r="L441" t="inlineStr">
        <is>
          <t>26 / 19</t>
        </is>
      </c>
      <c r="M441" s="5" t="n">
        <v>0.57</v>
      </c>
      <c r="N441" s="5" t="n">
        <v>0.58</v>
      </c>
    </row>
    <row r="442">
      <c r="A442" t="n">
        <v>441</v>
      </c>
      <c r="B442" t="n">
        <v>2015</v>
      </c>
      <c r="C442" t="inlineStr">
        <is>
          <t>Sofia Bulynko</t>
        </is>
      </c>
      <c r="D442">
        <f>HYPERLINK("https://ota.tournamentsoftware.com/player-profile/88C213E0-0960-44DC-B9B0-66B1ADEE699B", "Link")</f>
        <v/>
      </c>
      <c r="E442" s="3" t="n">
        <v>116.274</v>
      </c>
      <c r="F442" s="4" t="n">
        <v>13</v>
      </c>
      <c r="G442" t="inlineStr">
        <is>
          <t>Ontario Tennis Association</t>
        </is>
      </c>
      <c r="H442" t="inlineStr">
        <is>
          <t>National Tennis School</t>
        </is>
      </c>
      <c r="I442" t="n">
        <v>35.4</v>
      </c>
      <c r="J442" s="4" t="n">
        <v>59</v>
      </c>
      <c r="K442" t="inlineStr">
        <is>
          <t>30 / 29</t>
        </is>
      </c>
      <c r="L442" t="inlineStr">
        <is>
          <t>13 / 12</t>
        </is>
      </c>
      <c r="M442" s="5" t="n">
        <v>0.51</v>
      </c>
      <c r="N442" s="5" t="n">
        <v>0.52</v>
      </c>
    </row>
    <row r="443">
      <c r="A443" t="n">
        <v>442</v>
      </c>
      <c r="B443" t="n">
        <v>2015</v>
      </c>
      <c r="C443" t="inlineStr">
        <is>
          <t>Namasya Nakul</t>
        </is>
      </c>
      <c r="D443">
        <f>HYPERLINK("https://ota.tournamentsoftware.com/player-profile/30AB6566-4805-4DA5-90A9-E6D59F3D0D64", "Link")</f>
        <v/>
      </c>
      <c r="E443" s="3" t="n">
        <v>116.243</v>
      </c>
      <c r="F443" s="4" t="n">
        <v>20</v>
      </c>
      <c r="G443" t="inlineStr">
        <is>
          <t>British Columbia</t>
        </is>
      </c>
      <c r="H443" t="inlineStr">
        <is>
          <t>Richmond Country Club</t>
        </is>
      </c>
      <c r="I443" t="n">
        <v>32.9</v>
      </c>
      <c r="J443" s="4" t="n">
        <v>120</v>
      </c>
      <c r="K443" t="inlineStr">
        <is>
          <t>65 / 55</t>
        </is>
      </c>
      <c r="L443" t="inlineStr">
        <is>
          <t>25 / 19</t>
        </is>
      </c>
      <c r="M443" s="5" t="n">
        <v>0.54</v>
      </c>
      <c r="N443" s="5" t="n">
        <v>0.57</v>
      </c>
    </row>
    <row r="444">
      <c r="A444" t="n">
        <v>443</v>
      </c>
      <c r="B444" t="n">
        <v>2013</v>
      </c>
      <c r="C444" t="inlineStr">
        <is>
          <t>Sofia Anne Brunetto</t>
        </is>
      </c>
      <c r="D444">
        <f>HYPERLINK("https://ota.tournamentsoftware.com/player-profile/C2843F1F-C701-4853-A79C-051450F19D77", "Link")</f>
        <v/>
      </c>
      <c r="E444" s="3" t="n">
        <v>116.084</v>
      </c>
      <c r="F444" s="4" t="n">
        <v>8</v>
      </c>
      <c r="G444" t="inlineStr">
        <is>
          <t>Ontario Tennis Association</t>
        </is>
      </c>
      <c r="H444" t="inlineStr">
        <is>
          <t>Zekelman Tennis Centre</t>
        </is>
      </c>
      <c r="I444" t="n">
        <v>33.8</v>
      </c>
      <c r="J444" s="4" t="n">
        <v>20</v>
      </c>
      <c r="K444" t="inlineStr">
        <is>
          <t>8 / 12</t>
        </is>
      </c>
      <c r="L444" t="inlineStr">
        <is>
          <t>3 / 7</t>
        </is>
      </c>
      <c r="M444" s="5" t="n">
        <v>0.4</v>
      </c>
      <c r="N444" s="5" t="n">
        <v>0.3</v>
      </c>
    </row>
    <row r="445">
      <c r="A445" t="n">
        <v>444</v>
      </c>
      <c r="B445" t="n">
        <v>2015</v>
      </c>
      <c r="C445" t="inlineStr">
        <is>
          <t>Juliet Lauture</t>
        </is>
      </c>
      <c r="D445">
        <f>HYPERLINK("https://ota.tournamentsoftware.com/player-profile/70FC879C-9BB0-4123-BE70-BCB588C22C80", "Link")</f>
        <v/>
      </c>
      <c r="E445" s="3" t="n">
        <v>114.508</v>
      </c>
      <c r="F445" s="4" t="n">
        <v>24</v>
      </c>
      <c r="G445" t="inlineStr">
        <is>
          <t>Tennis Québec</t>
        </is>
      </c>
      <c r="H445" t="inlineStr">
        <is>
          <t>Club Sportif Côte-de-Liesse</t>
        </is>
      </c>
      <c r="I445" t="n">
        <v>35.5</v>
      </c>
      <c r="J445" s="4" t="n">
        <v>108</v>
      </c>
      <c r="K445" t="inlineStr">
        <is>
          <t>59 / 49</t>
        </is>
      </c>
      <c r="L445" t="inlineStr">
        <is>
          <t>20 / 21</t>
        </is>
      </c>
      <c r="M445" s="5" t="n">
        <v>0.55</v>
      </c>
      <c r="N445" s="5" t="n">
        <v>0.49</v>
      </c>
    </row>
    <row r="446">
      <c r="A446" t="n">
        <v>445</v>
      </c>
      <c r="B446" t="n">
        <v>2015</v>
      </c>
      <c r="C446" t="inlineStr">
        <is>
          <t>Sofia Nasrallah</t>
        </is>
      </c>
      <c r="D446">
        <f>HYPERLINK("https://ota.tournamentsoftware.com/player-profile/FAA88C80-170D-40C3-8A88-6B81077D1F02", "Link")</f>
        <v/>
      </c>
      <c r="E446" s="3" t="n">
        <v>114.42</v>
      </c>
      <c r="F446" s="4" t="n">
        <v>22</v>
      </c>
      <c r="G446" t="inlineStr">
        <is>
          <t>Tennis Québec</t>
        </is>
      </c>
      <c r="H446" t="inlineStr">
        <is>
          <t>Carrefour Multisports</t>
        </is>
      </c>
      <c r="I446" t="n">
        <v>36.8</v>
      </c>
      <c r="J446" s="4" t="n">
        <v>158</v>
      </c>
      <c r="K446" t="inlineStr">
        <is>
          <t>53 / 105</t>
        </is>
      </c>
      <c r="L446" t="inlineStr">
        <is>
          <t>10 / 21</t>
        </is>
      </c>
      <c r="M446" s="5" t="n">
        <v>0.34</v>
      </c>
      <c r="N446" s="5" t="n">
        <v>0.32</v>
      </c>
    </row>
    <row r="447">
      <c r="A447" t="n">
        <v>446</v>
      </c>
      <c r="B447" t="n">
        <v>2016</v>
      </c>
      <c r="C447" t="inlineStr">
        <is>
          <t>Lydia Yinuo Xu</t>
        </is>
      </c>
      <c r="D447">
        <f>HYPERLINK("https://ota.tournamentsoftware.com/player-profile/515F94D6-B979-4BBE-98E6-48CFEF4CE395", "Link")</f>
        <v/>
      </c>
      <c r="E447" s="3" t="n">
        <v>114</v>
      </c>
      <c r="F447" s="4" t="n">
        <v>15</v>
      </c>
      <c r="G447" t="inlineStr">
        <is>
          <t>Ontario Tennis Association</t>
        </is>
      </c>
      <c r="H447" t="inlineStr">
        <is>
          <t>Joshua Creek Golf &amp; Tennis</t>
        </is>
      </c>
      <c r="I447" t="n">
        <v>33.9</v>
      </c>
      <c r="J447" s="4" t="n">
        <v>166</v>
      </c>
      <c r="K447" t="inlineStr">
        <is>
          <t>81 / 85</t>
        </is>
      </c>
      <c r="L447" t="inlineStr">
        <is>
          <t>35 / 15</t>
        </is>
      </c>
      <c r="M447" s="5" t="n">
        <v>0.49</v>
      </c>
      <c r="N447" s="5" t="n">
        <v>0.7</v>
      </c>
    </row>
    <row r="448">
      <c r="A448" t="n">
        <v>447</v>
      </c>
      <c r="B448" t="n">
        <v>2014</v>
      </c>
      <c r="C448" t="inlineStr">
        <is>
          <t>Sarah Gottlieb</t>
        </is>
      </c>
      <c r="D448">
        <f>HYPERLINK("https://ota.tournamentsoftware.com/player-profile/BD51254A-E036-424C-B89A-FB47A73C0DC5", "Link")</f>
        <v/>
      </c>
      <c r="E448" s="3" t="n">
        <v>113.604</v>
      </c>
      <c r="F448" s="4" t="n">
        <v>4</v>
      </c>
      <c r="G448" t="inlineStr">
        <is>
          <t>Tennis Québec</t>
        </is>
      </c>
      <c r="H448" t="inlineStr">
        <is>
          <t>Tennis 13</t>
        </is>
      </c>
      <c r="I448" t="n">
        <v>33.6</v>
      </c>
      <c r="J448" s="4" t="n">
        <v>92</v>
      </c>
      <c r="K448" t="inlineStr">
        <is>
          <t>46 / 46</t>
        </is>
      </c>
      <c r="L448" t="inlineStr">
        <is>
          <t>1 / 2</t>
        </is>
      </c>
      <c r="M448" s="5" t="n">
        <v>0.5</v>
      </c>
      <c r="N448" s="5" t="n">
        <v>0.33</v>
      </c>
    </row>
    <row r="449">
      <c r="A449" t="n">
        <v>448</v>
      </c>
      <c r="B449" t="n">
        <v>2012</v>
      </c>
      <c r="C449" t="inlineStr">
        <is>
          <t>Zeyu (Anne) Xu</t>
        </is>
      </c>
      <c r="D449">
        <f>HYPERLINK("https://ota.tournamentsoftware.com/player-profile/7D4E0E2F-DC2C-4911-BF16-A07E84364BB7", "Link")</f>
        <v/>
      </c>
      <c r="E449" s="3" t="n">
        <v>113.598</v>
      </c>
      <c r="F449" s="4" t="n">
        <v>9</v>
      </c>
      <c r="G449" t="inlineStr">
        <is>
          <t>British Columbia</t>
        </is>
      </c>
      <c r="H449" t="inlineStr">
        <is>
          <t>Tennis BC Hub @ Richmond</t>
        </is>
      </c>
      <c r="I449" t="n">
        <v>34.7</v>
      </c>
      <c r="J449" s="4" t="n">
        <v>109</v>
      </c>
      <c r="K449" t="inlineStr">
        <is>
          <t>26 / 83</t>
        </is>
      </c>
      <c r="L449" t="inlineStr">
        <is>
          <t>4 / 13</t>
        </is>
      </c>
      <c r="M449" s="5" t="n">
        <v>0.24</v>
      </c>
      <c r="N449" s="5" t="n">
        <v>0.24</v>
      </c>
    </row>
    <row r="450">
      <c r="A450" t="n">
        <v>449</v>
      </c>
      <c r="B450" t="n">
        <v>2012</v>
      </c>
      <c r="C450" t="inlineStr">
        <is>
          <t>Karolina Klepinin</t>
        </is>
      </c>
      <c r="D450">
        <f>HYPERLINK("https://ota.tournamentsoftware.com/player-profile/A0474BDB-A63B-423A-90FB-FAAA726E2052", "Link")</f>
        <v/>
      </c>
      <c r="E450" s="3" t="n">
        <v>113.268</v>
      </c>
      <c r="F450" s="4" t="n">
        <v>7</v>
      </c>
      <c r="G450" t="inlineStr">
        <is>
          <t>Ontario Tennis Association</t>
        </is>
      </c>
      <c r="H450" t="inlineStr">
        <is>
          <t>ON North Central No Club</t>
        </is>
      </c>
      <c r="I450" t="n">
        <v>36.4</v>
      </c>
      <c r="J450" s="4" t="n">
        <v>54</v>
      </c>
      <c r="K450" t="inlineStr">
        <is>
          <t>14 / 40</t>
        </is>
      </c>
      <c r="L450" t="inlineStr">
        <is>
          <t>3 / 9</t>
        </is>
      </c>
      <c r="M450" s="5" t="n">
        <v>0.26</v>
      </c>
      <c r="N450" s="5" t="n">
        <v>0.25</v>
      </c>
    </row>
    <row r="451">
      <c r="A451" t="n">
        <v>450</v>
      </c>
      <c r="B451" t="n">
        <v>2015</v>
      </c>
      <c r="C451" t="inlineStr">
        <is>
          <t>Misia Ania Pietras</t>
        </is>
      </c>
      <c r="D451">
        <f>HYPERLINK("https://ota.tournamentsoftware.com/player-profile/81A2D044-B79D-4C29-B0B3-9E7AF48F2811", "Link")</f>
        <v/>
      </c>
      <c r="E451" s="3" t="n">
        <v>113.264</v>
      </c>
      <c r="F451" s="4" t="n">
        <v>16</v>
      </c>
      <c r="G451" t="inlineStr">
        <is>
          <t>Ontario Tennis Association</t>
        </is>
      </c>
      <c r="H451" t="inlineStr">
        <is>
          <t>The Tennis School</t>
        </is>
      </c>
      <c r="I451" t="n">
        <v>35.4</v>
      </c>
      <c r="J451" s="4" t="n">
        <v>57</v>
      </c>
      <c r="K451" t="inlineStr">
        <is>
          <t>32 / 25</t>
        </is>
      </c>
      <c r="L451" t="inlineStr">
        <is>
          <t>15 / 10</t>
        </is>
      </c>
      <c r="M451" s="5" t="n">
        <v>0.5600000000000001</v>
      </c>
      <c r="N451" s="5" t="n">
        <v>0.6</v>
      </c>
    </row>
    <row r="452">
      <c r="A452" t="n">
        <v>451</v>
      </c>
      <c r="B452" t="n">
        <v>2013</v>
      </c>
      <c r="C452" t="inlineStr">
        <is>
          <t>Stella Marion Thoms</t>
        </is>
      </c>
      <c r="D452">
        <f>HYPERLINK("https://ota.tournamentsoftware.com/player-profile/26731833-04E0-4736-BC60-733715112E5E", "Link")</f>
        <v/>
      </c>
      <c r="E452" s="3" t="n">
        <v>113.237</v>
      </c>
      <c r="F452" s="4" t="n">
        <v>7</v>
      </c>
      <c r="G452" t="inlineStr">
        <is>
          <t>Tennis Newfoundland &amp; Labrador</t>
        </is>
      </c>
      <c r="H452" t="inlineStr">
        <is>
          <t>Riverdale Tennis Club</t>
        </is>
      </c>
      <c r="I452" t="n">
        <v>33.8</v>
      </c>
      <c r="J452" s="4" t="n">
        <v>48</v>
      </c>
      <c r="K452" t="inlineStr">
        <is>
          <t>28 / 20</t>
        </is>
      </c>
      <c r="L452" t="inlineStr">
        <is>
          <t>8 / 8</t>
        </is>
      </c>
      <c r="M452" s="5" t="n">
        <v>0.58</v>
      </c>
      <c r="N452" s="5" t="n">
        <v>0.5</v>
      </c>
    </row>
    <row r="453">
      <c r="A453" t="n">
        <v>452</v>
      </c>
      <c r="B453" t="n">
        <v>2017</v>
      </c>
      <c r="C453" t="inlineStr">
        <is>
          <t>Amelia Alhakim</t>
        </is>
      </c>
      <c r="D453">
        <f>HYPERLINK("https://ota.tournamentsoftware.com/player-profile/0B954ECB-D503-4C36-BD94-6D389AF0D202", "Link")</f>
        <v/>
      </c>
      <c r="E453" s="3" t="n">
        <v>112.68</v>
      </c>
      <c r="F453" s="4" t="n">
        <v>14</v>
      </c>
      <c r="G453" t="inlineStr">
        <is>
          <t>Ontario Tennis Association</t>
        </is>
      </c>
      <c r="H453" t="inlineStr">
        <is>
          <t>Zekelman Tennis Centre</t>
        </is>
      </c>
      <c r="I453" t="n">
        <v>32.8</v>
      </c>
      <c r="J453" s="4" t="n">
        <v>43</v>
      </c>
      <c r="K453" t="inlineStr">
        <is>
          <t>25 / 18</t>
        </is>
      </c>
      <c r="L453" t="inlineStr">
        <is>
          <t>21 / 13</t>
        </is>
      </c>
      <c r="M453" s="5" t="n">
        <v>0.58</v>
      </c>
      <c r="N453" s="5" t="n">
        <v>0.62</v>
      </c>
    </row>
    <row r="454">
      <c r="A454" t="n">
        <v>453</v>
      </c>
      <c r="B454" t="n">
        <v>2014</v>
      </c>
      <c r="C454" t="inlineStr">
        <is>
          <t>Maxine Andrea Subsuban</t>
        </is>
      </c>
      <c r="D454">
        <f>HYPERLINK("https://ota.tournamentsoftware.com/player-profile/330D8089-39D5-4A22-8596-8BAAF8D4E02E", "Link")</f>
        <v/>
      </c>
      <c r="E454" s="3" t="n">
        <v>112.585</v>
      </c>
      <c r="F454" s="4" t="n">
        <v>10</v>
      </c>
      <c r="G454" t="inlineStr">
        <is>
          <t>Tennis Alberta</t>
        </is>
      </c>
      <c r="H454" t="inlineStr">
        <is>
          <t>Osten &amp; Victor Alberta Tennis Centre</t>
        </is>
      </c>
      <c r="I454" t="inlineStr">
        <is>
          <t>unavailable</t>
        </is>
      </c>
      <c r="J454" s="4" t="n">
        <v>103</v>
      </c>
      <c r="K454" t="inlineStr">
        <is>
          <t>42 / 61</t>
        </is>
      </c>
      <c r="L454" t="inlineStr">
        <is>
          <t>8 / 10</t>
        </is>
      </c>
      <c r="M454" s="5" t="n">
        <v>0.41</v>
      </c>
      <c r="N454" s="5" t="n">
        <v>0.44</v>
      </c>
    </row>
    <row r="455">
      <c r="A455" t="n">
        <v>454</v>
      </c>
      <c r="B455" t="n">
        <v>2015</v>
      </c>
      <c r="C455" t="inlineStr">
        <is>
          <t>Arianna Marquez</t>
        </is>
      </c>
      <c r="D455">
        <f>HYPERLINK("https://ota.tournamentsoftware.com/player-profile/ABB23AE3-6EC2-498B-AA4D-BB89BCBF0088", "Link")</f>
        <v/>
      </c>
      <c r="E455" s="3" t="n">
        <v>112.229</v>
      </c>
      <c r="F455" s="4" t="n">
        <v>16</v>
      </c>
      <c r="G455" t="inlineStr">
        <is>
          <t>Tennis Alberta</t>
        </is>
      </c>
      <c r="H455" t="inlineStr">
        <is>
          <t>Saville Community Sports Centre</t>
        </is>
      </c>
      <c r="I455" t="n">
        <v>33.6</v>
      </c>
      <c r="J455" s="4" t="n">
        <v>141</v>
      </c>
      <c r="K455" t="inlineStr">
        <is>
          <t>90 / 51</t>
        </is>
      </c>
      <c r="L455" t="inlineStr">
        <is>
          <t>14 / 17</t>
        </is>
      </c>
      <c r="M455" s="5" t="n">
        <v>0.64</v>
      </c>
      <c r="N455" s="5" t="n">
        <v>0.45</v>
      </c>
    </row>
    <row r="456">
      <c r="A456" t="n">
        <v>455</v>
      </c>
      <c r="B456" t="n">
        <v>2015</v>
      </c>
      <c r="C456" t="inlineStr">
        <is>
          <t>Anna Guzina-McLeod</t>
        </is>
      </c>
      <c r="D456">
        <f>HYPERLINK("https://ota.tournamentsoftware.com/player-profile/55F5BC4F-092C-4C72-BFDC-3F60E618D778", "Link")</f>
        <v/>
      </c>
      <c r="E456" s="3" t="n">
        <v>110.416</v>
      </c>
      <c r="F456" s="4" t="n">
        <v>18</v>
      </c>
      <c r="G456" t="inlineStr">
        <is>
          <t>Ontario Tennis Association</t>
        </is>
      </c>
      <c r="H456" t="inlineStr">
        <is>
          <t>Rideau Sports Centre</t>
        </is>
      </c>
      <c r="I456" t="inlineStr">
        <is>
          <t>unavailable</t>
        </is>
      </c>
      <c r="J456" s="4" t="n">
        <v>119</v>
      </c>
      <c r="K456" t="inlineStr">
        <is>
          <t>69 / 50</t>
        </is>
      </c>
      <c r="L456" t="inlineStr">
        <is>
          <t>13 / 17</t>
        </is>
      </c>
      <c r="M456" s="5" t="n">
        <v>0.58</v>
      </c>
      <c r="N456" s="5" t="n">
        <v>0.43</v>
      </c>
    </row>
    <row r="457">
      <c r="A457" t="n">
        <v>456</v>
      </c>
      <c r="B457" t="n">
        <v>2013</v>
      </c>
      <c r="C457" t="inlineStr">
        <is>
          <t>LeeZann Lai</t>
        </is>
      </c>
      <c r="D457">
        <f>HYPERLINK("https://ota.tournamentsoftware.com/player-profile/F653FB3B-D606-4799-98B3-B9B8F7D1D120", "Link")</f>
        <v/>
      </c>
      <c r="E457" s="3" t="n">
        <v>110.16</v>
      </c>
      <c r="F457" s="4" t="n">
        <v>13</v>
      </c>
      <c r="G457" t="inlineStr">
        <is>
          <t>Ontario Tennis Association</t>
        </is>
      </c>
      <c r="H457" t="inlineStr">
        <is>
          <t>Don Mills Tennis Club</t>
        </is>
      </c>
      <c r="I457" t="n">
        <v>34.9</v>
      </c>
      <c r="J457" s="4" t="n">
        <v>54</v>
      </c>
      <c r="K457" t="inlineStr">
        <is>
          <t>22 / 32</t>
        </is>
      </c>
      <c r="L457" t="inlineStr">
        <is>
          <t>6 / 12</t>
        </is>
      </c>
      <c r="M457" s="5" t="n">
        <v>0.41</v>
      </c>
      <c r="N457" s="5" t="n">
        <v>0.33</v>
      </c>
    </row>
    <row r="458">
      <c r="A458" t="n">
        <v>457</v>
      </c>
      <c r="B458" t="n">
        <v>2015</v>
      </c>
      <c r="C458" t="inlineStr">
        <is>
          <t>Mila Venturelli</t>
        </is>
      </c>
      <c r="D458">
        <f>HYPERLINK("https://ota.tournamentsoftware.com/player-profile/BCA3B83C-81C0-4469-B3DA-4E3234E6CA0A", "Link")</f>
        <v/>
      </c>
      <c r="E458" s="3" t="n">
        <v>109.646</v>
      </c>
      <c r="F458" s="4" t="n">
        <v>21</v>
      </c>
      <c r="G458" t="inlineStr">
        <is>
          <t>Tennis Québec</t>
        </is>
      </c>
      <c r="H458" t="inlineStr">
        <is>
          <t>Tennis 13</t>
        </is>
      </c>
      <c r="I458" t="n">
        <v>36.7</v>
      </c>
      <c r="J458" s="4" t="n">
        <v>92</v>
      </c>
      <c r="K458" t="inlineStr">
        <is>
          <t>37 / 55</t>
        </is>
      </c>
      <c r="L458" t="inlineStr">
        <is>
          <t>9 / 18</t>
        </is>
      </c>
      <c r="M458" s="5" t="n">
        <v>0.4</v>
      </c>
      <c r="N458" s="5" t="n">
        <v>0.33</v>
      </c>
    </row>
    <row r="459">
      <c r="A459" t="n">
        <v>458</v>
      </c>
      <c r="B459" t="n">
        <v>2012</v>
      </c>
      <c r="C459" t="inlineStr">
        <is>
          <t>Gaëlle Jodoin</t>
        </is>
      </c>
      <c r="D459">
        <f>HYPERLINK("https://ota.tournamentsoftware.com/player-profile/A3792AFC-E32E-4258-8FA9-9240021C6401", "Link")</f>
        <v/>
      </c>
      <c r="E459" s="3" t="n">
        <v>108.955</v>
      </c>
      <c r="F459" s="4" t="n">
        <v>4</v>
      </c>
      <c r="G459" t="inlineStr">
        <is>
          <t>Tennis Québec</t>
        </is>
      </c>
      <c r="H459" t="inlineStr">
        <is>
          <t>Tennis 13</t>
        </is>
      </c>
      <c r="I459" t="n">
        <v>38.5</v>
      </c>
      <c r="J459" s="4" t="n">
        <v>87</v>
      </c>
      <c r="K459" t="inlineStr">
        <is>
          <t>14 / 73</t>
        </is>
      </c>
      <c r="L459" t="inlineStr">
        <is>
          <t>0 / 3</t>
        </is>
      </c>
      <c r="M459" s="5" t="n">
        <v>0.16</v>
      </c>
      <c r="N459" s="5" t="n">
        <v>0</v>
      </c>
    </row>
    <row r="460">
      <c r="A460" t="n">
        <v>459</v>
      </c>
      <c r="B460" t="n">
        <v>2012</v>
      </c>
      <c r="C460" t="inlineStr">
        <is>
          <t>Rachael Qing Xu</t>
        </is>
      </c>
      <c r="D460">
        <f>HYPERLINK("https://ota.tournamentsoftware.com/player-profile/EF0FB6C4-F27A-45FB-BD75-3C3F4D9EF188", "Link")</f>
        <v/>
      </c>
      <c r="E460" s="3" t="n">
        <v>108.876</v>
      </c>
      <c r="F460" s="4" t="n">
        <v>2</v>
      </c>
      <c r="G460" t="inlineStr">
        <is>
          <t>Ontario Tennis Association</t>
        </is>
      </c>
      <c r="H460" t="inlineStr">
        <is>
          <t>Rosedale Tennis Club (Hamilton)</t>
        </is>
      </c>
      <c r="I460" t="n">
        <v>37.3</v>
      </c>
      <c r="J460" s="4" t="n">
        <v>55</v>
      </c>
      <c r="K460" t="inlineStr">
        <is>
          <t>20 / 35</t>
        </is>
      </c>
      <c r="L460" t="inlineStr">
        <is>
          <t>0 / 0</t>
        </is>
      </c>
      <c r="M460" s="5" t="n">
        <v>0.36</v>
      </c>
      <c r="N460" s="5" t="n">
        <v>0</v>
      </c>
    </row>
    <row r="461">
      <c r="A461" t="n">
        <v>460</v>
      </c>
      <c r="B461" t="n">
        <v>2013</v>
      </c>
      <c r="C461" t="inlineStr">
        <is>
          <t>Isabelle Duvinage</t>
        </is>
      </c>
      <c r="D461">
        <f>HYPERLINK("https://ota.tournamentsoftware.com/player-profile/7B9DB032-AD8C-41C5-A138-CF844016B7C1", "Link")</f>
        <v/>
      </c>
      <c r="E461" s="3" t="n">
        <v>108.218</v>
      </c>
      <c r="F461" s="4" t="n">
        <v>8</v>
      </c>
      <c r="G461" t="inlineStr">
        <is>
          <t>Ontario Tennis Association</t>
        </is>
      </c>
      <c r="H461" t="inlineStr">
        <is>
          <t>Kew Gardens Tennis Club</t>
        </is>
      </c>
      <c r="I461" t="n">
        <v>38</v>
      </c>
      <c r="J461" s="4" t="n">
        <v>43</v>
      </c>
      <c r="K461" t="inlineStr">
        <is>
          <t>14 / 29</t>
        </is>
      </c>
      <c r="L461" t="inlineStr">
        <is>
          <t>3 / 9</t>
        </is>
      </c>
      <c r="M461" s="5" t="n">
        <v>0.33</v>
      </c>
      <c r="N461" s="5" t="n">
        <v>0.25</v>
      </c>
    </row>
    <row r="462">
      <c r="A462" t="n">
        <v>461</v>
      </c>
      <c r="B462" t="n">
        <v>2014</v>
      </c>
      <c r="C462" t="inlineStr">
        <is>
          <t>SHANAYA CHAUDHARY</t>
        </is>
      </c>
      <c r="D462">
        <f>HYPERLINK("https://ota.tournamentsoftware.com/player-profile/72814258-2663-4B9E-9EB1-0A804D79578E", "Link")</f>
        <v/>
      </c>
      <c r="E462" s="3" t="n">
        <v>107.581</v>
      </c>
      <c r="F462" s="4" t="n">
        <v>11</v>
      </c>
      <c r="G462" t="inlineStr">
        <is>
          <t>Ontario Tennis Association</t>
        </is>
      </c>
      <c r="H462" t="inlineStr">
        <is>
          <t>Waterloo Tennis Club</t>
        </is>
      </c>
      <c r="I462" t="inlineStr">
        <is>
          <t>unavailable</t>
        </is>
      </c>
      <c r="J462" s="4" t="n">
        <v>26</v>
      </c>
      <c r="K462" t="inlineStr">
        <is>
          <t>16 / 10</t>
        </is>
      </c>
      <c r="L462" t="inlineStr">
        <is>
          <t>12 / 7</t>
        </is>
      </c>
      <c r="M462" s="5" t="n">
        <v>0.62</v>
      </c>
      <c r="N462" s="5" t="n">
        <v>0.63</v>
      </c>
    </row>
    <row r="463">
      <c r="A463" t="n">
        <v>462</v>
      </c>
      <c r="B463" t="n">
        <v>2013</v>
      </c>
      <c r="C463" t="inlineStr">
        <is>
          <t>Murphy Mofei Gao</t>
        </is>
      </c>
      <c r="D463">
        <f>HYPERLINK("https://ota.tournamentsoftware.com/player-profile/64A4B4DB-7753-451A-A411-16FC49084860", "Link")</f>
        <v/>
      </c>
      <c r="E463" s="3" t="n">
        <v>107.489</v>
      </c>
      <c r="F463" s="4" t="n">
        <v>17</v>
      </c>
      <c r="G463" t="inlineStr">
        <is>
          <t>British Columbia</t>
        </is>
      </c>
      <c r="H463" t="inlineStr">
        <is>
          <t>No Club</t>
        </is>
      </c>
      <c r="I463" t="n">
        <v>37.4</v>
      </c>
      <c r="J463" s="4" t="n">
        <v>141</v>
      </c>
      <c r="K463" t="inlineStr">
        <is>
          <t>19 / 122</t>
        </is>
      </c>
      <c r="L463" t="inlineStr">
        <is>
          <t>4 / 26</t>
        </is>
      </c>
      <c r="M463" s="5" t="n">
        <v>0.13</v>
      </c>
      <c r="N463" s="5" t="n">
        <v>0.13</v>
      </c>
    </row>
    <row r="464">
      <c r="A464" t="n">
        <v>463</v>
      </c>
      <c r="B464" t="n">
        <v>2014</v>
      </c>
      <c r="C464" t="inlineStr">
        <is>
          <t>Emily Ke</t>
        </is>
      </c>
      <c r="D464">
        <f>HYPERLINK("https://ota.tournamentsoftware.com/player-profile/D0843107-5FBA-4EB4-8781-B60B5E7E1319", "Link")</f>
        <v/>
      </c>
      <c r="E464" s="3" t="n">
        <v>107.414</v>
      </c>
      <c r="F464" s="4" t="n">
        <v>15</v>
      </c>
      <c r="G464" t="inlineStr">
        <is>
          <t>Ontario Tennis Association</t>
        </is>
      </c>
      <c r="H464" t="inlineStr">
        <is>
          <t>Mayfair East Racquet Club</t>
        </is>
      </c>
      <c r="I464" t="n">
        <v>35.2</v>
      </c>
      <c r="J464" s="4" t="n">
        <v>109</v>
      </c>
      <c r="K464" t="inlineStr">
        <is>
          <t>38 / 71</t>
        </is>
      </c>
      <c r="L464" t="inlineStr">
        <is>
          <t>4 / 7</t>
        </is>
      </c>
      <c r="M464" s="5" t="n">
        <v>0.35</v>
      </c>
      <c r="N464" s="5" t="n">
        <v>0.36</v>
      </c>
    </row>
    <row r="465">
      <c r="A465" t="n">
        <v>464</v>
      </c>
      <c r="B465" t="n">
        <v>2013</v>
      </c>
      <c r="C465" t="inlineStr">
        <is>
          <t>Khaliya Karim</t>
        </is>
      </c>
      <c r="D465">
        <f>HYPERLINK("https://ota.tournamentsoftware.com/player-profile/3982667F-BB84-4AC0-B470-E67D90581DB9", "Link")</f>
        <v/>
      </c>
      <c r="E465" s="3" t="n">
        <v>106.257</v>
      </c>
      <c r="F465" s="4" t="n">
        <v>19</v>
      </c>
      <c r="G465" t="inlineStr">
        <is>
          <t>British Columbia</t>
        </is>
      </c>
      <c r="H465" t="inlineStr">
        <is>
          <t>Arbutus Club</t>
        </is>
      </c>
      <c r="I465" t="n">
        <v>35.3</v>
      </c>
      <c r="J465" s="4" t="n">
        <v>90</v>
      </c>
      <c r="K465" t="inlineStr">
        <is>
          <t>18 / 72</t>
        </is>
      </c>
      <c r="L465" t="inlineStr">
        <is>
          <t>14 / 25</t>
        </is>
      </c>
      <c r="M465" s="5" t="n">
        <v>0.2</v>
      </c>
      <c r="N465" s="5" t="n">
        <v>0.36</v>
      </c>
    </row>
    <row r="466">
      <c r="A466" t="n">
        <v>465</v>
      </c>
      <c r="B466" t="n">
        <v>2012</v>
      </c>
      <c r="C466" t="inlineStr">
        <is>
          <t>Emma Fedeyko</t>
        </is>
      </c>
      <c r="D466">
        <f>HYPERLINK("https://ota.tournamentsoftware.com/player-profile/62E06657-0480-40D7-B491-B99DA20E11DF", "Link")</f>
        <v/>
      </c>
      <c r="E466" s="3" t="n">
        <v>105.454</v>
      </c>
      <c r="F466" s="4" t="n">
        <v>9</v>
      </c>
      <c r="G466" t="inlineStr">
        <is>
          <t>Ontario Tennis Association</t>
        </is>
      </c>
      <c r="H466" t="inlineStr">
        <is>
          <t>Ontario Racquet Club</t>
        </is>
      </c>
      <c r="I466" t="n">
        <v>35.6</v>
      </c>
      <c r="J466" s="4" t="n">
        <v>53</v>
      </c>
      <c r="K466" t="inlineStr">
        <is>
          <t>19 / 34</t>
        </is>
      </c>
      <c r="L466" t="inlineStr">
        <is>
          <t>3 / 6</t>
        </is>
      </c>
      <c r="M466" s="5" t="n">
        <v>0.36</v>
      </c>
      <c r="N466" s="5" t="n">
        <v>0.33</v>
      </c>
    </row>
    <row r="467">
      <c r="A467" t="n">
        <v>466</v>
      </c>
      <c r="B467" t="n">
        <v>2014</v>
      </c>
      <c r="C467" t="inlineStr">
        <is>
          <t>Abigail Curilscaia</t>
        </is>
      </c>
      <c r="D467">
        <f>HYPERLINK("https://ota.tournamentsoftware.com/player-profile/275CB740-D9DB-4B51-8864-93A2F0D91A3B", "Link")</f>
        <v/>
      </c>
      <c r="E467" s="3" t="n">
        <v>105.422</v>
      </c>
      <c r="F467" s="4" t="n">
        <v>13</v>
      </c>
      <c r="G467" t="inlineStr">
        <is>
          <t>Tennis Alberta</t>
        </is>
      </c>
      <c r="H467" t="inlineStr">
        <is>
          <t>Aforza</t>
        </is>
      </c>
      <c r="I467" t="n">
        <v>32</v>
      </c>
      <c r="J467" s="4" t="n">
        <v>91</v>
      </c>
      <c r="K467" t="inlineStr">
        <is>
          <t>40 / 51</t>
        </is>
      </c>
      <c r="L467" t="inlineStr">
        <is>
          <t>17 / 10</t>
        </is>
      </c>
      <c r="M467" s="5" t="n">
        <v>0.44</v>
      </c>
      <c r="N467" s="5" t="n">
        <v>0.63</v>
      </c>
    </row>
    <row r="468">
      <c r="A468" t="n">
        <v>467</v>
      </c>
      <c r="B468" t="n">
        <v>2014</v>
      </c>
      <c r="C468" t="inlineStr">
        <is>
          <t>Ananya Rao</t>
        </is>
      </c>
      <c r="D468">
        <f>HYPERLINK("https://ota.tournamentsoftware.com/player-profile/D12578BD-BDAF-471D-B53C-09B281C916CB", "Link")</f>
        <v/>
      </c>
      <c r="E468" s="3" t="n">
        <v>102.512</v>
      </c>
      <c r="F468" s="4" t="n">
        <v>14</v>
      </c>
      <c r="G468" t="inlineStr">
        <is>
          <t>Ontario Tennis Association</t>
        </is>
      </c>
      <c r="H468" t="inlineStr">
        <is>
          <t>Carleton Tennis Centre</t>
        </is>
      </c>
      <c r="I468" t="n">
        <v>36.9</v>
      </c>
      <c r="J468" s="4" t="n">
        <v>93</v>
      </c>
      <c r="K468" t="inlineStr">
        <is>
          <t>29 / 64</t>
        </is>
      </c>
      <c r="L468" t="inlineStr">
        <is>
          <t>6 / 9</t>
        </is>
      </c>
      <c r="M468" s="5" t="n">
        <v>0.31</v>
      </c>
      <c r="N468" s="5" t="n">
        <v>0.4</v>
      </c>
    </row>
    <row r="469">
      <c r="A469" t="n">
        <v>468</v>
      </c>
      <c r="B469" t="n">
        <v>2014</v>
      </c>
      <c r="C469" t="inlineStr">
        <is>
          <t>Scarlett Habeebkutty</t>
        </is>
      </c>
      <c r="D469">
        <f>HYPERLINK("https://ota.tournamentsoftware.com/player-profile/B3E7011D-10BF-4CEB-9D49-F24BAE1BE1A2", "Link")</f>
        <v/>
      </c>
      <c r="E469" s="3" t="n">
        <v>102.277</v>
      </c>
      <c r="F469" s="4" t="n">
        <v>5</v>
      </c>
      <c r="G469" t="inlineStr">
        <is>
          <t>Tennis Saskatchewan</t>
        </is>
      </c>
      <c r="H469" t="inlineStr">
        <is>
          <t>Lakeshore Tennis Club</t>
        </is>
      </c>
      <c r="I469" t="n">
        <v>40</v>
      </c>
      <c r="J469" s="4" t="n">
        <v>14</v>
      </c>
      <c r="K469" t="inlineStr">
        <is>
          <t>0 / 14</t>
        </is>
      </c>
      <c r="L469" t="inlineStr">
        <is>
          <t>0 / 14</t>
        </is>
      </c>
      <c r="M469" s="5" t="n">
        <v>0</v>
      </c>
      <c r="N469" s="5" t="n">
        <v>0</v>
      </c>
    </row>
    <row r="470">
      <c r="A470" t="n">
        <v>469</v>
      </c>
      <c r="B470" t="n">
        <v>2016</v>
      </c>
      <c r="C470" t="inlineStr">
        <is>
          <t>Kassidy, Chin Yau Lau</t>
        </is>
      </c>
      <c r="D470">
        <f>HYPERLINK("https://ota.tournamentsoftware.com/player-profile/725BC980-EB67-418A-9A78-144DF7D7CE7E", "Link")</f>
        <v/>
      </c>
      <c r="E470" s="3" t="n">
        <v>102</v>
      </c>
      <c r="F470" s="4" t="n">
        <v>25</v>
      </c>
      <c r="G470" t="inlineStr">
        <is>
          <t>Ontario Tennis Association</t>
        </is>
      </c>
      <c r="H470" t="inlineStr">
        <is>
          <t>No Club</t>
        </is>
      </c>
      <c r="I470" t="n">
        <v>34.6</v>
      </c>
      <c r="J470" s="4" t="n">
        <v>64</v>
      </c>
      <c r="K470" t="inlineStr">
        <is>
          <t>38 / 26</t>
        </is>
      </c>
      <c r="L470" t="inlineStr">
        <is>
          <t>38 / 26</t>
        </is>
      </c>
      <c r="M470" s="5" t="n">
        <v>0.59</v>
      </c>
      <c r="N470" s="5" t="n">
        <v>0.59</v>
      </c>
    </row>
    <row r="471">
      <c r="A471" t="n">
        <v>470</v>
      </c>
      <c r="B471" t="n">
        <v>2016</v>
      </c>
      <c r="C471" t="inlineStr">
        <is>
          <t>Chenlin Wang</t>
        </is>
      </c>
      <c r="D471">
        <f>HYPERLINK("https://ota.tournamentsoftware.com/player-profile/9F8A5A74-B5B7-41F1-A513-DA87D68CAFFE", "Link")</f>
        <v/>
      </c>
      <c r="E471" s="3" t="n">
        <v>101.603</v>
      </c>
      <c r="F471" s="4" t="n">
        <v>30</v>
      </c>
      <c r="G471" t="inlineStr">
        <is>
          <t>British Columbia</t>
        </is>
      </c>
      <c r="H471" t="inlineStr">
        <is>
          <t>Aura Tennis Academy</t>
        </is>
      </c>
      <c r="I471" t="inlineStr">
        <is>
          <t>unavailable</t>
        </is>
      </c>
      <c r="J471" s="4" t="n">
        <v>164</v>
      </c>
      <c r="K471" t="inlineStr">
        <is>
          <t>90 / 74</t>
        </is>
      </c>
      <c r="L471" t="inlineStr">
        <is>
          <t>38 / 25</t>
        </is>
      </c>
      <c r="M471" s="5" t="n">
        <v>0.55</v>
      </c>
      <c r="N471" s="5" t="n">
        <v>0.6</v>
      </c>
    </row>
    <row r="472">
      <c r="A472" t="n">
        <v>471</v>
      </c>
      <c r="B472" t="n">
        <v>2014</v>
      </c>
      <c r="C472" t="inlineStr">
        <is>
          <t>Olivia Hesse</t>
        </is>
      </c>
      <c r="D472">
        <f>HYPERLINK("https://ota.tournamentsoftware.com/player-profile/18AF6D11-FB26-470D-81A9-00DC98F16884", "Link")</f>
        <v/>
      </c>
      <c r="E472" s="3" t="n">
        <v>101.049</v>
      </c>
      <c r="F472" s="4" t="n">
        <v>13</v>
      </c>
      <c r="G472" t="inlineStr">
        <is>
          <t>Ontario Tennis Association</t>
        </is>
      </c>
      <c r="H472" t="inlineStr">
        <is>
          <t>Boulevard Club</t>
        </is>
      </c>
      <c r="I472" t="n">
        <v>36.4</v>
      </c>
      <c r="J472" s="4" t="n">
        <v>68</v>
      </c>
      <c r="K472" t="inlineStr">
        <is>
          <t>27 / 41</t>
        </is>
      </c>
      <c r="L472" t="inlineStr">
        <is>
          <t>9 / 12</t>
        </is>
      </c>
      <c r="M472" s="5" t="n">
        <v>0.4</v>
      </c>
      <c r="N472" s="5" t="n">
        <v>0.43</v>
      </c>
    </row>
    <row r="473">
      <c r="A473" t="n">
        <v>472</v>
      </c>
      <c r="B473" t="n">
        <v>2012</v>
      </c>
      <c r="C473" t="inlineStr">
        <is>
          <t>aashka vishal devaiya</t>
        </is>
      </c>
      <c r="D473">
        <f>HYPERLINK("https://ota.tournamentsoftware.com/player-profile/99C1CB63-E70E-4FB5-A115-3A252251FA67", "Link")</f>
        <v/>
      </c>
      <c r="E473" s="3" t="n">
        <v>100.829</v>
      </c>
      <c r="F473" s="4" t="n">
        <v>1</v>
      </c>
      <c r="G473" t="inlineStr">
        <is>
          <t>British Columbia</t>
        </is>
      </c>
      <c r="H473" t="inlineStr">
        <is>
          <t>No Club</t>
        </is>
      </c>
      <c r="I473" t="inlineStr">
        <is>
          <t>unavailable</t>
        </is>
      </c>
      <c r="J473" s="4" t="n">
        <v>3</v>
      </c>
      <c r="K473" t="inlineStr">
        <is>
          <t>2 / 1</t>
        </is>
      </c>
      <c r="L473" t="inlineStr">
        <is>
          <t>2 / 1</t>
        </is>
      </c>
      <c r="M473" s="5" t="n">
        <v>0.67</v>
      </c>
      <c r="N473" s="5" t="n">
        <v>0.67</v>
      </c>
    </row>
    <row r="474">
      <c r="A474" t="n">
        <v>473</v>
      </c>
      <c r="B474" t="n">
        <v>2013</v>
      </c>
      <c r="C474" t="inlineStr">
        <is>
          <t>Hengxi Celine Du</t>
        </is>
      </c>
      <c r="D474">
        <f>HYPERLINK("https://ota.tournamentsoftware.com/player-profile/7011B5E4-06D4-4830-95A3-18CF46BE4ED0", "Link")</f>
        <v/>
      </c>
      <c r="E474" s="3" t="n">
        <v>100.366</v>
      </c>
      <c r="F474" s="4" t="n">
        <v>4</v>
      </c>
      <c r="G474" t="inlineStr">
        <is>
          <t>Ontario Tennis Association</t>
        </is>
      </c>
      <c r="H474" t="inlineStr">
        <is>
          <t>Premier Racquet Clubs – Mississauga</t>
        </is>
      </c>
      <c r="I474" t="inlineStr">
        <is>
          <t>unavailable</t>
        </is>
      </c>
      <c r="J474" s="4" t="n">
        <v>25</v>
      </c>
      <c r="K474" t="inlineStr">
        <is>
          <t>9 / 16</t>
        </is>
      </c>
      <c r="L474" t="inlineStr">
        <is>
          <t>8 / 9</t>
        </is>
      </c>
      <c r="M474" s="5" t="n">
        <v>0.36</v>
      </c>
      <c r="N474" s="5" t="n">
        <v>0.47</v>
      </c>
    </row>
    <row r="475">
      <c r="A475" t="n">
        <v>474</v>
      </c>
      <c r="B475" t="n">
        <v>2012</v>
      </c>
      <c r="C475" t="inlineStr">
        <is>
          <t>ONYEKACHUKWU MAGDALENE OGBATUE</t>
        </is>
      </c>
      <c r="D475">
        <f>HYPERLINK("https://ota.tournamentsoftware.com/player-profile/34FAC6AA-945B-40B3-BDE9-3F8B4198659B", "Link")</f>
        <v/>
      </c>
      <c r="E475" s="3" t="n">
        <v>99.878</v>
      </c>
      <c r="F475" s="4" t="n">
        <v>6</v>
      </c>
      <c r="G475" t="inlineStr">
        <is>
          <t>Ontario Tennis Association</t>
        </is>
      </c>
      <c r="H475" t="inlineStr">
        <is>
          <t>Matchpoint Tennis</t>
        </is>
      </c>
      <c r="I475" t="n">
        <v>35.6</v>
      </c>
      <c r="J475" s="4" t="n">
        <v>18</v>
      </c>
      <c r="K475" t="inlineStr">
        <is>
          <t>11 / 7</t>
        </is>
      </c>
      <c r="L475" t="inlineStr">
        <is>
          <t>11 / 7</t>
        </is>
      </c>
      <c r="M475" s="5" t="n">
        <v>0.61</v>
      </c>
      <c r="N475" s="5" t="n">
        <v>0.61</v>
      </c>
    </row>
    <row r="476">
      <c r="A476" t="n">
        <v>475</v>
      </c>
      <c r="B476" t="n">
        <v>2012</v>
      </c>
      <c r="C476" t="inlineStr">
        <is>
          <t>Isabella Sofia Zrnic</t>
        </is>
      </c>
      <c r="D476">
        <f>HYPERLINK("https://ota.tournamentsoftware.com/player-profile/C8963CF4-1E95-43AF-B92C-08778B2BA616", "Link")</f>
        <v/>
      </c>
      <c r="E476" s="3" t="n">
        <v>99.809</v>
      </c>
      <c r="F476" s="4" t="n">
        <v>10</v>
      </c>
      <c r="G476" t="inlineStr">
        <is>
          <t>Ontario Tennis Association</t>
        </is>
      </c>
      <c r="H476" t="inlineStr">
        <is>
          <t>Lawrence Park Tennis Club</t>
        </is>
      </c>
      <c r="I476" t="n">
        <v>35.5</v>
      </c>
      <c r="J476" s="4" t="n">
        <v>66</v>
      </c>
      <c r="K476" t="inlineStr">
        <is>
          <t>27 / 39</t>
        </is>
      </c>
      <c r="L476" t="inlineStr">
        <is>
          <t>6 / 9</t>
        </is>
      </c>
      <c r="M476" s="5" t="n">
        <v>0.41</v>
      </c>
      <c r="N476" s="5" t="n">
        <v>0.4</v>
      </c>
    </row>
    <row r="477">
      <c r="A477" t="n">
        <v>476</v>
      </c>
      <c r="B477" t="n">
        <v>2015</v>
      </c>
      <c r="C477" t="inlineStr">
        <is>
          <t>Kaliya Summer Miserre-Garrecht</t>
        </is>
      </c>
      <c r="D477">
        <f>HYPERLINK("https://ota.tournamentsoftware.com/player-profile/C178309B-9B10-4C79-99B5-DD8E37FCC1EF", "Link")</f>
        <v/>
      </c>
      <c r="E477" s="3" t="n">
        <v>99.33799999999999</v>
      </c>
      <c r="F477" s="4" t="n">
        <v>22</v>
      </c>
      <c r="G477" t="inlineStr">
        <is>
          <t>British Columbia</t>
        </is>
      </c>
      <c r="H477" t="inlineStr">
        <is>
          <t>Vanguard Tennis Academy</t>
        </is>
      </c>
      <c r="I477" t="n">
        <v>36</v>
      </c>
      <c r="J477" s="4" t="n">
        <v>140</v>
      </c>
      <c r="K477" t="inlineStr">
        <is>
          <t>61 / 79</t>
        </is>
      </c>
      <c r="L477" t="inlineStr">
        <is>
          <t>16 / 26</t>
        </is>
      </c>
      <c r="M477" s="5" t="n">
        <v>0.44</v>
      </c>
      <c r="N477" s="5" t="n">
        <v>0.38</v>
      </c>
    </row>
    <row r="478">
      <c r="A478" t="n">
        <v>477</v>
      </c>
      <c r="B478" t="n">
        <v>2014</v>
      </c>
      <c r="C478" t="inlineStr">
        <is>
          <t>Chloe Esther Yeung</t>
        </is>
      </c>
      <c r="D478">
        <f>HYPERLINK("https://ota.tournamentsoftware.com/player-profile/A0100B59-21FE-4244-87C6-16B2DE0DBB96", "Link")</f>
        <v/>
      </c>
      <c r="E478" s="3" t="n">
        <v>99.27800000000001</v>
      </c>
      <c r="F478" s="4" t="n">
        <v>11</v>
      </c>
      <c r="G478" t="inlineStr">
        <is>
          <t>Ontario Tennis Association</t>
        </is>
      </c>
      <c r="H478" t="inlineStr">
        <is>
          <t>Mayfair East Racquet Club</t>
        </is>
      </c>
      <c r="I478" t="n">
        <v>36.6</v>
      </c>
      <c r="J478" s="4" t="n">
        <v>106</v>
      </c>
      <c r="K478" t="inlineStr">
        <is>
          <t>45 / 61</t>
        </is>
      </c>
      <c r="L478" t="inlineStr">
        <is>
          <t>3 / 9</t>
        </is>
      </c>
      <c r="M478" s="5" t="n">
        <v>0.42</v>
      </c>
      <c r="N478" s="5" t="n">
        <v>0.25</v>
      </c>
    </row>
    <row r="479">
      <c r="A479" t="n">
        <v>478</v>
      </c>
      <c r="B479" t="n">
        <v>2015</v>
      </c>
      <c r="C479" t="inlineStr">
        <is>
          <t>zhiyi li</t>
        </is>
      </c>
      <c r="D479">
        <f>HYPERLINK("https://ota.tournamentsoftware.com/player-profile/262E56E9-3220-45C2-961D-ACE763C5C345", "Link")</f>
        <v/>
      </c>
      <c r="E479" s="3" t="n">
        <v>98.78400000000001</v>
      </c>
      <c r="F479" s="4" t="n">
        <v>12</v>
      </c>
      <c r="G479" t="inlineStr">
        <is>
          <t>Ontario Tennis Association</t>
        </is>
      </c>
      <c r="H479" t="inlineStr">
        <is>
          <t>Rideau Sports Centre</t>
        </is>
      </c>
      <c r="I479" t="n">
        <v>35.1</v>
      </c>
      <c r="J479" s="4" t="n">
        <v>91</v>
      </c>
      <c r="K479" t="inlineStr">
        <is>
          <t>48 / 43</t>
        </is>
      </c>
      <c r="L479" t="inlineStr">
        <is>
          <t>12 / 13</t>
        </is>
      </c>
      <c r="M479" s="5" t="n">
        <v>0.53</v>
      </c>
      <c r="N479" s="5" t="n">
        <v>0.48</v>
      </c>
    </row>
    <row r="480">
      <c r="A480" t="n">
        <v>479</v>
      </c>
      <c r="B480" t="n">
        <v>2012</v>
      </c>
      <c r="C480" t="inlineStr">
        <is>
          <t>Emily Lyn</t>
        </is>
      </c>
      <c r="D480">
        <f>HYPERLINK("https://ota.tournamentsoftware.com/player-profile/952E408B-05E4-4A69-8AAE-E4D164512A9E", "Link")</f>
        <v/>
      </c>
      <c r="E480" s="3" t="n">
        <v>98.52</v>
      </c>
      <c r="F480" s="4" t="n">
        <v>8</v>
      </c>
      <c r="G480" t="inlineStr">
        <is>
          <t>Ontario Tennis Association</t>
        </is>
      </c>
      <c r="H480" t="inlineStr">
        <is>
          <t>Markham Tennis Club</t>
        </is>
      </c>
      <c r="I480" t="n">
        <v>36.1</v>
      </c>
      <c r="J480" s="4" t="n">
        <v>103</v>
      </c>
      <c r="K480" t="inlineStr">
        <is>
          <t>61 / 42</t>
        </is>
      </c>
      <c r="L480" t="inlineStr">
        <is>
          <t>5 / 6</t>
        </is>
      </c>
      <c r="M480" s="5" t="n">
        <v>0.59</v>
      </c>
      <c r="N480" s="5" t="n">
        <v>0.45</v>
      </c>
    </row>
    <row r="481">
      <c r="A481" t="n">
        <v>480</v>
      </c>
      <c r="B481" t="n">
        <v>2014</v>
      </c>
      <c r="C481" t="inlineStr">
        <is>
          <t>Avril Kymber Lin</t>
        </is>
      </c>
      <c r="D481">
        <f>HYPERLINK("https://ota.tournamentsoftware.com/player-profile/6CFCC91C-A66C-46B5-8430-D2D78CE3EE4B", "Link")</f>
        <v/>
      </c>
      <c r="E481" s="3" t="n">
        <v>98.492</v>
      </c>
      <c r="F481" s="4" t="n">
        <v>13</v>
      </c>
      <c r="G481" t="inlineStr">
        <is>
          <t>Tennis Alberta</t>
        </is>
      </c>
      <c r="H481" t="inlineStr">
        <is>
          <t>Brookside Court &amp; Wellness</t>
        </is>
      </c>
      <c r="I481" t="inlineStr">
        <is>
          <t>unavailable</t>
        </is>
      </c>
      <c r="J481" s="4" t="n">
        <v>101</v>
      </c>
      <c r="K481" t="inlineStr">
        <is>
          <t>40 / 61</t>
        </is>
      </c>
      <c r="L481" t="inlineStr">
        <is>
          <t>10 / 16</t>
        </is>
      </c>
      <c r="M481" s="5" t="n">
        <v>0.4</v>
      </c>
      <c r="N481" s="5" t="n">
        <v>0.38</v>
      </c>
    </row>
    <row r="482">
      <c r="A482" t="n">
        <v>481</v>
      </c>
      <c r="B482" t="n">
        <v>2013</v>
      </c>
      <c r="C482" t="inlineStr">
        <is>
          <t>Darcia Rabezandriny</t>
        </is>
      </c>
      <c r="D482">
        <f>HYPERLINK("https://ota.tournamentsoftware.com/player-profile/52069260-9644-4FA6-A8E4-10B4E037765E", "Link")</f>
        <v/>
      </c>
      <c r="E482" s="3" t="n">
        <v>98.27200000000001</v>
      </c>
      <c r="F482" s="4" t="n">
        <v>7</v>
      </c>
      <c r="G482" t="inlineStr">
        <is>
          <t>Tennis Québec</t>
        </is>
      </c>
      <c r="H482" t="inlineStr">
        <is>
          <t>AA Autre club</t>
        </is>
      </c>
      <c r="I482" t="n">
        <v>34.6</v>
      </c>
      <c r="J482" s="4" t="n">
        <v>157</v>
      </c>
      <c r="K482" t="inlineStr">
        <is>
          <t>82 / 75</t>
        </is>
      </c>
      <c r="L482" t="inlineStr">
        <is>
          <t>7 / 8</t>
        </is>
      </c>
      <c r="M482" s="5" t="n">
        <v>0.52</v>
      </c>
      <c r="N482" s="5" t="n">
        <v>0.47</v>
      </c>
    </row>
    <row r="483">
      <c r="A483" t="n">
        <v>482</v>
      </c>
      <c r="B483" t="n">
        <v>2012</v>
      </c>
      <c r="C483" t="inlineStr">
        <is>
          <t>Alice Le</t>
        </is>
      </c>
      <c r="D483">
        <f>HYPERLINK("https://ota.tournamentsoftware.com/player-profile/762C717D-CB5B-4A61-877E-C235D5E4911F", "Link")</f>
        <v/>
      </c>
      <c r="E483" s="3" t="n">
        <v>98.04000000000001</v>
      </c>
      <c r="F483" s="4" t="n">
        <v>3</v>
      </c>
      <c r="G483" t="inlineStr">
        <is>
          <t>British Columbia</t>
        </is>
      </c>
      <c r="H483" t="inlineStr">
        <is>
          <t>City of Vancouver</t>
        </is>
      </c>
      <c r="I483" t="inlineStr">
        <is>
          <t>unavailable</t>
        </is>
      </c>
      <c r="J483" s="4" t="n">
        <v>10</v>
      </c>
      <c r="K483" t="inlineStr">
        <is>
          <t>7 / 3</t>
        </is>
      </c>
      <c r="L483" t="inlineStr">
        <is>
          <t>1 / 1</t>
        </is>
      </c>
      <c r="M483" s="5" t="n">
        <v>0.7</v>
      </c>
      <c r="N483" s="5" t="n">
        <v>0.5</v>
      </c>
    </row>
    <row r="484">
      <c r="A484" t="n">
        <v>483</v>
      </c>
      <c r="B484" t="n">
        <v>2013</v>
      </c>
      <c r="C484" t="inlineStr">
        <is>
          <t>Julia Anne Kennedy</t>
        </is>
      </c>
      <c r="D484">
        <f>HYPERLINK("https://ota.tournamentsoftware.com/player-profile/82DF6D3D-A382-4764-B57C-0EA44A762022", "Link")</f>
        <v/>
      </c>
      <c r="E484" s="3" t="n">
        <v>97.88</v>
      </c>
      <c r="F484" s="4" t="n">
        <v>2</v>
      </c>
      <c r="G484" t="inlineStr">
        <is>
          <t>Ontario Tennis Association</t>
        </is>
      </c>
      <c r="H484" t="inlineStr">
        <is>
          <t>SmartVMC Racquetsports by ACE</t>
        </is>
      </c>
      <c r="I484" t="n">
        <v>32.2</v>
      </c>
      <c r="J484" s="4" t="n">
        <v>147</v>
      </c>
      <c r="K484" t="inlineStr">
        <is>
          <t>71 / 76</t>
        </is>
      </c>
      <c r="L484" t="inlineStr">
        <is>
          <t>5 / 1</t>
        </is>
      </c>
      <c r="M484" s="5" t="n">
        <v>0.48</v>
      </c>
      <c r="N484" s="5" t="n">
        <v>0.83</v>
      </c>
    </row>
    <row r="485">
      <c r="A485" t="n">
        <v>484</v>
      </c>
      <c r="B485" t="n">
        <v>2014</v>
      </c>
      <c r="C485" t="inlineStr">
        <is>
          <t>Sarah Huang</t>
        </is>
      </c>
      <c r="D485">
        <f>HYPERLINK("https://ota.tournamentsoftware.com/player-profile/535A9ABE-481C-45C4-9357-B8FD9305232E", "Link")</f>
        <v/>
      </c>
      <c r="E485" s="3" t="n">
        <v>97.762</v>
      </c>
      <c r="F485" s="4" t="n">
        <v>16</v>
      </c>
      <c r="G485" t="inlineStr">
        <is>
          <t>Ontario Tennis Association</t>
        </is>
      </c>
      <c r="H485" t="inlineStr">
        <is>
          <t>Premier Racquet Club - Markham</t>
        </is>
      </c>
      <c r="I485" t="n">
        <v>35.3</v>
      </c>
      <c r="J485" s="4" t="n">
        <v>116</v>
      </c>
      <c r="K485" t="inlineStr">
        <is>
          <t>40 / 76</t>
        </is>
      </c>
      <c r="L485" t="inlineStr">
        <is>
          <t>6 / 9</t>
        </is>
      </c>
      <c r="M485" s="5" t="n">
        <v>0.34</v>
      </c>
      <c r="N485" s="5" t="n">
        <v>0.4</v>
      </c>
    </row>
    <row r="486">
      <c r="A486" t="n">
        <v>485</v>
      </c>
      <c r="B486" t="n">
        <v>2015</v>
      </c>
      <c r="C486" t="inlineStr">
        <is>
          <t>Larissa Bulynko</t>
        </is>
      </c>
      <c r="D486">
        <f>HYPERLINK("https://ota.tournamentsoftware.com/player-profile/387B3C19-006B-446B-A1CE-226F349C0C24", "Link")</f>
        <v/>
      </c>
      <c r="E486" s="3" t="n">
        <v>97.074</v>
      </c>
      <c r="F486" s="4" t="n">
        <v>14</v>
      </c>
      <c r="G486" t="inlineStr">
        <is>
          <t>Ontario Tennis Association</t>
        </is>
      </c>
      <c r="H486" t="inlineStr">
        <is>
          <t>National Tennis School</t>
        </is>
      </c>
      <c r="I486" t="n">
        <v>36.7</v>
      </c>
      <c r="J486" s="4" t="n">
        <v>62</v>
      </c>
      <c r="K486" t="inlineStr">
        <is>
          <t>25 / 37</t>
        </is>
      </c>
      <c r="L486" t="inlineStr">
        <is>
          <t>10 / 14</t>
        </is>
      </c>
      <c r="M486" s="5" t="n">
        <v>0.4</v>
      </c>
      <c r="N486" s="5" t="n">
        <v>0.42</v>
      </c>
    </row>
    <row r="487">
      <c r="A487" t="n">
        <v>486</v>
      </c>
      <c r="B487" t="n">
        <v>2015</v>
      </c>
      <c r="C487" t="inlineStr">
        <is>
          <t>Violet Ton-That</t>
        </is>
      </c>
      <c r="D487">
        <f>HYPERLINK("https://ota.tournamentsoftware.com/player-profile/2832D590-1D78-4B7F-B573-E2D932040ADB", "Link")</f>
        <v/>
      </c>
      <c r="E487" s="3" t="n">
        <v>96.917</v>
      </c>
      <c r="F487" s="4" t="n">
        <v>10</v>
      </c>
      <c r="G487" t="inlineStr">
        <is>
          <t>Tennis Québec</t>
        </is>
      </c>
      <c r="H487" t="inlineStr">
        <is>
          <t>Tennis Montréal Excellence</t>
        </is>
      </c>
      <c r="I487" t="n">
        <v>35.7</v>
      </c>
      <c r="J487" s="4" t="n">
        <v>63</v>
      </c>
      <c r="K487" t="inlineStr">
        <is>
          <t>29 / 34</t>
        </is>
      </c>
      <c r="L487" t="inlineStr">
        <is>
          <t>8 / 10</t>
        </is>
      </c>
      <c r="M487" s="5" t="n">
        <v>0.46</v>
      </c>
      <c r="N487" s="5" t="n">
        <v>0.44</v>
      </c>
    </row>
    <row r="488">
      <c r="A488" t="n">
        <v>487</v>
      </c>
      <c r="B488" t="n">
        <v>2012</v>
      </c>
      <c r="C488" t="inlineStr">
        <is>
          <t>Emily Zhang</t>
        </is>
      </c>
      <c r="D488">
        <f>HYPERLINK("https://ota.tournamentsoftware.com/player-profile/927E8E34-8FE2-4B37-81C7-621F5326585C", "Link")</f>
        <v/>
      </c>
      <c r="E488" s="3" t="n">
        <v>96.367</v>
      </c>
      <c r="F488" s="4" t="n">
        <v>6</v>
      </c>
      <c r="G488" t="inlineStr">
        <is>
          <t>Ontario Tennis Association</t>
        </is>
      </c>
      <c r="H488" t="inlineStr">
        <is>
          <t>Blackmore Tennis Club</t>
        </is>
      </c>
      <c r="I488" t="inlineStr">
        <is>
          <t>unavailable</t>
        </is>
      </c>
      <c r="J488" s="4" t="n">
        <v>48</v>
      </c>
      <c r="K488" t="inlineStr">
        <is>
          <t>10 / 38</t>
        </is>
      </c>
      <c r="L488" t="inlineStr">
        <is>
          <t>1 / 3</t>
        </is>
      </c>
      <c r="M488" s="5" t="n">
        <v>0.21</v>
      </c>
      <c r="N488" s="5" t="n">
        <v>0.25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95.923</v>
      </c>
      <c r="F489" s="4" t="n">
        <v>5</v>
      </c>
      <c r="G489" t="inlineStr">
        <is>
          <t>Tennis Nova Scotia</t>
        </is>
      </c>
      <c r="H489" t="inlineStr">
        <is>
          <t>HEADSTART</t>
        </is>
      </c>
      <c r="I489" t="n">
        <v>37.6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2014</v>
      </c>
      <c r="C490" t="inlineStr">
        <is>
          <t>Zoey Folashakin</t>
        </is>
      </c>
      <c r="D490">
        <f>HYPERLINK("https://ota.tournamentsoftware.com/player-profile/3301B942-3C8E-4FE4-9470-6F68EC47669D", "Link")</f>
        <v/>
      </c>
      <c r="E490" s="3" t="n">
        <v>95.544</v>
      </c>
      <c r="F490" s="4" t="n">
        <v>23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36.5</v>
      </c>
      <c r="J490" s="4" t="n">
        <v>70</v>
      </c>
      <c r="K490" t="inlineStr">
        <is>
          <t>15 / 55</t>
        </is>
      </c>
      <c r="L490" t="inlineStr">
        <is>
          <t>11 / 16</t>
        </is>
      </c>
      <c r="M490" s="5" t="n">
        <v>0.21</v>
      </c>
      <c r="N490" s="5" t="n">
        <v>0.41</v>
      </c>
    </row>
    <row r="491">
      <c r="A491" t="n">
        <v>490</v>
      </c>
      <c r="B491" t="n">
        <v>2013</v>
      </c>
      <c r="C491" t="inlineStr">
        <is>
          <t>Chelsea Yuxin Lan</t>
        </is>
      </c>
      <c r="D491">
        <f>HYPERLINK("https://ota.tournamentsoftware.com/player-profile/D861FE8B-CCB2-4222-BA9C-EBD5C1FECE32", "Link")</f>
        <v/>
      </c>
      <c r="E491" s="3" t="n">
        <v>95.095</v>
      </c>
      <c r="F491" s="4" t="n">
        <v>15</v>
      </c>
      <c r="G491" t="inlineStr">
        <is>
          <t>British Columbia</t>
        </is>
      </c>
      <c r="H491" t="inlineStr">
        <is>
          <t>Hollyburn Country Club</t>
        </is>
      </c>
      <c r="I491" t="inlineStr">
        <is>
          <t>unavailable</t>
        </is>
      </c>
      <c r="J491" s="4" t="n">
        <v>117</v>
      </c>
      <c r="K491" t="inlineStr">
        <is>
          <t>34 / 83</t>
        </is>
      </c>
      <c r="L491" t="inlineStr">
        <is>
          <t>2 / 20</t>
        </is>
      </c>
      <c r="M491" s="5" t="n">
        <v>0.29</v>
      </c>
      <c r="N491" s="5" t="n">
        <v>0.09</v>
      </c>
    </row>
    <row r="492">
      <c r="A492" t="n">
        <v>491</v>
      </c>
      <c r="B492" t="n">
        <v>2012</v>
      </c>
      <c r="C492" t="inlineStr">
        <is>
          <t>Tiana Amede-Bramwell</t>
        </is>
      </c>
      <c r="D492">
        <f>HYPERLINK("https://ota.tournamentsoftware.com/player-profile/BC31A25D-C48C-47FD-A0A3-D600EA315675", "Link")</f>
        <v/>
      </c>
      <c r="E492" s="3" t="n">
        <v>94.053</v>
      </c>
      <c r="F492" s="4" t="n">
        <v>11</v>
      </c>
      <c r="G492" t="inlineStr">
        <is>
          <t>Ontario Tennis Association</t>
        </is>
      </c>
      <c r="H492" t="inlineStr">
        <is>
          <t>Credit Valley Tennis Club</t>
        </is>
      </c>
      <c r="I492" t="n">
        <v>39.5</v>
      </c>
      <c r="J492" s="4" t="n">
        <v>40</v>
      </c>
      <c r="K492" t="inlineStr">
        <is>
          <t>8 / 32</t>
        </is>
      </c>
      <c r="L492" t="inlineStr">
        <is>
          <t>8 / 29</t>
        </is>
      </c>
      <c r="M492" s="5" t="n">
        <v>0.2</v>
      </c>
      <c r="N492" s="5" t="n">
        <v>0.22</v>
      </c>
    </row>
    <row r="493">
      <c r="A493" t="n">
        <v>492</v>
      </c>
      <c r="B493" t="n">
        <v>2015</v>
      </c>
      <c r="C493" t="inlineStr">
        <is>
          <t>Joey Wu</t>
        </is>
      </c>
      <c r="D493">
        <f>HYPERLINK("https://ota.tournamentsoftware.com/player-profile/5271198B-7814-4938-9A9E-61E10CC7CCA6", "Link")</f>
        <v/>
      </c>
      <c r="E493" s="3" t="n">
        <v>92.84</v>
      </c>
      <c r="F493" s="4" t="n">
        <v>25</v>
      </c>
      <c r="G493" t="inlineStr">
        <is>
          <t>British Columbia</t>
        </is>
      </c>
      <c r="H493" t="inlineStr">
        <is>
          <t>City of Richmond</t>
        </is>
      </c>
      <c r="I493" t="inlineStr">
        <is>
          <t>unavailable</t>
        </is>
      </c>
      <c r="J493" s="4" t="n">
        <v>123</v>
      </c>
      <c r="K493" t="inlineStr">
        <is>
          <t>73 / 50</t>
        </is>
      </c>
      <c r="L493" t="inlineStr">
        <is>
          <t>18 / 26</t>
        </is>
      </c>
      <c r="M493" s="5" t="n">
        <v>0.59</v>
      </c>
      <c r="N493" s="5" t="n">
        <v>0.41</v>
      </c>
    </row>
    <row r="494">
      <c r="A494" t="n">
        <v>493</v>
      </c>
      <c r="B494" t="n">
        <v>2015</v>
      </c>
      <c r="C494" t="inlineStr">
        <is>
          <t>Olivia An Yi Ta</t>
        </is>
      </c>
      <c r="D494">
        <f>HYPERLINK("https://ota.tournamentsoftware.com/player-profile/F718058C-465B-4AEB-BACA-80FE5B3917B6", "Link")</f>
        <v/>
      </c>
      <c r="E494" s="3" t="n">
        <v>92.791</v>
      </c>
      <c r="F494" s="4" t="n">
        <v>14</v>
      </c>
      <c r="G494" t="inlineStr">
        <is>
          <t>Ontario Tennis Association</t>
        </is>
      </c>
      <c r="H494" t="inlineStr">
        <is>
          <t>Lambton Golf &amp; Country Club</t>
        </is>
      </c>
      <c r="I494" t="inlineStr">
        <is>
          <t>unavailable</t>
        </is>
      </c>
      <c r="J494" s="4" t="n">
        <v>67</v>
      </c>
      <c r="K494" t="inlineStr">
        <is>
          <t>18 / 49</t>
        </is>
      </c>
      <c r="L494" t="inlineStr">
        <is>
          <t>9 / 11</t>
        </is>
      </c>
      <c r="M494" s="5" t="n">
        <v>0.27</v>
      </c>
      <c r="N494" s="5" t="n">
        <v>0.45</v>
      </c>
    </row>
    <row r="495">
      <c r="A495" t="n">
        <v>494</v>
      </c>
      <c r="B495" t="n">
        <v>2014</v>
      </c>
      <c r="C495" t="inlineStr">
        <is>
          <t>cataleya florina zadarojnea</t>
        </is>
      </c>
      <c r="D495">
        <f>HYPERLINK("https://ota.tournamentsoftware.com/player-profile/EAEB7B00-5E1C-47F6-8FF3-1537E07A8B59", "Link")</f>
        <v/>
      </c>
      <c r="E495" s="3" t="n">
        <v>92.57599999999999</v>
      </c>
      <c r="F495" s="4" t="n">
        <v>26</v>
      </c>
      <c r="G495" t="inlineStr">
        <is>
          <t>Ontario Tennis Association</t>
        </is>
      </c>
      <c r="H495" t="inlineStr">
        <is>
          <t>Premier Racquet Clubs – Mississauga</t>
        </is>
      </c>
      <c r="I495" t="n">
        <v>37.4</v>
      </c>
      <c r="J495" s="4" t="n">
        <v>39</v>
      </c>
      <c r="K495" t="inlineStr">
        <is>
          <t>13 / 26</t>
        </is>
      </c>
      <c r="L495" t="inlineStr">
        <is>
          <t>9 / 19</t>
        </is>
      </c>
      <c r="M495" s="5" t="n">
        <v>0.33</v>
      </c>
      <c r="N495" s="5" t="n">
        <v>0.32</v>
      </c>
    </row>
    <row r="496">
      <c r="A496" t="n">
        <v>495</v>
      </c>
      <c r="B496" t="n">
        <v>2016</v>
      </c>
      <c r="C496" t="inlineStr">
        <is>
          <t>Ziqi Yu</t>
        </is>
      </c>
      <c r="D496">
        <f>HYPERLINK("https://ota.tournamentsoftware.com/player-profile/89FEB2A7-669B-4D40-A67D-54016F42DA82", "Link")</f>
        <v/>
      </c>
      <c r="E496" s="3" t="n">
        <v>92.40000000000001</v>
      </c>
      <c r="F496" s="4" t="n">
        <v>19</v>
      </c>
      <c r="G496" t="inlineStr">
        <is>
          <t>Ontario Tennis Association</t>
        </is>
      </c>
      <c r="H496" t="inlineStr">
        <is>
          <t>Blackmore Tennis Club</t>
        </is>
      </c>
      <c r="I496" t="n">
        <v>34</v>
      </c>
      <c r="J496" s="4" t="n">
        <v>104</v>
      </c>
      <c r="K496" t="inlineStr">
        <is>
          <t>68 / 36</t>
        </is>
      </c>
      <c r="L496" t="inlineStr">
        <is>
          <t>32 / 17</t>
        </is>
      </c>
      <c r="M496" s="5" t="n">
        <v>0.65</v>
      </c>
      <c r="N496" s="5" t="n">
        <v>0.65</v>
      </c>
    </row>
    <row r="497">
      <c r="A497" t="n">
        <v>496</v>
      </c>
      <c r="B497" t="n">
        <v>2013</v>
      </c>
      <c r="C497" t="inlineStr">
        <is>
          <t>Aditi Varma</t>
        </is>
      </c>
      <c r="D497">
        <f>HYPERLINK("https://ota.tournamentsoftware.com/player-profile/EE1E4950-6BCE-4CAA-921A-C5201D737DFF", "Link")</f>
        <v/>
      </c>
      <c r="E497" s="3" t="n">
        <v>91.402</v>
      </c>
      <c r="F497" s="4" t="n">
        <v>8</v>
      </c>
      <c r="G497" t="inlineStr">
        <is>
          <t>Ontario Tennis Association</t>
        </is>
      </c>
      <c r="H497" t="inlineStr">
        <is>
          <t>Ontario Racquet Club</t>
        </is>
      </c>
      <c r="I497" t="n">
        <v>35</v>
      </c>
      <c r="J497" s="4" t="n">
        <v>87</v>
      </c>
      <c r="K497" t="inlineStr">
        <is>
          <t>26 / 61</t>
        </is>
      </c>
      <c r="L497" t="inlineStr">
        <is>
          <t>2 / 5</t>
        </is>
      </c>
      <c r="M497" s="5" t="n">
        <v>0.3</v>
      </c>
      <c r="N497" s="5" t="n">
        <v>0.29</v>
      </c>
    </row>
    <row r="498">
      <c r="A498" t="n">
        <v>497</v>
      </c>
      <c r="B498" t="n">
        <v>2014</v>
      </c>
      <c r="C498" t="inlineStr">
        <is>
          <t>Maylis Ilmane</t>
        </is>
      </c>
      <c r="D498">
        <f>HYPERLINK("https://ota.tournamentsoftware.com/player-profile/8AD3E1E2-82F0-490F-B772-6E9AA24959CC", "Link")</f>
        <v/>
      </c>
      <c r="E498" s="3" t="n">
        <v>90.08799999999999</v>
      </c>
      <c r="F498" s="4" t="n">
        <v>8</v>
      </c>
      <c r="G498" t="inlineStr">
        <is>
          <t>Tennis Québec</t>
        </is>
      </c>
      <c r="H498" t="inlineStr">
        <is>
          <t>Centre récréatif de Repentigny / Académie Tennis Momentum</t>
        </is>
      </c>
      <c r="I498" t="n">
        <v>35.4</v>
      </c>
      <c r="J498" s="4" t="n">
        <v>60</v>
      </c>
      <c r="K498" t="inlineStr">
        <is>
          <t>25 / 35</t>
        </is>
      </c>
      <c r="L498" t="inlineStr">
        <is>
          <t>7 / 6</t>
        </is>
      </c>
      <c r="M498" s="5" t="n">
        <v>0.42</v>
      </c>
      <c r="N498" s="5" t="n">
        <v>0.54</v>
      </c>
    </row>
    <row r="499">
      <c r="A499" t="n">
        <v>498</v>
      </c>
      <c r="B499" t="n">
        <v>2013</v>
      </c>
      <c r="C499" t="inlineStr">
        <is>
          <t>Victoria maya Carinci</t>
        </is>
      </c>
      <c r="D499">
        <f>HYPERLINK("https://ota.tournamentsoftware.com/player-profile/767AAF86-8D36-4699-8113-86AA6DA60CE4", "Link")</f>
        <v/>
      </c>
      <c r="E499" s="3" t="n">
        <v>88.83499999999999</v>
      </c>
      <c r="F499" s="4" t="n">
        <v>12</v>
      </c>
      <c r="G499" t="inlineStr">
        <is>
          <t>Ontario Tennis Association</t>
        </is>
      </c>
      <c r="H499" t="inlineStr">
        <is>
          <t>Concord Tennis Academy</t>
        </is>
      </c>
      <c r="I499" t="n">
        <v>39.3</v>
      </c>
      <c r="J499" s="4" t="n">
        <v>40</v>
      </c>
      <c r="K499" t="inlineStr">
        <is>
          <t>9 / 31</t>
        </is>
      </c>
      <c r="L499" t="inlineStr">
        <is>
          <t>1 / 10</t>
        </is>
      </c>
      <c r="M499" s="5" t="n">
        <v>0.23</v>
      </c>
      <c r="N499" s="5" t="n">
        <v>0.09</v>
      </c>
    </row>
    <row r="500">
      <c r="A500" t="n">
        <v>499</v>
      </c>
      <c r="B500" t="n">
        <v>2012</v>
      </c>
      <c r="C500" t="inlineStr">
        <is>
          <t>Aaisha Rathod</t>
        </is>
      </c>
      <c r="D500">
        <f>HYPERLINK("https://ota.tournamentsoftware.com/player-profile/3CFF2AC0-C5A1-461F-91D3-0CD8EAFC5609", "Link")</f>
        <v/>
      </c>
      <c r="E500" s="3" t="n">
        <v>88.039</v>
      </c>
      <c r="F500" s="4" t="n">
        <v>10</v>
      </c>
      <c r="G500" t="inlineStr">
        <is>
          <t>Ontario Tennis Association</t>
        </is>
      </c>
      <c r="H500" t="inlineStr">
        <is>
          <t>Premier Racquet Clubs – Mississauga</t>
        </is>
      </c>
      <c r="I500" t="n">
        <v>38.6</v>
      </c>
      <c r="J500" s="4" t="n">
        <v>76</v>
      </c>
      <c r="K500" t="inlineStr">
        <is>
          <t>4 / 72</t>
        </is>
      </c>
      <c r="L500" t="inlineStr">
        <is>
          <t>2 / 9</t>
        </is>
      </c>
      <c r="M500" s="5" t="n">
        <v>0.05</v>
      </c>
      <c r="N500" s="5" t="n">
        <v>0.18</v>
      </c>
    </row>
    <row r="501">
      <c r="A501" t="n">
        <v>500</v>
      </c>
      <c r="B501" t="n">
        <v>2016</v>
      </c>
      <c r="C501" t="inlineStr">
        <is>
          <t>LUXI YANG</t>
        </is>
      </c>
      <c r="D501">
        <f>HYPERLINK("https://ota.tournamentsoftware.com/player-profile/00CB777C-F17D-4A37-8393-1F4E5A4F3C39", "Link")</f>
        <v/>
      </c>
      <c r="E501" s="3" t="n">
        <v>86.93600000000001</v>
      </c>
      <c r="F501" s="4" t="n">
        <v>10</v>
      </c>
      <c r="G501" t="inlineStr">
        <is>
          <t>British Columbia</t>
        </is>
      </c>
      <c r="H501" t="inlineStr">
        <is>
          <t>The Tennis Centre</t>
        </is>
      </c>
      <c r="I501" t="n">
        <v>32.6</v>
      </c>
      <c r="J501" s="4" t="n">
        <v>80</v>
      </c>
      <c r="K501" t="inlineStr">
        <is>
          <t>63 / 17</t>
        </is>
      </c>
      <c r="L501" t="inlineStr">
        <is>
          <t>26 / 7</t>
        </is>
      </c>
      <c r="M501" s="5" t="n">
        <v>0.79</v>
      </c>
      <c r="N501" s="5" t="n">
        <v>0.79</v>
      </c>
    </row>
    <row r="502">
      <c r="A502" t="n">
        <v>501</v>
      </c>
      <c r="B502" t="n">
        <v>2013</v>
      </c>
      <c r="C502" t="inlineStr">
        <is>
          <t>Quinn Pfaff</t>
        </is>
      </c>
      <c r="D502">
        <f>HYPERLINK("https://ota.tournamentsoftware.com/player-profile/4EE4E18D-7D9C-41F4-B172-783EBB13EF00", "Link")</f>
        <v/>
      </c>
      <c r="E502" s="3" t="n">
        <v>83.955</v>
      </c>
      <c r="F502" s="4" t="n">
        <v>4</v>
      </c>
      <c r="G502" t="inlineStr">
        <is>
          <t>Ontario Tennis Association</t>
        </is>
      </c>
      <c r="H502" t="inlineStr">
        <is>
          <t>Maitland Country Club</t>
        </is>
      </c>
      <c r="I502" t="n">
        <v>38</v>
      </c>
      <c r="J502" s="4" t="n">
        <v>4</v>
      </c>
      <c r="K502" t="inlineStr">
        <is>
          <t>0 / 4</t>
        </is>
      </c>
      <c r="L502" t="inlineStr">
        <is>
          <t>0 / 3</t>
        </is>
      </c>
      <c r="M502" s="5" t="n">
        <v>0</v>
      </c>
      <c r="N502" s="5" t="n">
        <v>0</v>
      </c>
    </row>
    <row r="503">
      <c r="A503" t="n">
        <v>502</v>
      </c>
      <c r="B503" t="n">
        <v>2013</v>
      </c>
      <c r="C503" t="inlineStr">
        <is>
          <t>Helena Nastic</t>
        </is>
      </c>
      <c r="D503">
        <f>HYPERLINK("https://ota.tournamentsoftware.com/player-profile/384CD39C-50E9-4DF1-B1AD-85571147C1F9", "Link")</f>
        <v/>
      </c>
      <c r="E503" s="3" t="n">
        <v>83.664</v>
      </c>
      <c r="F503" s="4" t="n">
        <v>7</v>
      </c>
      <c r="G503" t="inlineStr">
        <is>
          <t>Ontario Tennis Association</t>
        </is>
      </c>
      <c r="H503" t="inlineStr">
        <is>
          <t>Royal City Tennis Club</t>
        </is>
      </c>
      <c r="I503" t="inlineStr">
        <is>
          <t>unavailable</t>
        </is>
      </c>
      <c r="J503" s="4" t="n">
        <v>39</v>
      </c>
      <c r="K503" t="inlineStr">
        <is>
          <t>19 / 20</t>
        </is>
      </c>
      <c r="L503" t="inlineStr">
        <is>
          <t>0 / 6</t>
        </is>
      </c>
      <c r="M503" s="5" t="n">
        <v>0.49</v>
      </c>
      <c r="N503" s="5" t="n">
        <v>0</v>
      </c>
    </row>
    <row r="504">
      <c r="A504" t="n">
        <v>503</v>
      </c>
      <c r="B504" t="n">
        <v>2013</v>
      </c>
      <c r="C504" t="inlineStr">
        <is>
          <t>Avonlyn Long</t>
        </is>
      </c>
      <c r="D504">
        <f>HYPERLINK("https://ota.tournamentsoftware.com/player-profile/750061EB-6049-44F3-9B6E-4DE9428D7158", "Link")</f>
        <v/>
      </c>
      <c r="E504" s="3" t="n">
        <v>83.592</v>
      </c>
      <c r="F504" s="4" t="n">
        <v>3</v>
      </c>
      <c r="G504" t="inlineStr">
        <is>
          <t>Ontario Tennis Association</t>
        </is>
      </c>
      <c r="H504" t="inlineStr">
        <is>
          <t>Carleton Tennis Centre</t>
        </is>
      </c>
      <c r="I504" t="n">
        <v>39</v>
      </c>
      <c r="J504" s="4" t="n">
        <v>12</v>
      </c>
      <c r="K504" t="inlineStr">
        <is>
          <t>1 / 11</t>
        </is>
      </c>
      <c r="L504" t="inlineStr">
        <is>
          <t>1 / 3</t>
        </is>
      </c>
      <c r="M504" s="5" t="n">
        <v>0.08</v>
      </c>
      <c r="N504" s="5" t="n">
        <v>0.25</v>
      </c>
    </row>
    <row r="505">
      <c r="A505" t="n">
        <v>504</v>
      </c>
      <c r="B505" t="n">
        <v>2014</v>
      </c>
      <c r="C505" t="inlineStr">
        <is>
          <t>Aditri Mundhra</t>
        </is>
      </c>
      <c r="D505">
        <f>HYPERLINK("https://ota.tournamentsoftware.com/player-profile/C7A9A9F1-2DF6-42CD-AA71-F15C9BFFA6EB", "Link")</f>
        <v/>
      </c>
      <c r="E505" s="3" t="n">
        <v>82.485</v>
      </c>
      <c r="F505" s="4" t="n">
        <v>17</v>
      </c>
      <c r="G505" t="inlineStr">
        <is>
          <t>British Columbia</t>
        </is>
      </c>
      <c r="H505" t="inlineStr">
        <is>
          <t>No Club</t>
        </is>
      </c>
      <c r="I505" t="n">
        <v>35.2</v>
      </c>
      <c r="J505" s="4" t="n">
        <v>49</v>
      </c>
      <c r="K505" t="inlineStr">
        <is>
          <t>18 / 31</t>
        </is>
      </c>
      <c r="L505" t="inlineStr">
        <is>
          <t>14 / 18</t>
        </is>
      </c>
      <c r="M505" s="5" t="n">
        <v>0.37</v>
      </c>
      <c r="N505" s="5" t="n">
        <v>0.44</v>
      </c>
    </row>
    <row r="506">
      <c r="A506" t="n">
        <v>505</v>
      </c>
      <c r="B506" t="n">
        <v>2013</v>
      </c>
      <c r="C506" t="inlineStr">
        <is>
          <t>Emilia Sofia Urkedal</t>
        </is>
      </c>
      <c r="D506">
        <f>HYPERLINK("https://ota.tournamentsoftware.com/player-profile/381713CB-202F-43FD-B96F-4B364BE2EE52", "Link")</f>
        <v/>
      </c>
      <c r="E506" s="3" t="n">
        <v>81.57299999999999</v>
      </c>
      <c r="F506" s="4" t="n">
        <v>7</v>
      </c>
      <c r="G506" t="inlineStr">
        <is>
          <t>Ontario Tennis Association</t>
        </is>
      </c>
      <c r="H506" t="inlineStr">
        <is>
          <t>Greenhills Golf Club</t>
        </is>
      </c>
      <c r="I506" t="n">
        <v>37</v>
      </c>
      <c r="J506" s="4" t="n">
        <v>69</v>
      </c>
      <c r="K506" t="inlineStr">
        <is>
          <t>17 / 52</t>
        </is>
      </c>
      <c r="L506" t="inlineStr">
        <is>
          <t>4 / 7</t>
        </is>
      </c>
      <c r="M506" s="5" t="n">
        <v>0.25</v>
      </c>
      <c r="N506" s="5" t="n">
        <v>0.36</v>
      </c>
    </row>
    <row r="507">
      <c r="A507" t="n">
        <v>506</v>
      </c>
      <c r="B507" t="n">
        <v>2015</v>
      </c>
      <c r="C507" t="inlineStr">
        <is>
          <t>Ellieann Jean Baker</t>
        </is>
      </c>
      <c r="D507">
        <f>HYPERLINK("https://ota.tournamentsoftware.com/player-profile/059CF7FD-B4FA-4522-AF55-9B2138153D9C", "Link")</f>
        <v/>
      </c>
      <c r="E507" s="3" t="n">
        <v>81.10299999999999</v>
      </c>
      <c r="F507" s="4" t="n">
        <v>9</v>
      </c>
      <c r="G507" t="inlineStr">
        <is>
          <t>Tennis Alberta</t>
        </is>
      </c>
      <c r="H507" t="inlineStr">
        <is>
          <t>Aforza</t>
        </is>
      </c>
      <c r="I507" t="n">
        <v>36.8</v>
      </c>
      <c r="J507" s="4" t="n">
        <v>109</v>
      </c>
      <c r="K507" t="inlineStr">
        <is>
          <t>45 / 64</t>
        </is>
      </c>
      <c r="L507" t="inlineStr">
        <is>
          <t>4 / 11</t>
        </is>
      </c>
      <c r="M507" s="5" t="n">
        <v>0.41</v>
      </c>
      <c r="N507" s="5" t="n">
        <v>0.27</v>
      </c>
    </row>
    <row r="508">
      <c r="A508" t="n">
        <v>507</v>
      </c>
      <c r="B508" t="n">
        <v>2015</v>
      </c>
      <c r="C508" t="inlineStr">
        <is>
          <t>Doreen Bowen Mao</t>
        </is>
      </c>
      <c r="D508">
        <f>HYPERLINK("https://ota.tournamentsoftware.com/player-profile/24478EB2-203F-4DE3-92C9-B16D9A60F77F", "Link")</f>
        <v/>
      </c>
      <c r="E508" s="3" t="n">
        <v>80.43600000000001</v>
      </c>
      <c r="F508" s="4" t="n">
        <v>16</v>
      </c>
      <c r="G508" t="inlineStr">
        <is>
          <t>Ontario Tennis Association</t>
        </is>
      </c>
      <c r="H508" t="inlineStr">
        <is>
          <t>Joshua Creek Golf &amp; Tennis</t>
        </is>
      </c>
      <c r="I508" t="n">
        <v>37.3</v>
      </c>
      <c r="J508" s="4" t="n">
        <v>80</v>
      </c>
      <c r="K508" t="inlineStr">
        <is>
          <t>33 / 47</t>
        </is>
      </c>
      <c r="L508" t="inlineStr">
        <is>
          <t>18 / 22</t>
        </is>
      </c>
      <c r="M508" s="5" t="n">
        <v>0.41</v>
      </c>
      <c r="N508" s="5" t="n">
        <v>0.45</v>
      </c>
    </row>
    <row r="509">
      <c r="A509" t="n">
        <v>508</v>
      </c>
      <c r="B509" t="n">
        <v>2015</v>
      </c>
      <c r="C509" t="inlineStr">
        <is>
          <t>Savannah Billings</t>
        </is>
      </c>
      <c r="D509">
        <f>HYPERLINK("https://ota.tournamentsoftware.com/player-profile/3C86C2A1-7881-4E07-A889-C842F4C67652", "Link")</f>
        <v/>
      </c>
      <c r="E509" s="3" t="n">
        <v>79.464</v>
      </c>
      <c r="F509" s="4" t="n">
        <v>5</v>
      </c>
      <c r="G509" t="inlineStr">
        <is>
          <t>Tennis Québec</t>
        </is>
      </c>
      <c r="H509" t="inlineStr">
        <is>
          <t>Club Avantage Multi-sports / Académie de tennis Hérisset Bordeleau</t>
        </is>
      </c>
      <c r="I509" t="n">
        <v>28.2</v>
      </c>
      <c r="J509" s="4" t="n">
        <v>13</v>
      </c>
      <c r="K509" t="inlineStr">
        <is>
          <t>8 / 5</t>
        </is>
      </c>
      <c r="L509" t="inlineStr">
        <is>
          <t>8 / 3</t>
        </is>
      </c>
      <c r="M509" s="5" t="n">
        <v>0.62</v>
      </c>
      <c r="N509" s="5" t="n">
        <v>0.73</v>
      </c>
    </row>
    <row r="510">
      <c r="A510" t="n">
        <v>509</v>
      </c>
      <c r="B510" t="n">
        <v>2015</v>
      </c>
      <c r="C510" t="inlineStr">
        <is>
          <t>Mia Gidaro</t>
        </is>
      </c>
      <c r="D510">
        <f>HYPERLINK("https://ota.tournamentsoftware.com/player-profile/17357D82-FEBE-483D-8054-F1F6B85AD8A5", "Link")</f>
        <v/>
      </c>
      <c r="E510" s="3" t="n">
        <v>79.46299999999999</v>
      </c>
      <c r="F510" s="4" t="n">
        <v>12</v>
      </c>
      <c r="G510" t="inlineStr">
        <is>
          <t>Ontario Tennis Association</t>
        </is>
      </c>
      <c r="H510" t="inlineStr">
        <is>
          <t>Baby Point Tennis Club</t>
        </is>
      </c>
      <c r="I510" t="n">
        <v>37.1</v>
      </c>
      <c r="J510" s="4" t="n">
        <v>61</v>
      </c>
      <c r="K510" t="inlineStr">
        <is>
          <t>24 / 37</t>
        </is>
      </c>
      <c r="L510" t="inlineStr">
        <is>
          <t>3 / 7</t>
        </is>
      </c>
      <c r="M510" s="5" t="n">
        <v>0.39</v>
      </c>
      <c r="N510" s="5" t="n">
        <v>0.3</v>
      </c>
    </row>
    <row r="511">
      <c r="A511" t="n">
        <v>510</v>
      </c>
      <c r="B511" t="n">
        <v>2014</v>
      </c>
      <c r="C511" t="inlineStr">
        <is>
          <t>Clarice de Azevedo Guedes</t>
        </is>
      </c>
      <c r="D511">
        <f>HYPERLINK("https://ota.tournamentsoftware.com/player-profile/027DF0F1-69E8-4220-8263-B26C4D1AFC70", "Link")</f>
        <v/>
      </c>
      <c r="E511" s="3" t="n">
        <v>79.407</v>
      </c>
      <c r="F511" s="4" t="n">
        <v>14</v>
      </c>
      <c r="G511" t="inlineStr">
        <is>
          <t>Tennis Québec</t>
        </is>
      </c>
      <c r="H511" t="inlineStr">
        <is>
          <t>Tennis 13</t>
        </is>
      </c>
      <c r="I511" t="inlineStr">
        <is>
          <t>unavailable</t>
        </is>
      </c>
      <c r="J511" s="4" t="n">
        <v>64</v>
      </c>
      <c r="K511" t="inlineStr">
        <is>
          <t>26 / 38</t>
        </is>
      </c>
      <c r="L511" t="inlineStr">
        <is>
          <t>12 / 12</t>
        </is>
      </c>
      <c r="M511" s="5" t="n">
        <v>0.41</v>
      </c>
      <c r="N511" s="5" t="n">
        <v>0.5</v>
      </c>
    </row>
    <row r="512">
      <c r="A512" t="n">
        <v>511</v>
      </c>
      <c r="B512" t="n">
        <v>2015</v>
      </c>
      <c r="C512" t="inlineStr">
        <is>
          <t>Abigail Csima</t>
        </is>
      </c>
      <c r="D512">
        <f>HYPERLINK("https://ota.tournamentsoftware.com/player-profile/6F3C1A53-8070-482F-B046-BE875C66F4B8", "Link")</f>
        <v/>
      </c>
      <c r="E512" s="3" t="n">
        <v>79.28700000000001</v>
      </c>
      <c r="F512" s="4" t="n">
        <v>14</v>
      </c>
      <c r="G512" t="inlineStr">
        <is>
          <t>Ontario Tennis Association</t>
        </is>
      </c>
      <c r="H512" t="inlineStr">
        <is>
          <t>Waterloo Tennis Club</t>
        </is>
      </c>
      <c r="I512" t="n">
        <v>38.5</v>
      </c>
      <c r="J512" s="4" t="n">
        <v>60</v>
      </c>
      <c r="K512" t="inlineStr">
        <is>
          <t>12 / 48</t>
        </is>
      </c>
      <c r="L512" t="inlineStr">
        <is>
          <t>3 / 14</t>
        </is>
      </c>
      <c r="M512" s="5" t="n">
        <v>0.2</v>
      </c>
      <c r="N512" s="5" t="n">
        <v>0.18</v>
      </c>
    </row>
    <row r="513">
      <c r="A513" t="n">
        <v>512</v>
      </c>
      <c r="B513" t="n">
        <v>2014</v>
      </c>
      <c r="C513" t="inlineStr">
        <is>
          <t>Yue Zhang</t>
        </is>
      </c>
      <c r="D513">
        <f>HYPERLINK("https://ota.tournamentsoftware.com/player-profile/85239D79-7080-4052-A527-EE7F087184E4", "Link")</f>
        <v/>
      </c>
      <c r="E513" s="3" t="n">
        <v>76.623</v>
      </c>
      <c r="F513" s="4" t="n">
        <v>7</v>
      </c>
      <c r="G513" t="inlineStr">
        <is>
          <t>Tennis Nova Scotia</t>
        </is>
      </c>
      <c r="H513" t="inlineStr">
        <is>
          <t>Atlantic Tennis Centre</t>
        </is>
      </c>
      <c r="I513" t="n">
        <v>35.4</v>
      </c>
      <c r="J513" s="4" t="n">
        <v>43</v>
      </c>
      <c r="K513" t="inlineStr">
        <is>
          <t>19 / 24</t>
        </is>
      </c>
      <c r="L513" t="inlineStr">
        <is>
          <t>10 / 13</t>
        </is>
      </c>
      <c r="M513" s="5" t="n">
        <v>0.44</v>
      </c>
      <c r="N513" s="5" t="n">
        <v>0.43</v>
      </c>
    </row>
    <row r="514">
      <c r="A514" t="n">
        <v>513</v>
      </c>
      <c r="B514" t="n">
        <v>2014</v>
      </c>
      <c r="C514" t="inlineStr">
        <is>
          <t>Shaghun Dhillon</t>
        </is>
      </c>
      <c r="D514">
        <f>HYPERLINK("https://ota.tournamentsoftware.com/player-profile/97B5DEDE-AA93-468B-902A-462AB9B42432", "Link")</f>
        <v/>
      </c>
      <c r="E514" s="3" t="n">
        <v>76.43899999999999</v>
      </c>
      <c r="F514" s="4" t="n">
        <v>13</v>
      </c>
      <c r="G514" t="inlineStr">
        <is>
          <t>Ontario Tennis Association</t>
        </is>
      </c>
      <c r="H514" t="inlineStr">
        <is>
          <t>Premier Racquet Club - Markham</t>
        </is>
      </c>
      <c r="I514" t="inlineStr">
        <is>
          <t>unavailable</t>
        </is>
      </c>
      <c r="J514" s="4" t="n">
        <v>60</v>
      </c>
      <c r="K514" t="inlineStr">
        <is>
          <t>34 / 26</t>
        </is>
      </c>
      <c r="L514" t="inlineStr">
        <is>
          <t>28 / 20</t>
        </is>
      </c>
      <c r="M514" s="5" t="n">
        <v>0.57</v>
      </c>
      <c r="N514" s="5" t="n">
        <v>0.58</v>
      </c>
    </row>
    <row r="515">
      <c r="A515" t="n">
        <v>514</v>
      </c>
      <c r="B515" t="n">
        <v>2017</v>
      </c>
      <c r="C515" t="inlineStr">
        <is>
          <t>Siena Yang-frome</t>
        </is>
      </c>
      <c r="D515">
        <f>HYPERLINK("https://ota.tournamentsoftware.com/player-profile/07E78FFD-E9BB-462A-8A5B-4456E8FEB96D", "Link")</f>
        <v/>
      </c>
      <c r="E515" s="3" t="n">
        <v>76.09399999999999</v>
      </c>
      <c r="F515" s="4" t="n">
        <v>12</v>
      </c>
      <c r="G515" t="inlineStr">
        <is>
          <t>Ontario Tennis Association</t>
        </is>
      </c>
      <c r="H515" t="inlineStr">
        <is>
          <t>Premier Racquet Clubs – Mississauga</t>
        </is>
      </c>
      <c r="I515" t="n">
        <v>36</v>
      </c>
      <c r="J515" s="4" t="n">
        <v>85</v>
      </c>
      <c r="K515" t="inlineStr">
        <is>
          <t>49 / 36</t>
        </is>
      </c>
      <c r="L515" t="inlineStr">
        <is>
          <t>11 / 13</t>
        </is>
      </c>
      <c r="M515" s="5" t="n">
        <v>0.58</v>
      </c>
      <c r="N515" s="5" t="n">
        <v>0.46</v>
      </c>
    </row>
    <row r="516">
      <c r="A516" t="n">
        <v>515</v>
      </c>
      <c r="B516" t="n">
        <v>2013</v>
      </c>
      <c r="C516" t="inlineStr">
        <is>
          <t>Avery Hao</t>
        </is>
      </c>
      <c r="D516">
        <f>HYPERLINK("https://ota.tournamentsoftware.com/player-profile/4D297E0A-97AD-4487-A64F-403E8B3ACA30", "Link")</f>
        <v/>
      </c>
      <c r="E516" s="3" t="n">
        <v>74.54300000000001</v>
      </c>
      <c r="F516" s="4" t="n">
        <v>3</v>
      </c>
      <c r="G516" t="inlineStr">
        <is>
          <t>Ontario Tennis Association</t>
        </is>
      </c>
      <c r="H516" t="inlineStr">
        <is>
          <t>Elmridge Tennis Club</t>
        </is>
      </c>
      <c r="I516" t="n">
        <v>39.2</v>
      </c>
      <c r="J516" s="4" t="n">
        <v>15</v>
      </c>
      <c r="K516" t="inlineStr">
        <is>
          <t>4 / 11</t>
        </is>
      </c>
      <c r="L516" t="inlineStr">
        <is>
          <t>0 / 5</t>
        </is>
      </c>
      <c r="M516" s="5" t="n">
        <v>0.27</v>
      </c>
      <c r="N516" s="5" t="n">
        <v>0</v>
      </c>
    </row>
    <row r="517">
      <c r="A517" t="n">
        <v>516</v>
      </c>
      <c r="B517" t="n">
        <v>2014</v>
      </c>
      <c r="C517" t="inlineStr">
        <is>
          <t>Ava Amiripour</t>
        </is>
      </c>
      <c r="D517">
        <f>HYPERLINK("https://ota.tournamentsoftware.com/player-profile/C08AB363-A302-4023-8D6D-B732D837DADF", "Link")</f>
        <v/>
      </c>
      <c r="E517" s="3" t="n">
        <v>74.288</v>
      </c>
      <c r="F517" s="4" t="n">
        <v>4</v>
      </c>
      <c r="G517" t="inlineStr">
        <is>
          <t>Ontario Tennis Association</t>
        </is>
      </c>
      <c r="H517" t="inlineStr">
        <is>
          <t>No Club</t>
        </is>
      </c>
      <c r="I517" t="n">
        <v>37.7</v>
      </c>
      <c r="J517" s="4" t="n">
        <v>7</v>
      </c>
      <c r="K517" t="inlineStr">
        <is>
          <t>1 / 6</t>
        </is>
      </c>
      <c r="L517" t="inlineStr">
        <is>
          <t>1 / 5</t>
        </is>
      </c>
      <c r="M517" s="5" t="n">
        <v>0.14</v>
      </c>
      <c r="N517" s="5" t="n">
        <v>0.17</v>
      </c>
    </row>
    <row r="518">
      <c r="A518" t="n">
        <v>517</v>
      </c>
      <c r="B518" t="n">
        <v>2015</v>
      </c>
      <c r="C518" t="inlineStr">
        <is>
          <t>Cara Tereza Nyakahuma</t>
        </is>
      </c>
      <c r="D518">
        <f>HYPERLINK("https://ota.tournamentsoftware.com/player-profile/AFC2100D-E6CB-4B13-AD01-0EBC56083397", "Link")</f>
        <v/>
      </c>
      <c r="E518" s="3" t="n">
        <v>74.08</v>
      </c>
      <c r="F518" s="4" t="n">
        <v>7</v>
      </c>
      <c r="G518" t="inlineStr">
        <is>
          <t>Ontario Tennis Association</t>
        </is>
      </c>
      <c r="H518" t="inlineStr">
        <is>
          <t>Intercounty Tennis Association</t>
        </is>
      </c>
      <c r="I518" t="inlineStr">
        <is>
          <t>unavailable</t>
        </is>
      </c>
      <c r="J518" s="4" t="n">
        <v>143</v>
      </c>
      <c r="K518" t="inlineStr">
        <is>
          <t>90 / 53</t>
        </is>
      </c>
      <c r="L518" t="inlineStr">
        <is>
          <t>7 / 4</t>
        </is>
      </c>
      <c r="M518" s="5" t="n">
        <v>0.63</v>
      </c>
      <c r="N518" s="5" t="n">
        <v>0.64</v>
      </c>
    </row>
    <row r="519">
      <c r="A519" t="n">
        <v>518</v>
      </c>
      <c r="B519" t="n">
        <v>2017</v>
      </c>
      <c r="C519" t="inlineStr">
        <is>
          <t>Chen Xi Zhou Kong</t>
        </is>
      </c>
      <c r="D519">
        <f>HYPERLINK("https://ota.tournamentsoftware.com/player-profile/E5CD94C9-63F9-419B-A6E9-CCB6DEF8B502", "Link")</f>
        <v/>
      </c>
      <c r="E519" s="3" t="n">
        <v>73.2</v>
      </c>
      <c r="F519" s="4" t="n">
        <v>24</v>
      </c>
      <c r="G519" t="inlineStr">
        <is>
          <t>Tennis Québec</t>
        </is>
      </c>
      <c r="H519" t="inlineStr">
        <is>
          <t>Centre récréatif de Repentigny / Académie Tennis Momentum</t>
        </is>
      </c>
      <c r="I519" t="n">
        <v>36.3</v>
      </c>
      <c r="J519" s="4" t="n">
        <v>123</v>
      </c>
      <c r="K519" t="inlineStr">
        <is>
          <t>58 / 65</t>
        </is>
      </c>
      <c r="L519" t="inlineStr">
        <is>
          <t>41 / 38</t>
        </is>
      </c>
      <c r="M519" s="5" t="n">
        <v>0.47</v>
      </c>
      <c r="N519" s="5" t="n">
        <v>0.52</v>
      </c>
    </row>
    <row r="520">
      <c r="A520" t="n">
        <v>519</v>
      </c>
      <c r="B520" t="n">
        <v>2013</v>
      </c>
      <c r="C520" t="inlineStr">
        <is>
          <t>Lolia Abdrabou</t>
        </is>
      </c>
      <c r="D520">
        <f>HYPERLINK("https://ota.tournamentsoftware.com/player-profile/02101E1E-CCDA-437A-A3E7-8CBDBA76F674", "Link")</f>
        <v/>
      </c>
      <c r="E520" s="3" t="n">
        <v>72.959</v>
      </c>
      <c r="F520" s="4" t="n">
        <v>4</v>
      </c>
      <c r="G520" t="inlineStr">
        <is>
          <t>Tennis Nova Scotia</t>
        </is>
      </c>
      <c r="H520" t="inlineStr">
        <is>
          <t>HEADSTART</t>
        </is>
      </c>
      <c r="I520" t="n">
        <v>35.6</v>
      </c>
      <c r="J520" s="4" t="n">
        <v>22</v>
      </c>
      <c r="K520" t="inlineStr">
        <is>
          <t>13 / 9</t>
        </is>
      </c>
      <c r="L520" t="inlineStr">
        <is>
          <t>2 / 4</t>
        </is>
      </c>
      <c r="M520" s="5" t="n">
        <v>0.59</v>
      </c>
      <c r="N520" s="5" t="n">
        <v>0.33</v>
      </c>
    </row>
    <row r="521">
      <c r="A521" t="n">
        <v>520</v>
      </c>
      <c r="B521" t="n">
        <v>2013</v>
      </c>
      <c r="C521" t="inlineStr">
        <is>
          <t>Emma Victoria Chan</t>
        </is>
      </c>
      <c r="D521">
        <f>HYPERLINK("https://ota.tournamentsoftware.com/player-profile/29822B25-6004-4E31-822F-CF8FF1CD9AB7", "Link")</f>
        <v/>
      </c>
      <c r="E521" s="3" t="n">
        <v>71.83199999999999</v>
      </c>
      <c r="F521" s="4" t="n">
        <v>7</v>
      </c>
      <c r="G521" t="inlineStr">
        <is>
          <t>Ontario Tennis Association</t>
        </is>
      </c>
      <c r="H521" t="inlineStr">
        <is>
          <t>Joshua Creek Golf &amp; Tennis</t>
        </is>
      </c>
      <c r="I521" t="n">
        <v>36.5</v>
      </c>
      <c r="J521" s="4" t="n">
        <v>64</v>
      </c>
      <c r="K521" t="inlineStr">
        <is>
          <t>40 / 24</t>
        </is>
      </c>
      <c r="L521" t="inlineStr">
        <is>
          <t>12 / 4</t>
        </is>
      </c>
      <c r="M521" s="5" t="n">
        <v>0.62</v>
      </c>
      <c r="N521" s="5" t="n">
        <v>0.75</v>
      </c>
    </row>
    <row r="522">
      <c r="A522" t="n">
        <v>521</v>
      </c>
      <c r="B522" t="n">
        <v>2015</v>
      </c>
      <c r="C522" t="inlineStr">
        <is>
          <t>Ella Bloom Chulak</t>
        </is>
      </c>
      <c r="D522">
        <f>HYPERLINK("https://ota.tournamentsoftware.com/player-profile/3DBBE08D-DBAA-43E3-BCD3-2820667C7A24", "Link")</f>
        <v/>
      </c>
      <c r="E522" s="3" t="n">
        <v>71.8</v>
      </c>
      <c r="F522" s="4" t="n">
        <v>13</v>
      </c>
      <c r="G522" t="inlineStr">
        <is>
          <t>Ontario Tennis Association</t>
        </is>
      </c>
      <c r="H522" t="inlineStr">
        <is>
          <t>Richmondhill Golf &amp; Country Club</t>
        </is>
      </c>
      <c r="I522" t="n">
        <v>35.8</v>
      </c>
      <c r="J522" s="4" t="n">
        <v>89</v>
      </c>
      <c r="K522" t="inlineStr">
        <is>
          <t>36 / 53</t>
        </is>
      </c>
      <c r="L522" t="inlineStr">
        <is>
          <t>12 / 11</t>
        </is>
      </c>
      <c r="M522" s="5" t="n">
        <v>0.4</v>
      </c>
      <c r="N522" s="5" t="n">
        <v>0.52</v>
      </c>
    </row>
    <row r="523">
      <c r="A523" t="n">
        <v>522</v>
      </c>
      <c r="B523" t="n">
        <v>2013</v>
      </c>
      <c r="C523" t="inlineStr">
        <is>
          <t>Camélia Duong</t>
        </is>
      </c>
      <c r="D523">
        <f>HYPERLINK("https://ota.tournamentsoftware.com/player-profile/86B52BC3-1BF6-4334-8E35-8F6D2AF1C95B", "Link")</f>
        <v/>
      </c>
      <c r="E523" s="3" t="n">
        <v>71.342</v>
      </c>
      <c r="F523" s="4" t="n">
        <v>10</v>
      </c>
      <c r="G523" t="inlineStr">
        <is>
          <t>Tennis Québec</t>
        </is>
      </c>
      <c r="H523" t="inlineStr">
        <is>
          <t>Tennis Ile- des- Soeurs</t>
        </is>
      </c>
      <c r="I523" t="n">
        <v>37.4</v>
      </c>
      <c r="J523" s="4" t="n">
        <v>63</v>
      </c>
      <c r="K523" t="inlineStr">
        <is>
          <t>10 / 53</t>
        </is>
      </c>
      <c r="L523" t="inlineStr">
        <is>
          <t>2 / 7</t>
        </is>
      </c>
      <c r="M523" s="5" t="n">
        <v>0.16</v>
      </c>
      <c r="N523" s="5" t="n">
        <v>0.22</v>
      </c>
    </row>
    <row r="524">
      <c r="A524" t="n">
        <v>523</v>
      </c>
      <c r="B524" t="n">
        <v>2016</v>
      </c>
      <c r="C524" t="inlineStr">
        <is>
          <t>Anne Cherednychenko</t>
        </is>
      </c>
      <c r="D524">
        <f>HYPERLINK("https://ota.tournamentsoftware.com/player-profile/8FB2FF81-D0FE-4491-B99E-18BAAFE1E3CD", "Link")</f>
        <v/>
      </c>
      <c r="E524" s="3" t="n">
        <v>71.066</v>
      </c>
      <c r="F524" s="4" t="n">
        <v>10</v>
      </c>
      <c r="G524" t="inlineStr">
        <is>
          <t>Tennis Québec</t>
        </is>
      </c>
      <c r="H524" t="inlineStr">
        <is>
          <t>No Club</t>
        </is>
      </c>
      <c r="I524" t="n">
        <v>35</v>
      </c>
      <c r="J524" s="4" t="n">
        <v>66</v>
      </c>
      <c r="K524" t="inlineStr">
        <is>
          <t>40 / 26</t>
        </is>
      </c>
      <c r="L524" t="inlineStr">
        <is>
          <t>16 / 12</t>
        </is>
      </c>
      <c r="M524" s="5" t="n">
        <v>0.61</v>
      </c>
      <c r="N524" s="5" t="n">
        <v>0.57</v>
      </c>
    </row>
    <row r="525">
      <c r="A525" t="n">
        <v>524</v>
      </c>
      <c r="B525" t="n">
        <v>2016</v>
      </c>
      <c r="C525" t="inlineStr">
        <is>
          <t>Grace SHI</t>
        </is>
      </c>
      <c r="D525">
        <f>HYPERLINK("https://ota.tournamentsoftware.com/player-profile/71A1D6E1-33D1-46A0-AF21-F397AE1BA314", "Link")</f>
        <v/>
      </c>
      <c r="E525" s="3" t="n">
        <v>70.416</v>
      </c>
      <c r="F525" s="4" t="n">
        <v>10</v>
      </c>
      <c r="G525" t="inlineStr">
        <is>
          <t>British Columbia</t>
        </is>
      </c>
      <c r="H525" t="inlineStr">
        <is>
          <t>No Club</t>
        </is>
      </c>
      <c r="I525" t="n">
        <v>38.5</v>
      </c>
      <c r="J525" s="4" t="n">
        <v>48</v>
      </c>
      <c r="K525" t="inlineStr">
        <is>
          <t>16 / 32</t>
        </is>
      </c>
      <c r="L525" t="inlineStr">
        <is>
          <t>9 / 13</t>
        </is>
      </c>
      <c r="M525" s="5" t="n">
        <v>0.33</v>
      </c>
      <c r="N525" s="5" t="n">
        <v>0.41</v>
      </c>
    </row>
    <row r="526">
      <c r="A526" t="n">
        <v>525</v>
      </c>
      <c r="B526" t="n">
        <v>2015</v>
      </c>
      <c r="C526" t="inlineStr">
        <is>
          <t>Myra Shukla</t>
        </is>
      </c>
      <c r="D526">
        <f>HYPERLINK("https://ota.tournamentsoftware.com/player-profile/2F4B1A1D-35AC-45A0-9F5D-6D5533376D9A", "Link")</f>
        <v/>
      </c>
      <c r="E526" s="3" t="n">
        <v>70.126</v>
      </c>
      <c r="F526" s="4" t="n">
        <v>8</v>
      </c>
      <c r="G526" t="inlineStr">
        <is>
          <t>Ontario Tennis Association</t>
        </is>
      </c>
      <c r="H526" t="inlineStr">
        <is>
          <t>Veneto Tennis Club</t>
        </is>
      </c>
      <c r="I526" t="n">
        <v>38.1</v>
      </c>
      <c r="J526" s="4" t="n">
        <v>83</v>
      </c>
      <c r="K526" t="inlineStr">
        <is>
          <t>34 / 49</t>
        </is>
      </c>
      <c r="L526" t="inlineStr">
        <is>
          <t>1 / 6</t>
        </is>
      </c>
      <c r="M526" s="5" t="n">
        <v>0.41</v>
      </c>
      <c r="N526" s="5" t="n">
        <v>0.14</v>
      </c>
    </row>
    <row r="527">
      <c r="A527" t="n">
        <v>526</v>
      </c>
      <c r="B527" t="n">
        <v>2013</v>
      </c>
      <c r="C527" t="inlineStr">
        <is>
          <t>Lydia Squires-Sturge</t>
        </is>
      </c>
      <c r="D527">
        <f>HYPERLINK("https://ota.tournamentsoftware.com/player-profile/AD6D5BEF-6293-4DE8-BF13-52E1A33EF28B", "Link")</f>
        <v/>
      </c>
      <c r="E527" s="3" t="n">
        <v>69.855</v>
      </c>
      <c r="F527" s="4" t="n">
        <v>5</v>
      </c>
      <c r="G527" t="inlineStr">
        <is>
          <t>Tennis Newfoundland &amp; Labrador</t>
        </is>
      </c>
      <c r="H527" t="inlineStr">
        <is>
          <t>Mount Pearl Tennis Club</t>
        </is>
      </c>
      <c r="I527" t="inlineStr">
        <is>
          <t>unavailable</t>
        </is>
      </c>
      <c r="J527" s="4" t="n">
        <v>25</v>
      </c>
      <c r="K527" t="inlineStr">
        <is>
          <t>8 / 17</t>
        </is>
      </c>
      <c r="L527" t="inlineStr">
        <is>
          <t>1 / 5</t>
        </is>
      </c>
      <c r="M527" s="5" t="n">
        <v>0.32</v>
      </c>
      <c r="N527" s="5" t="n">
        <v>0.17</v>
      </c>
    </row>
    <row r="528">
      <c r="A528" t="n">
        <v>527</v>
      </c>
      <c r="B528" t="n">
        <v>2013</v>
      </c>
      <c r="C528" t="inlineStr">
        <is>
          <t>Lilya Youssef</t>
        </is>
      </c>
      <c r="D528">
        <f>HYPERLINK("https://ota.tournamentsoftware.com/player-profile/E4A52F0A-7400-4236-ACEF-6680D7FB1262", "Link")</f>
        <v/>
      </c>
      <c r="E528" s="3" t="n">
        <v>69.61</v>
      </c>
      <c r="F528" s="4" t="n">
        <v>3</v>
      </c>
      <c r="G528" t="inlineStr">
        <is>
          <t>Tennis Québec</t>
        </is>
      </c>
      <c r="H528" t="inlineStr">
        <is>
          <t>Tennis 13</t>
        </is>
      </c>
      <c r="I528" t="inlineStr">
        <is>
          <t>unavailable</t>
        </is>
      </c>
      <c r="J528" s="4" t="n">
        <v>10</v>
      </c>
      <c r="K528" t="inlineStr">
        <is>
          <t>5 / 5</t>
        </is>
      </c>
      <c r="L528" t="inlineStr">
        <is>
          <t>5 / 5</t>
        </is>
      </c>
      <c r="M528" s="5" t="n">
        <v>0.5</v>
      </c>
      <c r="N528" s="5" t="n">
        <v>0.5</v>
      </c>
    </row>
    <row r="529">
      <c r="A529" t="n">
        <v>528</v>
      </c>
      <c r="B529" t="n">
        <v>2015</v>
      </c>
      <c r="C529" t="inlineStr">
        <is>
          <t>Mataya Victoria Jan</t>
        </is>
      </c>
      <c r="D529">
        <f>HYPERLINK("https://ota.tournamentsoftware.com/player-profile/52A288CA-2524-4398-A498-9546CE531A78", "Link")</f>
        <v/>
      </c>
      <c r="E529" s="3" t="n">
        <v>69.43600000000001</v>
      </c>
      <c r="F529" s="4" t="n">
        <v>10</v>
      </c>
      <c r="G529" t="inlineStr">
        <is>
          <t>Ontario Tennis Association</t>
        </is>
      </c>
      <c r="H529" t="inlineStr">
        <is>
          <t>Tennis Centre West Ottawa</t>
        </is>
      </c>
      <c r="I529" t="n">
        <v>38</v>
      </c>
      <c r="J529" s="4" t="n">
        <v>17</v>
      </c>
      <c r="K529" t="inlineStr">
        <is>
          <t>1 / 16</t>
        </is>
      </c>
      <c r="L529" t="inlineStr">
        <is>
          <t>1 / 11</t>
        </is>
      </c>
      <c r="M529" s="5" t="n">
        <v>0.06</v>
      </c>
      <c r="N529" s="5" t="n">
        <v>0.08</v>
      </c>
    </row>
    <row r="530">
      <c r="A530" t="n">
        <v>529</v>
      </c>
      <c r="B530" t="n">
        <v>2015</v>
      </c>
      <c r="C530" t="inlineStr">
        <is>
          <t>Emilia Ho</t>
        </is>
      </c>
      <c r="D530">
        <f>HYPERLINK("https://ota.tournamentsoftware.com/player-profile/91D4EC27-5C11-4119-B45C-F3809BFF1CF1", "Link")</f>
        <v/>
      </c>
      <c r="E530" s="3" t="n">
        <v>69.21299999999999</v>
      </c>
      <c r="F530" s="4" t="n">
        <v>17</v>
      </c>
      <c r="G530" t="inlineStr">
        <is>
          <t>Tennis Alberta</t>
        </is>
      </c>
      <c r="H530" t="inlineStr">
        <is>
          <t>Osten &amp; Victor Alberta Tennis Centre</t>
        </is>
      </c>
      <c r="I530" t="n">
        <v>34.6</v>
      </c>
      <c r="J530" s="4" t="n">
        <v>135</v>
      </c>
      <c r="K530" t="inlineStr">
        <is>
          <t>70 / 65</t>
        </is>
      </c>
      <c r="L530" t="inlineStr">
        <is>
          <t>16 / 17</t>
        </is>
      </c>
      <c r="M530" s="5" t="n">
        <v>0.52</v>
      </c>
      <c r="N530" s="5" t="n">
        <v>0.48</v>
      </c>
    </row>
    <row r="531">
      <c r="A531" t="n">
        <v>530</v>
      </c>
      <c r="B531" t="n">
        <v>2014</v>
      </c>
      <c r="C531" t="inlineStr">
        <is>
          <t>Alexis Sokol</t>
        </is>
      </c>
      <c r="D531">
        <f>HYPERLINK("https://ota.tournamentsoftware.com/player-profile/8337D953-FBB9-45F2-B72A-FF18B572FA6A", "Link")</f>
        <v/>
      </c>
      <c r="E531" s="3" t="n">
        <v>68.806</v>
      </c>
      <c r="F531" s="4" t="n">
        <v>9</v>
      </c>
      <c r="G531" t="inlineStr">
        <is>
          <t>Tennis Alberta</t>
        </is>
      </c>
      <c r="H531" t="inlineStr">
        <is>
          <t>Saville Community Sports Centre</t>
        </is>
      </c>
      <c r="I531" t="n">
        <v>36.5</v>
      </c>
      <c r="J531" s="4" t="n">
        <v>21</v>
      </c>
      <c r="K531" t="inlineStr">
        <is>
          <t>8 / 13</t>
        </is>
      </c>
      <c r="L531" t="inlineStr">
        <is>
          <t>6 / 9</t>
        </is>
      </c>
      <c r="M531" s="5" t="n">
        <v>0.38</v>
      </c>
      <c r="N531" s="5" t="n">
        <v>0.4</v>
      </c>
    </row>
    <row r="532">
      <c r="A532" t="n">
        <v>531</v>
      </c>
      <c r="B532" t="n">
        <v>2014</v>
      </c>
      <c r="C532" t="inlineStr">
        <is>
          <t>Kaitlynn Xie</t>
        </is>
      </c>
      <c r="D532">
        <f>HYPERLINK("https://ota.tournamentsoftware.com/player-profile/25655CF4-99DC-4E1E-BE40-C11FF6785117", "Link")</f>
        <v/>
      </c>
      <c r="E532" s="3" t="n">
        <v>68.715</v>
      </c>
      <c r="F532" s="4" t="n">
        <v>8</v>
      </c>
      <c r="G532" t="inlineStr">
        <is>
          <t>Tennis Alberta</t>
        </is>
      </c>
      <c r="H532" t="inlineStr">
        <is>
          <t>Saville Community Sports Centre</t>
        </is>
      </c>
      <c r="I532" t="n">
        <v>34.2</v>
      </c>
      <c r="J532" s="4" t="n">
        <v>57</v>
      </c>
      <c r="K532" t="inlineStr">
        <is>
          <t>19 / 38</t>
        </is>
      </c>
      <c r="L532" t="inlineStr">
        <is>
          <t>7 / 12</t>
        </is>
      </c>
      <c r="M532" s="5" t="n">
        <v>0.33</v>
      </c>
      <c r="N532" s="5" t="n">
        <v>0.37</v>
      </c>
    </row>
    <row r="533">
      <c r="A533" t="n">
        <v>532</v>
      </c>
      <c r="B533" t="n">
        <v>2014</v>
      </c>
      <c r="C533" t="inlineStr">
        <is>
          <t>Hui-Xin Chen</t>
        </is>
      </c>
      <c r="D533">
        <f>HYPERLINK("https://ota.tournamentsoftware.com/player-profile/755E1358-E624-498A-A129-DA058D259A1E", "Link")</f>
        <v/>
      </c>
      <c r="E533" s="3" t="n">
        <v>67.884</v>
      </c>
      <c r="F533" s="4" t="n">
        <v>12</v>
      </c>
      <c r="G533" t="inlineStr">
        <is>
          <t>British Columbia</t>
        </is>
      </c>
      <c r="H533" t="inlineStr">
        <is>
          <t>No Club</t>
        </is>
      </c>
      <c r="I533" t="inlineStr">
        <is>
          <t>unavailable</t>
        </is>
      </c>
      <c r="J533" s="4" t="n">
        <v>108</v>
      </c>
      <c r="K533" t="inlineStr">
        <is>
          <t>37 / 71</t>
        </is>
      </c>
      <c r="L533" t="inlineStr">
        <is>
          <t>14 / 14</t>
        </is>
      </c>
      <c r="M533" s="5" t="n">
        <v>0.34</v>
      </c>
      <c r="N533" s="5" t="n">
        <v>0.5</v>
      </c>
    </row>
    <row r="534">
      <c r="A534" t="n">
        <v>533</v>
      </c>
      <c r="B534" t="n">
        <v>2014</v>
      </c>
      <c r="C534" t="inlineStr">
        <is>
          <t>Mioara Oulima Bouyela</t>
        </is>
      </c>
      <c r="D534">
        <f>HYPERLINK("https://ota.tournamentsoftware.com/player-profile/44DDF62F-2675-4E36-B215-8515347ABD9E", "Link")</f>
        <v/>
      </c>
      <c r="E534" s="3" t="n">
        <v>67.357</v>
      </c>
      <c r="F534" s="4" t="n">
        <v>12</v>
      </c>
      <c r="G534" t="inlineStr">
        <is>
          <t>Tennis Québec</t>
        </is>
      </c>
      <c r="H534" t="inlineStr">
        <is>
          <t>Tennis 13</t>
        </is>
      </c>
      <c r="I534" t="n">
        <v>38</v>
      </c>
      <c r="J534" s="4" t="n">
        <v>81</v>
      </c>
      <c r="K534" t="inlineStr">
        <is>
          <t>33 / 48</t>
        </is>
      </c>
      <c r="L534" t="inlineStr">
        <is>
          <t>9 / 12</t>
        </is>
      </c>
      <c r="M534" s="5" t="n">
        <v>0.41</v>
      </c>
      <c r="N534" s="5" t="n">
        <v>0.43</v>
      </c>
    </row>
    <row r="535">
      <c r="A535" t="n">
        <v>534</v>
      </c>
      <c r="B535" t="n">
        <v>2014</v>
      </c>
      <c r="C535" t="inlineStr">
        <is>
          <t>Melissa Elena Rusu</t>
        </is>
      </c>
      <c r="D535">
        <f>HYPERLINK("https://ota.tournamentsoftware.com/player-profile/9F55033D-1DF5-465D-A3A2-401E58DF9FEB", "Link")</f>
        <v/>
      </c>
      <c r="E535" s="3" t="n">
        <v>67.018</v>
      </c>
      <c r="F535" s="4" t="n">
        <v>17</v>
      </c>
      <c r="G535" t="inlineStr">
        <is>
          <t>Tennis Québec</t>
        </is>
      </c>
      <c r="H535" t="inlineStr">
        <is>
          <t>Carrefour Multisports - Haute Performance</t>
        </is>
      </c>
      <c r="I535" t="n">
        <v>37.6</v>
      </c>
      <c r="J535" s="4" t="n">
        <v>58</v>
      </c>
      <c r="K535" t="inlineStr">
        <is>
          <t>19 / 39</t>
        </is>
      </c>
      <c r="L535" t="inlineStr">
        <is>
          <t>4 / 16</t>
        </is>
      </c>
      <c r="M535" s="5" t="n">
        <v>0.33</v>
      </c>
      <c r="N535" s="5" t="n">
        <v>0.2</v>
      </c>
    </row>
    <row r="536">
      <c r="A536" t="n">
        <v>535</v>
      </c>
      <c r="B536" t="n">
        <v>2012</v>
      </c>
      <c r="C536" t="inlineStr">
        <is>
          <t>Daisy Brown</t>
        </is>
      </c>
      <c r="D536">
        <f>HYPERLINK("https://ota.tournamentsoftware.com/player-profile/9CF1A8A4-6BA5-46C8-92F4-3E802A738811", "Link")</f>
        <v/>
      </c>
      <c r="E536" s="3" t="n">
        <v>66.79900000000001</v>
      </c>
      <c r="F536" s="4" t="n">
        <v>5</v>
      </c>
      <c r="G536" t="inlineStr">
        <is>
          <t>British Columbia</t>
        </is>
      </c>
      <c r="H536" t="inlineStr">
        <is>
          <t>Oak Bay Recreation Centre</t>
        </is>
      </c>
      <c r="I536" t="n">
        <v>35.7</v>
      </c>
      <c r="J536" s="4" t="n">
        <v>62</v>
      </c>
      <c r="K536" t="inlineStr">
        <is>
          <t>34 / 28</t>
        </is>
      </c>
      <c r="L536" t="inlineStr">
        <is>
          <t>4 / 6</t>
        </is>
      </c>
      <c r="M536" s="5" t="n">
        <v>0.55</v>
      </c>
      <c r="N536" s="5" t="n">
        <v>0.4</v>
      </c>
    </row>
    <row r="537">
      <c r="A537" t="n">
        <v>536</v>
      </c>
      <c r="B537" t="n">
        <v>2014</v>
      </c>
      <c r="C537" t="inlineStr">
        <is>
          <t>Gabriella Geronimo</t>
        </is>
      </c>
      <c r="D537">
        <f>HYPERLINK("https://ota.tournamentsoftware.com/player-profile/E075895A-C22F-4FDB-9A95-CCD353169906", "Link")</f>
        <v/>
      </c>
      <c r="E537" s="3" t="n">
        <v>66.63200000000001</v>
      </c>
      <c r="F537" s="4" t="n">
        <v>5</v>
      </c>
      <c r="G537" t="inlineStr">
        <is>
          <t>Ontario Tennis Association</t>
        </is>
      </c>
      <c r="H537" t="inlineStr">
        <is>
          <t>Albion Gardens Tennis Club</t>
        </is>
      </c>
      <c r="I537" t="n">
        <v>33.9</v>
      </c>
      <c r="J537" s="4" t="n">
        <v>200</v>
      </c>
      <c r="K537" t="inlineStr">
        <is>
          <t>113 / 87</t>
        </is>
      </c>
      <c r="L537" t="inlineStr">
        <is>
          <t>5 / 1</t>
        </is>
      </c>
      <c r="M537" s="5" t="n">
        <v>0.5600000000000001</v>
      </c>
      <c r="N537" s="5" t="n">
        <v>0.83</v>
      </c>
    </row>
    <row r="538">
      <c r="A538" t="n">
        <v>537</v>
      </c>
      <c r="B538" t="n">
        <v>2016</v>
      </c>
      <c r="C538" t="inlineStr">
        <is>
          <t>Lily Chen</t>
        </is>
      </c>
      <c r="D538">
        <f>HYPERLINK("https://ota.tournamentsoftware.com/player-profile/A6A0EB19-7DDD-4B25-B81C-FCA911081AB5", "Link")</f>
        <v/>
      </c>
      <c r="E538" s="3" t="n">
        <v>66.55200000000001</v>
      </c>
      <c r="F538" s="4" t="n">
        <v>17</v>
      </c>
      <c r="G538" t="inlineStr">
        <is>
          <t>British Columbia</t>
        </is>
      </c>
      <c r="H538" t="inlineStr">
        <is>
          <t>No Club</t>
        </is>
      </c>
      <c r="I538" t="n">
        <v>35</v>
      </c>
      <c r="J538" s="4" t="n">
        <v>107</v>
      </c>
      <c r="K538" t="inlineStr">
        <is>
          <t>41 / 66</t>
        </is>
      </c>
      <c r="L538" t="inlineStr">
        <is>
          <t>14 / 23</t>
        </is>
      </c>
      <c r="M538" s="5" t="n">
        <v>0.38</v>
      </c>
      <c r="N538" s="5" t="n">
        <v>0.38</v>
      </c>
    </row>
    <row r="539">
      <c r="A539" t="n">
        <v>538</v>
      </c>
      <c r="B539" t="n">
        <v>2015</v>
      </c>
      <c r="C539" t="inlineStr">
        <is>
          <t>Brielle Ramirez Balos</t>
        </is>
      </c>
      <c r="D539">
        <f>HYPERLINK("https://ota.tournamentsoftware.com/player-profile/2F36BC35-A108-44F9-B705-6F2246749033", "Link")</f>
        <v/>
      </c>
      <c r="E539" s="3" t="n">
        <v>66.29000000000001</v>
      </c>
      <c r="F539" s="4" t="n">
        <v>9</v>
      </c>
      <c r="G539" t="inlineStr">
        <is>
          <t>Tennis Alberta</t>
        </is>
      </c>
      <c r="H539" t="inlineStr">
        <is>
          <t>Saville Community Sports Centre</t>
        </is>
      </c>
      <c r="I539" t="inlineStr">
        <is>
          <t>unavailable</t>
        </is>
      </c>
      <c r="J539" s="4" t="n">
        <v>65</v>
      </c>
      <c r="K539" t="inlineStr">
        <is>
          <t>37 / 28</t>
        </is>
      </c>
      <c r="L539" t="inlineStr">
        <is>
          <t>15 / 9</t>
        </is>
      </c>
      <c r="M539" s="5" t="n">
        <v>0.57</v>
      </c>
      <c r="N539" s="5" t="n">
        <v>0.62</v>
      </c>
    </row>
    <row r="540">
      <c r="A540" t="n">
        <v>539</v>
      </c>
      <c r="B540" t="n">
        <v>2014</v>
      </c>
      <c r="C540" t="inlineStr">
        <is>
          <t>Sareen Kaur Hehar</t>
        </is>
      </c>
      <c r="D540">
        <f>HYPERLINK("https://ota.tournamentsoftware.com/player-profile/07D185FB-AE5B-444B-BAE8-058B536108E2", "Link")</f>
        <v/>
      </c>
      <c r="E540" s="3" t="n">
        <v>66.22499999999999</v>
      </c>
      <c r="F540" s="4" t="n">
        <v>12</v>
      </c>
      <c r="G540" t="inlineStr">
        <is>
          <t>British Columbia</t>
        </is>
      </c>
      <c r="H540" t="inlineStr">
        <is>
          <t>No Club</t>
        </is>
      </c>
      <c r="I540" t="n">
        <v>35.7</v>
      </c>
      <c r="J540" s="4" t="n">
        <v>197</v>
      </c>
      <c r="K540" t="inlineStr">
        <is>
          <t>75 / 122</t>
        </is>
      </c>
      <c r="L540" t="inlineStr">
        <is>
          <t>5 / 10</t>
        </is>
      </c>
      <c r="M540" s="5" t="n">
        <v>0.38</v>
      </c>
      <c r="N540" s="5" t="n">
        <v>0.33</v>
      </c>
    </row>
    <row r="541">
      <c r="A541" t="n">
        <v>540</v>
      </c>
      <c r="B541" t="n">
        <v>2016</v>
      </c>
      <c r="C541" t="inlineStr">
        <is>
          <t>Evelyn May</t>
        </is>
      </c>
      <c r="D541">
        <f>HYPERLINK("https://ota.tournamentsoftware.com/player-profile/ABFB9C06-ABE9-4B21-BF57-67179CC1CD5D", "Link")</f>
        <v/>
      </c>
      <c r="E541" s="3" t="n">
        <v>65.914</v>
      </c>
      <c r="F541" s="4" t="n">
        <v>13</v>
      </c>
      <c r="G541" t="inlineStr">
        <is>
          <t>Tennis Québec</t>
        </is>
      </c>
      <c r="H541" t="inlineStr">
        <is>
          <t>Tennis 13 / Académie Ménard et associé</t>
        </is>
      </c>
      <c r="I541" t="n">
        <v>33.6</v>
      </c>
      <c r="J541" s="4" t="n">
        <v>181</v>
      </c>
      <c r="K541" t="inlineStr">
        <is>
          <t>112 / 69</t>
        </is>
      </c>
      <c r="L541" t="inlineStr">
        <is>
          <t>15 / 13</t>
        </is>
      </c>
      <c r="M541" s="5" t="n">
        <v>0.62</v>
      </c>
      <c r="N541" s="5" t="n">
        <v>0.54</v>
      </c>
    </row>
    <row r="542">
      <c r="A542" t="n">
        <v>541</v>
      </c>
      <c r="B542" t="n">
        <v>2012</v>
      </c>
      <c r="C542" t="inlineStr">
        <is>
          <t>Diya Anand</t>
        </is>
      </c>
      <c r="D542">
        <f>HYPERLINK("https://ota.tournamentsoftware.com/player-profile/3939C1EF-E95B-4DD4-9208-81F6E4D5387F", "Link")</f>
        <v/>
      </c>
      <c r="E542" s="3" t="n">
        <v>65.70999999999999</v>
      </c>
      <c r="F542" s="4" t="n">
        <v>5</v>
      </c>
      <c r="G542" t="inlineStr">
        <is>
          <t>Ontario Tennis Association</t>
        </is>
      </c>
      <c r="H542" t="inlineStr">
        <is>
          <t>Rosedale Tennis Club (Hamilton)</t>
        </is>
      </c>
      <c r="I542" t="inlineStr">
        <is>
          <t>unavailable</t>
        </is>
      </c>
      <c r="J542" s="4" t="n">
        <v>20</v>
      </c>
      <c r="K542" t="inlineStr">
        <is>
          <t>4 / 16</t>
        </is>
      </c>
      <c r="L542" t="inlineStr">
        <is>
          <t>1 / 6</t>
        </is>
      </c>
      <c r="M542" s="5" t="n">
        <v>0.2</v>
      </c>
      <c r="N542" s="5" t="n">
        <v>0.14</v>
      </c>
    </row>
    <row r="543">
      <c r="A543" t="n">
        <v>542</v>
      </c>
      <c r="B543" t="n">
        <v>2014</v>
      </c>
      <c r="C543" t="inlineStr">
        <is>
          <t>Victoria Guiral</t>
        </is>
      </c>
      <c r="D543">
        <f>HYPERLINK("https://ota.tournamentsoftware.com/player-profile/1DC3BD6C-A3EA-46CB-A6B3-CB5D3D2F1E7D", "Link")</f>
        <v/>
      </c>
      <c r="E543" s="3" t="n">
        <v>65.601</v>
      </c>
      <c r="F543" s="4" t="n">
        <v>6</v>
      </c>
      <c r="G543" t="inlineStr">
        <is>
          <t>Tennis Québec</t>
        </is>
      </c>
      <c r="H543" t="inlineStr">
        <is>
          <t>Tennis Interclub Piedmont</t>
        </is>
      </c>
      <c r="I543" t="n">
        <v>38.7</v>
      </c>
      <c r="J543" s="4" t="n">
        <v>22</v>
      </c>
      <c r="K543" t="inlineStr">
        <is>
          <t>6 / 16</t>
        </is>
      </c>
      <c r="L543" t="inlineStr">
        <is>
          <t>1 / 9</t>
        </is>
      </c>
      <c r="M543" s="5" t="n">
        <v>0.27</v>
      </c>
      <c r="N543" s="5" t="n">
        <v>0.1</v>
      </c>
    </row>
    <row r="544">
      <c r="A544" t="n">
        <v>543</v>
      </c>
      <c r="B544" t="n">
        <v>2013</v>
      </c>
      <c r="C544" t="inlineStr">
        <is>
          <t>Robyn Abigail Allen</t>
        </is>
      </c>
      <c r="D544">
        <f>HYPERLINK("https://ota.tournamentsoftware.com/player-profile/248A3F67-26CE-43CB-A1BB-A426F8AC9211", "Link")</f>
        <v/>
      </c>
      <c r="E544" s="3" t="n">
        <v>65.42700000000001</v>
      </c>
      <c r="F544" s="4" t="n">
        <v>4</v>
      </c>
      <c r="G544" t="inlineStr">
        <is>
          <t>Ontario Tennis Association</t>
        </is>
      </c>
      <c r="H544" t="inlineStr">
        <is>
          <t>Waterloo Tennis Club</t>
        </is>
      </c>
      <c r="I544" t="inlineStr">
        <is>
          <t>unavailable</t>
        </is>
      </c>
      <c r="J544" s="4" t="n">
        <v>24</v>
      </c>
      <c r="K544" t="inlineStr">
        <is>
          <t>5 / 19</t>
        </is>
      </c>
      <c r="L544" t="inlineStr">
        <is>
          <t>2 / 12</t>
        </is>
      </c>
      <c r="M544" s="5" t="n">
        <v>0.21</v>
      </c>
      <c r="N544" s="5" t="n">
        <v>0.14</v>
      </c>
    </row>
    <row r="545">
      <c r="A545" t="n">
        <v>544</v>
      </c>
      <c r="B545" t="n">
        <v>2013</v>
      </c>
      <c r="C545" t="inlineStr">
        <is>
          <t>Vina BLANCHARD</t>
        </is>
      </c>
      <c r="D545">
        <f>HYPERLINK("https://ota.tournamentsoftware.com/player-profile/B5AD0E2A-4843-4177-AD96-5A3203B5C718", "Link")</f>
        <v/>
      </c>
      <c r="E545" s="3" t="n">
        <v>65.05200000000001</v>
      </c>
      <c r="F545" s="4" t="n">
        <v>7</v>
      </c>
      <c r="G545" t="inlineStr">
        <is>
          <t>Ontario Tennis Association</t>
        </is>
      </c>
      <c r="H545" t="inlineStr">
        <is>
          <t>Ontario Racquet Club</t>
        </is>
      </c>
      <c r="I545" t="inlineStr">
        <is>
          <t>unavailable</t>
        </is>
      </c>
      <c r="J545" s="4" t="n">
        <v>27</v>
      </c>
      <c r="K545" t="inlineStr">
        <is>
          <t>12 / 15</t>
        </is>
      </c>
      <c r="L545" t="inlineStr">
        <is>
          <t>3 / 9</t>
        </is>
      </c>
      <c r="M545" s="5" t="n">
        <v>0.44</v>
      </c>
      <c r="N545" s="5" t="n">
        <v>0.25</v>
      </c>
    </row>
    <row r="546">
      <c r="A546" t="n">
        <v>545</v>
      </c>
      <c r="B546" t="n">
        <v>2013</v>
      </c>
      <c r="C546" t="inlineStr">
        <is>
          <t>Mengge(Maya) Xu</t>
        </is>
      </c>
      <c r="D546">
        <f>HYPERLINK("https://ota.tournamentsoftware.com/player-profile/9CD6D408-1A72-4E0B-A9C9-DD675B785873", "Link")</f>
        <v/>
      </c>
      <c r="E546" s="3" t="n">
        <v>64.883</v>
      </c>
      <c r="F546" s="4" t="n">
        <v>7</v>
      </c>
      <c r="G546" t="inlineStr">
        <is>
          <t>Ontario Tennis Association</t>
        </is>
      </c>
      <c r="H546" t="inlineStr">
        <is>
          <t>Markham Tennis Club</t>
        </is>
      </c>
      <c r="I546" t="n">
        <v>38.7</v>
      </c>
      <c r="J546" s="4" t="n">
        <v>33</v>
      </c>
      <c r="K546" t="inlineStr">
        <is>
          <t>11 / 22</t>
        </is>
      </c>
      <c r="L546" t="inlineStr">
        <is>
          <t>6 / 10</t>
        </is>
      </c>
      <c r="M546" s="5" t="n">
        <v>0.33</v>
      </c>
      <c r="N546" s="5" t="n">
        <v>0.38</v>
      </c>
    </row>
    <row r="547">
      <c r="A547" t="n">
        <v>546</v>
      </c>
      <c r="B547" t="n">
        <v>2015</v>
      </c>
      <c r="C547" t="inlineStr">
        <is>
          <t>Alexandria Gianvito</t>
        </is>
      </c>
      <c r="D547">
        <f>HYPERLINK("https://ota.tournamentsoftware.com/player-profile/4A4D327B-3019-4349-8F36-0769D584A4FA", "Link")</f>
        <v/>
      </c>
      <c r="E547" s="3" t="n">
        <v>64.84999999999999</v>
      </c>
      <c r="F547" s="4" t="n">
        <v>6</v>
      </c>
      <c r="G547" t="inlineStr">
        <is>
          <t>Tennis Québec</t>
        </is>
      </c>
      <c r="H547" t="inlineStr">
        <is>
          <t>No Club</t>
        </is>
      </c>
      <c r="I547" t="inlineStr">
        <is>
          <t>unavailable</t>
        </is>
      </c>
      <c r="J547" s="4" t="n">
        <v>50</v>
      </c>
      <c r="K547" t="inlineStr">
        <is>
          <t>13 / 37</t>
        </is>
      </c>
      <c r="L547" t="inlineStr">
        <is>
          <t>1 / 5</t>
        </is>
      </c>
      <c r="M547" s="5" t="n">
        <v>0.26</v>
      </c>
      <c r="N547" s="5" t="n">
        <v>0.17</v>
      </c>
    </row>
    <row r="548">
      <c r="A548" t="n">
        <v>547</v>
      </c>
      <c r="B548" t="n">
        <v>2012</v>
      </c>
      <c r="C548" t="inlineStr">
        <is>
          <t>kate zixi ye</t>
        </is>
      </c>
      <c r="D548">
        <f>HYPERLINK("https://ota.tournamentsoftware.com/player-profile/0A8F7797-88F4-49C6-8F3D-6079B8242406", "Link")</f>
        <v/>
      </c>
      <c r="E548" s="3" t="n">
        <v>64.583</v>
      </c>
      <c r="F548" s="4" t="n">
        <v>6</v>
      </c>
      <c r="G548" t="inlineStr">
        <is>
          <t>Ontario Tennis Association</t>
        </is>
      </c>
      <c r="H548" t="inlineStr">
        <is>
          <t>No Club</t>
        </is>
      </c>
      <c r="I548" t="n">
        <v>38.1</v>
      </c>
      <c r="J548" s="4" t="n">
        <v>13</v>
      </c>
      <c r="K548" t="inlineStr">
        <is>
          <t>2 / 11</t>
        </is>
      </c>
      <c r="L548" t="inlineStr">
        <is>
          <t>1 / 6</t>
        </is>
      </c>
      <c r="M548" s="5" t="n">
        <v>0.15</v>
      </c>
      <c r="N548" s="5" t="n">
        <v>0.14</v>
      </c>
    </row>
    <row r="549">
      <c r="A549" t="n">
        <v>548</v>
      </c>
      <c r="B549" t="n">
        <v>2015</v>
      </c>
      <c r="C549" t="inlineStr">
        <is>
          <t>Ziba Forooghian</t>
        </is>
      </c>
      <c r="D549">
        <f>HYPERLINK("https://ota.tournamentsoftware.com/player-profile/F7878057-CB20-46E1-B220-553040C8AC48", "Link")</f>
        <v/>
      </c>
      <c r="E549" s="3" t="n">
        <v>64.547</v>
      </c>
      <c r="F549" s="4" t="n">
        <v>20</v>
      </c>
      <c r="G549" t="inlineStr">
        <is>
          <t>British Columbia</t>
        </is>
      </c>
      <c r="H549" t="inlineStr">
        <is>
          <t>Aura Tennis Academy</t>
        </is>
      </c>
      <c r="I549" t="n">
        <v>35.9</v>
      </c>
      <c r="J549" s="4" t="n">
        <v>84</v>
      </c>
      <c r="K549" t="inlineStr">
        <is>
          <t>30 / 54</t>
        </is>
      </c>
      <c r="L549" t="inlineStr">
        <is>
          <t>17 / 31</t>
        </is>
      </c>
      <c r="M549" s="5" t="n">
        <v>0.36</v>
      </c>
      <c r="N549" s="5" t="n">
        <v>0.35</v>
      </c>
    </row>
    <row r="550">
      <c r="A550" t="n">
        <v>549</v>
      </c>
      <c r="B550" t="n">
        <v>2013</v>
      </c>
      <c r="C550" t="inlineStr">
        <is>
          <t>Zean Whyte Omayan Gerongco</t>
        </is>
      </c>
      <c r="D550">
        <f>HYPERLINK("https://ota.tournamentsoftware.com/player-profile/95E8FC8D-AC41-4C9F-8192-23788254309B", "Link")</f>
        <v/>
      </c>
      <c r="E550" s="3" t="n">
        <v>64</v>
      </c>
      <c r="F550" s="4" t="n">
        <v>3</v>
      </c>
      <c r="G550" t="inlineStr">
        <is>
          <t>Ontario Tennis Association</t>
        </is>
      </c>
      <c r="H550" t="inlineStr">
        <is>
          <t>Fountainhead Tennis Club</t>
        </is>
      </c>
      <c r="I550" t="n">
        <v>32.8</v>
      </c>
      <c r="J550" s="4" t="n">
        <v>167</v>
      </c>
      <c r="K550" t="inlineStr">
        <is>
          <t>95 / 72</t>
        </is>
      </c>
      <c r="L550" t="inlineStr">
        <is>
          <t>0 / 0</t>
        </is>
      </c>
      <c r="M550" s="5" t="n">
        <v>0.57</v>
      </c>
      <c r="N550" s="5" t="n">
        <v>0</v>
      </c>
    </row>
    <row r="551">
      <c r="A551" t="n">
        <v>549</v>
      </c>
      <c r="B551" t="n">
        <v>2012</v>
      </c>
      <c r="C551" t="inlineStr">
        <is>
          <t>Jemima Edwards</t>
        </is>
      </c>
      <c r="D551">
        <f>HYPERLINK("https://ota.tournamentsoftware.com/player-profile/89C8AA4C-1698-4049-8B88-9B77FC5C4B9B", "Link")</f>
        <v/>
      </c>
      <c r="E551" s="3" t="n">
        <v>64</v>
      </c>
      <c r="F551" s="4" t="n">
        <v>2</v>
      </c>
      <c r="G551" t="inlineStr">
        <is>
          <t>Ontario Tennis Association</t>
        </is>
      </c>
      <c r="H551" t="inlineStr">
        <is>
          <t>Rideau Sports Centre</t>
        </is>
      </c>
      <c r="I551" t="n">
        <v>32.5</v>
      </c>
      <c r="J551" s="4" t="n">
        <v>77</v>
      </c>
      <c r="K551" t="inlineStr">
        <is>
          <t>39 / 38</t>
        </is>
      </c>
      <c r="L551" t="inlineStr">
        <is>
          <t>3 / 1</t>
        </is>
      </c>
      <c r="M551" s="5" t="n">
        <v>0.51</v>
      </c>
      <c r="N551" s="5" t="n">
        <v>0.75</v>
      </c>
    </row>
    <row r="552">
      <c r="A552" t="n">
        <v>551</v>
      </c>
      <c r="B552" t="n">
        <v>2013</v>
      </c>
      <c r="C552" t="inlineStr">
        <is>
          <t>Audrey Humeniuk</t>
        </is>
      </c>
      <c r="D552">
        <f>HYPERLINK("https://ota.tournamentsoftware.com/player-profile/468D56FB-0ABD-4840-82FB-F2B1EB075075", "Link")</f>
        <v/>
      </c>
      <c r="E552" s="3" t="n">
        <v>63.86</v>
      </c>
      <c r="F552" s="4" t="n">
        <v>4</v>
      </c>
      <c r="G552" t="inlineStr">
        <is>
          <t>Ontario Tennis Association</t>
        </is>
      </c>
      <c r="H552" t="inlineStr">
        <is>
          <t>Tennis Centre West Ottawa</t>
        </is>
      </c>
      <c r="I552" t="n">
        <v>39.5</v>
      </c>
      <c r="J552" s="4" t="n">
        <v>10</v>
      </c>
      <c r="K552" t="inlineStr">
        <is>
          <t>2 / 8</t>
        </is>
      </c>
      <c r="L552" t="inlineStr">
        <is>
          <t>1 / 4</t>
        </is>
      </c>
      <c r="M552" s="5" t="n">
        <v>0.2</v>
      </c>
      <c r="N552" s="5" t="n">
        <v>0.2</v>
      </c>
    </row>
    <row r="553">
      <c r="A553" t="n">
        <v>552</v>
      </c>
      <c r="B553" t="n">
        <v>2016</v>
      </c>
      <c r="C553" t="inlineStr">
        <is>
          <t>Hayley Bryce</t>
        </is>
      </c>
      <c r="D553">
        <f>HYPERLINK("https://ota.tournamentsoftware.com/player-profile/B433F420-A779-4270-B32A-8DE5FF43BD05", "Link")</f>
        <v/>
      </c>
      <c r="E553" s="3" t="n">
        <v>63.547</v>
      </c>
      <c r="F553" s="4" t="n">
        <v>15</v>
      </c>
      <c r="G553" t="inlineStr">
        <is>
          <t>Ontario Tennis Association</t>
        </is>
      </c>
      <c r="H553" t="inlineStr">
        <is>
          <t>SmartVMC Racquetsports by ACE</t>
        </is>
      </c>
      <c r="I553" t="inlineStr">
        <is>
          <t>unavailable</t>
        </is>
      </c>
      <c r="J553" s="4" t="n">
        <v>81</v>
      </c>
      <c r="K553" t="inlineStr">
        <is>
          <t>36 / 45</t>
        </is>
      </c>
      <c r="L553" t="inlineStr">
        <is>
          <t>19 / 23</t>
        </is>
      </c>
      <c r="M553" s="5" t="n">
        <v>0.44</v>
      </c>
      <c r="N553" s="5" t="n">
        <v>0.45</v>
      </c>
    </row>
    <row r="554">
      <c r="A554" t="n">
        <v>553</v>
      </c>
      <c r="B554" t="n">
        <v>2013</v>
      </c>
      <c r="C554" t="inlineStr">
        <is>
          <t>Deborah Zhao</t>
        </is>
      </c>
      <c r="D554">
        <f>HYPERLINK("https://ota.tournamentsoftware.com/player-profile/F6904719-B024-412B-8805-0CEB145651FD", "Link")</f>
        <v/>
      </c>
      <c r="E554" s="3" t="n">
        <v>63.288</v>
      </c>
      <c r="F554" s="4" t="n">
        <v>3</v>
      </c>
      <c r="G554" t="inlineStr">
        <is>
          <t>Tennis Prince Edward Island</t>
        </is>
      </c>
      <c r="H554" t="inlineStr">
        <is>
          <t>Charlottetown Recreation Tennis Group</t>
        </is>
      </c>
      <c r="I554" t="n">
        <v>35.5</v>
      </c>
      <c r="J554" s="4" t="n">
        <v>139</v>
      </c>
      <c r="K554" t="inlineStr">
        <is>
          <t>67 / 72</t>
        </is>
      </c>
      <c r="L554" t="inlineStr">
        <is>
          <t>5 / 8</t>
        </is>
      </c>
      <c r="M554" s="5" t="n">
        <v>0.48</v>
      </c>
      <c r="N554" s="5" t="n">
        <v>0.38</v>
      </c>
    </row>
    <row r="555">
      <c r="A555" t="n">
        <v>554</v>
      </c>
      <c r="B555" t="n">
        <v>2015</v>
      </c>
      <c r="C555" t="inlineStr">
        <is>
          <t>Aayushi Gautam</t>
        </is>
      </c>
      <c r="D555">
        <f>HYPERLINK("https://ota.tournamentsoftware.com/player-profile/A24CEE26-7629-46B9-89B0-12B054D2DFB9", "Link")</f>
        <v/>
      </c>
      <c r="E555" s="3" t="n">
        <v>63.275</v>
      </c>
      <c r="F555" s="4" t="n">
        <v>13</v>
      </c>
      <c r="G555" t="inlineStr">
        <is>
          <t>Tennis Alberta</t>
        </is>
      </c>
      <c r="H555" t="inlineStr">
        <is>
          <t>Saville Community Sports Centre</t>
        </is>
      </c>
      <c r="I555" t="n">
        <v>33.6</v>
      </c>
      <c r="J555" s="4" t="n">
        <v>152</v>
      </c>
      <c r="K555" t="inlineStr">
        <is>
          <t>90 / 62</t>
        </is>
      </c>
      <c r="L555" t="inlineStr">
        <is>
          <t>16 / 8</t>
        </is>
      </c>
      <c r="M555" s="5" t="n">
        <v>0.59</v>
      </c>
      <c r="N555" s="5" t="n">
        <v>0.67</v>
      </c>
    </row>
    <row r="556">
      <c r="A556" t="n">
        <v>555</v>
      </c>
      <c r="B556" t="n">
        <v>2016</v>
      </c>
      <c r="C556" t="inlineStr">
        <is>
          <t>Abigail Jianing Zhou</t>
        </is>
      </c>
      <c r="D556">
        <f>HYPERLINK("https://ota.tournamentsoftware.com/player-profile/E53B2389-2E47-459E-9543-5DBB506C324A", "Link")</f>
        <v/>
      </c>
      <c r="E556" s="3" t="n">
        <v>63.12</v>
      </c>
      <c r="F556" s="4" t="n">
        <v>17</v>
      </c>
      <c r="G556" t="inlineStr">
        <is>
          <t>Ontario Tennis Association</t>
        </is>
      </c>
      <c r="H556" t="inlineStr">
        <is>
          <t>Joshua Creek Golf &amp; Tennis</t>
        </is>
      </c>
      <c r="I556" t="n">
        <v>36.8</v>
      </c>
      <c r="J556" s="4" t="n">
        <v>156</v>
      </c>
      <c r="K556" t="inlineStr">
        <is>
          <t>65 / 91</t>
        </is>
      </c>
      <c r="L556" t="inlineStr">
        <is>
          <t>27 / 26</t>
        </is>
      </c>
      <c r="M556" s="5" t="n">
        <v>0.42</v>
      </c>
      <c r="N556" s="5" t="n">
        <v>0.51</v>
      </c>
    </row>
    <row r="557">
      <c r="A557" t="n">
        <v>556</v>
      </c>
      <c r="B557" t="n">
        <v>2015</v>
      </c>
      <c r="C557" t="inlineStr">
        <is>
          <t>Karina Lee Griffin</t>
        </is>
      </c>
      <c r="D557">
        <f>HYPERLINK("https://ota.tournamentsoftware.com/player-profile/51794C7A-992F-4A4D-9983-0483174644A1", "Link")</f>
        <v/>
      </c>
      <c r="E557" s="3" t="n">
        <v>62.799</v>
      </c>
      <c r="F557" s="4" t="n">
        <v>18</v>
      </c>
      <c r="G557" t="inlineStr">
        <is>
          <t>British Columbia</t>
        </is>
      </c>
      <c r="H557" t="inlineStr">
        <is>
          <t>North Vancouver Tennis Centre</t>
        </is>
      </c>
      <c r="I557" t="n">
        <v>35.1</v>
      </c>
      <c r="J557" s="4" t="n">
        <v>155</v>
      </c>
      <c r="K557" t="inlineStr">
        <is>
          <t>73 / 82</t>
        </is>
      </c>
      <c r="L557" t="inlineStr">
        <is>
          <t>12 / 20</t>
        </is>
      </c>
      <c r="M557" s="5" t="n">
        <v>0.47</v>
      </c>
      <c r="N557" s="5" t="n">
        <v>0.38</v>
      </c>
    </row>
    <row r="558">
      <c r="A558" t="n">
        <v>557</v>
      </c>
      <c r="B558" t="n">
        <v>2012</v>
      </c>
      <c r="C558" t="inlineStr">
        <is>
          <t>Hannah Ines Fischer-Kandelas</t>
        </is>
      </c>
      <c r="D558">
        <f>HYPERLINK("https://ota.tournamentsoftware.com/player-profile/672C977E-EE19-4DD0-AE73-F6FCDD2EE1E1", "Link")</f>
        <v/>
      </c>
      <c r="E558" s="3" t="n">
        <v>62.453</v>
      </c>
      <c r="F558" s="4" t="n">
        <v>4</v>
      </c>
      <c r="G558" t="inlineStr">
        <is>
          <t>Ontario Tennis Association</t>
        </is>
      </c>
      <c r="H558" t="inlineStr">
        <is>
          <t>Wychwood Tennis Club</t>
        </is>
      </c>
      <c r="I558" t="n">
        <v>39.1</v>
      </c>
      <c r="J558" s="4" t="n">
        <v>22</v>
      </c>
      <c r="K558" t="inlineStr">
        <is>
          <t>9 / 13</t>
        </is>
      </c>
      <c r="L558" t="inlineStr">
        <is>
          <t>2 / 7</t>
        </is>
      </c>
      <c r="M558" s="5" t="n">
        <v>0.41</v>
      </c>
      <c r="N558" s="5" t="n">
        <v>0.22</v>
      </c>
    </row>
    <row r="559">
      <c r="A559" t="n">
        <v>558</v>
      </c>
      <c r="B559" t="n">
        <v>2014</v>
      </c>
      <c r="C559" t="inlineStr">
        <is>
          <t>Chloe Huang</t>
        </is>
      </c>
      <c r="D559">
        <f>HYPERLINK("https://ota.tournamentsoftware.com/player-profile/F00195EB-06BF-48AD-9E24-7FA037871F13", "Link")</f>
        <v/>
      </c>
      <c r="E559" s="3" t="n">
        <v>62.111</v>
      </c>
      <c r="F559" s="4" t="n">
        <v>3</v>
      </c>
      <c r="G559" t="inlineStr">
        <is>
          <t>Ontario Tennis Association</t>
        </is>
      </c>
      <c r="H559" t="inlineStr">
        <is>
          <t>Richmond Hill Country Club</t>
        </is>
      </c>
      <c r="I559" t="n">
        <v>38.8</v>
      </c>
      <c r="J559" s="4" t="n">
        <v>54</v>
      </c>
      <c r="K559" t="inlineStr">
        <is>
          <t>20 / 34</t>
        </is>
      </c>
      <c r="L559" t="inlineStr">
        <is>
          <t>0 / 3</t>
        </is>
      </c>
      <c r="M559" s="5" t="n">
        <v>0.37</v>
      </c>
      <c r="N559" s="5" t="n">
        <v>0</v>
      </c>
    </row>
    <row r="560">
      <c r="A560" t="n">
        <v>559</v>
      </c>
      <c r="B560" t="n">
        <v>2012</v>
      </c>
      <c r="C560" t="inlineStr">
        <is>
          <t>Alice Zhang</t>
        </is>
      </c>
      <c r="D560">
        <f>HYPERLINK("https://ota.tournamentsoftware.com/player-profile/D65C72B6-843B-48BF-A073-AE5080F1EA2D", "Link")</f>
        <v/>
      </c>
      <c r="E560" s="3" t="n">
        <v>61.807</v>
      </c>
      <c r="F560" s="4" t="n">
        <v>4</v>
      </c>
      <c r="G560" t="inlineStr">
        <is>
          <t>Ontario Tennis Association</t>
        </is>
      </c>
      <c r="H560" t="inlineStr">
        <is>
          <t>ACE Tennis - Burlington</t>
        </is>
      </c>
      <c r="I560" t="n">
        <v>37.2</v>
      </c>
      <c r="J560" s="4" t="n">
        <v>10</v>
      </c>
      <c r="K560" t="inlineStr">
        <is>
          <t>2 / 8</t>
        </is>
      </c>
      <c r="L560" t="inlineStr">
        <is>
          <t>2 / 6</t>
        </is>
      </c>
      <c r="M560" s="5" t="n">
        <v>0.2</v>
      </c>
      <c r="N560" s="5" t="n">
        <v>0.25</v>
      </c>
    </row>
    <row r="561">
      <c r="A561" t="n">
        <v>560</v>
      </c>
      <c r="B561" t="n">
        <v>2015</v>
      </c>
      <c r="C561" t="inlineStr">
        <is>
          <t>Clara Surprenant</t>
        </is>
      </c>
      <c r="D561">
        <f>HYPERLINK("https://ota.tournamentsoftware.com/player-profile/82684D26-C7AE-41C6-893D-5E94585A41D7", "Link")</f>
        <v/>
      </c>
      <c r="E561" s="3" t="n">
        <v>60.705</v>
      </c>
      <c r="F561" s="4" t="n">
        <v>6</v>
      </c>
      <c r="G561" t="inlineStr">
        <is>
          <t>Tennis Québec</t>
        </is>
      </c>
      <c r="H561" t="inlineStr">
        <is>
          <t>SANI Sport</t>
        </is>
      </c>
      <c r="I561" t="n">
        <v>36.6</v>
      </c>
      <c r="J561" s="4" t="n">
        <v>85</v>
      </c>
      <c r="K561" t="inlineStr">
        <is>
          <t>40 / 45</t>
        </is>
      </c>
      <c r="L561" t="inlineStr">
        <is>
          <t>2 / 4</t>
        </is>
      </c>
      <c r="M561" s="5" t="n">
        <v>0.47</v>
      </c>
      <c r="N561" s="5" t="n">
        <v>0.33</v>
      </c>
    </row>
    <row r="562">
      <c r="A562" t="n">
        <v>561</v>
      </c>
      <c r="B562" t="n">
        <v>2014</v>
      </c>
      <c r="C562" t="inlineStr">
        <is>
          <t>Minnie Jinwen Xu</t>
        </is>
      </c>
      <c r="D562">
        <f>HYPERLINK("https://ota.tournamentsoftware.com/player-profile/617AABE9-B600-4656-9194-77743DDDC351", "Link")</f>
        <v/>
      </c>
      <c r="E562" s="3" t="n">
        <v>60.695</v>
      </c>
      <c r="F562" s="4" t="n">
        <v>11</v>
      </c>
      <c r="G562" t="inlineStr">
        <is>
          <t>British Columbia</t>
        </is>
      </c>
      <c r="H562" t="inlineStr">
        <is>
          <t>The Tennis Centre</t>
        </is>
      </c>
      <c r="I562" t="n">
        <v>35.4</v>
      </c>
      <c r="J562" s="4" t="n">
        <v>128</v>
      </c>
      <c r="K562" t="inlineStr">
        <is>
          <t>67 / 61</t>
        </is>
      </c>
      <c r="L562" t="inlineStr">
        <is>
          <t>13 / 12</t>
        </is>
      </c>
      <c r="M562" s="5" t="n">
        <v>0.52</v>
      </c>
      <c r="N562" s="5" t="n">
        <v>0.52</v>
      </c>
    </row>
    <row r="563">
      <c r="A563" t="n">
        <v>562</v>
      </c>
      <c r="B563" t="n">
        <v>2016</v>
      </c>
      <c r="C563" t="inlineStr">
        <is>
          <t>Vianna Mostashari</t>
        </is>
      </c>
      <c r="D563">
        <f>HYPERLINK("https://ota.tournamentsoftware.com/player-profile/670B74EC-3F81-45DD-8F9B-AEE768B61639", "Link")</f>
        <v/>
      </c>
      <c r="E563" s="3" t="n">
        <v>60.235</v>
      </c>
      <c r="F563" s="4" t="n">
        <v>11</v>
      </c>
      <c r="G563" t="inlineStr">
        <is>
          <t>British Columbia</t>
        </is>
      </c>
      <c r="H563" t="inlineStr">
        <is>
          <t>North Vancouver Tennis Centre</t>
        </is>
      </c>
      <c r="I563" t="n">
        <v>35.9</v>
      </c>
      <c r="J563" s="4" t="n">
        <v>157</v>
      </c>
      <c r="K563" t="inlineStr">
        <is>
          <t>88 / 69</t>
        </is>
      </c>
      <c r="L563" t="inlineStr">
        <is>
          <t>8 / 16</t>
        </is>
      </c>
      <c r="M563" s="5" t="n">
        <v>0.5600000000000001</v>
      </c>
      <c r="N563" s="5" t="n">
        <v>0.33</v>
      </c>
    </row>
    <row r="564">
      <c r="A564" t="n">
        <v>563</v>
      </c>
      <c r="B564" t="n">
        <v>2015</v>
      </c>
      <c r="C564" t="inlineStr">
        <is>
          <t>Ava Gracia Hurley</t>
        </is>
      </c>
      <c r="D564">
        <f>HYPERLINK("https://ota.tournamentsoftware.com/player-profile/DC3D1043-9FBA-467F-8103-AE9D0DEEF066", "Link")</f>
        <v/>
      </c>
      <c r="E564" s="3" t="n">
        <v>58.941</v>
      </c>
      <c r="F564" s="4" t="n">
        <v>11</v>
      </c>
      <c r="G564" t="inlineStr">
        <is>
          <t>Ontario Tennis Association</t>
        </is>
      </c>
      <c r="H564" t="inlineStr">
        <is>
          <t>Manotick Tennis Club</t>
        </is>
      </c>
      <c r="I564" t="inlineStr">
        <is>
          <t>unavailable</t>
        </is>
      </c>
      <c r="J564" s="4" t="n">
        <v>33</v>
      </c>
      <c r="K564" t="inlineStr">
        <is>
          <t>13 / 20</t>
        </is>
      </c>
      <c r="L564" t="inlineStr">
        <is>
          <t>5 / 9</t>
        </is>
      </c>
      <c r="M564" s="5" t="n">
        <v>0.39</v>
      </c>
      <c r="N564" s="5" t="n">
        <v>0.36</v>
      </c>
    </row>
    <row r="565">
      <c r="A565" t="n">
        <v>564</v>
      </c>
      <c r="B565" t="n">
        <v>2013</v>
      </c>
      <c r="C565" t="inlineStr">
        <is>
          <t>Presley Pellegrino</t>
        </is>
      </c>
      <c r="D565">
        <f>HYPERLINK("https://ota.tournamentsoftware.com/player-profile/A7978533-179E-4FC4-8D48-C160FA6FF2E3", "Link")</f>
        <v/>
      </c>
      <c r="E565" s="3" t="n">
        <v>58.878</v>
      </c>
      <c r="F565" s="4" t="n">
        <v>3</v>
      </c>
      <c r="G565" t="inlineStr">
        <is>
          <t>Ontario Tennis Association</t>
        </is>
      </c>
      <c r="H565" t="inlineStr">
        <is>
          <t>No Club</t>
        </is>
      </c>
      <c r="I565" t="n">
        <v>35.1</v>
      </c>
      <c r="J565" s="4" t="n">
        <v>97</v>
      </c>
      <c r="K565" t="inlineStr">
        <is>
          <t>40 / 57</t>
        </is>
      </c>
      <c r="L565" t="inlineStr">
        <is>
          <t>2 / 2</t>
        </is>
      </c>
      <c r="M565" s="5" t="n">
        <v>0.41</v>
      </c>
      <c r="N565" s="5" t="n">
        <v>0.5</v>
      </c>
    </row>
    <row r="566">
      <c r="A566" t="n">
        <v>565</v>
      </c>
      <c r="B566" t="n">
        <v>2012</v>
      </c>
      <c r="C566" t="inlineStr">
        <is>
          <t>Daniella Maria SAUCEDO</t>
        </is>
      </c>
      <c r="D566">
        <f>HYPERLINK("https://ota.tournamentsoftware.com/player-profile/45A852A0-99BB-4449-9FC4-8CAEBA4B404C", "Link")</f>
        <v/>
      </c>
      <c r="E566" s="3" t="n">
        <v>58.536</v>
      </c>
      <c r="F566" s="4" t="n">
        <v>3</v>
      </c>
      <c r="G566" t="inlineStr">
        <is>
          <t>Ontario Tennis Association</t>
        </is>
      </c>
      <c r="H566" t="inlineStr">
        <is>
          <t>City of Oakville</t>
        </is>
      </c>
      <c r="I566" t="inlineStr">
        <is>
          <t>unavailable</t>
        </is>
      </c>
      <c r="J566" s="4" t="n">
        <v>137</v>
      </c>
      <c r="K566" t="inlineStr">
        <is>
          <t>72 / 65</t>
        </is>
      </c>
      <c r="L566" t="inlineStr">
        <is>
          <t>0 / 0</t>
        </is>
      </c>
      <c r="M566" s="5" t="n">
        <v>0.53</v>
      </c>
      <c r="N566" s="5" t="n">
        <v>0</v>
      </c>
    </row>
    <row r="567">
      <c r="A567" t="n">
        <v>566</v>
      </c>
      <c r="B567" t="n">
        <v>2015</v>
      </c>
      <c r="C567" t="inlineStr">
        <is>
          <t>Aria MARTIN</t>
        </is>
      </c>
      <c r="D567">
        <f>HYPERLINK("https://ota.tournamentsoftware.com/player-profile/220708AF-B049-4C3B-83FA-C1AAC60269C5", "Link")</f>
        <v/>
      </c>
      <c r="E567" s="3" t="n">
        <v>58.434</v>
      </c>
      <c r="F567" s="4" t="n">
        <v>16</v>
      </c>
      <c r="G567" t="inlineStr">
        <is>
          <t>British Columbia</t>
        </is>
      </c>
      <c r="H567" t="inlineStr">
        <is>
          <t>Vancouver Lawn Tennis and Badminton Club</t>
        </is>
      </c>
      <c r="I567" t="n">
        <v>35.2</v>
      </c>
      <c r="J567" s="4" t="n">
        <v>133</v>
      </c>
      <c r="K567" t="inlineStr">
        <is>
          <t>53 / 80</t>
        </is>
      </c>
      <c r="L567" t="inlineStr">
        <is>
          <t>24 / 17</t>
        </is>
      </c>
      <c r="M567" s="5" t="n">
        <v>0.4</v>
      </c>
      <c r="N567" s="5" t="n">
        <v>0.59</v>
      </c>
    </row>
    <row r="568">
      <c r="A568" t="n">
        <v>567</v>
      </c>
      <c r="B568" t="n">
        <v>2012</v>
      </c>
      <c r="C568" t="inlineStr">
        <is>
          <t>Chloe Teng</t>
        </is>
      </c>
      <c r="D568">
        <f>HYPERLINK("https://ota.tournamentsoftware.com/player-profile/F5AC5875-4E89-4D3E-BF17-24986F702240", "Link")</f>
        <v/>
      </c>
      <c r="E568" s="3" t="n">
        <v>58.388</v>
      </c>
      <c r="F568" s="4" t="n">
        <v>12</v>
      </c>
      <c r="G568" t="inlineStr">
        <is>
          <t>Ontario Tennis Association</t>
        </is>
      </c>
      <c r="H568" t="inlineStr">
        <is>
          <t>Tennis Clubs of Canada</t>
        </is>
      </c>
      <c r="I568" t="n">
        <v>38.1</v>
      </c>
      <c r="J568" s="4" t="n">
        <v>48</v>
      </c>
      <c r="K568" t="inlineStr">
        <is>
          <t>12 / 36</t>
        </is>
      </c>
      <c r="L568" t="inlineStr">
        <is>
          <t>9 / 25</t>
        </is>
      </c>
      <c r="M568" s="5" t="n">
        <v>0.25</v>
      </c>
      <c r="N568" s="5" t="n">
        <v>0.26</v>
      </c>
    </row>
    <row r="569">
      <c r="A569" t="n">
        <v>568</v>
      </c>
      <c r="B569" t="n">
        <v>2015</v>
      </c>
      <c r="C569" t="inlineStr">
        <is>
          <t>Maeva Kaur Dhillon</t>
        </is>
      </c>
      <c r="D569">
        <f>HYPERLINK("https://ota.tournamentsoftware.com/player-profile/1E3A662C-1993-423F-99BB-0CD2F93CC62A", "Link")</f>
        <v/>
      </c>
      <c r="E569" s="3" t="n">
        <v>58.125</v>
      </c>
      <c r="F569" s="4" t="n">
        <v>11</v>
      </c>
      <c r="G569" t="inlineStr">
        <is>
          <t>Tennis Alberta</t>
        </is>
      </c>
      <c r="H569" t="inlineStr">
        <is>
          <t>Saville Community Sports Centre</t>
        </is>
      </c>
      <c r="I569" t="inlineStr">
        <is>
          <t>unavailable</t>
        </is>
      </c>
      <c r="J569" s="4" t="inlineStr"/>
      <c r="K569" t="inlineStr">
        <is>
          <t>unavailable</t>
        </is>
      </c>
      <c r="L569" t="inlineStr">
        <is>
          <t>unavailable</t>
        </is>
      </c>
      <c r="M569" s="5" t="inlineStr"/>
      <c r="N569" s="5" t="inlineStr"/>
    </row>
    <row r="570">
      <c r="A570" t="n">
        <v>569</v>
      </c>
      <c r="B570" t="n">
        <v>2013</v>
      </c>
      <c r="C570" t="inlineStr">
        <is>
          <t>Gabrielle Galgay</t>
        </is>
      </c>
      <c r="D570">
        <f>HYPERLINK("https://ota.tournamentsoftware.com/player-profile/1A26365B-FAA0-4130-8F92-B67D497E82D9", "Link")</f>
        <v/>
      </c>
      <c r="E570" s="3" t="n">
        <v>57.069</v>
      </c>
      <c r="F570" s="4" t="n">
        <v>4</v>
      </c>
      <c r="G570" t="inlineStr">
        <is>
          <t>Ontario Tennis Association</t>
        </is>
      </c>
      <c r="H570" t="inlineStr">
        <is>
          <t>No Club</t>
        </is>
      </c>
      <c r="I570" t="n">
        <v>34.4</v>
      </c>
      <c r="J570" s="4" t="n">
        <v>10</v>
      </c>
      <c r="K570" t="inlineStr">
        <is>
          <t>4 / 6</t>
        </is>
      </c>
      <c r="L570" t="inlineStr">
        <is>
          <t>1 / 3</t>
        </is>
      </c>
      <c r="M570" s="5" t="n">
        <v>0.4</v>
      </c>
      <c r="N570" s="5" t="n">
        <v>0.25</v>
      </c>
    </row>
    <row r="571">
      <c r="A571" t="n">
        <v>570</v>
      </c>
      <c r="B571" t="n">
        <v>2013</v>
      </c>
      <c r="C571" t="inlineStr">
        <is>
          <t>Noa Anne Broere</t>
        </is>
      </c>
      <c r="D571">
        <f>HYPERLINK("https://ota.tournamentsoftware.com/player-profile/A5724AD9-99FF-4D46-A565-ED1BBCAE83F4", "Link")</f>
        <v/>
      </c>
      <c r="E571" s="3" t="n">
        <v>57.045</v>
      </c>
      <c r="F571" s="4" t="n">
        <v>15</v>
      </c>
      <c r="G571" t="inlineStr">
        <is>
          <t>British Columbia</t>
        </is>
      </c>
      <c r="H571" t="inlineStr">
        <is>
          <t>Vancouver Lawn Tennis and Badminton Club</t>
        </is>
      </c>
      <c r="I571" t="n">
        <v>34.5</v>
      </c>
      <c r="J571" s="4" t="n">
        <v>75</v>
      </c>
      <c r="K571" t="inlineStr">
        <is>
          <t>30 / 45</t>
        </is>
      </c>
      <c r="L571" t="inlineStr">
        <is>
          <t>9 / 14</t>
        </is>
      </c>
      <c r="M571" s="5" t="n">
        <v>0.4</v>
      </c>
      <c r="N571" s="5" t="n">
        <v>0.39</v>
      </c>
    </row>
    <row r="572">
      <c r="A572" t="n">
        <v>571</v>
      </c>
      <c r="B572" t="n">
        <v>2013</v>
      </c>
      <c r="C572" t="inlineStr">
        <is>
          <t>Grace Christina Lawrence</t>
        </is>
      </c>
      <c r="D572">
        <f>HYPERLINK("https://ota.tournamentsoftware.com/player-profile/9FEF2F9B-F202-41CF-8B36-42B1520055E0", "Link")</f>
        <v/>
      </c>
      <c r="E572" s="3" t="n">
        <v>57.027</v>
      </c>
      <c r="F572" s="4" t="n">
        <v>8</v>
      </c>
      <c r="G572" t="inlineStr">
        <is>
          <t>Ontario Tennis Association</t>
        </is>
      </c>
      <c r="H572" t="inlineStr">
        <is>
          <t>Toronto Lawn Tennis Club</t>
        </is>
      </c>
      <c r="I572" t="n">
        <v>36</v>
      </c>
      <c r="J572" s="4" t="n">
        <v>107</v>
      </c>
      <c r="K572" t="inlineStr">
        <is>
          <t>48 / 59</t>
        </is>
      </c>
      <c r="L572" t="inlineStr">
        <is>
          <t>4 / 4</t>
        </is>
      </c>
      <c r="M572" s="5" t="n">
        <v>0.45</v>
      </c>
      <c r="N572" s="5" t="n">
        <v>0.5</v>
      </c>
    </row>
    <row r="573">
      <c r="A573" t="n">
        <v>572</v>
      </c>
      <c r="B573" t="n">
        <v>2013</v>
      </c>
      <c r="C573" t="inlineStr">
        <is>
          <t>Daniella Adekoya</t>
        </is>
      </c>
      <c r="D573">
        <f>HYPERLINK("https://ota.tournamentsoftware.com/player-profile/1AE7E627-3ED1-4E93-9C7E-52183DBA7410", "Link")</f>
        <v/>
      </c>
      <c r="E573" s="3" t="n">
        <v>55.728</v>
      </c>
      <c r="F573" s="4" t="n">
        <v>2</v>
      </c>
      <c r="G573" t="inlineStr">
        <is>
          <t>Ontario Tennis Association</t>
        </is>
      </c>
      <c r="H573" t="inlineStr">
        <is>
          <t>Rideau Sports Centre</t>
        </is>
      </c>
      <c r="I573" t="inlineStr">
        <is>
          <t>unavailable</t>
        </is>
      </c>
      <c r="J573" s="4" t="inlineStr"/>
      <c r="K573" t="inlineStr">
        <is>
          <t>unavailable</t>
        </is>
      </c>
      <c r="L573" t="inlineStr">
        <is>
          <t>unavailable</t>
        </is>
      </c>
      <c r="M573" s="5" t="inlineStr"/>
      <c r="N573" s="5" t="inlineStr"/>
    </row>
    <row r="574">
      <c r="A574" t="n">
        <v>573</v>
      </c>
      <c r="B574" t="n">
        <v>2013</v>
      </c>
      <c r="C574" t="inlineStr">
        <is>
          <t>Anika Surtani</t>
        </is>
      </c>
      <c r="D574">
        <f>HYPERLINK("https://ota.tournamentsoftware.com/player-profile/8434E356-BD3E-4FDA-9513-46F335FD471C", "Link")</f>
        <v/>
      </c>
      <c r="E574" s="3" t="n">
        <v>55.444</v>
      </c>
      <c r="F574" s="4" t="n">
        <v>7</v>
      </c>
      <c r="G574" t="inlineStr">
        <is>
          <t>Ontario Tennis Association</t>
        </is>
      </c>
      <c r="H574" t="inlineStr">
        <is>
          <t>Boulevard Club</t>
        </is>
      </c>
      <c r="I574" t="inlineStr">
        <is>
          <t>unavailable</t>
        </is>
      </c>
      <c r="J574" s="4" t="n">
        <v>20</v>
      </c>
      <c r="K574" t="inlineStr">
        <is>
          <t>5 / 15</t>
        </is>
      </c>
      <c r="L574" t="inlineStr">
        <is>
          <t>3 / 7</t>
        </is>
      </c>
      <c r="M574" s="5" t="n">
        <v>0.25</v>
      </c>
      <c r="N574" s="5" t="n">
        <v>0.3</v>
      </c>
    </row>
    <row r="575">
      <c r="A575" t="n">
        <v>574</v>
      </c>
      <c r="B575" t="n">
        <v>2015</v>
      </c>
      <c r="C575" t="inlineStr">
        <is>
          <t>Madeleine Penelope Haun</t>
        </is>
      </c>
      <c r="D575">
        <f>HYPERLINK("https://ota.tournamentsoftware.com/player-profile/6F8A0525-0D8F-4263-8F76-0B8CF4B34D42", "Link")</f>
        <v/>
      </c>
      <c r="E575" s="3" t="n">
        <v>55.31</v>
      </c>
      <c r="F575" s="4" t="n">
        <v>10</v>
      </c>
      <c r="G575" t="inlineStr">
        <is>
          <t>Tennis Alberta</t>
        </is>
      </c>
      <c r="H575" t="inlineStr">
        <is>
          <t>Osten &amp; Victor Alberta Tennis Centre</t>
        </is>
      </c>
      <c r="I575" t="n">
        <v>37.3</v>
      </c>
      <c r="J575" s="4" t="n">
        <v>152</v>
      </c>
      <c r="K575" t="inlineStr">
        <is>
          <t>82 / 70</t>
        </is>
      </c>
      <c r="L575" t="inlineStr">
        <is>
          <t>5 / 8</t>
        </is>
      </c>
      <c r="M575" s="5" t="n">
        <v>0.54</v>
      </c>
      <c r="N575" s="5" t="n">
        <v>0.38</v>
      </c>
    </row>
    <row r="576">
      <c r="A576" t="n">
        <v>575</v>
      </c>
      <c r="B576" t="n">
        <v>2012</v>
      </c>
      <c r="C576" t="inlineStr">
        <is>
          <t>Karmi Singh</t>
        </is>
      </c>
      <c r="D576">
        <f>HYPERLINK("https://ota.tournamentsoftware.com/player-profile/B68DC1C1-BC37-443E-AB03-601E1E7E72A2", "Link")</f>
        <v/>
      </c>
      <c r="E576" s="3" t="n">
        <v>54.499</v>
      </c>
      <c r="F576" s="4" t="n">
        <v>4</v>
      </c>
      <c r="G576" t="inlineStr">
        <is>
          <t>Ontario Tennis Association</t>
        </is>
      </c>
      <c r="H576" t="inlineStr">
        <is>
          <t>Ontario Racquet Club</t>
        </is>
      </c>
      <c r="I576" t="inlineStr">
        <is>
          <t>unavailable</t>
        </is>
      </c>
      <c r="J576" s="4" t="n">
        <v>59</v>
      </c>
      <c r="K576" t="inlineStr">
        <is>
          <t>26 / 33</t>
        </is>
      </c>
      <c r="L576" t="inlineStr">
        <is>
          <t>1 / 5</t>
        </is>
      </c>
      <c r="M576" s="5" t="n">
        <v>0.44</v>
      </c>
      <c r="N576" s="5" t="n">
        <v>0.17</v>
      </c>
    </row>
    <row r="577">
      <c r="A577" t="n">
        <v>576</v>
      </c>
      <c r="B577" t="n">
        <v>2016</v>
      </c>
      <c r="C577" t="inlineStr">
        <is>
          <t>Xirui Ding</t>
        </is>
      </c>
      <c r="D577">
        <f>HYPERLINK("https://ota.tournamentsoftware.com/player-profile/6DC46DF7-2964-4ED2-9C01-D39C773C942F", "Link")</f>
        <v/>
      </c>
      <c r="E577" s="3" t="n">
        <v>54.085</v>
      </c>
      <c r="F577" s="4" t="n">
        <v>7</v>
      </c>
      <c r="G577" t="inlineStr">
        <is>
          <t>Ontario Tennis Association</t>
        </is>
      </c>
      <c r="H577" t="inlineStr">
        <is>
          <t>Valan Tennis Academy</t>
        </is>
      </c>
      <c r="I577" t="n">
        <v>37.5</v>
      </c>
      <c r="J577" s="4" t="n">
        <v>117</v>
      </c>
      <c r="K577" t="inlineStr">
        <is>
          <t>72 / 45</t>
        </is>
      </c>
      <c r="L577" t="inlineStr">
        <is>
          <t>67 / 36</t>
        </is>
      </c>
      <c r="M577" s="5" t="n">
        <v>0.62</v>
      </c>
      <c r="N577" s="5" t="n">
        <v>0.65</v>
      </c>
    </row>
    <row r="578">
      <c r="A578" t="n">
        <v>577</v>
      </c>
      <c r="B578" t="n">
        <v>2015</v>
      </c>
      <c r="C578" t="inlineStr">
        <is>
          <t>Miadel Flores</t>
        </is>
      </c>
      <c r="D578">
        <f>HYPERLINK("https://ota.tournamentsoftware.com/player-profile/19F5DCB9-D4C1-477E-9443-DA276E9A30BC", "Link")</f>
        <v/>
      </c>
      <c r="E578" s="3" t="n">
        <v>53.935</v>
      </c>
      <c r="F578" s="4" t="n">
        <v>5</v>
      </c>
      <c r="G578" t="inlineStr">
        <is>
          <t>Tennis Québec</t>
        </is>
      </c>
      <c r="H578" t="inlineStr">
        <is>
          <t>No Club</t>
        </is>
      </c>
      <c r="I578" t="n">
        <v>40</v>
      </c>
      <c r="J578" s="4" t="n">
        <v>8</v>
      </c>
      <c r="K578" t="inlineStr">
        <is>
          <t>1 / 7</t>
        </is>
      </c>
      <c r="L578" t="inlineStr">
        <is>
          <t>1 / 7</t>
        </is>
      </c>
      <c r="M578" s="5" t="n">
        <v>0.12</v>
      </c>
      <c r="N578" s="5" t="n">
        <v>0.12</v>
      </c>
    </row>
    <row r="579">
      <c r="A579" t="n">
        <v>578</v>
      </c>
      <c r="B579" t="n">
        <v>2016</v>
      </c>
      <c r="C579" t="inlineStr">
        <is>
          <t>Saanvi Sharma</t>
        </is>
      </c>
      <c r="D579">
        <f>HYPERLINK("https://ota.tournamentsoftware.com/player-profile/CE1D7CD8-1C3C-4F68-B568-48AC24E75437", "Link")</f>
        <v/>
      </c>
      <c r="E579" s="3" t="n">
        <v>53.28</v>
      </c>
      <c r="F579" s="4" t="n">
        <v>5</v>
      </c>
      <c r="G579" t="inlineStr">
        <is>
          <t>Tennis Québec</t>
        </is>
      </c>
      <c r="H579" t="inlineStr">
        <is>
          <t>Tennis Ile- des- Soeurs</t>
        </is>
      </c>
      <c r="I579" t="n">
        <v>36.8</v>
      </c>
      <c r="J579" s="4" t="n">
        <v>92</v>
      </c>
      <c r="K579" t="inlineStr">
        <is>
          <t>45 / 47</t>
        </is>
      </c>
      <c r="L579" t="inlineStr">
        <is>
          <t>12 / 9</t>
        </is>
      </c>
      <c r="M579" s="5" t="n">
        <v>0.49</v>
      </c>
      <c r="N579" s="5" t="n">
        <v>0.57</v>
      </c>
    </row>
    <row r="580">
      <c r="A580" t="n">
        <v>579</v>
      </c>
      <c r="B580" t="n">
        <v>2013</v>
      </c>
      <c r="C580" t="inlineStr">
        <is>
          <t>Julia Soldatov</t>
        </is>
      </c>
      <c r="D580">
        <f>HYPERLINK("https://ota.tournamentsoftware.com/player-profile/9CDD8F0E-2B06-4818-8B32-A0ED95A9E6DF", "Link")</f>
        <v/>
      </c>
      <c r="E580" s="3" t="n">
        <v>53.274</v>
      </c>
      <c r="F580" s="4" t="n">
        <v>5</v>
      </c>
      <c r="G580" t="inlineStr">
        <is>
          <t>Ontario Tennis Association</t>
        </is>
      </c>
      <c r="H580" t="inlineStr">
        <is>
          <t>Newmarket Community Tennis Club</t>
        </is>
      </c>
      <c r="I580" t="n">
        <v>38.8</v>
      </c>
      <c r="J580" s="4" t="n">
        <v>19</v>
      </c>
      <c r="K580" t="inlineStr">
        <is>
          <t>6 / 13</t>
        </is>
      </c>
      <c r="L580" t="inlineStr">
        <is>
          <t>6 / 13</t>
        </is>
      </c>
      <c r="M580" s="5" t="n">
        <v>0.32</v>
      </c>
      <c r="N580" s="5" t="n">
        <v>0.32</v>
      </c>
    </row>
    <row r="581">
      <c r="A581" t="n">
        <v>580</v>
      </c>
      <c r="B581" t="n">
        <v>2015</v>
      </c>
      <c r="C581" t="inlineStr">
        <is>
          <t>Dania Ahmed</t>
        </is>
      </c>
      <c r="D581">
        <f>HYPERLINK("https://ota.tournamentsoftware.com/player-profile/3A4EF5D7-2C40-4E2A-A979-D3231C03A93C", "Link")</f>
        <v/>
      </c>
      <c r="E581" s="3" t="n">
        <v>53.149</v>
      </c>
      <c r="F581" s="4" t="n">
        <v>12</v>
      </c>
      <c r="G581" t="inlineStr">
        <is>
          <t>Ontario Tennis Association</t>
        </is>
      </c>
      <c r="H581" t="inlineStr">
        <is>
          <t>Waterloo Tennis Club</t>
        </is>
      </c>
      <c r="I581" t="n">
        <v>37.2</v>
      </c>
      <c r="J581" s="4" t="n">
        <v>85</v>
      </c>
      <c r="K581" t="inlineStr">
        <is>
          <t>50 / 35</t>
        </is>
      </c>
      <c r="L581" t="inlineStr">
        <is>
          <t>3 / 10</t>
        </is>
      </c>
      <c r="M581" s="5" t="n">
        <v>0.59</v>
      </c>
      <c r="N581" s="5" t="n">
        <v>0.23</v>
      </c>
    </row>
    <row r="582">
      <c r="A582" t="n">
        <v>581</v>
      </c>
      <c r="B582" t="n">
        <v>2014</v>
      </c>
      <c r="C582" t="inlineStr">
        <is>
          <t>Julia Jzmati</t>
        </is>
      </c>
      <c r="D582">
        <f>HYPERLINK("https://ota.tournamentsoftware.com/player-profile/2AADF196-C892-43B1-9128-5338F8D87E95", "Link")</f>
        <v/>
      </c>
      <c r="E582" s="3" t="n">
        <v>52.454</v>
      </c>
      <c r="F582" s="4" t="n">
        <v>12</v>
      </c>
      <c r="G582" t="inlineStr">
        <is>
          <t>Ontario Tennis Association</t>
        </is>
      </c>
      <c r="H582" t="inlineStr">
        <is>
          <t>Rideau Sports Centre</t>
        </is>
      </c>
      <c r="I582" t="n">
        <v>38.9</v>
      </c>
      <c r="J582" s="4" t="n">
        <v>33</v>
      </c>
      <c r="K582" t="inlineStr">
        <is>
          <t>6 / 27</t>
        </is>
      </c>
      <c r="L582" t="inlineStr">
        <is>
          <t>2 / 12</t>
        </is>
      </c>
      <c r="M582" s="5" t="n">
        <v>0.18</v>
      </c>
      <c r="N582" s="5" t="n">
        <v>0.14</v>
      </c>
    </row>
    <row r="583">
      <c r="A583" t="n">
        <v>582</v>
      </c>
      <c r="B583" t="n">
        <v>2014</v>
      </c>
      <c r="C583" t="inlineStr">
        <is>
          <t>Tara Nastic</t>
        </is>
      </c>
      <c r="D583">
        <f>HYPERLINK("https://ota.tournamentsoftware.com/player-profile/43FF8AFD-A54E-4011-88C7-132B60B568E8", "Link")</f>
        <v/>
      </c>
      <c r="E583" s="3" t="n">
        <v>51.12</v>
      </c>
      <c r="F583" s="4" t="n">
        <v>4</v>
      </c>
      <c r="G583" t="inlineStr">
        <is>
          <t>Ontario Tennis Association</t>
        </is>
      </c>
      <c r="H583" t="inlineStr">
        <is>
          <t>Royal City Tennis Club</t>
        </is>
      </c>
      <c r="I583" t="inlineStr">
        <is>
          <t>unavailable</t>
        </is>
      </c>
      <c r="J583" s="4" t="n">
        <v>20</v>
      </c>
      <c r="K583" t="inlineStr">
        <is>
          <t>4 / 16</t>
        </is>
      </c>
      <c r="L583" t="inlineStr">
        <is>
          <t>1 / 4</t>
        </is>
      </c>
      <c r="M583" s="5" t="n">
        <v>0.2</v>
      </c>
      <c r="N583" s="5" t="n">
        <v>0.2</v>
      </c>
    </row>
    <row r="584">
      <c r="A584" t="n">
        <v>583</v>
      </c>
      <c r="B584" t="n">
        <v>2014</v>
      </c>
      <c r="C584" t="inlineStr">
        <is>
          <t>Ann Ha</t>
        </is>
      </c>
      <c r="D584">
        <f>HYPERLINK("https://ota.tournamentsoftware.com/player-profile/139E73DD-882F-4509-9B0C-BB790DA8399D", "Link")</f>
        <v/>
      </c>
      <c r="E584" s="3" t="n">
        <v>50.846</v>
      </c>
      <c r="F584" s="4" t="n">
        <v>3</v>
      </c>
      <c r="G584" t="inlineStr">
        <is>
          <t>Tennis Saskatchewan</t>
        </is>
      </c>
      <c r="H584" t="inlineStr">
        <is>
          <t>Lakewood Indoor Tennis Centre</t>
        </is>
      </c>
      <c r="I584" t="inlineStr">
        <is>
          <t>unavailable</t>
        </is>
      </c>
      <c r="J584" s="4" t="n">
        <v>9</v>
      </c>
      <c r="K584" t="inlineStr">
        <is>
          <t>1 / 8</t>
        </is>
      </c>
      <c r="L584" t="inlineStr">
        <is>
          <t>1 / 8</t>
        </is>
      </c>
      <c r="M584" s="5" t="n">
        <v>0.11</v>
      </c>
      <c r="N584" s="5" t="n">
        <v>0.11</v>
      </c>
    </row>
    <row r="585">
      <c r="A585" t="n">
        <v>584</v>
      </c>
      <c r="B585" t="n">
        <v>2012</v>
      </c>
      <c r="C585" t="inlineStr">
        <is>
          <t>Elise Chan</t>
        </is>
      </c>
      <c r="D585">
        <f>HYPERLINK("https://ota.tournamentsoftware.com/player-profile/74C14A51-A560-4368-85E6-96F13264726F", "Link")</f>
        <v/>
      </c>
      <c r="E585" s="3" t="n">
        <v>50.266</v>
      </c>
      <c r="F585" s="4" t="n">
        <v>4</v>
      </c>
      <c r="G585" t="inlineStr">
        <is>
          <t>Ontario Tennis Association</t>
        </is>
      </c>
      <c r="H585" t="inlineStr">
        <is>
          <t>Rideau Sports Centre</t>
        </is>
      </c>
      <c r="I585" t="n">
        <v>38.4</v>
      </c>
      <c r="J585" s="4" t="n">
        <v>3</v>
      </c>
      <c r="K585" t="inlineStr">
        <is>
          <t>0 / 3</t>
        </is>
      </c>
      <c r="L585" t="inlineStr">
        <is>
          <t>0 / 3</t>
        </is>
      </c>
      <c r="M585" s="5" t="n">
        <v>0</v>
      </c>
      <c r="N585" s="5" t="n">
        <v>0</v>
      </c>
    </row>
    <row r="586">
      <c r="A586" t="n">
        <v>585</v>
      </c>
      <c r="B586" t="n">
        <v>2014</v>
      </c>
      <c r="C586" t="inlineStr">
        <is>
          <t>Sofia Morisette</t>
        </is>
      </c>
      <c r="D586">
        <f>HYPERLINK("https://ota.tournamentsoftware.com/player-profile/F99611AC-3485-4574-897D-68151916B40D", "Link")</f>
        <v/>
      </c>
      <c r="E586" s="3" t="n">
        <v>50.011</v>
      </c>
      <c r="F586" s="4" t="n">
        <v>4</v>
      </c>
      <c r="G586" t="inlineStr">
        <is>
          <t>British Columbia</t>
        </is>
      </c>
      <c r="H586" t="inlineStr">
        <is>
          <t>Tennis BC Hub @ Richmond</t>
        </is>
      </c>
      <c r="I586" t="n">
        <v>35.8</v>
      </c>
      <c r="J586" s="4" t="n">
        <v>128</v>
      </c>
      <c r="K586" t="inlineStr">
        <is>
          <t>51 / 77</t>
        </is>
      </c>
      <c r="L586" t="inlineStr">
        <is>
          <t>2 / 6</t>
        </is>
      </c>
      <c r="M586" s="5" t="n">
        <v>0.4</v>
      </c>
      <c r="N586" s="5" t="n">
        <v>0.25</v>
      </c>
    </row>
    <row r="587">
      <c r="A587" t="n">
        <v>586</v>
      </c>
      <c r="B587" t="n">
        <v>2014</v>
      </c>
      <c r="C587" t="inlineStr">
        <is>
          <t>Charlotte Adeline Ratchford</t>
        </is>
      </c>
      <c r="D587">
        <f>HYPERLINK("https://ota.tournamentsoftware.com/player-profile/552DF1FC-65F6-48FE-8B31-884C1DC273DB", "Link")</f>
        <v/>
      </c>
      <c r="E587" s="3" t="n">
        <v>49.765</v>
      </c>
      <c r="F587" s="4" t="n">
        <v>17</v>
      </c>
      <c r="G587" t="inlineStr">
        <is>
          <t>British Columbia</t>
        </is>
      </c>
      <c r="H587" t="inlineStr">
        <is>
          <t>Jericho Tennis Club</t>
        </is>
      </c>
      <c r="I587" t="n">
        <v>36.9</v>
      </c>
      <c r="J587" s="4" t="n">
        <v>45</v>
      </c>
      <c r="K587" t="inlineStr">
        <is>
          <t>14 / 31</t>
        </is>
      </c>
      <c r="L587" t="inlineStr">
        <is>
          <t>12 / 26</t>
        </is>
      </c>
      <c r="M587" s="5" t="n">
        <v>0.31</v>
      </c>
      <c r="N587" s="5" t="n">
        <v>0.32</v>
      </c>
    </row>
    <row r="588">
      <c r="A588" t="n">
        <v>587</v>
      </c>
      <c r="B588" t="n">
        <v>2014</v>
      </c>
      <c r="C588" t="inlineStr">
        <is>
          <t>Emma Ghantous</t>
        </is>
      </c>
      <c r="D588">
        <f>HYPERLINK("https://ota.tournamentsoftware.com/player-profile/0EA6BF71-F3BF-4EA7-95F6-B80CD551F4FB", "Link")</f>
        <v/>
      </c>
      <c r="E588" s="3" t="n">
        <v>49.68</v>
      </c>
      <c r="F588" s="4" t="n">
        <v>2</v>
      </c>
      <c r="G588" t="inlineStr">
        <is>
          <t>Tennis Québec</t>
        </is>
      </c>
      <c r="H588" t="inlineStr">
        <is>
          <t>Tennis 13</t>
        </is>
      </c>
      <c r="I588" t="n">
        <v>33.4</v>
      </c>
      <c r="J588" s="4" t="n">
        <v>126</v>
      </c>
      <c r="K588" t="inlineStr">
        <is>
          <t>77 / 49</t>
        </is>
      </c>
      <c r="L588" t="inlineStr">
        <is>
          <t>0 / 0</t>
        </is>
      </c>
      <c r="M588" s="5" t="n">
        <v>0.61</v>
      </c>
      <c r="N588" s="5" t="n">
        <v>0</v>
      </c>
    </row>
    <row r="589">
      <c r="A589" t="n">
        <v>588</v>
      </c>
      <c r="B589" t="n">
        <v>2015</v>
      </c>
      <c r="C589" t="inlineStr">
        <is>
          <t>Sofia Kiselenko</t>
        </is>
      </c>
      <c r="D589">
        <f>HYPERLINK("https://ota.tournamentsoftware.com/player-profile/8164E8EB-17A8-4270-A12B-31EFF18C9343", "Link")</f>
        <v/>
      </c>
      <c r="E589" s="3" t="n">
        <v>49.342</v>
      </c>
      <c r="F589" s="4" t="n">
        <v>16</v>
      </c>
      <c r="G589" t="inlineStr">
        <is>
          <t>Tennis Alberta</t>
        </is>
      </c>
      <c r="H589" t="inlineStr">
        <is>
          <t>Osten &amp; Victor Alberta Tennis Centre</t>
        </is>
      </c>
      <c r="I589" t="n">
        <v>37</v>
      </c>
      <c r="J589" s="4" t="n">
        <v>133</v>
      </c>
      <c r="K589" t="inlineStr">
        <is>
          <t>44 / 89</t>
        </is>
      </c>
      <c r="L589" t="inlineStr">
        <is>
          <t>12 / 15</t>
        </is>
      </c>
      <c r="M589" s="5" t="n">
        <v>0.33</v>
      </c>
      <c r="N589" s="5" t="n">
        <v>0.44</v>
      </c>
    </row>
    <row r="590">
      <c r="A590" t="n">
        <v>589</v>
      </c>
      <c r="B590" t="n">
        <v>2016</v>
      </c>
      <c r="C590" t="inlineStr">
        <is>
          <t>Olivia Yueer Hao</t>
        </is>
      </c>
      <c r="D590">
        <f>HYPERLINK("https://ota.tournamentsoftware.com/player-profile/61C0E090-4E32-499F-86FE-FFD674DD6128", "Link")</f>
        <v/>
      </c>
      <c r="E590" s="3" t="n">
        <v>49.177</v>
      </c>
      <c r="F590" s="4" t="n">
        <v>9</v>
      </c>
      <c r="G590" t="inlineStr">
        <is>
          <t>Ontario Tennis Association</t>
        </is>
      </c>
      <c r="H590" t="inlineStr">
        <is>
          <t>Valan Tennis Academy</t>
        </is>
      </c>
      <c r="I590" t="n">
        <v>38.1</v>
      </c>
      <c r="J590" s="4" t="n">
        <v>73</v>
      </c>
      <c r="K590" t="inlineStr">
        <is>
          <t>33 / 40</t>
        </is>
      </c>
      <c r="L590" t="inlineStr">
        <is>
          <t>29 / 25</t>
        </is>
      </c>
      <c r="M590" s="5" t="n">
        <v>0.45</v>
      </c>
      <c r="N590" s="5" t="n">
        <v>0.54</v>
      </c>
    </row>
    <row r="591">
      <c r="A591" t="n">
        <v>590</v>
      </c>
      <c r="B591" t="n">
        <v>2017</v>
      </c>
      <c r="C591" t="inlineStr">
        <is>
          <t>Vivian Spurrell</t>
        </is>
      </c>
      <c r="D591">
        <f>HYPERLINK("https://ota.tournamentsoftware.com/player-profile/9CFE670B-9D8C-4BC2-8DDB-1C78F17AE1FF", "Link")</f>
        <v/>
      </c>
      <c r="E591" s="3" t="n">
        <v>49.126</v>
      </c>
      <c r="F591" s="4" t="n">
        <v>3</v>
      </c>
      <c r="G591" t="inlineStr">
        <is>
          <t>Tennis Newfoundland &amp; Labrador</t>
        </is>
      </c>
      <c r="H591" t="inlineStr">
        <is>
          <t>Greenbelt Tennis Club</t>
        </is>
      </c>
      <c r="I591" t="inlineStr">
        <is>
          <t>unavailable</t>
        </is>
      </c>
      <c r="J591" s="4" t="n">
        <v>20</v>
      </c>
      <c r="K591" t="inlineStr">
        <is>
          <t>15 / 5</t>
        </is>
      </c>
      <c r="L591" t="inlineStr">
        <is>
          <t>11 / 3</t>
        </is>
      </c>
      <c r="M591" s="5" t="n">
        <v>0.75</v>
      </c>
      <c r="N591" s="5" t="n">
        <v>0.79</v>
      </c>
    </row>
    <row r="592">
      <c r="A592" t="n">
        <v>591</v>
      </c>
      <c r="B592" t="n">
        <v>2015</v>
      </c>
      <c r="C592" t="inlineStr">
        <is>
          <t>Scarlett Chan</t>
        </is>
      </c>
      <c r="D592">
        <f>HYPERLINK("https://ota.tournamentsoftware.com/player-profile/FC173056-E1A0-4194-9722-D15B8524262F", "Link")</f>
        <v/>
      </c>
      <c r="E592" s="3" t="n">
        <v>48.556</v>
      </c>
      <c r="F592" s="4" t="n">
        <v>5</v>
      </c>
      <c r="G592" t="inlineStr">
        <is>
          <t>Ontario Tennis Association</t>
        </is>
      </c>
      <c r="H592" t="inlineStr">
        <is>
          <t>Mayfair East Racquet Club</t>
        </is>
      </c>
      <c r="I592" t="n">
        <v>36.7</v>
      </c>
      <c r="J592" s="4" t="n">
        <v>81</v>
      </c>
      <c r="K592" t="inlineStr">
        <is>
          <t>48 / 33</t>
        </is>
      </c>
      <c r="L592" t="inlineStr">
        <is>
          <t>4 / 7</t>
        </is>
      </c>
      <c r="M592" s="5" t="n">
        <v>0.59</v>
      </c>
      <c r="N592" s="5" t="n">
        <v>0.36</v>
      </c>
    </row>
    <row r="593">
      <c r="A593" t="n">
        <v>592</v>
      </c>
      <c r="B593" t="n">
        <v>2015</v>
      </c>
      <c r="C593" t="inlineStr">
        <is>
          <t>Aubrey Baldinelli</t>
        </is>
      </c>
      <c r="D593">
        <f>HYPERLINK("https://ota.tournamentsoftware.com/player-profile/4C52D449-95CA-49A9-B524-B01117EAD86C", "Link")</f>
        <v/>
      </c>
      <c r="E593" s="3" t="n">
        <v>48.55</v>
      </c>
      <c r="F593" s="4" t="n">
        <v>10</v>
      </c>
      <c r="G593" t="inlineStr">
        <is>
          <t>Ontario Tennis Association</t>
        </is>
      </c>
      <c r="H593" t="inlineStr">
        <is>
          <t>Youngs Sportsplex</t>
        </is>
      </c>
      <c r="I593" t="n">
        <v>37.4</v>
      </c>
      <c r="J593" s="4" t="n">
        <v>43</v>
      </c>
      <c r="K593" t="inlineStr">
        <is>
          <t>22 / 21</t>
        </is>
      </c>
      <c r="L593" t="inlineStr">
        <is>
          <t>5 / 13</t>
        </is>
      </c>
      <c r="M593" s="5" t="n">
        <v>0.51</v>
      </c>
      <c r="N593" s="5" t="n">
        <v>0.28</v>
      </c>
    </row>
    <row r="594">
      <c r="A594" t="n">
        <v>593</v>
      </c>
      <c r="B594" t="n">
        <v>2014</v>
      </c>
      <c r="C594" t="inlineStr">
        <is>
          <t>Tess Marie Trenholm</t>
        </is>
      </c>
      <c r="D594">
        <f>HYPERLINK("https://ota.tournamentsoftware.com/player-profile/37DD9223-BE00-45F7-9DE9-3EA92F74CD7B", "Link")</f>
        <v/>
      </c>
      <c r="E594" s="3" t="n">
        <v>48.421</v>
      </c>
      <c r="F594" s="4" t="n">
        <v>17</v>
      </c>
      <c r="G594" t="inlineStr">
        <is>
          <t>Ontario Tennis Association</t>
        </is>
      </c>
      <c r="H594" t="inlineStr">
        <is>
          <t>Ontario Racquet Club</t>
        </is>
      </c>
      <c r="I594" t="n">
        <v>38.1</v>
      </c>
      <c r="J594" s="4" t="n">
        <v>97</v>
      </c>
      <c r="K594" t="inlineStr">
        <is>
          <t>27 / 70</t>
        </is>
      </c>
      <c r="L594" t="inlineStr">
        <is>
          <t>8 / 15</t>
        </is>
      </c>
      <c r="M594" s="5" t="n">
        <v>0.28</v>
      </c>
      <c r="N594" s="5" t="n">
        <v>0.35</v>
      </c>
    </row>
    <row r="595">
      <c r="A595" t="n">
        <v>594</v>
      </c>
      <c r="B595" t="n">
        <v>2015</v>
      </c>
      <c r="C595" t="inlineStr">
        <is>
          <t>Alexia Lionis</t>
        </is>
      </c>
      <c r="D595">
        <f>HYPERLINK("https://ota.tournamentsoftware.com/player-profile/C2079715-4A8A-4F16-A5F2-10633FCB08AA", "Link")</f>
        <v/>
      </c>
      <c r="E595" s="3" t="n">
        <v>48.329</v>
      </c>
      <c r="F595" s="4" t="n">
        <v>6</v>
      </c>
      <c r="G595" t="inlineStr">
        <is>
          <t>Ontario Tennis Association</t>
        </is>
      </c>
      <c r="H595" t="inlineStr">
        <is>
          <t>Ontario Racquet Club</t>
        </is>
      </c>
      <c r="I595" t="inlineStr">
        <is>
          <t>unavailable</t>
        </is>
      </c>
      <c r="J595" s="4" t="n">
        <v>77</v>
      </c>
      <c r="K595" t="inlineStr">
        <is>
          <t>34 / 43</t>
        </is>
      </c>
      <c r="L595" t="inlineStr">
        <is>
          <t>5 / 9</t>
        </is>
      </c>
      <c r="M595" s="5" t="n">
        <v>0.44</v>
      </c>
      <c r="N595" s="5" t="n">
        <v>0.36</v>
      </c>
    </row>
    <row r="596">
      <c r="A596" t="n">
        <v>595</v>
      </c>
      <c r="B596" t="n">
        <v>2013</v>
      </c>
      <c r="C596" t="inlineStr">
        <is>
          <t>Gloria Yang</t>
        </is>
      </c>
      <c r="D596">
        <f>HYPERLINK("https://ota.tournamentsoftware.com/player-profile/93D03535-4A4B-4898-A531-8F0DB9BA8BD8", "Link")</f>
        <v/>
      </c>
      <c r="E596" s="3" t="n">
        <v>48.153</v>
      </c>
      <c r="F596" s="4" t="n">
        <v>2</v>
      </c>
      <c r="G596" t="inlineStr">
        <is>
          <t>Tennis Prince Edward Island</t>
        </is>
      </c>
      <c r="H596" t="inlineStr">
        <is>
          <t>Royalty Racquet Centre</t>
        </is>
      </c>
      <c r="I596" t="inlineStr">
        <is>
          <t>unavailable</t>
        </is>
      </c>
      <c r="J596" s="4" t="n">
        <v>24</v>
      </c>
      <c r="K596" t="inlineStr">
        <is>
          <t>11 / 13</t>
        </is>
      </c>
      <c r="L596" t="inlineStr">
        <is>
          <t>7 / 9</t>
        </is>
      </c>
      <c r="M596" s="5" t="n">
        <v>0.46</v>
      </c>
      <c r="N596" s="5" t="n">
        <v>0.44</v>
      </c>
    </row>
    <row r="597">
      <c r="A597" t="n">
        <v>596</v>
      </c>
      <c r="B597" t="n">
        <v>2015</v>
      </c>
      <c r="C597" t="inlineStr">
        <is>
          <t>LILLIAN LI</t>
        </is>
      </c>
      <c r="D597">
        <f>HYPERLINK("https://ota.tournamentsoftware.com/player-profile/6381808D-332A-4694-9A60-DD4214A2A2F0", "Link")</f>
        <v/>
      </c>
      <c r="E597" s="3" t="n">
        <v>47.962</v>
      </c>
      <c r="F597" s="4" t="n">
        <v>9</v>
      </c>
      <c r="G597" t="inlineStr">
        <is>
          <t>Ontario Tennis Association</t>
        </is>
      </c>
      <c r="H597" t="inlineStr">
        <is>
          <t>Rideau Sports Centre</t>
        </is>
      </c>
      <c r="I597" t="n">
        <v>40</v>
      </c>
      <c r="J597" s="4" t="n">
        <v>22</v>
      </c>
      <c r="K597" t="inlineStr">
        <is>
          <t>5 / 17</t>
        </is>
      </c>
      <c r="L597" t="inlineStr">
        <is>
          <t>1 / 10</t>
        </is>
      </c>
      <c r="M597" s="5" t="n">
        <v>0.23</v>
      </c>
      <c r="N597" s="5" t="n">
        <v>0.09</v>
      </c>
    </row>
    <row r="598">
      <c r="A598" t="n">
        <v>597</v>
      </c>
      <c r="B598" t="n">
        <v>2016</v>
      </c>
      <c r="C598" t="inlineStr">
        <is>
          <t>Chloe Garikimukkula</t>
        </is>
      </c>
      <c r="D598">
        <f>HYPERLINK("https://ota.tournamentsoftware.com/player-profile/8B630DA5-F61E-4159-9316-7EA463790908", "Link")</f>
        <v/>
      </c>
      <c r="E598" s="3" t="n">
        <v>47.448</v>
      </c>
      <c r="F598" s="4" t="n">
        <v>12</v>
      </c>
      <c r="G598" t="inlineStr">
        <is>
          <t>Ontario Tennis Association</t>
        </is>
      </c>
      <c r="H598" t="inlineStr">
        <is>
          <t>Burlington Tennis Club</t>
        </is>
      </c>
      <c r="I598" t="n">
        <v>36.9</v>
      </c>
      <c r="J598" s="4" t="n">
        <v>102</v>
      </c>
      <c r="K598" t="inlineStr">
        <is>
          <t>58 / 44</t>
        </is>
      </c>
      <c r="L598" t="inlineStr">
        <is>
          <t>39 / 29</t>
        </is>
      </c>
      <c r="M598" s="5" t="n">
        <v>0.57</v>
      </c>
      <c r="N598" s="5" t="n">
        <v>0.57</v>
      </c>
    </row>
    <row r="599">
      <c r="A599" t="n">
        <v>598</v>
      </c>
      <c r="B599" t="n">
        <v>2015</v>
      </c>
      <c r="C599" t="inlineStr">
        <is>
          <t>Anna Bella Grozdanovski</t>
        </is>
      </c>
      <c r="D599">
        <f>HYPERLINK("https://ota.tournamentsoftware.com/player-profile/C1BD78E7-5BB0-4BD0-9D53-DA02A232F8A0", "Link")</f>
        <v/>
      </c>
      <c r="E599" s="3" t="n">
        <v>46.908</v>
      </c>
      <c r="F599" s="4" t="n">
        <v>6</v>
      </c>
      <c r="G599" t="inlineStr">
        <is>
          <t>Ontario Tennis Association</t>
        </is>
      </c>
      <c r="H599" t="inlineStr">
        <is>
          <t>No Club</t>
        </is>
      </c>
      <c r="I599" t="n">
        <v>36.5</v>
      </c>
      <c r="J599" s="4" t="n">
        <v>40</v>
      </c>
      <c r="K599" t="inlineStr">
        <is>
          <t>19 / 21</t>
        </is>
      </c>
      <c r="L599" t="inlineStr">
        <is>
          <t>10 / 6</t>
        </is>
      </c>
      <c r="M599" s="5" t="n">
        <v>0.47</v>
      </c>
      <c r="N599" s="5" t="n">
        <v>0.62</v>
      </c>
    </row>
    <row r="600">
      <c r="A600" t="n">
        <v>599</v>
      </c>
      <c r="B600" t="n">
        <v>2014</v>
      </c>
      <c r="C600" t="inlineStr">
        <is>
          <t>Mila Phoebe Madrid</t>
        </is>
      </c>
      <c r="D600">
        <f>HYPERLINK("https://ota.tournamentsoftware.com/player-profile/3994748B-2ED2-4F57-8907-B1AE9B874F9B", "Link")</f>
        <v/>
      </c>
      <c r="E600" s="3" t="n">
        <v>46.657</v>
      </c>
      <c r="F600" s="4" t="n">
        <v>5</v>
      </c>
      <c r="G600" t="inlineStr">
        <is>
          <t>Ontario Tennis Association</t>
        </is>
      </c>
      <c r="H600" t="inlineStr">
        <is>
          <t>Newmarket Winter Tennis Club</t>
        </is>
      </c>
      <c r="I600" t="n">
        <v>37</v>
      </c>
      <c r="J600" s="4" t="n">
        <v>52</v>
      </c>
      <c r="K600" t="inlineStr">
        <is>
          <t>20 / 32</t>
        </is>
      </c>
      <c r="L600" t="inlineStr">
        <is>
          <t>13 / 6</t>
        </is>
      </c>
      <c r="M600" s="5" t="n">
        <v>0.38</v>
      </c>
      <c r="N600" s="5" t="n">
        <v>0.68</v>
      </c>
    </row>
    <row r="601">
      <c r="A601" t="n">
        <v>600</v>
      </c>
      <c r="B601" t="n">
        <v>2014</v>
      </c>
      <c r="C601" t="inlineStr">
        <is>
          <t>Victoria Kycia Block</t>
        </is>
      </c>
      <c r="D601">
        <f>HYPERLINK("https://ota.tournamentsoftware.com/player-profile/1F978CA6-97AC-4A84-BBEB-B431DDD9A28B", "Link")</f>
        <v/>
      </c>
      <c r="E601" s="3" t="n">
        <v>46.53</v>
      </c>
      <c r="F601" s="4" t="n">
        <v>12</v>
      </c>
      <c r="G601" t="inlineStr">
        <is>
          <t>Tennis Alberta</t>
        </is>
      </c>
      <c r="H601" t="inlineStr">
        <is>
          <t>Saville Community Sports Centre</t>
        </is>
      </c>
      <c r="I601" t="n">
        <v>34.4</v>
      </c>
      <c r="J601" s="4" t="n">
        <v>49</v>
      </c>
      <c r="K601" t="inlineStr">
        <is>
          <t>17 / 32</t>
        </is>
      </c>
      <c r="L601" t="inlineStr">
        <is>
          <t>10 / 9</t>
        </is>
      </c>
      <c r="M601" s="5" t="n">
        <v>0.35</v>
      </c>
      <c r="N601" s="5" t="n">
        <v>0.53</v>
      </c>
    </row>
    <row r="602">
      <c r="A602" t="n">
        <v>601</v>
      </c>
      <c r="B602" t="n">
        <v>2014</v>
      </c>
      <c r="C602" t="inlineStr">
        <is>
          <t>Laura Gyori</t>
        </is>
      </c>
      <c r="D602">
        <f>HYPERLINK("https://ota.tournamentsoftware.com/player-profile/5A55107A-8C3C-4255-8453-79017D4120E3", "Link")</f>
        <v/>
      </c>
      <c r="E602" s="3" t="n">
        <v>46.432</v>
      </c>
      <c r="F602" s="4" t="n">
        <v>5</v>
      </c>
      <c r="G602" t="inlineStr">
        <is>
          <t>Ontario Tennis Association</t>
        </is>
      </c>
      <c r="H602" t="inlineStr">
        <is>
          <t>Rideau Sports Centre</t>
        </is>
      </c>
      <c r="I602" t="inlineStr">
        <is>
          <t>unavailable</t>
        </is>
      </c>
      <c r="J602" s="4" t="n">
        <v>19</v>
      </c>
      <c r="K602" t="inlineStr">
        <is>
          <t>7 / 12</t>
        </is>
      </c>
      <c r="L602" t="inlineStr">
        <is>
          <t>3 / 5</t>
        </is>
      </c>
      <c r="M602" s="5" t="n">
        <v>0.37</v>
      </c>
      <c r="N602" s="5" t="n">
        <v>0.38</v>
      </c>
    </row>
    <row r="603">
      <c r="A603" t="n">
        <v>602</v>
      </c>
      <c r="B603" t="n">
        <v>2016</v>
      </c>
      <c r="C603" t="inlineStr">
        <is>
          <t>Stella Somerville</t>
        </is>
      </c>
      <c r="D603">
        <f>HYPERLINK("https://ota.tournamentsoftware.com/player-profile/87C92774-21A4-4A46-97F9-D656FA91A212", "Link")</f>
        <v/>
      </c>
      <c r="E603" s="3" t="n">
        <v>46.08</v>
      </c>
      <c r="F603" s="4" t="n">
        <v>7</v>
      </c>
      <c r="G603" t="inlineStr">
        <is>
          <t>Ontario Tennis Association</t>
        </is>
      </c>
      <c r="H603" t="inlineStr">
        <is>
          <t>Advantage Tennis International at Veneto</t>
        </is>
      </c>
      <c r="I603" t="n">
        <v>36.6</v>
      </c>
      <c r="J603" s="4" t="n">
        <v>89</v>
      </c>
      <c r="K603" t="inlineStr">
        <is>
          <t>41 / 48</t>
        </is>
      </c>
      <c r="L603" t="inlineStr">
        <is>
          <t>10 / 10</t>
        </is>
      </c>
      <c r="M603" s="5" t="n">
        <v>0.46</v>
      </c>
      <c r="N603" s="5" t="n">
        <v>0.5</v>
      </c>
    </row>
    <row r="604">
      <c r="A604" t="n">
        <v>603</v>
      </c>
      <c r="B604" t="n">
        <v>2015</v>
      </c>
      <c r="C604" t="inlineStr">
        <is>
          <t>Olivia Mary Hipwell</t>
        </is>
      </c>
      <c r="D604">
        <f>HYPERLINK("https://ota.tournamentsoftware.com/player-profile/1595D3E6-D4CF-4ADE-B136-FD5AC473C7F7", "Link")</f>
        <v/>
      </c>
      <c r="E604" s="3" t="n">
        <v>45.828</v>
      </c>
      <c r="F604" s="4" t="n">
        <v>10</v>
      </c>
      <c r="G604" t="inlineStr">
        <is>
          <t>Ontario Tennis Association</t>
        </is>
      </c>
      <c r="H604" t="inlineStr">
        <is>
          <t>Ontario Racquet Club</t>
        </is>
      </c>
      <c r="I604" t="inlineStr">
        <is>
          <t>unavailable</t>
        </is>
      </c>
      <c r="J604" s="4" t="n">
        <v>82</v>
      </c>
      <c r="K604" t="inlineStr">
        <is>
          <t>28 / 54</t>
        </is>
      </c>
      <c r="L604" t="inlineStr">
        <is>
          <t>4 / 12</t>
        </is>
      </c>
      <c r="M604" s="5" t="n">
        <v>0.34</v>
      </c>
      <c r="N604" s="5" t="n">
        <v>0.25</v>
      </c>
    </row>
    <row r="605">
      <c r="A605" t="n">
        <v>604</v>
      </c>
      <c r="B605" t="n">
        <v>2013</v>
      </c>
      <c r="C605" t="inlineStr">
        <is>
          <t>Blake Beck Sadler</t>
        </is>
      </c>
      <c r="D605">
        <f>HYPERLINK("https://ota.tournamentsoftware.com/player-profile/B44D5381-342B-4AF0-8200-EA0CEE1E54B7", "Link")</f>
        <v/>
      </c>
      <c r="E605" s="3" t="n">
        <v>45.78</v>
      </c>
      <c r="F605" s="4" t="n">
        <v>3</v>
      </c>
      <c r="G605" t="inlineStr">
        <is>
          <t>Ontario Tennis Association</t>
        </is>
      </c>
      <c r="H605" t="inlineStr">
        <is>
          <t>Ontario Racquet Club</t>
        </is>
      </c>
      <c r="I605" t="n">
        <v>37.2</v>
      </c>
      <c r="J605" s="4" t="n">
        <v>23</v>
      </c>
      <c r="K605" t="inlineStr">
        <is>
          <t>12 / 11</t>
        </is>
      </c>
      <c r="L605" t="inlineStr">
        <is>
          <t>1 / 2</t>
        </is>
      </c>
      <c r="M605" s="5" t="n">
        <v>0.52</v>
      </c>
      <c r="N605" s="5" t="n">
        <v>0.33</v>
      </c>
    </row>
    <row r="606">
      <c r="A606" t="n">
        <v>605</v>
      </c>
      <c r="B606" t="n">
        <v>2014</v>
      </c>
      <c r="C606" t="inlineStr">
        <is>
          <t>Alena Sui</t>
        </is>
      </c>
      <c r="D606">
        <f>HYPERLINK("https://ota.tournamentsoftware.com/player-profile/92B690E9-D6C6-410C-A457-5AC3927E933A", "Link")</f>
        <v/>
      </c>
      <c r="E606" s="3" t="n">
        <v>45.687</v>
      </c>
      <c r="F606" s="4" t="n">
        <v>12</v>
      </c>
      <c r="G606" t="inlineStr">
        <is>
          <t>British Columbia</t>
        </is>
      </c>
      <c r="H606" t="inlineStr">
        <is>
          <t>No Club</t>
        </is>
      </c>
      <c r="I606" t="n">
        <v>38.2</v>
      </c>
      <c r="J606" s="4" t="n">
        <v>80</v>
      </c>
      <c r="K606" t="inlineStr">
        <is>
          <t>36 / 44</t>
        </is>
      </c>
      <c r="L606" t="inlineStr">
        <is>
          <t>16 / 22</t>
        </is>
      </c>
      <c r="M606" s="5" t="n">
        <v>0.45</v>
      </c>
      <c r="N606" s="5" t="n">
        <v>0.42</v>
      </c>
    </row>
    <row r="607">
      <c r="A607" t="n">
        <v>606</v>
      </c>
      <c r="B607" t="n">
        <v>2015</v>
      </c>
      <c r="C607" t="inlineStr">
        <is>
          <t>ALICE Wan yee Wong</t>
        </is>
      </c>
      <c r="D607">
        <f>HYPERLINK("https://ota.tournamentsoftware.com/player-profile/1B8AB01B-692B-4E5E-B513-A24155329374", "Link")</f>
        <v/>
      </c>
      <c r="E607" s="3" t="n">
        <v>45.399</v>
      </c>
      <c r="F607" s="4" t="n">
        <v>12</v>
      </c>
      <c r="G607" t="inlineStr">
        <is>
          <t>British Columbia</t>
        </is>
      </c>
      <c r="H607" t="inlineStr">
        <is>
          <t>The Tennis Centre</t>
        </is>
      </c>
      <c r="I607" t="n">
        <v>35</v>
      </c>
      <c r="J607" s="4" t="n">
        <v>121</v>
      </c>
      <c r="K607" t="inlineStr">
        <is>
          <t>58 / 63</t>
        </is>
      </c>
      <c r="L607" t="inlineStr">
        <is>
          <t>18 / 14</t>
        </is>
      </c>
      <c r="M607" s="5" t="n">
        <v>0.48</v>
      </c>
      <c r="N607" s="5" t="n">
        <v>0.5600000000000001</v>
      </c>
    </row>
    <row r="608">
      <c r="A608" t="n">
        <v>607</v>
      </c>
      <c r="B608" t="n">
        <v>2017</v>
      </c>
      <c r="C608" t="inlineStr">
        <is>
          <t>Arianna Fernanda Chacon</t>
        </is>
      </c>
      <c r="D608">
        <f>HYPERLINK("https://ota.tournamentsoftware.com/player-profile/3B36D99D-C9E7-48A2-BC06-6AD3725AC12E", "Link")</f>
        <v/>
      </c>
      <c r="E608" s="3" t="n">
        <v>45.016</v>
      </c>
      <c r="F608" s="4" t="n">
        <v>16</v>
      </c>
      <c r="G608" t="inlineStr">
        <is>
          <t>Tennis Alberta</t>
        </is>
      </c>
      <c r="H608" t="inlineStr">
        <is>
          <t>Aforza</t>
        </is>
      </c>
      <c r="I608" t="n">
        <v>34.8</v>
      </c>
      <c r="J608" s="4" t="n">
        <v>204</v>
      </c>
      <c r="K608" t="inlineStr">
        <is>
          <t>108 / 96</t>
        </is>
      </c>
      <c r="L608" t="inlineStr">
        <is>
          <t>35 / 20</t>
        </is>
      </c>
      <c r="M608" s="5" t="n">
        <v>0.53</v>
      </c>
      <c r="N608" s="5" t="n">
        <v>0.64</v>
      </c>
    </row>
    <row r="609">
      <c r="A609" t="n">
        <v>608</v>
      </c>
      <c r="B609" t="n">
        <v>2012</v>
      </c>
      <c r="C609" t="inlineStr">
        <is>
          <t>Selena Wazelle</t>
        </is>
      </c>
      <c r="D609">
        <f>HYPERLINK("https://ota.tournamentsoftware.com/player-profile/B596341F-BD27-43AF-8888-AAD072F39AFB", "Link")</f>
        <v/>
      </c>
      <c r="E609" s="3" t="n">
        <v>45</v>
      </c>
      <c r="F609" s="4" t="n">
        <v>1</v>
      </c>
      <c r="G609" t="inlineStr">
        <is>
          <t>British Columbia</t>
        </is>
      </c>
      <c r="H609" t="inlineStr">
        <is>
          <t>No Club</t>
        </is>
      </c>
      <c r="I609" t="n">
        <v>30.2</v>
      </c>
      <c r="J609" s="4" t="n">
        <v>159</v>
      </c>
      <c r="K609" t="inlineStr">
        <is>
          <t>89 / 70</t>
        </is>
      </c>
      <c r="L609" t="inlineStr">
        <is>
          <t>0 / 0</t>
        </is>
      </c>
      <c r="M609" s="5" t="n">
        <v>0.5600000000000001</v>
      </c>
      <c r="N609" s="5" t="n">
        <v>0</v>
      </c>
    </row>
    <row r="610">
      <c r="A610" t="n">
        <v>609</v>
      </c>
      <c r="B610" t="n">
        <v>2015</v>
      </c>
      <c r="C610" t="inlineStr">
        <is>
          <t>Kinsley Jade Lin</t>
        </is>
      </c>
      <c r="D610">
        <f>HYPERLINK("https://ota.tournamentsoftware.com/player-profile/1FF4FA2D-412B-4E4A-AE72-948C7BC68D73", "Link")</f>
        <v/>
      </c>
      <c r="E610" s="3" t="n">
        <v>44.956</v>
      </c>
      <c r="F610" s="4" t="n">
        <v>11</v>
      </c>
      <c r="G610" t="inlineStr">
        <is>
          <t>Ontario Tennis Association</t>
        </is>
      </c>
      <c r="H610" t="inlineStr">
        <is>
          <t>The Tennis School</t>
        </is>
      </c>
      <c r="I610" t="n">
        <v>37.6</v>
      </c>
      <c r="J610" s="4" t="n">
        <v>94</v>
      </c>
      <c r="K610" t="inlineStr">
        <is>
          <t>40 / 54</t>
        </is>
      </c>
      <c r="L610" t="inlineStr">
        <is>
          <t>5 / 11</t>
        </is>
      </c>
      <c r="M610" s="5" t="n">
        <v>0.43</v>
      </c>
      <c r="N610" s="5" t="n">
        <v>0.31</v>
      </c>
    </row>
    <row r="611">
      <c r="A611" t="n">
        <v>610</v>
      </c>
      <c r="B611" t="n">
        <v>2016</v>
      </c>
      <c r="C611" t="inlineStr">
        <is>
          <t>Jessie DONG</t>
        </is>
      </c>
      <c r="D611">
        <f>HYPERLINK("https://ota.tournamentsoftware.com/player-profile/DD46DDC2-A0FA-4A57-9C2B-207D02D3DFB6", "Link")</f>
        <v/>
      </c>
      <c r="E611" s="3" t="n">
        <v>44.76</v>
      </c>
      <c r="F611" s="4" t="n">
        <v>8</v>
      </c>
      <c r="G611" t="inlineStr">
        <is>
          <t>Ontario Tennis Association</t>
        </is>
      </c>
      <c r="H611" t="inlineStr">
        <is>
          <t>Premier Racquet Clubs – Mississauga</t>
        </is>
      </c>
      <c r="I611" t="n">
        <v>37.5</v>
      </c>
      <c r="J611" s="4" t="n">
        <v>60</v>
      </c>
      <c r="K611" t="inlineStr">
        <is>
          <t>25 / 35</t>
        </is>
      </c>
      <c r="L611" t="inlineStr">
        <is>
          <t>25 / 35</t>
        </is>
      </c>
      <c r="M611" s="5" t="n">
        <v>0.42</v>
      </c>
      <c r="N611" s="5" t="n">
        <v>0.42</v>
      </c>
    </row>
    <row r="612">
      <c r="A612" t="n">
        <v>611</v>
      </c>
      <c r="B612" t="n">
        <v>2012</v>
      </c>
      <c r="C612" t="inlineStr">
        <is>
          <t>Adelaide Morgan</t>
        </is>
      </c>
      <c r="D612">
        <f>HYPERLINK("https://ota.tournamentsoftware.com/player-profile/349677AB-87B2-407B-BDFF-04EE8550EE87", "Link")</f>
        <v/>
      </c>
      <c r="E612" s="3" t="n">
        <v>43.891</v>
      </c>
      <c r="F612" s="4" t="n">
        <v>3</v>
      </c>
      <c r="G612" t="inlineStr">
        <is>
          <t>Ontario Tennis Association</t>
        </is>
      </c>
      <c r="H612" t="inlineStr">
        <is>
          <t>Eglinton Flats Winter Tennis Club</t>
        </is>
      </c>
      <c r="I612" t="inlineStr">
        <is>
          <t>unavailable</t>
        </is>
      </c>
      <c r="J612" s="4" t="n">
        <v>17</v>
      </c>
      <c r="K612" t="inlineStr">
        <is>
          <t>5 / 12</t>
        </is>
      </c>
      <c r="L612" t="inlineStr">
        <is>
          <t>0 / 6</t>
        </is>
      </c>
      <c r="M612" s="5" t="n">
        <v>0.29</v>
      </c>
      <c r="N612" s="5" t="n">
        <v>0</v>
      </c>
    </row>
    <row r="613">
      <c r="A613" t="n">
        <v>612</v>
      </c>
      <c r="B613" t="n">
        <v>2012</v>
      </c>
      <c r="C613" t="inlineStr">
        <is>
          <t>Stefaniia Petrova</t>
        </is>
      </c>
      <c r="D613">
        <f>HYPERLINK("https://ota.tournamentsoftware.com/player-profile/23727B96-731B-4DBB-9789-81399E2B9950", "Link")</f>
        <v/>
      </c>
      <c r="E613" s="3" t="n">
        <v>43.56</v>
      </c>
      <c r="F613" s="4" t="n">
        <v>1</v>
      </c>
      <c r="G613" t="inlineStr">
        <is>
          <t>Ontario Tennis Association</t>
        </is>
      </c>
      <c r="H613" t="inlineStr">
        <is>
          <t>No Club</t>
        </is>
      </c>
      <c r="I613" t="n">
        <v>29.1</v>
      </c>
      <c r="J613" s="4" t="n">
        <v>301</v>
      </c>
      <c r="K613" t="inlineStr">
        <is>
          <t>177 / 124</t>
        </is>
      </c>
      <c r="L613" t="inlineStr">
        <is>
          <t>0 / 0</t>
        </is>
      </c>
      <c r="M613" s="5" t="n">
        <v>0.59</v>
      </c>
      <c r="N613" s="5" t="n">
        <v>0</v>
      </c>
    </row>
    <row r="614">
      <c r="A614" t="n">
        <v>613</v>
      </c>
      <c r="B614" t="n">
        <v>2014</v>
      </c>
      <c r="C614" t="inlineStr">
        <is>
          <t>Sophie Vivienne Ma</t>
        </is>
      </c>
      <c r="D614">
        <f>HYPERLINK("https://ota.tournamentsoftware.com/player-profile/5BFCC3E7-799D-4957-B35C-26164F771CAB", "Link")</f>
        <v/>
      </c>
      <c r="E614" s="3" t="n">
        <v>43.381</v>
      </c>
      <c r="F614" s="4" t="n">
        <v>9</v>
      </c>
      <c r="G614" t="inlineStr">
        <is>
          <t>Ontario Tennis Association</t>
        </is>
      </c>
      <c r="H614" t="inlineStr">
        <is>
          <t>NYTA Winter Tennis Club</t>
        </is>
      </c>
      <c r="I614" t="n">
        <v>37.4</v>
      </c>
      <c r="J614" s="4" t="n">
        <v>60</v>
      </c>
      <c r="K614" t="inlineStr">
        <is>
          <t>21 / 39</t>
        </is>
      </c>
      <c r="L614" t="inlineStr">
        <is>
          <t>6 / 12</t>
        </is>
      </c>
      <c r="M614" s="5" t="n">
        <v>0.35</v>
      </c>
      <c r="N614" s="5" t="n">
        <v>0.33</v>
      </c>
    </row>
    <row r="615">
      <c r="A615" t="n">
        <v>614</v>
      </c>
      <c r="B615" t="n">
        <v>2013</v>
      </c>
      <c r="C615" t="inlineStr">
        <is>
          <t>Emma Isabella Lamacchia</t>
        </is>
      </c>
      <c r="D615">
        <f>HYPERLINK("https://ota.tournamentsoftware.com/player-profile/13408327-82EC-4D4E-B3D1-9FA084C53782", "Link")</f>
        <v/>
      </c>
      <c r="E615" s="3" t="n">
        <v>43.33</v>
      </c>
      <c r="F615" s="4" t="n">
        <v>3</v>
      </c>
      <c r="G615" t="inlineStr">
        <is>
          <t>Ontario Tennis Association</t>
        </is>
      </c>
      <c r="H615" t="inlineStr">
        <is>
          <t>Advantage Tennis International at Veneto</t>
        </is>
      </c>
      <c r="I615" t="n">
        <v>39.9</v>
      </c>
      <c r="J615" s="4" t="n">
        <v>19</v>
      </c>
      <c r="K615" t="inlineStr">
        <is>
          <t>2 / 17</t>
        </is>
      </c>
      <c r="L615" t="inlineStr">
        <is>
          <t>2 / 17</t>
        </is>
      </c>
      <c r="M615" s="5" t="n">
        <v>0.11</v>
      </c>
      <c r="N615" s="5" t="n">
        <v>0.11</v>
      </c>
    </row>
    <row r="616">
      <c r="A616" t="n">
        <v>615</v>
      </c>
      <c r="B616" t="n">
        <v>2012</v>
      </c>
      <c r="C616" t="inlineStr">
        <is>
          <t>Valeria Taborda - Valverde</t>
        </is>
      </c>
      <c r="D616">
        <f>HYPERLINK("https://ota.tournamentsoftware.com/player-profile/E0201B38-AEE1-4BAC-B0FB-FA389A1FFEA8", "Link")</f>
        <v/>
      </c>
      <c r="E616" s="3" t="n">
        <v>43.272</v>
      </c>
      <c r="F616" s="4" t="n">
        <v>2</v>
      </c>
      <c r="G616" t="inlineStr">
        <is>
          <t>Ontario Tennis Association</t>
        </is>
      </c>
      <c r="H616" t="inlineStr">
        <is>
          <t>Port Hope Racquet Club</t>
        </is>
      </c>
      <c r="I616" t="inlineStr">
        <is>
          <t>unavailable</t>
        </is>
      </c>
      <c r="J616" s="4" t="n">
        <v>38</v>
      </c>
      <c r="K616" t="inlineStr">
        <is>
          <t>16 / 22</t>
        </is>
      </c>
      <c r="L616" t="inlineStr">
        <is>
          <t>4 / 1</t>
        </is>
      </c>
      <c r="M616" s="5" t="n">
        <v>0.42</v>
      </c>
      <c r="N616" s="5" t="n">
        <v>0.8</v>
      </c>
    </row>
    <row r="617">
      <c r="A617" t="n">
        <v>616</v>
      </c>
      <c r="B617" t="n">
        <v>2015</v>
      </c>
      <c r="C617" t="inlineStr">
        <is>
          <t>Charlotte Harvey</t>
        </is>
      </c>
      <c r="D617">
        <f>HYPERLINK("https://ota.tournamentsoftware.com/player-profile/222A5F1C-DAD0-4E2A-B035-6A15561C1E0A", "Link")</f>
        <v/>
      </c>
      <c r="E617" s="3" t="n">
        <v>43.248</v>
      </c>
      <c r="F617" s="4" t="n">
        <v>4</v>
      </c>
      <c r="G617" t="inlineStr">
        <is>
          <t>Tennis Québec</t>
        </is>
      </c>
      <c r="H617" t="inlineStr">
        <is>
          <t>Les Tennis de Rimouski (intérieur)</t>
        </is>
      </c>
      <c r="I617" t="n">
        <v>36.1</v>
      </c>
      <c r="J617" s="4" t="n">
        <v>14</v>
      </c>
      <c r="K617" t="inlineStr">
        <is>
          <t>8 / 6</t>
        </is>
      </c>
      <c r="L617" t="inlineStr">
        <is>
          <t>6 / 5</t>
        </is>
      </c>
      <c r="M617" s="5" t="n">
        <v>0.57</v>
      </c>
      <c r="N617" s="5" t="n">
        <v>0.55</v>
      </c>
    </row>
    <row r="618">
      <c r="A618" t="n">
        <v>617</v>
      </c>
      <c r="B618" t="n">
        <v>2014</v>
      </c>
      <c r="C618" t="inlineStr">
        <is>
          <t>Ann-Mayelle Veillard</t>
        </is>
      </c>
      <c r="D618">
        <f>HYPERLINK("https://ota.tournamentsoftware.com/player-profile/C734CB2A-2E7E-46C5-B1F0-69D754EF8527", "Link")</f>
        <v/>
      </c>
      <c r="E618" s="3" t="n">
        <v>42.328</v>
      </c>
      <c r="F618" s="4" t="n">
        <v>11</v>
      </c>
      <c r="G618" t="inlineStr">
        <is>
          <t>Tennis Québec</t>
        </is>
      </c>
      <c r="H618" t="inlineStr">
        <is>
          <t>No Club</t>
        </is>
      </c>
      <c r="I618" t="inlineStr">
        <is>
          <t>unavailable</t>
        </is>
      </c>
      <c r="J618" s="4" t="n">
        <v>22</v>
      </c>
      <c r="K618" t="inlineStr">
        <is>
          <t>10 / 12</t>
        </is>
      </c>
      <c r="L618" t="inlineStr">
        <is>
          <t>10 / 12</t>
        </is>
      </c>
      <c r="M618" s="5" t="n">
        <v>0.45</v>
      </c>
      <c r="N618" s="5" t="n">
        <v>0.45</v>
      </c>
    </row>
    <row r="619">
      <c r="A619" t="n">
        <v>618</v>
      </c>
      <c r="B619" t="n">
        <v>2012</v>
      </c>
      <c r="C619" t="inlineStr">
        <is>
          <t>Mackenzie Quek</t>
        </is>
      </c>
      <c r="D619">
        <f>HYPERLINK("https://ota.tournamentsoftware.com/player-profile/51407A91-7051-4BC3-B583-F0DC1E06E113", "Link")</f>
        <v/>
      </c>
      <c r="E619" s="3" t="n">
        <v>42.274</v>
      </c>
      <c r="F619" s="4" t="n">
        <v>4</v>
      </c>
      <c r="G619" t="inlineStr">
        <is>
          <t>Ontario Tennis Association</t>
        </is>
      </c>
      <c r="H619" t="inlineStr">
        <is>
          <t>Concord Tennis Academy</t>
        </is>
      </c>
      <c r="I619" t="inlineStr">
        <is>
          <t>unavailable</t>
        </is>
      </c>
      <c r="J619" s="4" t="n">
        <v>13</v>
      </c>
      <c r="K619" t="inlineStr">
        <is>
          <t>3 / 10</t>
        </is>
      </c>
      <c r="L619" t="inlineStr">
        <is>
          <t>3 / 10</t>
        </is>
      </c>
      <c r="M619" s="5" t="n">
        <v>0.23</v>
      </c>
      <c r="N619" s="5" t="n">
        <v>0.23</v>
      </c>
    </row>
    <row r="620">
      <c r="A620" t="n">
        <v>619</v>
      </c>
      <c r="B620" t="n">
        <v>2015</v>
      </c>
      <c r="C620" t="inlineStr">
        <is>
          <t>Juliette Tremblay</t>
        </is>
      </c>
      <c r="D620">
        <f>HYPERLINK("https://ota.tournamentsoftware.com/player-profile/94E82DA2-01EF-471F-BB0F-8CEAA1C42076", "Link")</f>
        <v/>
      </c>
      <c r="E620" s="3" t="n">
        <v>41.998</v>
      </c>
      <c r="F620" s="4" t="n">
        <v>11</v>
      </c>
      <c r="G620" t="inlineStr">
        <is>
          <t>Tennis Québec</t>
        </is>
      </c>
      <c r="H620" t="inlineStr">
        <is>
          <t>Tennis Outaouais Performance (TOP)</t>
        </is>
      </c>
      <c r="I620" t="n">
        <v>37.7</v>
      </c>
      <c r="J620" s="4" t="n">
        <v>54</v>
      </c>
      <c r="K620" t="inlineStr">
        <is>
          <t>16 / 38</t>
        </is>
      </c>
      <c r="L620" t="inlineStr">
        <is>
          <t>5 / 13</t>
        </is>
      </c>
      <c r="M620" s="5" t="n">
        <v>0.3</v>
      </c>
      <c r="N620" s="5" t="n">
        <v>0.28</v>
      </c>
    </row>
    <row r="621">
      <c r="A621" t="n">
        <v>620</v>
      </c>
      <c r="B621" t="n">
        <v>2015</v>
      </c>
      <c r="C621" t="inlineStr">
        <is>
          <t>Mia Kojic</t>
        </is>
      </c>
      <c r="D621">
        <f>HYPERLINK("https://ota.tournamentsoftware.com/player-profile/1573DFB3-8189-4CE9-AAAC-9ADF1738AD9C", "Link")</f>
        <v/>
      </c>
      <c r="E621" s="3" t="n">
        <v>41.917</v>
      </c>
      <c r="F621" s="4" t="n">
        <v>8</v>
      </c>
      <c r="G621" t="inlineStr">
        <is>
          <t>Ontario Tennis Association</t>
        </is>
      </c>
      <c r="H621" t="inlineStr">
        <is>
          <t>Ontario Racquet Club</t>
        </is>
      </c>
      <c r="I621" t="n">
        <v>36.7</v>
      </c>
      <c r="J621" s="4" t="n">
        <v>95</v>
      </c>
      <c r="K621" t="inlineStr">
        <is>
          <t>41 / 54</t>
        </is>
      </c>
      <c r="L621" t="inlineStr">
        <is>
          <t>5 / 9</t>
        </is>
      </c>
      <c r="M621" s="5" t="n">
        <v>0.43</v>
      </c>
      <c r="N621" s="5" t="n">
        <v>0.36</v>
      </c>
    </row>
    <row r="622">
      <c r="A622" t="n">
        <v>621</v>
      </c>
      <c r="B622" t="n">
        <v>2014</v>
      </c>
      <c r="C622" t="inlineStr">
        <is>
          <t>Melina Ioannidis</t>
        </is>
      </c>
      <c r="D622">
        <f>HYPERLINK("https://ota.tournamentsoftware.com/player-profile/7105A5E6-611D-4531-9016-F7FBEE3F6368", "Link")</f>
        <v/>
      </c>
      <c r="E622" s="3" t="n">
        <v>41.56</v>
      </c>
      <c r="F622" s="4" t="n">
        <v>6</v>
      </c>
      <c r="G622" t="inlineStr">
        <is>
          <t>Ontario Tennis Association</t>
        </is>
      </c>
      <c r="H622" t="inlineStr">
        <is>
          <t>Aurora Community Tennis Club</t>
        </is>
      </c>
      <c r="I622" t="n">
        <v>37</v>
      </c>
      <c r="J622" s="4" t="n">
        <v>61</v>
      </c>
      <c r="K622" t="inlineStr">
        <is>
          <t>34 / 27</t>
        </is>
      </c>
      <c r="L622" t="inlineStr">
        <is>
          <t>4 / 5</t>
        </is>
      </c>
      <c r="M622" s="5" t="n">
        <v>0.5600000000000001</v>
      </c>
      <c r="N622" s="5" t="n">
        <v>0.44</v>
      </c>
    </row>
    <row r="623">
      <c r="A623" t="n">
        <v>622</v>
      </c>
      <c r="B623" t="n">
        <v>2017</v>
      </c>
      <c r="C623" t="inlineStr">
        <is>
          <t>Aria Bloom</t>
        </is>
      </c>
      <c r="D623">
        <f>HYPERLINK("https://ota.tournamentsoftware.com/player-profile/7C30BE00-7F15-42B9-BA96-B3B2895898A0", "Link")</f>
        <v/>
      </c>
      <c r="E623" s="3" t="n">
        <v>41.346</v>
      </c>
      <c r="F623" s="4" t="n">
        <v>8</v>
      </c>
      <c r="G623" t="inlineStr">
        <is>
          <t>Tennis Alberta</t>
        </is>
      </c>
      <c r="H623" t="inlineStr">
        <is>
          <t>Osten &amp; Victor Alberta Tennis Centre</t>
        </is>
      </c>
      <c r="I623" t="n">
        <v>33.5</v>
      </c>
      <c r="J623" s="4" t="n">
        <v>123</v>
      </c>
      <c r="K623" t="inlineStr">
        <is>
          <t>94 / 29</t>
        </is>
      </c>
      <c r="L623" t="inlineStr">
        <is>
          <t>40 / 6</t>
        </is>
      </c>
      <c r="M623" s="5" t="n">
        <v>0.76</v>
      </c>
      <c r="N623" s="5" t="n">
        <v>0.87</v>
      </c>
    </row>
    <row r="624">
      <c r="A624" t="n">
        <v>623</v>
      </c>
      <c r="B624" t="n">
        <v>2015</v>
      </c>
      <c r="C624" t="inlineStr">
        <is>
          <t>Lillian Tooryani</t>
        </is>
      </c>
      <c r="D624">
        <f>HYPERLINK("https://ota.tournamentsoftware.com/player-profile/B149ED5D-E26B-4577-8AAB-620DB4A7A85F", "Link")</f>
        <v/>
      </c>
      <c r="E624" s="3" t="n">
        <v>41.04</v>
      </c>
      <c r="F624" s="4" t="n">
        <v>13</v>
      </c>
      <c r="G624" t="inlineStr">
        <is>
          <t>Ontario Tennis Association</t>
        </is>
      </c>
      <c r="H624" t="inlineStr">
        <is>
          <t>Mayfair West Fitness &amp; Racquet Club</t>
        </is>
      </c>
      <c r="I624" t="n">
        <v>37.5</v>
      </c>
      <c r="J624" s="4" t="n">
        <v>44</v>
      </c>
      <c r="K624" t="inlineStr">
        <is>
          <t>17 / 27</t>
        </is>
      </c>
      <c r="L624" t="inlineStr">
        <is>
          <t>14 / 14</t>
        </is>
      </c>
      <c r="M624" s="5" t="n">
        <v>0.39</v>
      </c>
      <c r="N624" s="5" t="n">
        <v>0.5</v>
      </c>
    </row>
    <row r="625">
      <c r="A625" t="n">
        <v>623</v>
      </c>
      <c r="B625" t="n">
        <v>2016</v>
      </c>
      <c r="C625" t="inlineStr">
        <is>
          <t>Kiara Krishnan</t>
        </is>
      </c>
      <c r="D625">
        <f>HYPERLINK("https://ota.tournamentsoftware.com/player-profile/50D3305E-63D5-4EFB-B53F-B64E463DE26E", "Link")</f>
        <v/>
      </c>
      <c r="E625" s="3" t="n">
        <v>41.04</v>
      </c>
      <c r="F625" s="4" t="n">
        <v>28</v>
      </c>
      <c r="G625" t="inlineStr">
        <is>
          <t>Ontario Tennis Association</t>
        </is>
      </c>
      <c r="H625" t="inlineStr">
        <is>
          <t>Toronto Tennis Academy</t>
        </is>
      </c>
      <c r="I625" t="n">
        <v>37.8</v>
      </c>
      <c r="J625" s="4" t="n">
        <v>247</v>
      </c>
      <c r="K625" t="inlineStr">
        <is>
          <t>98 / 149</t>
        </is>
      </c>
      <c r="L625" t="inlineStr">
        <is>
          <t>11 / 32</t>
        </is>
      </c>
      <c r="M625" s="5" t="n">
        <v>0.4</v>
      </c>
      <c r="N625" s="5" t="n">
        <v>0.26</v>
      </c>
    </row>
    <row r="626">
      <c r="A626" t="n">
        <v>625</v>
      </c>
      <c r="B626" t="n">
        <v>2016</v>
      </c>
      <c r="C626" t="inlineStr">
        <is>
          <t>Melinna Yu Nuo Yang</t>
        </is>
      </c>
      <c r="D626">
        <f>HYPERLINK("https://ota.tournamentsoftware.com/player-profile/6BCCA5B4-7059-414C-A06D-D2936B6A3CC2", "Link")</f>
        <v/>
      </c>
      <c r="E626" s="3" t="n">
        <v>40.8</v>
      </c>
      <c r="F626" s="4" t="n">
        <v>7</v>
      </c>
      <c r="G626" t="inlineStr">
        <is>
          <t>Tennis Québec</t>
        </is>
      </c>
      <c r="H626" t="inlineStr">
        <is>
          <t>Club Sportif Côte-de-Liesse</t>
        </is>
      </c>
      <c r="I626" t="inlineStr">
        <is>
          <t>unavailable</t>
        </is>
      </c>
      <c r="J626" s="4" t="n">
        <v>92</v>
      </c>
      <c r="K626" t="inlineStr">
        <is>
          <t>36 / 56</t>
        </is>
      </c>
      <c r="L626" t="inlineStr">
        <is>
          <t>15 / 14</t>
        </is>
      </c>
      <c r="M626" s="5" t="n">
        <v>0.39</v>
      </c>
      <c r="N626" s="5" t="n">
        <v>0.52</v>
      </c>
    </row>
    <row r="627">
      <c r="A627" t="n">
        <v>626</v>
      </c>
      <c r="B627" t="n">
        <v>2013</v>
      </c>
      <c r="C627" t="inlineStr">
        <is>
          <t>Naia Luke</t>
        </is>
      </c>
      <c r="D627">
        <f>HYPERLINK("https://ota.tournamentsoftware.com/player-profile/E8620DEC-5B72-4D85-9171-1F914B105E62", "Link")</f>
        <v/>
      </c>
      <c r="E627" s="3" t="n">
        <v>40.629</v>
      </c>
      <c r="F627" s="4" t="n">
        <v>4</v>
      </c>
      <c r="G627" t="inlineStr">
        <is>
          <t>British Columbia</t>
        </is>
      </c>
      <c r="H627" t="inlineStr">
        <is>
          <t>Jericho Tennis Club</t>
        </is>
      </c>
      <c r="I627" t="n">
        <v>39.7</v>
      </c>
      <c r="J627" s="4" t="n">
        <v>43</v>
      </c>
      <c r="K627" t="inlineStr">
        <is>
          <t>9 / 34</t>
        </is>
      </c>
      <c r="L627" t="inlineStr">
        <is>
          <t>0 / 9</t>
        </is>
      </c>
      <c r="M627" s="5" t="n">
        <v>0.21</v>
      </c>
      <c r="N627" s="5" t="n">
        <v>0</v>
      </c>
    </row>
    <row r="628">
      <c r="A628" t="n">
        <v>627</v>
      </c>
      <c r="B628" t="n">
        <v>2015</v>
      </c>
      <c r="C628" t="inlineStr">
        <is>
          <t>Mila Anglade</t>
        </is>
      </c>
      <c r="D628">
        <f>HYPERLINK("https://ota.tournamentsoftware.com/player-profile/05635752-0D80-4827-BA70-1CECB2BE0528", "Link")</f>
        <v/>
      </c>
      <c r="E628" s="3" t="n">
        <v>40.12</v>
      </c>
      <c r="F628" s="4" t="n">
        <v>5</v>
      </c>
      <c r="G628" t="inlineStr">
        <is>
          <t>Tennis Québec</t>
        </is>
      </c>
      <c r="H628" t="inlineStr">
        <is>
          <t>Carrefour Multisports</t>
        </is>
      </c>
      <c r="I628" t="inlineStr">
        <is>
          <t>unavailable</t>
        </is>
      </c>
      <c r="J628" s="4" t="n">
        <v>64</v>
      </c>
      <c r="K628" t="inlineStr">
        <is>
          <t>39 / 25</t>
        </is>
      </c>
      <c r="L628" t="inlineStr">
        <is>
          <t>8 / 2</t>
        </is>
      </c>
      <c r="M628" s="5" t="n">
        <v>0.61</v>
      </c>
      <c r="N628" s="5" t="n">
        <v>0.8</v>
      </c>
    </row>
    <row r="629">
      <c r="A629" t="n">
        <v>628</v>
      </c>
      <c r="B629" t="n">
        <v>2014</v>
      </c>
      <c r="C629" t="inlineStr">
        <is>
          <t>Chloe Leblond</t>
        </is>
      </c>
      <c r="D629">
        <f>HYPERLINK("https://ota.tournamentsoftware.com/player-profile/B25C8E1B-DD5B-45CB-A94E-27B9E436CCF5", "Link")</f>
        <v/>
      </c>
      <c r="E629" s="3" t="n">
        <v>38.706</v>
      </c>
      <c r="F629" s="4" t="n">
        <v>4</v>
      </c>
      <c r="G629" t="inlineStr">
        <is>
          <t>Ontario Tennis Association</t>
        </is>
      </c>
      <c r="H629" t="inlineStr">
        <is>
          <t>Tam Heather Tennis Club</t>
        </is>
      </c>
      <c r="I629" t="inlineStr">
        <is>
          <t>unavailable</t>
        </is>
      </c>
      <c r="J629" s="4" t="n">
        <v>59</v>
      </c>
      <c r="K629" t="inlineStr">
        <is>
          <t>31 / 28</t>
        </is>
      </c>
      <c r="L629" t="inlineStr">
        <is>
          <t>6 / 4</t>
        </is>
      </c>
      <c r="M629" s="5" t="n">
        <v>0.53</v>
      </c>
      <c r="N629" s="5" t="n">
        <v>0.6</v>
      </c>
    </row>
    <row r="630">
      <c r="A630" t="n">
        <v>629</v>
      </c>
      <c r="B630" t="n">
        <v>2014</v>
      </c>
      <c r="C630" t="inlineStr">
        <is>
          <t>Bo Brisson</t>
        </is>
      </c>
      <c r="D630">
        <f>HYPERLINK("https://ota.tournamentsoftware.com/player-profile/836F9923-C4A5-42E1-8BF0-0788DAB02146", "Link")</f>
        <v/>
      </c>
      <c r="E630" s="3" t="n">
        <v>38.584</v>
      </c>
      <c r="F630" s="4" t="n">
        <v>4</v>
      </c>
      <c r="G630" t="inlineStr">
        <is>
          <t>Ontario Tennis Association</t>
        </is>
      </c>
      <c r="H630" t="inlineStr">
        <is>
          <t>GSM Tennis Club</t>
        </is>
      </c>
      <c r="I630" t="inlineStr">
        <is>
          <t>unavailable</t>
        </is>
      </c>
      <c r="J630" s="4" t="n">
        <v>117</v>
      </c>
      <c r="K630" t="inlineStr">
        <is>
          <t>38 / 79</t>
        </is>
      </c>
      <c r="L630" t="inlineStr">
        <is>
          <t>4 / 3</t>
        </is>
      </c>
      <c r="M630" s="5" t="n">
        <v>0.32</v>
      </c>
      <c r="N630" s="5" t="n">
        <v>0.57</v>
      </c>
    </row>
    <row r="631">
      <c r="A631" t="n">
        <v>630</v>
      </c>
      <c r="B631" t="n">
        <v>2016</v>
      </c>
      <c r="C631" t="inlineStr">
        <is>
          <t>Madison Dionne</t>
        </is>
      </c>
      <c r="D631">
        <f>HYPERLINK("https://ota.tournamentsoftware.com/player-profile/E7A43ABD-96E4-46C3-84A5-BAF14D846E4C", "Link")</f>
        <v/>
      </c>
      <c r="E631" s="3" t="n">
        <v>38.517</v>
      </c>
      <c r="F631" s="4" t="n">
        <v>11</v>
      </c>
      <c r="G631" t="inlineStr">
        <is>
          <t>Ontario Tennis Association</t>
        </is>
      </c>
      <c r="H631" t="inlineStr">
        <is>
          <t>Ontario Racquet Club</t>
        </is>
      </c>
      <c r="I631" t="n">
        <v>37.4</v>
      </c>
      <c r="J631" s="4" t="n">
        <v>102</v>
      </c>
      <c r="K631" t="inlineStr">
        <is>
          <t>32 / 70</t>
        </is>
      </c>
      <c r="L631" t="inlineStr">
        <is>
          <t>16 / 16</t>
        </is>
      </c>
      <c r="M631" s="5" t="n">
        <v>0.31</v>
      </c>
      <c r="N631" s="5" t="n">
        <v>0.5</v>
      </c>
    </row>
    <row r="632">
      <c r="A632" t="n">
        <v>631</v>
      </c>
      <c r="B632" t="n">
        <v>2013</v>
      </c>
      <c r="C632" t="inlineStr">
        <is>
          <t>Yu Nohara</t>
        </is>
      </c>
      <c r="D632">
        <f>HYPERLINK("https://ota.tournamentsoftware.com/player-profile/4AB57DE3-C832-4B9F-8F8F-AECBF5EE5A81", "Link")</f>
        <v/>
      </c>
      <c r="E632" s="3" t="n">
        <v>38.216</v>
      </c>
      <c r="F632" s="4" t="n">
        <v>4</v>
      </c>
      <c r="G632" t="inlineStr">
        <is>
          <t>British Columbia</t>
        </is>
      </c>
      <c r="H632" t="inlineStr">
        <is>
          <t>Tennis for Life</t>
        </is>
      </c>
      <c r="I632" t="n">
        <v>36.6</v>
      </c>
      <c r="J632" s="4" t="n">
        <v>20</v>
      </c>
      <c r="K632" t="inlineStr">
        <is>
          <t>9 / 11</t>
        </is>
      </c>
      <c r="L632" t="inlineStr">
        <is>
          <t>1 / 3</t>
        </is>
      </c>
      <c r="M632" s="5" t="n">
        <v>0.45</v>
      </c>
      <c r="N632" s="5" t="n">
        <v>0.25</v>
      </c>
    </row>
    <row r="633">
      <c r="A633" t="n">
        <v>632</v>
      </c>
      <c r="B633" t="n">
        <v>2014</v>
      </c>
      <c r="C633" t="inlineStr">
        <is>
          <t>Mathilde Langis</t>
        </is>
      </c>
      <c r="D633">
        <f>HYPERLINK("https://ota.tournamentsoftware.com/player-profile/39929D79-FF7E-4461-9561-38C5D88AE666", "Link")</f>
        <v/>
      </c>
      <c r="E633" s="3" t="n">
        <v>37.752</v>
      </c>
      <c r="F633" s="4" t="n">
        <v>4</v>
      </c>
      <c r="G633" t="inlineStr">
        <is>
          <t>Tennis Québec</t>
        </is>
      </c>
      <c r="H633" t="inlineStr">
        <is>
          <t>Académie de tennis UNI(T)</t>
        </is>
      </c>
      <c r="I633" t="n">
        <v>36.2</v>
      </c>
      <c r="J633" s="4" t="n">
        <v>72</v>
      </c>
      <c r="K633" t="inlineStr">
        <is>
          <t>31 / 41</t>
        </is>
      </c>
      <c r="L633" t="inlineStr">
        <is>
          <t>1 / 2</t>
        </is>
      </c>
      <c r="M633" s="5" t="n">
        <v>0.43</v>
      </c>
      <c r="N633" s="5" t="n">
        <v>0.33</v>
      </c>
    </row>
    <row r="634">
      <c r="A634" t="n">
        <v>633</v>
      </c>
      <c r="B634" t="n">
        <v>2013</v>
      </c>
      <c r="C634" t="inlineStr">
        <is>
          <t>Alexa Ardeleanu</t>
        </is>
      </c>
      <c r="D634">
        <f>HYPERLINK("https://ota.tournamentsoftware.com/player-profile/109D0444-3430-4CBD-A2CA-522592228926", "Link")</f>
        <v/>
      </c>
      <c r="E634" s="3" t="n">
        <v>37.397</v>
      </c>
      <c r="F634" s="4" t="n">
        <v>3</v>
      </c>
      <c r="G634" t="inlineStr">
        <is>
          <t>Ontario Tennis Association</t>
        </is>
      </c>
      <c r="H634" t="inlineStr">
        <is>
          <t>No Club</t>
        </is>
      </c>
      <c r="I634" t="n">
        <v>37.7</v>
      </c>
      <c r="J634" s="4" t="n">
        <v>5</v>
      </c>
      <c r="K634" t="inlineStr">
        <is>
          <t>1 / 4</t>
        </is>
      </c>
      <c r="L634" t="inlineStr">
        <is>
          <t>1 / 4</t>
        </is>
      </c>
      <c r="M634" s="5" t="n">
        <v>0.2</v>
      </c>
      <c r="N634" s="5" t="n">
        <v>0.2</v>
      </c>
    </row>
    <row r="635">
      <c r="A635" t="n">
        <v>634</v>
      </c>
      <c r="B635" t="n">
        <v>2015</v>
      </c>
      <c r="C635" t="inlineStr">
        <is>
          <t>Tamara Amad</t>
        </is>
      </c>
      <c r="D635">
        <f>HYPERLINK("https://ota.tournamentsoftware.com/player-profile/4DB13A7D-F9F2-45DD-AAD4-FA9987D24AC9", "Link")</f>
        <v/>
      </c>
      <c r="E635" s="3" t="n">
        <v>36.8</v>
      </c>
      <c r="F635" s="4" t="n">
        <v>2</v>
      </c>
      <c r="G635" t="inlineStr">
        <is>
          <t>Ontario Tennis Association</t>
        </is>
      </c>
      <c r="H635" t="inlineStr">
        <is>
          <t>Ontario Racquet Club</t>
        </is>
      </c>
      <c r="I635" t="inlineStr">
        <is>
          <t>unavailable</t>
        </is>
      </c>
      <c r="J635" s="4" t="n">
        <v>23</v>
      </c>
      <c r="K635" t="inlineStr">
        <is>
          <t>15 / 8</t>
        </is>
      </c>
      <c r="L635" t="inlineStr">
        <is>
          <t>6 / 3</t>
        </is>
      </c>
      <c r="M635" s="5" t="n">
        <v>0.65</v>
      </c>
      <c r="N635" s="5" t="n">
        <v>0.67</v>
      </c>
    </row>
    <row r="636">
      <c r="A636" t="n">
        <v>635</v>
      </c>
      <c r="B636" t="n">
        <v>2015</v>
      </c>
      <c r="C636" t="inlineStr">
        <is>
          <t>Nya BLANCHARD</t>
        </is>
      </c>
      <c r="D636">
        <f>HYPERLINK("https://ota.tournamentsoftware.com/player-profile/E8E00722-2274-4657-BCF4-B20EEBB0EB21", "Link")</f>
        <v/>
      </c>
      <c r="E636" s="3" t="n">
        <v>36.577</v>
      </c>
      <c r="F636" s="4" t="n">
        <v>7</v>
      </c>
      <c r="G636" t="inlineStr">
        <is>
          <t>Ontario Tennis Association</t>
        </is>
      </c>
      <c r="H636" t="inlineStr">
        <is>
          <t>Ontario Racquet Club</t>
        </is>
      </c>
      <c r="I636" t="n">
        <v>35.3</v>
      </c>
      <c r="J636" s="4" t="n">
        <v>43</v>
      </c>
      <c r="K636" t="inlineStr">
        <is>
          <t>24 / 19</t>
        </is>
      </c>
      <c r="L636" t="inlineStr">
        <is>
          <t>9 / 8</t>
        </is>
      </c>
      <c r="M636" s="5" t="n">
        <v>0.5600000000000001</v>
      </c>
      <c r="N636" s="5" t="n">
        <v>0.53</v>
      </c>
    </row>
    <row r="637">
      <c r="A637" t="n">
        <v>636</v>
      </c>
      <c r="B637" t="n">
        <v>2012</v>
      </c>
      <c r="C637" t="inlineStr">
        <is>
          <t>Naomi Lau</t>
        </is>
      </c>
      <c r="D637">
        <f>HYPERLINK("https://ota.tournamentsoftware.com/player-profile/0A97F4BF-4260-46FD-AB50-BFA06A31A239", "Link")</f>
        <v/>
      </c>
      <c r="E637" s="3" t="n">
        <v>36.425</v>
      </c>
      <c r="F637" s="4" t="n">
        <v>3</v>
      </c>
      <c r="G637" t="inlineStr">
        <is>
          <t>Ontario Tennis Association</t>
        </is>
      </c>
      <c r="H637" t="inlineStr">
        <is>
          <t>Central Tennis Club</t>
        </is>
      </c>
      <c r="I637" t="n">
        <v>37.9</v>
      </c>
      <c r="J637" s="4" t="n">
        <v>34</v>
      </c>
      <c r="K637" t="inlineStr">
        <is>
          <t>12 / 22</t>
        </is>
      </c>
      <c r="L637" t="inlineStr">
        <is>
          <t>6 / 8</t>
        </is>
      </c>
      <c r="M637" s="5" t="n">
        <v>0.35</v>
      </c>
      <c r="N637" s="5" t="n">
        <v>0.43</v>
      </c>
    </row>
    <row r="638">
      <c r="A638" t="n">
        <v>637</v>
      </c>
      <c r="B638" t="n">
        <v>2015</v>
      </c>
      <c r="C638" t="inlineStr">
        <is>
          <t>Sloane Burdick</t>
        </is>
      </c>
      <c r="D638">
        <f>HYPERLINK("https://ota.tournamentsoftware.com/player-profile/B4ED1890-6E53-4FCC-9711-828BDD90CD1F", "Link")</f>
        <v/>
      </c>
      <c r="E638" s="3" t="n">
        <v>36.168</v>
      </c>
      <c r="F638" s="4" t="n">
        <v>8</v>
      </c>
      <c r="G638" t="inlineStr">
        <is>
          <t>British Columbia</t>
        </is>
      </c>
      <c r="H638" t="inlineStr">
        <is>
          <t>Vanguard Tennis Academy</t>
        </is>
      </c>
      <c r="I638" t="n">
        <v>36.8</v>
      </c>
      <c r="J638" s="4" t="n">
        <v>71</v>
      </c>
      <c r="K638" t="inlineStr">
        <is>
          <t>35 / 36</t>
        </is>
      </c>
      <c r="L638" t="inlineStr">
        <is>
          <t>8 / 9</t>
        </is>
      </c>
      <c r="M638" s="5" t="n">
        <v>0.49</v>
      </c>
      <c r="N638" s="5" t="n">
        <v>0.47</v>
      </c>
    </row>
    <row r="639">
      <c r="A639" t="n">
        <v>638</v>
      </c>
      <c r="B639" t="n">
        <v>2012</v>
      </c>
      <c r="C639" t="inlineStr">
        <is>
          <t>Aurélie Houde</t>
        </is>
      </c>
      <c r="D639">
        <f>HYPERLINK("https://ota.tournamentsoftware.com/player-profile/F697AB49-11E9-42EF-B0E6-5DF0E77AF99C", "Link")</f>
        <v/>
      </c>
      <c r="E639" s="3" t="n">
        <v>35.857</v>
      </c>
      <c r="F639" s="4" t="n">
        <v>4</v>
      </c>
      <c r="G639" t="inlineStr">
        <is>
          <t>Tennis Québec</t>
        </is>
      </c>
      <c r="H639" t="inlineStr">
        <is>
          <t>Association de tennis de Drummondville</t>
        </is>
      </c>
      <c r="I639" t="n">
        <v>39.7</v>
      </c>
      <c r="J639" s="4" t="n">
        <v>22</v>
      </c>
      <c r="K639" t="inlineStr">
        <is>
          <t>1 / 21</t>
        </is>
      </c>
      <c r="L639" t="inlineStr">
        <is>
          <t>0 / 3</t>
        </is>
      </c>
      <c r="M639" s="5" t="n">
        <v>0.05</v>
      </c>
      <c r="N639" s="5" t="n">
        <v>0</v>
      </c>
    </row>
    <row r="640">
      <c r="A640" t="n">
        <v>639</v>
      </c>
      <c r="B640" t="n">
        <v>2013</v>
      </c>
      <c r="C640" t="inlineStr">
        <is>
          <t>Mariya Fedchyshyna</t>
        </is>
      </c>
      <c r="D640">
        <f>HYPERLINK("https://ota.tournamentsoftware.com/player-profile/5A64317A-A412-4DEB-A68D-94CE45EAE2DD", "Link")</f>
        <v/>
      </c>
      <c r="E640" s="3" t="n">
        <v>35.767</v>
      </c>
      <c r="F640" s="4" t="n">
        <v>3</v>
      </c>
      <c r="G640" t="inlineStr">
        <is>
          <t>British Columbia</t>
        </is>
      </c>
      <c r="H640" t="inlineStr">
        <is>
          <t>Oak Bay Recreation Centre</t>
        </is>
      </c>
      <c r="I640" t="inlineStr">
        <is>
          <t>unavailable</t>
        </is>
      </c>
      <c r="J640" s="4" t="n">
        <v>9</v>
      </c>
      <c r="K640" t="inlineStr">
        <is>
          <t>1 / 8</t>
        </is>
      </c>
      <c r="L640" t="inlineStr">
        <is>
          <t>1 / 6</t>
        </is>
      </c>
      <c r="M640" s="5" t="n">
        <v>0.11</v>
      </c>
      <c r="N640" s="5" t="n">
        <v>0.14</v>
      </c>
    </row>
    <row r="641">
      <c r="A641" t="n">
        <v>640</v>
      </c>
      <c r="B641" t="n">
        <v>2015</v>
      </c>
      <c r="C641" t="inlineStr">
        <is>
          <t>Allegra Gill</t>
        </is>
      </c>
      <c r="D641">
        <f>HYPERLINK("https://ota.tournamentsoftware.com/player-profile/74E5B02E-036C-4D6F-B122-5C8FEF79A927", "Link")</f>
        <v/>
      </c>
      <c r="E641" s="3" t="n">
        <v>35.726</v>
      </c>
      <c r="F641" s="4" t="n">
        <v>5</v>
      </c>
      <c r="G641" t="inlineStr">
        <is>
          <t>Ontario Tennis Association</t>
        </is>
      </c>
      <c r="H641" t="inlineStr">
        <is>
          <t>Zekelman Tennis Centre</t>
        </is>
      </c>
      <c r="I641" t="n">
        <v>39.9</v>
      </c>
      <c r="J641" s="4" t="n">
        <v>98</v>
      </c>
      <c r="K641" t="inlineStr">
        <is>
          <t>18 / 80</t>
        </is>
      </c>
      <c r="L641" t="inlineStr">
        <is>
          <t>11 / 18</t>
        </is>
      </c>
      <c r="M641" s="5" t="n">
        <v>0.18</v>
      </c>
      <c r="N641" s="5" t="n">
        <v>0.38</v>
      </c>
    </row>
    <row r="642">
      <c r="A642" t="n">
        <v>641</v>
      </c>
      <c r="B642" t="n">
        <v>2015</v>
      </c>
      <c r="C642" t="inlineStr">
        <is>
          <t>Victoria Guo</t>
        </is>
      </c>
      <c r="D642">
        <f>HYPERLINK("https://ota.tournamentsoftware.com/player-profile/54FA7561-0327-4A42-A5FE-A5519116069C", "Link")</f>
        <v/>
      </c>
      <c r="E642" s="3" t="n">
        <v>35.632</v>
      </c>
      <c r="F642" s="4" t="n">
        <v>4</v>
      </c>
      <c r="G642" t="inlineStr">
        <is>
          <t>Ontario Tennis Association</t>
        </is>
      </c>
      <c r="H642" t="inlineStr">
        <is>
          <t>Craig Henry</t>
        </is>
      </c>
      <c r="I642" t="n">
        <v>39.3</v>
      </c>
      <c r="J642" s="4" t="n">
        <v>27</v>
      </c>
      <c r="K642" t="inlineStr">
        <is>
          <t>10 / 17</t>
        </is>
      </c>
      <c r="L642" t="inlineStr">
        <is>
          <t>1 / 4</t>
        </is>
      </c>
      <c r="M642" s="5" t="n">
        <v>0.37</v>
      </c>
      <c r="N642" s="5" t="n">
        <v>0.2</v>
      </c>
    </row>
    <row r="643">
      <c r="A643" t="n">
        <v>642</v>
      </c>
      <c r="B643" t="n">
        <v>2013</v>
      </c>
      <c r="C643" t="inlineStr">
        <is>
          <t>Mehak Garg</t>
        </is>
      </c>
      <c r="D643">
        <f>HYPERLINK("https://ota.tournamentsoftware.com/player-profile/2FA47597-FC2B-4F26-80C4-912C2FC70064", "Link")</f>
        <v/>
      </c>
      <c r="E643" s="3" t="n">
        <v>35.51</v>
      </c>
      <c r="F643" s="4" t="n">
        <v>1</v>
      </c>
      <c r="G643" t="inlineStr">
        <is>
          <t>Tennis Saskatchewan</t>
        </is>
      </c>
      <c r="H643" t="inlineStr">
        <is>
          <t>Lakewood Indoor Tennis Centre</t>
        </is>
      </c>
      <c r="I643" t="n">
        <v>35.1</v>
      </c>
      <c r="J643" s="4" t="n">
        <v>13</v>
      </c>
      <c r="K643" t="inlineStr">
        <is>
          <t>5 / 8</t>
        </is>
      </c>
      <c r="L643" t="inlineStr">
        <is>
          <t>5 / 8</t>
        </is>
      </c>
      <c r="M643" s="5" t="n">
        <v>0.38</v>
      </c>
      <c r="N643" s="5" t="n">
        <v>0.38</v>
      </c>
    </row>
    <row r="644">
      <c r="A644" t="n">
        <v>643</v>
      </c>
      <c r="B644" t="n">
        <v>2014</v>
      </c>
      <c r="C644" t="inlineStr">
        <is>
          <t>Juliette Viel</t>
        </is>
      </c>
      <c r="D644">
        <f>HYPERLINK("https://ota.tournamentsoftware.com/player-profile/3C42B108-2BA4-41D7-8AE2-19A52170601F", "Link")</f>
        <v/>
      </c>
      <c r="E644" s="3" t="n">
        <v>35.48</v>
      </c>
      <c r="F644" s="4" t="n">
        <v>2</v>
      </c>
      <c r="G644" t="inlineStr">
        <is>
          <t>Tennis Québec</t>
        </is>
      </c>
      <c r="H644" t="inlineStr">
        <is>
          <t>Club de tennis de Rivière-du-Loup</t>
        </is>
      </c>
      <c r="I644" t="n">
        <v>33.7</v>
      </c>
      <c r="J644" s="4" t="n">
        <v>23</v>
      </c>
      <c r="K644" t="inlineStr">
        <is>
          <t>11 / 12</t>
        </is>
      </c>
      <c r="L644" t="inlineStr">
        <is>
          <t>4 / 2</t>
        </is>
      </c>
      <c r="M644" s="5" t="n">
        <v>0.48</v>
      </c>
      <c r="N644" s="5" t="n">
        <v>0.67</v>
      </c>
    </row>
    <row r="645">
      <c r="A645" t="n">
        <v>644</v>
      </c>
      <c r="B645" t="n">
        <v>2014</v>
      </c>
      <c r="C645" t="inlineStr">
        <is>
          <t>Violette Hébert</t>
        </is>
      </c>
      <c r="D645">
        <f>HYPERLINK("https://ota.tournamentsoftware.com/player-profile/53615BF8-C3DB-4C99-8745-F5A7E4DC7C2E", "Link")</f>
        <v/>
      </c>
      <c r="E645" s="3" t="n">
        <v>35.466</v>
      </c>
      <c r="F645" s="4" t="n">
        <v>10</v>
      </c>
      <c r="G645" t="inlineStr">
        <is>
          <t>Tennis Québec</t>
        </is>
      </c>
      <c r="H645" t="inlineStr">
        <is>
          <t>EB Tennis inc.</t>
        </is>
      </c>
      <c r="I645" t="n">
        <v>39.2</v>
      </c>
      <c r="J645" s="4" t="n">
        <v>49</v>
      </c>
      <c r="K645" t="inlineStr">
        <is>
          <t>14 / 35</t>
        </is>
      </c>
      <c r="L645" t="inlineStr">
        <is>
          <t>4 / 13</t>
        </is>
      </c>
      <c r="M645" s="5" t="n">
        <v>0.29</v>
      </c>
      <c r="N645" s="5" t="n">
        <v>0.24</v>
      </c>
    </row>
    <row r="646">
      <c r="A646" t="n">
        <v>645</v>
      </c>
      <c r="B646" t="n">
        <v>2014</v>
      </c>
      <c r="C646" t="inlineStr">
        <is>
          <t>Olivia Duthoit</t>
        </is>
      </c>
      <c r="D646">
        <f>HYPERLINK("https://ota.tournamentsoftware.com/player-profile/7ADA0A6D-C257-4896-AEB0-8E053AAA4B48", "Link")</f>
        <v/>
      </c>
      <c r="E646" s="3" t="n">
        <v>35.342</v>
      </c>
      <c r="F646" s="4" t="n">
        <v>3</v>
      </c>
      <c r="G646" t="inlineStr">
        <is>
          <t>Tennis Québec</t>
        </is>
      </c>
      <c r="H646" t="inlineStr">
        <is>
          <t>Club Avantage Multi-sports / Académie de tennis Hérisset Bordeleau</t>
        </is>
      </c>
      <c r="I646" t="n">
        <v>36</v>
      </c>
      <c r="J646" s="4" t="n">
        <v>20</v>
      </c>
      <c r="K646" t="inlineStr">
        <is>
          <t>4 / 16</t>
        </is>
      </c>
      <c r="L646" t="inlineStr">
        <is>
          <t>3 / 4</t>
        </is>
      </c>
      <c r="M646" s="5" t="n">
        <v>0.2</v>
      </c>
      <c r="N646" s="5" t="n">
        <v>0.43</v>
      </c>
    </row>
    <row r="647">
      <c r="A647" t="n">
        <v>646</v>
      </c>
      <c r="B647" t="n">
        <v>2015</v>
      </c>
      <c r="C647" t="inlineStr">
        <is>
          <t>Parine Jani</t>
        </is>
      </c>
      <c r="D647">
        <f>HYPERLINK("https://ota.tournamentsoftware.com/player-profile/DEF6C92A-14C0-4DEB-A4E3-22B40C75E14A", "Link")</f>
        <v/>
      </c>
      <c r="E647" s="3" t="n">
        <v>35.012</v>
      </c>
      <c r="F647" s="4" t="n">
        <v>5</v>
      </c>
      <c r="G647" t="inlineStr">
        <is>
          <t>Ontario Tennis Association</t>
        </is>
      </c>
      <c r="H647" t="inlineStr">
        <is>
          <t>Premier Racquet Club - Markham</t>
        </is>
      </c>
      <c r="I647" t="n">
        <v>39.7</v>
      </c>
      <c r="J647" s="4" t="n">
        <v>43</v>
      </c>
      <c r="K647" t="inlineStr">
        <is>
          <t>7 / 36</t>
        </is>
      </c>
      <c r="L647" t="inlineStr">
        <is>
          <t>1 / 11</t>
        </is>
      </c>
      <c r="M647" s="5" t="n">
        <v>0.16</v>
      </c>
      <c r="N647" s="5" t="n">
        <v>0.08</v>
      </c>
    </row>
    <row r="648">
      <c r="A648" t="n">
        <v>647</v>
      </c>
      <c r="B648" t="n">
        <v>2012</v>
      </c>
      <c r="C648" t="inlineStr">
        <is>
          <t>Capri Metelitsa</t>
        </is>
      </c>
      <c r="D648">
        <f>HYPERLINK("https://ota.tournamentsoftware.com/player-profile/AD54A68E-D415-4925-B832-8287172FB727", "Link")</f>
        <v/>
      </c>
      <c r="E648" s="3" t="n">
        <v>34.735</v>
      </c>
      <c r="F648" s="4" t="n">
        <v>10</v>
      </c>
      <c r="G648" t="inlineStr">
        <is>
          <t>Tennis Alberta</t>
        </is>
      </c>
      <c r="H648" t="inlineStr">
        <is>
          <t>Aforza</t>
        </is>
      </c>
      <c r="I648" t="n">
        <v>36.4</v>
      </c>
      <c r="J648" s="4" t="n">
        <v>50</v>
      </c>
      <c r="K648" t="inlineStr">
        <is>
          <t>23 / 27</t>
        </is>
      </c>
      <c r="L648" t="inlineStr">
        <is>
          <t>2 / 8</t>
        </is>
      </c>
      <c r="M648" s="5" t="n">
        <v>0.46</v>
      </c>
      <c r="N648" s="5" t="n">
        <v>0.2</v>
      </c>
    </row>
    <row r="649">
      <c r="A649" t="n">
        <v>648</v>
      </c>
      <c r="B649" t="n">
        <v>2016</v>
      </c>
      <c r="C649" t="inlineStr">
        <is>
          <t>Eliana Gamboa Puentevella</t>
        </is>
      </c>
      <c r="D649">
        <f>HYPERLINK("https://ota.tournamentsoftware.com/player-profile/F092EBD2-5997-4E03-AED5-C7E2E614192B", "Link")</f>
        <v/>
      </c>
      <c r="E649" s="3" t="n">
        <v>34.342</v>
      </c>
      <c r="F649" s="4" t="n">
        <v>11</v>
      </c>
      <c r="G649" t="inlineStr">
        <is>
          <t>British Columbia</t>
        </is>
      </c>
      <c r="H649" t="inlineStr">
        <is>
          <t>Suncoast Racquet Club</t>
        </is>
      </c>
      <c r="I649" t="n">
        <v>36.6</v>
      </c>
      <c r="J649" s="4" t="n">
        <v>128</v>
      </c>
      <c r="K649" t="inlineStr">
        <is>
          <t>62 / 66</t>
        </is>
      </c>
      <c r="L649" t="inlineStr">
        <is>
          <t>32 / 22</t>
        </is>
      </c>
      <c r="M649" s="5" t="n">
        <v>0.48</v>
      </c>
      <c r="N649" s="5" t="n">
        <v>0.59</v>
      </c>
    </row>
    <row r="650">
      <c r="A650" t="n">
        <v>649</v>
      </c>
      <c r="B650" t="n">
        <v>2013</v>
      </c>
      <c r="C650" t="inlineStr">
        <is>
          <t>Caroline Chuyi Wang</t>
        </is>
      </c>
      <c r="D650">
        <f>HYPERLINK("https://ota.tournamentsoftware.com/player-profile/3F052198-DCE4-4852-8FA0-B0793E67B6FC", "Link")</f>
        <v/>
      </c>
      <c r="E650" s="3" t="n">
        <v>34.166</v>
      </c>
      <c r="F650" s="4" t="n">
        <v>4</v>
      </c>
      <c r="G650" t="inlineStr">
        <is>
          <t>British Columbia</t>
        </is>
      </c>
      <c r="H650" t="inlineStr">
        <is>
          <t>Richmond Country Club</t>
        </is>
      </c>
      <c r="I650" t="n">
        <v>37.9</v>
      </c>
      <c r="J650" s="4" t="n">
        <v>26</v>
      </c>
      <c r="K650" t="inlineStr">
        <is>
          <t>11 / 15</t>
        </is>
      </c>
      <c r="L650" t="inlineStr">
        <is>
          <t>11 / 15</t>
        </is>
      </c>
      <c r="M650" s="5" t="n">
        <v>0.42</v>
      </c>
      <c r="N650" s="5" t="n">
        <v>0.42</v>
      </c>
    </row>
    <row r="651">
      <c r="A651" t="n">
        <v>650</v>
      </c>
      <c r="B651" t="n">
        <v>2014</v>
      </c>
      <c r="C651" t="inlineStr">
        <is>
          <t>Georgena Banquicio</t>
        </is>
      </c>
      <c r="D651">
        <f>HYPERLINK("https://ota.tournamentsoftware.com/player-profile/AB3893CF-B68D-4258-893E-E7C3FB601465", "Link")</f>
        <v/>
      </c>
      <c r="E651" s="3" t="n">
        <v>33.663</v>
      </c>
      <c r="F651" s="4" t="n">
        <v>5</v>
      </c>
      <c r="G651" t="inlineStr">
        <is>
          <t>Tennis New Brunswick</t>
        </is>
      </c>
      <c r="H651" t="inlineStr">
        <is>
          <t>Abony Family Tennis Center</t>
        </is>
      </c>
      <c r="I651" t="n">
        <v>37.4</v>
      </c>
      <c r="J651" s="4" t="n">
        <v>72</v>
      </c>
      <c r="K651" t="inlineStr">
        <is>
          <t>34 / 38</t>
        </is>
      </c>
      <c r="L651" t="inlineStr">
        <is>
          <t>2 / 6</t>
        </is>
      </c>
      <c r="M651" s="5" t="n">
        <v>0.47</v>
      </c>
      <c r="N651" s="5" t="n">
        <v>0.25</v>
      </c>
    </row>
    <row r="652">
      <c r="A652" t="n">
        <v>651</v>
      </c>
      <c r="B652" t="n">
        <v>2013</v>
      </c>
      <c r="C652" t="inlineStr">
        <is>
          <t>SOPHIA MARIA TRULESCU</t>
        </is>
      </c>
      <c r="D652">
        <f>HYPERLINK("https://ota.tournamentsoftware.com/player-profile/A41CCD9F-8BEB-4085-842F-8E5A7DA612FF", "Link")</f>
        <v/>
      </c>
      <c r="E652" s="3" t="n">
        <v>33.35</v>
      </c>
      <c r="F652" s="4" t="n">
        <v>2</v>
      </c>
      <c r="G652" t="inlineStr">
        <is>
          <t>Ontario Tennis Association</t>
        </is>
      </c>
      <c r="H652" t="inlineStr">
        <is>
          <t>Rosedale Tennis Club (Hamilton)</t>
        </is>
      </c>
      <c r="I652" t="n">
        <v>34.4</v>
      </c>
      <c r="J652" s="4" t="n">
        <v>55</v>
      </c>
      <c r="K652" t="inlineStr">
        <is>
          <t>41 / 14</t>
        </is>
      </c>
      <c r="L652" t="inlineStr">
        <is>
          <t>4 / 2</t>
        </is>
      </c>
      <c r="M652" s="5" t="n">
        <v>0.75</v>
      </c>
      <c r="N652" s="5" t="n">
        <v>0.67</v>
      </c>
    </row>
    <row r="653">
      <c r="A653" t="n">
        <v>652</v>
      </c>
      <c r="B653" t="n">
        <v>2014</v>
      </c>
      <c r="C653" t="inlineStr">
        <is>
          <t>Victoria Dorvius</t>
        </is>
      </c>
      <c r="D653">
        <f>HYPERLINK("https://ota.tournamentsoftware.com/player-profile/0742AD15-E29E-4761-9ABC-EF929E7499C5", "Link")</f>
        <v/>
      </c>
      <c r="E653" s="3" t="n">
        <v>33.305</v>
      </c>
      <c r="F653" s="4" t="n">
        <v>3</v>
      </c>
      <c r="G653" t="inlineStr">
        <is>
          <t>Tennis Québec</t>
        </is>
      </c>
      <c r="H653" t="inlineStr">
        <is>
          <t>No Club</t>
        </is>
      </c>
      <c r="I653" t="n">
        <v>40</v>
      </c>
      <c r="J653" s="4" t="n">
        <v>8</v>
      </c>
      <c r="K653" t="inlineStr">
        <is>
          <t>0 / 8</t>
        </is>
      </c>
      <c r="L653" t="inlineStr">
        <is>
          <t>0 / 3</t>
        </is>
      </c>
      <c r="M653" s="5" t="n">
        <v>0</v>
      </c>
      <c r="N653" s="5" t="n">
        <v>0</v>
      </c>
    </row>
    <row r="654">
      <c r="A654" t="n">
        <v>653</v>
      </c>
      <c r="B654" t="n">
        <v>2012</v>
      </c>
      <c r="C654" t="inlineStr">
        <is>
          <t>Elise Weaser</t>
        </is>
      </c>
      <c r="D654">
        <f>HYPERLINK("https://ota.tournamentsoftware.com/player-profile/DA22DB71-D6D8-4605-B329-E9AEA5B14695", "Link")</f>
        <v/>
      </c>
      <c r="E654" s="3" t="n">
        <v>33.264</v>
      </c>
      <c r="F654" s="4" t="n">
        <v>2</v>
      </c>
      <c r="G654" t="inlineStr">
        <is>
          <t>Ontario Tennis Association</t>
        </is>
      </c>
      <c r="H654" t="inlineStr">
        <is>
          <t>Ontario Racquet Club</t>
        </is>
      </c>
      <c r="I654" t="n">
        <v>37.6</v>
      </c>
      <c r="J654" s="4" t="n">
        <v>30</v>
      </c>
      <c r="K654" t="inlineStr">
        <is>
          <t>7 / 23</t>
        </is>
      </c>
      <c r="L654" t="inlineStr">
        <is>
          <t>2 / 2</t>
        </is>
      </c>
      <c r="M654" s="5" t="n">
        <v>0.23</v>
      </c>
      <c r="N654" s="5" t="n">
        <v>0.5</v>
      </c>
    </row>
    <row r="655">
      <c r="A655" t="n">
        <v>654</v>
      </c>
      <c r="B655" t="n">
        <v>2015</v>
      </c>
      <c r="C655" t="inlineStr">
        <is>
          <t>Enlin Fan</t>
        </is>
      </c>
      <c r="D655">
        <f>HYPERLINK("https://ota.tournamentsoftware.com/player-profile/0F38D490-CA76-4A12-BE87-0BAC308EDC74", "Link")</f>
        <v/>
      </c>
      <c r="E655" s="3" t="n">
        <v>32.538</v>
      </c>
      <c r="F655" s="4" t="n">
        <v>6</v>
      </c>
      <c r="G655" t="inlineStr">
        <is>
          <t>British Columbia</t>
        </is>
      </c>
      <c r="H655" t="inlineStr">
        <is>
          <t>The Tennis Centre</t>
        </is>
      </c>
      <c r="I655" t="inlineStr">
        <is>
          <t>unavailable</t>
        </is>
      </c>
      <c r="J655" s="4" t="n">
        <v>93</v>
      </c>
      <c r="K655" t="inlineStr">
        <is>
          <t>42 / 51</t>
        </is>
      </c>
      <c r="L655" t="inlineStr">
        <is>
          <t>7 / 6</t>
        </is>
      </c>
      <c r="M655" s="5" t="n">
        <v>0.45</v>
      </c>
      <c r="N655" s="5" t="n">
        <v>0.54</v>
      </c>
    </row>
    <row r="656">
      <c r="A656" t="n">
        <v>655</v>
      </c>
      <c r="B656" t="n">
        <v>2015</v>
      </c>
      <c r="C656" t="inlineStr">
        <is>
          <t>GAURI BHARDWAJ</t>
        </is>
      </c>
      <c r="D656">
        <f>HYPERLINK("https://ota.tournamentsoftware.com/player-profile/7D0915D9-E26B-4DD0-AA8A-90DD2833C0F8", "Link")</f>
        <v/>
      </c>
      <c r="E656" s="3" t="n">
        <v>32.49</v>
      </c>
      <c r="F656" s="4" t="n">
        <v>6</v>
      </c>
      <c r="G656" t="inlineStr">
        <is>
          <t>Ontario Tennis Association</t>
        </is>
      </c>
      <c r="H656" t="inlineStr">
        <is>
          <t>Premier Racquet Clubs – Mississauga</t>
        </is>
      </c>
      <c r="I656" t="n">
        <v>37.7</v>
      </c>
      <c r="J656" s="4" t="n">
        <v>105</v>
      </c>
      <c r="K656" t="inlineStr">
        <is>
          <t>38 / 67</t>
        </is>
      </c>
      <c r="L656" t="inlineStr">
        <is>
          <t>3 / 3</t>
        </is>
      </c>
      <c r="M656" s="5" t="n">
        <v>0.36</v>
      </c>
      <c r="N656" s="5" t="n">
        <v>0.5</v>
      </c>
    </row>
    <row r="657">
      <c r="A657" t="n">
        <v>656</v>
      </c>
      <c r="B657" t="n">
        <v>2017</v>
      </c>
      <c r="C657" t="inlineStr">
        <is>
          <t>Anastasia Savtchenko</t>
        </is>
      </c>
      <c r="D657">
        <f>HYPERLINK("https://ota.tournamentsoftware.com/player-profile/FF881545-63C4-4D7F-B9E4-0A8D65FB9607", "Link")</f>
        <v/>
      </c>
      <c r="E657" s="3" t="n">
        <v>32.4</v>
      </c>
      <c r="F657" s="4" t="n">
        <v>7</v>
      </c>
      <c r="G657" t="inlineStr">
        <is>
          <t>Ontario Tennis Association</t>
        </is>
      </c>
      <c r="H657" t="inlineStr">
        <is>
          <t>Valan Tennis Academy</t>
        </is>
      </c>
      <c r="I657" t="inlineStr">
        <is>
          <t>unavailable</t>
        </is>
      </c>
      <c r="J657" s="4" t="n">
        <v>95</v>
      </c>
      <c r="K657" t="inlineStr">
        <is>
          <t>53 / 42</t>
        </is>
      </c>
      <c r="L657" t="inlineStr">
        <is>
          <t>17 / 13</t>
        </is>
      </c>
      <c r="M657" s="5" t="n">
        <v>0.5600000000000001</v>
      </c>
      <c r="N657" s="5" t="n">
        <v>0.57</v>
      </c>
    </row>
    <row r="658">
      <c r="A658" t="n">
        <v>656</v>
      </c>
      <c r="B658" t="n">
        <v>2015</v>
      </c>
      <c r="C658" t="inlineStr">
        <is>
          <t>Meera Ramanathan</t>
        </is>
      </c>
      <c r="D658">
        <f>HYPERLINK("https://ota.tournamentsoftware.com/player-profile/4BFD1C94-F572-47D9-8892-3117B37D58A1", "Link")</f>
        <v/>
      </c>
      <c r="E658" s="3" t="n">
        <v>32.4</v>
      </c>
      <c r="F658" s="4" t="n">
        <v>3</v>
      </c>
      <c r="G658" t="inlineStr">
        <is>
          <t>Ontario Tennis Association</t>
        </is>
      </c>
      <c r="H658" t="inlineStr">
        <is>
          <t>Rideau Sports Centre</t>
        </is>
      </c>
      <c r="I658" t="n">
        <v>38</v>
      </c>
      <c r="J658" s="4" t="n">
        <v>12</v>
      </c>
      <c r="K658" t="inlineStr">
        <is>
          <t>6 / 6</t>
        </is>
      </c>
      <c r="L658" t="inlineStr">
        <is>
          <t>5 / 6</t>
        </is>
      </c>
      <c r="M658" s="5" t="n">
        <v>0.5</v>
      </c>
      <c r="N658" s="5" t="n">
        <v>0.45</v>
      </c>
    </row>
    <row r="659">
      <c r="A659" t="n">
        <v>658</v>
      </c>
      <c r="B659" t="n">
        <v>2015</v>
      </c>
      <c r="C659" t="inlineStr">
        <is>
          <t>Piper Harrison</t>
        </is>
      </c>
      <c r="D659">
        <f>HYPERLINK("https://ota.tournamentsoftware.com/player-profile/8FD01254-4DB3-4BFF-A784-65DB87717C42", "Link")</f>
        <v/>
      </c>
      <c r="E659" s="3" t="n">
        <v>31.992</v>
      </c>
      <c r="F659" s="4" t="n">
        <v>7</v>
      </c>
      <c r="G659" t="inlineStr">
        <is>
          <t>Ontario Tennis Association</t>
        </is>
      </c>
      <c r="H659" t="inlineStr">
        <is>
          <t>Boulevard Club</t>
        </is>
      </c>
      <c r="I659" t="n">
        <v>38.6</v>
      </c>
      <c r="J659" s="4" t="n">
        <v>56</v>
      </c>
      <c r="K659" t="inlineStr">
        <is>
          <t>18 / 38</t>
        </is>
      </c>
      <c r="L659" t="inlineStr">
        <is>
          <t>6 / 10</t>
        </is>
      </c>
      <c r="M659" s="5" t="n">
        <v>0.32</v>
      </c>
      <c r="N659" s="5" t="n">
        <v>0.38</v>
      </c>
    </row>
    <row r="660">
      <c r="A660" t="n">
        <v>659</v>
      </c>
      <c r="B660" t="n">
        <v>2014</v>
      </c>
      <c r="C660" t="inlineStr">
        <is>
          <t>Adrianna Rajchel</t>
        </is>
      </c>
      <c r="D660">
        <f>HYPERLINK("https://ota.tournamentsoftware.com/player-profile/CF345FA9-9F2F-4BDB-8B66-131A15D8B231", "Link")</f>
        <v/>
      </c>
      <c r="E660" s="3" t="n">
        <v>31.982</v>
      </c>
      <c r="F660" s="4" t="n">
        <v>4</v>
      </c>
      <c r="G660" t="inlineStr">
        <is>
          <t>Ontario Tennis Association</t>
        </is>
      </c>
      <c r="H660" t="inlineStr">
        <is>
          <t>Carleton Tennis Centre</t>
        </is>
      </c>
      <c r="I660" t="n">
        <v>37.9</v>
      </c>
      <c r="J660" s="4" t="n">
        <v>16</v>
      </c>
      <c r="K660" t="inlineStr">
        <is>
          <t>4 / 12</t>
        </is>
      </c>
      <c r="L660" t="inlineStr">
        <is>
          <t>1 / 4</t>
        </is>
      </c>
      <c r="M660" s="5" t="n">
        <v>0.25</v>
      </c>
      <c r="N660" s="5" t="n">
        <v>0.2</v>
      </c>
    </row>
    <row r="661">
      <c r="A661" t="n">
        <v>660</v>
      </c>
      <c r="B661" t="n">
        <v>2012</v>
      </c>
      <c r="C661" t="inlineStr">
        <is>
          <t>Rosalie Lanthier</t>
        </is>
      </c>
      <c r="D661">
        <f>HYPERLINK("https://ota.tournamentsoftware.com/player-profile/7853B67E-AF4D-4FFF-9839-6455ACC0C941", "Link")</f>
        <v/>
      </c>
      <c r="E661" s="3" t="n">
        <v>31.759</v>
      </c>
      <c r="F661" s="4" t="n">
        <v>5</v>
      </c>
      <c r="G661" t="inlineStr">
        <is>
          <t>Tennis Québec</t>
        </is>
      </c>
      <c r="H661" t="inlineStr">
        <is>
          <t>EB Tennis inc.</t>
        </is>
      </c>
      <c r="I661" t="n">
        <v>40</v>
      </c>
      <c r="J661" s="4" t="n">
        <v>15</v>
      </c>
      <c r="K661" t="inlineStr">
        <is>
          <t>1 / 14</t>
        </is>
      </c>
      <c r="L661" t="inlineStr">
        <is>
          <t>0 / 4</t>
        </is>
      </c>
      <c r="M661" s="5" t="n">
        <v>0.07000000000000001</v>
      </c>
      <c r="N661" s="5" t="n">
        <v>0</v>
      </c>
    </row>
    <row r="662">
      <c r="A662" t="n">
        <v>661</v>
      </c>
      <c r="B662" t="n">
        <v>2012</v>
      </c>
      <c r="C662" t="inlineStr">
        <is>
          <t>Belen Aldana</t>
        </is>
      </c>
      <c r="D662">
        <f>HYPERLINK("https://ota.tournamentsoftware.com/player-profile/403664F3-E594-4FFF-BEC0-1AF63F2F73E4", "Link")</f>
        <v/>
      </c>
      <c r="E662" s="3" t="n">
        <v>31.724</v>
      </c>
      <c r="F662" s="4" t="n">
        <v>6</v>
      </c>
      <c r="G662" t="inlineStr">
        <is>
          <t>Tennis Québec</t>
        </is>
      </c>
      <c r="H662" t="inlineStr">
        <is>
          <t>SANI Sport</t>
        </is>
      </c>
      <c r="I662" t="n">
        <v>37.9</v>
      </c>
      <c r="J662" s="4" t="n">
        <v>11</v>
      </c>
      <c r="K662" t="inlineStr">
        <is>
          <t>1 / 10</t>
        </is>
      </c>
      <c r="L662" t="inlineStr">
        <is>
          <t>1 / 10</t>
        </is>
      </c>
      <c r="M662" s="5" t="n">
        <v>0.09</v>
      </c>
      <c r="N662" s="5" t="n">
        <v>0.09</v>
      </c>
    </row>
    <row r="663">
      <c r="A663" t="n">
        <v>662</v>
      </c>
      <c r="B663" t="n">
        <v>2012</v>
      </c>
      <c r="C663" t="inlineStr">
        <is>
          <t>Elise Landry</t>
        </is>
      </c>
      <c r="D663">
        <f>HYPERLINK("https://ota.tournamentsoftware.com/player-profile/E61A7837-F4EB-4DDA-B26F-2D7CE7910B80", "Link")</f>
        <v/>
      </c>
      <c r="E663" s="3" t="n">
        <v>31.456</v>
      </c>
      <c r="F663" s="4" t="n">
        <v>3</v>
      </c>
      <c r="G663" t="inlineStr">
        <is>
          <t>Ontario Tennis Association</t>
        </is>
      </c>
      <c r="H663" t="inlineStr">
        <is>
          <t>Toronto Tennis City</t>
        </is>
      </c>
      <c r="I663" t="inlineStr">
        <is>
          <t>unavailable</t>
        </is>
      </c>
      <c r="J663" s="4" t="n">
        <v>9</v>
      </c>
      <c r="K663" t="inlineStr">
        <is>
          <t>5 / 4</t>
        </is>
      </c>
      <c r="L663" t="inlineStr">
        <is>
          <t>5 / 4</t>
        </is>
      </c>
      <c r="M663" s="5" t="n">
        <v>0.5600000000000001</v>
      </c>
      <c r="N663" s="5" t="n">
        <v>0.5600000000000001</v>
      </c>
    </row>
    <row r="664">
      <c r="A664" t="n">
        <v>663</v>
      </c>
      <c r="B664" t="n">
        <v>2016</v>
      </c>
      <c r="C664" t="inlineStr">
        <is>
          <t>Talia Petrovski</t>
        </is>
      </c>
      <c r="D664">
        <f>HYPERLINK("https://ota.tournamentsoftware.com/player-profile/85787F1F-708B-4576-AEFA-F82C6105B16E", "Link")</f>
        <v/>
      </c>
      <c r="E664" s="3" t="n">
        <v>31.234</v>
      </c>
      <c r="F664" s="4" t="n">
        <v>19</v>
      </c>
      <c r="G664" t="inlineStr">
        <is>
          <t>Tennis Alberta</t>
        </is>
      </c>
      <c r="H664" t="inlineStr">
        <is>
          <t>Saville Community Sports Centre</t>
        </is>
      </c>
      <c r="I664" t="n">
        <v>35.4</v>
      </c>
      <c r="J664" s="4" t="n">
        <v>146</v>
      </c>
      <c r="K664" t="inlineStr">
        <is>
          <t>83 / 63</t>
        </is>
      </c>
      <c r="L664" t="inlineStr">
        <is>
          <t>53 / 25</t>
        </is>
      </c>
      <c r="M664" s="5" t="n">
        <v>0.57</v>
      </c>
      <c r="N664" s="5" t="n">
        <v>0.68</v>
      </c>
    </row>
    <row r="665">
      <c r="A665" t="n">
        <v>664</v>
      </c>
      <c r="B665" t="n">
        <v>2014</v>
      </c>
      <c r="C665" t="inlineStr">
        <is>
          <t>Ignatia Walsh</t>
        </is>
      </c>
      <c r="D665">
        <f>HYPERLINK("https://ota.tournamentsoftware.com/player-profile/AEC8F080-693E-4608-867A-22E590A9E567", "Link")</f>
        <v/>
      </c>
      <c r="E665" s="3" t="n">
        <v>31.115</v>
      </c>
      <c r="F665" s="4" t="n">
        <v>15</v>
      </c>
      <c r="G665" t="inlineStr">
        <is>
          <t>Ontario Tennis Association</t>
        </is>
      </c>
      <c r="H665" t="inlineStr">
        <is>
          <t>Premier Racquet Clubs – Mississauga</t>
        </is>
      </c>
      <c r="I665" t="inlineStr">
        <is>
          <t>unavailable</t>
        </is>
      </c>
      <c r="J665" s="4" t="n">
        <v>55</v>
      </c>
      <c r="K665" t="inlineStr">
        <is>
          <t>14 / 41</t>
        </is>
      </c>
      <c r="L665" t="inlineStr">
        <is>
          <t>7 / 17</t>
        </is>
      </c>
      <c r="M665" s="5" t="n">
        <v>0.25</v>
      </c>
      <c r="N665" s="5" t="n">
        <v>0.29</v>
      </c>
    </row>
    <row r="666">
      <c r="A666" t="n">
        <v>665</v>
      </c>
      <c r="B666" t="n">
        <v>2015</v>
      </c>
      <c r="C666" t="inlineStr">
        <is>
          <t>Milana Maor</t>
        </is>
      </c>
      <c r="D666">
        <f>HYPERLINK("https://ota.tournamentsoftware.com/player-profile/EFC2E194-22E1-4017-A2E8-0B41E7DB9101", "Link")</f>
        <v/>
      </c>
      <c r="E666" s="3" t="n">
        <v>30.54</v>
      </c>
      <c r="F666" s="4" t="n">
        <v>9</v>
      </c>
      <c r="G666" t="inlineStr">
        <is>
          <t>Ontario Tennis Association</t>
        </is>
      </c>
      <c r="H666" t="inlineStr">
        <is>
          <t>No Club</t>
        </is>
      </c>
      <c r="I666" t="n">
        <v>37.3</v>
      </c>
      <c r="J666" s="4" t="n">
        <v>57</v>
      </c>
      <c r="K666" t="inlineStr">
        <is>
          <t>23 / 34</t>
        </is>
      </c>
      <c r="L666" t="inlineStr">
        <is>
          <t>6 / 15</t>
        </is>
      </c>
      <c r="M666" s="5" t="n">
        <v>0.4</v>
      </c>
      <c r="N666" s="5" t="n">
        <v>0.29</v>
      </c>
    </row>
    <row r="667">
      <c r="A667" t="n">
        <v>666</v>
      </c>
      <c r="B667" t="n">
        <v>2015</v>
      </c>
      <c r="C667" t="inlineStr">
        <is>
          <t>Daisy Dai</t>
        </is>
      </c>
      <c r="D667">
        <f>HYPERLINK("https://ota.tournamentsoftware.com/player-profile/C64DEFB9-4BBC-4AA1-8CC8-9020440935AB", "Link")</f>
        <v/>
      </c>
      <c r="E667" s="3" t="n">
        <v>30.448</v>
      </c>
      <c r="F667" s="4" t="n">
        <v>2</v>
      </c>
      <c r="G667" t="inlineStr">
        <is>
          <t>Tennis Nova Scotia</t>
        </is>
      </c>
      <c r="H667" t="inlineStr">
        <is>
          <t>Atlantic Tennis Centre</t>
        </is>
      </c>
      <c r="I667" t="n">
        <v>33.3</v>
      </c>
      <c r="J667" s="4" t="n">
        <v>23</v>
      </c>
      <c r="K667" t="inlineStr">
        <is>
          <t>16 / 7</t>
        </is>
      </c>
      <c r="L667" t="inlineStr">
        <is>
          <t>4 / 2</t>
        </is>
      </c>
      <c r="M667" s="5" t="n">
        <v>0.7</v>
      </c>
      <c r="N667" s="5" t="n">
        <v>0.67</v>
      </c>
    </row>
    <row r="668">
      <c r="A668" t="n">
        <v>667</v>
      </c>
      <c r="B668" t="n">
        <v>2015</v>
      </c>
      <c r="C668" t="inlineStr">
        <is>
          <t>Hannah Lewis</t>
        </is>
      </c>
      <c r="D668">
        <f>HYPERLINK("https://ota.tournamentsoftware.com/player-profile/B25290C5-DB82-4ED0-843D-33516AFF301F", "Link")</f>
        <v/>
      </c>
      <c r="E668" s="3" t="n">
        <v>30.058</v>
      </c>
      <c r="F668" s="4" t="n">
        <v>6</v>
      </c>
      <c r="G668" t="inlineStr">
        <is>
          <t>Ontario Tennis Association</t>
        </is>
      </c>
      <c r="H668" t="inlineStr">
        <is>
          <t>Tam Heather Tennis Club</t>
        </is>
      </c>
      <c r="I668" t="n">
        <v>38.7</v>
      </c>
      <c r="J668" s="4" t="n">
        <v>46</v>
      </c>
      <c r="K668" t="inlineStr">
        <is>
          <t>13 / 33</t>
        </is>
      </c>
      <c r="L668" t="inlineStr">
        <is>
          <t>12 / 16</t>
        </is>
      </c>
      <c r="M668" s="5" t="n">
        <v>0.28</v>
      </c>
      <c r="N668" s="5" t="n">
        <v>0.43</v>
      </c>
    </row>
    <row r="669">
      <c r="A669" t="n">
        <v>668</v>
      </c>
      <c r="B669" t="n">
        <v>2016</v>
      </c>
      <c r="C669" t="inlineStr">
        <is>
          <t>Yuetian Caroline Guo</t>
        </is>
      </c>
      <c r="D669">
        <f>HYPERLINK("https://ota.tournamentsoftware.com/player-profile/D9EEB088-31A0-4FD1-A91B-A82319998935", "Link")</f>
        <v/>
      </c>
      <c r="E669" s="3" t="n">
        <v>29.459</v>
      </c>
      <c r="F669" s="4" t="n">
        <v>12</v>
      </c>
      <c r="G669" t="inlineStr">
        <is>
          <t>British Columbia</t>
        </is>
      </c>
      <c r="H669" t="inlineStr">
        <is>
          <t>The Tennis Centre</t>
        </is>
      </c>
      <c r="I669" t="n">
        <v>37</v>
      </c>
      <c r="J669" s="4" t="n">
        <v>108</v>
      </c>
      <c r="K669" t="inlineStr">
        <is>
          <t>61 / 47</t>
        </is>
      </c>
      <c r="L669" t="inlineStr">
        <is>
          <t>31 / 21</t>
        </is>
      </c>
      <c r="M669" s="5" t="n">
        <v>0.5600000000000001</v>
      </c>
      <c r="N669" s="5" t="n">
        <v>0.6</v>
      </c>
    </row>
    <row r="670">
      <c r="A670" t="n">
        <v>669</v>
      </c>
      <c r="B670" t="n">
        <v>2012</v>
      </c>
      <c r="C670" t="inlineStr">
        <is>
          <t>Remy Quinn Durocher</t>
        </is>
      </c>
      <c r="D670">
        <f>HYPERLINK("https://ota.tournamentsoftware.com/player-profile/64BF8C80-3EDB-464A-896D-5D47CC387451", "Link")</f>
        <v/>
      </c>
      <c r="E670" s="3" t="n">
        <v>29.376</v>
      </c>
      <c r="F670" s="4" t="n">
        <v>1</v>
      </c>
      <c r="G670" t="inlineStr">
        <is>
          <t>Tennis Prince Edward Island</t>
        </is>
      </c>
      <c r="H670" t="inlineStr">
        <is>
          <t>Stratford Tennis Club</t>
        </is>
      </c>
      <c r="I670" t="n">
        <v>39.4</v>
      </c>
      <c r="J670" s="4" t="n">
        <v>13</v>
      </c>
      <c r="K670" t="inlineStr">
        <is>
          <t>2 / 11</t>
        </is>
      </c>
      <c r="L670" t="inlineStr">
        <is>
          <t>1 / 6</t>
        </is>
      </c>
      <c r="M670" s="5" t="n">
        <v>0.15</v>
      </c>
      <c r="N670" s="5" t="n">
        <v>0.14</v>
      </c>
    </row>
    <row r="671">
      <c r="A671" t="n">
        <v>670</v>
      </c>
      <c r="B671" t="n">
        <v>2014</v>
      </c>
      <c r="C671" t="inlineStr">
        <is>
          <t>Mila Levac</t>
        </is>
      </c>
      <c r="D671">
        <f>HYPERLINK("https://ota.tournamentsoftware.com/player-profile/7F793D8E-41D7-4B70-87B7-9D30B32ED35F", "Link")</f>
        <v/>
      </c>
      <c r="E671" s="3" t="n">
        <v>29.368</v>
      </c>
      <c r="F671" s="4" t="n">
        <v>4</v>
      </c>
      <c r="G671" t="inlineStr">
        <is>
          <t>Ontario Tennis Association</t>
        </is>
      </c>
      <c r="H671" t="inlineStr">
        <is>
          <t>Rideau Sports Centre</t>
        </is>
      </c>
      <c r="I671" t="n">
        <v>39.7</v>
      </c>
      <c r="J671" s="4" t="n">
        <v>78</v>
      </c>
      <c r="K671" t="inlineStr">
        <is>
          <t>14 / 64</t>
        </is>
      </c>
      <c r="L671" t="inlineStr">
        <is>
          <t>0 / 4</t>
        </is>
      </c>
      <c r="M671" s="5" t="n">
        <v>0.18</v>
      </c>
      <c r="N671" s="5" t="n">
        <v>0</v>
      </c>
    </row>
    <row r="672">
      <c r="A672" t="n">
        <v>671</v>
      </c>
      <c r="B672" t="n">
        <v>2015</v>
      </c>
      <c r="C672" t="inlineStr">
        <is>
          <t>Iris RuiYing Cen</t>
        </is>
      </c>
      <c r="D672">
        <f>HYPERLINK("https://ota.tournamentsoftware.com/player-profile/D53FD847-C5AE-41A6-BFB8-EE8B251EDFBF", "Link")</f>
        <v/>
      </c>
      <c r="E672" s="3" t="n">
        <v>29.111</v>
      </c>
      <c r="F672" s="4" t="n">
        <v>7</v>
      </c>
      <c r="G672" t="inlineStr">
        <is>
          <t>Ontario Tennis Association</t>
        </is>
      </c>
      <c r="H672" t="inlineStr">
        <is>
          <t>Meadowvale West Tennis Club</t>
        </is>
      </c>
      <c r="I672" t="n">
        <v>38.1</v>
      </c>
      <c r="J672" s="4" t="n">
        <v>77</v>
      </c>
      <c r="K672" t="inlineStr">
        <is>
          <t>20 / 57</t>
        </is>
      </c>
      <c r="L672" t="inlineStr">
        <is>
          <t>2 / 4</t>
        </is>
      </c>
      <c r="M672" s="5" t="n">
        <v>0.26</v>
      </c>
      <c r="N672" s="5" t="n">
        <v>0.33</v>
      </c>
    </row>
    <row r="673">
      <c r="A673" t="n">
        <v>672</v>
      </c>
      <c r="B673" t="n">
        <v>2014</v>
      </c>
      <c r="C673" t="inlineStr">
        <is>
          <t>Mila Khayretdinova</t>
        </is>
      </c>
      <c r="D673">
        <f>HYPERLINK("https://ota.tournamentsoftware.com/player-profile/04DE0A72-CDB6-4637-88E8-378348327654", "Link")</f>
        <v/>
      </c>
      <c r="E673" s="3" t="n">
        <v>28.855</v>
      </c>
      <c r="F673" s="4" t="n">
        <v>5</v>
      </c>
      <c r="G673" t="inlineStr">
        <is>
          <t>Tennis Québec</t>
        </is>
      </c>
      <c r="H673" t="inlineStr">
        <is>
          <t>No Club</t>
        </is>
      </c>
      <c r="I673" t="n">
        <v>39.1</v>
      </c>
      <c r="J673" s="4" t="n">
        <v>41</v>
      </c>
      <c r="K673" t="inlineStr">
        <is>
          <t>3 / 38</t>
        </is>
      </c>
      <c r="L673" t="inlineStr">
        <is>
          <t>3 / 6</t>
        </is>
      </c>
      <c r="M673" s="5" t="n">
        <v>0.07000000000000001</v>
      </c>
      <c r="N673" s="5" t="n">
        <v>0.33</v>
      </c>
    </row>
    <row r="674">
      <c r="A674" t="n">
        <v>673</v>
      </c>
      <c r="B674" t="n">
        <v>2015</v>
      </c>
      <c r="C674" t="inlineStr">
        <is>
          <t>Asena Kiamil</t>
        </is>
      </c>
      <c r="D674">
        <f>HYPERLINK("https://ota.tournamentsoftware.com/player-profile/E9A72281-6B76-4B36-9040-E802436447FA", "Link")</f>
        <v/>
      </c>
      <c r="E674" s="3" t="n">
        <v>28.824</v>
      </c>
      <c r="F674" s="4" t="n">
        <v>6</v>
      </c>
      <c r="G674" t="inlineStr">
        <is>
          <t>Ontario Tennis Association</t>
        </is>
      </c>
      <c r="H674" t="inlineStr">
        <is>
          <t>Royal City Tennis Club</t>
        </is>
      </c>
      <c r="I674" t="n">
        <v>37.8</v>
      </c>
      <c r="J674" s="4" t="n">
        <v>86</v>
      </c>
      <c r="K674" t="inlineStr">
        <is>
          <t>46 / 40</t>
        </is>
      </c>
      <c r="L674" t="inlineStr">
        <is>
          <t>4 / 6</t>
        </is>
      </c>
      <c r="M674" s="5" t="n">
        <v>0.53</v>
      </c>
      <c r="N674" s="5" t="n">
        <v>0.4</v>
      </c>
    </row>
    <row r="675">
      <c r="A675" t="n">
        <v>674</v>
      </c>
      <c r="B675" t="n">
        <v>2013</v>
      </c>
      <c r="C675" t="inlineStr">
        <is>
          <t>Nitya Myneni</t>
        </is>
      </c>
      <c r="D675">
        <f>HYPERLINK("https://ota.tournamentsoftware.com/player-profile/482EDD14-11AD-4221-B031-4CDB8348AC62", "Link")</f>
        <v/>
      </c>
      <c r="E675" s="3" t="n">
        <v>28.564</v>
      </c>
      <c r="F675" s="4" t="n">
        <v>4</v>
      </c>
      <c r="G675" t="inlineStr">
        <is>
          <t>British Columbia</t>
        </is>
      </c>
      <c r="H675" t="inlineStr">
        <is>
          <t>The Tennis Centre</t>
        </is>
      </c>
      <c r="I675" t="n">
        <v>39.7</v>
      </c>
      <c r="J675" s="4" t="n">
        <v>30</v>
      </c>
      <c r="K675" t="inlineStr">
        <is>
          <t>8 / 22</t>
        </is>
      </c>
      <c r="L675" t="inlineStr">
        <is>
          <t>0 / 8</t>
        </is>
      </c>
      <c r="M675" s="5" t="n">
        <v>0.27</v>
      </c>
      <c r="N675" s="5" t="n">
        <v>0</v>
      </c>
    </row>
    <row r="676">
      <c r="A676" t="n">
        <v>675</v>
      </c>
      <c r="B676" t="n">
        <v>2013</v>
      </c>
      <c r="C676" t="inlineStr">
        <is>
          <t>TIFFANY ZHENG</t>
        </is>
      </c>
      <c r="D676">
        <f>HYPERLINK("https://ota.tournamentsoftware.com/player-profile/59B34621-D499-450A-BDB3-B38C363BEAD1", "Link")</f>
        <v/>
      </c>
      <c r="E676" s="3" t="n">
        <v>28.481</v>
      </c>
      <c r="F676" s="4" t="n">
        <v>1</v>
      </c>
      <c r="G676" t="inlineStr">
        <is>
          <t>Ontario Tennis Association</t>
        </is>
      </c>
      <c r="H676" t="inlineStr">
        <is>
          <t>Carleton Tennis Centre</t>
        </is>
      </c>
      <c r="I676" t="n">
        <v>34</v>
      </c>
      <c r="J676" s="4" t="n">
        <v>1</v>
      </c>
      <c r="K676" t="inlineStr">
        <is>
          <t>1 / 0</t>
        </is>
      </c>
      <c r="L676" t="inlineStr">
        <is>
          <t>1 / 0</t>
        </is>
      </c>
      <c r="M676" s="5" t="n">
        <v>1</v>
      </c>
      <c r="N676" s="5" t="n">
        <v>1</v>
      </c>
    </row>
    <row r="677">
      <c r="A677" t="n">
        <v>676</v>
      </c>
      <c r="B677" t="n">
        <v>2013</v>
      </c>
      <c r="C677" t="inlineStr">
        <is>
          <t>Meryem Besri Besri</t>
        </is>
      </c>
      <c r="D677">
        <f>HYPERLINK("https://ota.tournamentsoftware.com/player-profile/24E638E5-93ED-46F3-95E6-F944EA4EAAE7", "Link")</f>
        <v/>
      </c>
      <c r="E677" s="3" t="n">
        <v>28.425</v>
      </c>
      <c r="F677" s="4" t="n">
        <v>3</v>
      </c>
      <c r="G677" t="inlineStr">
        <is>
          <t>Tennis Alberta</t>
        </is>
      </c>
      <c r="H677" t="inlineStr">
        <is>
          <t>Calgary - Public</t>
        </is>
      </c>
      <c r="I677" t="n">
        <v>32</v>
      </c>
      <c r="J677" s="4" t="n">
        <v>6</v>
      </c>
      <c r="K677" t="inlineStr">
        <is>
          <t>3 / 3</t>
        </is>
      </c>
      <c r="L677" t="inlineStr">
        <is>
          <t>3 / 3</t>
        </is>
      </c>
      <c r="M677" s="5" t="n">
        <v>0.5</v>
      </c>
      <c r="N677" s="5" t="n">
        <v>0.5</v>
      </c>
    </row>
    <row r="678">
      <c r="A678" t="n">
        <v>677</v>
      </c>
      <c r="B678" t="n">
        <v>2016</v>
      </c>
      <c r="C678" t="inlineStr">
        <is>
          <t>Flora Ziyue Wang</t>
        </is>
      </c>
      <c r="D678">
        <f>HYPERLINK("https://ota.tournamentsoftware.com/player-profile/65435931-BBD0-46BD-839E-4188787640BE", "Link")</f>
        <v/>
      </c>
      <c r="E678" s="3" t="n">
        <v>28.368</v>
      </c>
      <c r="F678" s="4" t="n">
        <v>7</v>
      </c>
      <c r="G678" t="inlineStr">
        <is>
          <t>Ontario Tennis Association</t>
        </is>
      </c>
      <c r="H678" t="inlineStr">
        <is>
          <t>Unionville Tennis Club</t>
        </is>
      </c>
      <c r="I678" t="n">
        <v>35.4</v>
      </c>
      <c r="J678" s="4" t="n">
        <v>82</v>
      </c>
      <c r="K678" t="inlineStr">
        <is>
          <t>42 / 40</t>
        </is>
      </c>
      <c r="L678" t="inlineStr">
        <is>
          <t>15 / 9</t>
        </is>
      </c>
      <c r="M678" s="5" t="n">
        <v>0.51</v>
      </c>
      <c r="N678" s="5" t="n">
        <v>0.62</v>
      </c>
    </row>
    <row r="679">
      <c r="A679" t="n">
        <v>678</v>
      </c>
      <c r="B679" t="n">
        <v>2014</v>
      </c>
      <c r="C679" t="inlineStr">
        <is>
          <t>Vira Beskupska</t>
        </is>
      </c>
      <c r="D679">
        <f>HYPERLINK("https://ota.tournamentsoftware.com/player-profile/116FA89C-68A6-4FE9-ADC6-34260809351C", "Link")</f>
        <v/>
      </c>
      <c r="E679" s="3" t="n">
        <v>28.08</v>
      </c>
      <c r="F679" s="4" t="n">
        <v>3</v>
      </c>
      <c r="G679" t="inlineStr">
        <is>
          <t>Ontario Tennis Association</t>
        </is>
      </c>
      <c r="H679" t="inlineStr">
        <is>
          <t>Tennis Centre West Ottawa</t>
        </is>
      </c>
      <c r="I679" t="n">
        <v>38.4</v>
      </c>
      <c r="J679" s="4" t="n">
        <v>7</v>
      </c>
      <c r="K679" t="inlineStr">
        <is>
          <t>2 / 5</t>
        </is>
      </c>
      <c r="L679" t="inlineStr">
        <is>
          <t>2 / 5</t>
        </is>
      </c>
      <c r="M679" s="5" t="n">
        <v>0.29</v>
      </c>
      <c r="N679" s="5" t="n">
        <v>0.29</v>
      </c>
    </row>
    <row r="680">
      <c r="A680" t="n">
        <v>679</v>
      </c>
      <c r="B680" t="n">
        <v>2013</v>
      </c>
      <c r="C680" t="inlineStr">
        <is>
          <t>Phoebe Xu</t>
        </is>
      </c>
      <c r="D680">
        <f>HYPERLINK("https://ota.tournamentsoftware.com/player-profile/278C7B40-F6F9-4402-A8BF-F8069FAF9612", "Link")</f>
        <v/>
      </c>
      <c r="E680" s="3" t="n">
        <v>27.864</v>
      </c>
      <c r="F680" s="4" t="n">
        <v>2</v>
      </c>
      <c r="G680" t="inlineStr">
        <is>
          <t>Ontario Tennis Association</t>
        </is>
      </c>
      <c r="H680" t="inlineStr">
        <is>
          <t>Sandy Beach Tennis Club</t>
        </is>
      </c>
      <c r="I680" t="n">
        <v>32</v>
      </c>
      <c r="J680" s="4" t="n">
        <v>89</v>
      </c>
      <c r="K680" t="inlineStr">
        <is>
          <t>50 / 39</t>
        </is>
      </c>
      <c r="L680" t="inlineStr">
        <is>
          <t>1 / 1</t>
        </is>
      </c>
      <c r="M680" s="5" t="n">
        <v>0.5600000000000001</v>
      </c>
      <c r="N680" s="5" t="n">
        <v>0.5</v>
      </c>
    </row>
    <row r="681">
      <c r="A681" t="n">
        <v>680</v>
      </c>
      <c r="B681" t="n">
        <v>2014</v>
      </c>
      <c r="C681" t="inlineStr">
        <is>
          <t>kunyou Guan</t>
        </is>
      </c>
      <c r="D681">
        <f>HYPERLINK("https://ota.tournamentsoftware.com/player-profile/1F3E9C6C-8AD9-4B0B-B88C-410B372DBAF5", "Link")</f>
        <v/>
      </c>
      <c r="E681" s="3" t="n">
        <v>27.859</v>
      </c>
      <c r="F681" s="4" t="n">
        <v>7</v>
      </c>
      <c r="G681" t="inlineStr">
        <is>
          <t>Ontario Tennis Association</t>
        </is>
      </c>
      <c r="H681" t="inlineStr">
        <is>
          <t>Mayfair West Fitness &amp; Racquet Club</t>
        </is>
      </c>
      <c r="I681" t="n">
        <v>37.5</v>
      </c>
      <c r="J681" s="4" t="n">
        <v>38</v>
      </c>
      <c r="K681" t="inlineStr">
        <is>
          <t>19 / 19</t>
        </is>
      </c>
      <c r="L681" t="inlineStr">
        <is>
          <t>6 / 8</t>
        </is>
      </c>
      <c r="M681" s="5" t="n">
        <v>0.5</v>
      </c>
      <c r="N681" s="5" t="n">
        <v>0.43</v>
      </c>
    </row>
    <row r="682">
      <c r="A682" t="n">
        <v>681</v>
      </c>
      <c r="B682" t="n">
        <v>2016</v>
      </c>
      <c r="C682" t="inlineStr">
        <is>
          <t>Madison Prsa</t>
        </is>
      </c>
      <c r="D682">
        <f>HYPERLINK("https://ota.tournamentsoftware.com/player-profile/E90BB9E9-F58B-415B-8202-1B024EFB9E36", "Link")</f>
        <v/>
      </c>
      <c r="E682" s="3" t="n">
        <v>27.648</v>
      </c>
      <c r="F682" s="4" t="n">
        <v>6</v>
      </c>
      <c r="G682" t="inlineStr">
        <is>
          <t>Ontario Tennis Association</t>
        </is>
      </c>
      <c r="H682" t="inlineStr">
        <is>
          <t>Advantage Tennis International at Veneto</t>
        </is>
      </c>
      <c r="I682" t="n">
        <v>36.3</v>
      </c>
      <c r="J682" s="4" t="n">
        <v>145</v>
      </c>
      <c r="K682" t="inlineStr">
        <is>
          <t>56 / 89</t>
        </is>
      </c>
      <c r="L682" t="inlineStr">
        <is>
          <t>15 / 21</t>
        </is>
      </c>
      <c r="M682" s="5" t="n">
        <v>0.39</v>
      </c>
      <c r="N682" s="5" t="n">
        <v>0.42</v>
      </c>
    </row>
    <row r="683">
      <c r="A683" t="n">
        <v>682</v>
      </c>
      <c r="B683" t="n">
        <v>2012</v>
      </c>
      <c r="C683" t="inlineStr">
        <is>
          <t>Emma Gao</t>
        </is>
      </c>
      <c r="D683">
        <f>HYPERLINK("https://ota.tournamentsoftware.com/player-profile/C88BC343-3DFB-493C-85F2-14F8A90F6D68", "Link")</f>
        <v/>
      </c>
      <c r="E683" s="3" t="n">
        <v>27.439</v>
      </c>
      <c r="F683" s="4" t="n">
        <v>3</v>
      </c>
      <c r="G683" t="inlineStr">
        <is>
          <t>British Columbia</t>
        </is>
      </c>
      <c r="H683" t="inlineStr">
        <is>
          <t>Tennis for Life</t>
        </is>
      </c>
      <c r="I683" t="inlineStr">
        <is>
          <t>unavailable</t>
        </is>
      </c>
      <c r="J683" s="4" t="n">
        <v>33</v>
      </c>
      <c r="K683" t="inlineStr">
        <is>
          <t>9 / 24</t>
        </is>
      </c>
      <c r="L683" t="inlineStr">
        <is>
          <t>0 / 5</t>
        </is>
      </c>
      <c r="M683" s="5" t="n">
        <v>0.27</v>
      </c>
      <c r="N683" s="5" t="n">
        <v>0</v>
      </c>
    </row>
    <row r="684">
      <c r="A684" t="n">
        <v>683</v>
      </c>
      <c r="B684" t="n">
        <v>2014</v>
      </c>
      <c r="C684" t="inlineStr">
        <is>
          <t>Ariella Naomi Shegelman</t>
        </is>
      </c>
      <c r="D684">
        <f>HYPERLINK("https://ota.tournamentsoftware.com/player-profile/F4A076BF-B4C6-4301-B22A-3E13FD483AD5", "Link")</f>
        <v/>
      </c>
      <c r="E684" s="3" t="n">
        <v>27.211</v>
      </c>
      <c r="F684" s="4" t="n">
        <v>4</v>
      </c>
      <c r="G684" t="inlineStr">
        <is>
          <t>Ontario Tennis Association</t>
        </is>
      </c>
      <c r="H684" t="inlineStr">
        <is>
          <t>Concord Tennis Academy</t>
        </is>
      </c>
      <c r="I684" t="n">
        <v>36</v>
      </c>
      <c r="J684" s="4" t="n">
        <v>30</v>
      </c>
      <c r="K684" t="inlineStr">
        <is>
          <t>15 / 15</t>
        </is>
      </c>
      <c r="L684" t="inlineStr">
        <is>
          <t>5 / 5</t>
        </is>
      </c>
      <c r="M684" s="5" t="n">
        <v>0.5</v>
      </c>
      <c r="N684" s="5" t="n">
        <v>0.5</v>
      </c>
    </row>
    <row r="685">
      <c r="A685" t="n">
        <v>684</v>
      </c>
      <c r="B685" t="n">
        <v>2016</v>
      </c>
      <c r="C685" t="inlineStr">
        <is>
          <t>Emma Yu</t>
        </is>
      </c>
      <c r="D685">
        <f>HYPERLINK("https://ota.tournamentsoftware.com/player-profile/08E91FF6-D5E8-42FC-9B0D-2002B0263706", "Link")</f>
        <v/>
      </c>
      <c r="E685" s="3" t="n">
        <v>27</v>
      </c>
      <c r="F685" s="4" t="n">
        <v>5</v>
      </c>
      <c r="G685" t="inlineStr">
        <is>
          <t>Tennis Nova Scotia</t>
        </is>
      </c>
      <c r="H685" t="inlineStr">
        <is>
          <t>Atlantic Tennis Centre</t>
        </is>
      </c>
      <c r="I685" t="n">
        <v>35.4</v>
      </c>
      <c r="J685" s="4" t="n">
        <v>45</v>
      </c>
      <c r="K685" t="inlineStr">
        <is>
          <t>25 / 20</t>
        </is>
      </c>
      <c r="L685" t="inlineStr">
        <is>
          <t>17 / 9</t>
        </is>
      </c>
      <c r="M685" s="5" t="n">
        <v>0.5600000000000001</v>
      </c>
      <c r="N685" s="5" t="n">
        <v>0.65</v>
      </c>
    </row>
    <row r="686">
      <c r="A686" t="n">
        <v>685</v>
      </c>
      <c r="B686" t="n">
        <v>2012</v>
      </c>
      <c r="C686" t="inlineStr">
        <is>
          <t>Tallulah Oakes</t>
        </is>
      </c>
      <c r="D686">
        <f>HYPERLINK("https://ota.tournamentsoftware.com/player-profile/B5372F0A-C15A-4DDD-A97C-9E3BACE4A05E", "Link")</f>
        <v/>
      </c>
      <c r="E686" s="3" t="n">
        <v>26.613</v>
      </c>
      <c r="F686" s="4" t="n">
        <v>2</v>
      </c>
      <c r="G686" t="inlineStr">
        <is>
          <t>British Columbia</t>
        </is>
      </c>
      <c r="H686" t="inlineStr">
        <is>
          <t>Hollyburn Country Club</t>
        </is>
      </c>
      <c r="I686" t="n">
        <v>35.4</v>
      </c>
      <c r="J686" s="4" t="n">
        <v>72</v>
      </c>
      <c r="K686" t="inlineStr">
        <is>
          <t>27 / 45</t>
        </is>
      </c>
      <c r="L686" t="inlineStr">
        <is>
          <t>1 / 2</t>
        </is>
      </c>
      <c r="M686" s="5" t="n">
        <v>0.38</v>
      </c>
      <c r="N686" s="5" t="n">
        <v>0.33</v>
      </c>
    </row>
    <row r="687">
      <c r="A687" t="n">
        <v>686</v>
      </c>
      <c r="B687" t="n">
        <v>2012</v>
      </c>
      <c r="C687" t="inlineStr">
        <is>
          <t>Kira Karstoff</t>
        </is>
      </c>
      <c r="D687">
        <f>HYPERLINK("https://ota.tournamentsoftware.com/player-profile/1755679B-A50B-4F8F-B603-0578043F7638", "Link")</f>
        <v/>
      </c>
      <c r="E687" s="3" t="n">
        <v>26.611</v>
      </c>
      <c r="F687" s="4" t="n">
        <v>2</v>
      </c>
      <c r="G687" t="inlineStr">
        <is>
          <t>Ontario Tennis Association</t>
        </is>
      </c>
      <c r="H687" t="inlineStr">
        <is>
          <t>Toronto Cricket Skating &amp; Curling</t>
        </is>
      </c>
      <c r="I687" t="inlineStr">
        <is>
          <t>unavailable</t>
        </is>
      </c>
      <c r="J687" s="4" t="n">
        <v>48</v>
      </c>
      <c r="K687" t="inlineStr">
        <is>
          <t>21 / 27</t>
        </is>
      </c>
      <c r="L687" t="inlineStr">
        <is>
          <t>2 / 4</t>
        </is>
      </c>
      <c r="M687" s="5" t="n">
        <v>0.44</v>
      </c>
      <c r="N687" s="5" t="n">
        <v>0.33</v>
      </c>
    </row>
    <row r="688">
      <c r="A688" t="n">
        <v>687</v>
      </c>
      <c r="B688" t="n">
        <v>2013</v>
      </c>
      <c r="C688" t="inlineStr">
        <is>
          <t>Mayssa Maddouri</t>
        </is>
      </c>
      <c r="D688">
        <f>HYPERLINK("https://ota.tournamentsoftware.com/player-profile/911D4DB6-C985-4A43-8264-359A0386F2C5", "Link")</f>
        <v/>
      </c>
      <c r="E688" s="3" t="n">
        <v>26.568</v>
      </c>
      <c r="F688" s="4" t="n">
        <v>2</v>
      </c>
      <c r="G688" t="inlineStr">
        <is>
          <t>Tennis Québec</t>
        </is>
      </c>
      <c r="H688" t="inlineStr">
        <is>
          <t>EB Tennis inc.</t>
        </is>
      </c>
      <c r="I688" t="inlineStr">
        <is>
          <t>unavailable</t>
        </is>
      </c>
      <c r="J688" s="4" t="n">
        <v>3</v>
      </c>
      <c r="K688" t="inlineStr">
        <is>
          <t>0 / 3</t>
        </is>
      </c>
      <c r="L688" t="inlineStr">
        <is>
          <t>0 / 3</t>
        </is>
      </c>
      <c r="M688" s="5" t="n">
        <v>0</v>
      </c>
      <c r="N688" s="5" t="n">
        <v>0</v>
      </c>
    </row>
    <row r="689">
      <c r="A689" t="n">
        <v>687</v>
      </c>
      <c r="B689" t="n">
        <v>2013</v>
      </c>
      <c r="C689" t="inlineStr">
        <is>
          <t>Soély Expérience</t>
        </is>
      </c>
      <c r="D689">
        <f>HYPERLINK("https://ota.tournamentsoftware.com/player-profile/91892DC4-7E0E-400F-96DB-9DFFCE855771", "Link")</f>
        <v/>
      </c>
      <c r="E689" s="3" t="n">
        <v>26.568</v>
      </c>
      <c r="F689" s="4" t="n">
        <v>1</v>
      </c>
      <c r="G689" t="inlineStr">
        <is>
          <t>Tennis Québec</t>
        </is>
      </c>
      <c r="H689" t="inlineStr">
        <is>
          <t>Tennis Montréal Excellence</t>
        </is>
      </c>
      <c r="I689" t="n">
        <v>32.8</v>
      </c>
      <c r="J689" s="4" t="n">
        <v>163</v>
      </c>
      <c r="K689" t="inlineStr">
        <is>
          <t>95 / 68</t>
        </is>
      </c>
      <c r="L689" t="inlineStr">
        <is>
          <t>0 / 1</t>
        </is>
      </c>
      <c r="M689" s="5" t="n">
        <v>0.58</v>
      </c>
      <c r="N689" s="5" t="n">
        <v>0</v>
      </c>
    </row>
    <row r="690">
      <c r="A690" t="n">
        <v>689</v>
      </c>
      <c r="B690" t="n">
        <v>2012</v>
      </c>
      <c r="C690" t="inlineStr">
        <is>
          <t>Erica Amy Els</t>
        </is>
      </c>
      <c r="D690">
        <f>HYPERLINK("https://ota.tournamentsoftware.com/player-profile/2D6CC49A-BAE5-4768-9244-8FB4F1D2CABC", "Link")</f>
        <v/>
      </c>
      <c r="E690" s="3" t="n">
        <v>26.417</v>
      </c>
      <c r="F690" s="4" t="n">
        <v>5</v>
      </c>
      <c r="G690" t="inlineStr">
        <is>
          <t>Tennis Alberta</t>
        </is>
      </c>
      <c r="H690" t="inlineStr">
        <is>
          <t>No Club</t>
        </is>
      </c>
      <c r="I690" t="n">
        <v>39.2</v>
      </c>
      <c r="J690" s="4" t="n">
        <v>9</v>
      </c>
      <c r="K690" t="inlineStr">
        <is>
          <t>1 / 8</t>
        </is>
      </c>
      <c r="L690" t="inlineStr">
        <is>
          <t>1 / 8</t>
        </is>
      </c>
      <c r="M690" s="5" t="n">
        <v>0.11</v>
      </c>
      <c r="N690" s="5" t="n">
        <v>0.11</v>
      </c>
    </row>
    <row r="691">
      <c r="A691" t="n">
        <v>690</v>
      </c>
      <c r="B691" t="n">
        <v>2013</v>
      </c>
      <c r="C691" t="inlineStr">
        <is>
          <t>Kate Lalli</t>
        </is>
      </c>
      <c r="D691">
        <f>HYPERLINK("https://ota.tournamentsoftware.com/player-profile/37A0CF8B-C4DF-49F1-946F-E349A3E42015", "Link")</f>
        <v/>
      </c>
      <c r="E691" s="3" t="n">
        <v>26.327</v>
      </c>
      <c r="F691" s="4" t="n">
        <v>3</v>
      </c>
      <c r="G691" t="inlineStr">
        <is>
          <t>Tennis Québec</t>
        </is>
      </c>
      <c r="H691" t="inlineStr">
        <is>
          <t>No Club</t>
        </is>
      </c>
      <c r="I691" t="n">
        <v>37.6</v>
      </c>
      <c r="J691" s="4" t="n">
        <v>15</v>
      </c>
      <c r="K691" t="inlineStr">
        <is>
          <t>4 / 11</t>
        </is>
      </c>
      <c r="L691" t="inlineStr">
        <is>
          <t>1 / 6</t>
        </is>
      </c>
      <c r="M691" s="5" t="n">
        <v>0.27</v>
      </c>
      <c r="N691" s="5" t="n">
        <v>0.14</v>
      </c>
    </row>
    <row r="692">
      <c r="A692" t="n">
        <v>691</v>
      </c>
      <c r="B692" t="n">
        <v>2014</v>
      </c>
      <c r="C692" t="inlineStr">
        <is>
          <t>Audrey Lu</t>
        </is>
      </c>
      <c r="D692">
        <f>HYPERLINK("https://ota.tournamentsoftware.com/player-profile/01588371-7322-467B-AA75-DDD8230D1899", "Link")</f>
        <v/>
      </c>
      <c r="E692" s="3" t="n">
        <v>26.154</v>
      </c>
      <c r="F692" s="4" t="n">
        <v>6</v>
      </c>
      <c r="G692" t="inlineStr">
        <is>
          <t>Ontario Tennis Association</t>
        </is>
      </c>
      <c r="H692" t="inlineStr">
        <is>
          <t>Toronto Cricket Skating &amp; Curling</t>
        </is>
      </c>
      <c r="I692" t="inlineStr">
        <is>
          <t>unavailable</t>
        </is>
      </c>
      <c r="J692" s="4" t="n">
        <v>24</v>
      </c>
      <c r="K692" t="inlineStr">
        <is>
          <t>10 / 14</t>
        </is>
      </c>
      <c r="L692" t="inlineStr">
        <is>
          <t>10 / 11</t>
        </is>
      </c>
      <c r="M692" s="5" t="n">
        <v>0.42</v>
      </c>
      <c r="N692" s="5" t="n">
        <v>0.48</v>
      </c>
    </row>
    <row r="693">
      <c r="A693" t="n">
        <v>692</v>
      </c>
      <c r="B693" t="n">
        <v>2015</v>
      </c>
      <c r="C693" t="inlineStr">
        <is>
          <t>Isadora Xu</t>
        </is>
      </c>
      <c r="D693">
        <f>HYPERLINK("https://ota.tournamentsoftware.com/player-profile/78173253-32AB-4E0D-8618-AEF874C973EC", "Link")</f>
        <v/>
      </c>
      <c r="E693" s="3" t="n">
        <v>25.746</v>
      </c>
      <c r="F693" s="4" t="n">
        <v>11</v>
      </c>
      <c r="G693" t="inlineStr">
        <is>
          <t>British Columbia</t>
        </is>
      </c>
      <c r="H693" t="inlineStr">
        <is>
          <t>Arbutus Club</t>
        </is>
      </c>
      <c r="I693" t="n">
        <v>39.3</v>
      </c>
      <c r="J693" s="4" t="n">
        <v>46</v>
      </c>
      <c r="K693" t="inlineStr">
        <is>
          <t>19 / 27</t>
        </is>
      </c>
      <c r="L693" t="inlineStr">
        <is>
          <t>15 / 21</t>
        </is>
      </c>
      <c r="M693" s="5" t="n">
        <v>0.41</v>
      </c>
      <c r="N693" s="5" t="n">
        <v>0.42</v>
      </c>
    </row>
    <row r="694">
      <c r="A694" t="n">
        <v>693</v>
      </c>
      <c r="B694" t="n">
        <v>2012</v>
      </c>
      <c r="C694" t="inlineStr">
        <is>
          <t>Harper Van Beveren</t>
        </is>
      </c>
      <c r="D694">
        <f>HYPERLINK("https://ota.tournamentsoftware.com/player-profile/5981FBA6-1FF9-4CF8-8DE2-DDB8BFEA4094", "Link")</f>
        <v/>
      </c>
      <c r="E694" s="3" t="n">
        <v>25.531</v>
      </c>
      <c r="F694" s="4" t="n">
        <v>2</v>
      </c>
      <c r="G694" t="inlineStr">
        <is>
          <t>Ontario Tennis Association</t>
        </is>
      </c>
      <c r="H694" t="inlineStr">
        <is>
          <t>Rosedale Tennis Club (Hamilton)</t>
        </is>
      </c>
      <c r="I694" t="inlineStr">
        <is>
          <t>unavailable</t>
        </is>
      </c>
      <c r="J694" s="4" t="n">
        <v>16</v>
      </c>
      <c r="K694" t="inlineStr">
        <is>
          <t>5 / 11</t>
        </is>
      </c>
      <c r="L694" t="inlineStr">
        <is>
          <t>1 / 1</t>
        </is>
      </c>
      <c r="M694" s="5" t="n">
        <v>0.31</v>
      </c>
      <c r="N694" s="5" t="n">
        <v>0.5</v>
      </c>
    </row>
    <row r="695">
      <c r="A695" t="n">
        <v>694</v>
      </c>
      <c r="B695" t="n">
        <v>2014</v>
      </c>
      <c r="C695" t="inlineStr">
        <is>
          <t>Mia Krusarovski</t>
        </is>
      </c>
      <c r="D695">
        <f>HYPERLINK("https://ota.tournamentsoftware.com/player-profile/BE8F67EB-3C85-4EE8-8915-58C34DCD86C7", "Link")</f>
        <v/>
      </c>
      <c r="E695" s="3" t="n">
        <v>25.17</v>
      </c>
      <c r="F695" s="4" t="n">
        <v>3</v>
      </c>
      <c r="G695" t="inlineStr">
        <is>
          <t>Ontario Tennis Association</t>
        </is>
      </c>
      <c r="H695" t="inlineStr">
        <is>
          <t>Zekelman Tennis Centre</t>
        </is>
      </c>
      <c r="I695" t="n">
        <v>34.4</v>
      </c>
      <c r="J695" s="4" t="n">
        <v>16</v>
      </c>
      <c r="K695" t="inlineStr">
        <is>
          <t>5 / 11</t>
        </is>
      </c>
      <c r="L695" t="inlineStr">
        <is>
          <t>4 / 2</t>
        </is>
      </c>
      <c r="M695" s="5" t="n">
        <v>0.31</v>
      </c>
      <c r="N695" s="5" t="n">
        <v>0.67</v>
      </c>
    </row>
    <row r="696">
      <c r="A696" t="n">
        <v>695</v>
      </c>
      <c r="B696" t="n">
        <v>2013</v>
      </c>
      <c r="C696" t="inlineStr">
        <is>
          <t>Aylin Iskenderova</t>
        </is>
      </c>
      <c r="D696">
        <f>HYPERLINK("https://ota.tournamentsoftware.com/player-profile/07B240E6-A596-4F2A-90A6-63993B9F2568", "Link")</f>
        <v/>
      </c>
      <c r="E696" s="3" t="n">
        <v>24.575</v>
      </c>
      <c r="F696" s="4" t="n">
        <v>2</v>
      </c>
      <c r="G696" t="inlineStr">
        <is>
          <t>Ontario Tennis Association</t>
        </is>
      </c>
      <c r="H696" t="inlineStr">
        <is>
          <t>Concord Tennis Academy</t>
        </is>
      </c>
      <c r="I696" t="n">
        <v>40</v>
      </c>
      <c r="J696" s="4" t="n">
        <v>16</v>
      </c>
      <c r="K696" t="inlineStr">
        <is>
          <t>6 / 10</t>
        </is>
      </c>
      <c r="L696" t="inlineStr">
        <is>
          <t>0 / 4</t>
        </is>
      </c>
      <c r="M696" s="5" t="n">
        <v>0.38</v>
      </c>
      <c r="N696" s="5" t="n">
        <v>0</v>
      </c>
    </row>
    <row r="697">
      <c r="A697" t="n">
        <v>696</v>
      </c>
      <c r="B697" t="n">
        <v>2013</v>
      </c>
      <c r="C697" t="inlineStr">
        <is>
          <t>Seher Sharma</t>
        </is>
      </c>
      <c r="D697">
        <f>HYPERLINK("https://ota.tournamentsoftware.com/player-profile/383B0843-9E5F-4A01-8304-C01EA147B7A2", "Link")</f>
        <v/>
      </c>
      <c r="E697" s="3" t="n">
        <v>24.524</v>
      </c>
      <c r="F697" s="4" t="n">
        <v>2</v>
      </c>
      <c r="G697" t="inlineStr">
        <is>
          <t>Ontario Tennis Association</t>
        </is>
      </c>
      <c r="H697" t="inlineStr">
        <is>
          <t>Glendale Tennis Club</t>
        </is>
      </c>
      <c r="I697" t="inlineStr">
        <is>
          <t>unavailable</t>
        </is>
      </c>
      <c r="J697" s="4" t="n">
        <v>17</v>
      </c>
      <c r="K697" t="inlineStr">
        <is>
          <t>4 / 13</t>
        </is>
      </c>
      <c r="L697" t="inlineStr">
        <is>
          <t>0 / 4</t>
        </is>
      </c>
      <c r="M697" s="5" t="n">
        <v>0.24</v>
      </c>
      <c r="N697" s="5" t="n">
        <v>0</v>
      </c>
    </row>
    <row r="698">
      <c r="A698" t="n">
        <v>697</v>
      </c>
      <c r="B698" t="n">
        <v>2016</v>
      </c>
      <c r="C698" t="inlineStr">
        <is>
          <t>Ama Marie Elvira Kouadio</t>
        </is>
      </c>
      <c r="D698">
        <f>HYPERLINK("https://ota.tournamentsoftware.com/player-profile/25362040-6649-44FF-A97B-DDFA8FFF0B73", "Link")</f>
        <v/>
      </c>
      <c r="E698" s="3" t="n">
        <v>24.103</v>
      </c>
      <c r="F698" s="4" t="n">
        <v>2</v>
      </c>
      <c r="G698" t="inlineStr">
        <is>
          <t>Tennis Québec</t>
        </is>
      </c>
      <c r="H698" t="inlineStr">
        <is>
          <t>Carrefour Multisports</t>
        </is>
      </c>
      <c r="I698" t="n">
        <v>34.4</v>
      </c>
      <c r="J698" s="4" t="n">
        <v>65</v>
      </c>
      <c r="K698" t="inlineStr">
        <is>
          <t>41 / 24</t>
        </is>
      </c>
      <c r="L698" t="inlineStr">
        <is>
          <t>5 / 4</t>
        </is>
      </c>
      <c r="M698" s="5" t="n">
        <v>0.63</v>
      </c>
      <c r="N698" s="5" t="n">
        <v>0.5600000000000001</v>
      </c>
    </row>
    <row r="699">
      <c r="A699" t="n">
        <v>698</v>
      </c>
      <c r="B699" t="n">
        <v>2014</v>
      </c>
      <c r="C699" t="inlineStr">
        <is>
          <t>Rehmat Kaur Sandhar</t>
        </is>
      </c>
      <c r="D699">
        <f>HYPERLINK("https://ota.tournamentsoftware.com/player-profile/F8357E3D-210F-40E0-BA8A-8FFDBD0DC17E", "Link")</f>
        <v/>
      </c>
      <c r="E699" s="3" t="n">
        <v>23.76</v>
      </c>
      <c r="F699" s="4" t="n">
        <v>3</v>
      </c>
      <c r="G699" t="inlineStr">
        <is>
          <t>Ontario Tennis Association</t>
        </is>
      </c>
      <c r="H699" t="inlineStr">
        <is>
          <t>ON Tennis Toronto No Club</t>
        </is>
      </c>
      <c r="I699" t="n">
        <v>36.7</v>
      </c>
      <c r="J699" s="4" t="n">
        <v>36</v>
      </c>
      <c r="K699" t="inlineStr">
        <is>
          <t>18 / 18</t>
        </is>
      </c>
      <c r="L699" t="inlineStr">
        <is>
          <t>18 / 15</t>
        </is>
      </c>
      <c r="M699" s="5" t="n">
        <v>0.5</v>
      </c>
      <c r="N699" s="5" t="n">
        <v>0.55</v>
      </c>
    </row>
    <row r="700">
      <c r="A700" t="n">
        <v>699</v>
      </c>
      <c r="B700" t="n">
        <v>2014</v>
      </c>
      <c r="C700" t="inlineStr">
        <is>
          <t>Emma Jingya Xi</t>
        </is>
      </c>
      <c r="D700">
        <f>HYPERLINK("https://ota.tournamentsoftware.com/player-profile/540C86FB-2BC4-4357-8C94-AA0A3EEBDC22", "Link")</f>
        <v/>
      </c>
      <c r="E700" s="3" t="n">
        <v>23.597</v>
      </c>
      <c r="F700" s="4" t="n">
        <v>3</v>
      </c>
      <c r="G700" t="inlineStr">
        <is>
          <t>Ontario Tennis Association</t>
        </is>
      </c>
      <c r="H700" t="inlineStr">
        <is>
          <t>ACE Tennis - Burlington</t>
        </is>
      </c>
      <c r="I700" t="inlineStr">
        <is>
          <t>unavailable</t>
        </is>
      </c>
      <c r="J700" s="4" t="n">
        <v>41</v>
      </c>
      <c r="K700" t="inlineStr">
        <is>
          <t>14 / 27</t>
        </is>
      </c>
      <c r="L700" t="inlineStr">
        <is>
          <t>1 / 5</t>
        </is>
      </c>
      <c r="M700" s="5" t="n">
        <v>0.34</v>
      </c>
      <c r="N700" s="5" t="n">
        <v>0.17</v>
      </c>
    </row>
    <row r="701">
      <c r="A701" t="n">
        <v>700</v>
      </c>
      <c r="B701" t="n">
        <v>2015</v>
      </c>
      <c r="C701" t="inlineStr">
        <is>
          <t>Diana Troitska</t>
        </is>
      </c>
      <c r="D701">
        <f>HYPERLINK("https://ota.tournamentsoftware.com/player-profile/6F22C01B-A1B6-4624-8606-C4D0FEB24026", "Link")</f>
        <v/>
      </c>
      <c r="E701" s="3" t="n">
        <v>23.546</v>
      </c>
      <c r="F701" s="4" t="n">
        <v>2</v>
      </c>
      <c r="G701" t="inlineStr">
        <is>
          <t>Tennis Québec</t>
        </is>
      </c>
      <c r="H701" t="inlineStr">
        <is>
          <t>No Club</t>
        </is>
      </c>
      <c r="I701" t="inlineStr">
        <is>
          <t>unavailable</t>
        </is>
      </c>
      <c r="J701" s="4" t="n">
        <v>13</v>
      </c>
      <c r="K701" t="inlineStr">
        <is>
          <t>2 / 11</t>
        </is>
      </c>
      <c r="L701" t="inlineStr">
        <is>
          <t>0 / 1</t>
        </is>
      </c>
      <c r="M701" s="5" t="n">
        <v>0.15</v>
      </c>
      <c r="N701" s="5" t="n">
        <v>0</v>
      </c>
    </row>
    <row r="702">
      <c r="A702" t="n">
        <v>701</v>
      </c>
      <c r="B702" t="n">
        <v>2012</v>
      </c>
      <c r="C702" t="inlineStr">
        <is>
          <t>Nika Yaghoubi</t>
        </is>
      </c>
      <c r="D702">
        <f>HYPERLINK("https://ota.tournamentsoftware.com/player-profile/D6970753-702D-4123-8798-708EAC6B7E32", "Link")</f>
        <v/>
      </c>
      <c r="E702" s="3" t="n">
        <v>23.448</v>
      </c>
      <c r="F702" s="4" t="n">
        <v>2</v>
      </c>
      <c r="G702" t="inlineStr">
        <is>
          <t>Tennis Alberta</t>
        </is>
      </c>
      <c r="H702" t="inlineStr">
        <is>
          <t>Saville Community Sports Centre</t>
        </is>
      </c>
      <c r="I702" t="n">
        <v>35.2</v>
      </c>
      <c r="J702" s="4" t="n">
        <v>12</v>
      </c>
      <c r="K702" t="inlineStr">
        <is>
          <t>6 / 6</t>
        </is>
      </c>
      <c r="L702" t="inlineStr">
        <is>
          <t>6 / 6</t>
        </is>
      </c>
      <c r="M702" s="5" t="n">
        <v>0.5</v>
      </c>
      <c r="N702" s="5" t="n">
        <v>0.5</v>
      </c>
    </row>
    <row r="703">
      <c r="A703" t="n">
        <v>702</v>
      </c>
      <c r="B703" t="n">
        <v>2015</v>
      </c>
      <c r="C703" t="inlineStr">
        <is>
          <t>Cassia Contreras</t>
        </is>
      </c>
      <c r="D703">
        <f>HYPERLINK("https://ota.tournamentsoftware.com/player-profile/84692E6B-274F-4FC9-9179-D4BC6F34FCEE", "Link")</f>
        <v/>
      </c>
      <c r="E703" s="3" t="n">
        <v>23.208</v>
      </c>
      <c r="F703" s="4" t="n">
        <v>4</v>
      </c>
      <c r="G703" t="inlineStr">
        <is>
          <t>Ontario Tennis Association</t>
        </is>
      </c>
      <c r="H703" t="inlineStr">
        <is>
          <t>Toronto Tennis Academy</t>
        </is>
      </c>
      <c r="I703" t="inlineStr">
        <is>
          <t>unavailable</t>
        </is>
      </c>
      <c r="J703" s="4" t="n">
        <v>50</v>
      </c>
      <c r="K703" t="inlineStr">
        <is>
          <t>18 / 32</t>
        </is>
      </c>
      <c r="L703" t="inlineStr">
        <is>
          <t>5 / 7</t>
        </is>
      </c>
      <c r="M703" s="5" t="n">
        <v>0.36</v>
      </c>
      <c r="N703" s="5" t="n">
        <v>0.42</v>
      </c>
    </row>
    <row r="704">
      <c r="A704" t="n">
        <v>703</v>
      </c>
      <c r="B704" t="n">
        <v>2015</v>
      </c>
      <c r="C704" t="inlineStr">
        <is>
          <t>Margot Couture</t>
        </is>
      </c>
      <c r="D704">
        <f>HYPERLINK("https://ota.tournamentsoftware.com/player-profile/7DE265DB-E3E6-4C4E-90BD-199DB99DCAEB", "Link")</f>
        <v/>
      </c>
      <c r="E704" s="3" t="n">
        <v>23.186</v>
      </c>
      <c r="F704" s="4" t="n">
        <v>5</v>
      </c>
      <c r="G704" t="inlineStr">
        <is>
          <t>Tennis Québec</t>
        </is>
      </c>
      <c r="H704" t="inlineStr">
        <is>
          <t>SANI Sport</t>
        </is>
      </c>
      <c r="I704" t="n">
        <v>38.1</v>
      </c>
      <c r="J704" s="4" t="n">
        <v>27</v>
      </c>
      <c r="K704" t="inlineStr">
        <is>
          <t>7 / 20</t>
        </is>
      </c>
      <c r="L704" t="inlineStr">
        <is>
          <t>2 / 5</t>
        </is>
      </c>
      <c r="M704" s="5" t="n">
        <v>0.26</v>
      </c>
      <c r="N704" s="5" t="n">
        <v>0.29</v>
      </c>
    </row>
    <row r="705">
      <c r="A705" t="n">
        <v>704</v>
      </c>
      <c r="B705" t="n">
        <v>2015</v>
      </c>
      <c r="C705" t="inlineStr">
        <is>
          <t>Eliana Green</t>
        </is>
      </c>
      <c r="D705">
        <f>HYPERLINK("https://ota.tournamentsoftware.com/player-profile/6AF8FC12-BD58-4E7C-B446-1CAAB9ADE85D", "Link")</f>
        <v/>
      </c>
      <c r="E705" s="3" t="n">
        <v>23.112</v>
      </c>
      <c r="F705" s="4" t="n">
        <v>1</v>
      </c>
      <c r="G705" t="inlineStr">
        <is>
          <t>Tennis Saskatchewan</t>
        </is>
      </c>
      <c r="H705" t="inlineStr">
        <is>
          <t>Lakeshore Tennis Club</t>
        </is>
      </c>
      <c r="I705" t="n">
        <v>38.1</v>
      </c>
      <c r="J705" s="4" t="n">
        <v>32</v>
      </c>
      <c r="K705" t="inlineStr">
        <is>
          <t>5 / 27</t>
        </is>
      </c>
      <c r="L705" t="inlineStr">
        <is>
          <t>2 / 4</t>
        </is>
      </c>
      <c r="M705" s="5" t="n">
        <v>0.16</v>
      </c>
      <c r="N705" s="5" t="n">
        <v>0.33</v>
      </c>
    </row>
    <row r="706">
      <c r="A706" t="n">
        <v>705</v>
      </c>
      <c r="B706" t="n">
        <v>2014</v>
      </c>
      <c r="C706" t="inlineStr">
        <is>
          <t>Dina Chakri</t>
        </is>
      </c>
      <c r="D706">
        <f>HYPERLINK("https://ota.tournamentsoftware.com/player-profile/8824FD85-93E3-4F7D-8968-FC836D77769D", "Link")</f>
        <v/>
      </c>
      <c r="E706" s="3" t="n">
        <v>22.953</v>
      </c>
      <c r="F706" s="4" t="n">
        <v>7</v>
      </c>
      <c r="G706" t="inlineStr">
        <is>
          <t>Tennis Québec</t>
        </is>
      </c>
      <c r="H706" t="inlineStr">
        <is>
          <t>Tennis 13</t>
        </is>
      </c>
      <c r="I706" t="n">
        <v>38.9</v>
      </c>
      <c r="J706" s="4" t="n">
        <v>10</v>
      </c>
      <c r="K706" t="inlineStr">
        <is>
          <t>2 / 8</t>
        </is>
      </c>
      <c r="L706" t="inlineStr">
        <is>
          <t>2 / 8</t>
        </is>
      </c>
      <c r="M706" s="5" t="n">
        <v>0.2</v>
      </c>
      <c r="N706" s="5" t="n">
        <v>0.2</v>
      </c>
    </row>
    <row r="707">
      <c r="A707" t="n">
        <v>706</v>
      </c>
      <c r="B707" t="n">
        <v>2014</v>
      </c>
      <c r="C707" t="inlineStr">
        <is>
          <t>Jasmine El Ouadi</t>
        </is>
      </c>
      <c r="D707">
        <f>HYPERLINK("https://ota.tournamentsoftware.com/player-profile/FBECFAB6-3ABF-4F1B-AD1C-230CB79A1119", "Link")</f>
        <v/>
      </c>
      <c r="E707" s="3" t="n">
        <v>22.903</v>
      </c>
      <c r="F707" s="4" t="n">
        <v>6</v>
      </c>
      <c r="G707" t="inlineStr">
        <is>
          <t>Tennis Alberta</t>
        </is>
      </c>
      <c r="H707" t="inlineStr">
        <is>
          <t>Calgary - Public</t>
        </is>
      </c>
      <c r="I707" t="n">
        <v>40</v>
      </c>
      <c r="J707" s="4" t="n">
        <v>11</v>
      </c>
      <c r="K707" t="inlineStr">
        <is>
          <t>0 / 11</t>
        </is>
      </c>
      <c r="L707" t="inlineStr">
        <is>
          <t>0 / 3</t>
        </is>
      </c>
      <c r="M707" s="5" t="n">
        <v>0</v>
      </c>
      <c r="N707" s="5" t="n">
        <v>0</v>
      </c>
    </row>
    <row r="708">
      <c r="A708" t="n">
        <v>707</v>
      </c>
      <c r="B708" t="n">
        <v>2015</v>
      </c>
      <c r="C708" t="inlineStr">
        <is>
          <t>Laila Hilmi</t>
        </is>
      </c>
      <c r="D708">
        <f>HYPERLINK("https://ota.tournamentsoftware.com/player-profile/73A707F1-78B1-45FE-A608-D2E6AA82EA8F", "Link")</f>
        <v/>
      </c>
      <c r="E708" s="3" t="n">
        <v>22.595</v>
      </c>
      <c r="F708" s="4" t="n">
        <v>3</v>
      </c>
      <c r="G708" t="inlineStr">
        <is>
          <t>Tennis Québec</t>
        </is>
      </c>
      <c r="H708" t="inlineStr">
        <is>
          <t>Tennis Montréal Excellence</t>
        </is>
      </c>
      <c r="I708" t="inlineStr">
        <is>
          <t>unavailable</t>
        </is>
      </c>
      <c r="J708" s="4" t="n">
        <v>46</v>
      </c>
      <c r="K708" t="inlineStr">
        <is>
          <t>13 / 33</t>
        </is>
      </c>
      <c r="L708" t="inlineStr">
        <is>
          <t>4 / 3</t>
        </is>
      </c>
      <c r="M708" s="5" t="n">
        <v>0.28</v>
      </c>
      <c r="N708" s="5" t="n">
        <v>0.57</v>
      </c>
    </row>
    <row r="709">
      <c r="A709" t="n">
        <v>708</v>
      </c>
      <c r="B709" t="n">
        <v>2015</v>
      </c>
      <c r="C709" t="inlineStr">
        <is>
          <t>Margaux Eile</t>
        </is>
      </c>
      <c r="D709">
        <f>HYPERLINK("https://ota.tournamentsoftware.com/player-profile/9023DCCB-FDAB-4759-A4C9-E99C2FD3C6AD", "Link")</f>
        <v/>
      </c>
      <c r="E709" s="3" t="n">
        <v>22.577</v>
      </c>
      <c r="F709" s="4" t="n">
        <v>7</v>
      </c>
      <c r="G709" t="inlineStr">
        <is>
          <t>Tennis Québec</t>
        </is>
      </c>
      <c r="H709" t="inlineStr">
        <is>
          <t>Midtown Le Sporting Club Sanctuaire</t>
        </is>
      </c>
      <c r="I709" t="inlineStr">
        <is>
          <t>unavailable</t>
        </is>
      </c>
      <c r="J709" s="4" t="n">
        <v>26</v>
      </c>
      <c r="K709" t="inlineStr">
        <is>
          <t>2 / 24</t>
        </is>
      </c>
      <c r="L709" t="inlineStr">
        <is>
          <t>0 / 7</t>
        </is>
      </c>
      <c r="M709" s="5" t="n">
        <v>0.08</v>
      </c>
      <c r="N709" s="5" t="n">
        <v>0</v>
      </c>
    </row>
    <row r="710">
      <c r="A710" t="n">
        <v>709</v>
      </c>
      <c r="B710" t="n">
        <v>2012</v>
      </c>
      <c r="C710" t="inlineStr">
        <is>
          <t>Ruike Ni</t>
        </is>
      </c>
      <c r="D710">
        <f>HYPERLINK("https://ota.tournamentsoftware.com/player-profile/862000EB-CE8E-4CA2-BA1E-5441407CA2E5", "Link")</f>
        <v/>
      </c>
      <c r="E710" s="3" t="n">
        <v>22.464</v>
      </c>
      <c r="F710" s="4" t="n">
        <v>2</v>
      </c>
      <c r="G710" t="inlineStr">
        <is>
          <t>British Columbia</t>
        </is>
      </c>
      <c r="H710" t="inlineStr">
        <is>
          <t>Tennis for Life</t>
        </is>
      </c>
      <c r="I710" t="n">
        <v>38.5</v>
      </c>
      <c r="J710" s="4" t="n">
        <v>7</v>
      </c>
      <c r="K710" t="inlineStr">
        <is>
          <t>2 / 5</t>
        </is>
      </c>
      <c r="L710" t="inlineStr">
        <is>
          <t>0 / 2</t>
        </is>
      </c>
      <c r="M710" s="5" t="n">
        <v>0.29</v>
      </c>
      <c r="N710" s="5" t="n">
        <v>0</v>
      </c>
    </row>
    <row r="711">
      <c r="A711" t="n">
        <v>710</v>
      </c>
      <c r="B711" t="n">
        <v>2015</v>
      </c>
      <c r="C711" t="inlineStr">
        <is>
          <t>Nalla Isabella Lteif</t>
        </is>
      </c>
      <c r="D711">
        <f>HYPERLINK("https://ota.tournamentsoftware.com/player-profile/B0DC1A2D-B87B-4E66-A5EE-9C9F6EC668D4", "Link")</f>
        <v/>
      </c>
      <c r="E711" s="3" t="n">
        <v>21.849</v>
      </c>
      <c r="F711" s="4" t="n">
        <v>4</v>
      </c>
      <c r="G711" t="inlineStr">
        <is>
          <t>Tennis Québec</t>
        </is>
      </c>
      <c r="H711" t="inlineStr">
        <is>
          <t>Carrefour Multisports</t>
        </is>
      </c>
      <c r="I711" t="n">
        <v>37.9</v>
      </c>
      <c r="J711" s="4" t="n">
        <v>12</v>
      </c>
      <c r="K711" t="inlineStr">
        <is>
          <t>5 / 7</t>
        </is>
      </c>
      <c r="L711" t="inlineStr">
        <is>
          <t>3 / 4</t>
        </is>
      </c>
      <c r="M711" s="5" t="n">
        <v>0.42</v>
      </c>
      <c r="N711" s="5" t="n">
        <v>0.43</v>
      </c>
    </row>
    <row r="712">
      <c r="A712" t="n">
        <v>711</v>
      </c>
      <c r="B712" t="n">
        <v>2016</v>
      </c>
      <c r="C712" t="inlineStr">
        <is>
          <t>Brielle Han</t>
        </is>
      </c>
      <c r="D712">
        <f>HYPERLINK("https://ota.tournamentsoftware.com/player-profile/76F58D78-6F14-462B-9C79-943F718FD16A", "Link")</f>
        <v/>
      </c>
      <c r="E712" s="3" t="n">
        <v>21.501</v>
      </c>
      <c r="F712" s="4" t="n">
        <v>9</v>
      </c>
      <c r="G712" t="inlineStr">
        <is>
          <t>British Columbia</t>
        </is>
      </c>
      <c r="H712" t="inlineStr">
        <is>
          <t>North Vancouver Tennis Centre</t>
        </is>
      </c>
      <c r="I712" t="inlineStr">
        <is>
          <t>unavailable</t>
        </is>
      </c>
      <c r="J712" s="4" t="n">
        <v>200</v>
      </c>
      <c r="K712" t="inlineStr">
        <is>
          <t>69 / 131</t>
        </is>
      </c>
      <c r="L712" t="inlineStr">
        <is>
          <t>21 / 19</t>
        </is>
      </c>
      <c r="M712" s="5" t="n">
        <v>0.34</v>
      </c>
      <c r="N712" s="5" t="n">
        <v>0.53</v>
      </c>
    </row>
    <row r="713">
      <c r="A713" t="n">
        <v>712</v>
      </c>
      <c r="B713" t="n">
        <v>2015</v>
      </c>
      <c r="C713" t="inlineStr">
        <is>
          <t>Élisa Deschatelets</t>
        </is>
      </c>
      <c r="D713">
        <f>HYPERLINK("https://ota.tournamentsoftware.com/player-profile/C5ECD0AF-5510-44E4-897A-6A3A4D73CDEF", "Link")</f>
        <v/>
      </c>
      <c r="E713" s="3" t="n">
        <v>21.501</v>
      </c>
      <c r="F713" s="4" t="n">
        <v>4</v>
      </c>
      <c r="G713" t="inlineStr">
        <is>
          <t>Tennis Québec</t>
        </is>
      </c>
      <c r="H713" t="inlineStr">
        <is>
          <t>Centre Récréatif Rock Forest / École Tennestrie</t>
        </is>
      </c>
      <c r="I713" t="n">
        <v>40</v>
      </c>
      <c r="J713" s="4" t="n">
        <v>25</v>
      </c>
      <c r="K713" t="inlineStr">
        <is>
          <t>4 / 21</t>
        </is>
      </c>
      <c r="L713" t="inlineStr">
        <is>
          <t>0 / 7</t>
        </is>
      </c>
      <c r="M713" s="5" t="n">
        <v>0.16</v>
      </c>
      <c r="N713" s="5" t="n">
        <v>0</v>
      </c>
    </row>
    <row r="714">
      <c r="A714" t="n">
        <v>713</v>
      </c>
      <c r="B714" t="n">
        <v>2015</v>
      </c>
      <c r="C714" t="inlineStr">
        <is>
          <t>Tara Sepahsalari</t>
        </is>
      </c>
      <c r="D714">
        <f>HYPERLINK("https://ota.tournamentsoftware.com/player-profile/EB26731B-07C8-4C3E-8214-7DD265D4A843", "Link")</f>
        <v/>
      </c>
      <c r="E714" s="3" t="n">
        <v>21.226</v>
      </c>
      <c r="F714" s="4" t="n">
        <v>5</v>
      </c>
      <c r="G714" t="inlineStr">
        <is>
          <t>Tennis Québec</t>
        </is>
      </c>
      <c r="H714" t="inlineStr">
        <is>
          <t>EB Tennis inc.</t>
        </is>
      </c>
      <c r="I714" t="n">
        <v>40</v>
      </c>
      <c r="J714" s="4" t="n">
        <v>33</v>
      </c>
      <c r="K714" t="inlineStr">
        <is>
          <t>5 / 28</t>
        </is>
      </c>
      <c r="L714" t="inlineStr">
        <is>
          <t>1 / 8</t>
        </is>
      </c>
      <c r="M714" s="5" t="n">
        <v>0.15</v>
      </c>
      <c r="N714" s="5" t="n">
        <v>0.11</v>
      </c>
    </row>
    <row r="715">
      <c r="A715" t="n">
        <v>714</v>
      </c>
      <c r="B715" t="n">
        <v>2014</v>
      </c>
      <c r="C715" t="inlineStr">
        <is>
          <t>Marie Renaud</t>
        </is>
      </c>
      <c r="D715">
        <f>HYPERLINK("https://ota.tournamentsoftware.com/player-profile/9538BC58-3E12-400B-B7A6-AA4E495D60F5", "Link")</f>
        <v/>
      </c>
      <c r="E715" s="3" t="n">
        <v>20.916</v>
      </c>
      <c r="F715" s="4" t="n">
        <v>2</v>
      </c>
      <c r="G715" t="inlineStr">
        <is>
          <t>Tennis Québec</t>
        </is>
      </c>
      <c r="H715" t="inlineStr">
        <is>
          <t>Les Tennis de Rimouski (intérieur)</t>
        </is>
      </c>
      <c r="I715" t="inlineStr">
        <is>
          <t>unavailable</t>
        </is>
      </c>
      <c r="J715" s="4" t="n">
        <v>6</v>
      </c>
      <c r="K715" t="inlineStr">
        <is>
          <t>2 / 4</t>
        </is>
      </c>
      <c r="L715" t="inlineStr">
        <is>
          <t>2 / 4</t>
        </is>
      </c>
      <c r="M715" s="5" t="n">
        <v>0.33</v>
      </c>
      <c r="N715" s="5" t="n">
        <v>0.33</v>
      </c>
    </row>
    <row r="716">
      <c r="A716" t="n">
        <v>715</v>
      </c>
      <c r="B716" t="n">
        <v>2013</v>
      </c>
      <c r="C716" t="inlineStr">
        <is>
          <t>Vedika P Sant</t>
        </is>
      </c>
      <c r="D716">
        <f>HYPERLINK("https://ota.tournamentsoftware.com/player-profile/37441797-5F95-4518-997F-3F1602AC6E85", "Link")</f>
        <v/>
      </c>
      <c r="E716" s="3" t="n">
        <v>20.667</v>
      </c>
      <c r="F716" s="4" t="n">
        <v>1</v>
      </c>
      <c r="G716" t="inlineStr">
        <is>
          <t>Ontario Tennis Association</t>
        </is>
      </c>
      <c r="H716" t="inlineStr">
        <is>
          <t>Martingrove Tennis Club</t>
        </is>
      </c>
      <c r="I716" t="inlineStr">
        <is>
          <t>unavailable</t>
        </is>
      </c>
      <c r="J716" s="4" t="n">
        <v>8</v>
      </c>
      <c r="K716" t="inlineStr">
        <is>
          <t>2 / 6</t>
        </is>
      </c>
      <c r="L716" t="inlineStr">
        <is>
          <t>0 / 1</t>
        </is>
      </c>
      <c r="M716" s="5" t="n">
        <v>0.25</v>
      </c>
      <c r="N716" s="5" t="n">
        <v>0</v>
      </c>
    </row>
    <row r="717">
      <c r="A717" t="n">
        <v>716</v>
      </c>
      <c r="B717" t="n">
        <v>2013</v>
      </c>
      <c r="C717" t="inlineStr">
        <is>
          <t>Aura Hayer</t>
        </is>
      </c>
      <c r="D717">
        <f>HYPERLINK("https://ota.tournamentsoftware.com/player-profile/969F22DA-6980-4E13-BAE2-6BD2D0C08F88", "Link")</f>
        <v/>
      </c>
      <c r="E717" s="3" t="n">
        <v>20.562</v>
      </c>
      <c r="F717" s="4" t="n">
        <v>3</v>
      </c>
      <c r="G717" t="inlineStr">
        <is>
          <t>British Columbia</t>
        </is>
      </c>
      <c r="H717" t="inlineStr">
        <is>
          <t>Sunshine Hills Tennis Club</t>
        </is>
      </c>
      <c r="I717" t="n">
        <v>38.4</v>
      </c>
      <c r="J717" s="4" t="n">
        <v>105</v>
      </c>
      <c r="K717" t="inlineStr">
        <is>
          <t>32 / 73</t>
        </is>
      </c>
      <c r="L717" t="inlineStr">
        <is>
          <t>2 / 7</t>
        </is>
      </c>
      <c r="M717" s="5" t="n">
        <v>0.3</v>
      </c>
      <c r="N717" s="5" t="n">
        <v>0.22</v>
      </c>
    </row>
    <row r="718">
      <c r="A718" t="n">
        <v>717</v>
      </c>
      <c r="B718" t="n">
        <v>2016</v>
      </c>
      <c r="C718" t="inlineStr">
        <is>
          <t>Hazel Geng</t>
        </is>
      </c>
      <c r="D718">
        <f>HYPERLINK("https://ota.tournamentsoftware.com/player-profile/00BB4A74-B4FB-4FAC-B874-79D9E778FAAE", "Link")</f>
        <v/>
      </c>
      <c r="E718" s="3" t="n">
        <v>20.417</v>
      </c>
      <c r="F718" s="4" t="n">
        <v>4</v>
      </c>
      <c r="G718" t="inlineStr">
        <is>
          <t>British Columbia</t>
        </is>
      </c>
      <c r="H718" t="inlineStr">
        <is>
          <t>Vancouver Lawn Tennis and Badminton Club</t>
        </is>
      </c>
      <c r="I718" t="n">
        <v>36.1</v>
      </c>
      <c r="J718" s="4" t="n">
        <v>48</v>
      </c>
      <c r="K718" t="inlineStr">
        <is>
          <t>15 / 33</t>
        </is>
      </c>
      <c r="L718" t="inlineStr">
        <is>
          <t>8 / 5</t>
        </is>
      </c>
      <c r="M718" s="5" t="n">
        <v>0.31</v>
      </c>
      <c r="N718" s="5" t="n">
        <v>0.62</v>
      </c>
    </row>
    <row r="719">
      <c r="A719" t="n">
        <v>718</v>
      </c>
      <c r="B719" t="n">
        <v>2013</v>
      </c>
      <c r="C719" t="inlineStr">
        <is>
          <t>Rebecca Maria Marcu</t>
        </is>
      </c>
      <c r="D719">
        <f>HYPERLINK("https://ota.tournamentsoftware.com/player-profile/1A9DB997-6193-4975-8534-F68D4F83BF32", "Link")</f>
        <v/>
      </c>
      <c r="E719" s="3" t="n">
        <v>20.131</v>
      </c>
      <c r="F719" s="4" t="n">
        <v>2</v>
      </c>
      <c r="G719" t="inlineStr">
        <is>
          <t>Ontario Tennis Association</t>
        </is>
      </c>
      <c r="H719" t="inlineStr">
        <is>
          <t>National Capital Tennis Association</t>
        </is>
      </c>
      <c r="I719" t="inlineStr">
        <is>
          <t>unavailable</t>
        </is>
      </c>
      <c r="J719" s="4" t="n">
        <v>4</v>
      </c>
      <c r="K719" t="inlineStr">
        <is>
          <t>1 / 3</t>
        </is>
      </c>
      <c r="L719" t="inlineStr">
        <is>
          <t>0 / 2</t>
        </is>
      </c>
      <c r="M719" s="5" t="n">
        <v>0.25</v>
      </c>
      <c r="N719" s="5" t="n">
        <v>0</v>
      </c>
    </row>
    <row r="720">
      <c r="A720" t="n">
        <v>719</v>
      </c>
      <c r="B720" t="n">
        <v>2017</v>
      </c>
      <c r="C720" t="inlineStr">
        <is>
          <t>Safiatou Ntentie Nchange</t>
        </is>
      </c>
      <c r="D720">
        <f>HYPERLINK("https://ota.tournamentsoftware.com/player-profile/5B1E15AE-3503-449A-B482-B98077F40A43", "Link")</f>
        <v/>
      </c>
      <c r="E720" s="3" t="n">
        <v>20.098</v>
      </c>
      <c r="F720" s="4" t="n">
        <v>8</v>
      </c>
      <c r="G720" t="inlineStr">
        <is>
          <t>Tennis Alberta</t>
        </is>
      </c>
      <c r="H720" t="inlineStr">
        <is>
          <t>No Club</t>
        </is>
      </c>
      <c r="I720" t="n">
        <v>35.3</v>
      </c>
      <c r="J720" s="4" t="n">
        <v>43</v>
      </c>
      <c r="K720" t="inlineStr">
        <is>
          <t>30 / 13</t>
        </is>
      </c>
      <c r="L720" t="inlineStr">
        <is>
          <t>26 / 12</t>
        </is>
      </c>
      <c r="M720" s="5" t="n">
        <v>0.7</v>
      </c>
      <c r="N720" s="5" t="n">
        <v>0.68</v>
      </c>
    </row>
    <row r="721">
      <c r="A721" t="n">
        <v>720</v>
      </c>
      <c r="B721" t="n">
        <v>2014</v>
      </c>
      <c r="C721" t="inlineStr">
        <is>
          <t>Cheryl Elizabeth Ong</t>
        </is>
      </c>
      <c r="D721">
        <f>HYPERLINK("https://ota.tournamentsoftware.com/player-profile/11AC4E6A-0B03-4BB4-ACB7-333E7FD9064F", "Link")</f>
        <v/>
      </c>
      <c r="E721" s="3" t="n">
        <v>20.088</v>
      </c>
      <c r="F721" s="4" t="n">
        <v>10</v>
      </c>
      <c r="G721" t="inlineStr">
        <is>
          <t>British Columbia</t>
        </is>
      </c>
      <c r="H721" t="inlineStr">
        <is>
          <t>Tennis for Life</t>
        </is>
      </c>
      <c r="I721" t="inlineStr">
        <is>
          <t>unavailable</t>
        </is>
      </c>
      <c r="J721" s="4" t="n">
        <v>41</v>
      </c>
      <c r="K721" t="inlineStr">
        <is>
          <t>12 / 29</t>
        </is>
      </c>
      <c r="L721" t="inlineStr">
        <is>
          <t>8 / 13</t>
        </is>
      </c>
      <c r="M721" s="5" t="n">
        <v>0.29</v>
      </c>
      <c r="N721" s="5" t="n">
        <v>0.38</v>
      </c>
    </row>
    <row r="722">
      <c r="A722" t="n">
        <v>721</v>
      </c>
      <c r="B722" t="n">
        <v>2015</v>
      </c>
      <c r="C722" t="inlineStr">
        <is>
          <t>Isla Cowper</t>
        </is>
      </c>
      <c r="D722">
        <f>HYPERLINK("https://ota.tournamentsoftware.com/player-profile/B4F82BC2-5552-446F-89FC-C5F7C7A674B7", "Link")</f>
        <v/>
      </c>
      <c r="E722" s="3" t="n">
        <v>20.032</v>
      </c>
      <c r="F722" s="4" t="n">
        <v>7</v>
      </c>
      <c r="G722" t="inlineStr">
        <is>
          <t>Ontario Tennis Association</t>
        </is>
      </c>
      <c r="H722" t="inlineStr">
        <is>
          <t>Tam Heather Tennis Club</t>
        </is>
      </c>
      <c r="I722" t="n">
        <v>39</v>
      </c>
      <c r="J722" s="4" t="n">
        <v>76</v>
      </c>
      <c r="K722" t="inlineStr">
        <is>
          <t>35 / 41</t>
        </is>
      </c>
      <c r="L722" t="inlineStr">
        <is>
          <t>15 / 17</t>
        </is>
      </c>
      <c r="M722" s="5" t="n">
        <v>0.46</v>
      </c>
      <c r="N722" s="5" t="n">
        <v>0.47</v>
      </c>
    </row>
    <row r="723">
      <c r="A723" t="n">
        <v>722</v>
      </c>
      <c r="B723" t="n">
        <v>2012</v>
      </c>
      <c r="C723" t="inlineStr">
        <is>
          <t>Emily Chai</t>
        </is>
      </c>
      <c r="D723">
        <f>HYPERLINK("https://ota.tournamentsoftware.com/player-profile/0DE38792-F237-4087-A5C1-369B6A3E0088", "Link")</f>
        <v/>
      </c>
      <c r="E723" s="3" t="n">
        <v>19.958</v>
      </c>
      <c r="F723" s="4" t="n">
        <v>2</v>
      </c>
      <c r="G723" t="inlineStr">
        <is>
          <t>Ontario Tennis Association</t>
        </is>
      </c>
      <c r="H723" t="inlineStr">
        <is>
          <t>ON Tennis Toronto No Club</t>
        </is>
      </c>
      <c r="I723" t="n">
        <v>38.4</v>
      </c>
      <c r="J723" s="4" t="n">
        <v>7</v>
      </c>
      <c r="K723" t="inlineStr">
        <is>
          <t>1 / 6</t>
        </is>
      </c>
      <c r="L723" t="inlineStr">
        <is>
          <t>1 / 6</t>
        </is>
      </c>
      <c r="M723" s="5" t="n">
        <v>0.14</v>
      </c>
      <c r="N723" s="5" t="n">
        <v>0.14</v>
      </c>
    </row>
    <row r="724">
      <c r="A724" t="n">
        <v>723</v>
      </c>
      <c r="B724" t="n">
        <v>2014</v>
      </c>
      <c r="C724" t="inlineStr">
        <is>
          <t>Saisha Sharma</t>
        </is>
      </c>
      <c r="D724">
        <f>HYPERLINK("https://ota.tournamentsoftware.com/player-profile/4141EEE9-8372-4477-B6C4-DE0E9616249B", "Link")</f>
        <v/>
      </c>
      <c r="E724" s="3" t="n">
        <v>19.895</v>
      </c>
      <c r="F724" s="4" t="n">
        <v>6</v>
      </c>
      <c r="G724" t="inlineStr">
        <is>
          <t>Ontario Tennis Association</t>
        </is>
      </c>
      <c r="H724" t="inlineStr">
        <is>
          <t>Premier Racquet Clubs – Brampton</t>
        </is>
      </c>
      <c r="I724" t="n">
        <v>38.9</v>
      </c>
      <c r="J724" s="4" t="n">
        <v>20</v>
      </c>
      <c r="K724" t="inlineStr">
        <is>
          <t>11 / 9</t>
        </is>
      </c>
      <c r="L724" t="inlineStr">
        <is>
          <t>11 / 9</t>
        </is>
      </c>
      <c r="M724" s="5" t="n">
        <v>0.55</v>
      </c>
      <c r="N724" s="5" t="n">
        <v>0.55</v>
      </c>
    </row>
    <row r="725">
      <c r="A725" t="n">
        <v>724</v>
      </c>
      <c r="B725" t="n">
        <v>2012</v>
      </c>
      <c r="C725" t="inlineStr">
        <is>
          <t>Yulli Anne Tsang</t>
        </is>
      </c>
      <c r="D725">
        <f>HYPERLINK("https://ota.tournamentsoftware.com/player-profile/E8CCFA74-9017-45A2-B403-724A9977CD1E", "Link")</f>
        <v/>
      </c>
      <c r="E725" s="3" t="n">
        <v>19.768</v>
      </c>
      <c r="F725" s="4" t="n">
        <v>5</v>
      </c>
      <c r="G725" t="inlineStr">
        <is>
          <t>Tennis Alberta</t>
        </is>
      </c>
      <c r="H725" t="inlineStr">
        <is>
          <t>Derrick Golf &amp; Winter Club</t>
        </is>
      </c>
      <c r="I725" t="n">
        <v>35.9</v>
      </c>
      <c r="J725" s="4" t="n">
        <v>28</v>
      </c>
      <c r="K725" t="inlineStr">
        <is>
          <t>9 / 19</t>
        </is>
      </c>
      <c r="L725" t="inlineStr">
        <is>
          <t>4 / 8</t>
        </is>
      </c>
      <c r="M725" s="5" t="n">
        <v>0.32</v>
      </c>
      <c r="N725" s="5" t="n">
        <v>0.33</v>
      </c>
    </row>
    <row r="726">
      <c r="A726" t="n">
        <v>725</v>
      </c>
      <c r="B726" t="n">
        <v>2016</v>
      </c>
      <c r="C726" t="inlineStr">
        <is>
          <t>Heidi Liu</t>
        </is>
      </c>
      <c r="D726">
        <f>HYPERLINK("https://ota.tournamentsoftware.com/player-profile/E3F0466B-50E4-4105-A35A-1BB6B1C1C09C", "Link")</f>
        <v/>
      </c>
      <c r="E726" s="3" t="n">
        <v>19.65</v>
      </c>
      <c r="F726" s="4" t="n">
        <v>7</v>
      </c>
      <c r="G726" t="inlineStr">
        <is>
          <t>British Columbia</t>
        </is>
      </c>
      <c r="H726" t="inlineStr">
        <is>
          <t>UBC Tennis Centre</t>
        </is>
      </c>
      <c r="I726" t="n">
        <v>38</v>
      </c>
      <c r="J726" s="4" t="n">
        <v>79</v>
      </c>
      <c r="K726" t="inlineStr">
        <is>
          <t>45 / 34</t>
        </is>
      </c>
      <c r="L726" t="inlineStr">
        <is>
          <t>22 / 21</t>
        </is>
      </c>
      <c r="M726" s="5" t="n">
        <v>0.57</v>
      </c>
      <c r="N726" s="5" t="n">
        <v>0.51</v>
      </c>
    </row>
    <row r="727">
      <c r="A727" t="n">
        <v>726</v>
      </c>
      <c r="B727" t="n">
        <v>2017</v>
      </c>
      <c r="C727" t="inlineStr">
        <is>
          <t>Mackenzie Alexandra Greer</t>
        </is>
      </c>
      <c r="D727">
        <f>HYPERLINK("https://ota.tournamentsoftware.com/player-profile/E975EEBE-CD33-46CE-BFFF-1BB5A6FB8672", "Link")</f>
        <v/>
      </c>
      <c r="E727" s="3" t="n">
        <v>19.44</v>
      </c>
      <c r="F727" s="4" t="n">
        <v>3</v>
      </c>
      <c r="G727" t="inlineStr">
        <is>
          <t>Ontario Tennis Association</t>
        </is>
      </c>
      <c r="H727" t="inlineStr">
        <is>
          <t>Stefanovic Tennis Academy</t>
        </is>
      </c>
      <c r="I727" t="n">
        <v>37.2</v>
      </c>
      <c r="J727" s="4" t="n">
        <v>165</v>
      </c>
      <c r="K727" t="inlineStr">
        <is>
          <t>135 / 30</t>
        </is>
      </c>
      <c r="L727" t="inlineStr">
        <is>
          <t>91 / 12</t>
        </is>
      </c>
      <c r="M727" s="5" t="n">
        <v>0.82</v>
      </c>
      <c r="N727" s="5" t="n">
        <v>0.88</v>
      </c>
    </row>
    <row r="728">
      <c r="A728" t="n">
        <v>727</v>
      </c>
      <c r="B728" t="n">
        <v>2014</v>
      </c>
      <c r="C728" t="inlineStr">
        <is>
          <t>Adele Cui</t>
        </is>
      </c>
      <c r="D728">
        <f>HYPERLINK("https://ota.tournamentsoftware.com/player-profile/E096F094-0386-4439-807E-E147F97C754F", "Link")</f>
        <v/>
      </c>
      <c r="E728" s="3" t="n">
        <v>19.024</v>
      </c>
      <c r="F728" s="4" t="n">
        <v>5</v>
      </c>
      <c r="G728" t="inlineStr">
        <is>
          <t>British Columbia</t>
        </is>
      </c>
      <c r="H728" t="inlineStr">
        <is>
          <t>UBC Tennis Centre</t>
        </is>
      </c>
      <c r="I728" t="n">
        <v>35.8</v>
      </c>
      <c r="J728" s="4" t="n">
        <v>80</v>
      </c>
      <c r="K728" t="inlineStr">
        <is>
          <t>46 / 34</t>
        </is>
      </c>
      <c r="L728" t="inlineStr">
        <is>
          <t>1 / 4</t>
        </is>
      </c>
      <c r="M728" s="5" t="n">
        <v>0.57</v>
      </c>
      <c r="N728" s="5" t="n">
        <v>0.2</v>
      </c>
    </row>
    <row r="729">
      <c r="A729" t="n">
        <v>728</v>
      </c>
      <c r="B729" t="n">
        <v>2014</v>
      </c>
      <c r="C729" t="inlineStr">
        <is>
          <t>Camilia Aroub</t>
        </is>
      </c>
      <c r="D729">
        <f>HYPERLINK("https://ota.tournamentsoftware.com/player-profile/7CE0472D-53F2-438D-B060-8BB037C14F01", "Link")</f>
        <v/>
      </c>
      <c r="E729" s="3" t="n">
        <v>18.866</v>
      </c>
      <c r="F729" s="4" t="n">
        <v>8</v>
      </c>
      <c r="G729" t="inlineStr">
        <is>
          <t>Tennis Québec</t>
        </is>
      </c>
      <c r="H729" t="inlineStr">
        <is>
          <t>Club Sportif Côte-de-Liesse</t>
        </is>
      </c>
      <c r="I729" t="n">
        <v>40</v>
      </c>
      <c r="J729" s="4" t="n">
        <v>16</v>
      </c>
      <c r="K729" t="inlineStr">
        <is>
          <t>2 / 14</t>
        </is>
      </c>
      <c r="L729" t="inlineStr">
        <is>
          <t>2 / 11</t>
        </is>
      </c>
      <c r="M729" s="5" t="n">
        <v>0.12</v>
      </c>
      <c r="N729" s="5" t="n">
        <v>0.15</v>
      </c>
    </row>
    <row r="730">
      <c r="A730" t="n">
        <v>729</v>
      </c>
      <c r="B730" t="n">
        <v>2014</v>
      </c>
      <c r="C730" t="inlineStr">
        <is>
          <t>Olivia V. Jin</t>
        </is>
      </c>
      <c r="D730">
        <f>HYPERLINK("https://ota.tournamentsoftware.com/player-profile/88713252-C9AF-4DC4-B40D-11479A26EE47", "Link")</f>
        <v/>
      </c>
      <c r="E730" s="3" t="n">
        <v>18.821</v>
      </c>
      <c r="F730" s="4" t="n">
        <v>7</v>
      </c>
      <c r="G730" t="inlineStr">
        <is>
          <t>British Columbia</t>
        </is>
      </c>
      <c r="H730" t="inlineStr">
        <is>
          <t>Hollyburn Country Club</t>
        </is>
      </c>
      <c r="I730" t="n">
        <v>35.6</v>
      </c>
      <c r="J730" s="4" t="n">
        <v>85</v>
      </c>
      <c r="K730" t="inlineStr">
        <is>
          <t>26 / 59</t>
        </is>
      </c>
      <c r="L730" t="inlineStr">
        <is>
          <t>6 / 2</t>
        </is>
      </c>
      <c r="M730" s="5" t="n">
        <v>0.31</v>
      </c>
      <c r="N730" s="5" t="n">
        <v>0.75</v>
      </c>
    </row>
    <row r="731">
      <c r="A731" t="n">
        <v>730</v>
      </c>
      <c r="B731" t="n">
        <v>2012</v>
      </c>
      <c r="C731" t="inlineStr">
        <is>
          <t>Maddy Frances Hughes</t>
        </is>
      </c>
      <c r="D731">
        <f>HYPERLINK("https://ota.tournamentsoftware.com/player-profile/78566C46-653E-4667-ADCE-638FA56C318F", "Link")</f>
        <v/>
      </c>
      <c r="E731" s="3" t="n">
        <v>18.771</v>
      </c>
      <c r="F731" s="4" t="n">
        <v>2</v>
      </c>
      <c r="G731" t="inlineStr">
        <is>
          <t>Ontario Tennis Association</t>
        </is>
      </c>
      <c r="H731" t="inlineStr">
        <is>
          <t>Boulevard Club</t>
        </is>
      </c>
      <c r="I731" t="n">
        <v>37.7</v>
      </c>
      <c r="J731" s="4" t="n">
        <v>41</v>
      </c>
      <c r="K731" t="inlineStr">
        <is>
          <t>16 / 25</t>
        </is>
      </c>
      <c r="L731" t="inlineStr">
        <is>
          <t>4 / 7</t>
        </is>
      </c>
      <c r="M731" s="5" t="n">
        <v>0.39</v>
      </c>
      <c r="N731" s="5" t="n">
        <v>0.36</v>
      </c>
    </row>
    <row r="732">
      <c r="A732" t="n">
        <v>731</v>
      </c>
      <c r="B732" t="n">
        <v>2014</v>
      </c>
      <c r="C732" t="inlineStr">
        <is>
          <t>Mia Baker</t>
        </is>
      </c>
      <c r="D732">
        <f>HYPERLINK("https://ota.tournamentsoftware.com/player-profile/ABFF2DBE-5CD7-451A-B77E-526F2DB67DA2", "Link")</f>
        <v/>
      </c>
      <c r="E732" s="3" t="n">
        <v>18.742</v>
      </c>
      <c r="F732" s="4" t="n">
        <v>8</v>
      </c>
      <c r="G732" t="inlineStr">
        <is>
          <t>Tennis Québec</t>
        </is>
      </c>
      <c r="H732" t="inlineStr">
        <is>
          <t>SANI Sport</t>
        </is>
      </c>
      <c r="I732" t="n">
        <v>40</v>
      </c>
      <c r="J732" s="4" t="n">
        <v>59</v>
      </c>
      <c r="K732" t="inlineStr">
        <is>
          <t>2 / 57</t>
        </is>
      </c>
      <c r="L732" t="inlineStr">
        <is>
          <t>0 / 12</t>
        </is>
      </c>
      <c r="M732" s="5" t="n">
        <v>0.03</v>
      </c>
      <c r="N732" s="5" t="n">
        <v>0</v>
      </c>
    </row>
    <row r="733">
      <c r="A733" t="n">
        <v>732</v>
      </c>
      <c r="B733" t="n">
        <v>2012</v>
      </c>
      <c r="C733" t="inlineStr">
        <is>
          <t>Diya Parkash</t>
        </is>
      </c>
      <c r="D733">
        <f>HYPERLINK("https://ota.tournamentsoftware.com/player-profile/73A3C93B-23D0-4FC2-9B92-CA5DFE4335FD", "Link")</f>
        <v/>
      </c>
      <c r="E733" s="3" t="n">
        <v>18.484</v>
      </c>
      <c r="F733" s="4" t="n">
        <v>1</v>
      </c>
      <c r="G733" t="inlineStr">
        <is>
          <t>Tennis Nova Scotia</t>
        </is>
      </c>
      <c r="H733" t="inlineStr">
        <is>
          <t>HEADSTART</t>
        </is>
      </c>
      <c r="I733" t="n">
        <v>36.8</v>
      </c>
      <c r="J733" s="4" t="n">
        <v>6</v>
      </c>
      <c r="K733" t="inlineStr">
        <is>
          <t>3 / 3</t>
        </is>
      </c>
      <c r="L733" t="inlineStr">
        <is>
          <t>3 / 3</t>
        </is>
      </c>
      <c r="M733" s="5" t="n">
        <v>0.5</v>
      </c>
      <c r="N733" s="5" t="n">
        <v>0.5</v>
      </c>
    </row>
    <row r="734">
      <c r="A734" t="n">
        <v>733</v>
      </c>
      <c r="B734" t="n">
        <v>2013</v>
      </c>
      <c r="C734" t="inlineStr">
        <is>
          <t>Eve Fuemana</t>
        </is>
      </c>
      <c r="D734">
        <f>HYPERLINK("https://ota.tournamentsoftware.com/player-profile/C6B89948-0347-4A82-9588-926B794A08CE", "Link")</f>
        <v/>
      </c>
      <c r="E734" s="3" t="n">
        <v>18.447</v>
      </c>
      <c r="F734" s="4" t="n">
        <v>1</v>
      </c>
      <c r="G734" t="inlineStr">
        <is>
          <t>Ontario Tennis Association</t>
        </is>
      </c>
      <c r="H734" t="inlineStr">
        <is>
          <t>Toronto Tennis City</t>
        </is>
      </c>
      <c r="I734" t="n">
        <v>27.4</v>
      </c>
      <c r="J734" s="4" t="n">
        <v>3</v>
      </c>
      <c r="K734" t="inlineStr">
        <is>
          <t>0 / 3</t>
        </is>
      </c>
      <c r="L734" t="inlineStr">
        <is>
          <t>0 / 1</t>
        </is>
      </c>
      <c r="M734" s="5" t="n">
        <v>0</v>
      </c>
      <c r="N734" s="5" t="n">
        <v>0</v>
      </c>
    </row>
    <row r="735">
      <c r="A735" t="n">
        <v>734</v>
      </c>
      <c r="B735" t="n">
        <v>2014</v>
      </c>
      <c r="C735" t="inlineStr">
        <is>
          <t>Éloïse Renaud</t>
        </is>
      </c>
      <c r="D735">
        <f>HYPERLINK("https://ota.tournamentsoftware.com/player-profile/B18DE2B4-0E8A-4263-8136-FCC7F7A61D01", "Link")</f>
        <v/>
      </c>
      <c r="E735" s="3" t="n">
        <v>18.36</v>
      </c>
      <c r="F735" s="4" t="n">
        <v>4</v>
      </c>
      <c r="G735" t="inlineStr">
        <is>
          <t>Tennis Québec</t>
        </is>
      </c>
      <c r="H735" t="inlineStr">
        <is>
          <t>Tennis 13</t>
        </is>
      </c>
      <c r="I735" t="inlineStr">
        <is>
          <t>unavailable</t>
        </is>
      </c>
      <c r="J735" s="4" t="n">
        <v>8</v>
      </c>
      <c r="K735" t="inlineStr">
        <is>
          <t>4 / 4</t>
        </is>
      </c>
      <c r="L735" t="inlineStr">
        <is>
          <t>1 / 2</t>
        </is>
      </c>
      <c r="M735" s="5" t="n">
        <v>0.5</v>
      </c>
      <c r="N735" s="5" t="n">
        <v>0.33</v>
      </c>
    </row>
    <row r="736">
      <c r="A736" t="n">
        <v>735</v>
      </c>
      <c r="B736" t="n">
        <v>2015</v>
      </c>
      <c r="C736" t="inlineStr">
        <is>
          <t>Simone Tremblay-Roy</t>
        </is>
      </c>
      <c r="D736">
        <f>HYPERLINK("https://ota.tournamentsoftware.com/player-profile/E7E1A20D-ED12-47F1-913D-3022C4BE6070", "Link")</f>
        <v/>
      </c>
      <c r="E736" s="3" t="n">
        <v>18.332</v>
      </c>
      <c r="F736" s="4" t="n">
        <v>2</v>
      </c>
      <c r="G736" t="inlineStr">
        <is>
          <t>Tennis Québec</t>
        </is>
      </c>
      <c r="H736" t="inlineStr">
        <is>
          <t>Club de tennis intérieur Saguenay</t>
        </is>
      </c>
      <c r="I736" t="n">
        <v>37.4</v>
      </c>
      <c r="J736" s="4" t="n">
        <v>7</v>
      </c>
      <c r="K736" t="inlineStr">
        <is>
          <t>4 / 3</t>
        </is>
      </c>
      <c r="L736" t="inlineStr">
        <is>
          <t>1 / 3</t>
        </is>
      </c>
      <c r="M736" s="5" t="n">
        <v>0.57</v>
      </c>
      <c r="N736" s="5" t="n">
        <v>0.25</v>
      </c>
    </row>
    <row r="737">
      <c r="A737" t="n">
        <v>736</v>
      </c>
      <c r="B737" t="n">
        <v>2015</v>
      </c>
      <c r="C737" t="inlineStr">
        <is>
          <t>Valentina Barrera Salazar</t>
        </is>
      </c>
      <c r="D737">
        <f>HYPERLINK("https://ota.tournamentsoftware.com/player-profile/8BE2D3BB-B3F1-4BC1-82A2-EBFE82844920", "Link")</f>
        <v/>
      </c>
      <c r="E737" s="3" t="n">
        <v>18</v>
      </c>
      <c r="F737" s="4" t="n">
        <v>1</v>
      </c>
      <c r="G737" t="inlineStr">
        <is>
          <t>Tennis Québec</t>
        </is>
      </c>
      <c r="H737" t="inlineStr">
        <is>
          <t>No Club</t>
        </is>
      </c>
      <c r="I737" t="inlineStr">
        <is>
          <t>unavailable</t>
        </is>
      </c>
      <c r="J737" s="4" t="n">
        <v>3</v>
      </c>
      <c r="K737" t="inlineStr">
        <is>
          <t>0 / 3</t>
        </is>
      </c>
      <c r="L737" t="inlineStr">
        <is>
          <t>0 / 3</t>
        </is>
      </c>
      <c r="M737" s="5" t="n">
        <v>0</v>
      </c>
      <c r="N737" s="5" t="n">
        <v>0</v>
      </c>
    </row>
    <row r="738">
      <c r="A738" t="n">
        <v>737</v>
      </c>
      <c r="B738" t="n">
        <v>2014</v>
      </c>
      <c r="C738" t="inlineStr">
        <is>
          <t>Sophia Marietta Dee</t>
        </is>
      </c>
      <c r="D738">
        <f>HYPERLINK("https://ota.tournamentsoftware.com/player-profile/C69F5ADB-3749-4D97-A809-250A73BB30C1", "Link")</f>
        <v/>
      </c>
      <c r="E738" s="3" t="n">
        <v>17.903</v>
      </c>
      <c r="F738" s="4" t="n">
        <v>6</v>
      </c>
      <c r="G738" t="inlineStr">
        <is>
          <t>British Columbia</t>
        </is>
      </c>
      <c r="H738" t="inlineStr">
        <is>
          <t>Arbutus Club</t>
        </is>
      </c>
      <c r="I738" t="n">
        <v>36.8</v>
      </c>
      <c r="J738" s="4" t="n">
        <v>40</v>
      </c>
      <c r="K738" t="inlineStr">
        <is>
          <t>14 / 26</t>
        </is>
      </c>
      <c r="L738" t="inlineStr">
        <is>
          <t>5 / 7</t>
        </is>
      </c>
      <c r="M738" s="5" t="n">
        <v>0.35</v>
      </c>
      <c r="N738" s="5" t="n">
        <v>0.42</v>
      </c>
    </row>
    <row r="739">
      <c r="A739" t="n">
        <v>738</v>
      </c>
      <c r="B739" t="n">
        <v>2013</v>
      </c>
      <c r="C739" t="inlineStr">
        <is>
          <t>Lingxi Sun</t>
        </is>
      </c>
      <c r="D739">
        <f>HYPERLINK("https://ota.tournamentsoftware.com/player-profile/09E8E557-02B1-46EF-87E8-A28C42A56E9D", "Link")</f>
        <v/>
      </c>
      <c r="E739" s="3" t="n">
        <v>17.8</v>
      </c>
      <c r="F739" s="4" t="n">
        <v>2</v>
      </c>
      <c r="G739" t="inlineStr">
        <is>
          <t>British Columbia</t>
        </is>
      </c>
      <c r="H739" t="inlineStr">
        <is>
          <t>UBC Tennis Centre</t>
        </is>
      </c>
      <c r="I739" t="n">
        <v>32.5</v>
      </c>
      <c r="J739" s="4" t="n">
        <v>39</v>
      </c>
      <c r="K739" t="inlineStr">
        <is>
          <t>23 / 16</t>
        </is>
      </c>
      <c r="L739" t="inlineStr">
        <is>
          <t>0 / 0</t>
        </is>
      </c>
      <c r="M739" s="5" t="n">
        <v>0.59</v>
      </c>
      <c r="N739" s="5" t="n">
        <v>0</v>
      </c>
    </row>
    <row r="740">
      <c r="A740" t="n">
        <v>739</v>
      </c>
      <c r="B740" t="n">
        <v>2014</v>
      </c>
      <c r="C740" t="inlineStr">
        <is>
          <t>Neiva George</t>
        </is>
      </c>
      <c r="D740">
        <f>HYPERLINK("https://ota.tournamentsoftware.com/player-profile/1A9BA311-0F1E-40A7-9341-ECED97AEEBBD", "Link")</f>
        <v/>
      </c>
      <c r="E740" s="3" t="n">
        <v>17.766</v>
      </c>
      <c r="F740" s="4" t="n">
        <v>3</v>
      </c>
      <c r="G740" t="inlineStr">
        <is>
          <t>Ontario Tennis Association</t>
        </is>
      </c>
      <c r="H740" t="inlineStr">
        <is>
          <t>Headwaters Racquet Club</t>
        </is>
      </c>
      <c r="I740" t="n">
        <v>38.2</v>
      </c>
      <c r="J740" s="4" t="n">
        <v>47</v>
      </c>
      <c r="K740" t="inlineStr">
        <is>
          <t>23 / 24</t>
        </is>
      </c>
      <c r="L740" t="inlineStr">
        <is>
          <t>7 / 6</t>
        </is>
      </c>
      <c r="M740" s="5" t="n">
        <v>0.49</v>
      </c>
      <c r="N740" s="5" t="n">
        <v>0.54</v>
      </c>
    </row>
    <row r="741">
      <c r="A741" t="n">
        <v>740</v>
      </c>
      <c r="B741" t="n">
        <v>2015</v>
      </c>
      <c r="C741" t="inlineStr">
        <is>
          <t>Juliette Merino</t>
        </is>
      </c>
      <c r="D741">
        <f>HYPERLINK("https://ota.tournamentsoftware.com/player-profile/E3FBD49F-6297-464B-AD97-8C82D2E93FB7", "Link")</f>
        <v/>
      </c>
      <c r="E741" s="3" t="n">
        <v>17.623</v>
      </c>
      <c r="F741" s="4" t="n">
        <v>3</v>
      </c>
      <c r="G741" t="inlineStr">
        <is>
          <t>Ontario Tennis Association</t>
        </is>
      </c>
      <c r="H741" t="inlineStr">
        <is>
          <t>Ontario Racquet Club</t>
        </is>
      </c>
      <c r="I741" t="inlineStr">
        <is>
          <t>unavailable</t>
        </is>
      </c>
      <c r="J741" s="4" t="n">
        <v>35</v>
      </c>
      <c r="K741" t="inlineStr">
        <is>
          <t>12 / 23</t>
        </is>
      </c>
      <c r="L741" t="inlineStr">
        <is>
          <t>3 / 9</t>
        </is>
      </c>
      <c r="M741" s="5" t="n">
        <v>0.34</v>
      </c>
      <c r="N741" s="5" t="n">
        <v>0.25</v>
      </c>
    </row>
    <row r="742">
      <c r="A742" t="n">
        <v>741</v>
      </c>
      <c r="B742" t="n">
        <v>2014</v>
      </c>
      <c r="C742" t="inlineStr">
        <is>
          <t>Camila Danielle Arias</t>
        </is>
      </c>
      <c r="D742">
        <f>HYPERLINK("https://ota.tournamentsoftware.com/player-profile/7E2B5B8F-95C7-4374-8F7F-D60E81CAB657", "Link")</f>
        <v/>
      </c>
      <c r="E742" s="3" t="n">
        <v>17.39</v>
      </c>
      <c r="F742" s="4" t="n">
        <v>5</v>
      </c>
      <c r="G742" t="inlineStr">
        <is>
          <t>Tennis Québec</t>
        </is>
      </c>
      <c r="H742" t="inlineStr">
        <is>
          <t>SANI Sport</t>
        </is>
      </c>
      <c r="I742" t="inlineStr">
        <is>
          <t>unavailable</t>
        </is>
      </c>
      <c r="J742" s="4" t="n">
        <v>40</v>
      </c>
      <c r="K742" t="inlineStr">
        <is>
          <t>13 / 27</t>
        </is>
      </c>
      <c r="L742" t="inlineStr">
        <is>
          <t>4 / 4</t>
        </is>
      </c>
      <c r="M742" s="5" t="n">
        <v>0.33</v>
      </c>
      <c r="N742" s="5" t="n">
        <v>0.5</v>
      </c>
    </row>
    <row r="743">
      <c r="A743" t="n">
        <v>742</v>
      </c>
      <c r="B743" t="n">
        <v>2013</v>
      </c>
      <c r="C743" t="inlineStr">
        <is>
          <t>Lily Pilipowicz</t>
        </is>
      </c>
      <c r="D743">
        <f>HYPERLINK("https://ota.tournamentsoftware.com/player-profile/B42CFB1E-4A07-4108-A904-8512C36C48D8", "Link")</f>
        <v/>
      </c>
      <c r="E743" s="3" t="n">
        <v>17.313</v>
      </c>
      <c r="F743" s="4" t="n">
        <v>4</v>
      </c>
      <c r="G743" t="inlineStr">
        <is>
          <t>Tennis Alberta</t>
        </is>
      </c>
      <c r="H743" t="inlineStr">
        <is>
          <t>Aforza</t>
        </is>
      </c>
      <c r="I743" t="n">
        <v>34</v>
      </c>
      <c r="J743" s="4" t="n">
        <v>40</v>
      </c>
      <c r="K743" t="inlineStr">
        <is>
          <t>19 / 21</t>
        </is>
      </c>
      <c r="L743" t="inlineStr">
        <is>
          <t>0 / 1</t>
        </is>
      </c>
      <c r="M743" s="5" t="n">
        <v>0.47</v>
      </c>
      <c r="N743" s="5" t="n">
        <v>0</v>
      </c>
    </row>
    <row r="744">
      <c r="A744" t="n">
        <v>743</v>
      </c>
      <c r="B744" t="n">
        <v>2016</v>
      </c>
      <c r="C744" t="inlineStr">
        <is>
          <t>Yanya Zhao</t>
        </is>
      </c>
      <c r="D744">
        <f>HYPERLINK("https://ota.tournamentsoftware.com/player-profile/60E4C9B4-B466-467C-B9D3-335A318BE74C", "Link")</f>
        <v/>
      </c>
      <c r="E744" s="3" t="n">
        <v>17.28</v>
      </c>
      <c r="F744" s="4" t="n">
        <v>3</v>
      </c>
      <c r="G744" t="inlineStr">
        <is>
          <t>Ontario Tennis Association</t>
        </is>
      </c>
      <c r="H744" t="inlineStr">
        <is>
          <t>Valan Tennis Academy</t>
        </is>
      </c>
      <c r="I744" t="n">
        <v>36.5</v>
      </c>
      <c r="J744" s="4" t="n">
        <v>89</v>
      </c>
      <c r="K744" t="inlineStr">
        <is>
          <t>56 / 33</t>
        </is>
      </c>
      <c r="L744" t="inlineStr">
        <is>
          <t>56 / 33</t>
        </is>
      </c>
      <c r="M744" s="5" t="n">
        <v>0.63</v>
      </c>
      <c r="N744" s="5" t="n">
        <v>0.63</v>
      </c>
    </row>
    <row r="745">
      <c r="A745" t="n">
        <v>743</v>
      </c>
      <c r="B745" t="n">
        <v>2016</v>
      </c>
      <c r="C745" t="inlineStr">
        <is>
          <t>Liv Evangeline Bulfon</t>
        </is>
      </c>
      <c r="D745">
        <f>HYPERLINK("https://ota.tournamentsoftware.com/player-profile/237E5FDF-8DB1-4A71-A617-6A9246A16101", "Link")</f>
        <v/>
      </c>
      <c r="E745" s="3" t="n">
        <v>17.28</v>
      </c>
      <c r="F745" s="4" t="n">
        <v>2</v>
      </c>
      <c r="G745" t="inlineStr">
        <is>
          <t>Ontario Tennis Association</t>
        </is>
      </c>
      <c r="H745" t="inlineStr">
        <is>
          <t>Joshua Creek Golf &amp; Tennis</t>
        </is>
      </c>
      <c r="I745" t="n">
        <v>38.2</v>
      </c>
      <c r="J745" s="4" t="n">
        <v>32</v>
      </c>
      <c r="K745" t="inlineStr">
        <is>
          <t>17 / 15</t>
        </is>
      </c>
      <c r="L745" t="inlineStr">
        <is>
          <t>9 / 8</t>
        </is>
      </c>
      <c r="M745" s="5" t="n">
        <v>0.53</v>
      </c>
      <c r="N745" s="5" t="n">
        <v>0.53</v>
      </c>
    </row>
    <row r="746">
      <c r="A746" t="n">
        <v>743</v>
      </c>
      <c r="B746" t="n">
        <v>2016</v>
      </c>
      <c r="C746" t="inlineStr">
        <is>
          <t>Nourine Chebitou</t>
        </is>
      </c>
      <c r="D746">
        <f>HYPERLINK("https://ota.tournamentsoftware.com/player-profile/7B847012-F77E-40EE-A816-39ABE1031DA9", "Link")</f>
        <v/>
      </c>
      <c r="E746" s="3" t="n">
        <v>17.28</v>
      </c>
      <c r="F746" s="4" t="n">
        <v>1</v>
      </c>
      <c r="G746" t="inlineStr">
        <is>
          <t>Tennis Québec</t>
        </is>
      </c>
      <c r="H746" t="inlineStr">
        <is>
          <t>SANI Sport</t>
        </is>
      </c>
      <c r="I746" t="n">
        <v>37.3</v>
      </c>
      <c r="J746" s="4" t="n">
        <v>5</v>
      </c>
      <c r="K746" t="inlineStr">
        <is>
          <t>1 / 4</t>
        </is>
      </c>
      <c r="L746" t="inlineStr">
        <is>
          <t>1 / 1</t>
        </is>
      </c>
      <c r="M746" s="5" t="n">
        <v>0.2</v>
      </c>
      <c r="N746" s="5" t="n">
        <v>0.5</v>
      </c>
    </row>
    <row r="747">
      <c r="A747" t="n">
        <v>746</v>
      </c>
      <c r="B747" t="n">
        <v>2013</v>
      </c>
      <c r="C747" t="inlineStr">
        <is>
          <t>Brooklyn Desjardins</t>
        </is>
      </c>
      <c r="D747">
        <f>HYPERLINK("https://ota.tournamentsoftware.com/player-profile/EDCAF363-81B5-4378-83DC-E36CD3ACC539", "Link")</f>
        <v/>
      </c>
      <c r="E747" s="3" t="n">
        <v>17.185</v>
      </c>
      <c r="F747" s="4" t="n">
        <v>2</v>
      </c>
      <c r="G747" t="inlineStr">
        <is>
          <t>Tennis Québec</t>
        </is>
      </c>
      <c r="H747" t="inlineStr">
        <is>
          <t>Club Sportif Côte-de-Liesse</t>
        </is>
      </c>
      <c r="I747" t="n">
        <v>37.7</v>
      </c>
      <c r="J747" s="4" t="n">
        <v>49</v>
      </c>
      <c r="K747" t="inlineStr">
        <is>
          <t>19 / 30</t>
        </is>
      </c>
      <c r="L747" t="inlineStr">
        <is>
          <t>0 / 0</t>
        </is>
      </c>
      <c r="M747" s="5" t="n">
        <v>0.39</v>
      </c>
      <c r="N747" s="5" t="n">
        <v>0</v>
      </c>
    </row>
    <row r="748">
      <c r="A748" t="n">
        <v>747</v>
      </c>
      <c r="B748" t="n">
        <v>2012</v>
      </c>
      <c r="C748" t="inlineStr">
        <is>
          <t>Emily Solc</t>
        </is>
      </c>
      <c r="D748">
        <f>HYPERLINK("https://ota.tournamentsoftware.com/player-profile/0117F9E7-8DFA-459F-859A-F7CFC440388D", "Link")</f>
        <v/>
      </c>
      <c r="E748" s="3" t="n">
        <v>17.16</v>
      </c>
      <c r="F748" s="4" t="n">
        <v>1</v>
      </c>
      <c r="G748" t="inlineStr">
        <is>
          <t>Ontario Tennis Association</t>
        </is>
      </c>
      <c r="H748" t="inlineStr">
        <is>
          <t>Ajax Tennis Club</t>
        </is>
      </c>
      <c r="I748" t="n">
        <v>35.7</v>
      </c>
      <c r="J748" s="4" t="n">
        <v>15</v>
      </c>
      <c r="K748" t="inlineStr">
        <is>
          <t>6 / 9</t>
        </is>
      </c>
      <c r="L748" t="inlineStr">
        <is>
          <t>0 / 0</t>
        </is>
      </c>
      <c r="M748" s="5" t="n">
        <v>0.4</v>
      </c>
      <c r="N748" s="5" t="n">
        <v>0</v>
      </c>
    </row>
    <row r="749">
      <c r="A749" t="n">
        <v>748</v>
      </c>
      <c r="B749" t="n">
        <v>2015</v>
      </c>
      <c r="C749" t="inlineStr">
        <is>
          <t>Maggie Yang</t>
        </is>
      </c>
      <c r="D749">
        <f>HYPERLINK("https://ota.tournamentsoftware.com/player-profile/1188855E-2EBD-473C-B3CD-74B3CDDF9042", "Link")</f>
        <v/>
      </c>
      <c r="E749" s="3" t="n">
        <v>17.037</v>
      </c>
      <c r="F749" s="4" t="n">
        <v>3</v>
      </c>
      <c r="G749" t="inlineStr">
        <is>
          <t>Ontario Tennis Association</t>
        </is>
      </c>
      <c r="H749" t="inlineStr">
        <is>
          <t>Royal City Tennis Club</t>
        </is>
      </c>
      <c r="I749" t="n">
        <v>35.7</v>
      </c>
      <c r="J749" s="4" t="n">
        <v>29</v>
      </c>
      <c r="K749" t="inlineStr">
        <is>
          <t>11 / 18</t>
        </is>
      </c>
      <c r="L749" t="inlineStr">
        <is>
          <t>2 / 3</t>
        </is>
      </c>
      <c r="M749" s="5" t="n">
        <v>0.38</v>
      </c>
      <c r="N749" s="5" t="n">
        <v>0.4</v>
      </c>
    </row>
    <row r="750">
      <c r="A750" t="n">
        <v>749</v>
      </c>
      <c r="B750" t="n">
        <v>2012</v>
      </c>
      <c r="C750" t="inlineStr">
        <is>
          <t>Alexandria Leah Fernandez</t>
        </is>
      </c>
      <c r="D750">
        <f>HYPERLINK("https://ota.tournamentsoftware.com/player-profile/42CC074A-F7BC-474A-AD80-389A35EF85E7", "Link")</f>
        <v/>
      </c>
      <c r="E750" s="3" t="n">
        <v>16.632</v>
      </c>
      <c r="F750" s="4" t="n">
        <v>1</v>
      </c>
      <c r="G750" t="inlineStr">
        <is>
          <t>Ontario Tennis Association</t>
        </is>
      </c>
      <c r="H750" t="inlineStr">
        <is>
          <t>Cambridge Tennis Club</t>
        </is>
      </c>
      <c r="I750" t="n">
        <v>35.2</v>
      </c>
      <c r="J750" s="4" t="n">
        <v>14</v>
      </c>
      <c r="K750" t="inlineStr">
        <is>
          <t>7 / 7</t>
        </is>
      </c>
      <c r="L750" t="inlineStr">
        <is>
          <t>7 / 1</t>
        </is>
      </c>
      <c r="M750" s="5" t="n">
        <v>0.5</v>
      </c>
      <c r="N750" s="5" t="n">
        <v>0.88</v>
      </c>
    </row>
    <row r="751">
      <c r="A751" t="n">
        <v>750</v>
      </c>
      <c r="B751" t="n">
        <v>2013</v>
      </c>
      <c r="C751" t="inlineStr">
        <is>
          <t>Vasta Keshavarz</t>
        </is>
      </c>
      <c r="D751">
        <f>HYPERLINK("https://ota.tournamentsoftware.com/player-profile/601A80FC-EABC-4AF6-9B13-BEBCF22814BA", "Link")</f>
        <v/>
      </c>
      <c r="E751" s="3" t="n">
        <v>16.603</v>
      </c>
      <c r="F751" s="4" t="n">
        <v>4</v>
      </c>
      <c r="G751" t="inlineStr">
        <is>
          <t>British Columbia</t>
        </is>
      </c>
      <c r="H751" t="inlineStr">
        <is>
          <t>North Vancouver Tennis Centre</t>
        </is>
      </c>
      <c r="I751" t="inlineStr">
        <is>
          <t>unavailable</t>
        </is>
      </c>
      <c r="J751" s="4" t="n">
        <v>43</v>
      </c>
      <c r="K751" t="inlineStr">
        <is>
          <t>16 / 27</t>
        </is>
      </c>
      <c r="L751" t="inlineStr">
        <is>
          <t>8 / 20</t>
        </is>
      </c>
      <c r="M751" s="5" t="n">
        <v>0.37</v>
      </c>
      <c r="N751" s="5" t="n">
        <v>0.29</v>
      </c>
    </row>
    <row r="752">
      <c r="A752" t="n">
        <v>751</v>
      </c>
      <c r="B752" t="n">
        <v>2015</v>
      </c>
      <c r="C752" t="inlineStr">
        <is>
          <t>Léa Anténor</t>
        </is>
      </c>
      <c r="D752">
        <f>HYPERLINK("https://ota.tournamentsoftware.com/player-profile/C5888674-E1AF-487D-88CD-4864B4B9365E", "Link")</f>
        <v/>
      </c>
      <c r="E752" s="3" t="n">
        <v>16.489</v>
      </c>
      <c r="F752" s="4" t="n">
        <v>3</v>
      </c>
      <c r="G752" t="inlineStr">
        <is>
          <t>Tennis Québec</t>
        </is>
      </c>
      <c r="H752" t="inlineStr">
        <is>
          <t>No Club</t>
        </is>
      </c>
      <c r="I752" t="inlineStr">
        <is>
          <t>unavailable</t>
        </is>
      </c>
      <c r="J752" s="4" t="n">
        <v>2</v>
      </c>
      <c r="K752" t="inlineStr">
        <is>
          <t>0 / 2</t>
        </is>
      </c>
      <c r="L752" t="inlineStr">
        <is>
          <t>0 / 2</t>
        </is>
      </c>
      <c r="M752" s="5" t="n">
        <v>0</v>
      </c>
      <c r="N752" s="5" t="n">
        <v>0</v>
      </c>
    </row>
    <row r="753">
      <c r="A753" t="n">
        <v>752</v>
      </c>
      <c r="B753" t="n">
        <v>2014</v>
      </c>
      <c r="C753" t="inlineStr">
        <is>
          <t>Livia Hu</t>
        </is>
      </c>
      <c r="D753">
        <f>HYPERLINK("https://ota.tournamentsoftware.com/player-profile/F0626954-59DE-45D2-AE30-FCA903A00699", "Link")</f>
        <v/>
      </c>
      <c r="E753" s="3" t="n">
        <v>16.459</v>
      </c>
      <c r="F753" s="4" t="n">
        <v>2</v>
      </c>
      <c r="G753" t="inlineStr">
        <is>
          <t>Tennis Saskatchewan</t>
        </is>
      </c>
      <c r="H753" t="inlineStr">
        <is>
          <t>No Club</t>
        </is>
      </c>
      <c r="I753" t="n">
        <v>29.5</v>
      </c>
      <c r="J753" s="4" t="n">
        <v>41</v>
      </c>
      <c r="K753" t="inlineStr">
        <is>
          <t>25 / 16</t>
        </is>
      </c>
      <c r="L753" t="inlineStr">
        <is>
          <t>7 / 4</t>
        </is>
      </c>
      <c r="M753" s="5" t="n">
        <v>0.61</v>
      </c>
      <c r="N753" s="5" t="n">
        <v>0.64</v>
      </c>
    </row>
    <row r="754">
      <c r="A754" t="n">
        <v>753</v>
      </c>
      <c r="B754" t="n">
        <v>2012</v>
      </c>
      <c r="C754" t="inlineStr">
        <is>
          <t>Allison Wu</t>
        </is>
      </c>
      <c r="D754">
        <f>HYPERLINK("https://ota.tournamentsoftware.com/player-profile/5B6A5CCB-4E85-427C-99E0-E2078ED2493C", "Link")</f>
        <v/>
      </c>
      <c r="E754" s="3" t="n">
        <v>15.968</v>
      </c>
      <c r="F754" s="4" t="n">
        <v>3</v>
      </c>
      <c r="G754" t="inlineStr">
        <is>
          <t>British Columbia</t>
        </is>
      </c>
      <c r="H754" t="inlineStr">
        <is>
          <t>Coquitlam Tennis Club</t>
        </is>
      </c>
      <c r="I754" t="n">
        <v>39.4</v>
      </c>
      <c r="J754" s="4" t="n">
        <v>54</v>
      </c>
      <c r="K754" t="inlineStr">
        <is>
          <t>9 / 45</t>
        </is>
      </c>
      <c r="L754" t="inlineStr">
        <is>
          <t>0 / 4</t>
        </is>
      </c>
      <c r="M754" s="5" t="n">
        <v>0.17</v>
      </c>
      <c r="N754" s="5" t="n">
        <v>0</v>
      </c>
    </row>
    <row r="755">
      <c r="A755" t="n">
        <v>754</v>
      </c>
      <c r="B755" t="n">
        <v>2014</v>
      </c>
      <c r="C755" t="inlineStr">
        <is>
          <t>Anabelle Duchesne</t>
        </is>
      </c>
      <c r="D755">
        <f>HYPERLINK("https://ota.tournamentsoftware.com/player-profile/3D9B7A28-72A0-4133-925D-142C95DC7FA9", "Link")</f>
        <v/>
      </c>
      <c r="E755" s="3" t="n">
        <v>15.937</v>
      </c>
      <c r="F755" s="4" t="n">
        <v>2</v>
      </c>
      <c r="G755" t="inlineStr">
        <is>
          <t>Tennis Québec</t>
        </is>
      </c>
      <c r="H755" t="inlineStr">
        <is>
          <t>Les Tennis de Rimouski (intérieur)</t>
        </is>
      </c>
      <c r="I755" t="n">
        <v>40</v>
      </c>
      <c r="J755" s="4" t="n">
        <v>6</v>
      </c>
      <c r="K755" t="inlineStr">
        <is>
          <t>0 / 6</t>
        </is>
      </c>
      <c r="L755" t="inlineStr">
        <is>
          <t>0 / 6</t>
        </is>
      </c>
      <c r="M755" s="5" t="n">
        <v>0</v>
      </c>
      <c r="N755" s="5" t="n">
        <v>0</v>
      </c>
    </row>
    <row r="756">
      <c r="A756" t="n">
        <v>755</v>
      </c>
      <c r="B756" t="n">
        <v>2012</v>
      </c>
      <c r="C756" t="inlineStr">
        <is>
          <t>Juanita Valeria Ruiz</t>
        </is>
      </c>
      <c r="D756">
        <f>HYPERLINK("https://ota.tournamentsoftware.com/player-profile/60CB93B1-F620-4737-8F49-B06F794F4103", "Link")</f>
        <v/>
      </c>
      <c r="E756" s="3" t="n">
        <v>15.552</v>
      </c>
      <c r="F756" s="4" t="n">
        <v>1</v>
      </c>
      <c r="G756" t="inlineStr">
        <is>
          <t>Ontario Tennis Association</t>
        </is>
      </c>
      <c r="H756" t="inlineStr">
        <is>
          <t>No Club</t>
        </is>
      </c>
      <c r="I756" t="inlineStr">
        <is>
          <t>unavailable</t>
        </is>
      </c>
      <c r="J756" s="4" t="n">
        <v>69</v>
      </c>
      <c r="K756" t="inlineStr">
        <is>
          <t>26 / 43</t>
        </is>
      </c>
      <c r="L756" t="inlineStr">
        <is>
          <t>0 / 0</t>
        </is>
      </c>
      <c r="M756" s="5" t="n">
        <v>0.38</v>
      </c>
      <c r="N756" s="5" t="n">
        <v>0</v>
      </c>
    </row>
    <row r="757">
      <c r="A757" t="n">
        <v>756</v>
      </c>
      <c r="B757" t="n">
        <v>2014</v>
      </c>
      <c r="C757" t="inlineStr">
        <is>
          <t>Precious J. Mutiku</t>
        </is>
      </c>
      <c r="D757">
        <f>HYPERLINK("https://ota.tournamentsoftware.com/player-profile/60A61325-C72A-4622-B3AF-5291E7A5657A", "Link")</f>
        <v/>
      </c>
      <c r="E757" s="3" t="n">
        <v>15.059</v>
      </c>
      <c r="F757" s="4" t="n">
        <v>1</v>
      </c>
      <c r="G757" t="inlineStr">
        <is>
          <t>Tennis Manitoba</t>
        </is>
      </c>
      <c r="H757" t="inlineStr">
        <is>
          <t>Taylor Tennis</t>
        </is>
      </c>
      <c r="I757" t="n">
        <v>37</v>
      </c>
      <c r="J757" s="4" t="n">
        <v>3</v>
      </c>
      <c r="K757" t="inlineStr">
        <is>
          <t>1 / 2</t>
        </is>
      </c>
      <c r="L757" t="inlineStr">
        <is>
          <t>0 / 1</t>
        </is>
      </c>
      <c r="M757" s="5" t="n">
        <v>0.33</v>
      </c>
      <c r="N757" s="5" t="n">
        <v>0</v>
      </c>
    </row>
    <row r="758">
      <c r="A758" t="n">
        <v>757</v>
      </c>
      <c r="B758" t="n">
        <v>2013</v>
      </c>
      <c r="C758" t="inlineStr">
        <is>
          <t>Kensington Gavin</t>
        </is>
      </c>
      <c r="D758">
        <f>HYPERLINK("https://ota.tournamentsoftware.com/player-profile/A4C08F5F-BDB2-4714-9F20-18E924F0B20C", "Link")</f>
        <v/>
      </c>
      <c r="E758" s="3" t="n">
        <v>15</v>
      </c>
      <c r="F758" s="4" t="n">
        <v>1</v>
      </c>
      <c r="G758" t="inlineStr">
        <is>
          <t>British Columbia</t>
        </is>
      </c>
      <c r="H758" t="inlineStr">
        <is>
          <t>No Club</t>
        </is>
      </c>
      <c r="I758" t="n">
        <v>33.1</v>
      </c>
      <c r="J758" s="4" t="n">
        <v>121</v>
      </c>
      <c r="K758" t="inlineStr">
        <is>
          <t>70 / 51</t>
        </is>
      </c>
      <c r="L758" t="inlineStr">
        <is>
          <t>0 / 0</t>
        </is>
      </c>
      <c r="M758" s="5" t="n">
        <v>0.58</v>
      </c>
      <c r="N758" s="5" t="n">
        <v>0</v>
      </c>
    </row>
    <row r="759">
      <c r="A759" t="n">
        <v>758</v>
      </c>
      <c r="B759" t="n">
        <v>2016</v>
      </c>
      <c r="C759" t="inlineStr">
        <is>
          <t>Keira El-Kettaneh</t>
        </is>
      </c>
      <c r="D759">
        <f>HYPERLINK("https://ota.tournamentsoftware.com/player-profile/A820994B-A350-4155-A437-EF3139C3E02A", "Link")</f>
        <v/>
      </c>
      <c r="E759" s="3" t="n">
        <v>14.877</v>
      </c>
      <c r="F759" s="4" t="n">
        <v>5</v>
      </c>
      <c r="G759" t="inlineStr">
        <is>
          <t>Ontario Tennis Association</t>
        </is>
      </c>
      <c r="H759" t="inlineStr">
        <is>
          <t>Toronto Tennis City</t>
        </is>
      </c>
      <c r="I759" t="n">
        <v>38.1</v>
      </c>
      <c r="J759" s="4" t="n">
        <v>79</v>
      </c>
      <c r="K759" t="inlineStr">
        <is>
          <t>33 / 46</t>
        </is>
      </c>
      <c r="L759" t="inlineStr">
        <is>
          <t>15 / 23</t>
        </is>
      </c>
      <c r="M759" s="5" t="n">
        <v>0.42</v>
      </c>
      <c r="N759" s="5" t="n">
        <v>0.39</v>
      </c>
    </row>
    <row r="760">
      <c r="A760" t="n">
        <v>759</v>
      </c>
      <c r="B760" t="n">
        <v>2012</v>
      </c>
      <c r="C760" t="inlineStr">
        <is>
          <t>Saaya Isabella Thompson</t>
        </is>
      </c>
      <c r="D760">
        <f>HYPERLINK("https://ota.tournamentsoftware.com/player-profile/E9B78A0F-EA3C-42B6-B795-AA591E989391", "Link")</f>
        <v/>
      </c>
      <c r="E760" s="3" t="n">
        <v>14.686</v>
      </c>
      <c r="F760" s="4" t="n">
        <v>2</v>
      </c>
      <c r="G760" t="inlineStr">
        <is>
          <t>British Columbia</t>
        </is>
      </c>
      <c r="H760" t="inlineStr">
        <is>
          <t>UBC Tennis Centre</t>
        </is>
      </c>
      <c r="I760" t="n">
        <v>38.8</v>
      </c>
      <c r="J760" s="4" t="n">
        <v>7</v>
      </c>
      <c r="K760" t="inlineStr">
        <is>
          <t>1 / 6</t>
        </is>
      </c>
      <c r="L760" t="inlineStr">
        <is>
          <t>0 / 3</t>
        </is>
      </c>
      <c r="M760" s="5" t="n">
        <v>0.14</v>
      </c>
      <c r="N760" s="5" t="n">
        <v>0</v>
      </c>
    </row>
    <row r="761">
      <c r="A761" t="n">
        <v>760</v>
      </c>
      <c r="B761" t="n">
        <v>2015</v>
      </c>
      <c r="C761" t="inlineStr">
        <is>
          <t>ALYSSA MA</t>
        </is>
      </c>
      <c r="D761">
        <f>HYPERLINK("https://ota.tournamentsoftware.com/player-profile/7C80CDC4-31A2-4667-A2A3-AE7AD2699300", "Link")</f>
        <v/>
      </c>
      <c r="E761" s="3" t="n">
        <v>14.658</v>
      </c>
      <c r="F761" s="4" t="n">
        <v>3</v>
      </c>
      <c r="G761" t="inlineStr">
        <is>
          <t>Ontario Tennis Association</t>
        </is>
      </c>
      <c r="H761" t="inlineStr">
        <is>
          <t>Blackmore Tennis Club</t>
        </is>
      </c>
      <c r="I761" t="n">
        <v>37.4</v>
      </c>
      <c r="J761" s="4" t="n">
        <v>15</v>
      </c>
      <c r="K761" t="inlineStr">
        <is>
          <t>7 / 8</t>
        </is>
      </c>
      <c r="L761" t="inlineStr">
        <is>
          <t>1 / 5</t>
        </is>
      </c>
      <c r="M761" s="5" t="n">
        <v>0.47</v>
      </c>
      <c r="N761" s="5" t="n">
        <v>0.17</v>
      </c>
    </row>
    <row r="762">
      <c r="A762" t="n">
        <v>761</v>
      </c>
      <c r="B762" t="n">
        <v>2012</v>
      </c>
      <c r="C762" t="inlineStr">
        <is>
          <t>Navia Kaylynn Barlow</t>
        </is>
      </c>
      <c r="D762">
        <f>HYPERLINK("https://ota.tournamentsoftware.com/player-profile/44A25362-E73B-4E09-954B-7A375954482B", "Link")</f>
        <v/>
      </c>
      <c r="E762" s="3" t="n">
        <v>14.647</v>
      </c>
      <c r="F762" s="4" t="n">
        <v>3</v>
      </c>
      <c r="G762" t="inlineStr">
        <is>
          <t>Tennis Alberta</t>
        </is>
      </c>
      <c r="H762" t="inlineStr">
        <is>
          <t>Derrick Golf &amp; Winter Club</t>
        </is>
      </c>
      <c r="I762" t="inlineStr">
        <is>
          <t>unavailable</t>
        </is>
      </c>
      <c r="J762" s="4" t="n">
        <v>6</v>
      </c>
      <c r="K762" t="inlineStr">
        <is>
          <t>2 / 4</t>
        </is>
      </c>
      <c r="L762" t="inlineStr">
        <is>
          <t>2 / 4</t>
        </is>
      </c>
      <c r="M762" s="5" t="n">
        <v>0.33</v>
      </c>
      <c r="N762" s="5" t="n">
        <v>0.33</v>
      </c>
    </row>
    <row r="763">
      <c r="A763" t="n">
        <v>762</v>
      </c>
      <c r="B763" t="n">
        <v>2015</v>
      </c>
      <c r="C763" t="inlineStr">
        <is>
          <t>Mira Akhoundova</t>
        </is>
      </c>
      <c r="D763">
        <f>HYPERLINK("https://ota.tournamentsoftware.com/player-profile/DFAA2C12-ED04-42F9-9711-F91A6745B43A", "Link")</f>
        <v/>
      </c>
      <c r="E763" s="3" t="n">
        <v>14.585</v>
      </c>
      <c r="F763" s="4" t="n">
        <v>3</v>
      </c>
      <c r="G763" t="inlineStr">
        <is>
          <t>Ontario Tennis Association</t>
        </is>
      </c>
      <c r="H763" t="inlineStr">
        <is>
          <t>Marilyn Redvers Tennis Club</t>
        </is>
      </c>
      <c r="I763" t="n">
        <v>40</v>
      </c>
      <c r="J763" s="4" t="n">
        <v>28</v>
      </c>
      <c r="K763" t="inlineStr">
        <is>
          <t>14 / 14</t>
        </is>
      </c>
      <c r="L763" t="inlineStr">
        <is>
          <t>5 / 9</t>
        </is>
      </c>
      <c r="M763" s="5" t="n">
        <v>0.5</v>
      </c>
      <c r="N763" s="5" t="n">
        <v>0.36</v>
      </c>
    </row>
    <row r="764">
      <c r="A764" t="n">
        <v>763</v>
      </c>
      <c r="B764" t="n">
        <v>2017</v>
      </c>
      <c r="C764" t="inlineStr">
        <is>
          <t>Erika ko</t>
        </is>
      </c>
      <c r="D764">
        <f>HYPERLINK("https://ota.tournamentsoftware.com/player-profile/63E3DB95-CFC7-47F5-8461-E32C50FD6342", "Link")</f>
        <v/>
      </c>
      <c r="E764" s="3" t="n">
        <v>14.4</v>
      </c>
      <c r="F764" s="4" t="n">
        <v>6</v>
      </c>
      <c r="G764" t="inlineStr">
        <is>
          <t>British Columbia</t>
        </is>
      </c>
      <c r="H764" t="inlineStr">
        <is>
          <t>Richmond Country Club</t>
        </is>
      </c>
      <c r="I764" t="n">
        <v>37.9</v>
      </c>
      <c r="J764" s="4" t="n">
        <v>135</v>
      </c>
      <c r="K764" t="inlineStr">
        <is>
          <t>61 / 74</t>
        </is>
      </c>
      <c r="L764" t="inlineStr">
        <is>
          <t>4 / 8</t>
        </is>
      </c>
      <c r="M764" s="5" t="n">
        <v>0.45</v>
      </c>
      <c r="N764" s="5" t="n">
        <v>0.33</v>
      </c>
    </row>
    <row r="765">
      <c r="A765" t="n">
        <v>764</v>
      </c>
      <c r="B765" t="n">
        <v>2015</v>
      </c>
      <c r="C765" t="inlineStr">
        <is>
          <t>Nadia Mnyusiwalla</t>
        </is>
      </c>
      <c r="D765">
        <f>HYPERLINK("https://ota.tournamentsoftware.com/player-profile/0DB52458-FB00-472A-BE89-03A77FEBF08E", "Link")</f>
        <v/>
      </c>
      <c r="E765" s="3" t="n">
        <v>14.381</v>
      </c>
      <c r="F765" s="4" t="n">
        <v>3</v>
      </c>
      <c r="G765" t="inlineStr">
        <is>
          <t>Ontario Tennis Association</t>
        </is>
      </c>
      <c r="H765" t="inlineStr">
        <is>
          <t>Waterloo Tennis Club</t>
        </is>
      </c>
      <c r="I765" t="inlineStr">
        <is>
          <t>unavailable</t>
        </is>
      </c>
      <c r="J765" s="4" t="n">
        <v>54</v>
      </c>
      <c r="K765" t="inlineStr">
        <is>
          <t>15 / 39</t>
        </is>
      </c>
      <c r="L765" t="inlineStr">
        <is>
          <t>2 / 14</t>
        </is>
      </c>
      <c r="M765" s="5" t="n">
        <v>0.28</v>
      </c>
      <c r="N765" s="5" t="n">
        <v>0.12</v>
      </c>
    </row>
    <row r="766">
      <c r="A766" t="n">
        <v>765</v>
      </c>
      <c r="B766" t="n">
        <v>2014</v>
      </c>
      <c r="C766" t="inlineStr">
        <is>
          <t>Yuxin Bella Cao</t>
        </is>
      </c>
      <c r="D766">
        <f>HYPERLINK("https://ota.tournamentsoftware.com/player-profile/ECABBEB5-67C3-48F1-8CC6-A7628D8721E8", "Link")</f>
        <v/>
      </c>
      <c r="E766" s="3" t="n">
        <v>14.337</v>
      </c>
      <c r="F766" s="4" t="n">
        <v>3</v>
      </c>
      <c r="G766" t="inlineStr">
        <is>
          <t>Ontario Tennis Association</t>
        </is>
      </c>
      <c r="H766" t="inlineStr">
        <is>
          <t>ACE Tennis - Burlington</t>
        </is>
      </c>
      <c r="I766" t="n">
        <v>38.1</v>
      </c>
      <c r="J766" s="4" t="n">
        <v>40</v>
      </c>
      <c r="K766" t="inlineStr">
        <is>
          <t>12 / 28</t>
        </is>
      </c>
      <c r="L766" t="inlineStr">
        <is>
          <t>2 / 2</t>
        </is>
      </c>
      <c r="M766" s="5" t="n">
        <v>0.3</v>
      </c>
      <c r="N766" s="5" t="n">
        <v>0.5</v>
      </c>
    </row>
    <row r="767">
      <c r="A767" t="n">
        <v>766</v>
      </c>
      <c r="B767" t="n">
        <v>2014</v>
      </c>
      <c r="C767" t="inlineStr">
        <is>
          <t>Elise Hiu-Wing Lin</t>
        </is>
      </c>
      <c r="D767">
        <f>HYPERLINK("https://ota.tournamentsoftware.com/player-profile/6079C290-F004-492F-BD70-120B06A08264", "Link")</f>
        <v/>
      </c>
      <c r="E767" s="3" t="n">
        <v>14.283</v>
      </c>
      <c r="F767" s="4" t="n">
        <v>4</v>
      </c>
      <c r="G767" t="inlineStr">
        <is>
          <t>British Columbia</t>
        </is>
      </c>
      <c r="H767" t="inlineStr">
        <is>
          <t>No Club</t>
        </is>
      </c>
      <c r="I767" t="n">
        <v>36.3</v>
      </c>
      <c r="J767" s="4" t="n">
        <v>47</v>
      </c>
      <c r="K767" t="inlineStr">
        <is>
          <t>17 / 30</t>
        </is>
      </c>
      <c r="L767" t="inlineStr">
        <is>
          <t>4 / 5</t>
        </is>
      </c>
      <c r="M767" s="5" t="n">
        <v>0.36</v>
      </c>
      <c r="N767" s="5" t="n">
        <v>0.44</v>
      </c>
    </row>
    <row r="768">
      <c r="A768" t="n">
        <v>767</v>
      </c>
      <c r="B768" t="n">
        <v>2012</v>
      </c>
      <c r="C768" t="inlineStr">
        <is>
          <t>Nora Skogen</t>
        </is>
      </c>
      <c r="D768">
        <f>HYPERLINK("https://ota.tournamentsoftware.com/player-profile/84E488EE-ABCE-4936-AC77-DCF33DA7BE52", "Link")</f>
        <v/>
      </c>
      <c r="E768" s="3" t="n">
        <v>14.256</v>
      </c>
      <c r="F768" s="4" t="n">
        <v>1</v>
      </c>
      <c r="G768" t="inlineStr">
        <is>
          <t>British Columbia</t>
        </is>
      </c>
      <c r="H768" t="inlineStr">
        <is>
          <t>Hollyburn Country Club</t>
        </is>
      </c>
      <c r="I768" t="n">
        <v>32.3</v>
      </c>
      <c r="J768" s="4" t="n">
        <v>164</v>
      </c>
      <c r="K768" t="inlineStr">
        <is>
          <t>79 / 85</t>
        </is>
      </c>
      <c r="L768" t="inlineStr">
        <is>
          <t>1 / 1</t>
        </is>
      </c>
      <c r="M768" s="5" t="n">
        <v>0.48</v>
      </c>
      <c r="N768" s="5" t="n">
        <v>0.5</v>
      </c>
    </row>
    <row r="769">
      <c r="A769" t="n">
        <v>768</v>
      </c>
      <c r="B769" t="n">
        <v>2012</v>
      </c>
      <c r="C769" t="inlineStr">
        <is>
          <t>Renee Burton</t>
        </is>
      </c>
      <c r="D769">
        <f>HYPERLINK("https://ota.tournamentsoftware.com/player-profile/88D51E75-4EAF-4390-8A85-9E01D5A7B97C", "Link")</f>
        <v/>
      </c>
      <c r="E769" s="3" t="n">
        <v>14.11</v>
      </c>
      <c r="F769" s="4" t="n">
        <v>1</v>
      </c>
      <c r="G769" t="inlineStr">
        <is>
          <t>Ontario Tennis Association</t>
        </is>
      </c>
      <c r="H769" t="inlineStr">
        <is>
          <t>ACE Tennis - Burlington</t>
        </is>
      </c>
      <c r="I769" t="n">
        <v>35.9</v>
      </c>
      <c r="J769" s="4" t="n">
        <v>13</v>
      </c>
      <c r="K769" t="inlineStr">
        <is>
          <t>9 / 4</t>
        </is>
      </c>
      <c r="L769" t="inlineStr">
        <is>
          <t>9 / 4</t>
        </is>
      </c>
      <c r="M769" s="5" t="n">
        <v>0.6899999999999999</v>
      </c>
      <c r="N769" s="5" t="n">
        <v>0.6899999999999999</v>
      </c>
    </row>
    <row r="770">
      <c r="A770" t="n">
        <v>769</v>
      </c>
      <c r="B770" t="n">
        <v>2016</v>
      </c>
      <c r="C770" t="inlineStr">
        <is>
          <t>Samantha Bronwyn Daniell</t>
        </is>
      </c>
      <c r="D770">
        <f>HYPERLINK("https://ota.tournamentsoftware.com/player-profile/7D796AB4-F8DD-43AD-8451-41C0A3E3949A", "Link")</f>
        <v/>
      </c>
      <c r="E770" s="3" t="n">
        <v>13.771</v>
      </c>
      <c r="F770" s="4" t="n">
        <v>9</v>
      </c>
      <c r="G770" t="inlineStr">
        <is>
          <t>British Columbia</t>
        </is>
      </c>
      <c r="H770" t="inlineStr">
        <is>
          <t>The Tennis Centre</t>
        </is>
      </c>
      <c r="I770" t="n">
        <v>37.6</v>
      </c>
      <c r="J770" s="4" t="n">
        <v>126</v>
      </c>
      <c r="K770" t="inlineStr">
        <is>
          <t>63 / 63</t>
        </is>
      </c>
      <c r="L770" t="inlineStr">
        <is>
          <t>31 / 25</t>
        </is>
      </c>
      <c r="M770" s="5" t="n">
        <v>0.5</v>
      </c>
      <c r="N770" s="5" t="n">
        <v>0.55</v>
      </c>
    </row>
    <row r="771">
      <c r="A771" t="n">
        <v>770</v>
      </c>
      <c r="B771" t="n">
        <v>2012</v>
      </c>
      <c r="C771" t="inlineStr">
        <is>
          <t>Julia Michelle Cipriano</t>
        </is>
      </c>
      <c r="D771">
        <f>HYPERLINK("https://ota.tournamentsoftware.com/player-profile/EC29FADF-ECEA-4CC3-AE9B-2987D1E47266", "Link")</f>
        <v/>
      </c>
      <c r="E771" s="3" t="n">
        <v>13.725</v>
      </c>
      <c r="F771" s="4" t="n">
        <v>2</v>
      </c>
      <c r="G771" t="inlineStr">
        <is>
          <t>British Columbia</t>
        </is>
      </c>
      <c r="H771" t="inlineStr">
        <is>
          <t>West Vancouver Tennis Club</t>
        </is>
      </c>
      <c r="I771" t="n">
        <v>37</v>
      </c>
      <c r="J771" s="4" t="n">
        <v>18</v>
      </c>
      <c r="K771" t="inlineStr">
        <is>
          <t>8 / 10</t>
        </is>
      </c>
      <c r="L771" t="inlineStr">
        <is>
          <t>6 / 6</t>
        </is>
      </c>
      <c r="M771" s="5" t="n">
        <v>0.44</v>
      </c>
      <c r="N771" s="5" t="n">
        <v>0.5</v>
      </c>
    </row>
    <row r="772">
      <c r="A772" t="n">
        <v>771</v>
      </c>
      <c r="B772" t="n">
        <v>2016</v>
      </c>
      <c r="C772" t="inlineStr">
        <is>
          <t>Joud Marmash</t>
        </is>
      </c>
      <c r="D772">
        <f>HYPERLINK("https://ota.tournamentsoftware.com/player-profile/7F8FB01C-3EB1-48B9-B051-119BB01F4118", "Link")</f>
        <v/>
      </c>
      <c r="E772" s="3" t="n">
        <v>13.68</v>
      </c>
      <c r="F772" s="4" t="n">
        <v>6</v>
      </c>
      <c r="G772" t="inlineStr">
        <is>
          <t>Ontario Tennis Association</t>
        </is>
      </c>
      <c r="H772" t="inlineStr">
        <is>
          <t>Zekelman Tennis Centre</t>
        </is>
      </c>
      <c r="I772" t="n">
        <v>38.1</v>
      </c>
      <c r="J772" s="4" t="n">
        <v>18</v>
      </c>
      <c r="K772" t="inlineStr">
        <is>
          <t>5 / 13</t>
        </is>
      </c>
      <c r="L772" t="inlineStr">
        <is>
          <t>5 / 13</t>
        </is>
      </c>
      <c r="M772" s="5" t="n">
        <v>0.28</v>
      </c>
      <c r="N772" s="5" t="n">
        <v>0.28</v>
      </c>
    </row>
    <row r="773">
      <c r="A773" t="n">
        <v>772</v>
      </c>
      <c r="B773" t="n">
        <v>2014</v>
      </c>
      <c r="C773" t="inlineStr">
        <is>
          <t>Mia Mengchen Sun</t>
        </is>
      </c>
      <c r="D773">
        <f>HYPERLINK("https://ota.tournamentsoftware.com/player-profile/BFD3D157-D2B6-45BF-BE92-CACB69CCC59C", "Link")</f>
        <v/>
      </c>
      <c r="E773" s="3" t="n">
        <v>13.578</v>
      </c>
      <c r="F773" s="4" t="n">
        <v>4</v>
      </c>
      <c r="G773" t="inlineStr">
        <is>
          <t>Ontario Tennis Association</t>
        </is>
      </c>
      <c r="H773" t="inlineStr">
        <is>
          <t>Markham Tennis Club</t>
        </is>
      </c>
      <c r="I773" t="n">
        <v>37.9</v>
      </c>
      <c r="J773" s="4" t="n">
        <v>51</v>
      </c>
      <c r="K773" t="inlineStr">
        <is>
          <t>32 / 19</t>
        </is>
      </c>
      <c r="L773" t="inlineStr">
        <is>
          <t>0 / 0</t>
        </is>
      </c>
      <c r="M773" s="5" t="n">
        <v>0.63</v>
      </c>
      <c r="N773" s="5" t="n">
        <v>0</v>
      </c>
    </row>
    <row r="774">
      <c r="A774" t="n">
        <v>773</v>
      </c>
      <c r="B774" t="n">
        <v>2013</v>
      </c>
      <c r="C774" t="inlineStr">
        <is>
          <t>Hailey Johnson</t>
        </is>
      </c>
      <c r="D774">
        <f>HYPERLINK("https://ota.tournamentsoftware.com/player-profile/D4247C6C-DBD8-41D1-867E-D35290341BA8", "Link")</f>
        <v/>
      </c>
      <c r="E774" s="3" t="n">
        <v>13.23</v>
      </c>
      <c r="F774" s="4" t="n">
        <v>2</v>
      </c>
      <c r="G774" t="inlineStr">
        <is>
          <t>British Columbia</t>
        </is>
      </c>
      <c r="H774" t="inlineStr">
        <is>
          <t>Tennis for Life</t>
        </is>
      </c>
      <c r="I774" t="inlineStr">
        <is>
          <t>unavailable</t>
        </is>
      </c>
      <c r="J774" s="4" t="n">
        <v>49</v>
      </c>
      <c r="K774" t="inlineStr">
        <is>
          <t>28 / 21</t>
        </is>
      </c>
      <c r="L774" t="inlineStr">
        <is>
          <t>1 / 1</t>
        </is>
      </c>
      <c r="M774" s="5" t="n">
        <v>0.57</v>
      </c>
      <c r="N774" s="5" t="n">
        <v>0.5</v>
      </c>
    </row>
    <row r="775">
      <c r="A775" t="n">
        <v>774</v>
      </c>
      <c r="B775" t="n">
        <v>2013</v>
      </c>
      <c r="C775" t="inlineStr">
        <is>
          <t>caitlin wong</t>
        </is>
      </c>
      <c r="D775">
        <f>HYPERLINK("https://ota.tournamentsoftware.com/player-profile/A6697051-116D-4981-AA23-11E1BF963FD3", "Link")</f>
        <v/>
      </c>
      <c r="E775" s="3" t="n">
        <v>13</v>
      </c>
      <c r="F775" s="4" t="n">
        <v>1</v>
      </c>
      <c r="G775" t="inlineStr">
        <is>
          <t>Ontario Tennis Association</t>
        </is>
      </c>
      <c r="H775" t="inlineStr">
        <is>
          <t>Blackmore Tennis Club</t>
        </is>
      </c>
      <c r="I775" t="n">
        <v>37.2</v>
      </c>
      <c r="J775" s="4" t="n">
        <v>56</v>
      </c>
      <c r="K775" t="inlineStr">
        <is>
          <t>29 / 27</t>
        </is>
      </c>
      <c r="L775" t="inlineStr">
        <is>
          <t>0 / 0</t>
        </is>
      </c>
      <c r="M775" s="5" t="n">
        <v>0.52</v>
      </c>
      <c r="N775" s="5" t="n">
        <v>0</v>
      </c>
    </row>
    <row r="776">
      <c r="A776" t="n">
        <v>775</v>
      </c>
      <c r="B776" t="n">
        <v>2016</v>
      </c>
      <c r="C776" t="inlineStr">
        <is>
          <t>Scarlett Prsa</t>
        </is>
      </c>
      <c r="D776">
        <f>HYPERLINK("https://ota.tournamentsoftware.com/player-profile/CDBDFDF5-0DDE-4F1C-B33B-F163CF134B52", "Link")</f>
        <v/>
      </c>
      <c r="E776" s="3" t="n">
        <v>12.911</v>
      </c>
      <c r="F776" s="4" t="n">
        <v>6</v>
      </c>
      <c r="G776" t="inlineStr">
        <is>
          <t>Ontario Tennis Association</t>
        </is>
      </c>
      <c r="H776" t="inlineStr">
        <is>
          <t>Advantage Tennis International at Veneto</t>
        </is>
      </c>
      <c r="I776" t="n">
        <v>38.4</v>
      </c>
      <c r="J776" s="4" t="n">
        <v>140</v>
      </c>
      <c r="K776" t="inlineStr">
        <is>
          <t>53 / 87</t>
        </is>
      </c>
      <c r="L776" t="inlineStr">
        <is>
          <t>17 / 21</t>
        </is>
      </c>
      <c r="M776" s="5" t="n">
        <v>0.38</v>
      </c>
      <c r="N776" s="5" t="n">
        <v>0.45</v>
      </c>
    </row>
    <row r="777">
      <c r="A777" t="n">
        <v>776</v>
      </c>
      <c r="B777" t="n">
        <v>2012</v>
      </c>
      <c r="C777" t="inlineStr">
        <is>
          <t>Ai-Ni Amelia Cheng</t>
        </is>
      </c>
      <c r="D777">
        <f>HYPERLINK("https://ota.tournamentsoftware.com/player-profile/040F8D36-CAF3-4E90-85FB-8F17F2F92E8F", "Link")</f>
        <v/>
      </c>
      <c r="E777" s="3" t="n">
        <v>12.906</v>
      </c>
      <c r="F777" s="4" t="n">
        <v>1</v>
      </c>
      <c r="G777" t="inlineStr">
        <is>
          <t>Ontario Tennis Association</t>
        </is>
      </c>
      <c r="H777" t="inlineStr">
        <is>
          <t>ON West Central No Club</t>
        </is>
      </c>
      <c r="I777" t="n">
        <v>38.5</v>
      </c>
      <c r="J777" s="4" t="n">
        <v>7</v>
      </c>
      <c r="K777" t="inlineStr">
        <is>
          <t>4 / 3</t>
        </is>
      </c>
      <c r="L777" t="inlineStr">
        <is>
          <t>0 / 2</t>
        </is>
      </c>
      <c r="M777" s="5" t="n">
        <v>0.57</v>
      </c>
      <c r="N777" s="5" t="n">
        <v>0</v>
      </c>
    </row>
    <row r="778">
      <c r="A778" t="n">
        <v>777</v>
      </c>
      <c r="B778" t="n">
        <v>2016</v>
      </c>
      <c r="C778" t="inlineStr">
        <is>
          <t>Delia Stoian</t>
        </is>
      </c>
      <c r="D778">
        <f>HYPERLINK("https://ota.tournamentsoftware.com/player-profile/97BF71BC-EF3B-40A8-B2A8-4211E6570024", "Link")</f>
        <v/>
      </c>
      <c r="E778" s="3" t="n">
        <v>12.871</v>
      </c>
      <c r="F778" s="4" t="n">
        <v>2</v>
      </c>
      <c r="G778" t="inlineStr">
        <is>
          <t>Tennis Québec</t>
        </is>
      </c>
      <c r="H778" t="inlineStr">
        <is>
          <t>SANI Sport</t>
        </is>
      </c>
      <c r="I778" t="n">
        <v>37.1</v>
      </c>
      <c r="J778" s="4" t="n">
        <v>84</v>
      </c>
      <c r="K778" t="inlineStr">
        <is>
          <t>48 / 36</t>
        </is>
      </c>
      <c r="L778" t="inlineStr">
        <is>
          <t>20 / 15</t>
        </is>
      </c>
      <c r="M778" s="5" t="n">
        <v>0.57</v>
      </c>
      <c r="N778" s="5" t="n">
        <v>0.57</v>
      </c>
    </row>
    <row r="779">
      <c r="A779" t="n">
        <v>778</v>
      </c>
      <c r="B779" t="n">
        <v>2013</v>
      </c>
      <c r="C779" t="inlineStr">
        <is>
          <t>Addison Gilbertson</t>
        </is>
      </c>
      <c r="D779">
        <f>HYPERLINK("https://ota.tournamentsoftware.com/player-profile/C50AF072-EF16-4516-9D5D-42DF1D345F44", "Link")</f>
        <v/>
      </c>
      <c r="E779" s="3" t="n">
        <v>12.687</v>
      </c>
      <c r="F779" s="4" t="n">
        <v>5</v>
      </c>
      <c r="G779" t="inlineStr">
        <is>
          <t>Tennis Alberta</t>
        </is>
      </c>
      <c r="H779" t="inlineStr">
        <is>
          <t>IQ Tennis and Pickleball Centre</t>
        </is>
      </c>
      <c r="I779" t="n">
        <v>38.1</v>
      </c>
      <c r="J779" s="4" t="n">
        <v>48</v>
      </c>
      <c r="K779" t="inlineStr">
        <is>
          <t>18 / 30</t>
        </is>
      </c>
      <c r="L779" t="inlineStr">
        <is>
          <t>1 / 4</t>
        </is>
      </c>
      <c r="M779" s="5" t="n">
        <v>0.38</v>
      </c>
      <c r="N779" s="5" t="n">
        <v>0.2</v>
      </c>
    </row>
    <row r="780">
      <c r="A780" t="n">
        <v>779</v>
      </c>
      <c r="B780" t="n">
        <v>2015</v>
      </c>
      <c r="C780" t="inlineStr">
        <is>
          <t>Mirra Tverskaia</t>
        </is>
      </c>
      <c r="D780">
        <f>HYPERLINK("https://ota.tournamentsoftware.com/player-profile/A09D283B-5C23-4F54-A304-0C0125F7637B", "Link")</f>
        <v/>
      </c>
      <c r="E780" s="3" t="n">
        <v>12.632</v>
      </c>
      <c r="F780" s="4" t="n">
        <v>3</v>
      </c>
      <c r="G780" t="inlineStr">
        <is>
          <t>Tennis Prince Edward Island</t>
        </is>
      </c>
      <c r="H780" t="inlineStr">
        <is>
          <t>Royalty Racquet Centre</t>
        </is>
      </c>
      <c r="I780" t="inlineStr">
        <is>
          <t>unavailable</t>
        </is>
      </c>
      <c r="J780" s="4" t="n">
        <v>41</v>
      </c>
      <c r="K780" t="inlineStr">
        <is>
          <t>14 / 27</t>
        </is>
      </c>
      <c r="L780" t="inlineStr">
        <is>
          <t>0 / 3</t>
        </is>
      </c>
      <c r="M780" s="5" t="n">
        <v>0.34</v>
      </c>
      <c r="N780" s="5" t="n">
        <v>0</v>
      </c>
    </row>
    <row r="781">
      <c r="A781" t="n">
        <v>780</v>
      </c>
      <c r="B781" t="n">
        <v>2015</v>
      </c>
      <c r="C781" t="inlineStr">
        <is>
          <t>Charlotte Huiyan Li</t>
        </is>
      </c>
      <c r="D781">
        <f>HYPERLINK("https://ota.tournamentsoftware.com/player-profile/150EC5E4-980E-4649-9619-E10B11D9BA5E", "Link")</f>
        <v/>
      </c>
      <c r="E781" s="3" t="n">
        <v>12.528</v>
      </c>
      <c r="F781" s="4" t="n">
        <v>3</v>
      </c>
      <c r="G781" t="inlineStr">
        <is>
          <t>British Columbia</t>
        </is>
      </c>
      <c r="H781" t="inlineStr">
        <is>
          <t>Tennis for Life</t>
        </is>
      </c>
      <c r="I781" t="n">
        <v>36.2</v>
      </c>
      <c r="J781" s="4" t="n">
        <v>39</v>
      </c>
      <c r="K781" t="inlineStr">
        <is>
          <t>15 / 24</t>
        </is>
      </c>
      <c r="L781" t="inlineStr">
        <is>
          <t>2 / 2</t>
        </is>
      </c>
      <c r="M781" s="5" t="n">
        <v>0.38</v>
      </c>
      <c r="N781" s="5" t="n">
        <v>0.5</v>
      </c>
    </row>
    <row r="782">
      <c r="A782" t="n">
        <v>781</v>
      </c>
      <c r="B782" t="n">
        <v>2013</v>
      </c>
      <c r="C782" t="inlineStr">
        <is>
          <t>Felicia Mingfei Li</t>
        </is>
      </c>
      <c r="D782">
        <f>HYPERLINK("https://ota.tournamentsoftware.com/player-profile/32F60D7D-3E57-4800-9C5C-282147021863", "Link")</f>
        <v/>
      </c>
      <c r="E782" s="3" t="n">
        <v>12.378</v>
      </c>
      <c r="F782" s="4" t="n">
        <v>2</v>
      </c>
      <c r="G782" t="inlineStr">
        <is>
          <t>Ontario Tennis Association</t>
        </is>
      </c>
      <c r="H782" t="inlineStr">
        <is>
          <t>Marilyn Redvers Tennis Club</t>
        </is>
      </c>
      <c r="I782" t="n">
        <v>39.7</v>
      </c>
      <c r="J782" s="4" t="n">
        <v>31</v>
      </c>
      <c r="K782" t="inlineStr">
        <is>
          <t>9 / 22</t>
        </is>
      </c>
      <c r="L782" t="inlineStr">
        <is>
          <t>0 / 2</t>
        </is>
      </c>
      <c r="M782" s="5" t="n">
        <v>0.29</v>
      </c>
      <c r="N782" s="5" t="n">
        <v>0</v>
      </c>
    </row>
    <row r="783">
      <c r="A783" t="n">
        <v>782</v>
      </c>
      <c r="B783" t="n">
        <v>2012</v>
      </c>
      <c r="C783" t="inlineStr">
        <is>
          <t>Anzhuo Yi</t>
        </is>
      </c>
      <c r="D783">
        <f>HYPERLINK("https://ota.tournamentsoftware.com/player-profile/60444867-D5FF-4226-8841-4058D520099B", "Link")</f>
        <v/>
      </c>
      <c r="E783" s="3" t="n">
        <v>12.336</v>
      </c>
      <c r="F783" s="4" t="n">
        <v>1</v>
      </c>
      <c r="G783" t="inlineStr">
        <is>
          <t>Ontario Tennis Association</t>
        </is>
      </c>
      <c r="H783" t="inlineStr">
        <is>
          <t>Premier Racquet Clubs – Mississauga</t>
        </is>
      </c>
      <c r="I783" t="n">
        <v>37.7</v>
      </c>
      <c r="J783" s="4" t="n">
        <v>8</v>
      </c>
      <c r="K783" t="inlineStr">
        <is>
          <t>2 / 6</t>
        </is>
      </c>
      <c r="L783" t="inlineStr">
        <is>
          <t>2 / 6</t>
        </is>
      </c>
      <c r="M783" s="5" t="n">
        <v>0.25</v>
      </c>
      <c r="N783" s="5" t="n">
        <v>0.25</v>
      </c>
    </row>
    <row r="784">
      <c r="A784" t="n">
        <v>782</v>
      </c>
      <c r="B784" t="n">
        <v>2012</v>
      </c>
      <c r="C784" t="inlineStr">
        <is>
          <t>Erika Vanessa Petko</t>
        </is>
      </c>
      <c r="D784">
        <f>HYPERLINK("https://ota.tournamentsoftware.com/player-profile/F03891C3-70EF-4EDD-962E-3C87823000BE", "Link")</f>
        <v/>
      </c>
      <c r="E784" s="3" t="n">
        <v>12.336</v>
      </c>
      <c r="F784" s="4" t="n">
        <v>1</v>
      </c>
      <c r="G784" t="inlineStr">
        <is>
          <t>Ontario Tennis Association</t>
        </is>
      </c>
      <c r="H784" t="inlineStr">
        <is>
          <t>Applewood Tennis Club</t>
        </is>
      </c>
      <c r="I784" t="n">
        <v>37</v>
      </c>
      <c r="J784" s="4" t="n">
        <v>11</v>
      </c>
      <c r="K784" t="inlineStr">
        <is>
          <t>3 / 8</t>
        </is>
      </c>
      <c r="L784" t="inlineStr">
        <is>
          <t>0 / 3</t>
        </is>
      </c>
      <c r="M784" s="5" t="n">
        <v>0.27</v>
      </c>
      <c r="N784" s="5" t="n">
        <v>0</v>
      </c>
    </row>
    <row r="785">
      <c r="A785" t="n">
        <v>784</v>
      </c>
      <c r="B785" t="n">
        <v>2016</v>
      </c>
      <c r="C785" t="inlineStr">
        <is>
          <t>Eiman Javaid Khan</t>
        </is>
      </c>
      <c r="D785">
        <f>HYPERLINK("https://ota.tournamentsoftware.com/player-profile/417EBA88-24AB-42AB-9421-1764C4FCA777", "Link")</f>
        <v/>
      </c>
      <c r="E785" s="3" t="n">
        <v>12</v>
      </c>
      <c r="F785" s="4" t="n">
        <v>2</v>
      </c>
      <c r="G785" t="inlineStr">
        <is>
          <t>Tennis Newfoundland &amp; Labrador</t>
        </is>
      </c>
      <c r="H785" t="inlineStr">
        <is>
          <t>Greenbelt Tennis Club</t>
        </is>
      </c>
      <c r="I785" t="inlineStr">
        <is>
          <t>unavailable</t>
        </is>
      </c>
      <c r="J785" s="4" t="n">
        <v>16</v>
      </c>
      <c r="K785" t="inlineStr">
        <is>
          <t>5 / 11</t>
        </is>
      </c>
      <c r="L785" t="inlineStr">
        <is>
          <t>4 / 7</t>
        </is>
      </c>
      <c r="M785" s="5" t="n">
        <v>0.31</v>
      </c>
      <c r="N785" s="5" t="n">
        <v>0.36</v>
      </c>
    </row>
    <row r="786">
      <c r="A786" t="n">
        <v>785</v>
      </c>
      <c r="B786" t="n">
        <v>2014</v>
      </c>
      <c r="C786" t="inlineStr">
        <is>
          <t>Kayla Caden</t>
        </is>
      </c>
      <c r="D786">
        <f>HYPERLINK("https://ota.tournamentsoftware.com/player-profile/EB31E71A-90E6-4B10-9538-33BC7B66EA6E", "Link")</f>
        <v/>
      </c>
      <c r="E786" s="3" t="n">
        <v>11.809</v>
      </c>
      <c r="F786" s="4" t="n">
        <v>3</v>
      </c>
      <c r="G786" t="inlineStr">
        <is>
          <t>Tennis Québec</t>
        </is>
      </c>
      <c r="H786" t="inlineStr">
        <is>
          <t>Club de tennis St-Lambert</t>
        </is>
      </c>
      <c r="I786" t="n">
        <v>38.1</v>
      </c>
      <c r="J786" s="4" t="n">
        <v>11</v>
      </c>
      <c r="K786" t="inlineStr">
        <is>
          <t>4 / 7</t>
        </is>
      </c>
      <c r="L786" t="inlineStr">
        <is>
          <t>2 / 3</t>
        </is>
      </c>
      <c r="M786" s="5" t="n">
        <v>0.36</v>
      </c>
      <c r="N786" s="5" t="n">
        <v>0.4</v>
      </c>
    </row>
    <row r="787">
      <c r="A787" t="n">
        <v>786</v>
      </c>
      <c r="B787" t="n">
        <v>2012</v>
      </c>
      <c r="C787" t="inlineStr">
        <is>
          <t>Angel Wen</t>
        </is>
      </c>
      <c r="D787">
        <f>HYPERLINK("https://ota.tournamentsoftware.com/player-profile/2BF37F0F-B2BA-4533-859D-5AFB82154AAC", "Link")</f>
        <v/>
      </c>
      <c r="E787" s="3" t="n">
        <v>11.664</v>
      </c>
      <c r="F787" s="4" t="n">
        <v>1</v>
      </c>
      <c r="G787" t="inlineStr">
        <is>
          <t>Tennis Nova Scotia</t>
        </is>
      </c>
      <c r="H787" t="inlineStr">
        <is>
          <t>Atlantic Tennis Centre</t>
        </is>
      </c>
      <c r="I787" t="n">
        <v>37.2</v>
      </c>
      <c r="J787" s="4" t="n">
        <v>4</v>
      </c>
      <c r="K787" t="inlineStr">
        <is>
          <t>0 / 4</t>
        </is>
      </c>
      <c r="L787" t="inlineStr">
        <is>
          <t>0 / 2</t>
        </is>
      </c>
      <c r="M787" s="5" t="n">
        <v>0</v>
      </c>
      <c r="N787" s="5" t="n">
        <v>0</v>
      </c>
    </row>
    <row r="788">
      <c r="A788" t="n">
        <v>787</v>
      </c>
      <c r="B788" t="n">
        <v>2013</v>
      </c>
      <c r="C788" t="inlineStr">
        <is>
          <t>Robin Lee</t>
        </is>
      </c>
      <c r="D788">
        <f>HYPERLINK("https://ota.tournamentsoftware.com/player-profile/0DB12770-F2FF-469C-87ED-5B5A242C6A08", "Link")</f>
        <v/>
      </c>
      <c r="E788" s="3" t="n">
        <v>11.657</v>
      </c>
      <c r="F788" s="4" t="n">
        <v>2</v>
      </c>
      <c r="G788" t="inlineStr">
        <is>
          <t>Ontario Tennis Association</t>
        </is>
      </c>
      <c r="H788" t="inlineStr">
        <is>
          <t>No Club</t>
        </is>
      </c>
      <c r="I788" t="n">
        <v>39.3</v>
      </c>
      <c r="J788" s="4" t="n">
        <v>58</v>
      </c>
      <c r="K788" t="inlineStr">
        <is>
          <t>11 / 47</t>
        </is>
      </c>
      <c r="L788" t="inlineStr">
        <is>
          <t>0 / 0</t>
        </is>
      </c>
      <c r="M788" s="5" t="n">
        <v>0.19</v>
      </c>
      <c r="N788" s="5" t="n">
        <v>0</v>
      </c>
    </row>
    <row r="789">
      <c r="A789" t="n">
        <v>788</v>
      </c>
      <c r="B789" t="n">
        <v>2013</v>
      </c>
      <c r="C789" t="inlineStr">
        <is>
          <t>Giselle Christine Lambert</t>
        </is>
      </c>
      <c r="D789">
        <f>HYPERLINK("https://ota.tournamentsoftware.com/player-profile/2E2CA1C3-86CC-418F-BF1B-9B9E4D99F292", "Link")</f>
        <v/>
      </c>
      <c r="E789" s="3" t="n">
        <v>11.48</v>
      </c>
      <c r="F789" s="4" t="n">
        <v>2</v>
      </c>
      <c r="G789" t="inlineStr">
        <is>
          <t>British Columbia</t>
        </is>
      </c>
      <c r="H789" t="inlineStr">
        <is>
          <t>Hollyburn Country Club</t>
        </is>
      </c>
      <c r="I789" t="n">
        <v>36.9</v>
      </c>
      <c r="J789" s="4" t="n">
        <v>44</v>
      </c>
      <c r="K789" t="inlineStr">
        <is>
          <t>10 / 34</t>
        </is>
      </c>
      <c r="L789" t="inlineStr">
        <is>
          <t>0 / 0</t>
        </is>
      </c>
      <c r="M789" s="5" t="n">
        <v>0.23</v>
      </c>
      <c r="N789" s="5" t="n">
        <v>0</v>
      </c>
    </row>
    <row r="790">
      <c r="A790" t="n">
        <v>789</v>
      </c>
      <c r="B790" t="n">
        <v>2016</v>
      </c>
      <c r="C790" t="inlineStr">
        <is>
          <t>Harper Whitehead</t>
        </is>
      </c>
      <c r="D790">
        <f>HYPERLINK("https://ota.tournamentsoftware.com/player-profile/11F4D113-D7D4-48BC-9EC5-3040B116C96D", "Link")</f>
        <v/>
      </c>
      <c r="E790" s="3" t="n">
        <v>11.448</v>
      </c>
      <c r="F790" s="4" t="n">
        <v>9</v>
      </c>
      <c r="G790" t="inlineStr">
        <is>
          <t>Tennis Nova Scotia</t>
        </is>
      </c>
      <c r="H790" t="inlineStr">
        <is>
          <t>Atlantic Tennis Centre</t>
        </is>
      </c>
      <c r="I790" t="n">
        <v>38</v>
      </c>
      <c r="J790" s="4" t="n">
        <v>84</v>
      </c>
      <c r="K790" t="inlineStr">
        <is>
          <t>37 / 47</t>
        </is>
      </c>
      <c r="L790" t="inlineStr">
        <is>
          <t>12 / 17</t>
        </is>
      </c>
      <c r="M790" s="5" t="n">
        <v>0.44</v>
      </c>
      <c r="N790" s="5" t="n">
        <v>0.41</v>
      </c>
    </row>
    <row r="791">
      <c r="A791" t="n">
        <v>790</v>
      </c>
      <c r="B791" t="n">
        <v>2015</v>
      </c>
      <c r="C791" t="inlineStr">
        <is>
          <t>Cléony Le</t>
        </is>
      </c>
      <c r="D791">
        <f>HYPERLINK("https://ota.tournamentsoftware.com/player-profile/D1C4971B-CB54-436E-9303-C69424DC84AC", "Link")</f>
        <v/>
      </c>
      <c r="E791" s="3" t="n">
        <v>11.429</v>
      </c>
      <c r="F791" s="4" t="n">
        <v>1</v>
      </c>
      <c r="G791" t="inlineStr">
        <is>
          <t>Tennis Québec</t>
        </is>
      </c>
      <c r="H791" t="inlineStr">
        <is>
          <t>Centre récréatif de Repentigny / Académie Tennis Momentum</t>
        </is>
      </c>
      <c r="I791" t="n">
        <v>37</v>
      </c>
      <c r="J791" s="4" t="n">
        <v>32</v>
      </c>
      <c r="K791" t="inlineStr">
        <is>
          <t>15 / 17</t>
        </is>
      </c>
      <c r="L791" t="inlineStr">
        <is>
          <t>0 / 1</t>
        </is>
      </c>
      <c r="M791" s="5" t="n">
        <v>0.47</v>
      </c>
      <c r="N791" s="5" t="n">
        <v>0</v>
      </c>
    </row>
    <row r="792">
      <c r="A792" t="n">
        <v>791</v>
      </c>
      <c r="B792" t="n">
        <v>2012</v>
      </c>
      <c r="C792" t="inlineStr">
        <is>
          <t>Charley Burgess</t>
        </is>
      </c>
      <c r="D792">
        <f>HYPERLINK("https://ota.tournamentsoftware.com/player-profile/F7818ED5-A370-4D5D-9CAE-03309F03D5FD", "Link")</f>
        <v/>
      </c>
      <c r="E792" s="3" t="n">
        <v>11.301</v>
      </c>
      <c r="F792" s="4" t="n">
        <v>3</v>
      </c>
      <c r="G792" t="inlineStr">
        <is>
          <t>Tennis Alberta</t>
        </is>
      </c>
      <c r="H792" t="inlineStr">
        <is>
          <t>The Glencoe Club</t>
        </is>
      </c>
      <c r="I792" t="inlineStr">
        <is>
          <t>unavailable</t>
        </is>
      </c>
      <c r="J792" s="4" t="n">
        <v>52</v>
      </c>
      <c r="K792" t="inlineStr">
        <is>
          <t>23 / 29</t>
        </is>
      </c>
      <c r="L792" t="inlineStr">
        <is>
          <t>0 / 0</t>
        </is>
      </c>
      <c r="M792" s="5" t="n">
        <v>0.44</v>
      </c>
      <c r="N792" s="5" t="n">
        <v>0</v>
      </c>
    </row>
    <row r="793">
      <c r="A793" t="n">
        <v>792</v>
      </c>
      <c r="B793" t="n">
        <v>2016</v>
      </c>
      <c r="C793" t="inlineStr">
        <is>
          <t>Emma Hao</t>
        </is>
      </c>
      <c r="D793">
        <f>HYPERLINK("https://ota.tournamentsoftware.com/player-profile/144D222A-CD06-4355-817D-B27D5DB62B85", "Link")</f>
        <v/>
      </c>
      <c r="E793" s="3" t="n">
        <v>11.141</v>
      </c>
      <c r="F793" s="4" t="n">
        <v>5</v>
      </c>
      <c r="G793" t="inlineStr">
        <is>
          <t>Ontario Tennis Association</t>
        </is>
      </c>
      <c r="H793" t="inlineStr">
        <is>
          <t>Toronto Tennis City</t>
        </is>
      </c>
      <c r="I793" t="n">
        <v>38.1</v>
      </c>
      <c r="J793" s="4" t="n">
        <v>72</v>
      </c>
      <c r="K793" t="inlineStr">
        <is>
          <t>38 / 34</t>
        </is>
      </c>
      <c r="L793" t="inlineStr">
        <is>
          <t>18 / 10</t>
        </is>
      </c>
      <c r="M793" s="5" t="n">
        <v>0.53</v>
      </c>
      <c r="N793" s="5" t="n">
        <v>0.64</v>
      </c>
    </row>
    <row r="794">
      <c r="A794" t="n">
        <v>793</v>
      </c>
      <c r="B794" t="n">
        <v>2015</v>
      </c>
      <c r="C794" t="inlineStr">
        <is>
          <t>Marissa Grisedale</t>
        </is>
      </c>
      <c r="D794">
        <f>HYPERLINK("https://ota.tournamentsoftware.com/player-profile/FACB5C24-4DB7-463B-A373-69C70E1AC8E4", "Link")</f>
        <v/>
      </c>
      <c r="E794" s="3" t="n">
        <v>11.043</v>
      </c>
      <c r="F794" s="4" t="n">
        <v>3</v>
      </c>
      <c r="G794" t="inlineStr">
        <is>
          <t>British Columbia</t>
        </is>
      </c>
      <c r="H794" t="inlineStr">
        <is>
          <t>Commons Racquet Club at Predator Ridge</t>
        </is>
      </c>
      <c r="I794" t="n">
        <v>37.2</v>
      </c>
      <c r="J794" s="4" t="n">
        <v>40</v>
      </c>
      <c r="K794" t="inlineStr">
        <is>
          <t>20 / 20</t>
        </is>
      </c>
      <c r="L794" t="inlineStr">
        <is>
          <t>3 / 5</t>
        </is>
      </c>
      <c r="M794" s="5" t="n">
        <v>0.5</v>
      </c>
      <c r="N794" s="5" t="n">
        <v>0.38</v>
      </c>
    </row>
    <row r="795">
      <c r="A795" t="n">
        <v>794</v>
      </c>
      <c r="B795" t="n">
        <v>2012</v>
      </c>
      <c r="C795" t="inlineStr">
        <is>
          <t>Maya Chow</t>
        </is>
      </c>
      <c r="D795">
        <f>HYPERLINK("https://ota.tournamentsoftware.com/player-profile/FE33DD51-BEAF-4E17-BDBB-2558B4A2AFE6", "Link")</f>
        <v/>
      </c>
      <c r="E795" s="3" t="n">
        <v>11.011</v>
      </c>
      <c r="F795" s="4" t="n">
        <v>1</v>
      </c>
      <c r="G795" t="inlineStr">
        <is>
          <t>Ontario Tennis Association</t>
        </is>
      </c>
      <c r="H795" t="inlineStr">
        <is>
          <t>ACE Tennis - Toronto Tennis City</t>
        </is>
      </c>
      <c r="I795" t="n">
        <v>34.6</v>
      </c>
      <c r="J795" s="4" t="n">
        <v>16</v>
      </c>
      <c r="K795" t="inlineStr">
        <is>
          <t>10 / 6</t>
        </is>
      </c>
      <c r="L795" t="inlineStr">
        <is>
          <t>10 / 6</t>
        </is>
      </c>
      <c r="M795" s="5" t="n">
        <v>0.62</v>
      </c>
      <c r="N795" s="5" t="n">
        <v>0.62</v>
      </c>
    </row>
    <row r="796">
      <c r="A796" t="n">
        <v>795</v>
      </c>
      <c r="B796" t="n">
        <v>2015</v>
      </c>
      <c r="C796" t="inlineStr">
        <is>
          <t>Fabiola Antonella Sanchez Ferreyra</t>
        </is>
      </c>
      <c r="D796">
        <f>HYPERLINK("https://ota.tournamentsoftware.com/player-profile/B37A6388-D965-4303-A37E-1111875A98DF", "Link")</f>
        <v/>
      </c>
      <c r="E796" s="3" t="n">
        <v>10.873</v>
      </c>
      <c r="F796" s="4" t="n">
        <v>1</v>
      </c>
      <c r="G796" t="inlineStr">
        <is>
          <t>Tennis Québec</t>
        </is>
      </c>
      <c r="H796" t="inlineStr">
        <is>
          <t>SANI Sport</t>
        </is>
      </c>
      <c r="I796" t="n">
        <v>39.4</v>
      </c>
      <c r="J796" s="4" t="n">
        <v>12</v>
      </c>
      <c r="K796" t="inlineStr">
        <is>
          <t>7 / 5</t>
        </is>
      </c>
      <c r="L796" t="inlineStr">
        <is>
          <t>0 / 1</t>
        </is>
      </c>
      <c r="M796" s="5" t="n">
        <v>0.58</v>
      </c>
      <c r="N796" s="5" t="n">
        <v>0</v>
      </c>
    </row>
    <row r="797">
      <c r="A797" t="n">
        <v>796</v>
      </c>
      <c r="B797" t="n">
        <v>2012</v>
      </c>
      <c r="C797" t="inlineStr">
        <is>
          <t>Jiayi Emma Wang</t>
        </is>
      </c>
      <c r="D797">
        <f>HYPERLINK("https://ota.tournamentsoftware.com/player-profile/C6ED9D5C-83AD-4AC9-9DCE-1D21A2304573", "Link")</f>
        <v/>
      </c>
      <c r="E797" s="3" t="n">
        <v>10.8</v>
      </c>
      <c r="F797" s="4" t="n">
        <v>1</v>
      </c>
      <c r="G797" t="inlineStr">
        <is>
          <t>British Columbia</t>
        </is>
      </c>
      <c r="H797" t="inlineStr">
        <is>
          <t>No Club</t>
        </is>
      </c>
      <c r="I797" t="inlineStr">
        <is>
          <t>unavailable</t>
        </is>
      </c>
      <c r="J797" s="4" t="n">
        <v>12</v>
      </c>
      <c r="K797" t="inlineStr">
        <is>
          <t>2 / 10</t>
        </is>
      </c>
      <c r="L797" t="inlineStr">
        <is>
          <t>1 / 1</t>
        </is>
      </c>
      <c r="M797" s="5" t="n">
        <v>0.17</v>
      </c>
      <c r="N797" s="5" t="n">
        <v>0.5</v>
      </c>
    </row>
    <row r="798">
      <c r="A798" t="n">
        <v>796</v>
      </c>
      <c r="B798" t="n">
        <v>2016</v>
      </c>
      <c r="C798" t="inlineStr">
        <is>
          <t>Archini Bera</t>
        </is>
      </c>
      <c r="D798">
        <f>HYPERLINK("https://ota.tournamentsoftware.com/player-profile/6FA68B83-6E0E-4A78-81A0-6004576A8E6E", "Link")</f>
        <v/>
      </c>
      <c r="E798" s="3" t="n">
        <v>10.8</v>
      </c>
      <c r="F798" s="4" t="n">
        <v>3</v>
      </c>
      <c r="G798" t="inlineStr">
        <is>
          <t>Ontario Tennis Association</t>
        </is>
      </c>
      <c r="H798" t="inlineStr">
        <is>
          <t>Rideau Sports Centre</t>
        </is>
      </c>
      <c r="I798" t="inlineStr">
        <is>
          <t>unavailable</t>
        </is>
      </c>
      <c r="J798" s="4" t="n">
        <v>50</v>
      </c>
      <c r="K798" t="inlineStr">
        <is>
          <t>30 / 20</t>
        </is>
      </c>
      <c r="L798" t="inlineStr">
        <is>
          <t>27 / 11</t>
        </is>
      </c>
      <c r="M798" s="5" t="n">
        <v>0.6</v>
      </c>
      <c r="N798" s="5" t="n">
        <v>0.71</v>
      </c>
    </row>
    <row r="799">
      <c r="A799" t="n">
        <v>796</v>
      </c>
      <c r="B799" t="n">
        <v>2016</v>
      </c>
      <c r="C799" t="inlineStr">
        <is>
          <t>Christina Chen</t>
        </is>
      </c>
      <c r="D799">
        <f>HYPERLINK("https://ota.tournamentsoftware.com/player-profile/77F19A45-EF05-4CCE-896B-44A6BEF594C7", "Link")</f>
        <v/>
      </c>
      <c r="E799" s="3" t="n">
        <v>10.8</v>
      </c>
      <c r="F799" s="4" t="n">
        <v>3</v>
      </c>
      <c r="G799" t="inlineStr">
        <is>
          <t>Ontario Tennis Association</t>
        </is>
      </c>
      <c r="H799" t="inlineStr">
        <is>
          <t>No Club</t>
        </is>
      </c>
      <c r="I799" t="n">
        <v>39.9</v>
      </c>
      <c r="J799" s="4" t="n">
        <v>74</v>
      </c>
      <c r="K799" t="inlineStr">
        <is>
          <t>7 / 67</t>
        </is>
      </c>
      <c r="L799" t="inlineStr">
        <is>
          <t>3 / 14</t>
        </is>
      </c>
      <c r="M799" s="5" t="n">
        <v>0.09</v>
      </c>
      <c r="N799" s="5" t="n">
        <v>0.18</v>
      </c>
    </row>
    <row r="800">
      <c r="A800" t="n">
        <v>799</v>
      </c>
      <c r="B800" t="n">
        <v>2012</v>
      </c>
      <c r="C800" t="inlineStr">
        <is>
          <t>Sofia Kalchenko</t>
        </is>
      </c>
      <c r="D800">
        <f>HYPERLINK("https://ota.tournamentsoftware.com/player-profile/95371403-EC89-475C-B20A-60F935026FFA", "Link")</f>
        <v/>
      </c>
      <c r="E800" s="3" t="n">
        <v>10.627</v>
      </c>
      <c r="F800" s="4" t="n">
        <v>4</v>
      </c>
      <c r="G800" t="inlineStr">
        <is>
          <t>Tennis Alberta</t>
        </is>
      </c>
      <c r="H800" t="inlineStr">
        <is>
          <t>Aforza</t>
        </is>
      </c>
      <c r="I800" t="inlineStr">
        <is>
          <t>unavailable</t>
        </is>
      </c>
      <c r="J800" s="4" t="n">
        <v>41</v>
      </c>
      <c r="K800" t="inlineStr">
        <is>
          <t>20 / 21</t>
        </is>
      </c>
      <c r="L800" t="inlineStr">
        <is>
          <t>3 / 1</t>
        </is>
      </c>
      <c r="M800" s="5" t="n">
        <v>0.49</v>
      </c>
      <c r="N800" s="5" t="n">
        <v>0.75</v>
      </c>
    </row>
    <row r="801">
      <c r="A801" t="n">
        <v>800</v>
      </c>
      <c r="B801" t="n">
        <v>2016</v>
      </c>
      <c r="C801" t="inlineStr">
        <is>
          <t>Elena Vukovic</t>
        </is>
      </c>
      <c r="D801">
        <f>HYPERLINK("https://ota.tournamentsoftware.com/player-profile/80B75DE2-D271-4234-BD86-FA7911D1C524", "Link")</f>
        <v/>
      </c>
      <c r="E801" s="3" t="n">
        <v>10.557</v>
      </c>
      <c r="F801" s="4" t="n">
        <v>2</v>
      </c>
      <c r="G801" t="inlineStr">
        <is>
          <t>Ontario Tennis Association</t>
        </is>
      </c>
      <c r="H801" t="inlineStr">
        <is>
          <t>Mayfair West Fitness &amp; Racquet Club</t>
        </is>
      </c>
      <c r="I801" t="n">
        <v>38.9</v>
      </c>
      <c r="J801" s="4" t="n">
        <v>61</v>
      </c>
      <c r="K801" t="inlineStr">
        <is>
          <t>21 / 40</t>
        </is>
      </c>
      <c r="L801" t="inlineStr">
        <is>
          <t>13 / 22</t>
        </is>
      </c>
      <c r="M801" s="5" t="n">
        <v>0.34</v>
      </c>
      <c r="N801" s="5" t="n">
        <v>0.37</v>
      </c>
    </row>
    <row r="802">
      <c r="A802" t="n">
        <v>801</v>
      </c>
      <c r="B802" t="n">
        <v>2014</v>
      </c>
      <c r="C802" t="inlineStr">
        <is>
          <t>Madelyn Palsat</t>
        </is>
      </c>
      <c r="D802">
        <f>HYPERLINK("https://ota.tournamentsoftware.com/player-profile/B7A28D92-CC5D-460E-A752-75C63DAB2E9F", "Link")</f>
        <v/>
      </c>
      <c r="E802" s="3" t="n">
        <v>10.44</v>
      </c>
      <c r="F802" s="4" t="n">
        <v>8</v>
      </c>
      <c r="G802" t="inlineStr">
        <is>
          <t>Tennis Alberta</t>
        </is>
      </c>
      <c r="H802" t="inlineStr">
        <is>
          <t>Royal Glenora Club</t>
        </is>
      </c>
      <c r="I802" t="n">
        <v>37</v>
      </c>
      <c r="J802" s="4" t="n">
        <v>21</v>
      </c>
      <c r="K802" t="inlineStr">
        <is>
          <t>10 / 11</t>
        </is>
      </c>
      <c r="L802" t="inlineStr">
        <is>
          <t>10 / 11</t>
        </is>
      </c>
      <c r="M802" s="5" t="n">
        <v>0.48</v>
      </c>
      <c r="N802" s="5" t="n">
        <v>0.48</v>
      </c>
    </row>
    <row r="803">
      <c r="A803" t="n">
        <v>802</v>
      </c>
      <c r="B803" t="n">
        <v>2016</v>
      </c>
      <c r="C803" t="inlineStr">
        <is>
          <t>Alice Trépanier</t>
        </is>
      </c>
      <c r="D803">
        <f>HYPERLINK("https://ota.tournamentsoftware.com/player-profile/005FD3B5-057F-4BFE-B6D1-1D3CC87FBA27", "Link")</f>
        <v/>
      </c>
      <c r="E803" s="3" t="n">
        <v>10.368</v>
      </c>
      <c r="F803" s="4" t="n">
        <v>1</v>
      </c>
      <c r="G803" t="inlineStr">
        <is>
          <t>Tennis Québec</t>
        </is>
      </c>
      <c r="H803" t="inlineStr">
        <is>
          <t>Centre Récréatif Rock Forest</t>
        </is>
      </c>
      <c r="I803" t="inlineStr">
        <is>
          <t>unavailable</t>
        </is>
      </c>
      <c r="J803" s="4" t="n">
        <v>33</v>
      </c>
      <c r="K803" t="inlineStr">
        <is>
          <t>14 / 19</t>
        </is>
      </c>
      <c r="L803" t="inlineStr">
        <is>
          <t>10 / 11</t>
        </is>
      </c>
      <c r="M803" s="5" t="n">
        <v>0.42</v>
      </c>
      <c r="N803" s="5" t="n">
        <v>0.48</v>
      </c>
    </row>
    <row r="804">
      <c r="A804" t="n">
        <v>802</v>
      </c>
      <c r="B804" t="n">
        <v>2015</v>
      </c>
      <c r="C804" t="inlineStr">
        <is>
          <t>Emmanuelle Farah Kwin Onana</t>
        </is>
      </c>
      <c r="D804">
        <f>HYPERLINK("https://ota.tournamentsoftware.com/player-profile/7931DDBA-D7CA-40E8-97CF-DF1CA8113B24", "Link")</f>
        <v/>
      </c>
      <c r="E804" s="3" t="n">
        <v>10.368</v>
      </c>
      <c r="F804" s="4" t="n">
        <v>1</v>
      </c>
      <c r="G804" t="inlineStr">
        <is>
          <t>Tennis Québec</t>
        </is>
      </c>
      <c r="H804" t="inlineStr">
        <is>
          <t>Tennis Outaouais Performance (TOP)</t>
        </is>
      </c>
      <c r="I804" t="inlineStr">
        <is>
          <t>unavailable</t>
        </is>
      </c>
      <c r="J804" s="4" t="n">
        <v>13</v>
      </c>
      <c r="K804" t="inlineStr">
        <is>
          <t>6 / 7</t>
        </is>
      </c>
      <c r="L804" t="inlineStr">
        <is>
          <t>0 / 1</t>
        </is>
      </c>
      <c r="M804" s="5" t="n">
        <v>0.46</v>
      </c>
      <c r="N804" s="5" t="n">
        <v>0</v>
      </c>
    </row>
    <row r="805">
      <c r="A805" t="n">
        <v>804</v>
      </c>
      <c r="B805" t="n">
        <v>2014</v>
      </c>
      <c r="C805" t="inlineStr">
        <is>
          <t>Flore Laferrière</t>
        </is>
      </c>
      <c r="D805">
        <f>HYPERLINK("https://ota.tournamentsoftware.com/player-profile/14AB607F-E600-4113-85A8-3FA78DC9A248", "Link")</f>
        <v/>
      </c>
      <c r="E805" s="3" t="n">
        <v>10.149</v>
      </c>
      <c r="F805" s="4" t="n">
        <v>3</v>
      </c>
      <c r="G805" t="inlineStr">
        <is>
          <t>Tennis Québec</t>
        </is>
      </c>
      <c r="H805" t="inlineStr">
        <is>
          <t>Tennis 3R- l’Academie l’échange</t>
        </is>
      </c>
      <c r="I805" t="n">
        <v>39.6</v>
      </c>
      <c r="J805" s="4" t="n">
        <v>8</v>
      </c>
      <c r="K805" t="inlineStr">
        <is>
          <t>1 / 7</t>
        </is>
      </c>
      <c r="L805" t="inlineStr">
        <is>
          <t>0 / 3</t>
        </is>
      </c>
      <c r="M805" s="5" t="n">
        <v>0.12</v>
      </c>
      <c r="N805" s="5" t="n">
        <v>0</v>
      </c>
    </row>
    <row r="806">
      <c r="A806" t="n">
        <v>805</v>
      </c>
      <c r="B806" t="n">
        <v>2015</v>
      </c>
      <c r="C806" t="inlineStr">
        <is>
          <t>Autumn VandeCoevering</t>
        </is>
      </c>
      <c r="D806">
        <f>HYPERLINK("https://ota.tournamentsoftware.com/player-profile/1CD9DDAD-A036-4365-A97E-F88D56D4B94B", "Link")</f>
        <v/>
      </c>
      <c r="E806" s="3" t="n">
        <v>10.146</v>
      </c>
      <c r="F806" s="4" t="n">
        <v>2</v>
      </c>
      <c r="G806" t="inlineStr">
        <is>
          <t>Ontario Tennis Association</t>
        </is>
      </c>
      <c r="H806" t="inlineStr">
        <is>
          <t>Greenhills Golf Club</t>
        </is>
      </c>
      <c r="I806" t="inlineStr">
        <is>
          <t>unavailable</t>
        </is>
      </c>
      <c r="J806" s="4" t="n">
        <v>6</v>
      </c>
      <c r="K806" t="inlineStr">
        <is>
          <t>2 / 4</t>
        </is>
      </c>
      <c r="L806" t="inlineStr">
        <is>
          <t>2 / 4</t>
        </is>
      </c>
      <c r="M806" s="5" t="n">
        <v>0.33</v>
      </c>
      <c r="N806" s="5" t="n">
        <v>0.33</v>
      </c>
    </row>
    <row r="807">
      <c r="A807" t="n">
        <v>806</v>
      </c>
      <c r="B807" t="n">
        <v>2015</v>
      </c>
      <c r="C807" t="inlineStr">
        <is>
          <t>Jaelynn Lumandas</t>
        </is>
      </c>
      <c r="D807">
        <f>HYPERLINK("https://ota.tournamentsoftware.com/player-profile/586CE1E5-E974-4A42-B919-DE1FC94F6144", "Link")</f>
        <v/>
      </c>
      <c r="E807" s="3" t="n">
        <v>10.137</v>
      </c>
      <c r="F807" s="4" t="n">
        <v>3</v>
      </c>
      <c r="G807" t="inlineStr">
        <is>
          <t>Tennis Alberta</t>
        </is>
      </c>
      <c r="H807" t="inlineStr">
        <is>
          <t>Saville Community Sports Centre</t>
        </is>
      </c>
      <c r="I807" t="n">
        <v>40</v>
      </c>
      <c r="J807" s="4" t="n">
        <v>25</v>
      </c>
      <c r="K807" t="inlineStr">
        <is>
          <t>1 / 24</t>
        </is>
      </c>
      <c r="L807" t="inlineStr">
        <is>
          <t>0 / 4</t>
        </is>
      </c>
      <c r="M807" s="5" t="n">
        <v>0.04</v>
      </c>
      <c r="N807" s="5" t="n">
        <v>0</v>
      </c>
    </row>
    <row r="808">
      <c r="A808" t="n">
        <v>807</v>
      </c>
      <c r="B808" t="n">
        <v>2013</v>
      </c>
      <c r="C808" t="inlineStr">
        <is>
          <t>Kate Sumner</t>
        </is>
      </c>
      <c r="D808">
        <f>HYPERLINK("https://ota.tournamentsoftware.com/player-profile/42BF9410-8926-4C81-9B50-F1262CEF0360", "Link")</f>
        <v/>
      </c>
      <c r="E808" s="3" t="n">
        <v>9.978999999999999</v>
      </c>
      <c r="F808" s="4" t="n">
        <v>2</v>
      </c>
      <c r="G808" t="inlineStr">
        <is>
          <t>Ontario Tennis Association</t>
        </is>
      </c>
      <c r="H808" t="inlineStr">
        <is>
          <t>Toronto Cricket Skating &amp; Curling</t>
        </is>
      </c>
      <c r="I808" t="inlineStr">
        <is>
          <t>unavailable</t>
        </is>
      </c>
      <c r="J808" s="4" t="n">
        <v>33</v>
      </c>
      <c r="K808" t="inlineStr">
        <is>
          <t>11 / 22</t>
        </is>
      </c>
      <c r="L808" t="inlineStr">
        <is>
          <t>1 / 1</t>
        </is>
      </c>
      <c r="M808" s="5" t="n">
        <v>0.33</v>
      </c>
      <c r="N808" s="5" t="n">
        <v>0.5</v>
      </c>
    </row>
    <row r="809">
      <c r="A809" t="n">
        <v>808</v>
      </c>
      <c r="B809" t="n">
        <v>2013</v>
      </c>
      <c r="C809" t="inlineStr">
        <is>
          <t>Anastasia Gorceac</t>
        </is>
      </c>
      <c r="D809">
        <f>HYPERLINK("https://ota.tournamentsoftware.com/player-profile/34DB6E68-DC2D-46A3-9FCF-82A58A1EDBE3", "Link")</f>
        <v/>
      </c>
      <c r="E809" s="3" t="n">
        <v>9.612</v>
      </c>
      <c r="F809" s="4" t="n">
        <v>2</v>
      </c>
      <c r="G809" t="inlineStr">
        <is>
          <t>Tennis Québec</t>
        </is>
      </c>
      <c r="H809" t="inlineStr">
        <is>
          <t>No Club</t>
        </is>
      </c>
      <c r="I809" t="n">
        <v>37.9</v>
      </c>
      <c r="J809" s="4" t="n">
        <v>8</v>
      </c>
      <c r="K809" t="inlineStr">
        <is>
          <t>4 / 4</t>
        </is>
      </c>
      <c r="L809" t="inlineStr">
        <is>
          <t>0 / 0</t>
        </is>
      </c>
      <c r="M809" s="5" t="n">
        <v>0.5</v>
      </c>
      <c r="N809" s="5" t="n">
        <v>0</v>
      </c>
    </row>
    <row r="810">
      <c r="A810" t="n">
        <v>809</v>
      </c>
      <c r="B810" t="n">
        <v>2015</v>
      </c>
      <c r="C810" t="inlineStr">
        <is>
          <t>Violet Rose Divell</t>
        </is>
      </c>
      <c r="D810">
        <f>HYPERLINK("https://ota.tournamentsoftware.com/player-profile/264EFCE5-2D5B-4014-A1E4-CF0F958237B9", "Link")</f>
        <v/>
      </c>
      <c r="E810" s="3" t="n">
        <v>9.598000000000001</v>
      </c>
      <c r="F810" s="4" t="n">
        <v>3</v>
      </c>
      <c r="G810" t="inlineStr">
        <is>
          <t>Tennis Québec</t>
        </is>
      </c>
      <c r="H810" t="inlineStr">
        <is>
          <t>Académie de tennis UNI(T)</t>
        </is>
      </c>
      <c r="I810" t="n">
        <v>39.4</v>
      </c>
      <c r="J810" s="4" t="n">
        <v>6</v>
      </c>
      <c r="K810" t="inlineStr">
        <is>
          <t>1 / 5</t>
        </is>
      </c>
      <c r="L810" t="inlineStr">
        <is>
          <t>1 / 5</t>
        </is>
      </c>
      <c r="M810" s="5" t="n">
        <v>0.17</v>
      </c>
      <c r="N810" s="5" t="n">
        <v>0.17</v>
      </c>
    </row>
    <row r="811">
      <c r="A811" t="n">
        <v>810</v>
      </c>
      <c r="B811" t="n">
        <v>2013</v>
      </c>
      <c r="C811" t="inlineStr">
        <is>
          <t>Yujin Cao</t>
        </is>
      </c>
      <c r="D811">
        <f>HYPERLINK("https://ota.tournamentsoftware.com/player-profile/8260D181-2742-4015-AD52-73D66B6FD70A", "Link")</f>
        <v/>
      </c>
      <c r="E811" s="3" t="n">
        <v>9.59</v>
      </c>
      <c r="F811" s="4" t="n">
        <v>2</v>
      </c>
      <c r="G811" t="inlineStr">
        <is>
          <t>Tennis Québec</t>
        </is>
      </c>
      <c r="H811" t="inlineStr">
        <is>
          <t>Tennis 13</t>
        </is>
      </c>
      <c r="I811" t="inlineStr">
        <is>
          <t>unavailable</t>
        </is>
      </c>
      <c r="J811" s="4" t="n">
        <v>5</v>
      </c>
      <c r="K811" t="inlineStr">
        <is>
          <t>2 / 3</t>
        </is>
      </c>
      <c r="L811" t="inlineStr">
        <is>
          <t>0 / 1</t>
        </is>
      </c>
      <c r="M811" s="5" t="n">
        <v>0.4</v>
      </c>
      <c r="N811" s="5" t="n">
        <v>0</v>
      </c>
    </row>
    <row r="812">
      <c r="A812" t="n">
        <v>811</v>
      </c>
      <c r="B812" t="n">
        <v>2012</v>
      </c>
      <c r="C812" t="inlineStr">
        <is>
          <t>Eya Louati</t>
        </is>
      </c>
      <c r="D812">
        <f>HYPERLINK("https://ota.tournamentsoftware.com/player-profile/679317D4-2CCC-4345-A8E0-4E4AB637C148", "Link")</f>
        <v/>
      </c>
      <c r="E812" s="3" t="n">
        <v>9.504</v>
      </c>
      <c r="F812" s="4" t="n">
        <v>1</v>
      </c>
      <c r="G812" t="inlineStr">
        <is>
          <t>Tennis Québec</t>
        </is>
      </c>
      <c r="H812" t="inlineStr">
        <is>
          <t>SANI Sport</t>
        </is>
      </c>
      <c r="I812" t="inlineStr">
        <is>
          <t>unavailable</t>
        </is>
      </c>
      <c r="J812" s="4" t="n">
        <v>90</v>
      </c>
      <c r="K812" t="inlineStr">
        <is>
          <t>28 / 62</t>
        </is>
      </c>
      <c r="L812" t="inlineStr">
        <is>
          <t>1 / 2</t>
        </is>
      </c>
      <c r="M812" s="5" t="n">
        <v>0.31</v>
      </c>
      <c r="N812" s="5" t="n">
        <v>0.33</v>
      </c>
    </row>
    <row r="813">
      <c r="A813" t="n">
        <v>812</v>
      </c>
      <c r="B813" t="n">
        <v>2014</v>
      </c>
      <c r="C813" t="inlineStr">
        <is>
          <t>Yingshan Zoey Chen</t>
        </is>
      </c>
      <c r="D813">
        <f>HYPERLINK("https://ota.tournamentsoftware.com/player-profile/A4F9AF2C-7FB4-474F-BA3A-0E1AB32672E3", "Link")</f>
        <v/>
      </c>
      <c r="E813" s="3" t="n">
        <v>9.414999999999999</v>
      </c>
      <c r="F813" s="4" t="n">
        <v>3</v>
      </c>
      <c r="G813" t="inlineStr">
        <is>
          <t>Ontario Tennis Association</t>
        </is>
      </c>
      <c r="H813" t="inlineStr">
        <is>
          <t>Thornhill Country Club</t>
        </is>
      </c>
      <c r="I813" t="n">
        <v>38.5</v>
      </c>
      <c r="J813" s="4" t="n">
        <v>24</v>
      </c>
      <c r="K813" t="inlineStr">
        <is>
          <t>5 / 19</t>
        </is>
      </c>
      <c r="L813" t="inlineStr">
        <is>
          <t>2 / 4</t>
        </is>
      </c>
      <c r="M813" s="5" t="n">
        <v>0.21</v>
      </c>
      <c r="N813" s="5" t="n">
        <v>0.33</v>
      </c>
    </row>
    <row r="814">
      <c r="A814" t="n">
        <v>813</v>
      </c>
      <c r="B814" t="n">
        <v>2013</v>
      </c>
      <c r="C814" t="inlineStr">
        <is>
          <t>Harper Thompson</t>
        </is>
      </c>
      <c r="D814">
        <f>HYPERLINK("https://ota.tournamentsoftware.com/player-profile/D930EA05-6917-4BB8-9AD8-DE7F29C99324", "Link")</f>
        <v/>
      </c>
      <c r="E814" s="3" t="n">
        <v>8.938000000000001</v>
      </c>
      <c r="F814" s="4" t="n">
        <v>3</v>
      </c>
      <c r="G814" t="inlineStr">
        <is>
          <t>Tennis Alberta</t>
        </is>
      </c>
      <c r="H814" t="inlineStr">
        <is>
          <t>The Glencoe Club</t>
        </is>
      </c>
      <c r="I814" t="inlineStr">
        <is>
          <t>unavailable</t>
        </is>
      </c>
      <c r="J814" s="4" t="inlineStr"/>
      <c r="K814" t="inlineStr">
        <is>
          <t>unavailable</t>
        </is>
      </c>
      <c r="L814" t="inlineStr">
        <is>
          <t>unavailable</t>
        </is>
      </c>
      <c r="M814" s="5" t="inlineStr"/>
      <c r="N814" s="5" t="inlineStr"/>
    </row>
    <row r="815">
      <c r="A815" t="n">
        <v>814</v>
      </c>
      <c r="B815" t="n">
        <v>2014</v>
      </c>
      <c r="C815" t="inlineStr">
        <is>
          <t>Avery Rose Kon</t>
        </is>
      </c>
      <c r="D815">
        <f>HYPERLINK("https://ota.tournamentsoftware.com/player-profile/3F621439-578C-4BDD-A8A2-880ECC795615", "Link")</f>
        <v/>
      </c>
      <c r="E815" s="3" t="n">
        <v>8.888</v>
      </c>
      <c r="F815" s="4" t="n">
        <v>2</v>
      </c>
      <c r="G815" t="inlineStr">
        <is>
          <t>Ontario Tennis Association</t>
        </is>
      </c>
      <c r="H815" t="inlineStr">
        <is>
          <t>Toronto Lawn Tennis Club</t>
        </is>
      </c>
      <c r="I815" t="n">
        <v>36.6</v>
      </c>
      <c r="J815" s="4" t="n">
        <v>8</v>
      </c>
      <c r="K815" t="inlineStr">
        <is>
          <t>1 / 7</t>
        </is>
      </c>
      <c r="L815" t="inlineStr">
        <is>
          <t>0 / 2</t>
        </is>
      </c>
      <c r="M815" s="5" t="n">
        <v>0.12</v>
      </c>
      <c r="N815" s="5" t="n">
        <v>0</v>
      </c>
    </row>
    <row r="816">
      <c r="A816" t="n">
        <v>815</v>
      </c>
      <c r="B816" t="n">
        <v>2014</v>
      </c>
      <c r="C816" t="inlineStr">
        <is>
          <t>Annabelle Zhao</t>
        </is>
      </c>
      <c r="D816">
        <f>HYPERLINK("https://ota.tournamentsoftware.com/player-profile/F9367D16-E3B7-41BB-810F-85E4C6371542", "Link")</f>
        <v/>
      </c>
      <c r="E816" s="3" t="n">
        <v>8.882999999999999</v>
      </c>
      <c r="F816" s="4" t="n">
        <v>3</v>
      </c>
      <c r="G816" t="inlineStr">
        <is>
          <t>British Columbia</t>
        </is>
      </c>
      <c r="H816" t="inlineStr">
        <is>
          <t>The Tennis Centre</t>
        </is>
      </c>
      <c r="I816" t="n">
        <v>39</v>
      </c>
      <c r="J816" s="4" t="n">
        <v>61</v>
      </c>
      <c r="K816" t="inlineStr">
        <is>
          <t>30 / 31</t>
        </is>
      </c>
      <c r="L816" t="inlineStr">
        <is>
          <t>10 / 8</t>
        </is>
      </c>
      <c r="M816" s="5" t="n">
        <v>0.49</v>
      </c>
      <c r="N816" s="5" t="n">
        <v>0.5600000000000001</v>
      </c>
    </row>
    <row r="817">
      <c r="A817" t="n">
        <v>816</v>
      </c>
      <c r="B817" t="n">
        <v>2014</v>
      </c>
      <c r="C817" t="inlineStr">
        <is>
          <t>Jylian May II Mauricio Luces</t>
        </is>
      </c>
      <c r="D817">
        <f>HYPERLINK("https://ota.tournamentsoftware.com/player-profile/EE4C1547-2DEF-4E96-BA65-F8069863F09D", "Link")</f>
        <v/>
      </c>
      <c r="E817" s="3" t="n">
        <v>8.861000000000001</v>
      </c>
      <c r="F817" s="4" t="n">
        <v>7</v>
      </c>
      <c r="G817" t="inlineStr">
        <is>
          <t>Tennis Alberta</t>
        </is>
      </c>
      <c r="H817" t="inlineStr">
        <is>
          <t>Osten &amp; Victor Alberta Tennis Centre</t>
        </is>
      </c>
      <c r="I817" t="inlineStr">
        <is>
          <t>unavailable</t>
        </is>
      </c>
      <c r="J817" s="4" t="n">
        <v>33</v>
      </c>
      <c r="K817" t="inlineStr">
        <is>
          <t>6 / 27</t>
        </is>
      </c>
      <c r="L817" t="inlineStr">
        <is>
          <t>2 / 8</t>
        </is>
      </c>
      <c r="M817" s="5" t="n">
        <v>0.18</v>
      </c>
      <c r="N817" s="5" t="n">
        <v>0.2</v>
      </c>
    </row>
    <row r="818">
      <c r="A818" t="n">
        <v>817</v>
      </c>
      <c r="B818" t="n">
        <v>2015</v>
      </c>
      <c r="C818" t="inlineStr">
        <is>
          <t>Olive Allen</t>
        </is>
      </c>
      <c r="D818">
        <f>HYPERLINK("https://ota.tournamentsoftware.com/player-profile/B0709DF4-F657-4BE5-870B-1467DB919D18", "Link")</f>
        <v/>
      </c>
      <c r="E818" s="3" t="n">
        <v>8.744999999999999</v>
      </c>
      <c r="F818" s="4" t="n">
        <v>3</v>
      </c>
      <c r="G818" t="inlineStr">
        <is>
          <t>British Columbia</t>
        </is>
      </c>
      <c r="H818" t="inlineStr">
        <is>
          <t>Hollyburn Country Club</t>
        </is>
      </c>
      <c r="I818" t="n">
        <v>40</v>
      </c>
      <c r="J818" s="4" t="n">
        <v>38</v>
      </c>
      <c r="K818" t="inlineStr">
        <is>
          <t>13 / 25</t>
        </is>
      </c>
      <c r="L818" t="inlineStr">
        <is>
          <t>4 / 9</t>
        </is>
      </c>
      <c r="M818" s="5" t="n">
        <v>0.34</v>
      </c>
      <c r="N818" s="5" t="n">
        <v>0.31</v>
      </c>
    </row>
    <row r="819">
      <c r="A819" t="n">
        <v>818</v>
      </c>
      <c r="B819" t="n">
        <v>2015</v>
      </c>
      <c r="C819" t="inlineStr">
        <is>
          <t>Isabella Maria Galati</t>
        </is>
      </c>
      <c r="D819">
        <f>HYPERLINK("https://ota.tournamentsoftware.com/player-profile/401ED85D-9EDD-4DED-B064-33902C7F4DF4", "Link")</f>
        <v/>
      </c>
      <c r="E819" s="3" t="n">
        <v>8.694000000000001</v>
      </c>
      <c r="F819" s="4" t="n">
        <v>2</v>
      </c>
      <c r="G819" t="inlineStr">
        <is>
          <t>Ontario Tennis Association</t>
        </is>
      </c>
      <c r="H819" t="inlineStr">
        <is>
          <t>Pickering Tennis Academy</t>
        </is>
      </c>
      <c r="I819" t="n">
        <v>37.7</v>
      </c>
      <c r="J819" s="4" t="n">
        <v>24</v>
      </c>
      <c r="K819" t="inlineStr">
        <is>
          <t>11 / 13</t>
        </is>
      </c>
      <c r="L819" t="inlineStr">
        <is>
          <t>5 / 2</t>
        </is>
      </c>
      <c r="M819" s="5" t="n">
        <v>0.46</v>
      </c>
      <c r="N819" s="5" t="n">
        <v>0.71</v>
      </c>
    </row>
    <row r="820">
      <c r="A820" t="n">
        <v>819</v>
      </c>
      <c r="B820" t="n">
        <v>2015</v>
      </c>
      <c r="C820" t="inlineStr">
        <is>
          <t>Chloe Brown</t>
        </is>
      </c>
      <c r="D820">
        <f>HYPERLINK("https://ota.tournamentsoftware.com/player-profile/E3B2C995-F41E-4C95-81DE-7B219EF03CBD", "Link")</f>
        <v/>
      </c>
      <c r="E820" s="3" t="n">
        <v>8.640000000000001</v>
      </c>
      <c r="F820" s="4" t="n">
        <v>3</v>
      </c>
      <c r="G820" t="inlineStr">
        <is>
          <t>British Columbia</t>
        </is>
      </c>
      <c r="H820" t="inlineStr">
        <is>
          <t>Commons Racquet Club at Predator Ridge</t>
        </is>
      </c>
      <c r="I820" t="n">
        <v>38.5</v>
      </c>
      <c r="J820" s="4" t="n">
        <v>25</v>
      </c>
      <c r="K820" t="inlineStr">
        <is>
          <t>10 / 15</t>
        </is>
      </c>
      <c r="L820" t="inlineStr">
        <is>
          <t>7 / 5</t>
        </is>
      </c>
      <c r="M820" s="5" t="n">
        <v>0.4</v>
      </c>
      <c r="N820" s="5" t="n">
        <v>0.58</v>
      </c>
    </row>
    <row r="821">
      <c r="A821" t="n">
        <v>819</v>
      </c>
      <c r="B821" t="n">
        <v>2014</v>
      </c>
      <c r="C821" t="inlineStr">
        <is>
          <t>Candice Cui</t>
        </is>
      </c>
      <c r="D821">
        <f>HYPERLINK("https://ota.tournamentsoftware.com/player-profile/389A79F0-4AEE-4BAD-A33E-98A21CD35738", "Link")</f>
        <v/>
      </c>
      <c r="E821" s="3" t="n">
        <v>8.640000000000001</v>
      </c>
      <c r="F821" s="4" t="n">
        <v>2</v>
      </c>
      <c r="G821" t="inlineStr">
        <is>
          <t>British Columbia</t>
        </is>
      </c>
      <c r="H821" t="inlineStr">
        <is>
          <t>Okanagan Mission Tennis Club Kelowna</t>
        </is>
      </c>
      <c r="I821" t="inlineStr">
        <is>
          <t>unavailable</t>
        </is>
      </c>
      <c r="J821" s="4" t="n">
        <v>30</v>
      </c>
      <c r="K821" t="inlineStr">
        <is>
          <t>11 / 19</t>
        </is>
      </c>
      <c r="L821" t="inlineStr">
        <is>
          <t>2 / 2</t>
        </is>
      </c>
      <c r="M821" s="5" t="n">
        <v>0.37</v>
      </c>
      <c r="N821" s="5" t="n">
        <v>0.5</v>
      </c>
    </row>
    <row r="822">
      <c r="A822" t="n">
        <v>821</v>
      </c>
      <c r="B822" t="n">
        <v>2013</v>
      </c>
      <c r="C822" t="inlineStr">
        <is>
          <t>Nya Robinson</t>
        </is>
      </c>
      <c r="D822">
        <f>HYPERLINK("https://ota.tournamentsoftware.com/player-profile/FCE45E04-6DF1-4A68-89D1-ACB65286BF31", "Link")</f>
        <v/>
      </c>
      <c r="E822" s="3" t="n">
        <v>8.449999999999999</v>
      </c>
      <c r="F822" s="4" t="n">
        <v>5</v>
      </c>
      <c r="G822" t="inlineStr">
        <is>
          <t>Tennis Alberta</t>
        </is>
      </c>
      <c r="H822" t="inlineStr">
        <is>
          <t>Osten &amp; Victor Alberta Tennis Centre</t>
        </is>
      </c>
      <c r="I822" t="n">
        <v>38.1</v>
      </c>
      <c r="J822" s="4" t="n">
        <v>17</v>
      </c>
      <c r="K822" t="inlineStr">
        <is>
          <t>7 / 10</t>
        </is>
      </c>
      <c r="L822" t="inlineStr">
        <is>
          <t>2 / 1</t>
        </is>
      </c>
      <c r="M822" s="5" t="n">
        <v>0.41</v>
      </c>
      <c r="N822" s="5" t="n">
        <v>0.67</v>
      </c>
    </row>
    <row r="823">
      <c r="A823" t="n">
        <v>822</v>
      </c>
      <c r="B823" t="n">
        <v>2012</v>
      </c>
      <c r="C823" t="inlineStr">
        <is>
          <t>LUCY HA</t>
        </is>
      </c>
      <c r="D823">
        <f>HYPERLINK("https://ota.tournamentsoftware.com/player-profile/5289FB1D-8B94-446A-83C5-187068CE2F5D", "Link")</f>
        <v/>
      </c>
      <c r="E823" s="3" t="n">
        <v>8.423999999999999</v>
      </c>
      <c r="F823" s="4" t="n">
        <v>2</v>
      </c>
      <c r="G823" t="inlineStr">
        <is>
          <t>British Columbia</t>
        </is>
      </c>
      <c r="H823" t="inlineStr">
        <is>
          <t>Tennis BC Hub @ Richmond</t>
        </is>
      </c>
      <c r="I823" t="n">
        <v>37.7</v>
      </c>
      <c r="J823" s="4" t="n">
        <v>28</v>
      </c>
      <c r="K823" t="inlineStr">
        <is>
          <t>4 / 24</t>
        </is>
      </c>
      <c r="L823" t="inlineStr">
        <is>
          <t>0 / 2</t>
        </is>
      </c>
      <c r="M823" s="5" t="n">
        <v>0.14</v>
      </c>
      <c r="N823" s="5" t="n">
        <v>0</v>
      </c>
    </row>
    <row r="824">
      <c r="A824" t="n">
        <v>822</v>
      </c>
      <c r="B824" t="n">
        <v>2012</v>
      </c>
      <c r="C824" t="inlineStr">
        <is>
          <t>Elisha Lee</t>
        </is>
      </c>
      <c r="D824">
        <f>HYPERLINK("https://ota.tournamentsoftware.com/player-profile/0D8F1552-F5AE-4BBB-B462-7DFD495EA5D1", "Link")</f>
        <v/>
      </c>
      <c r="E824" s="3" t="n">
        <v>8.423999999999999</v>
      </c>
      <c r="F824" s="4" t="n">
        <v>1</v>
      </c>
      <c r="G824" t="inlineStr">
        <is>
          <t>British Columbia</t>
        </is>
      </c>
      <c r="H824" t="inlineStr">
        <is>
          <t>Great West Fitness and Racquets Club</t>
        </is>
      </c>
      <c r="I824" t="n">
        <v>37.9</v>
      </c>
      <c r="J824" s="4" t="n">
        <v>52</v>
      </c>
      <c r="K824" t="inlineStr">
        <is>
          <t>21 / 31</t>
        </is>
      </c>
      <c r="L824" t="inlineStr">
        <is>
          <t>11 / 14</t>
        </is>
      </c>
      <c r="M824" s="5" t="n">
        <v>0.4</v>
      </c>
      <c r="N824" s="5" t="n">
        <v>0.44</v>
      </c>
    </row>
    <row r="825">
      <c r="A825" t="n">
        <v>822</v>
      </c>
      <c r="B825" t="n">
        <v>2013</v>
      </c>
      <c r="C825" t="inlineStr">
        <is>
          <t>KIanna Jia Christianson</t>
        </is>
      </c>
      <c r="D825">
        <f>HYPERLINK("https://ota.tournamentsoftware.com/player-profile/A76E75A0-5CAF-4017-8B3C-2D69366CF0FB", "Link")</f>
        <v/>
      </c>
      <c r="E825" s="3" t="n">
        <v>8.423999999999999</v>
      </c>
      <c r="F825" s="4" t="n">
        <v>1</v>
      </c>
      <c r="G825" t="inlineStr">
        <is>
          <t>British Columbia</t>
        </is>
      </c>
      <c r="H825" t="inlineStr">
        <is>
          <t>City of Burnaby</t>
        </is>
      </c>
      <c r="I825" t="n">
        <v>40</v>
      </c>
      <c r="J825" s="4" t="n">
        <v>10</v>
      </c>
      <c r="K825" t="inlineStr">
        <is>
          <t>5 / 5</t>
        </is>
      </c>
      <c r="L825" t="inlineStr">
        <is>
          <t>2 / 3</t>
        </is>
      </c>
      <c r="M825" s="5" t="n">
        <v>0.5</v>
      </c>
      <c r="N825" s="5" t="n">
        <v>0.4</v>
      </c>
    </row>
    <row r="826">
      <c r="A826" t="n">
        <v>825</v>
      </c>
      <c r="B826" t="n">
        <v>2015</v>
      </c>
      <c r="C826" t="inlineStr">
        <is>
          <t>Mila Sofia Galvez Bourgeois-Charbonneau</t>
        </is>
      </c>
      <c r="D826">
        <f>HYPERLINK("https://ota.tournamentsoftware.com/player-profile/4F9CCD8C-A7BD-4FA0-B17A-3689BD230A0C", "Link")</f>
        <v/>
      </c>
      <c r="E826" s="3" t="n">
        <v>8.298</v>
      </c>
      <c r="F826" s="4" t="n">
        <v>2</v>
      </c>
      <c r="G826" t="inlineStr">
        <is>
          <t>Tennis Québec</t>
        </is>
      </c>
      <c r="H826" t="inlineStr">
        <is>
          <t>AA Autre club</t>
        </is>
      </c>
      <c r="I826" t="n">
        <v>37.3</v>
      </c>
      <c r="J826" s="4" t="n">
        <v>10</v>
      </c>
      <c r="K826" t="inlineStr">
        <is>
          <t>5 / 5</t>
        </is>
      </c>
      <c r="L826" t="inlineStr">
        <is>
          <t>5 / 2</t>
        </is>
      </c>
      <c r="M826" s="5" t="n">
        <v>0.5</v>
      </c>
      <c r="N826" s="5" t="n">
        <v>0.71</v>
      </c>
    </row>
    <row r="827">
      <c r="A827" t="n">
        <v>826</v>
      </c>
      <c r="B827" t="n">
        <v>2016</v>
      </c>
      <c r="C827" t="inlineStr">
        <is>
          <t>Peiyu(Cici) Li</t>
        </is>
      </c>
      <c r="D827">
        <f>HYPERLINK("https://ota.tournamentsoftware.com/player-profile/C4571297-B444-4579-A011-D24753628021", "Link")</f>
        <v/>
      </c>
      <c r="E827" s="3" t="n">
        <v>8.156000000000001</v>
      </c>
      <c r="F827" s="4" t="n">
        <v>7</v>
      </c>
      <c r="G827" t="inlineStr">
        <is>
          <t>Tennis Nova Scotia</t>
        </is>
      </c>
      <c r="H827" t="inlineStr">
        <is>
          <t>Atlantic Tennis Centre</t>
        </is>
      </c>
      <c r="I827" t="n">
        <v>39.3</v>
      </c>
      <c r="J827" s="4" t="n">
        <v>51</v>
      </c>
      <c r="K827" t="inlineStr">
        <is>
          <t>18 / 33</t>
        </is>
      </c>
      <c r="L827" t="inlineStr">
        <is>
          <t>10 / 23</t>
        </is>
      </c>
      <c r="M827" s="5" t="n">
        <v>0.35</v>
      </c>
      <c r="N827" s="5" t="n">
        <v>0.3</v>
      </c>
    </row>
    <row r="828">
      <c r="A828" t="n">
        <v>827</v>
      </c>
      <c r="B828" t="n">
        <v>2015</v>
      </c>
      <c r="C828" t="inlineStr">
        <is>
          <t>Sofia Belyavskaya</t>
        </is>
      </c>
      <c r="D828">
        <f>HYPERLINK("https://ota.tournamentsoftware.com/player-profile/103C1284-54D3-4E14-8B3B-D860AD353A8C", "Link")</f>
        <v/>
      </c>
      <c r="E828" s="3" t="n">
        <v>8.045999999999999</v>
      </c>
      <c r="F828" s="4" t="n">
        <v>3</v>
      </c>
      <c r="G828" t="inlineStr">
        <is>
          <t>British Columbia</t>
        </is>
      </c>
      <c r="H828" t="inlineStr">
        <is>
          <t>The Tennis Centre</t>
        </is>
      </c>
      <c r="I828" t="n">
        <v>37.2</v>
      </c>
      <c r="J828" s="4" t="n">
        <v>88</v>
      </c>
      <c r="K828" t="inlineStr">
        <is>
          <t>35 / 53</t>
        </is>
      </c>
      <c r="L828" t="inlineStr">
        <is>
          <t>2 / 5</t>
        </is>
      </c>
      <c r="M828" s="5" t="n">
        <v>0.4</v>
      </c>
      <c r="N828" s="5" t="n">
        <v>0.29</v>
      </c>
    </row>
    <row r="829">
      <c r="A829" t="n">
        <v>828</v>
      </c>
      <c r="B829" t="n">
        <v>2013</v>
      </c>
      <c r="C829" t="inlineStr">
        <is>
          <t>Anaya Mohammed Shurrab</t>
        </is>
      </c>
      <c r="D829">
        <f>HYPERLINK("https://ota.tournamentsoftware.com/player-profile/A4BA7F79-3B20-4355-B83D-7B81774D6C97", "Link")</f>
        <v/>
      </c>
      <c r="E829" s="3" t="n">
        <v>8.01</v>
      </c>
      <c r="F829" s="4" t="n">
        <v>1</v>
      </c>
      <c r="G829" t="inlineStr">
        <is>
          <t>Ontario Tennis Association</t>
        </is>
      </c>
      <c r="H829" t="inlineStr">
        <is>
          <t>Sudbury Indoor Tennis Centre</t>
        </is>
      </c>
      <c r="I829" t="n">
        <v>38.8</v>
      </c>
      <c r="J829" s="4" t="n">
        <v>2</v>
      </c>
      <c r="K829" t="inlineStr">
        <is>
          <t>0 / 2</t>
        </is>
      </c>
      <c r="L829" t="inlineStr">
        <is>
          <t>0 / 0</t>
        </is>
      </c>
      <c r="M829" s="5" t="n">
        <v>0</v>
      </c>
      <c r="N829" s="5" t="n">
        <v>0</v>
      </c>
    </row>
    <row r="830">
      <c r="A830" t="n">
        <v>829</v>
      </c>
      <c r="B830" t="n">
        <v>2015</v>
      </c>
      <c r="C830" t="inlineStr">
        <is>
          <t>Lyskha Ann Louis</t>
        </is>
      </c>
      <c r="D830">
        <f>HYPERLINK("https://ota.tournamentsoftware.com/player-profile/E63460EF-56D0-4F3C-845C-D047E7B9C366", "Link")</f>
        <v/>
      </c>
      <c r="E830" s="3" t="n">
        <v>7.906</v>
      </c>
      <c r="F830" s="4" t="n">
        <v>2</v>
      </c>
      <c r="G830" t="inlineStr">
        <is>
          <t>Tennis Québec</t>
        </is>
      </c>
      <c r="H830" t="inlineStr">
        <is>
          <t>Tennis 13</t>
        </is>
      </c>
      <c r="I830" t="n">
        <v>36.4</v>
      </c>
      <c r="J830" s="4" t="n">
        <v>9</v>
      </c>
      <c r="K830" t="inlineStr">
        <is>
          <t>4 / 5</t>
        </is>
      </c>
      <c r="L830" t="inlineStr">
        <is>
          <t>4 / 2</t>
        </is>
      </c>
      <c r="M830" s="5" t="n">
        <v>0.44</v>
      </c>
      <c r="N830" s="5" t="n">
        <v>0.67</v>
      </c>
    </row>
    <row r="831">
      <c r="A831" t="n">
        <v>830</v>
      </c>
      <c r="B831" t="n">
        <v>2014</v>
      </c>
      <c r="C831" t="inlineStr">
        <is>
          <t>Abigale Julia Dioszeghy Beatty</t>
        </is>
      </c>
      <c r="D831">
        <f>HYPERLINK("https://ota.tournamentsoftware.com/player-profile/3376BA08-B4B7-40B5-A81E-8F995772526B", "Link")</f>
        <v/>
      </c>
      <c r="E831" s="3" t="n">
        <v>7.827</v>
      </c>
      <c r="F831" s="4" t="n">
        <v>7</v>
      </c>
      <c r="G831" t="inlineStr">
        <is>
          <t>Tennis Alberta</t>
        </is>
      </c>
      <c r="H831" t="inlineStr">
        <is>
          <t>Royal Glenora Club</t>
        </is>
      </c>
      <c r="I831" t="n">
        <v>37.2</v>
      </c>
      <c r="J831" s="4" t="n">
        <v>18</v>
      </c>
      <c r="K831" t="inlineStr">
        <is>
          <t>9 / 9</t>
        </is>
      </c>
      <c r="L831" t="inlineStr">
        <is>
          <t>9 / 9</t>
        </is>
      </c>
      <c r="M831" s="5" t="n">
        <v>0.5</v>
      </c>
      <c r="N831" s="5" t="n">
        <v>0.5</v>
      </c>
    </row>
    <row r="832">
      <c r="A832" t="n">
        <v>831</v>
      </c>
      <c r="B832" t="n">
        <v>2014</v>
      </c>
      <c r="C832" t="inlineStr">
        <is>
          <t>Gloriana Shiqi Zhang</t>
        </is>
      </c>
      <c r="D832">
        <f>HYPERLINK("https://ota.tournamentsoftware.com/player-profile/2717E828-0882-43B7-ADDB-D078FFA580CF", "Link")</f>
        <v/>
      </c>
      <c r="E832" s="3" t="n">
        <v>7.776</v>
      </c>
      <c r="F832" s="4" t="n">
        <v>2</v>
      </c>
      <c r="G832" t="inlineStr">
        <is>
          <t>British Columbia</t>
        </is>
      </c>
      <c r="H832" t="inlineStr">
        <is>
          <t>Hollyburn Country Club</t>
        </is>
      </c>
      <c r="I832" t="inlineStr">
        <is>
          <t>unavailable</t>
        </is>
      </c>
      <c r="J832" s="4" t="n">
        <v>32</v>
      </c>
      <c r="K832" t="inlineStr">
        <is>
          <t>5 / 27</t>
        </is>
      </c>
      <c r="L832" t="inlineStr">
        <is>
          <t>0 / 0</t>
        </is>
      </c>
      <c r="M832" s="5" t="n">
        <v>0.16</v>
      </c>
      <c r="N832" s="5" t="n">
        <v>0</v>
      </c>
    </row>
    <row r="833">
      <c r="A833" t="n">
        <v>832</v>
      </c>
      <c r="B833" t="n">
        <v>2015</v>
      </c>
      <c r="C833" t="inlineStr">
        <is>
          <t>Dani Banquicio</t>
        </is>
      </c>
      <c r="D833">
        <f>HYPERLINK("https://ota.tournamentsoftware.com/player-profile/46430071-90F3-4471-A44B-9BE4F31E2D72", "Link")</f>
        <v/>
      </c>
      <c r="E833" s="3" t="n">
        <v>7.652</v>
      </c>
      <c r="F833" s="4" t="n">
        <v>2</v>
      </c>
      <c r="G833" t="inlineStr">
        <is>
          <t>Tennis New Brunswick</t>
        </is>
      </c>
      <c r="H833" t="inlineStr">
        <is>
          <t>Abony Family Tennis Center</t>
        </is>
      </c>
      <c r="I833" t="n">
        <v>40</v>
      </c>
      <c r="J833" s="4" t="n">
        <v>54</v>
      </c>
      <c r="K833" t="inlineStr">
        <is>
          <t>17 / 37</t>
        </is>
      </c>
      <c r="L833" t="inlineStr">
        <is>
          <t>3 / 7</t>
        </is>
      </c>
      <c r="M833" s="5" t="n">
        <v>0.31</v>
      </c>
      <c r="N833" s="5" t="n">
        <v>0.3</v>
      </c>
    </row>
    <row r="834">
      <c r="A834" t="n">
        <v>833</v>
      </c>
      <c r="B834" t="n">
        <v>2014</v>
      </c>
      <c r="C834" t="inlineStr">
        <is>
          <t>Audrey Dionne-Chen</t>
        </is>
      </c>
      <c r="D834">
        <f>HYPERLINK("https://ota.tournamentsoftware.com/player-profile/7AE565BD-506E-4133-AA69-F89B361E38C0", "Link")</f>
        <v/>
      </c>
      <c r="E834" s="3" t="n">
        <v>7.552</v>
      </c>
      <c r="F834" s="4" t="n">
        <v>1</v>
      </c>
      <c r="G834" t="inlineStr">
        <is>
          <t>Ontario Tennis Association</t>
        </is>
      </c>
      <c r="H834" t="inlineStr">
        <is>
          <t>Rideau Sports Centre</t>
        </is>
      </c>
      <c r="I834" t="n">
        <v>39.4</v>
      </c>
      <c r="J834" s="4" t="n">
        <v>14</v>
      </c>
      <c r="K834" t="inlineStr">
        <is>
          <t>4 / 10</t>
        </is>
      </c>
      <c r="L834" t="inlineStr">
        <is>
          <t>0 / 1</t>
        </is>
      </c>
      <c r="M834" s="5" t="n">
        <v>0.29</v>
      </c>
      <c r="N834" s="5" t="n">
        <v>0</v>
      </c>
    </row>
    <row r="835">
      <c r="A835" t="n">
        <v>834</v>
      </c>
      <c r="B835" t="n">
        <v>2015</v>
      </c>
      <c r="C835" t="inlineStr">
        <is>
          <t>Ivana Novatus Nguma</t>
        </is>
      </c>
      <c r="D835">
        <f>HYPERLINK("https://ota.tournamentsoftware.com/player-profile/152EACD1-B447-4FFD-B45D-419526079F6E", "Link")</f>
        <v/>
      </c>
      <c r="E835" s="3" t="n">
        <v>7.507</v>
      </c>
      <c r="F835" s="4" t="n">
        <v>2</v>
      </c>
      <c r="G835" t="inlineStr">
        <is>
          <t>Tennis Alberta</t>
        </is>
      </c>
      <c r="H835" t="inlineStr">
        <is>
          <t>Calgary Tennis Society</t>
        </is>
      </c>
      <c r="I835" t="n">
        <v>37.7</v>
      </c>
      <c r="J835" s="4" t="n">
        <v>24</v>
      </c>
      <c r="K835" t="inlineStr">
        <is>
          <t>12 / 12</t>
        </is>
      </c>
      <c r="L835" t="inlineStr">
        <is>
          <t>8 / 4</t>
        </is>
      </c>
      <c r="M835" s="5" t="n">
        <v>0.5</v>
      </c>
      <c r="N835" s="5" t="n">
        <v>0.67</v>
      </c>
    </row>
    <row r="836">
      <c r="A836" t="n">
        <v>835</v>
      </c>
      <c r="B836" t="n">
        <v>2017</v>
      </c>
      <c r="C836" t="inlineStr">
        <is>
          <t>Kaja Gacanin</t>
        </is>
      </c>
      <c r="D836">
        <f>HYPERLINK("https://ota.tournamentsoftware.com/player-profile/51158AF8-F463-4974-AE1F-B1924D114B2F", "Link")</f>
        <v/>
      </c>
      <c r="E836" s="3" t="n">
        <v>6.84</v>
      </c>
      <c r="F836" s="4" t="n">
        <v>2</v>
      </c>
      <c r="G836" t="inlineStr">
        <is>
          <t>Ontario Tennis Association</t>
        </is>
      </c>
      <c r="H836" t="inlineStr">
        <is>
          <t>Zekelman Tennis Centre</t>
        </is>
      </c>
      <c r="I836" t="n">
        <v>38.6</v>
      </c>
      <c r="J836" s="4" t="n">
        <v>7</v>
      </c>
      <c r="K836" t="inlineStr">
        <is>
          <t>2 / 5</t>
        </is>
      </c>
      <c r="L836" t="inlineStr">
        <is>
          <t>2 / 5</t>
        </is>
      </c>
      <c r="M836" s="5" t="n">
        <v>0.29</v>
      </c>
      <c r="N836" s="5" t="n">
        <v>0.29</v>
      </c>
    </row>
    <row r="837">
      <c r="A837" t="n">
        <v>836</v>
      </c>
      <c r="B837" t="n">
        <v>2015</v>
      </c>
      <c r="C837" t="inlineStr">
        <is>
          <t>Ruby Mika Szakacs</t>
        </is>
      </c>
      <c r="D837">
        <f>HYPERLINK("https://ota.tournamentsoftware.com/player-profile/200B8C95-20A4-4F60-90C6-7E30A84EAEA7", "Link")</f>
        <v/>
      </c>
      <c r="E837" s="3" t="n">
        <v>6.607</v>
      </c>
      <c r="F837" s="4" t="n">
        <v>2</v>
      </c>
      <c r="G837" t="inlineStr">
        <is>
          <t>Ontario Tennis Association</t>
        </is>
      </c>
      <c r="H837" t="inlineStr">
        <is>
          <t>No Club</t>
        </is>
      </c>
      <c r="I837" t="n">
        <v>39.4</v>
      </c>
      <c r="J837" s="4" t="n">
        <v>55</v>
      </c>
      <c r="K837" t="inlineStr">
        <is>
          <t>28 / 27</t>
        </is>
      </c>
      <c r="L837" t="inlineStr">
        <is>
          <t>0 / 4</t>
        </is>
      </c>
      <c r="M837" s="5" t="n">
        <v>0.51</v>
      </c>
      <c r="N837" s="5" t="n">
        <v>0</v>
      </c>
    </row>
    <row r="838">
      <c r="A838" t="n">
        <v>836</v>
      </c>
      <c r="B838" t="n">
        <v>2014</v>
      </c>
      <c r="C838" t="inlineStr">
        <is>
          <t>Mantian Ellie Ni</t>
        </is>
      </c>
      <c r="D838">
        <f>HYPERLINK("https://ota.tournamentsoftware.com/player-profile/7FD8D72E-3679-4613-A482-A282508BEA32", "Link")</f>
        <v/>
      </c>
      <c r="E838" s="3" t="n">
        <v>6.607</v>
      </c>
      <c r="F838" s="4" t="n">
        <v>2</v>
      </c>
      <c r="G838" t="inlineStr">
        <is>
          <t>Ontario Tennis Association</t>
        </is>
      </c>
      <c r="H838" t="inlineStr">
        <is>
          <t>Premier Racquet Club - Markham</t>
        </is>
      </c>
      <c r="I838" t="n">
        <v>39.5</v>
      </c>
      <c r="J838" s="4" t="n">
        <v>23</v>
      </c>
      <c r="K838" t="inlineStr">
        <is>
          <t>7 / 16</t>
        </is>
      </c>
      <c r="L838" t="inlineStr">
        <is>
          <t>3 / 4</t>
        </is>
      </c>
      <c r="M838" s="5" t="n">
        <v>0.3</v>
      </c>
      <c r="N838" s="5" t="n">
        <v>0.43</v>
      </c>
    </row>
    <row r="839">
      <c r="A839" t="n">
        <v>838</v>
      </c>
      <c r="B839" t="n">
        <v>2016</v>
      </c>
      <c r="C839" t="inlineStr">
        <is>
          <t>Charlotte Gordovin</t>
        </is>
      </c>
      <c r="D839">
        <f>HYPERLINK("https://ota.tournamentsoftware.com/player-profile/961D5F8B-09E8-477B-A5D4-F4815570D913", "Link")</f>
        <v/>
      </c>
      <c r="E839" s="3" t="n">
        <v>6.48</v>
      </c>
      <c r="F839" s="4" t="n">
        <v>3</v>
      </c>
      <c r="G839" t="inlineStr">
        <is>
          <t>Ontario Tennis Association</t>
        </is>
      </c>
      <c r="H839" t="inlineStr">
        <is>
          <t>ON Tennis Toronto No Club</t>
        </is>
      </c>
      <c r="I839" t="inlineStr">
        <is>
          <t>unavailable</t>
        </is>
      </c>
      <c r="J839" s="4" t="n">
        <v>84</v>
      </c>
      <c r="K839" t="inlineStr">
        <is>
          <t>41 / 43</t>
        </is>
      </c>
      <c r="L839" t="inlineStr">
        <is>
          <t>14 / 16</t>
        </is>
      </c>
      <c r="M839" s="5" t="n">
        <v>0.49</v>
      </c>
      <c r="N839" s="5" t="n">
        <v>0.47</v>
      </c>
    </row>
    <row r="840">
      <c r="A840" t="n">
        <v>838</v>
      </c>
      <c r="B840" t="n">
        <v>2014</v>
      </c>
      <c r="C840" t="inlineStr">
        <is>
          <t>Elina Chai</t>
        </is>
      </c>
      <c r="D840">
        <f>HYPERLINK("https://ota.tournamentsoftware.com/player-profile/93EB3F3A-118C-460C-AB18-42D8F042E5A9", "Link")</f>
        <v/>
      </c>
      <c r="E840" s="3" t="n">
        <v>6.48</v>
      </c>
      <c r="F840" s="4" t="n">
        <v>1</v>
      </c>
      <c r="G840" t="inlineStr">
        <is>
          <t>Ontario Tennis Association</t>
        </is>
      </c>
      <c r="H840" t="inlineStr">
        <is>
          <t>ACE Tennis - Toronto Tennis City</t>
        </is>
      </c>
      <c r="I840" t="n">
        <v>38.5</v>
      </c>
      <c r="J840" s="4" t="n">
        <v>6</v>
      </c>
      <c r="K840" t="inlineStr">
        <is>
          <t>4 / 2</t>
        </is>
      </c>
      <c r="L840" t="inlineStr">
        <is>
          <t>4 / 2</t>
        </is>
      </c>
      <c r="M840" s="5" t="n">
        <v>0.67</v>
      </c>
      <c r="N840" s="5" t="n">
        <v>0.67</v>
      </c>
    </row>
    <row r="841">
      <c r="A841" t="n">
        <v>838</v>
      </c>
      <c r="B841" t="n">
        <v>2016</v>
      </c>
      <c r="C841" t="inlineStr">
        <is>
          <t>Jaclyn Zhang</t>
        </is>
      </c>
      <c r="D841">
        <f>HYPERLINK("https://ota.tournamentsoftware.com/player-profile/E6E9780C-ACDE-4CFD-B134-4984C266BCEB", "Link")</f>
        <v/>
      </c>
      <c r="E841" s="3" t="n">
        <v>6.48</v>
      </c>
      <c r="F841" s="4" t="n">
        <v>5</v>
      </c>
      <c r="G841" t="inlineStr">
        <is>
          <t>British Columbia</t>
        </is>
      </c>
      <c r="H841" t="inlineStr">
        <is>
          <t>UBC Tennis Centre</t>
        </is>
      </c>
      <c r="I841" t="n">
        <v>39.5</v>
      </c>
      <c r="J841" s="4" t="n">
        <v>76</v>
      </c>
      <c r="K841" t="inlineStr">
        <is>
          <t>43 / 33</t>
        </is>
      </c>
      <c r="L841" t="inlineStr">
        <is>
          <t>17 / 21</t>
        </is>
      </c>
      <c r="M841" s="5" t="n">
        <v>0.57</v>
      </c>
      <c r="N841" s="5" t="n">
        <v>0.45</v>
      </c>
    </row>
    <row r="842">
      <c r="A842" t="n">
        <v>838</v>
      </c>
      <c r="B842" t="n">
        <v>2013</v>
      </c>
      <c r="C842" t="inlineStr">
        <is>
          <t>Juliana Pena</t>
        </is>
      </c>
      <c r="D842">
        <f>HYPERLINK("https://ota.tournamentsoftware.com/player-profile/8F1CA811-953C-4FAC-980B-55D7FE7A6E50", "Link")</f>
        <v/>
      </c>
      <c r="E842" s="3" t="n">
        <v>6.48</v>
      </c>
      <c r="F842" s="4" t="n">
        <v>1</v>
      </c>
      <c r="G842" t="inlineStr">
        <is>
          <t>Tennis Québec</t>
        </is>
      </c>
      <c r="H842" t="inlineStr">
        <is>
          <t>Tennis Québec (région Montréal Ouest)</t>
        </is>
      </c>
      <c r="I842" t="inlineStr">
        <is>
          <t>unavailable</t>
        </is>
      </c>
      <c r="J842" s="4" t="n">
        <v>10</v>
      </c>
      <c r="K842" t="inlineStr">
        <is>
          <t>3 / 7</t>
        </is>
      </c>
      <c r="L842" t="inlineStr">
        <is>
          <t>0 / 0</t>
        </is>
      </c>
      <c r="M842" s="5" t="n">
        <v>0.3</v>
      </c>
      <c r="N842" s="5" t="n">
        <v>0</v>
      </c>
    </row>
    <row r="843">
      <c r="A843" t="n">
        <v>838</v>
      </c>
      <c r="B843" t="n">
        <v>2017</v>
      </c>
      <c r="C843" t="inlineStr">
        <is>
          <t>Riley Yang</t>
        </is>
      </c>
      <c r="D843">
        <f>HYPERLINK("https://ota.tournamentsoftware.com/player-profile/26AD4F6A-B4DE-4D98-85C5-1F82427AD36B", "Link")</f>
        <v/>
      </c>
      <c r="E843" s="3" t="n">
        <v>6.48</v>
      </c>
      <c r="F843" s="4" t="n">
        <v>1</v>
      </c>
      <c r="G843" t="inlineStr">
        <is>
          <t>Ontario Tennis Association</t>
        </is>
      </c>
      <c r="H843" t="inlineStr">
        <is>
          <t>Mayfair West Fitness &amp; Racquet Club</t>
        </is>
      </c>
      <c r="I843" t="inlineStr">
        <is>
          <t>unavailable</t>
        </is>
      </c>
      <c r="J843" s="4" t="n">
        <v>178</v>
      </c>
      <c r="K843" t="inlineStr">
        <is>
          <t>95 / 83</t>
        </is>
      </c>
      <c r="L843" t="inlineStr">
        <is>
          <t>59 / 39</t>
        </is>
      </c>
      <c r="M843" s="5" t="n">
        <v>0.53</v>
      </c>
      <c r="N843" s="5" t="n">
        <v>0.6</v>
      </c>
    </row>
    <row r="844">
      <c r="A844" t="n">
        <v>838</v>
      </c>
      <c r="B844" t="n">
        <v>2015</v>
      </c>
      <c r="C844" t="inlineStr">
        <is>
          <t>Catherine Qu</t>
        </is>
      </c>
      <c r="D844">
        <f>HYPERLINK("https://ota.tournamentsoftware.com/player-profile/6BFBAA24-1779-441C-B7FC-7EF81219D270", "Link")</f>
        <v/>
      </c>
      <c r="E844" s="3" t="n">
        <v>6.48</v>
      </c>
      <c r="F844" s="4" t="n">
        <v>1</v>
      </c>
      <c r="G844" t="inlineStr">
        <is>
          <t>Ontario Tennis Association</t>
        </is>
      </c>
      <c r="H844" t="inlineStr">
        <is>
          <t>Royal City Tennis Club</t>
        </is>
      </c>
      <c r="I844" t="n">
        <v>36.4</v>
      </c>
      <c r="J844" s="4" t="n">
        <v>19</v>
      </c>
      <c r="K844" t="inlineStr">
        <is>
          <t>3 / 16</t>
        </is>
      </c>
      <c r="L844" t="inlineStr">
        <is>
          <t>1 / 1</t>
        </is>
      </c>
      <c r="M844" s="5" t="n">
        <v>0.16</v>
      </c>
      <c r="N844" s="5" t="n">
        <v>0.5</v>
      </c>
    </row>
    <row r="845">
      <c r="A845" t="n">
        <v>838</v>
      </c>
      <c r="B845" t="n">
        <v>2014</v>
      </c>
      <c r="C845" t="inlineStr">
        <is>
          <t>Mila Isaeva</t>
        </is>
      </c>
      <c r="D845">
        <f>HYPERLINK("https://ota.tournamentsoftware.com/player-profile/318B72C3-8E32-46E5-B532-524E3B59755C", "Link")</f>
        <v/>
      </c>
      <c r="E845" s="3" t="n">
        <v>6.48</v>
      </c>
      <c r="F845" s="4" t="n">
        <v>1</v>
      </c>
      <c r="G845" t="inlineStr">
        <is>
          <t>Ontario Tennis Association</t>
        </is>
      </c>
      <c r="H845" t="inlineStr">
        <is>
          <t>Tam Heather Tennis Club</t>
        </is>
      </c>
      <c r="I845" t="n">
        <v>38.3</v>
      </c>
      <c r="J845" s="4" t="n">
        <v>18</v>
      </c>
      <c r="K845" t="inlineStr">
        <is>
          <t>10 / 8</t>
        </is>
      </c>
      <c r="L845" t="inlineStr">
        <is>
          <t>8 / 5</t>
        </is>
      </c>
      <c r="M845" s="5" t="n">
        <v>0.5600000000000001</v>
      </c>
      <c r="N845" s="5" t="n">
        <v>0.62</v>
      </c>
    </row>
    <row r="846">
      <c r="A846" t="n">
        <v>845</v>
      </c>
      <c r="B846" t="n">
        <v>2015</v>
      </c>
      <c r="C846" t="inlineStr">
        <is>
          <t>Rowan Ferris</t>
        </is>
      </c>
      <c r="D846">
        <f>HYPERLINK("https://ota.tournamentsoftware.com/player-profile/48292DD6-1A8C-41C7-997E-9A5C5BD68EFF", "Link")</f>
        <v/>
      </c>
      <c r="E846" s="3" t="n">
        <v>6.478</v>
      </c>
      <c r="F846" s="4" t="n">
        <v>2</v>
      </c>
      <c r="G846" t="inlineStr">
        <is>
          <t>Tennis Alberta</t>
        </is>
      </c>
      <c r="H846" t="inlineStr">
        <is>
          <t>Medicine Hat Tennis Club</t>
        </is>
      </c>
      <c r="I846" t="n">
        <v>39.3</v>
      </c>
      <c r="J846" s="4" t="n">
        <v>10</v>
      </c>
      <c r="K846" t="inlineStr">
        <is>
          <t>3 / 7</t>
        </is>
      </c>
      <c r="L846" t="inlineStr">
        <is>
          <t>1 / 3</t>
        </is>
      </c>
      <c r="M846" s="5" t="n">
        <v>0.3</v>
      </c>
      <c r="N846" s="5" t="n">
        <v>0.25</v>
      </c>
    </row>
    <row r="847">
      <c r="A847" t="n">
        <v>846</v>
      </c>
      <c r="B847" t="n">
        <v>2013</v>
      </c>
      <c r="C847" t="inlineStr">
        <is>
          <t>Kashvi Chaudhary</t>
        </is>
      </c>
      <c r="D847">
        <f>HYPERLINK("https://ota.tournamentsoftware.com/player-profile/0597AAB7-43E9-42CF-B00B-4928F8A2A1CD", "Link")</f>
        <v/>
      </c>
      <c r="E847" s="3" t="n">
        <v>6.388</v>
      </c>
      <c r="F847" s="4" t="n">
        <v>1</v>
      </c>
      <c r="G847" t="inlineStr">
        <is>
          <t>Ontario Tennis Association</t>
        </is>
      </c>
      <c r="H847" t="inlineStr">
        <is>
          <t>Brampton Tennis Club</t>
        </is>
      </c>
      <c r="I847" t="n">
        <v>39.9</v>
      </c>
      <c r="J847" s="4" t="n">
        <v>14</v>
      </c>
      <c r="K847" t="inlineStr">
        <is>
          <t>2 / 12</t>
        </is>
      </c>
      <c r="L847" t="inlineStr">
        <is>
          <t>0 / 0</t>
        </is>
      </c>
      <c r="M847" s="5" t="n">
        <v>0.14</v>
      </c>
      <c r="N847" s="5" t="n">
        <v>0</v>
      </c>
    </row>
    <row r="848">
      <c r="A848" t="n">
        <v>847</v>
      </c>
      <c r="B848" t="n">
        <v>2015</v>
      </c>
      <c r="C848" t="inlineStr">
        <is>
          <t>Niveah Watt-Shelton</t>
        </is>
      </c>
      <c r="D848">
        <f>HYPERLINK("https://ota.tournamentsoftware.com/player-profile/2142B288-43FF-46B4-8037-BD18E957E823", "Link")</f>
        <v/>
      </c>
      <c r="E848" s="3" t="n">
        <v>6.33</v>
      </c>
      <c r="F848" s="4" t="n">
        <v>2</v>
      </c>
      <c r="G848" t="inlineStr">
        <is>
          <t>British Columbia</t>
        </is>
      </c>
      <c r="H848" t="inlineStr">
        <is>
          <t>UBC Tennis Centre</t>
        </is>
      </c>
      <c r="I848" t="inlineStr">
        <is>
          <t>unavailable</t>
        </is>
      </c>
      <c r="J848" s="4" t="n">
        <v>58</v>
      </c>
      <c r="K848" t="inlineStr">
        <is>
          <t>28 / 30</t>
        </is>
      </c>
      <c r="L848" t="inlineStr">
        <is>
          <t>8 / 8</t>
        </is>
      </c>
      <c r="M848" s="5" t="n">
        <v>0.48</v>
      </c>
      <c r="N848" s="5" t="n">
        <v>0.5</v>
      </c>
    </row>
    <row r="849">
      <c r="A849" t="n">
        <v>848</v>
      </c>
      <c r="B849" t="n">
        <v>2016</v>
      </c>
      <c r="C849" t="inlineStr">
        <is>
          <t>Victoire Gayet</t>
        </is>
      </c>
      <c r="D849">
        <f>HYPERLINK("https://ota.tournamentsoftware.com/player-profile/DBBAA257-D054-46DF-AD87-43BF983BBD0C", "Link")</f>
        <v/>
      </c>
      <c r="E849" s="3" t="n">
        <v>6.264</v>
      </c>
      <c r="F849" s="4" t="n">
        <v>1</v>
      </c>
      <c r="G849" t="inlineStr">
        <is>
          <t>Tennis Québec</t>
        </is>
      </c>
      <c r="H849" t="inlineStr">
        <is>
          <t>Tennis Montréal Excellence</t>
        </is>
      </c>
      <c r="I849" t="n">
        <v>34.2</v>
      </c>
      <c r="J849" s="4" t="n">
        <v>47</v>
      </c>
      <c r="K849" t="inlineStr">
        <is>
          <t>27 / 20</t>
        </is>
      </c>
      <c r="L849" t="inlineStr">
        <is>
          <t>21 / 9</t>
        </is>
      </c>
      <c r="M849" s="5" t="n">
        <v>0.57</v>
      </c>
      <c r="N849" s="5" t="n">
        <v>0.7</v>
      </c>
    </row>
    <row r="850">
      <c r="A850" t="n">
        <v>849</v>
      </c>
      <c r="B850" t="n">
        <v>2012</v>
      </c>
      <c r="C850" t="inlineStr">
        <is>
          <t>Feiran Zhang</t>
        </is>
      </c>
      <c r="D850">
        <f>HYPERLINK("https://ota.tournamentsoftware.com/player-profile/8FFC114F-FEF3-40BF-AF97-E338D1EA4209", "Link")</f>
        <v/>
      </c>
      <c r="E850" s="3" t="n">
        <v>6.248</v>
      </c>
      <c r="F850" s="4" t="n">
        <v>1</v>
      </c>
      <c r="G850" t="inlineStr">
        <is>
          <t>British Columbia</t>
        </is>
      </c>
      <c r="H850" t="inlineStr">
        <is>
          <t>No Club</t>
        </is>
      </c>
      <c r="I850" t="n">
        <v>38.1</v>
      </c>
      <c r="J850" s="4" t="n">
        <v>14</v>
      </c>
      <c r="K850" t="inlineStr">
        <is>
          <t>5 / 9</t>
        </is>
      </c>
      <c r="L850" t="inlineStr">
        <is>
          <t>2 / 3</t>
        </is>
      </c>
      <c r="M850" s="5" t="n">
        <v>0.36</v>
      </c>
      <c r="N850" s="5" t="n">
        <v>0.4</v>
      </c>
    </row>
    <row r="851">
      <c r="A851" t="n">
        <v>849</v>
      </c>
      <c r="B851" t="n">
        <v>2012</v>
      </c>
      <c r="C851" t="inlineStr">
        <is>
          <t>Huiran Zhang</t>
        </is>
      </c>
      <c r="D851">
        <f>HYPERLINK("https://ota.tournamentsoftware.com/player-profile/1E917C5C-2B33-48E2-908B-A812DD532CD4", "Link")</f>
        <v/>
      </c>
      <c r="E851" s="3" t="n">
        <v>6.248</v>
      </c>
      <c r="F851" s="4" t="n">
        <v>1</v>
      </c>
      <c r="G851" t="inlineStr">
        <is>
          <t>British Columbia</t>
        </is>
      </c>
      <c r="H851" t="inlineStr">
        <is>
          <t>No Club</t>
        </is>
      </c>
      <c r="I851" t="n">
        <v>37.6</v>
      </c>
      <c r="J851" s="4" t="n">
        <v>13</v>
      </c>
      <c r="K851" t="inlineStr">
        <is>
          <t>2 / 11</t>
        </is>
      </c>
      <c r="L851" t="inlineStr">
        <is>
          <t>1 / 4</t>
        </is>
      </c>
      <c r="M851" s="5" t="n">
        <v>0.15</v>
      </c>
      <c r="N851" s="5" t="n">
        <v>0.2</v>
      </c>
    </row>
    <row r="852">
      <c r="A852" t="n">
        <v>851</v>
      </c>
      <c r="B852" t="n">
        <v>2016</v>
      </c>
      <c r="C852" t="inlineStr">
        <is>
          <t>Michelle Hiu Tung Law</t>
        </is>
      </c>
      <c r="D852">
        <f>HYPERLINK("https://ota.tournamentsoftware.com/player-profile/6B7246D7-C656-43B4-A93A-54E15E04D73D", "Link")</f>
        <v/>
      </c>
      <c r="E852" s="3" t="n">
        <v>6.048</v>
      </c>
      <c r="F852" s="4" t="n">
        <v>10</v>
      </c>
      <c r="G852" t="inlineStr">
        <is>
          <t>Tennis Alberta</t>
        </is>
      </c>
      <c r="H852" t="inlineStr">
        <is>
          <t>Saville Community Sports Centre</t>
        </is>
      </c>
      <c r="I852" t="n">
        <v>37.9</v>
      </c>
      <c r="J852" s="4" t="n">
        <v>79</v>
      </c>
      <c r="K852" t="inlineStr">
        <is>
          <t>32 / 47</t>
        </is>
      </c>
      <c r="L852" t="inlineStr">
        <is>
          <t>13 / 19</t>
        </is>
      </c>
      <c r="M852" s="5" t="n">
        <v>0.41</v>
      </c>
      <c r="N852" s="5" t="n">
        <v>0.41</v>
      </c>
    </row>
    <row r="853">
      <c r="A853" t="n">
        <v>852</v>
      </c>
      <c r="B853" t="n">
        <v>2014</v>
      </c>
      <c r="C853" t="inlineStr">
        <is>
          <t>Dina Karahotzitis</t>
        </is>
      </c>
      <c r="D853">
        <f>HYPERLINK("https://ota.tournamentsoftware.com/player-profile/741C9055-B842-4064-A339-E591B8FD72C4", "Link")</f>
        <v/>
      </c>
      <c r="E853" s="3" t="n">
        <v>6</v>
      </c>
      <c r="F853" s="4" t="n">
        <v>1</v>
      </c>
      <c r="G853" t="inlineStr">
        <is>
          <t>Ontario Tennis Association</t>
        </is>
      </c>
      <c r="H853" t="inlineStr">
        <is>
          <t>Mayfair West Fitness &amp; Racquet Club</t>
        </is>
      </c>
      <c r="I853" t="n">
        <v>34.9</v>
      </c>
      <c r="J853" s="4" t="n">
        <v>19</v>
      </c>
      <c r="K853" t="inlineStr">
        <is>
          <t>0 / 19</t>
        </is>
      </c>
      <c r="L853" t="inlineStr">
        <is>
          <t>0 / 0</t>
        </is>
      </c>
      <c r="M853" s="5" t="n">
        <v>0</v>
      </c>
      <c r="N853" s="5" t="n">
        <v>0</v>
      </c>
    </row>
    <row r="854">
      <c r="A854" t="n">
        <v>852</v>
      </c>
      <c r="B854" t="n">
        <v>2015</v>
      </c>
      <c r="C854" t="inlineStr">
        <is>
          <t>Allison Zhang</t>
        </is>
      </c>
      <c r="D854">
        <f>HYPERLINK("https://ota.tournamentsoftware.com/player-profile/7EED065B-4139-4D18-B6C0-4800BB20D171", "Link")</f>
        <v/>
      </c>
      <c r="E854" s="3" t="n">
        <v>6</v>
      </c>
      <c r="F854" s="4" t="n">
        <v>1</v>
      </c>
      <c r="G854" t="inlineStr">
        <is>
          <t>Ontario Tennis Association</t>
        </is>
      </c>
      <c r="H854" t="inlineStr">
        <is>
          <t>No Club</t>
        </is>
      </c>
      <c r="I854" t="inlineStr">
        <is>
          <t>unavailable</t>
        </is>
      </c>
      <c r="J854" s="4" t="n">
        <v>23</v>
      </c>
      <c r="K854" t="inlineStr">
        <is>
          <t>4 / 19</t>
        </is>
      </c>
      <c r="L854" t="inlineStr">
        <is>
          <t>0 / 0</t>
        </is>
      </c>
      <c r="M854" s="5" t="n">
        <v>0.17</v>
      </c>
      <c r="N854" s="5" t="n">
        <v>0</v>
      </c>
    </row>
    <row r="855">
      <c r="A855" t="n">
        <v>854</v>
      </c>
      <c r="B855" t="n">
        <v>2015</v>
      </c>
      <c r="C855" t="inlineStr">
        <is>
          <t>Vera Nino</t>
        </is>
      </c>
      <c r="D855">
        <f>HYPERLINK("https://ota.tournamentsoftware.com/player-profile/081EF9A9-B991-431D-B2FC-AC8426BD2711", "Link")</f>
        <v/>
      </c>
      <c r="E855" s="3" t="n">
        <v>5.803</v>
      </c>
      <c r="F855" s="4" t="n">
        <v>1</v>
      </c>
      <c r="G855" t="inlineStr">
        <is>
          <t>Ontario Tennis Association</t>
        </is>
      </c>
      <c r="H855" t="inlineStr">
        <is>
          <t>Zekelman Tennis Centre</t>
        </is>
      </c>
      <c r="I855" t="inlineStr">
        <is>
          <t>unavailable</t>
        </is>
      </c>
      <c r="J855" s="4" t="n">
        <v>6</v>
      </c>
      <c r="K855" t="inlineStr">
        <is>
          <t>0 / 6</t>
        </is>
      </c>
      <c r="L855" t="inlineStr">
        <is>
          <t>0 / 6</t>
        </is>
      </c>
      <c r="M855" s="5" t="n">
        <v>0</v>
      </c>
      <c r="N855" s="5" t="n">
        <v>0</v>
      </c>
    </row>
    <row r="856">
      <c r="A856" t="n">
        <v>855</v>
      </c>
      <c r="B856" t="n">
        <v>2015</v>
      </c>
      <c r="C856" t="inlineStr">
        <is>
          <t>Eleonore Dufour-McIver</t>
        </is>
      </c>
      <c r="D856">
        <f>HYPERLINK("https://ota.tournamentsoftware.com/player-profile/FF50EDFA-9603-4690-8980-1D1C475C4752", "Link")</f>
        <v/>
      </c>
      <c r="E856" s="3" t="n">
        <v>5.743</v>
      </c>
      <c r="F856" s="4" t="n">
        <v>1</v>
      </c>
      <c r="G856" t="inlineStr">
        <is>
          <t>Tennis Québec</t>
        </is>
      </c>
      <c r="H856" t="inlineStr">
        <is>
          <t>GRINDTENNIS</t>
        </is>
      </c>
      <c r="I856" t="n">
        <v>35.5</v>
      </c>
      <c r="J856" s="4" t="n">
        <v>11</v>
      </c>
      <c r="K856" t="inlineStr">
        <is>
          <t>9 / 2</t>
        </is>
      </c>
      <c r="L856" t="inlineStr">
        <is>
          <t>0 / 1</t>
        </is>
      </c>
      <c r="M856" s="5" t="n">
        <v>0.82</v>
      </c>
      <c r="N856" s="5" t="n">
        <v>0</v>
      </c>
    </row>
    <row r="857">
      <c r="A857" t="n">
        <v>856</v>
      </c>
      <c r="B857" t="n">
        <v>2012</v>
      </c>
      <c r="C857" t="inlineStr">
        <is>
          <t>Emma Thomson</t>
        </is>
      </c>
      <c r="D857">
        <f>HYPERLINK("https://ota.tournamentsoftware.com/player-profile/EE28DE8E-EE8A-4FBB-885B-733BCB8A08C4", "Link")</f>
        <v/>
      </c>
      <c r="E857" s="3" t="n">
        <v>5.404</v>
      </c>
      <c r="F857" s="4" t="n">
        <v>3</v>
      </c>
      <c r="G857" t="inlineStr">
        <is>
          <t>Tennis Alberta</t>
        </is>
      </c>
      <c r="H857" t="inlineStr">
        <is>
          <t>Osten &amp; Victor Alberta Tennis Centre</t>
        </is>
      </c>
      <c r="I857" t="inlineStr">
        <is>
          <t>unavailable</t>
        </is>
      </c>
      <c r="J857" s="4" t="n">
        <v>6</v>
      </c>
      <c r="K857" t="inlineStr">
        <is>
          <t>1 / 5</t>
        </is>
      </c>
      <c r="L857" t="inlineStr">
        <is>
          <t>1 / 1</t>
        </is>
      </c>
      <c r="M857" s="5" t="n">
        <v>0.17</v>
      </c>
      <c r="N857" s="5" t="n">
        <v>0.5</v>
      </c>
    </row>
    <row r="858">
      <c r="A858" t="n">
        <v>857</v>
      </c>
      <c r="B858" t="n">
        <v>2014</v>
      </c>
      <c r="C858" t="inlineStr">
        <is>
          <t>Alexandra Ciacoi-Pop</t>
        </is>
      </c>
      <c r="D858">
        <f>HYPERLINK("https://ota.tournamentsoftware.com/player-profile/4F87B1A1-F52A-4C8C-8C6B-776A59CC6D03", "Link")</f>
        <v/>
      </c>
      <c r="E858" s="3" t="n">
        <v>5.125</v>
      </c>
      <c r="F858" s="4" t="n">
        <v>1</v>
      </c>
      <c r="G858" t="inlineStr">
        <is>
          <t>Ontario Tennis Association</t>
        </is>
      </c>
      <c r="H858" t="inlineStr">
        <is>
          <t>Parkway Valley Tennis Club</t>
        </is>
      </c>
      <c r="I858" t="n">
        <v>38.8</v>
      </c>
      <c r="J858" s="4" t="n">
        <v>28</v>
      </c>
      <c r="K858" t="inlineStr">
        <is>
          <t>11 / 17</t>
        </is>
      </c>
      <c r="L858" t="inlineStr">
        <is>
          <t>7 / 12</t>
        </is>
      </c>
      <c r="M858" s="5" t="n">
        <v>0.39</v>
      </c>
      <c r="N858" s="5" t="n">
        <v>0.37</v>
      </c>
    </row>
    <row r="859">
      <c r="A859" t="n">
        <v>857</v>
      </c>
      <c r="B859" t="n">
        <v>2016</v>
      </c>
      <c r="C859" t="inlineStr">
        <is>
          <t>Marusya Bakaeva</t>
        </is>
      </c>
      <c r="D859">
        <f>HYPERLINK("https://ota.tournamentsoftware.com/player-profile/B7C51186-F387-4E99-B849-E8275BB7C0E9", "Link")</f>
        <v/>
      </c>
      <c r="E859" s="3" t="n">
        <v>5.125</v>
      </c>
      <c r="F859" s="4" t="n">
        <v>2</v>
      </c>
      <c r="G859" t="inlineStr">
        <is>
          <t>Ontario Tennis Association</t>
        </is>
      </c>
      <c r="H859" t="inlineStr">
        <is>
          <t>Toronto Tennis City</t>
        </is>
      </c>
      <c r="I859" t="n">
        <v>37.2</v>
      </c>
      <c r="J859" s="4" t="n">
        <v>16</v>
      </c>
      <c r="K859" t="inlineStr">
        <is>
          <t>6 / 10</t>
        </is>
      </c>
      <c r="L859" t="inlineStr">
        <is>
          <t>3 / 6</t>
        </is>
      </c>
      <c r="M859" s="5" t="n">
        <v>0.38</v>
      </c>
      <c r="N859" s="5" t="n">
        <v>0.33</v>
      </c>
    </row>
    <row r="860">
      <c r="A860" t="n">
        <v>859</v>
      </c>
      <c r="B860" t="n">
        <v>2015</v>
      </c>
      <c r="C860" t="inlineStr">
        <is>
          <t>Ruhi Juneja</t>
        </is>
      </c>
      <c r="D860">
        <f>HYPERLINK("https://ota.tournamentsoftware.com/player-profile/E7A03006-4960-4A35-8B80-22CB122EB413", "Link")</f>
        <v/>
      </c>
      <c r="E860" s="3" t="n">
        <v>5.073</v>
      </c>
      <c r="F860" s="4" t="n">
        <v>6</v>
      </c>
      <c r="G860" t="inlineStr">
        <is>
          <t>Tennis Alberta</t>
        </is>
      </c>
      <c r="H860" t="inlineStr">
        <is>
          <t>IQ Tennis and Pickleball Centre</t>
        </is>
      </c>
      <c r="I860" t="n">
        <v>39.7</v>
      </c>
      <c r="J860" s="4" t="n">
        <v>10</v>
      </c>
      <c r="K860" t="inlineStr">
        <is>
          <t>1 / 9</t>
        </is>
      </c>
      <c r="L860" t="inlineStr">
        <is>
          <t>1 / 9</t>
        </is>
      </c>
      <c r="M860" s="5" t="n">
        <v>0.1</v>
      </c>
      <c r="N860" s="5" t="n">
        <v>0.1</v>
      </c>
    </row>
    <row r="861">
      <c r="A861" t="n">
        <v>860</v>
      </c>
      <c r="B861" t="n">
        <v>2012</v>
      </c>
      <c r="C861" t="inlineStr">
        <is>
          <t>Frankie Hunsberger</t>
        </is>
      </c>
      <c r="D861">
        <f>HYPERLINK("https://ota.tournamentsoftware.com/player-profile/288F03A3-20CB-46BE-B35D-7428B5B7FA35", "Link")</f>
        <v/>
      </c>
      <c r="E861" s="3" t="n">
        <v>5.054</v>
      </c>
      <c r="F861" s="4" t="n">
        <v>2</v>
      </c>
      <c r="G861" t="inlineStr">
        <is>
          <t>British Columbia</t>
        </is>
      </c>
      <c r="H861" t="inlineStr">
        <is>
          <t>North Shore Winter Club</t>
        </is>
      </c>
      <c r="I861" t="inlineStr">
        <is>
          <t>unavailable</t>
        </is>
      </c>
      <c r="J861" s="4" t="inlineStr"/>
      <c r="K861" t="inlineStr">
        <is>
          <t>unavailable</t>
        </is>
      </c>
      <c r="L861" t="inlineStr">
        <is>
          <t>unavailable</t>
        </is>
      </c>
      <c r="M861" s="5" t="inlineStr"/>
      <c r="N861" s="5" t="inlineStr"/>
    </row>
    <row r="862">
      <c r="A862" t="n">
        <v>861</v>
      </c>
      <c r="B862" t="n">
        <v>2014</v>
      </c>
      <c r="C862" t="inlineStr">
        <is>
          <t>Freya Run Rutledge</t>
        </is>
      </c>
      <c r="D862">
        <f>HYPERLINK("https://ota.tournamentsoftware.com/player-profile/76B60137-7272-4F42-A455-109E20840062", "Link")</f>
        <v/>
      </c>
      <c r="E862" s="3" t="n">
        <v>5</v>
      </c>
      <c r="F862" s="4" t="n">
        <v>1</v>
      </c>
      <c r="G862" t="inlineStr">
        <is>
          <t>Ontario Tennis Association</t>
        </is>
      </c>
      <c r="H862" t="inlineStr">
        <is>
          <t>Boulevard Club</t>
        </is>
      </c>
      <c r="I862" t="n">
        <v>34.9</v>
      </c>
      <c r="J862" s="4" t="n">
        <v>14</v>
      </c>
      <c r="K862" t="inlineStr">
        <is>
          <t>0 / 14</t>
        </is>
      </c>
      <c r="L862" t="inlineStr">
        <is>
          <t>0 / 1</t>
        </is>
      </c>
      <c r="M862" s="5" t="n">
        <v>0</v>
      </c>
      <c r="N862" s="5" t="n">
        <v>0</v>
      </c>
    </row>
    <row r="863">
      <c r="A863" t="n">
        <v>861</v>
      </c>
      <c r="B863" t="n">
        <v>2015</v>
      </c>
      <c r="C863" t="inlineStr">
        <is>
          <t>Cynthia Wang</t>
        </is>
      </c>
      <c r="D863">
        <f>HYPERLINK("https://ota.tournamentsoftware.com/player-profile/C8736B80-1071-4F4F-86B0-CA7FB630F618", "Link")</f>
        <v/>
      </c>
      <c r="E863" s="3" t="n">
        <v>5</v>
      </c>
      <c r="F863" s="4" t="n">
        <v>1</v>
      </c>
      <c r="G863" t="inlineStr">
        <is>
          <t>Ontario Tennis Association</t>
        </is>
      </c>
      <c r="H863" t="inlineStr">
        <is>
          <t>SmartVMC Racquetsports by ACE</t>
        </is>
      </c>
      <c r="I863" t="n">
        <v>37.4</v>
      </c>
      <c r="J863" s="4" t="n">
        <v>3</v>
      </c>
      <c r="K863" t="inlineStr">
        <is>
          <t>0 / 3</t>
        </is>
      </c>
      <c r="L863" t="inlineStr">
        <is>
          <t>0 / 0</t>
        </is>
      </c>
      <c r="M863" s="5" t="n">
        <v>0</v>
      </c>
      <c r="N863" s="5" t="n">
        <v>0</v>
      </c>
    </row>
    <row r="864">
      <c r="A864" t="n">
        <v>861</v>
      </c>
      <c r="B864" t="n">
        <v>2014</v>
      </c>
      <c r="C864" t="inlineStr">
        <is>
          <t>Mackenzie Lee</t>
        </is>
      </c>
      <c r="D864">
        <f>HYPERLINK("https://ota.tournamentsoftware.com/player-profile/7734E749-B5B7-4067-9AE1-B5CB58EFDC1A", "Link")</f>
        <v/>
      </c>
      <c r="E864" s="3" t="n">
        <v>5</v>
      </c>
      <c r="F864" s="4" t="n">
        <v>1</v>
      </c>
      <c r="G864" t="inlineStr">
        <is>
          <t>Ontario Tennis Association</t>
        </is>
      </c>
      <c r="H864" t="inlineStr">
        <is>
          <t>Toronto Lawn Tennis Club</t>
        </is>
      </c>
      <c r="I864" t="inlineStr">
        <is>
          <t>unavailable</t>
        </is>
      </c>
      <c r="J864" s="4" t="n">
        <v>13</v>
      </c>
      <c r="K864" t="inlineStr">
        <is>
          <t>5 / 8</t>
        </is>
      </c>
      <c r="L864" t="inlineStr">
        <is>
          <t>4 / 3</t>
        </is>
      </c>
      <c r="M864" s="5" t="n">
        <v>0.38</v>
      </c>
      <c r="N864" s="5" t="n">
        <v>0.57</v>
      </c>
    </row>
    <row r="865">
      <c r="A865" t="n">
        <v>861</v>
      </c>
      <c r="B865" t="n">
        <v>2013</v>
      </c>
      <c r="C865" t="inlineStr">
        <is>
          <t>Barbara Li</t>
        </is>
      </c>
      <c r="D865">
        <f>HYPERLINK("https://ota.tournamentsoftware.com/player-profile/FFEAFA99-A203-4A57-A5C8-1E0592A53A81", "Link")</f>
        <v/>
      </c>
      <c r="E865" s="3" t="n">
        <v>5</v>
      </c>
      <c r="F865" s="4" t="n">
        <v>1</v>
      </c>
      <c r="G865" t="inlineStr">
        <is>
          <t>British Columbia</t>
        </is>
      </c>
      <c r="H865" t="inlineStr">
        <is>
          <t>Hollyburn Country Club</t>
        </is>
      </c>
      <c r="I865" t="n">
        <v>39.7</v>
      </c>
      <c r="J865" s="4" t="n">
        <v>13</v>
      </c>
      <c r="K865" t="inlineStr">
        <is>
          <t>3 / 10</t>
        </is>
      </c>
      <c r="L865" t="inlineStr">
        <is>
          <t>0 / 0</t>
        </is>
      </c>
      <c r="M865" s="5" t="n">
        <v>0.23</v>
      </c>
      <c r="N865" s="5" t="n">
        <v>0</v>
      </c>
    </row>
    <row r="866">
      <c r="A866" t="n">
        <v>865</v>
      </c>
      <c r="B866" t="n">
        <v>2014</v>
      </c>
      <c r="C866" t="inlineStr">
        <is>
          <t>Alicia Januario</t>
        </is>
      </c>
      <c r="D866">
        <f>HYPERLINK("https://ota.tournamentsoftware.com/player-profile/C042725A-21A9-463F-848F-04CEA3B56FE5", "Link")</f>
        <v/>
      </c>
      <c r="E866" s="3" t="n">
        <v>4.927</v>
      </c>
      <c r="F866" s="4" t="n">
        <v>2</v>
      </c>
      <c r="G866" t="inlineStr">
        <is>
          <t>Tennis Québec</t>
        </is>
      </c>
      <c r="H866" t="inlineStr">
        <is>
          <t>No Club</t>
        </is>
      </c>
      <c r="I866" t="n">
        <v>37.7</v>
      </c>
      <c r="J866" s="4" t="n">
        <v>6</v>
      </c>
      <c r="K866" t="inlineStr">
        <is>
          <t>1 / 5</t>
        </is>
      </c>
      <c r="L866" t="inlineStr">
        <is>
          <t>1 / 5</t>
        </is>
      </c>
      <c r="M866" s="5" t="n">
        <v>0.17</v>
      </c>
      <c r="N866" s="5" t="n">
        <v>0.17</v>
      </c>
    </row>
    <row r="867">
      <c r="A867" t="n">
        <v>866</v>
      </c>
      <c r="B867" t="n">
        <v>2016</v>
      </c>
      <c r="C867" t="inlineStr">
        <is>
          <t>Ella Luo</t>
        </is>
      </c>
      <c r="D867">
        <f>HYPERLINK("https://ota.tournamentsoftware.com/player-profile/3031CAE1-D7FD-42C8-B04F-2247B30476FE", "Link")</f>
        <v/>
      </c>
      <c r="E867" s="3" t="n">
        <v>4.838</v>
      </c>
      <c r="F867" s="4" t="n">
        <v>4</v>
      </c>
      <c r="G867" t="inlineStr">
        <is>
          <t>Tennis Alberta</t>
        </is>
      </c>
      <c r="H867" t="inlineStr">
        <is>
          <t>Saville Community Sports Centre</t>
        </is>
      </c>
      <c r="I867" t="n">
        <v>37.9</v>
      </c>
      <c r="J867" s="4" t="n">
        <v>32</v>
      </c>
      <c r="K867" t="inlineStr">
        <is>
          <t>13 / 19</t>
        </is>
      </c>
      <c r="L867" t="inlineStr">
        <is>
          <t>13 / 15</t>
        </is>
      </c>
      <c r="M867" s="5" t="n">
        <v>0.41</v>
      </c>
      <c r="N867" s="5" t="n">
        <v>0.46</v>
      </c>
    </row>
    <row r="868">
      <c r="A868" t="n">
        <v>867</v>
      </c>
      <c r="B868" t="n">
        <v>2013</v>
      </c>
      <c r="C868" t="inlineStr">
        <is>
          <t>Grâce-David Adzo TRAORÉ</t>
        </is>
      </c>
      <c r="D868">
        <f>HYPERLINK("https://ota.tournamentsoftware.com/player-profile/2A96F5BB-709B-450E-A0CA-0442985A8D03", "Link")</f>
        <v/>
      </c>
      <c r="E868" s="3" t="n">
        <v>4.806</v>
      </c>
      <c r="F868" s="4" t="n">
        <v>1</v>
      </c>
      <c r="G868" t="inlineStr">
        <is>
          <t>Tennis Québec</t>
        </is>
      </c>
      <c r="H868" t="inlineStr">
        <is>
          <t>QC AutreClub</t>
        </is>
      </c>
      <c r="I868" t="inlineStr">
        <is>
          <t>unavailable</t>
        </is>
      </c>
      <c r="J868" s="4" t="n">
        <v>1</v>
      </c>
      <c r="K868" t="inlineStr">
        <is>
          <t>0 / 1</t>
        </is>
      </c>
      <c r="L868" t="inlineStr">
        <is>
          <t>0 / 0</t>
        </is>
      </c>
      <c r="M868" s="5" t="n">
        <v>0</v>
      </c>
      <c r="N868" s="5" t="n">
        <v>0</v>
      </c>
    </row>
    <row r="869">
      <c r="A869" t="n">
        <v>867</v>
      </c>
      <c r="B869" t="n">
        <v>2014</v>
      </c>
      <c r="C869" t="inlineStr">
        <is>
          <t>Emma Sun</t>
        </is>
      </c>
      <c r="D869">
        <f>HYPERLINK("https://ota.tournamentsoftware.com/player-profile/872E410F-742F-4F80-9387-6C15C73FE92E", "Link")</f>
        <v/>
      </c>
      <c r="E869" s="3" t="n">
        <v>4.806</v>
      </c>
      <c r="F869" s="4" t="n">
        <v>1</v>
      </c>
      <c r="G869" t="inlineStr">
        <is>
          <t>Ontario Tennis Association</t>
        </is>
      </c>
      <c r="H869" t="inlineStr">
        <is>
          <t>Valan Tennis Academy</t>
        </is>
      </c>
      <c r="I869" t="n">
        <v>38.5</v>
      </c>
      <c r="J869" s="4" t="n">
        <v>18</v>
      </c>
      <c r="K869" t="inlineStr">
        <is>
          <t>10 / 8</t>
        </is>
      </c>
      <c r="L869" t="inlineStr">
        <is>
          <t>1 / 1</t>
        </is>
      </c>
      <c r="M869" s="5" t="n">
        <v>0.5600000000000001</v>
      </c>
      <c r="N869" s="5" t="n">
        <v>0.5</v>
      </c>
    </row>
    <row r="870">
      <c r="A870" t="n">
        <v>867</v>
      </c>
      <c r="B870" t="n">
        <v>2014</v>
      </c>
      <c r="C870" t="inlineStr">
        <is>
          <t>Iris Li</t>
        </is>
      </c>
      <c r="D870">
        <f>HYPERLINK("https://ota.tournamentsoftware.com/player-profile/CC36F5CC-203F-4A28-B27C-068A0E15610C", "Link")</f>
        <v/>
      </c>
      <c r="E870" s="3" t="n">
        <v>4.806</v>
      </c>
      <c r="F870" s="4" t="n">
        <v>2</v>
      </c>
      <c r="G870" t="inlineStr">
        <is>
          <t>British Columbia</t>
        </is>
      </c>
      <c r="H870" t="inlineStr">
        <is>
          <t>Tennis for Life</t>
        </is>
      </c>
      <c r="I870" t="n">
        <v>39.6</v>
      </c>
      <c r="J870" s="4" t="n">
        <v>43</v>
      </c>
      <c r="K870" t="inlineStr">
        <is>
          <t>17 / 26</t>
        </is>
      </c>
      <c r="L870" t="inlineStr">
        <is>
          <t>8 / 4</t>
        </is>
      </c>
      <c r="M870" s="5" t="n">
        <v>0.4</v>
      </c>
      <c r="N870" s="5" t="n">
        <v>0.67</v>
      </c>
    </row>
    <row r="871">
      <c r="A871" t="n">
        <v>867</v>
      </c>
      <c r="B871" t="n">
        <v>2014</v>
      </c>
      <c r="C871" t="inlineStr">
        <is>
          <t>Hannah Kucherawy</t>
        </is>
      </c>
      <c r="D871">
        <f>HYPERLINK("https://ota.tournamentsoftware.com/player-profile/E2ACD595-E7E5-40E3-935D-57DCECB8E04C", "Link")</f>
        <v/>
      </c>
      <c r="E871" s="3" t="n">
        <v>4.806</v>
      </c>
      <c r="F871" s="4" t="n">
        <v>1</v>
      </c>
      <c r="G871" t="inlineStr">
        <is>
          <t>Ontario Tennis Association</t>
        </is>
      </c>
      <c r="H871" t="inlineStr">
        <is>
          <t>Simcoe Tennis</t>
        </is>
      </c>
      <c r="I871" t="n">
        <v>35.6</v>
      </c>
      <c r="J871" s="4" t="n">
        <v>23</v>
      </c>
      <c r="K871" t="inlineStr">
        <is>
          <t>3 / 20</t>
        </is>
      </c>
      <c r="L871" t="inlineStr">
        <is>
          <t>1 / 1</t>
        </is>
      </c>
      <c r="M871" s="5" t="n">
        <v>0.13</v>
      </c>
      <c r="N871" s="5" t="n">
        <v>0.5</v>
      </c>
    </row>
    <row r="872">
      <c r="A872" t="n">
        <v>871</v>
      </c>
      <c r="B872" t="n">
        <v>2014</v>
      </c>
      <c r="C872" t="inlineStr">
        <is>
          <t>Tillya Villeneuve</t>
        </is>
      </c>
      <c r="D872">
        <f>HYPERLINK("https://ota.tournamentsoftware.com/player-profile/B96926BC-0825-4914-B6C7-E7906E4AC960", "Link")</f>
        <v/>
      </c>
      <c r="E872" s="3" t="n">
        <v>4.752</v>
      </c>
      <c r="F872" s="4" t="n">
        <v>6</v>
      </c>
      <c r="G872" t="inlineStr">
        <is>
          <t>Tennis Alberta</t>
        </is>
      </c>
      <c r="H872" t="inlineStr">
        <is>
          <t>Aforza</t>
        </is>
      </c>
      <c r="I872" t="inlineStr">
        <is>
          <t>unavailable</t>
        </is>
      </c>
      <c r="J872" s="4" t="n">
        <v>13</v>
      </c>
      <c r="K872" t="inlineStr">
        <is>
          <t>5 / 8</t>
        </is>
      </c>
      <c r="L872" t="inlineStr">
        <is>
          <t>5 / 8</t>
        </is>
      </c>
      <c r="M872" s="5" t="n">
        <v>0.38</v>
      </c>
      <c r="N872" s="5" t="n">
        <v>0.38</v>
      </c>
    </row>
    <row r="873">
      <c r="A873" t="n">
        <v>872</v>
      </c>
      <c r="B873" t="n">
        <v>2012</v>
      </c>
      <c r="C873" t="inlineStr">
        <is>
          <t>Katie Elizabeth Furlan</t>
        </is>
      </c>
      <c r="D873">
        <f>HYPERLINK("https://ota.tournamentsoftware.com/player-profile/CB36C2DA-0DAF-44E4-AE44-0A925ED0DFC0", "Link")</f>
        <v/>
      </c>
      <c r="E873" s="3" t="n">
        <v>4.538</v>
      </c>
      <c r="F873" s="4" t="n">
        <v>4</v>
      </c>
      <c r="G873" t="inlineStr">
        <is>
          <t>Tennis Alberta</t>
        </is>
      </c>
      <c r="H873" t="inlineStr">
        <is>
          <t>The Glencoe Club</t>
        </is>
      </c>
      <c r="I873" t="n">
        <v>38.4</v>
      </c>
      <c r="J873" s="4" t="n">
        <v>25</v>
      </c>
      <c r="K873" t="inlineStr">
        <is>
          <t>6 / 19</t>
        </is>
      </c>
      <c r="L873" t="inlineStr">
        <is>
          <t>0 / 2</t>
        </is>
      </c>
      <c r="M873" s="5" t="n">
        <v>0.24</v>
      </c>
      <c r="N873" s="5" t="n">
        <v>0</v>
      </c>
    </row>
    <row r="874">
      <c r="A874" t="n">
        <v>873</v>
      </c>
      <c r="B874" t="n">
        <v>2013</v>
      </c>
      <c r="C874" t="inlineStr">
        <is>
          <t>rafaela pena</t>
        </is>
      </c>
      <c r="D874">
        <f>HYPERLINK("https://ota.tournamentsoftware.com/player-profile/A4EAF82E-5402-4B2B-B03B-0E790D9A9F99", "Link")</f>
        <v/>
      </c>
      <c r="E874" s="3" t="n">
        <v>4.29</v>
      </c>
      <c r="F874" s="4" t="n">
        <v>1</v>
      </c>
      <c r="G874" t="inlineStr">
        <is>
          <t>Tennis Québec</t>
        </is>
      </c>
      <c r="H874" t="inlineStr">
        <is>
          <t>Tennis Québec (région Montréal Ouest)</t>
        </is>
      </c>
      <c r="I874" t="inlineStr">
        <is>
          <t>unavailable</t>
        </is>
      </c>
      <c r="J874" s="4" t="n">
        <v>10</v>
      </c>
      <c r="K874" t="inlineStr">
        <is>
          <t>4 / 6</t>
        </is>
      </c>
      <c r="L874" t="inlineStr">
        <is>
          <t>0 / 0</t>
        </is>
      </c>
      <c r="M874" s="5" t="n">
        <v>0.4</v>
      </c>
      <c r="N874" s="5" t="n">
        <v>0</v>
      </c>
    </row>
    <row r="875">
      <c r="A875" t="n">
        <v>874</v>
      </c>
      <c r="B875" t="n">
        <v>2012</v>
      </c>
      <c r="C875" t="inlineStr">
        <is>
          <t>Lucia Racquel Deagle</t>
        </is>
      </c>
      <c r="D875">
        <f>HYPERLINK("https://ota.tournamentsoftware.com/player-profile/9262B9F2-035F-451E-8B86-6E98C95AB597", "Link")</f>
        <v/>
      </c>
      <c r="E875" s="3" t="n">
        <v>4.173</v>
      </c>
      <c r="F875" s="4" t="n">
        <v>2</v>
      </c>
      <c r="G875" t="inlineStr">
        <is>
          <t>Tennis Alberta</t>
        </is>
      </c>
      <c r="H875" t="inlineStr">
        <is>
          <t>Aforza</t>
        </is>
      </c>
      <c r="I875" t="n">
        <v>39.2</v>
      </c>
      <c r="J875" s="4" t="n">
        <v>17</v>
      </c>
      <c r="K875" t="inlineStr">
        <is>
          <t>1 / 16</t>
        </is>
      </c>
      <c r="L875" t="inlineStr">
        <is>
          <t>0 / 0</t>
        </is>
      </c>
      <c r="M875" s="5" t="n">
        <v>0.06</v>
      </c>
      <c r="N875" s="5" t="n">
        <v>0</v>
      </c>
    </row>
    <row r="876">
      <c r="A876" t="n">
        <v>875</v>
      </c>
      <c r="B876" t="n">
        <v>2015</v>
      </c>
      <c r="C876" t="inlineStr">
        <is>
          <t>Emmy Judge</t>
        </is>
      </c>
      <c r="D876">
        <f>HYPERLINK("https://ota.tournamentsoftware.com/player-profile/553284DE-2D65-4837-B86A-2230DB300AC5", "Link")</f>
        <v/>
      </c>
      <c r="E876" s="3" t="n">
        <v>4.077</v>
      </c>
      <c r="F876" s="4" t="n">
        <v>1</v>
      </c>
      <c r="G876" t="inlineStr">
        <is>
          <t>Ontario Tennis Association</t>
        </is>
      </c>
      <c r="H876" t="inlineStr">
        <is>
          <t>No Club</t>
        </is>
      </c>
      <c r="I876" t="inlineStr">
        <is>
          <t>unavailable</t>
        </is>
      </c>
      <c r="J876" s="4" t="n">
        <v>4</v>
      </c>
      <c r="K876" t="inlineStr">
        <is>
          <t>0 / 4</t>
        </is>
      </c>
      <c r="L876" t="inlineStr">
        <is>
          <t>0 / 4</t>
        </is>
      </c>
      <c r="M876" s="5" t="n">
        <v>0</v>
      </c>
      <c r="N876" s="5" t="n">
        <v>0</v>
      </c>
    </row>
    <row r="877">
      <c r="A877" t="n">
        <v>876</v>
      </c>
      <c r="B877" t="n">
        <v>2014</v>
      </c>
      <c r="C877" t="inlineStr">
        <is>
          <t>Sophia Zhao</t>
        </is>
      </c>
      <c r="D877">
        <f>HYPERLINK("https://ota.tournamentsoftware.com/player-profile/388D9D37-AB69-4888-AB07-C709FC6BB450", "Link")</f>
        <v/>
      </c>
      <c r="E877" s="3" t="n">
        <v>4</v>
      </c>
      <c r="F877" s="4" t="n">
        <v>1</v>
      </c>
      <c r="G877" t="inlineStr">
        <is>
          <t>British Columbia</t>
        </is>
      </c>
      <c r="H877" t="inlineStr">
        <is>
          <t>Hollyburn Country Club</t>
        </is>
      </c>
      <c r="I877" t="inlineStr">
        <is>
          <t>unavailable</t>
        </is>
      </c>
      <c r="J877" s="4" t="n">
        <v>3</v>
      </c>
      <c r="K877" t="inlineStr">
        <is>
          <t>0 / 3</t>
        </is>
      </c>
      <c r="L877" t="inlineStr">
        <is>
          <t>0 / 0</t>
        </is>
      </c>
      <c r="M877" s="5" t="n">
        <v>0</v>
      </c>
      <c r="N877" s="5" t="n">
        <v>0</v>
      </c>
    </row>
    <row r="878">
      <c r="A878" t="n">
        <v>876</v>
      </c>
      <c r="B878" t="n">
        <v>2013</v>
      </c>
      <c r="C878" t="inlineStr">
        <is>
          <t>Xi Niu</t>
        </is>
      </c>
      <c r="D878">
        <f>HYPERLINK("https://ota.tournamentsoftware.com/player-profile/B2759B21-5521-4528-9454-D7FF201653DE", "Link")</f>
        <v/>
      </c>
      <c r="E878" s="3" t="n">
        <v>4</v>
      </c>
      <c r="F878" s="4" t="n">
        <v>1</v>
      </c>
      <c r="G878" t="inlineStr">
        <is>
          <t>British Columbia</t>
        </is>
      </c>
      <c r="H878" t="inlineStr">
        <is>
          <t>No Club</t>
        </is>
      </c>
      <c r="I878" t="inlineStr">
        <is>
          <t>unavailable</t>
        </is>
      </c>
      <c r="J878" s="4" t="n">
        <v>3</v>
      </c>
      <c r="K878" t="inlineStr">
        <is>
          <t>0 / 3</t>
        </is>
      </c>
      <c r="L878" t="inlineStr">
        <is>
          <t>0 / 0</t>
        </is>
      </c>
      <c r="M878" s="5" t="n">
        <v>0</v>
      </c>
      <c r="N878" s="5" t="n">
        <v>0</v>
      </c>
    </row>
    <row r="879">
      <c r="A879" t="n">
        <v>876</v>
      </c>
      <c r="B879" t="n">
        <v>2014</v>
      </c>
      <c r="C879" t="inlineStr">
        <is>
          <t>Sophia Jaffer</t>
        </is>
      </c>
      <c r="D879">
        <f>HYPERLINK("https://ota.tournamentsoftware.com/player-profile/264F2E7F-0F8D-4B4E-875F-FAAFDB4E9D43", "Link")</f>
        <v/>
      </c>
      <c r="E879" s="3" t="n">
        <v>4</v>
      </c>
      <c r="F879" s="4" t="n">
        <v>1</v>
      </c>
      <c r="G879" t="inlineStr">
        <is>
          <t>British Columbia</t>
        </is>
      </c>
      <c r="H879" t="inlineStr">
        <is>
          <t>Hollyburn Country Club</t>
        </is>
      </c>
      <c r="I879" t="n">
        <v>38.6</v>
      </c>
      <c r="J879" s="4" t="n">
        <v>20</v>
      </c>
      <c r="K879" t="inlineStr">
        <is>
          <t>7 / 13</t>
        </is>
      </c>
      <c r="L879" t="inlineStr">
        <is>
          <t>7 / 8</t>
        </is>
      </c>
      <c r="M879" s="5" t="n">
        <v>0.35</v>
      </c>
      <c r="N879" s="5" t="n">
        <v>0.47</v>
      </c>
    </row>
    <row r="880">
      <c r="A880" t="n">
        <v>879</v>
      </c>
      <c r="B880" t="n">
        <v>2013</v>
      </c>
      <c r="C880" t="inlineStr">
        <is>
          <t>Vittoria Veronica Noce</t>
        </is>
      </c>
      <c r="D880">
        <f>HYPERLINK("https://ota.tournamentsoftware.com/player-profile/00D388D4-0B24-4339-9B51-BDB96207A30D", "Link")</f>
        <v/>
      </c>
      <c r="E880" s="3" t="n">
        <v>3.889</v>
      </c>
      <c r="F880" s="4" t="n">
        <v>3</v>
      </c>
      <c r="G880" t="inlineStr">
        <is>
          <t>Tennis Alberta</t>
        </is>
      </c>
      <c r="H880" t="inlineStr">
        <is>
          <t>Saville Community Sports Centre</t>
        </is>
      </c>
      <c r="I880" t="n">
        <v>37.1</v>
      </c>
      <c r="J880" s="4" t="n">
        <v>51</v>
      </c>
      <c r="K880" t="inlineStr">
        <is>
          <t>13 / 38</t>
        </is>
      </c>
      <c r="L880" t="inlineStr">
        <is>
          <t>3 / 5</t>
        </is>
      </c>
      <c r="M880" s="5" t="n">
        <v>0.25</v>
      </c>
      <c r="N880" s="5" t="n">
        <v>0.38</v>
      </c>
    </row>
    <row r="881">
      <c r="A881" t="n">
        <v>880</v>
      </c>
      <c r="B881" t="n">
        <v>2017</v>
      </c>
      <c r="C881" t="inlineStr">
        <is>
          <t>Nysa Iyer</t>
        </is>
      </c>
      <c r="D881">
        <f>HYPERLINK("https://ota.tournamentsoftware.com/player-profile/7133F3A1-6724-4B35-BBF9-2DFB20E0D933", "Link")</f>
        <v/>
      </c>
      <c r="E881" s="3" t="n">
        <v>3.888</v>
      </c>
      <c r="F881" s="4" t="n">
        <v>3</v>
      </c>
      <c r="G881" t="inlineStr">
        <is>
          <t>Tennis Alberta</t>
        </is>
      </c>
      <c r="H881" t="inlineStr">
        <is>
          <t>No Club</t>
        </is>
      </c>
      <c r="I881" t="n">
        <v>38.1</v>
      </c>
      <c r="J881" s="4" t="n">
        <v>65</v>
      </c>
      <c r="K881" t="inlineStr">
        <is>
          <t>32 / 33</t>
        </is>
      </c>
      <c r="L881" t="inlineStr">
        <is>
          <t>15 / 12</t>
        </is>
      </c>
      <c r="M881" s="5" t="n">
        <v>0.49</v>
      </c>
      <c r="N881" s="5" t="n">
        <v>0.5600000000000001</v>
      </c>
    </row>
    <row r="882">
      <c r="A882" t="n">
        <v>880</v>
      </c>
      <c r="B882" t="n">
        <v>2015</v>
      </c>
      <c r="C882" t="inlineStr">
        <is>
          <t>Maya Clara Shakra</t>
        </is>
      </c>
      <c r="D882">
        <f>HYPERLINK("https://ota.tournamentsoftware.com/player-profile/50FA5A17-1808-42C0-B8C3-34766E9151A2", "Link")</f>
        <v/>
      </c>
      <c r="E882" s="3" t="n">
        <v>3.888</v>
      </c>
      <c r="F882" s="4" t="n">
        <v>1</v>
      </c>
      <c r="G882" t="inlineStr">
        <is>
          <t>Ontario Tennis Association</t>
        </is>
      </c>
      <c r="H882" t="inlineStr">
        <is>
          <t>Toronto Tennis Academy</t>
        </is>
      </c>
      <c r="I882" t="inlineStr">
        <is>
          <t>unavailable</t>
        </is>
      </c>
      <c r="J882" s="4" t="n">
        <v>44</v>
      </c>
      <c r="K882" t="inlineStr">
        <is>
          <t>14 / 30</t>
        </is>
      </c>
      <c r="L882" t="inlineStr">
        <is>
          <t>3 / 6</t>
        </is>
      </c>
      <c r="M882" s="5" t="n">
        <v>0.32</v>
      </c>
      <c r="N882" s="5" t="n">
        <v>0.33</v>
      </c>
    </row>
    <row r="883">
      <c r="A883" t="n">
        <v>880</v>
      </c>
      <c r="B883" t="n">
        <v>2016</v>
      </c>
      <c r="C883" t="inlineStr">
        <is>
          <t>Yuxuan Niu</t>
        </is>
      </c>
      <c r="D883">
        <f>HYPERLINK("https://ota.tournamentsoftware.com/player-profile/49C2723D-DBBA-48CA-B20D-69A550E45FB4", "Link")</f>
        <v/>
      </c>
      <c r="E883" s="3" t="n">
        <v>3.888</v>
      </c>
      <c r="F883" s="4" t="n">
        <v>2</v>
      </c>
      <c r="G883" t="inlineStr">
        <is>
          <t>Ontario Tennis Association</t>
        </is>
      </c>
      <c r="H883" t="inlineStr">
        <is>
          <t>Premier Racquet Clubs – Mississauga</t>
        </is>
      </c>
      <c r="I883" t="inlineStr">
        <is>
          <t>unavailable</t>
        </is>
      </c>
      <c r="J883" s="4" t="n">
        <v>19</v>
      </c>
      <c r="K883" t="inlineStr">
        <is>
          <t>13 / 6</t>
        </is>
      </c>
      <c r="L883" t="inlineStr">
        <is>
          <t>13 / 6</t>
        </is>
      </c>
      <c r="M883" s="5" t="n">
        <v>0.68</v>
      </c>
      <c r="N883" s="5" t="n">
        <v>0.68</v>
      </c>
    </row>
    <row r="884">
      <c r="A884" t="n">
        <v>880</v>
      </c>
      <c r="B884" t="n">
        <v>2015</v>
      </c>
      <c r="C884" t="inlineStr">
        <is>
          <t>JIAYI LIN</t>
        </is>
      </c>
      <c r="D884">
        <f>HYPERLINK("https://ota.tournamentsoftware.com/player-profile/9025A036-DFDA-4A69-B03F-EEE43D14A3C3", "Link")</f>
        <v/>
      </c>
      <c r="E884" s="3" t="n">
        <v>3.888</v>
      </c>
      <c r="F884" s="4" t="n">
        <v>1</v>
      </c>
      <c r="G884" t="inlineStr">
        <is>
          <t>Ontario Tennis Association</t>
        </is>
      </c>
      <c r="H884" t="inlineStr">
        <is>
          <t>Mayfair Parkway Racquet Club</t>
        </is>
      </c>
      <c r="I884" t="n">
        <v>38.6</v>
      </c>
      <c r="J884" s="4" t="n">
        <v>2</v>
      </c>
      <c r="K884" t="inlineStr">
        <is>
          <t>0 / 2</t>
        </is>
      </c>
      <c r="L884" t="inlineStr">
        <is>
          <t>0 / 2</t>
        </is>
      </c>
      <c r="M884" s="5" t="n">
        <v>0</v>
      </c>
      <c r="N884" s="5" t="n">
        <v>0</v>
      </c>
    </row>
    <row r="885">
      <c r="A885" t="n">
        <v>880</v>
      </c>
      <c r="B885" t="n">
        <v>2015</v>
      </c>
      <c r="C885" t="inlineStr">
        <is>
          <t>Olivia Franchi</t>
        </is>
      </c>
      <c r="D885">
        <f>HYPERLINK("https://ota.tournamentsoftware.com/player-profile/71DEE53D-92D1-4C5D-A9AE-0F02860DD189", "Link")</f>
        <v/>
      </c>
      <c r="E885" s="3" t="n">
        <v>3.888</v>
      </c>
      <c r="F885" s="4" t="n">
        <v>1</v>
      </c>
      <c r="G885" t="inlineStr">
        <is>
          <t>Ontario Tennis Association</t>
        </is>
      </c>
      <c r="H885" t="inlineStr">
        <is>
          <t>Barrie North Winter Tennis</t>
        </is>
      </c>
      <c r="I885" t="n">
        <v>37.6</v>
      </c>
      <c r="J885" s="4" t="n">
        <v>14</v>
      </c>
      <c r="K885" t="inlineStr">
        <is>
          <t>0 / 14</t>
        </is>
      </c>
      <c r="L885" t="inlineStr">
        <is>
          <t>0 / 2</t>
        </is>
      </c>
      <c r="M885" s="5" t="n">
        <v>0</v>
      </c>
      <c r="N885" s="5" t="n">
        <v>0</v>
      </c>
    </row>
    <row r="886">
      <c r="A886" t="n">
        <v>880</v>
      </c>
      <c r="B886" t="n">
        <v>2013</v>
      </c>
      <c r="C886" t="inlineStr">
        <is>
          <t>Amy Duo</t>
        </is>
      </c>
      <c r="D886">
        <f>HYPERLINK("https://ota.tournamentsoftware.com/player-profile/71495656-F9AD-402C-B368-62609F5D70B9", "Link")</f>
        <v/>
      </c>
      <c r="E886" s="3" t="n">
        <v>3.888</v>
      </c>
      <c r="F886" s="4" t="n">
        <v>1</v>
      </c>
      <c r="G886" t="inlineStr">
        <is>
          <t>British Columbia</t>
        </is>
      </c>
      <c r="H886" t="inlineStr">
        <is>
          <t>North Shore Winter Club</t>
        </is>
      </c>
      <c r="I886" t="inlineStr">
        <is>
          <t>unavailable</t>
        </is>
      </c>
      <c r="J886" s="4" t="n">
        <v>29</v>
      </c>
      <c r="K886" t="inlineStr">
        <is>
          <t>10 / 19</t>
        </is>
      </c>
      <c r="L886" t="inlineStr">
        <is>
          <t>2 / 2</t>
        </is>
      </c>
      <c r="M886" s="5" t="n">
        <v>0.34</v>
      </c>
      <c r="N886" s="5" t="n">
        <v>0.5</v>
      </c>
    </row>
    <row r="887">
      <c r="A887" t="n">
        <v>880</v>
      </c>
      <c r="B887" t="n">
        <v>2014</v>
      </c>
      <c r="C887" t="inlineStr">
        <is>
          <t>Yanxi Chen</t>
        </is>
      </c>
      <c r="D887">
        <f>HYPERLINK("https://ota.tournamentsoftware.com/player-profile/E6571B14-6651-4CD3-A420-8263947DBA1E", "Link")</f>
        <v/>
      </c>
      <c r="E887" s="3" t="n">
        <v>3.888</v>
      </c>
      <c r="F887" s="4" t="n">
        <v>1</v>
      </c>
      <c r="G887" t="inlineStr">
        <is>
          <t>British Columbia</t>
        </is>
      </c>
      <c r="H887" t="inlineStr">
        <is>
          <t>West Vancouver Tennis Club</t>
        </is>
      </c>
      <c r="I887" t="n">
        <v>38.6</v>
      </c>
      <c r="J887" s="4" t="n">
        <v>10</v>
      </c>
      <c r="K887" t="inlineStr">
        <is>
          <t>5 / 5</t>
        </is>
      </c>
      <c r="L887" t="inlineStr">
        <is>
          <t>3 / 3</t>
        </is>
      </c>
      <c r="M887" s="5" t="n">
        <v>0.5</v>
      </c>
      <c r="N887" s="5" t="n">
        <v>0.5</v>
      </c>
    </row>
    <row r="888">
      <c r="A888" t="n">
        <v>887</v>
      </c>
      <c r="B888" t="n">
        <v>2014</v>
      </c>
      <c r="C888" t="inlineStr">
        <is>
          <t>Baani Kaur Saini</t>
        </is>
      </c>
      <c r="D888">
        <f>HYPERLINK("https://ota.tournamentsoftware.com/player-profile/F8A85050-87CB-4D78-BB4D-4D11F0D18229", "Link")</f>
        <v/>
      </c>
      <c r="E888" s="3" t="n">
        <v>3.806</v>
      </c>
      <c r="F888" s="4" t="n">
        <v>1</v>
      </c>
      <c r="G888" t="inlineStr">
        <is>
          <t>Ontario Tennis Association</t>
        </is>
      </c>
      <c r="H888" t="inlineStr">
        <is>
          <t>Bramalea Tennis Club</t>
        </is>
      </c>
      <c r="I888" t="n">
        <v>39.3</v>
      </c>
      <c r="J888" s="4" t="n">
        <v>5</v>
      </c>
      <c r="K888" t="inlineStr">
        <is>
          <t>0 / 5</t>
        </is>
      </c>
      <c r="L888" t="inlineStr">
        <is>
          <t>0 / 0</t>
        </is>
      </c>
      <c r="M888" s="5" t="n">
        <v>0</v>
      </c>
      <c r="N888" s="5" t="n">
        <v>0</v>
      </c>
    </row>
    <row r="889">
      <c r="A889" t="n">
        <v>888</v>
      </c>
      <c r="B889" t="n">
        <v>2014</v>
      </c>
      <c r="C889" t="inlineStr">
        <is>
          <t>Della Lynn Bulmer</t>
        </is>
      </c>
      <c r="D889">
        <f>HYPERLINK("https://ota.tournamentsoftware.com/player-profile/6487BDBD-D547-439D-A14A-BDB7B38FD35A", "Link")</f>
        <v/>
      </c>
      <c r="E889" s="3" t="n">
        <v>3.763</v>
      </c>
      <c r="F889" s="4" t="n">
        <v>1</v>
      </c>
      <c r="G889" t="inlineStr">
        <is>
          <t>British Columbia</t>
        </is>
      </c>
      <c r="H889" t="inlineStr">
        <is>
          <t>Nelson Tennis Club</t>
        </is>
      </c>
      <c r="I889" t="n">
        <v>39.5</v>
      </c>
      <c r="J889" s="4" t="n">
        <v>2</v>
      </c>
      <c r="K889" t="inlineStr">
        <is>
          <t>0 / 2</t>
        </is>
      </c>
      <c r="L889" t="inlineStr">
        <is>
          <t>0 / 2</t>
        </is>
      </c>
      <c r="M889" s="5" t="n">
        <v>0</v>
      </c>
      <c r="N889" s="5" t="n">
        <v>0</v>
      </c>
    </row>
    <row r="890">
      <c r="A890" t="n">
        <v>889</v>
      </c>
      <c r="B890" t="n">
        <v>2014</v>
      </c>
      <c r="C890" t="inlineStr">
        <is>
          <t>Charlotte Lanthier</t>
        </is>
      </c>
      <c r="D890">
        <f>HYPERLINK("https://ota.tournamentsoftware.com/player-profile/930A92EC-BBE2-40FD-8684-CB6F18EAD19A", "Link")</f>
        <v/>
      </c>
      <c r="E890" s="3" t="n">
        <v>3.758</v>
      </c>
      <c r="F890" s="4" t="n">
        <v>5</v>
      </c>
      <c r="G890" t="inlineStr">
        <is>
          <t>Tennis Québec</t>
        </is>
      </c>
      <c r="H890" t="inlineStr">
        <is>
          <t>EB Tennis inc.</t>
        </is>
      </c>
      <c r="I890" t="n">
        <v>39.6</v>
      </c>
      <c r="J890" s="4" t="n">
        <v>6</v>
      </c>
      <c r="K890" t="inlineStr">
        <is>
          <t>0 / 6</t>
        </is>
      </c>
      <c r="L890" t="inlineStr">
        <is>
          <t>0 / 4</t>
        </is>
      </c>
      <c r="M890" s="5" t="n">
        <v>0</v>
      </c>
      <c r="N890" s="5" t="n">
        <v>0</v>
      </c>
    </row>
    <row r="891">
      <c r="A891" t="n">
        <v>889</v>
      </c>
      <c r="B891" t="n">
        <v>2015</v>
      </c>
      <c r="C891" t="inlineStr">
        <is>
          <t>Tamara Skayem</t>
        </is>
      </c>
      <c r="D891">
        <f>HYPERLINK("https://ota.tournamentsoftware.com/player-profile/C90206C3-DC6E-4BE3-938F-C8608F20CDD6", "Link")</f>
        <v/>
      </c>
      <c r="E891" s="3" t="n">
        <v>3.758</v>
      </c>
      <c r="F891" s="4" t="n">
        <v>1</v>
      </c>
      <c r="G891" t="inlineStr">
        <is>
          <t>Tennis Québec</t>
        </is>
      </c>
      <c r="H891" t="inlineStr">
        <is>
          <t>Club Sportif Côte-de-Liesse</t>
        </is>
      </c>
      <c r="I891" t="inlineStr">
        <is>
          <t>unavailable</t>
        </is>
      </c>
      <c r="J891" s="4" t="n">
        <v>3</v>
      </c>
      <c r="K891" t="inlineStr">
        <is>
          <t>1 / 2</t>
        </is>
      </c>
      <c r="L891" t="inlineStr">
        <is>
          <t>1 / 2</t>
        </is>
      </c>
      <c r="M891" s="5" t="n">
        <v>0.33</v>
      </c>
      <c r="N891" s="5" t="n">
        <v>0.33</v>
      </c>
    </row>
    <row r="892">
      <c r="A892" t="n">
        <v>891</v>
      </c>
      <c r="B892" t="n">
        <v>2014</v>
      </c>
      <c r="C892" t="inlineStr">
        <is>
          <t>Kaira Ankit Arora</t>
        </is>
      </c>
      <c r="D892">
        <f>HYPERLINK("https://ota.tournamentsoftware.com/player-profile/48CDC473-6B50-4781-BB3F-2B72F12C6320", "Link")</f>
        <v/>
      </c>
      <c r="E892" s="3" t="n">
        <v>3.629</v>
      </c>
      <c r="F892" s="4" t="n">
        <v>1</v>
      </c>
      <c r="G892" t="inlineStr">
        <is>
          <t>Ontario Tennis Association</t>
        </is>
      </c>
      <c r="H892" t="inlineStr">
        <is>
          <t>Mohawk Tennis Club</t>
        </is>
      </c>
      <c r="I892" t="n">
        <v>39.1</v>
      </c>
      <c r="J892" s="4" t="n">
        <v>26</v>
      </c>
      <c r="K892" t="inlineStr">
        <is>
          <t>2 / 24</t>
        </is>
      </c>
      <c r="L892" t="inlineStr">
        <is>
          <t>0 / 3</t>
        </is>
      </c>
      <c r="M892" s="5" t="n">
        <v>0.08</v>
      </c>
      <c r="N892" s="5" t="n">
        <v>0</v>
      </c>
    </row>
    <row r="893">
      <c r="A893" t="n">
        <v>891</v>
      </c>
      <c r="B893" t="n">
        <v>2013</v>
      </c>
      <c r="C893" t="inlineStr">
        <is>
          <t>Apphia Anderson</t>
        </is>
      </c>
      <c r="D893">
        <f>HYPERLINK("https://ota.tournamentsoftware.com/player-profile/557E4D67-D9E9-47B3-800F-DB2194C8FCA3", "Link")</f>
        <v/>
      </c>
      <c r="E893" s="3" t="n">
        <v>3.629</v>
      </c>
      <c r="F893" s="4" t="n">
        <v>2</v>
      </c>
      <c r="G893" t="inlineStr">
        <is>
          <t>Tennis Alberta</t>
        </is>
      </c>
      <c r="H893" t="inlineStr">
        <is>
          <t>No Club</t>
        </is>
      </c>
      <c r="I893" t="inlineStr">
        <is>
          <t>unavailable</t>
        </is>
      </c>
      <c r="J893" s="4" t="n">
        <v>3</v>
      </c>
      <c r="K893" t="inlineStr">
        <is>
          <t>0 / 3</t>
        </is>
      </c>
      <c r="L893" t="inlineStr">
        <is>
          <t>0 / 3</t>
        </is>
      </c>
      <c r="M893" s="5" t="n">
        <v>0</v>
      </c>
      <c r="N893" s="5" t="n">
        <v>0</v>
      </c>
    </row>
    <row r="894">
      <c r="A894" t="n">
        <v>893</v>
      </c>
      <c r="B894" t="n">
        <v>2015</v>
      </c>
      <c r="C894" t="inlineStr">
        <is>
          <t>Lea Youssef</t>
        </is>
      </c>
      <c r="D894">
        <f>HYPERLINK("https://ota.tournamentsoftware.com/player-profile/DC3DBF03-8EF5-4959-B08E-EE226DB25DE6", "Link")</f>
        <v/>
      </c>
      <c r="E894" s="3" t="n">
        <v>3.471</v>
      </c>
      <c r="F894" s="4" t="n">
        <v>1</v>
      </c>
      <c r="G894" t="inlineStr">
        <is>
          <t>Tennis Québec</t>
        </is>
      </c>
      <c r="H894" t="inlineStr">
        <is>
          <t>Tennis 13</t>
        </is>
      </c>
      <c r="I894" t="inlineStr">
        <is>
          <t>unavailable</t>
        </is>
      </c>
      <c r="J894" s="4" t="n">
        <v>2</v>
      </c>
      <c r="K894" t="inlineStr">
        <is>
          <t>0 / 2</t>
        </is>
      </c>
      <c r="L894" t="inlineStr">
        <is>
          <t>0 / 2</t>
        </is>
      </c>
      <c r="M894" s="5" t="n">
        <v>0</v>
      </c>
      <c r="N894" s="5" t="n">
        <v>0</v>
      </c>
    </row>
    <row r="895">
      <c r="A895" t="n">
        <v>894</v>
      </c>
      <c r="B895" t="n">
        <v>2012</v>
      </c>
      <c r="C895" t="inlineStr">
        <is>
          <t>Hannah Grace Burrows</t>
        </is>
      </c>
      <c r="D895">
        <f>HYPERLINK("https://ota.tournamentsoftware.com/player-profile/A4FFA0A4-EAE7-43E6-AF92-E22114BE5D8B", "Link")</f>
        <v/>
      </c>
      <c r="E895" s="3" t="n">
        <v>3.421</v>
      </c>
      <c r="F895" s="4" t="n">
        <v>2</v>
      </c>
      <c r="G895" t="inlineStr">
        <is>
          <t>Tennis Alberta</t>
        </is>
      </c>
      <c r="H895" t="inlineStr">
        <is>
          <t>The Glencoe Club</t>
        </is>
      </c>
      <c r="I895" t="n">
        <v>38.8</v>
      </c>
      <c r="J895" s="4" t="n">
        <v>28</v>
      </c>
      <c r="K895" t="inlineStr">
        <is>
          <t>6 / 22</t>
        </is>
      </c>
      <c r="L895" t="inlineStr">
        <is>
          <t>0 / 2</t>
        </is>
      </c>
      <c r="M895" s="5" t="n">
        <v>0.21</v>
      </c>
      <c r="N895" s="5" t="n">
        <v>0</v>
      </c>
    </row>
    <row r="896">
      <c r="A896" t="n">
        <v>895</v>
      </c>
      <c r="B896" t="n">
        <v>2015</v>
      </c>
      <c r="C896" t="inlineStr">
        <is>
          <t>Jade Adepetu</t>
        </is>
      </c>
      <c r="D896">
        <f>HYPERLINK("https://ota.tournamentsoftware.com/player-profile/44B25337-8306-4D62-BB4F-8BAB0C726BA7", "Link")</f>
        <v/>
      </c>
      <c r="E896" s="3" t="n">
        <v>3.326</v>
      </c>
      <c r="F896" s="4" t="n">
        <v>4</v>
      </c>
      <c r="G896" t="inlineStr">
        <is>
          <t>Tennis Alberta</t>
        </is>
      </c>
      <c r="H896" t="inlineStr">
        <is>
          <t>Osten &amp; Victor Alberta Tennis Centre</t>
        </is>
      </c>
      <c r="I896" t="inlineStr">
        <is>
          <t>unavailable</t>
        </is>
      </c>
      <c r="J896" s="4" t="n">
        <v>25</v>
      </c>
      <c r="K896" t="inlineStr">
        <is>
          <t>6 / 19</t>
        </is>
      </c>
      <c r="L896" t="inlineStr">
        <is>
          <t>5 / 9</t>
        </is>
      </c>
      <c r="M896" s="5" t="n">
        <v>0.24</v>
      </c>
      <c r="N896" s="5" t="n">
        <v>0.36</v>
      </c>
    </row>
    <row r="897">
      <c r="A897" t="n">
        <v>896</v>
      </c>
      <c r="B897" t="n">
        <v>2015</v>
      </c>
      <c r="C897" t="inlineStr">
        <is>
          <t>Alison Kao</t>
        </is>
      </c>
      <c r="D897">
        <f>HYPERLINK("https://ota.tournamentsoftware.com/player-profile/BAEC89E7-F54C-49F7-AA56-227606797D02", "Link")</f>
        <v/>
      </c>
      <c r="E897" s="3" t="n">
        <v>3.24</v>
      </c>
      <c r="F897" s="4" t="n">
        <v>3</v>
      </c>
      <c r="G897" t="inlineStr">
        <is>
          <t>Tennis Alberta</t>
        </is>
      </c>
      <c r="H897" t="inlineStr">
        <is>
          <t>Osten &amp; Victor Alberta Tennis Centre</t>
        </is>
      </c>
      <c r="I897" t="n">
        <v>40</v>
      </c>
      <c r="J897" s="4" t="n">
        <v>40</v>
      </c>
      <c r="K897" t="inlineStr">
        <is>
          <t>18 / 22</t>
        </is>
      </c>
      <c r="L897" t="inlineStr">
        <is>
          <t>8 / 7</t>
        </is>
      </c>
      <c r="M897" s="5" t="n">
        <v>0.45</v>
      </c>
      <c r="N897" s="5" t="n">
        <v>0.53</v>
      </c>
    </row>
    <row r="898">
      <c r="A898" t="n">
        <v>896</v>
      </c>
      <c r="B898" t="n">
        <v>2014</v>
      </c>
      <c r="C898" t="inlineStr">
        <is>
          <t>Evelyn Foley</t>
        </is>
      </c>
      <c r="D898">
        <f>HYPERLINK("https://ota.tournamentsoftware.com/player-profile/1F8F4FE3-682A-4202-963D-8D61AA21A323", "Link")</f>
        <v/>
      </c>
      <c r="E898" s="3" t="n">
        <v>3.24</v>
      </c>
      <c r="F898" s="4" t="n">
        <v>1</v>
      </c>
      <c r="G898" t="inlineStr">
        <is>
          <t>British Columbia</t>
        </is>
      </c>
      <c r="H898" t="inlineStr">
        <is>
          <t>North Shore Winter Club</t>
        </is>
      </c>
      <c r="I898" t="n">
        <v>35.8</v>
      </c>
      <c r="J898" s="4" t="n">
        <v>3</v>
      </c>
      <c r="K898" t="inlineStr">
        <is>
          <t>2 / 1</t>
        </is>
      </c>
      <c r="L898" t="inlineStr">
        <is>
          <t>2 / 1</t>
        </is>
      </c>
      <c r="M898" s="5" t="n">
        <v>0.67</v>
      </c>
      <c r="N898" s="5" t="n">
        <v>0.67</v>
      </c>
    </row>
    <row r="899">
      <c r="A899" t="n">
        <v>896</v>
      </c>
      <c r="B899" t="n">
        <v>2016</v>
      </c>
      <c r="C899" t="inlineStr">
        <is>
          <t>Bella Huang</t>
        </is>
      </c>
      <c r="D899">
        <f>HYPERLINK("https://ota.tournamentsoftware.com/player-profile/468B6432-F842-48F8-9A02-3A80761D962B", "Link")</f>
        <v/>
      </c>
      <c r="E899" s="3" t="n">
        <v>3.24</v>
      </c>
      <c r="F899" s="4" t="n">
        <v>1</v>
      </c>
      <c r="G899" t="inlineStr">
        <is>
          <t>British Columbia</t>
        </is>
      </c>
      <c r="H899" t="inlineStr">
        <is>
          <t>Richmond Country Club</t>
        </is>
      </c>
      <c r="I899" t="n">
        <v>38.1</v>
      </c>
      <c r="J899" s="4" t="n">
        <v>33</v>
      </c>
      <c r="K899" t="inlineStr">
        <is>
          <t>10 / 23</t>
        </is>
      </c>
      <c r="L899" t="inlineStr">
        <is>
          <t>2 / 3</t>
        </is>
      </c>
      <c r="M899" s="5" t="n">
        <v>0.3</v>
      </c>
      <c r="N899" s="5" t="n">
        <v>0.4</v>
      </c>
    </row>
    <row r="900">
      <c r="A900" t="n">
        <v>899</v>
      </c>
      <c r="B900" t="n">
        <v>2014</v>
      </c>
      <c r="C900" t="inlineStr">
        <is>
          <t>Arya Thompson</t>
        </is>
      </c>
      <c r="D900">
        <f>HYPERLINK("https://ota.tournamentsoftware.com/player-profile/89293F3A-9DD8-44F1-B165-EB1978E7BEF9", "Link")</f>
        <v/>
      </c>
      <c r="E900" s="3" t="n">
        <v>3.098</v>
      </c>
      <c r="F900" s="4" t="n">
        <v>2</v>
      </c>
      <c r="G900" t="inlineStr">
        <is>
          <t>British Columbia</t>
        </is>
      </c>
      <c r="H900" t="inlineStr">
        <is>
          <t>UBC Tennis Centre</t>
        </is>
      </c>
      <c r="I900" t="n">
        <v>39.6</v>
      </c>
      <c r="J900" s="4" t="n">
        <v>10</v>
      </c>
      <c r="K900" t="inlineStr">
        <is>
          <t>1 / 9</t>
        </is>
      </c>
      <c r="L900" t="inlineStr">
        <is>
          <t>0 / 4</t>
        </is>
      </c>
      <c r="M900" s="5" t="n">
        <v>0.1</v>
      </c>
      <c r="N900" s="5" t="n">
        <v>0</v>
      </c>
    </row>
    <row r="901">
      <c r="A901" t="n">
        <v>899</v>
      </c>
      <c r="B901" t="n">
        <v>2014</v>
      </c>
      <c r="C901" t="inlineStr">
        <is>
          <t>Amaara Bhardwaj</t>
        </is>
      </c>
      <c r="D901">
        <f>HYPERLINK("https://ota.tournamentsoftware.com/player-profile/5E30A7A6-4E75-4094-9C50-E36BC2D57510", "Link")</f>
        <v/>
      </c>
      <c r="E901" s="3" t="n">
        <v>3.098</v>
      </c>
      <c r="F901" s="4" t="n">
        <v>1</v>
      </c>
      <c r="G901" t="inlineStr">
        <is>
          <t>British Columbia</t>
        </is>
      </c>
      <c r="H901" t="inlineStr">
        <is>
          <t>No Club</t>
        </is>
      </c>
      <c r="I901" t="n">
        <v>39.7</v>
      </c>
      <c r="J901" s="4" t="n">
        <v>15</v>
      </c>
      <c r="K901" t="inlineStr">
        <is>
          <t>7 / 8</t>
        </is>
      </c>
      <c r="L901" t="inlineStr">
        <is>
          <t>0 / 2</t>
        </is>
      </c>
      <c r="M901" s="5" t="n">
        <v>0.47</v>
      </c>
      <c r="N901" s="5" t="n">
        <v>0</v>
      </c>
    </row>
  </sheetData>
  <autoFilter ref="A1:N9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2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19</v>
      </c>
      <c r="G2" t="inlineStr">
        <is>
          <t>Tennis Québec</t>
        </is>
      </c>
      <c r="H2" t="inlineStr">
        <is>
          <t>No Club</t>
        </is>
      </c>
      <c r="I2" t="n">
        <v>20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12600</v>
      </c>
      <c r="F3" s="4" t="n">
        <v>21</v>
      </c>
      <c r="G3" t="inlineStr">
        <is>
          <t>Ontario Tennis Association</t>
        </is>
      </c>
      <c r="H3" t="inlineStr">
        <is>
          <t>Valan Tennis Academy</t>
        </is>
      </c>
      <c r="I3" t="n">
        <v>20.8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Brielle Amey</t>
        </is>
      </c>
      <c r="D4">
        <f>HYPERLINK("https://ota.tournamentsoftware.com/player-profile/11C037E9-F5E8-42BC-A8A0-6F4982B8329D", "Link")</f>
        <v/>
      </c>
      <c r="E4" s="3" t="n">
        <v>10198.4</v>
      </c>
      <c r="F4" s="4" t="n">
        <v>12</v>
      </c>
      <c r="G4" t="inlineStr">
        <is>
          <t>Ontario Tennis Association</t>
        </is>
      </c>
      <c r="H4" t="inlineStr">
        <is>
          <t>City of Kitchener</t>
        </is>
      </c>
      <c r="I4" t="n">
        <v>18.1</v>
      </c>
      <c r="J4" s="4" t="n">
        <v>31</v>
      </c>
      <c r="K4" t="inlineStr">
        <is>
          <t>23 / 8</t>
        </is>
      </c>
      <c r="L4" t="inlineStr">
        <is>
          <t>0 / 0</t>
        </is>
      </c>
      <c r="M4" s="5" t="n">
        <v>0.74</v>
      </c>
      <c r="N4" s="5" t="n">
        <v>0</v>
      </c>
    </row>
    <row r="5">
      <c r="A5" t="n">
        <v>4</v>
      </c>
      <c r="B5" t="n">
        <v>2012</v>
      </c>
      <c r="C5" t="inlineStr">
        <is>
          <t>Emma Cuirassier</t>
        </is>
      </c>
      <c r="D5">
        <f>HYPERLINK("https://ota.tournamentsoftware.com/player-profile/88442A27-D4CA-4614-86BE-89F6BAFA4C36", "Link")</f>
        <v/>
      </c>
      <c r="E5" s="3" t="n">
        <v>9585.811</v>
      </c>
      <c r="F5" s="4" t="n">
        <v>11</v>
      </c>
      <c r="G5" t="inlineStr">
        <is>
          <t>Tennis Québec</t>
        </is>
      </c>
      <c r="H5" t="inlineStr">
        <is>
          <t>Tennis Montréal Excellence</t>
        </is>
      </c>
      <c r="I5" t="n">
        <v>19.3</v>
      </c>
      <c r="J5" s="4" t="n">
        <v>304</v>
      </c>
      <c r="K5" t="inlineStr">
        <is>
          <t>198 / 106</t>
        </is>
      </c>
      <c r="L5" t="inlineStr">
        <is>
          <t>10 / 4</t>
        </is>
      </c>
      <c r="M5" s="5" t="n">
        <v>0.65</v>
      </c>
      <c r="N5" s="5" t="n">
        <v>0.71</v>
      </c>
    </row>
    <row r="6">
      <c r="A6" t="n">
        <v>5</v>
      </c>
      <c r="B6" t="n">
        <v>2012</v>
      </c>
      <c r="C6" t="inlineStr">
        <is>
          <t>Zimo Xiang</t>
        </is>
      </c>
      <c r="D6">
        <f>HYPERLINK("https://ota.tournamentsoftware.com/player-profile/16758178-BB4B-49F9-847E-3024E74D5A86", "Link")</f>
        <v/>
      </c>
      <c r="E6" s="3" t="n">
        <v>9097.876</v>
      </c>
      <c r="F6" s="4" t="n">
        <v>20</v>
      </c>
      <c r="G6" t="inlineStr">
        <is>
          <t>Tennis Alberta</t>
        </is>
      </c>
      <c r="H6" t="inlineStr">
        <is>
          <t>Osten &amp; Victor Alberta Tennis Centre</t>
        </is>
      </c>
      <c r="I6" t="n">
        <v>17.6</v>
      </c>
      <c r="J6" s="4" t="n">
        <v>348</v>
      </c>
      <c r="K6" t="inlineStr">
        <is>
          <t>266 / 82</t>
        </is>
      </c>
      <c r="L6" t="inlineStr">
        <is>
          <t>52 / 9</t>
        </is>
      </c>
      <c r="M6" s="5" t="n">
        <v>0.76</v>
      </c>
      <c r="N6" s="5" t="n">
        <v>0.85</v>
      </c>
    </row>
    <row r="7">
      <c r="A7" t="n">
        <v>6</v>
      </c>
      <c r="B7" t="n">
        <v>2012</v>
      </c>
      <c r="C7" t="inlineStr">
        <is>
          <t>Emma Ciobanu</t>
        </is>
      </c>
      <c r="D7">
        <f>HYPERLINK("https://ota.tournamentsoftware.com/player-profile/3FF64A25-D930-4C5E-8E36-3F04D7602157", "Link")</f>
        <v/>
      </c>
      <c r="E7" s="3" t="n">
        <v>8554.24</v>
      </c>
      <c r="F7" s="4" t="n">
        <v>18</v>
      </c>
      <c r="G7" t="inlineStr">
        <is>
          <t>Tennis Québec</t>
        </is>
      </c>
      <c r="H7" t="inlineStr">
        <is>
          <t>No Club</t>
        </is>
      </c>
      <c r="I7" t="n">
        <v>21.7</v>
      </c>
      <c r="J7" s="4" t="n">
        <v>445</v>
      </c>
      <c r="K7" t="inlineStr">
        <is>
          <t>254 / 191</t>
        </is>
      </c>
      <c r="L7" t="inlineStr">
        <is>
          <t>12 / 9</t>
        </is>
      </c>
      <c r="M7" s="5" t="n">
        <v>0.57</v>
      </c>
      <c r="N7" s="5" t="n">
        <v>0.57</v>
      </c>
    </row>
    <row r="8">
      <c r="A8" t="n">
        <v>7</v>
      </c>
      <c r="B8" t="n">
        <v>2012</v>
      </c>
      <c r="C8" t="inlineStr">
        <is>
          <t>Victoria Koniouchine</t>
        </is>
      </c>
      <c r="D8">
        <f>HYPERLINK("https://ota.tournamentsoftware.com/player-profile/4F2575CB-84B4-4072-ABEF-7652A7E74DBA", "Link")</f>
        <v/>
      </c>
      <c r="E8" s="3" t="n">
        <v>8177</v>
      </c>
      <c r="F8" s="4" t="n">
        <v>14</v>
      </c>
      <c r="G8" t="inlineStr">
        <is>
          <t>Tennis Québec</t>
        </is>
      </c>
      <c r="H8" t="inlineStr">
        <is>
          <t>Tennis Montréal Excellence</t>
        </is>
      </c>
      <c r="I8" t="n">
        <v>20.8</v>
      </c>
      <c r="J8" s="4" t="n">
        <v>380</v>
      </c>
      <c r="K8" t="inlineStr">
        <is>
          <t>244 / 136</t>
        </is>
      </c>
      <c r="L8" t="inlineStr">
        <is>
          <t>22 / 6</t>
        </is>
      </c>
      <c r="M8" s="5" t="n">
        <v>0.64</v>
      </c>
      <c r="N8" s="5" t="n">
        <v>0.79</v>
      </c>
    </row>
    <row r="9">
      <c r="A9" t="n">
        <v>8</v>
      </c>
      <c r="B9" t="n">
        <v>2012</v>
      </c>
      <c r="C9" t="inlineStr">
        <is>
          <t>Ruijing Chen</t>
        </is>
      </c>
      <c r="D9">
        <f>HYPERLINK("https://ota.tournamentsoftware.com/player-profile/CF3F9020-5B8A-4448-8412-B206DFD70D34", "Link")</f>
        <v/>
      </c>
      <c r="E9" s="3" t="n">
        <v>8026.067</v>
      </c>
      <c r="F9" s="4" t="n">
        <v>20</v>
      </c>
      <c r="G9" t="inlineStr">
        <is>
          <t>British Columbia</t>
        </is>
      </c>
      <c r="H9" t="inlineStr">
        <is>
          <t>North Vancouver Tennis Centre</t>
        </is>
      </c>
      <c r="I9" t="n">
        <v>20.1</v>
      </c>
      <c r="J9" s="4" t="n">
        <v>272</v>
      </c>
      <c r="K9" t="inlineStr">
        <is>
          <t>158 / 114</t>
        </is>
      </c>
      <c r="L9" t="inlineStr">
        <is>
          <t>40 / 19</t>
        </is>
      </c>
      <c r="M9" s="5" t="n">
        <v>0.58</v>
      </c>
      <c r="N9" s="5" t="n">
        <v>0.68</v>
      </c>
    </row>
    <row r="10">
      <c r="A10" t="n">
        <v>9</v>
      </c>
      <c r="B10" t="n">
        <v>2012</v>
      </c>
      <c r="C10" t="inlineStr">
        <is>
          <t>Karina Swaminath</t>
        </is>
      </c>
      <c r="D10">
        <f>HYPERLINK("https://ota.tournamentsoftware.com/player-profile/4DB9D061-D74F-4482-87A3-9C7480D14EFD", "Link")</f>
        <v/>
      </c>
      <c r="E10" s="3" t="n">
        <v>7284.4</v>
      </c>
      <c r="F10" s="4" t="n">
        <v>19</v>
      </c>
      <c r="G10" t="inlineStr">
        <is>
          <t>Ontario Tennis Association</t>
        </is>
      </c>
      <c r="H10" t="inlineStr">
        <is>
          <t>Premier Racquet Clubs – Mississauga</t>
        </is>
      </c>
      <c r="I10" t="n">
        <v>20.7</v>
      </c>
      <c r="J10" s="4" t="n">
        <v>318</v>
      </c>
      <c r="K10" t="inlineStr">
        <is>
          <t>206 / 112</t>
        </is>
      </c>
      <c r="L10" t="inlineStr">
        <is>
          <t>43 / 19</t>
        </is>
      </c>
      <c r="M10" s="5" t="n">
        <v>0.65</v>
      </c>
      <c r="N10" s="5" t="n">
        <v>0.6899999999999999</v>
      </c>
    </row>
    <row r="11">
      <c r="A11" t="n">
        <v>10</v>
      </c>
      <c r="B11" t="n">
        <v>2013</v>
      </c>
      <c r="C11" t="inlineStr">
        <is>
          <t>Callie Raharinosy</t>
        </is>
      </c>
      <c r="D11">
        <f>HYPERLINK("https://ota.tournamentsoftware.com/player-profile/C3BB19C9-39F8-4DF4-A576-AAB3D92B85C3", "Link")</f>
        <v/>
      </c>
      <c r="E11" s="3" t="n">
        <v>7178.294</v>
      </c>
      <c r="F11" s="4" t="n">
        <v>14</v>
      </c>
      <c r="G11" t="inlineStr">
        <is>
          <t>Ontario Tennis Association</t>
        </is>
      </c>
      <c r="H11" t="inlineStr">
        <is>
          <t>Richmondhill Golf &amp; Country Club</t>
        </is>
      </c>
      <c r="I11" t="n">
        <v>20.8</v>
      </c>
      <c r="J11" s="4" t="n">
        <v>243</v>
      </c>
      <c r="K11" t="inlineStr">
        <is>
          <t>157 / 86</t>
        </is>
      </c>
      <c r="L11" t="inlineStr">
        <is>
          <t>26 / 11</t>
        </is>
      </c>
      <c r="M11" s="5" t="n">
        <v>0.65</v>
      </c>
      <c r="N11" s="5" t="n">
        <v>0.7</v>
      </c>
    </row>
    <row r="12">
      <c r="A12" t="n">
        <v>11</v>
      </c>
      <c r="B12" t="n">
        <v>2013</v>
      </c>
      <c r="C12" t="inlineStr">
        <is>
          <t>Olivia Ma</t>
        </is>
      </c>
      <c r="D12">
        <f>HYPERLINK("https://ota.tournamentsoftware.com/player-profile/8DB93BEF-9FF1-4A58-A4CC-C5E09482F693", "Link")</f>
        <v/>
      </c>
      <c r="E12" s="3" t="n">
        <v>6870.005</v>
      </c>
      <c r="F12" s="4" t="n">
        <v>22</v>
      </c>
      <c r="G12" t="inlineStr">
        <is>
          <t>British Columbia</t>
        </is>
      </c>
      <c r="H12" t="inlineStr">
        <is>
          <t>Kamloops Tennis Centre</t>
        </is>
      </c>
      <c r="I12" t="n">
        <v>20.1</v>
      </c>
      <c r="J12" s="4" t="n">
        <v>240</v>
      </c>
      <c r="K12" t="inlineStr">
        <is>
          <t>161 / 79</t>
        </is>
      </c>
      <c r="L12" t="inlineStr">
        <is>
          <t>40 / 17</t>
        </is>
      </c>
      <c r="M12" s="5" t="n">
        <v>0.67</v>
      </c>
      <c r="N12" s="5" t="n">
        <v>0.7</v>
      </c>
    </row>
    <row r="13">
      <c r="A13" t="n">
        <v>12</v>
      </c>
      <c r="B13" t="n">
        <v>2012</v>
      </c>
      <c r="C13" t="inlineStr">
        <is>
          <t>kendra zhang</t>
        </is>
      </c>
      <c r="D13">
        <f>HYPERLINK("https://ota.tournamentsoftware.com/player-profile/23508257-17E1-4A1F-A208-90A41A8C5BC8", "Link")</f>
        <v/>
      </c>
      <c r="E13" s="3" t="n">
        <v>6338.707</v>
      </c>
      <c r="F13" s="4" t="n">
        <v>17</v>
      </c>
      <c r="G13" t="inlineStr">
        <is>
          <t>Tennis Alberta</t>
        </is>
      </c>
      <c r="H13" t="inlineStr">
        <is>
          <t>Osten &amp; Victor Alberta Tennis Centre</t>
        </is>
      </c>
      <c r="I13" t="n">
        <v>19.6</v>
      </c>
      <c r="J13" s="4" t="n">
        <v>315</v>
      </c>
      <c r="K13" t="inlineStr">
        <is>
          <t>248 / 67</t>
        </is>
      </c>
      <c r="L13" t="inlineStr">
        <is>
          <t>39 / 5</t>
        </is>
      </c>
      <c r="M13" s="5" t="n">
        <v>0.79</v>
      </c>
      <c r="N13" s="5" t="n">
        <v>0.89</v>
      </c>
    </row>
    <row r="14">
      <c r="A14" t="n">
        <v>13</v>
      </c>
      <c r="B14" t="n">
        <v>2012</v>
      </c>
      <c r="C14" t="inlineStr">
        <is>
          <t>Elise Chen</t>
        </is>
      </c>
      <c r="D14">
        <f>HYPERLINK("https://ota.tournamentsoftware.com/player-profile/8E8A2CD5-37E0-4690-A780-846D1895BB0A", "Link")</f>
        <v/>
      </c>
      <c r="E14" s="3" t="n">
        <v>6210.149</v>
      </c>
      <c r="F14" s="4" t="n">
        <v>18</v>
      </c>
      <c r="G14" t="inlineStr">
        <is>
          <t>Tennis Québec</t>
        </is>
      </c>
      <c r="H14" t="inlineStr">
        <is>
          <t>AA Autre club</t>
        </is>
      </c>
      <c r="I14" t="n">
        <v>20.5</v>
      </c>
      <c r="J14" s="4" t="n">
        <v>341</v>
      </c>
      <c r="K14" t="inlineStr">
        <is>
          <t>225 / 116</t>
        </is>
      </c>
      <c r="L14" t="inlineStr">
        <is>
          <t>44 / 14</t>
        </is>
      </c>
      <c r="M14" s="5" t="n">
        <v>0.66</v>
      </c>
      <c r="N14" s="5" t="n">
        <v>0.76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14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20.3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5954.96</v>
      </c>
      <c r="F16" s="4" t="n">
        <v>16</v>
      </c>
      <c r="G16" t="inlineStr">
        <is>
          <t>Ontario Tennis Association</t>
        </is>
      </c>
      <c r="H16" t="inlineStr">
        <is>
          <t>Guildwood Tennis Club</t>
        </is>
      </c>
      <c r="I16" t="n">
        <v>19</v>
      </c>
      <c r="J16" s="4" t="n">
        <v>265</v>
      </c>
      <c r="K16" t="inlineStr">
        <is>
          <t>167 / 98</t>
        </is>
      </c>
      <c r="L16" t="inlineStr">
        <is>
          <t>39 / 16</t>
        </is>
      </c>
      <c r="M16" s="5" t="n">
        <v>0.63</v>
      </c>
      <c r="N16" s="5" t="n">
        <v>0.71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23</v>
      </c>
      <c r="G17" t="inlineStr">
        <is>
          <t>British Columbia</t>
        </is>
      </c>
      <c r="H17" t="inlineStr">
        <is>
          <t>North Vancouver Tennis Centre</t>
        </is>
      </c>
      <c r="I17" t="n">
        <v>21.1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22</v>
      </c>
      <c r="G18" t="inlineStr">
        <is>
          <t>Ontario Tennis Association</t>
        </is>
      </c>
      <c r="H18" t="inlineStr">
        <is>
          <t>North Toronto Tennis Club</t>
        </is>
      </c>
      <c r="I18" t="n">
        <v>20.4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23.4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18</v>
      </c>
      <c r="G20" t="inlineStr">
        <is>
          <t>Ontario Tennis Association</t>
        </is>
      </c>
      <c r="H20" t="inlineStr">
        <is>
          <t>10XTO</t>
        </is>
      </c>
      <c r="I20" t="n">
        <v>20.6</v>
      </c>
      <c r="J20" s="4" t="n">
        <v>343</v>
      </c>
      <c r="K20" t="inlineStr">
        <is>
          <t>237 / 106</t>
        </is>
      </c>
      <c r="L20" t="inlineStr">
        <is>
          <t>45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12</v>
      </c>
      <c r="G21" t="inlineStr">
        <is>
          <t>British Columbia</t>
        </is>
      </c>
      <c r="H21" t="inlineStr">
        <is>
          <t>Jericho Tennis Club</t>
        </is>
      </c>
      <c r="I21" t="n">
        <v>20.9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14</v>
      </c>
      <c r="G22" t="inlineStr">
        <is>
          <t>British Columbia</t>
        </is>
      </c>
      <c r="H22" t="inlineStr">
        <is>
          <t>No Club</t>
        </is>
      </c>
      <c r="I22" t="n">
        <v>21.4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21</v>
      </c>
      <c r="G23" t="inlineStr">
        <is>
          <t>Tennis Québec</t>
        </is>
      </c>
      <c r="H23" t="inlineStr">
        <is>
          <t>Tennis 13</t>
        </is>
      </c>
      <c r="I23" t="n">
        <v>22.5</v>
      </c>
      <c r="J23" s="4" t="n">
        <v>312</v>
      </c>
      <c r="K23" t="inlineStr">
        <is>
          <t>196 / 116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13</v>
      </c>
      <c r="G24" t="inlineStr">
        <is>
          <t>British Columbia</t>
        </is>
      </c>
      <c r="H24" t="inlineStr">
        <is>
          <t>Burnaby Tennis Club</t>
        </is>
      </c>
      <c r="I24" t="n">
        <v>22.4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Victoria Cui</t>
        </is>
      </c>
      <c r="D25">
        <f>HYPERLINK("https://ota.tournamentsoftware.com/player-profile/0645977B-E01D-437B-A80F-04D3BC7B5871", "Link")</f>
        <v/>
      </c>
      <c r="E25" s="3" t="n">
        <v>3958</v>
      </c>
      <c r="F25" s="4" t="n">
        <v>22</v>
      </c>
      <c r="G25" t="inlineStr">
        <is>
          <t>Ontario Tennis Association</t>
        </is>
      </c>
      <c r="H25" t="inlineStr">
        <is>
          <t>Mayfair East Racquet Club</t>
        </is>
      </c>
      <c r="I25" t="n">
        <v>23.4</v>
      </c>
      <c r="J25" s="4" t="n">
        <v>259</v>
      </c>
      <c r="K25" t="inlineStr">
        <is>
          <t>167 / 92</t>
        </is>
      </c>
      <c r="L25" t="inlineStr">
        <is>
          <t>39 / 19</t>
        </is>
      </c>
      <c r="M25" s="5" t="n">
        <v>0.64</v>
      </c>
      <c r="N25" s="5" t="n">
        <v>0.67</v>
      </c>
    </row>
    <row r="26">
      <c r="A26" t="n">
        <v>25</v>
      </c>
      <c r="B26" t="n">
        <v>2012</v>
      </c>
      <c r="C26" t="inlineStr">
        <is>
          <t>mackenzie zeidel</t>
        </is>
      </c>
      <c r="D26">
        <f>HYPERLINK("https://ota.tournamentsoftware.com/player-profile/3BADD9C6-CD9A-4858-8E91-EA11AA267135", "Link")</f>
        <v/>
      </c>
      <c r="E26" s="3" t="n">
        <v>3810.447</v>
      </c>
      <c r="F26" s="4" t="n">
        <v>10</v>
      </c>
      <c r="G26" t="inlineStr">
        <is>
          <t>Ontario Tennis Association</t>
        </is>
      </c>
      <c r="H26" t="inlineStr">
        <is>
          <t>Toronto Cricket Skating &amp; Curling</t>
        </is>
      </c>
      <c r="I26" t="n">
        <v>21.4</v>
      </c>
      <c r="J26" s="4" t="n">
        <v>258</v>
      </c>
      <c r="K26" t="inlineStr">
        <is>
          <t>172 / 86</t>
        </is>
      </c>
      <c r="L26" t="inlineStr">
        <is>
          <t>25 / 13</t>
        </is>
      </c>
      <c r="M26" s="5" t="n">
        <v>0.67</v>
      </c>
      <c r="N26" s="5" t="n">
        <v>0.66</v>
      </c>
    </row>
    <row r="27">
      <c r="A27" t="n">
        <v>26</v>
      </c>
      <c r="B27" t="n">
        <v>2013</v>
      </c>
      <c r="C27" t="inlineStr">
        <is>
          <t>Nadine Belmabrouk</t>
        </is>
      </c>
      <c r="D27">
        <f>HYPERLINK("https://ota.tournamentsoftware.com/player-profile/D855A2D9-8E65-4961-858B-62D00F053DDA", "Link")</f>
        <v/>
      </c>
      <c r="E27" s="3" t="n">
        <v>3642.089</v>
      </c>
      <c r="F27" s="4" t="n">
        <v>15</v>
      </c>
      <c r="G27" t="inlineStr">
        <is>
          <t>Tennis Québec</t>
        </is>
      </c>
      <c r="H27" t="inlineStr">
        <is>
          <t>Tennis Ile- des- Soeurs</t>
        </is>
      </c>
      <c r="I27" t="n">
        <v>22.6</v>
      </c>
      <c r="J27" s="4" t="n">
        <v>269</v>
      </c>
      <c r="K27" t="inlineStr">
        <is>
          <t>182 / 87</t>
        </is>
      </c>
      <c r="L27" t="inlineStr">
        <is>
          <t>42 / 16</t>
        </is>
      </c>
      <c r="M27" s="5" t="n">
        <v>0.68</v>
      </c>
      <c r="N27" s="5" t="n">
        <v>0.72</v>
      </c>
    </row>
    <row r="28">
      <c r="A28" t="n">
        <v>27</v>
      </c>
      <c r="B28" t="n">
        <v>2014</v>
      </c>
      <c r="C28" t="inlineStr">
        <is>
          <t>Yoyo Siyi Li</t>
        </is>
      </c>
      <c r="D28">
        <f>HYPERLINK("https://ota.tournamentsoftware.com/player-profile/E0E18831-EA34-4F88-BD1F-E79079687846", "Link")</f>
        <v/>
      </c>
      <c r="E28" s="3" t="n">
        <v>3589.518</v>
      </c>
      <c r="F28" s="4" t="n">
        <v>12</v>
      </c>
      <c r="G28" t="inlineStr">
        <is>
          <t>Tennis Saskatchewan</t>
        </is>
      </c>
      <c r="H28" t="inlineStr">
        <is>
          <t>Lakeshore Tennis Club</t>
        </is>
      </c>
      <c r="I28" t="inlineStr">
        <is>
          <t>unavailable</t>
        </is>
      </c>
      <c r="J28" s="4" t="n">
        <v>250</v>
      </c>
      <c r="K28" t="inlineStr">
        <is>
          <t>175 / 75</t>
        </is>
      </c>
      <c r="L28" t="inlineStr">
        <is>
          <t>57 / 12</t>
        </is>
      </c>
      <c r="M28" s="5" t="n">
        <v>0.7</v>
      </c>
      <c r="N28" s="5" t="n">
        <v>0.83</v>
      </c>
    </row>
    <row r="29">
      <c r="A29" t="n">
        <v>28</v>
      </c>
      <c r="B29" t="n">
        <v>2012</v>
      </c>
      <c r="C29" t="inlineStr">
        <is>
          <t>Hailey MacDonald</t>
        </is>
      </c>
      <c r="D29">
        <f>HYPERLINK("https://ota.tournamentsoftware.com/player-profile/7B752A16-6837-4A5A-AFD8-83F950F37834", "Link")</f>
        <v/>
      </c>
      <c r="E29" s="3" t="n">
        <v>3466.484</v>
      </c>
      <c r="F29" s="4" t="n">
        <v>15</v>
      </c>
      <c r="G29" t="inlineStr">
        <is>
          <t>Ontario Tennis Association</t>
        </is>
      </c>
      <c r="H29" t="inlineStr">
        <is>
          <t>Advantage Tennis International at Veneto</t>
        </is>
      </c>
      <c r="I29" t="n">
        <v>24</v>
      </c>
      <c r="J29" s="4" t="n">
        <v>331</v>
      </c>
      <c r="K29" t="inlineStr">
        <is>
          <t>227 / 104</t>
        </is>
      </c>
      <c r="L29" t="inlineStr">
        <is>
          <t>23 / 9</t>
        </is>
      </c>
      <c r="M29" s="5" t="n">
        <v>0.6899999999999999</v>
      </c>
      <c r="N29" s="5" t="n">
        <v>0.72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22</v>
      </c>
      <c r="G30" t="inlineStr">
        <is>
          <t>Tennis Alberta</t>
        </is>
      </c>
      <c r="H30" t="inlineStr">
        <is>
          <t>Aforza</t>
        </is>
      </c>
      <c r="I30" t="n">
        <v>21.9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Joni Faye Colburne</t>
        </is>
      </c>
      <c r="D31">
        <f>HYPERLINK("https://ota.tournamentsoftware.com/player-profile/497EB335-7B19-4354-A8BD-7D257EE2CBEF", "Link")</f>
        <v/>
      </c>
      <c r="E31" s="3" t="n">
        <v>3356.812</v>
      </c>
      <c r="F31" s="4" t="n">
        <v>10</v>
      </c>
      <c r="G31" t="inlineStr">
        <is>
          <t>Tennis Québec</t>
        </is>
      </c>
      <c r="H31" t="inlineStr">
        <is>
          <t>Stade IGA</t>
        </is>
      </c>
      <c r="I31" t="n">
        <v>22.7</v>
      </c>
      <c r="J31" s="4" t="n">
        <v>320</v>
      </c>
      <c r="K31" t="inlineStr">
        <is>
          <t>198 / 122</t>
        </is>
      </c>
      <c r="L31" t="inlineStr">
        <is>
          <t>4 / 1</t>
        </is>
      </c>
      <c r="M31" s="5" t="n">
        <v>0.62</v>
      </c>
      <c r="N31" s="5" t="n">
        <v>0.8</v>
      </c>
    </row>
    <row r="32">
      <c r="A32" t="n">
        <v>31</v>
      </c>
      <c r="B32" t="n">
        <v>2012</v>
      </c>
      <c r="C32" t="inlineStr">
        <is>
          <t>Ariel Desbiens</t>
        </is>
      </c>
      <c r="D32">
        <f>HYPERLINK("https://ota.tournamentsoftware.com/player-profile/7381CFF5-5BA3-457C-9F6C-499D0F36D2DD", "Link")</f>
        <v/>
      </c>
      <c r="E32" s="3" t="n">
        <v>3288</v>
      </c>
      <c r="F32" s="4" t="n">
        <v>28</v>
      </c>
      <c r="G32" t="inlineStr">
        <is>
          <t>Tennis Québec</t>
        </is>
      </c>
      <c r="H32" t="inlineStr">
        <is>
          <t>SANI Sport</t>
        </is>
      </c>
      <c r="I32" t="n">
        <v>24.1</v>
      </c>
      <c r="J32" s="4" t="n">
        <v>385</v>
      </c>
      <c r="K32" t="inlineStr">
        <is>
          <t>238 / 147</t>
        </is>
      </c>
      <c r="L32" t="inlineStr">
        <is>
          <t>47 / 28</t>
        </is>
      </c>
      <c r="M32" s="5" t="n">
        <v>0.62</v>
      </c>
      <c r="N32" s="5" t="n">
        <v>0.63</v>
      </c>
    </row>
    <row r="33">
      <c r="A33" t="n">
        <v>32</v>
      </c>
      <c r="B33" t="n">
        <v>2013</v>
      </c>
      <c r="C33" t="inlineStr">
        <is>
          <t>Valesca Calabrese</t>
        </is>
      </c>
      <c r="D33">
        <f>HYPERLINK("https://ota.tournamentsoftware.com/player-profile/B0833DD4-B006-4DA5-A204-F5A1B4F3FABB", "Link")</f>
        <v/>
      </c>
      <c r="E33" s="3" t="n">
        <v>3053.02</v>
      </c>
      <c r="F33" s="4" t="n">
        <v>23</v>
      </c>
      <c r="G33" t="inlineStr">
        <is>
          <t>Ontario Tennis Association</t>
        </is>
      </c>
      <c r="H33" t="inlineStr">
        <is>
          <t>Kingston Racquet Centre</t>
        </is>
      </c>
      <c r="I33" t="n">
        <v>24.1</v>
      </c>
      <c r="J33" s="4" t="n">
        <v>272</v>
      </c>
      <c r="K33" t="inlineStr">
        <is>
          <t>182 / 90</t>
        </is>
      </c>
      <c r="L33" t="inlineStr">
        <is>
          <t>33 / 14</t>
        </is>
      </c>
      <c r="M33" s="5" t="n">
        <v>0.67</v>
      </c>
      <c r="N33" s="5" t="n">
        <v>0.7</v>
      </c>
    </row>
    <row r="34">
      <c r="A34" t="n">
        <v>33</v>
      </c>
      <c r="B34" t="n">
        <v>2012</v>
      </c>
      <c r="C34" t="inlineStr">
        <is>
          <t>Misaki Rukovanjski</t>
        </is>
      </c>
      <c r="D34">
        <f>HYPERLINK("https://ota.tournamentsoftware.com/player-profile/CECDBF80-C74F-40ED-B426-04CA75BF14C1", "Link")</f>
        <v/>
      </c>
      <c r="E34" s="3" t="n">
        <v>2886.118</v>
      </c>
      <c r="F34" s="4" t="n">
        <v>23</v>
      </c>
      <c r="G34" t="inlineStr">
        <is>
          <t>Ontario Tennis Association</t>
        </is>
      </c>
      <c r="H34" t="inlineStr">
        <is>
          <t>No Club</t>
        </is>
      </c>
      <c r="I34" t="n">
        <v>24.2</v>
      </c>
      <c r="J34" s="4" t="n">
        <v>281</v>
      </c>
      <c r="K34" t="inlineStr">
        <is>
          <t>179 / 102</t>
        </is>
      </c>
      <c r="L34" t="inlineStr">
        <is>
          <t>35 / 22</t>
        </is>
      </c>
      <c r="M34" s="5" t="n">
        <v>0.64</v>
      </c>
      <c r="N34" s="5" t="n">
        <v>0.61</v>
      </c>
    </row>
    <row r="35">
      <c r="A35" t="n">
        <v>34</v>
      </c>
      <c r="B35" t="n">
        <v>2012</v>
      </c>
      <c r="C35" t="inlineStr">
        <is>
          <t>Sophie Rachel Murray</t>
        </is>
      </c>
      <c r="D35">
        <f>HYPERLINK("https://ota.tournamentsoftware.com/player-profile/ADAA4094-7084-435C-80A6-9DA79EB19D3F", "Link")</f>
        <v/>
      </c>
      <c r="E35" s="3" t="n">
        <v>2878.56</v>
      </c>
      <c r="F35" s="4" t="n">
        <v>16</v>
      </c>
      <c r="G35" t="inlineStr">
        <is>
          <t>Tennis Alberta</t>
        </is>
      </c>
      <c r="H35" t="inlineStr">
        <is>
          <t>Osten &amp; Victor Alberta Tennis Centre</t>
        </is>
      </c>
      <c r="I35" t="n">
        <v>21.5</v>
      </c>
      <c r="J35" s="4" t="n">
        <v>322</v>
      </c>
      <c r="K35" t="inlineStr">
        <is>
          <t>194 / 128</t>
        </is>
      </c>
      <c r="L35" t="inlineStr">
        <is>
          <t>20 / 6</t>
        </is>
      </c>
      <c r="M35" s="5" t="n">
        <v>0.6</v>
      </c>
      <c r="N35" s="5" t="n">
        <v>0.77</v>
      </c>
    </row>
    <row r="36">
      <c r="A36" t="n">
        <v>35</v>
      </c>
      <c r="B36" t="n">
        <v>2013</v>
      </c>
      <c r="C36" t="inlineStr">
        <is>
          <t>Mia Zhou</t>
        </is>
      </c>
      <c r="D36">
        <f>HYPERLINK("https://ota.tournamentsoftware.com/player-profile/88191DA6-771E-497F-B932-CBADA674D329", "Link")</f>
        <v/>
      </c>
      <c r="E36" s="3" t="n">
        <v>2807.223</v>
      </c>
      <c r="F36" s="4" t="n">
        <v>24</v>
      </c>
      <c r="G36" t="inlineStr">
        <is>
          <t>Ontario Tennis Association</t>
        </is>
      </c>
      <c r="H36" t="inlineStr">
        <is>
          <t>Richmondhill Golf &amp; Country Club</t>
        </is>
      </c>
      <c r="I36" t="n">
        <v>23.7</v>
      </c>
      <c r="J36" s="4" t="n">
        <v>264</v>
      </c>
      <c r="K36" t="inlineStr">
        <is>
          <t>147 / 117</t>
        </is>
      </c>
      <c r="L36" t="inlineStr">
        <is>
          <t>46 / 29</t>
        </is>
      </c>
      <c r="M36" s="5" t="n">
        <v>0.5600000000000001</v>
      </c>
      <c r="N36" s="5" t="n">
        <v>0.61</v>
      </c>
    </row>
    <row r="37">
      <c r="A37" t="n">
        <v>36</v>
      </c>
      <c r="B37" t="n">
        <v>2012</v>
      </c>
      <c r="C37" t="inlineStr">
        <is>
          <t>Hannah Yiwei Wang</t>
        </is>
      </c>
      <c r="D37">
        <f>HYPERLINK("https://ota.tournamentsoftware.com/player-profile/CEB4A334-7BA1-4478-96B0-66580448520A", "Link")</f>
        <v/>
      </c>
      <c r="E37" s="3" t="n">
        <v>2456.863</v>
      </c>
      <c r="F37" s="4" t="n">
        <v>17</v>
      </c>
      <c r="G37" t="inlineStr">
        <is>
          <t>Ontario Tennis Association</t>
        </is>
      </c>
      <c r="H37" t="inlineStr">
        <is>
          <t>Richmondhill Golf &amp; Country Club</t>
        </is>
      </c>
      <c r="I37" t="n">
        <v>24.8</v>
      </c>
      <c r="J37" s="4" t="n">
        <v>181</v>
      </c>
      <c r="K37" t="inlineStr">
        <is>
          <t>96 / 85</t>
        </is>
      </c>
      <c r="L37" t="inlineStr">
        <is>
          <t>26 / 19</t>
        </is>
      </c>
      <c r="M37" s="5" t="n">
        <v>0.53</v>
      </c>
      <c r="N37" s="5" t="n">
        <v>0.58</v>
      </c>
    </row>
    <row r="38">
      <c r="A38" t="n">
        <v>37</v>
      </c>
      <c r="B38" t="n">
        <v>2013</v>
      </c>
      <c r="C38" t="inlineStr">
        <is>
          <t>Janelle Mao</t>
        </is>
      </c>
      <c r="D38">
        <f>HYPERLINK("https://ota.tournamentsoftware.com/player-profile/25605052-7047-4B82-9C15-5D4C8CE7946D", "Link")</f>
        <v/>
      </c>
      <c r="E38" s="3" t="n">
        <v>2442.361</v>
      </c>
      <c r="F38" s="4" t="n">
        <v>15</v>
      </c>
      <c r="G38" t="inlineStr">
        <is>
          <t>Ontario Tennis Association</t>
        </is>
      </c>
      <c r="H38" t="inlineStr">
        <is>
          <t>London Hunt &amp; Country Club</t>
        </is>
      </c>
      <c r="I38" t="n">
        <v>24.5</v>
      </c>
      <c r="J38" s="4" t="n">
        <v>213</v>
      </c>
      <c r="K38" t="inlineStr">
        <is>
          <t>125 / 88</t>
        </is>
      </c>
      <c r="L38" t="inlineStr">
        <is>
          <t>20 / 20</t>
        </is>
      </c>
      <c r="M38" s="5" t="n">
        <v>0.59</v>
      </c>
      <c r="N38" s="5" t="n">
        <v>0.5</v>
      </c>
    </row>
    <row r="39">
      <c r="A39" t="n">
        <v>38</v>
      </c>
      <c r="B39" t="n">
        <v>2012</v>
      </c>
      <c r="C39" t="inlineStr">
        <is>
          <t>Daisy Okechukwu</t>
        </is>
      </c>
      <c r="D39">
        <f>HYPERLINK("https://ota.tournamentsoftware.com/player-profile/9909D668-CC24-45D1-AD61-DE790BE62029", "Link")</f>
        <v/>
      </c>
      <c r="E39" s="3" t="n">
        <v>2400</v>
      </c>
      <c r="F39" s="4" t="n">
        <v>10</v>
      </c>
      <c r="G39" t="inlineStr">
        <is>
          <t>Ontario Tennis Association</t>
        </is>
      </c>
      <c r="H39" t="inlineStr">
        <is>
          <t>Carleton Tennis Centre</t>
        </is>
      </c>
      <c r="I39" t="n">
        <v>26.9</v>
      </c>
      <c r="J39" s="4" t="n">
        <v>129</v>
      </c>
      <c r="K39" t="inlineStr">
        <is>
          <t>36 / 93</t>
        </is>
      </c>
      <c r="L39" t="inlineStr">
        <is>
          <t>0 / 0</t>
        </is>
      </c>
      <c r="M39" s="5" t="n">
        <v>0.28</v>
      </c>
      <c r="N39" s="5" t="n">
        <v>0</v>
      </c>
    </row>
    <row r="40">
      <c r="A40" t="n">
        <v>39</v>
      </c>
      <c r="B40" t="n">
        <v>2012</v>
      </c>
      <c r="C40" t="inlineStr">
        <is>
          <t>scarlett Ai</t>
        </is>
      </c>
      <c r="D40">
        <f>HYPERLINK("https://ota.tournamentsoftware.com/player-profile/99B381B6-120A-4EAE-A001-756292C53927", "Link")</f>
        <v/>
      </c>
      <c r="E40" s="3" t="n">
        <v>2328.047</v>
      </c>
      <c r="F40" s="4" t="n">
        <v>15</v>
      </c>
      <c r="G40" t="inlineStr">
        <is>
          <t>Ontario Tennis Association</t>
        </is>
      </c>
      <c r="H40" t="inlineStr">
        <is>
          <t>Toronto Tennis Academy</t>
        </is>
      </c>
      <c r="I40" t="n">
        <v>25.3</v>
      </c>
      <c r="J40" s="4" t="n">
        <v>222</v>
      </c>
      <c r="K40" t="inlineStr">
        <is>
          <t>120 / 102</t>
        </is>
      </c>
      <c r="L40" t="inlineStr">
        <is>
          <t>23 / 17</t>
        </is>
      </c>
      <c r="M40" s="5" t="n">
        <v>0.54</v>
      </c>
      <c r="N40" s="5" t="n">
        <v>0.57</v>
      </c>
    </row>
    <row r="41">
      <c r="A41" t="n">
        <v>40</v>
      </c>
      <c r="B41" t="n">
        <v>2014</v>
      </c>
      <c r="C41" t="inlineStr">
        <is>
          <t>Wilma Wai Bo Yue</t>
        </is>
      </c>
      <c r="D41">
        <f>HYPERLINK("https://ota.tournamentsoftware.com/player-profile/6CAEB488-574A-45E0-B597-01F96FA5C987", "Link")</f>
        <v/>
      </c>
      <c r="E41" s="3" t="n">
        <v>2309.912</v>
      </c>
      <c r="F41" s="4" t="n">
        <v>13</v>
      </c>
      <c r="G41" t="inlineStr">
        <is>
          <t>Ontario Tennis Association</t>
        </is>
      </c>
      <c r="H41" t="inlineStr">
        <is>
          <t>No Club</t>
        </is>
      </c>
      <c r="I41" t="n">
        <v>24.9</v>
      </c>
      <c r="J41" s="4" t="n">
        <v>212</v>
      </c>
      <c r="K41" t="inlineStr">
        <is>
          <t>153 / 59</t>
        </is>
      </c>
      <c r="L41" t="inlineStr">
        <is>
          <t>38 / 13</t>
        </is>
      </c>
      <c r="M41" s="5" t="n">
        <v>0.72</v>
      </c>
      <c r="N41" s="5" t="n">
        <v>0.75</v>
      </c>
    </row>
    <row r="42">
      <c r="A42" t="n">
        <v>41</v>
      </c>
      <c r="B42" t="n">
        <v>2012</v>
      </c>
      <c r="C42" t="inlineStr">
        <is>
          <t>Xinyi Kwan</t>
        </is>
      </c>
      <c r="D42">
        <f>HYPERLINK("https://ota.tournamentsoftware.com/player-profile/5146AC8F-EF0E-4E7A-A6A0-D65D12E5BF6E", "Link")</f>
        <v/>
      </c>
      <c r="E42" s="3" t="n">
        <v>2308.904</v>
      </c>
      <c r="F42" s="4" t="n">
        <v>19</v>
      </c>
      <c r="G42" t="inlineStr">
        <is>
          <t>Ontario Tennis Association</t>
        </is>
      </c>
      <c r="H42" t="inlineStr">
        <is>
          <t>Burlington Hall Sporting Club</t>
        </is>
      </c>
      <c r="I42" t="n">
        <v>22.2</v>
      </c>
      <c r="J42" s="4" t="n">
        <v>214</v>
      </c>
      <c r="K42" t="inlineStr">
        <is>
          <t>105 / 109</t>
        </is>
      </c>
      <c r="L42" t="inlineStr">
        <is>
          <t>28 / 20</t>
        </is>
      </c>
      <c r="M42" s="5" t="n">
        <v>0.49</v>
      </c>
      <c r="N42" s="5" t="n">
        <v>0.58</v>
      </c>
    </row>
    <row r="43">
      <c r="A43" t="n">
        <v>42</v>
      </c>
      <c r="B43" t="n">
        <v>2013</v>
      </c>
      <c r="C43" t="inlineStr">
        <is>
          <t>YASMINE SOUISSI</t>
        </is>
      </c>
      <c r="D43">
        <f>HYPERLINK("https://ota.tournamentsoftware.com/player-profile/1B8E66F9-8E72-48A5-A280-1ADD14488B21", "Link")</f>
        <v/>
      </c>
      <c r="E43" s="3" t="n">
        <v>2224.521</v>
      </c>
      <c r="F43" s="4" t="n">
        <v>9</v>
      </c>
      <c r="G43" t="inlineStr">
        <is>
          <t>Tennis Québec</t>
        </is>
      </c>
      <c r="H43" t="inlineStr">
        <is>
          <t>Tennis 13</t>
        </is>
      </c>
      <c r="I43" t="n">
        <v>22.3</v>
      </c>
      <c r="J43" s="4" t="n">
        <v>248</v>
      </c>
      <c r="K43" t="inlineStr">
        <is>
          <t>167 / 81</t>
        </is>
      </c>
      <c r="L43" t="inlineStr">
        <is>
          <t>24 / 13</t>
        </is>
      </c>
      <c r="M43" s="5" t="n">
        <v>0.67</v>
      </c>
      <c r="N43" s="5" t="n">
        <v>0.65</v>
      </c>
    </row>
    <row r="44">
      <c r="A44" t="n">
        <v>43</v>
      </c>
      <c r="B44" t="n">
        <v>2014</v>
      </c>
      <c r="C44" t="inlineStr">
        <is>
          <t>Adelina Tanashikova</t>
        </is>
      </c>
      <c r="D44">
        <f>HYPERLINK("https://ota.tournamentsoftware.com/player-profile/AD7F41D2-B208-4518-963D-851BBA4276F4", "Link")</f>
        <v/>
      </c>
      <c r="E44" s="3" t="n">
        <v>2209.809</v>
      </c>
      <c r="F44" s="4" t="n">
        <v>14</v>
      </c>
      <c r="G44" t="inlineStr">
        <is>
          <t>Ontario Tennis Association</t>
        </is>
      </c>
      <c r="H44" t="inlineStr">
        <is>
          <t>No Club</t>
        </is>
      </c>
      <c r="I44" t="n">
        <v>24.1</v>
      </c>
      <c r="J44" s="4" t="n">
        <v>275</v>
      </c>
      <c r="K44" t="inlineStr">
        <is>
          <t>148 / 127</t>
        </is>
      </c>
      <c r="L44" t="inlineStr">
        <is>
          <t>31 / 10</t>
        </is>
      </c>
      <c r="M44" s="5" t="n">
        <v>0.54</v>
      </c>
      <c r="N44" s="5" t="n">
        <v>0.76</v>
      </c>
    </row>
    <row r="45">
      <c r="A45" t="n">
        <v>44</v>
      </c>
      <c r="B45" t="n">
        <v>2012</v>
      </c>
      <c r="C45" t="inlineStr">
        <is>
          <t>Marilyn deBruin-Sawutz</t>
        </is>
      </c>
      <c r="D45">
        <f>HYPERLINK("https://ota.tournamentsoftware.com/player-profile/3DC26724-8571-4345-A75C-D904297288CB", "Link")</f>
        <v/>
      </c>
      <c r="E45" s="3" t="n">
        <v>2134.817</v>
      </c>
      <c r="F45" s="4" t="n">
        <v>26</v>
      </c>
      <c r="G45" t="inlineStr">
        <is>
          <t>Ontario Tennis Association</t>
        </is>
      </c>
      <c r="H45" t="inlineStr">
        <is>
          <t>Advantage Tennis International at Veneto</t>
        </is>
      </c>
      <c r="I45" t="n">
        <v>23.7</v>
      </c>
      <c r="J45" s="4" t="n">
        <v>296</v>
      </c>
      <c r="K45" t="inlineStr">
        <is>
          <t>155 / 141</t>
        </is>
      </c>
      <c r="L45" t="inlineStr">
        <is>
          <t>34 / 22</t>
        </is>
      </c>
      <c r="M45" s="5" t="n">
        <v>0.52</v>
      </c>
      <c r="N45" s="5" t="n">
        <v>0.61</v>
      </c>
    </row>
    <row r="46">
      <c r="A46" t="n">
        <v>45</v>
      </c>
      <c r="B46" t="n">
        <v>2014</v>
      </c>
      <c r="C46" t="inlineStr">
        <is>
          <t>SOPHIA JIAJIA DENG</t>
        </is>
      </c>
      <c r="D46">
        <f>HYPERLINK("https://ota.tournamentsoftware.com/player-profile/FE6DD2AD-9E29-4128-BE09-D1E88B84D2C8", "Link")</f>
        <v/>
      </c>
      <c r="E46" s="3" t="n">
        <v>2125.702</v>
      </c>
      <c r="F46" s="4" t="n">
        <v>15</v>
      </c>
      <c r="G46" t="inlineStr">
        <is>
          <t>Ontario Tennis Association</t>
        </is>
      </c>
      <c r="H46" t="inlineStr">
        <is>
          <t>Peak Performance Tennis Academy</t>
        </is>
      </c>
      <c r="I46" t="n">
        <v>25.7</v>
      </c>
      <c r="J46" s="4" t="n">
        <v>186</v>
      </c>
      <c r="K46" t="inlineStr">
        <is>
          <t>137 / 49</t>
        </is>
      </c>
      <c r="L46" t="inlineStr">
        <is>
          <t>37 / 15</t>
        </is>
      </c>
      <c r="M46" s="5" t="n">
        <v>0.74</v>
      </c>
      <c r="N46" s="5" t="n">
        <v>0.71</v>
      </c>
    </row>
    <row r="47">
      <c r="A47" t="n">
        <v>46</v>
      </c>
      <c r="B47" t="n">
        <v>2014</v>
      </c>
      <c r="C47" t="inlineStr">
        <is>
          <t>Fiona Huang</t>
        </is>
      </c>
      <c r="D47">
        <f>HYPERLINK("https://ota.tournamentsoftware.com/player-profile/701ADA13-714A-48E5-B54F-4DB9E25DBDB3", "Link")</f>
        <v/>
      </c>
      <c r="E47" s="3" t="n">
        <v>2111.25</v>
      </c>
      <c r="F47" s="4" t="n">
        <v>14</v>
      </c>
      <c r="G47" t="inlineStr">
        <is>
          <t>British Columbia</t>
        </is>
      </c>
      <c r="H47" t="inlineStr">
        <is>
          <t>No Club</t>
        </is>
      </c>
      <c r="I47" t="n">
        <v>25.2</v>
      </c>
      <c r="J47" s="4" t="n">
        <v>223</v>
      </c>
      <c r="K47" t="inlineStr">
        <is>
          <t>142 / 81</t>
        </is>
      </c>
      <c r="L47" t="inlineStr">
        <is>
          <t>34 / 14</t>
        </is>
      </c>
      <c r="M47" s="5" t="n">
        <v>0.64</v>
      </c>
      <c r="N47" s="5" t="n">
        <v>0.71</v>
      </c>
    </row>
    <row r="48">
      <c r="A48" t="n">
        <v>47</v>
      </c>
      <c r="B48" t="n">
        <v>2014</v>
      </c>
      <c r="C48" t="inlineStr">
        <is>
          <t>Roseline Nana</t>
        </is>
      </c>
      <c r="D48">
        <f>HYPERLINK("https://ota.tournamentsoftware.com/player-profile/B0A425C4-2F23-4C29-8447-4FFBF9D90967", "Link")</f>
        <v/>
      </c>
      <c r="E48" s="3" t="n">
        <v>1993.2</v>
      </c>
      <c r="F48" s="4" t="n">
        <v>26</v>
      </c>
      <c r="G48" t="inlineStr">
        <is>
          <t>Tennis Québec</t>
        </is>
      </c>
      <c r="H48" t="inlineStr">
        <is>
          <t>Tennis Montréal Excellence</t>
        </is>
      </c>
      <c r="I48" t="n">
        <v>25.1</v>
      </c>
      <c r="J48" s="4" t="n">
        <v>193</v>
      </c>
      <c r="K48" t="inlineStr">
        <is>
          <t>137 / 56</t>
        </is>
      </c>
      <c r="L48" t="inlineStr">
        <is>
          <t>50 / 17</t>
        </is>
      </c>
      <c r="M48" s="5" t="n">
        <v>0.71</v>
      </c>
      <c r="N48" s="5" t="n">
        <v>0.75</v>
      </c>
    </row>
    <row r="49">
      <c r="A49" t="n">
        <v>48</v>
      </c>
      <c r="B49" t="n">
        <v>2012</v>
      </c>
      <c r="C49" t="inlineStr">
        <is>
          <t>Amaliia Bakumenko</t>
        </is>
      </c>
      <c r="D49">
        <f>HYPERLINK("https://ota.tournamentsoftware.com/player-profile/E789F167-880C-4307-840C-31D5E72C32F0", "Link")</f>
        <v/>
      </c>
      <c r="E49" s="3" t="n">
        <v>1923.936</v>
      </c>
      <c r="F49" s="4" t="n">
        <v>2</v>
      </c>
      <c r="G49" t="inlineStr">
        <is>
          <t>Tennis Québec</t>
        </is>
      </c>
      <c r="H49" t="inlineStr">
        <is>
          <t>Tennis 13 / Académie Ménard et associé</t>
        </is>
      </c>
      <c r="I49" t="n">
        <v>17.7</v>
      </c>
      <c r="J49" s="4" t="n">
        <v>81</v>
      </c>
      <c r="K49" t="inlineStr">
        <is>
          <t>60 / 21</t>
        </is>
      </c>
      <c r="L49" t="inlineStr">
        <is>
          <t>0 / 1</t>
        </is>
      </c>
      <c r="M49" s="5" t="n">
        <v>0.74</v>
      </c>
      <c r="N49" s="5" t="n">
        <v>0</v>
      </c>
    </row>
    <row r="50">
      <c r="A50" t="n">
        <v>49</v>
      </c>
      <c r="B50" t="n">
        <v>2013</v>
      </c>
      <c r="C50" t="inlineStr">
        <is>
          <t>Anvitha Mahadevaswamy</t>
        </is>
      </c>
      <c r="D50">
        <f>HYPERLINK("https://ota.tournamentsoftware.com/player-profile/09DB8B30-6DCB-4B0E-9241-CA7456F2AD6D", "Link")</f>
        <v/>
      </c>
      <c r="E50" s="3" t="n">
        <v>1922.906</v>
      </c>
      <c r="F50" s="4" t="n">
        <v>14</v>
      </c>
      <c r="G50" t="inlineStr">
        <is>
          <t>Tennis New Brunswick</t>
        </is>
      </c>
      <c r="H50" t="inlineStr">
        <is>
          <t>Abony Family Tennis Center</t>
        </is>
      </c>
      <c r="I50" t="n">
        <v>25.5</v>
      </c>
      <c r="J50" s="4" t="n">
        <v>240</v>
      </c>
      <c r="K50" t="inlineStr">
        <is>
          <t>140 / 100</t>
        </is>
      </c>
      <c r="L50" t="inlineStr">
        <is>
          <t>40 / 26</t>
        </is>
      </c>
      <c r="M50" s="5" t="n">
        <v>0.58</v>
      </c>
      <c r="N50" s="5" t="n">
        <v>0.61</v>
      </c>
    </row>
    <row r="51">
      <c r="A51" t="n">
        <v>50</v>
      </c>
      <c r="B51" t="n">
        <v>2013</v>
      </c>
      <c r="C51" t="inlineStr">
        <is>
          <t>Aida Idrissi Serghini</t>
        </is>
      </c>
      <c r="D51">
        <f>HYPERLINK("https://ota.tournamentsoftware.com/player-profile/F5E49767-E427-41A0-B6F2-79E8AC4CB7AE", "Link")</f>
        <v/>
      </c>
      <c r="E51" s="3" t="n">
        <v>1836.281</v>
      </c>
      <c r="F51" s="4" t="n">
        <v>17</v>
      </c>
      <c r="G51" t="inlineStr">
        <is>
          <t>Tennis Québec</t>
        </is>
      </c>
      <c r="H51" t="inlineStr">
        <is>
          <t>Centre récréatif de Repentigny / Académie Tennis Momentum</t>
        </is>
      </c>
      <c r="I51" t="n">
        <v>25.2</v>
      </c>
      <c r="J51" s="4" t="n">
        <v>228</v>
      </c>
      <c r="K51" t="inlineStr">
        <is>
          <t>157 / 71</t>
        </is>
      </c>
      <c r="L51" t="inlineStr">
        <is>
          <t>31 / 18</t>
        </is>
      </c>
      <c r="M51" s="5" t="n">
        <v>0.6899999999999999</v>
      </c>
      <c r="N51" s="5" t="n">
        <v>0.63</v>
      </c>
    </row>
    <row r="52">
      <c r="A52" t="n">
        <v>51</v>
      </c>
      <c r="B52" t="n">
        <v>2014</v>
      </c>
      <c r="C52" t="inlineStr">
        <is>
          <t>Aleksandra Alymov</t>
        </is>
      </c>
      <c r="D52">
        <f>HYPERLINK("https://ota.tournamentsoftware.com/player-profile/3ED01243-78C8-4179-A634-27E1B1E8443A", "Link")</f>
        <v/>
      </c>
      <c r="E52" s="3" t="n">
        <v>1804.283</v>
      </c>
      <c r="F52" s="4" t="n">
        <v>13</v>
      </c>
      <c r="G52" t="inlineStr">
        <is>
          <t>Ontario Tennis Association</t>
        </is>
      </c>
      <c r="H52" t="inlineStr">
        <is>
          <t>Rexall Centre</t>
        </is>
      </c>
      <c r="I52" t="n">
        <v>24.9</v>
      </c>
      <c r="J52" s="4" t="n">
        <v>222</v>
      </c>
      <c r="K52" t="inlineStr">
        <is>
          <t>138 / 84</t>
        </is>
      </c>
      <c r="L52" t="inlineStr">
        <is>
          <t>37 / 15</t>
        </is>
      </c>
      <c r="M52" s="5" t="n">
        <v>0.62</v>
      </c>
      <c r="N52" s="5" t="n">
        <v>0.71</v>
      </c>
    </row>
    <row r="53">
      <c r="A53" t="n">
        <v>52</v>
      </c>
      <c r="B53" t="n">
        <v>2013</v>
      </c>
      <c r="C53" t="inlineStr">
        <is>
          <t>Etooluwa Michelle Bammeke</t>
        </is>
      </c>
      <c r="D53">
        <f>HYPERLINK("https://ota.tournamentsoftware.com/player-profile/7C02D882-BDA0-4F5A-9586-AF17737417F7", "Link")</f>
        <v/>
      </c>
      <c r="E53" s="3" t="n">
        <v>1799.704</v>
      </c>
      <c r="F53" s="4" t="n">
        <v>27</v>
      </c>
      <c r="G53" t="inlineStr">
        <is>
          <t>Ontario Tennis Association</t>
        </is>
      </c>
      <c r="H53" t="inlineStr">
        <is>
          <t>Joshua Creek Golf &amp; Tennis</t>
        </is>
      </c>
      <c r="I53" t="n">
        <v>27.9</v>
      </c>
      <c r="J53" s="4" t="n">
        <v>277</v>
      </c>
      <c r="K53" t="inlineStr">
        <is>
          <t>170 / 107</t>
        </is>
      </c>
      <c r="L53" t="inlineStr">
        <is>
          <t>26 / 17</t>
        </is>
      </c>
      <c r="M53" s="5" t="n">
        <v>0.61</v>
      </c>
      <c r="N53" s="5" t="n">
        <v>0.6</v>
      </c>
    </row>
    <row r="54">
      <c r="A54" t="n">
        <v>53</v>
      </c>
      <c r="B54" t="n">
        <v>2012</v>
      </c>
      <c r="C54" t="inlineStr">
        <is>
          <t>Daria Glinna</t>
        </is>
      </c>
      <c r="D54">
        <f>HYPERLINK("https://ota.tournamentsoftware.com/player-profile/75F31A41-BD9F-46AC-A064-06ECE54741E7", "Link")</f>
        <v/>
      </c>
      <c r="E54" s="3" t="n">
        <v>1760.552</v>
      </c>
      <c r="F54" s="4" t="n">
        <v>12</v>
      </c>
      <c r="G54" t="inlineStr">
        <is>
          <t>Ontario Tennis Association</t>
        </is>
      </c>
      <c r="H54" t="inlineStr">
        <is>
          <t>Premier Racquet Clubs – Mississauga</t>
        </is>
      </c>
      <c r="I54" t="n">
        <v>28.2</v>
      </c>
      <c r="J54" s="4" t="n">
        <v>158</v>
      </c>
      <c r="K54" t="inlineStr">
        <is>
          <t>59 / 99</t>
        </is>
      </c>
      <c r="L54" t="inlineStr">
        <is>
          <t>4 / 8</t>
        </is>
      </c>
      <c r="M54" s="5" t="n">
        <v>0.37</v>
      </c>
      <c r="N54" s="5" t="n">
        <v>0.33</v>
      </c>
    </row>
    <row r="55">
      <c r="A55" t="n">
        <v>54</v>
      </c>
      <c r="B55" t="n">
        <v>2012</v>
      </c>
      <c r="C55" t="inlineStr">
        <is>
          <t>Kelly L Zhang</t>
        </is>
      </c>
      <c r="D55">
        <f>HYPERLINK("https://ota.tournamentsoftware.com/player-profile/2504E03B-B05C-4307-B90E-F3F72DD94827", "Link")</f>
        <v/>
      </c>
      <c r="E55" s="3" t="n">
        <v>1758.835</v>
      </c>
      <c r="F55" s="4" t="n">
        <v>22</v>
      </c>
      <c r="G55" t="inlineStr">
        <is>
          <t>Ontario Tennis Association</t>
        </is>
      </c>
      <c r="H55" t="inlineStr">
        <is>
          <t>NYTA Winter Tennis Club</t>
        </is>
      </c>
      <c r="I55" t="n">
        <v>28.1</v>
      </c>
      <c r="J55" s="4" t="n">
        <v>191</v>
      </c>
      <c r="K55" t="inlineStr">
        <is>
          <t>94 / 97</t>
        </is>
      </c>
      <c r="L55" t="inlineStr">
        <is>
          <t>27 / 19</t>
        </is>
      </c>
      <c r="M55" s="5" t="n">
        <v>0.49</v>
      </c>
      <c r="N55" s="5" t="n">
        <v>0.59</v>
      </c>
    </row>
    <row r="56">
      <c r="A56" t="n">
        <v>55</v>
      </c>
      <c r="B56" t="n">
        <v>2012</v>
      </c>
      <c r="C56" t="inlineStr">
        <is>
          <t>Katelyn Pasula</t>
        </is>
      </c>
      <c r="D56">
        <f>HYPERLINK("https://ota.tournamentsoftware.com/player-profile/2F075CB1-8090-4588-823C-59BF58DDDA64", "Link")</f>
        <v/>
      </c>
      <c r="E56" s="3" t="n">
        <v>1747.487</v>
      </c>
      <c r="F56" s="4" t="n">
        <v>7</v>
      </c>
      <c r="G56" t="inlineStr">
        <is>
          <t>British Columbia</t>
        </is>
      </c>
      <c r="H56" t="inlineStr">
        <is>
          <t>BC NI No Club</t>
        </is>
      </c>
      <c r="I56" t="inlineStr">
        <is>
          <t>unavailable</t>
        </is>
      </c>
      <c r="J56" s="4" t="n">
        <v>35</v>
      </c>
      <c r="K56" t="inlineStr">
        <is>
          <t>21 / 14</t>
        </is>
      </c>
      <c r="L56" t="inlineStr">
        <is>
          <t>8 / 5</t>
        </is>
      </c>
      <c r="M56" s="5" t="n">
        <v>0.6</v>
      </c>
      <c r="N56" s="5" t="n">
        <v>0.62</v>
      </c>
    </row>
    <row r="57">
      <c r="A57" t="n">
        <v>56</v>
      </c>
      <c r="B57" t="n">
        <v>2012</v>
      </c>
      <c r="C57" t="inlineStr">
        <is>
          <t>Allyson Experience</t>
        </is>
      </c>
      <c r="D57">
        <f>HYPERLINK("https://ota.tournamentsoftware.com/player-profile/9A5D0B4A-A8C7-47DA-8CAD-CA25D28C69CE", "Link")</f>
        <v/>
      </c>
      <c r="E57" s="3" t="n">
        <v>1725.227</v>
      </c>
      <c r="F57" s="4" t="n">
        <v>23</v>
      </c>
      <c r="G57" t="inlineStr">
        <is>
          <t>Tennis Québec</t>
        </is>
      </c>
      <c r="H57" t="inlineStr">
        <is>
          <t>Tennis Montréal Excellence</t>
        </is>
      </c>
      <c r="I57" t="n">
        <v>26.5</v>
      </c>
      <c r="J57" s="4" t="n">
        <v>264</v>
      </c>
      <c r="K57" t="inlineStr">
        <is>
          <t>123 / 141</t>
        </is>
      </c>
      <c r="L57" t="inlineStr">
        <is>
          <t>22 / 22</t>
        </is>
      </c>
      <c r="M57" s="5" t="n">
        <v>0.47</v>
      </c>
      <c r="N57" s="5" t="n">
        <v>0.5</v>
      </c>
    </row>
    <row r="58">
      <c r="A58" t="n">
        <v>57</v>
      </c>
      <c r="B58" t="n">
        <v>2013</v>
      </c>
      <c r="C58" t="inlineStr">
        <is>
          <t>Haeun (Emily) Jo</t>
        </is>
      </c>
      <c r="D58">
        <f>HYPERLINK("https://ota.tournamentsoftware.com/player-profile/BBD49A71-6CAE-4AC7-908B-9DB5263DA715", "Link")</f>
        <v/>
      </c>
      <c r="E58" s="3" t="n">
        <v>1714.8</v>
      </c>
      <c r="F58" s="4" t="n">
        <v>13</v>
      </c>
      <c r="G58" t="inlineStr">
        <is>
          <t>Tennis Nova Scotia</t>
        </is>
      </c>
      <c r="H58" t="inlineStr">
        <is>
          <t>Atlantic Tennis Centre</t>
        </is>
      </c>
      <c r="I58" t="n">
        <v>25.5</v>
      </c>
      <c r="J58" s="4" t="n">
        <v>288</v>
      </c>
      <c r="K58" t="inlineStr">
        <is>
          <t>192 / 96</t>
        </is>
      </c>
      <c r="L58" t="inlineStr">
        <is>
          <t>43 / 17</t>
        </is>
      </c>
      <c r="M58" s="5" t="n">
        <v>0.67</v>
      </c>
      <c r="N58" s="5" t="n">
        <v>0.72</v>
      </c>
    </row>
    <row r="59">
      <c r="A59" t="n">
        <v>58</v>
      </c>
      <c r="B59" t="n">
        <v>2013</v>
      </c>
      <c r="C59" t="inlineStr">
        <is>
          <t>xiayue(Cecelia) Bi</t>
        </is>
      </c>
      <c r="D59">
        <f>HYPERLINK("https://ota.tournamentsoftware.com/player-profile/081CD41C-A9E4-4340-A239-2D92F6639919", "Link")</f>
        <v/>
      </c>
      <c r="E59" s="3" t="n">
        <v>1681.279</v>
      </c>
      <c r="F59" s="4" t="n">
        <v>13</v>
      </c>
      <c r="G59" t="inlineStr">
        <is>
          <t>British Columbia</t>
        </is>
      </c>
      <c r="H59" t="inlineStr">
        <is>
          <t>North Vancouver Tennis Centre</t>
        </is>
      </c>
      <c r="I59" t="n">
        <v>24.3</v>
      </c>
      <c r="J59" s="4" t="n">
        <v>248</v>
      </c>
      <c r="K59" t="inlineStr">
        <is>
          <t>158 / 90</t>
        </is>
      </c>
      <c r="L59" t="inlineStr">
        <is>
          <t>19 / 22</t>
        </is>
      </c>
      <c r="M59" s="5" t="n">
        <v>0.64</v>
      </c>
      <c r="N59" s="5" t="n">
        <v>0.46</v>
      </c>
    </row>
    <row r="60">
      <c r="A60" t="n">
        <v>59</v>
      </c>
      <c r="B60" t="n">
        <v>2014</v>
      </c>
      <c r="C60" t="inlineStr">
        <is>
          <t>Naomi Danyod</t>
        </is>
      </c>
      <c r="D60">
        <f>HYPERLINK("https://ota.tournamentsoftware.com/player-profile/2037E4D8-F8CE-4A2B-858E-7FBBA84F2BC7", "Link")</f>
        <v/>
      </c>
      <c r="E60" s="3" t="n">
        <v>1674.084</v>
      </c>
      <c r="F60" s="4" t="n">
        <v>17</v>
      </c>
      <c r="G60" t="inlineStr">
        <is>
          <t>Tennis Québec</t>
        </is>
      </c>
      <c r="H60" t="inlineStr">
        <is>
          <t>Rouge et Or - Université Laval</t>
        </is>
      </c>
      <c r="I60" t="n">
        <v>26</v>
      </c>
      <c r="J60" s="4" t="n">
        <v>164</v>
      </c>
      <c r="K60" t="inlineStr">
        <is>
          <t>105 / 59</t>
        </is>
      </c>
      <c r="L60" t="inlineStr">
        <is>
          <t>35 / 20</t>
        </is>
      </c>
      <c r="M60" s="5" t="n">
        <v>0.64</v>
      </c>
      <c r="N60" s="5" t="n">
        <v>0.64</v>
      </c>
    </row>
    <row r="61">
      <c r="A61" t="n">
        <v>60</v>
      </c>
      <c r="B61" t="n">
        <v>2013</v>
      </c>
      <c r="C61" t="inlineStr">
        <is>
          <t>Adèle Juneau</t>
        </is>
      </c>
      <c r="D61">
        <f>HYPERLINK("https://ota.tournamentsoftware.com/player-profile/3A8C3EB0-444C-4108-A91E-FC74701A660D", "Link")</f>
        <v/>
      </c>
      <c r="E61" s="3" t="n">
        <v>1669.437</v>
      </c>
      <c r="F61" s="4" t="n">
        <v>17</v>
      </c>
      <c r="G61" t="inlineStr">
        <is>
          <t>Tennis Québec</t>
        </is>
      </c>
      <c r="H61" t="inlineStr">
        <is>
          <t>Tennis 13 / Académie Ménard et associé</t>
        </is>
      </c>
      <c r="I61" t="n">
        <v>24.5</v>
      </c>
      <c r="J61" s="4" t="n">
        <v>337</v>
      </c>
      <c r="K61" t="inlineStr">
        <is>
          <t>189 / 148</t>
        </is>
      </c>
      <c r="L61" t="inlineStr">
        <is>
          <t>20 / 23</t>
        </is>
      </c>
      <c r="M61" s="5" t="n">
        <v>0.5600000000000001</v>
      </c>
      <c r="N61" s="5" t="n">
        <v>0.47</v>
      </c>
    </row>
    <row r="62">
      <c r="A62" t="n">
        <v>61</v>
      </c>
      <c r="B62" t="n">
        <v>2012</v>
      </c>
      <c r="C62" t="inlineStr">
        <is>
          <t>Annika Richards</t>
        </is>
      </c>
      <c r="D62">
        <f>HYPERLINK("https://ota.tournamentsoftware.com/player-profile/CFED81F9-9EA3-48DF-84C4-507456D5D68B", "Link")</f>
        <v/>
      </c>
      <c r="E62" s="3" t="n">
        <v>1646.693</v>
      </c>
      <c r="F62" s="4" t="n">
        <v>16</v>
      </c>
      <c r="G62" t="inlineStr">
        <is>
          <t>Ontario Tennis Association</t>
        </is>
      </c>
      <c r="H62" t="inlineStr">
        <is>
          <t>Toronto Cricket Skating &amp; Curling</t>
        </is>
      </c>
      <c r="I62" t="n">
        <v>27.4</v>
      </c>
      <c r="J62" s="4" t="n">
        <v>191</v>
      </c>
      <c r="K62" t="inlineStr">
        <is>
          <t>82 / 109</t>
        </is>
      </c>
      <c r="L62" t="inlineStr">
        <is>
          <t>9 / 18</t>
        </is>
      </c>
      <c r="M62" s="5" t="n">
        <v>0.43</v>
      </c>
      <c r="N62" s="5" t="n">
        <v>0.33</v>
      </c>
    </row>
    <row r="63">
      <c r="A63" t="n">
        <v>62</v>
      </c>
      <c r="B63" t="n">
        <v>2014</v>
      </c>
      <c r="C63" t="inlineStr">
        <is>
          <t>Amelia Grace Balasuriya</t>
        </is>
      </c>
      <c r="D63">
        <f>HYPERLINK("https://ota.tournamentsoftware.com/player-profile/741A3060-1EA3-4E29-A0BE-1717DEF32CEA", "Link")</f>
        <v/>
      </c>
      <c r="E63" s="3" t="n">
        <v>1640.801</v>
      </c>
      <c r="F63" s="4" t="n">
        <v>25</v>
      </c>
      <c r="G63" t="inlineStr">
        <is>
          <t>Ontario Tennis Association</t>
        </is>
      </c>
      <c r="H63" t="inlineStr">
        <is>
          <t>The Supreme Court Tennis Club</t>
        </is>
      </c>
      <c r="I63" t="n">
        <v>27.1</v>
      </c>
      <c r="J63" s="4" t="n">
        <v>272</v>
      </c>
      <c r="K63" t="inlineStr">
        <is>
          <t>175 / 97</t>
        </is>
      </c>
      <c r="L63" t="inlineStr">
        <is>
          <t>52 / 27</t>
        </is>
      </c>
      <c r="M63" s="5" t="n">
        <v>0.64</v>
      </c>
      <c r="N63" s="5" t="n">
        <v>0.66</v>
      </c>
    </row>
    <row r="64">
      <c r="A64" t="n">
        <v>63</v>
      </c>
      <c r="B64" t="n">
        <v>2013</v>
      </c>
      <c r="C64" t="inlineStr">
        <is>
          <t>Alexane Deschênes</t>
        </is>
      </c>
      <c r="D64">
        <f>HYPERLINK("https://ota.tournamentsoftware.com/player-profile/124D1E6B-E463-4461-A5D1-9C844DE2C6D9", "Link")</f>
        <v/>
      </c>
      <c r="E64" s="3" t="n">
        <v>1534.592</v>
      </c>
      <c r="F64" s="4" t="n">
        <v>22</v>
      </c>
      <c r="G64" t="inlineStr">
        <is>
          <t>Tennis Québec</t>
        </is>
      </c>
      <c r="H64" t="inlineStr">
        <is>
          <t>Centre récréatif de Repentigny / Académie Tennis Momentum</t>
        </is>
      </c>
      <c r="I64" t="n">
        <v>25</v>
      </c>
      <c r="J64" s="4" t="n">
        <v>294</v>
      </c>
      <c r="K64" t="inlineStr">
        <is>
          <t>157 / 137</t>
        </is>
      </c>
      <c r="L64" t="inlineStr">
        <is>
          <t>37 / 35</t>
        </is>
      </c>
      <c r="M64" s="5" t="n">
        <v>0.53</v>
      </c>
      <c r="N64" s="5" t="n">
        <v>0.51</v>
      </c>
    </row>
    <row r="65">
      <c r="A65" t="n">
        <v>64</v>
      </c>
      <c r="B65" t="n">
        <v>2012</v>
      </c>
      <c r="C65" t="inlineStr">
        <is>
          <t>Karina Zhang</t>
        </is>
      </c>
      <c r="D65">
        <f>HYPERLINK("https://ota.tournamentsoftware.com/player-profile/7BB53E38-BBB9-4E1E-B8A2-8EFC2E762653", "Link")</f>
        <v/>
      </c>
      <c r="E65" s="3" t="n">
        <v>1493.367</v>
      </c>
      <c r="F65" s="4" t="n">
        <v>26</v>
      </c>
      <c r="G65" t="inlineStr">
        <is>
          <t>Ontario Tennis Association</t>
        </is>
      </c>
      <c r="H65" t="inlineStr">
        <is>
          <t>Richmondhill Golf &amp; Country Club</t>
        </is>
      </c>
      <c r="I65" t="n">
        <v>25</v>
      </c>
      <c r="J65" s="4" t="n">
        <v>215</v>
      </c>
      <c r="K65" t="inlineStr">
        <is>
          <t>135 / 80</t>
        </is>
      </c>
      <c r="L65" t="inlineStr">
        <is>
          <t>35 / 24</t>
        </is>
      </c>
      <c r="M65" s="5" t="n">
        <v>0.63</v>
      </c>
      <c r="N65" s="5" t="n">
        <v>0.59</v>
      </c>
    </row>
    <row r="66">
      <c r="A66" t="n">
        <v>65</v>
      </c>
      <c r="B66" t="n">
        <v>2013</v>
      </c>
      <c r="C66" t="inlineStr">
        <is>
          <t>Varvara Lutsyk</t>
        </is>
      </c>
      <c r="D66">
        <f>HYPERLINK("https://ota.tournamentsoftware.com/player-profile/5197490D-6996-4375-892E-2696E508FF34", "Link")</f>
        <v/>
      </c>
      <c r="E66" s="3" t="n">
        <v>1491.991</v>
      </c>
      <c r="F66" s="4" t="n">
        <v>19</v>
      </c>
      <c r="G66" t="inlineStr">
        <is>
          <t>Tennis Québec</t>
        </is>
      </c>
      <c r="H66" t="inlineStr">
        <is>
          <t>Club Sportif Côte-de-Liesse</t>
        </is>
      </c>
      <c r="I66" t="n">
        <v>24.8</v>
      </c>
      <c r="J66" s="4" t="n">
        <v>214</v>
      </c>
      <c r="K66" t="inlineStr">
        <is>
          <t>141 / 73</t>
        </is>
      </c>
      <c r="L66" t="inlineStr">
        <is>
          <t>35 / 17</t>
        </is>
      </c>
      <c r="M66" s="5" t="n">
        <v>0.66</v>
      </c>
      <c r="N66" s="5" t="n">
        <v>0.67</v>
      </c>
    </row>
    <row r="67">
      <c r="A67" t="n">
        <v>66</v>
      </c>
      <c r="B67" t="n">
        <v>2012</v>
      </c>
      <c r="C67" t="inlineStr">
        <is>
          <t>Natalie Le'er Sang</t>
        </is>
      </c>
      <c r="D67">
        <f>HYPERLINK("https://ota.tournamentsoftware.com/player-profile/993E5845-6FAB-4557-A6F0-C3D60CD8BB97", "Link")</f>
        <v/>
      </c>
      <c r="E67" s="3" t="n">
        <v>1488.96</v>
      </c>
      <c r="F67" s="4" t="n">
        <v>16</v>
      </c>
      <c r="G67" t="inlineStr">
        <is>
          <t>British Columbia</t>
        </is>
      </c>
      <c r="H67" t="inlineStr">
        <is>
          <t>No Club</t>
        </is>
      </c>
      <c r="I67" t="n">
        <v>25.5</v>
      </c>
      <c r="J67" s="4" t="n">
        <v>111</v>
      </c>
      <c r="K67" t="inlineStr">
        <is>
          <t>78 / 33</t>
        </is>
      </c>
      <c r="L67" t="inlineStr">
        <is>
          <t>21 / 19</t>
        </is>
      </c>
      <c r="M67" s="5" t="n">
        <v>0.7</v>
      </c>
      <c r="N67" s="5" t="n">
        <v>0.53</v>
      </c>
    </row>
    <row r="68">
      <c r="A68" t="n">
        <v>67</v>
      </c>
      <c r="B68" t="n">
        <v>2013</v>
      </c>
      <c r="C68" t="inlineStr">
        <is>
          <t>Avery Badyal</t>
        </is>
      </c>
      <c r="D68">
        <f>HYPERLINK("https://ota.tournamentsoftware.com/player-profile/9486479F-C8FD-48FB-BCCD-0246C53A632C", "Link")</f>
        <v/>
      </c>
      <c r="E68" s="3" t="n">
        <v>1469.906</v>
      </c>
      <c r="F68" s="4" t="n">
        <v>11</v>
      </c>
      <c r="G68" t="inlineStr">
        <is>
          <t>British Columbia</t>
        </is>
      </c>
      <c r="H68" t="inlineStr">
        <is>
          <t>The Tennis Centre</t>
        </is>
      </c>
      <c r="I68" t="n">
        <v>25.3</v>
      </c>
      <c r="J68" s="4" t="n">
        <v>239</v>
      </c>
      <c r="K68" t="inlineStr">
        <is>
          <t>145 / 94</t>
        </is>
      </c>
      <c r="L68" t="inlineStr">
        <is>
          <t>17 / 19</t>
        </is>
      </c>
      <c r="M68" s="5" t="n">
        <v>0.61</v>
      </c>
      <c r="N68" s="5" t="n">
        <v>0.47</v>
      </c>
    </row>
    <row r="69">
      <c r="A69" t="n">
        <v>68</v>
      </c>
      <c r="B69" t="n">
        <v>2013</v>
      </c>
      <c r="C69" t="inlineStr">
        <is>
          <t>Iris Fu</t>
        </is>
      </c>
      <c r="D69">
        <f>HYPERLINK("https://ota.tournamentsoftware.com/player-profile/0A3A4B5A-8950-4E67-BAA9-3F132754A3FD", "Link")</f>
        <v/>
      </c>
      <c r="E69" s="3" t="n">
        <v>1460.76</v>
      </c>
      <c r="F69" s="4" t="n">
        <v>19</v>
      </c>
      <c r="G69" t="inlineStr">
        <is>
          <t>Ontario Tennis Association</t>
        </is>
      </c>
      <c r="H69" t="inlineStr">
        <is>
          <t>Premier Racquet Clubs – Mississauga</t>
        </is>
      </c>
      <c r="I69" t="inlineStr">
        <is>
          <t>unavailable</t>
        </is>
      </c>
      <c r="J69" s="4" t="n">
        <v>250</v>
      </c>
      <c r="K69" t="inlineStr">
        <is>
          <t>147 / 103</t>
        </is>
      </c>
      <c r="L69" t="inlineStr">
        <is>
          <t>32 / 13</t>
        </is>
      </c>
      <c r="M69" s="5" t="n">
        <v>0.59</v>
      </c>
      <c r="N69" s="5" t="n">
        <v>0.71</v>
      </c>
    </row>
    <row r="70">
      <c r="A70" t="n">
        <v>69</v>
      </c>
      <c r="B70" t="n">
        <v>2013</v>
      </c>
      <c r="C70" t="inlineStr">
        <is>
          <t>Dewa Ayu Devin Sum</t>
        </is>
      </c>
      <c r="D70">
        <f>HYPERLINK("https://ota.tournamentsoftware.com/player-profile/9DB24D5C-3B5C-4B40-BE7E-B331240C1B21", "Link")</f>
        <v/>
      </c>
      <c r="E70" s="3" t="n">
        <v>1459.052</v>
      </c>
      <c r="F70" s="4" t="n">
        <v>30</v>
      </c>
      <c r="G70" t="inlineStr">
        <is>
          <t>Ontario Tennis Association</t>
        </is>
      </c>
      <c r="H70" t="inlineStr">
        <is>
          <t>Premier Racquet Clubs – Mississauga</t>
        </is>
      </c>
      <c r="I70" t="n">
        <v>28.1</v>
      </c>
      <c r="J70" s="4" t="n">
        <v>184</v>
      </c>
      <c r="K70" t="inlineStr">
        <is>
          <t>94 / 90</t>
        </is>
      </c>
      <c r="L70" t="inlineStr">
        <is>
          <t>28 / 25</t>
        </is>
      </c>
      <c r="M70" s="5" t="n">
        <v>0.51</v>
      </c>
      <c r="N70" s="5" t="n">
        <v>0.53</v>
      </c>
    </row>
    <row r="71">
      <c r="A71" t="n">
        <v>70</v>
      </c>
      <c r="B71" t="n">
        <v>2014</v>
      </c>
      <c r="C71" t="inlineStr">
        <is>
          <t>jocelyn ai</t>
        </is>
      </c>
      <c r="D71">
        <f>HYPERLINK("https://ota.tournamentsoftware.com/player-profile/EADED953-942B-4335-BE21-C0DE8F31626D", "Link")</f>
        <v/>
      </c>
      <c r="E71" s="3" t="n">
        <v>1450.912</v>
      </c>
      <c r="F71" s="4" t="n">
        <v>19</v>
      </c>
      <c r="G71" t="inlineStr">
        <is>
          <t>Ontario Tennis Association</t>
        </is>
      </c>
      <c r="H71" t="inlineStr">
        <is>
          <t>No Club</t>
        </is>
      </c>
      <c r="I71" t="n">
        <v>26.5</v>
      </c>
      <c r="J71" s="4" t="n">
        <v>223</v>
      </c>
      <c r="K71" t="inlineStr">
        <is>
          <t>135 / 88</t>
        </is>
      </c>
      <c r="L71" t="inlineStr">
        <is>
          <t>41 / 25</t>
        </is>
      </c>
      <c r="M71" s="5" t="n">
        <v>0.61</v>
      </c>
      <c r="N71" s="5" t="n">
        <v>0.62</v>
      </c>
    </row>
    <row r="72">
      <c r="A72" t="n">
        <v>71</v>
      </c>
      <c r="B72" t="n">
        <v>2013</v>
      </c>
      <c r="C72" t="inlineStr">
        <is>
          <t>Elena Rusic</t>
        </is>
      </c>
      <c r="D72">
        <f>HYPERLINK("https://ota.tournamentsoftware.com/player-profile/C202F0BA-61C5-459D-993A-2D56C17C2B04", "Link")</f>
        <v/>
      </c>
      <c r="E72" s="3" t="n">
        <v>1449.81</v>
      </c>
      <c r="F72" s="4" t="n">
        <v>21</v>
      </c>
      <c r="G72" t="inlineStr">
        <is>
          <t>Ontario Tennis Association</t>
        </is>
      </c>
      <c r="H72" t="inlineStr">
        <is>
          <t>Joshua Creek Golf &amp; Tennis</t>
        </is>
      </c>
      <c r="I72" t="n">
        <v>26.7</v>
      </c>
      <c r="J72" s="4" t="n">
        <v>258</v>
      </c>
      <c r="K72" t="inlineStr">
        <is>
          <t>183 / 75</t>
        </is>
      </c>
      <c r="L72" t="inlineStr">
        <is>
          <t>24 / 20</t>
        </is>
      </c>
      <c r="M72" s="5" t="n">
        <v>0.71</v>
      </c>
      <c r="N72" s="5" t="n">
        <v>0.55</v>
      </c>
    </row>
    <row r="73">
      <c r="A73" t="n">
        <v>72</v>
      </c>
      <c r="B73" t="n">
        <v>2014</v>
      </c>
      <c r="C73" t="inlineStr">
        <is>
          <t>Emma Allen</t>
        </is>
      </c>
      <c r="D73">
        <f>HYPERLINK("https://ota.tournamentsoftware.com/player-profile/5640B61E-0EE7-4BB3-ABC3-AD9CB508E4E9", "Link")</f>
        <v/>
      </c>
      <c r="E73" s="3" t="n">
        <v>1427.491</v>
      </c>
      <c r="F73" s="4" t="n">
        <v>21</v>
      </c>
      <c r="G73" t="inlineStr">
        <is>
          <t>Ontario Tennis Association</t>
        </is>
      </c>
      <c r="H73" t="inlineStr">
        <is>
          <t>Joshua Creek Golf &amp; Tennis</t>
        </is>
      </c>
      <c r="I73" t="n">
        <v>26.8</v>
      </c>
      <c r="J73" s="4" t="n">
        <v>264</v>
      </c>
      <c r="K73" t="inlineStr">
        <is>
          <t>190 / 74</t>
        </is>
      </c>
      <c r="L73" t="inlineStr">
        <is>
          <t>42 / 22</t>
        </is>
      </c>
      <c r="M73" s="5" t="n">
        <v>0.72</v>
      </c>
      <c r="N73" s="5" t="n">
        <v>0.66</v>
      </c>
    </row>
    <row r="74">
      <c r="A74" t="n">
        <v>73</v>
      </c>
      <c r="B74" t="n">
        <v>2014</v>
      </c>
      <c r="C74" t="inlineStr">
        <is>
          <t>Naella Sehic</t>
        </is>
      </c>
      <c r="D74">
        <f>HYPERLINK("https://ota.tournamentsoftware.com/player-profile/C86BA5BA-97F0-463B-BBE7-6A41452E0D47", "Link")</f>
        <v/>
      </c>
      <c r="E74" s="3" t="n">
        <v>1410.584</v>
      </c>
      <c r="F74" s="4" t="n">
        <v>21</v>
      </c>
      <c r="G74" t="inlineStr">
        <is>
          <t>Tennis Québec</t>
        </is>
      </c>
      <c r="H74" t="inlineStr">
        <is>
          <t>Tennis Ile- des- Soeurs</t>
        </is>
      </c>
      <c r="I74" t="n">
        <v>25.8</v>
      </c>
      <c r="J74" s="4" t="n">
        <v>302</v>
      </c>
      <c r="K74" t="inlineStr">
        <is>
          <t>187 / 115</t>
        </is>
      </c>
      <c r="L74" t="inlineStr">
        <is>
          <t>50 / 16</t>
        </is>
      </c>
      <c r="M74" s="5" t="n">
        <v>0.62</v>
      </c>
      <c r="N74" s="5" t="n">
        <v>0.76</v>
      </c>
    </row>
    <row r="75">
      <c r="A75" t="n">
        <v>74</v>
      </c>
      <c r="B75" t="n">
        <v>2012</v>
      </c>
      <c r="C75" t="inlineStr">
        <is>
          <t>Olivia Escobar</t>
        </is>
      </c>
      <c r="D75">
        <f>HYPERLINK("https://ota.tournamentsoftware.com/player-profile/9E3A15EA-D947-4048-B7A7-6C2437D34132", "Link")</f>
        <v/>
      </c>
      <c r="E75" s="3" t="n">
        <v>1405</v>
      </c>
      <c r="F75" s="4" t="n">
        <v>37</v>
      </c>
      <c r="G75" t="inlineStr">
        <is>
          <t>Tennis Québec</t>
        </is>
      </c>
      <c r="H75" t="inlineStr">
        <is>
          <t>Tennis Ile- des- Soeurs</t>
        </is>
      </c>
      <c r="I75" t="n">
        <v>26.8</v>
      </c>
      <c r="J75" s="4" t="n">
        <v>349</v>
      </c>
      <c r="K75" t="inlineStr">
        <is>
          <t>132 / 217</t>
        </is>
      </c>
      <c r="L75" t="inlineStr">
        <is>
          <t>19 / 24</t>
        </is>
      </c>
      <c r="M75" s="5" t="n">
        <v>0.38</v>
      </c>
      <c r="N75" s="5" t="n">
        <v>0.44</v>
      </c>
    </row>
    <row r="76">
      <c r="A76" t="n">
        <v>75</v>
      </c>
      <c r="B76" t="n">
        <v>2012</v>
      </c>
      <c r="C76" t="inlineStr">
        <is>
          <t>Zahava Olszynko</t>
        </is>
      </c>
      <c r="D76">
        <f>HYPERLINK("https://ota.tournamentsoftware.com/player-profile/B6F84042-B29D-4CD8-984E-787094BFA8A4", "Link")</f>
        <v/>
      </c>
      <c r="E76" s="3" t="n">
        <v>1396.116</v>
      </c>
      <c r="F76" s="4" t="n">
        <v>31</v>
      </c>
      <c r="G76" t="inlineStr">
        <is>
          <t>Ontario Tennis Association</t>
        </is>
      </c>
      <c r="H76" t="inlineStr">
        <is>
          <t>Rideau Sports Centre</t>
        </is>
      </c>
      <c r="I76" t="n">
        <v>26.2</v>
      </c>
      <c r="J76" s="4" t="n">
        <v>231</v>
      </c>
      <c r="K76" t="inlineStr">
        <is>
          <t>127 / 104</t>
        </is>
      </c>
      <c r="L76" t="inlineStr">
        <is>
          <t>35 / 24</t>
        </is>
      </c>
      <c r="M76" s="5" t="n">
        <v>0.55</v>
      </c>
      <c r="N76" s="5" t="n">
        <v>0.59</v>
      </c>
    </row>
    <row r="77">
      <c r="A77" t="n">
        <v>76</v>
      </c>
      <c r="B77" t="n">
        <v>2013</v>
      </c>
      <c r="C77" t="inlineStr">
        <is>
          <t>Eleanor Victoria Paura</t>
        </is>
      </c>
      <c r="D77">
        <f>HYPERLINK("https://ota.tournamentsoftware.com/player-profile/4D9EBB83-94D7-44A3-BD6F-1D98EF9559DF", "Link")</f>
        <v/>
      </c>
      <c r="E77" s="3" t="n">
        <v>1376.144</v>
      </c>
      <c r="F77" s="4" t="n">
        <v>11</v>
      </c>
      <c r="G77" t="inlineStr">
        <is>
          <t>Tennis Saskatchewan</t>
        </is>
      </c>
      <c r="H77" t="inlineStr">
        <is>
          <t>Lakeshore Tennis Club</t>
        </is>
      </c>
      <c r="I77" t="n">
        <v>29.8</v>
      </c>
      <c r="J77" s="4" t="n">
        <v>196</v>
      </c>
      <c r="K77" t="inlineStr">
        <is>
          <t>85 / 111</t>
        </is>
      </c>
      <c r="L77" t="inlineStr">
        <is>
          <t>27 / 22</t>
        </is>
      </c>
      <c r="M77" s="5" t="n">
        <v>0.43</v>
      </c>
      <c r="N77" s="5" t="n">
        <v>0.55</v>
      </c>
    </row>
    <row r="78">
      <c r="A78" t="n">
        <v>77</v>
      </c>
      <c r="B78" t="n">
        <v>2014</v>
      </c>
      <c r="C78" t="inlineStr">
        <is>
          <t>Nanette Du</t>
        </is>
      </c>
      <c r="D78">
        <f>HYPERLINK("https://ota.tournamentsoftware.com/player-profile/53190390-CC68-4E5E-8079-A41733ADF41A", "Link")</f>
        <v/>
      </c>
      <c r="E78" s="3" t="n">
        <v>1337.773</v>
      </c>
      <c r="F78" s="4" t="n">
        <v>16</v>
      </c>
      <c r="G78" t="inlineStr">
        <is>
          <t>Ontario Tennis Association</t>
        </is>
      </c>
      <c r="H78" t="inlineStr">
        <is>
          <t>Advantage Tennis International at Veneto</t>
        </is>
      </c>
      <c r="I78" t="n">
        <v>28.1</v>
      </c>
      <c r="J78" s="4" t="n">
        <v>151</v>
      </c>
      <c r="K78" t="inlineStr">
        <is>
          <t>94 / 57</t>
        </is>
      </c>
      <c r="L78" t="inlineStr">
        <is>
          <t>28 / 13</t>
        </is>
      </c>
      <c r="M78" s="5" t="n">
        <v>0.62</v>
      </c>
      <c r="N78" s="5" t="n">
        <v>0.68</v>
      </c>
    </row>
    <row r="79">
      <c r="A79" t="n">
        <v>78</v>
      </c>
      <c r="B79" t="n">
        <v>2013</v>
      </c>
      <c r="C79" t="inlineStr">
        <is>
          <t>Charlotte Dawes</t>
        </is>
      </c>
      <c r="D79">
        <f>HYPERLINK("https://ota.tournamentsoftware.com/player-profile/F2AC6B3A-37CF-4522-9228-9A614DED4E6F", "Link")</f>
        <v/>
      </c>
      <c r="E79" s="3" t="n">
        <v>1333.136</v>
      </c>
      <c r="F79" s="4" t="n">
        <v>14</v>
      </c>
      <c r="G79" t="inlineStr">
        <is>
          <t>Tennis Alberta</t>
        </is>
      </c>
      <c r="H79" t="inlineStr">
        <is>
          <t>Osten &amp; Victor Alberta Tennis Centre</t>
        </is>
      </c>
      <c r="I79" t="n">
        <v>25.7</v>
      </c>
      <c r="J79" s="4" t="n">
        <v>225</v>
      </c>
      <c r="K79" t="inlineStr">
        <is>
          <t>112 / 113</t>
        </is>
      </c>
      <c r="L79" t="inlineStr">
        <is>
          <t>25 / 18</t>
        </is>
      </c>
      <c r="M79" s="5" t="n">
        <v>0.5</v>
      </c>
      <c r="N79" s="5" t="n">
        <v>0.58</v>
      </c>
    </row>
    <row r="80">
      <c r="A80" t="n">
        <v>79</v>
      </c>
      <c r="B80" t="n">
        <v>2012</v>
      </c>
      <c r="C80" t="inlineStr">
        <is>
          <t>Emilie Chen</t>
        </is>
      </c>
      <c r="D80">
        <f>HYPERLINK("https://ota.tournamentsoftware.com/player-profile/829AD033-5D37-4AE8-9F34-8C50F25B20C3", "Link")</f>
        <v/>
      </c>
      <c r="E80" s="3" t="n">
        <v>1230.688</v>
      </c>
      <c r="F80" s="4" t="n">
        <v>12</v>
      </c>
      <c r="G80" t="inlineStr">
        <is>
          <t>Ontario Tennis Association</t>
        </is>
      </c>
      <c r="H80" t="inlineStr">
        <is>
          <t>Toronto Cricket Skating &amp; Curling</t>
        </is>
      </c>
      <c r="I80" t="n">
        <v>26.5</v>
      </c>
      <c r="J80" s="4" t="n">
        <v>219</v>
      </c>
      <c r="K80" t="inlineStr">
        <is>
          <t>91 / 128</t>
        </is>
      </c>
      <c r="L80" t="inlineStr">
        <is>
          <t>14 / 16</t>
        </is>
      </c>
      <c r="M80" s="5" t="n">
        <v>0.42</v>
      </c>
      <c r="N80" s="5" t="n">
        <v>0.47</v>
      </c>
    </row>
    <row r="81">
      <c r="A81" t="n">
        <v>80</v>
      </c>
      <c r="B81" t="n">
        <v>2014</v>
      </c>
      <c r="C81" t="inlineStr">
        <is>
          <t>Ruoran Hou</t>
        </is>
      </c>
      <c r="D81">
        <f>HYPERLINK("https://ota.tournamentsoftware.com/player-profile/01D9A845-667C-4EDB-ABF5-CFE1C5418675", "Link")</f>
        <v/>
      </c>
      <c r="E81" s="3" t="n">
        <v>1181.094</v>
      </c>
      <c r="F81" s="4" t="n">
        <v>16</v>
      </c>
      <c r="G81" t="inlineStr">
        <is>
          <t>Tennis Nova Scotia</t>
        </is>
      </c>
      <c r="H81" t="inlineStr">
        <is>
          <t>Atlantic Tennis Centre</t>
        </is>
      </c>
      <c r="I81" t="n">
        <v>29.2</v>
      </c>
      <c r="J81" s="4" t="n">
        <v>239</v>
      </c>
      <c r="K81" t="inlineStr">
        <is>
          <t>139 / 100</t>
        </is>
      </c>
      <c r="L81" t="inlineStr">
        <is>
          <t>41 / 27</t>
        </is>
      </c>
      <c r="M81" s="5" t="n">
        <v>0.58</v>
      </c>
      <c r="N81" s="5" t="n">
        <v>0.6</v>
      </c>
    </row>
    <row r="82">
      <c r="A82" t="n">
        <v>81</v>
      </c>
      <c r="B82" t="n">
        <v>2012</v>
      </c>
      <c r="C82" t="inlineStr">
        <is>
          <t>Alessia Lungu</t>
        </is>
      </c>
      <c r="D82">
        <f>HYPERLINK("https://ota.tournamentsoftware.com/player-profile/99FF719F-9C8F-4394-BE76-5455D457977A", "Link")</f>
        <v/>
      </c>
      <c r="E82" s="3" t="n">
        <v>1170.891</v>
      </c>
      <c r="F82" s="4" t="n">
        <v>8</v>
      </c>
      <c r="G82" t="inlineStr">
        <is>
          <t>Ontario Tennis Association</t>
        </is>
      </c>
      <c r="H82" t="inlineStr">
        <is>
          <t>Joshua Creek Golf &amp; Tennis</t>
        </is>
      </c>
      <c r="I82" t="n">
        <v>23.3</v>
      </c>
      <c r="J82" s="4" t="n">
        <v>181</v>
      </c>
      <c r="K82" t="inlineStr">
        <is>
          <t>116 / 65</t>
        </is>
      </c>
      <c r="L82" t="inlineStr">
        <is>
          <t>5 / 3</t>
        </is>
      </c>
      <c r="M82" s="5" t="n">
        <v>0.64</v>
      </c>
      <c r="N82" s="5" t="n">
        <v>0.62</v>
      </c>
    </row>
    <row r="83">
      <c r="A83" t="n">
        <v>82</v>
      </c>
      <c r="B83" t="n">
        <v>2012</v>
      </c>
      <c r="C83" t="inlineStr">
        <is>
          <t>Ashlee Hanul Yoo</t>
        </is>
      </c>
      <c r="D83">
        <f>HYPERLINK("https://ota.tournamentsoftware.com/player-profile/BA09F220-C66B-4A96-9C0C-1BEE71ADDA56", "Link")</f>
        <v/>
      </c>
      <c r="E83" s="3" t="n">
        <v>1170.503</v>
      </c>
      <c r="F83" s="4" t="n">
        <v>11</v>
      </c>
      <c r="G83" t="inlineStr">
        <is>
          <t>British Columbia</t>
        </is>
      </c>
      <c r="H83" t="inlineStr">
        <is>
          <t>No Club</t>
        </is>
      </c>
      <c r="I83" t="inlineStr">
        <is>
          <t>unavailable</t>
        </is>
      </c>
      <c r="J83" s="4" t="n">
        <v>205</v>
      </c>
      <c r="K83" t="inlineStr">
        <is>
          <t>109 / 96</t>
        </is>
      </c>
      <c r="L83" t="inlineStr">
        <is>
          <t>18 / 18</t>
        </is>
      </c>
      <c r="M83" s="5" t="n">
        <v>0.53</v>
      </c>
      <c r="N83" s="5" t="n">
        <v>0.5</v>
      </c>
    </row>
    <row r="84">
      <c r="A84" t="n">
        <v>83</v>
      </c>
      <c r="B84" t="n">
        <v>2013</v>
      </c>
      <c r="C84" t="inlineStr">
        <is>
          <t>Halo Boyu Li</t>
        </is>
      </c>
      <c r="D84">
        <f>HYPERLINK("https://ota.tournamentsoftware.com/player-profile/42371346-12B9-439B-B9EB-FB5DD0ABCB73", "Link")</f>
        <v/>
      </c>
      <c r="E84" s="3" t="n">
        <v>1165.149</v>
      </c>
      <c r="F84" s="4" t="n">
        <v>11</v>
      </c>
      <c r="G84" t="inlineStr">
        <is>
          <t>Tennis Saskatchewan</t>
        </is>
      </c>
      <c r="H84" t="inlineStr">
        <is>
          <t>No Club</t>
        </is>
      </c>
      <c r="I84" t="n">
        <v>31</v>
      </c>
      <c r="J84" s="4" t="n">
        <v>181</v>
      </c>
      <c r="K84" t="inlineStr">
        <is>
          <t>79 / 102</t>
        </is>
      </c>
      <c r="L84" t="inlineStr">
        <is>
          <t>29 / 27</t>
        </is>
      </c>
      <c r="M84" s="5" t="n">
        <v>0.44</v>
      </c>
      <c r="N84" s="5" t="n">
        <v>0.52</v>
      </c>
    </row>
    <row r="85">
      <c r="A85" t="n">
        <v>84</v>
      </c>
      <c r="B85" t="n">
        <v>2012</v>
      </c>
      <c r="C85" t="inlineStr">
        <is>
          <t>Alexsandra Stanislavksy</t>
        </is>
      </c>
      <c r="D85">
        <f>HYPERLINK("https://ota.tournamentsoftware.com/player-profile/A067EDC1-6B71-4023-8C13-88CA87AA808B", "Link")</f>
        <v/>
      </c>
      <c r="E85" s="3" t="n">
        <v>1142.629</v>
      </c>
      <c r="F85" s="4" t="n">
        <v>31</v>
      </c>
      <c r="G85" t="inlineStr">
        <is>
          <t>Ontario Tennis Association</t>
        </is>
      </c>
      <c r="H85" t="inlineStr">
        <is>
          <t>No Club</t>
        </is>
      </c>
      <c r="I85" t="n">
        <v>28.9</v>
      </c>
      <c r="J85" s="4" t="n">
        <v>200</v>
      </c>
      <c r="K85" t="inlineStr">
        <is>
          <t>90 / 110</t>
        </is>
      </c>
      <c r="L85" t="inlineStr">
        <is>
          <t>27 / 29</t>
        </is>
      </c>
      <c r="M85" s="5" t="n">
        <v>0.45</v>
      </c>
      <c r="N85" s="5" t="n">
        <v>0.48</v>
      </c>
    </row>
    <row r="86">
      <c r="A86" t="n">
        <v>85</v>
      </c>
      <c r="B86" t="n">
        <v>2013</v>
      </c>
      <c r="C86" t="inlineStr">
        <is>
          <t>Chloé Normandin</t>
        </is>
      </c>
      <c r="D86">
        <f>HYPERLINK("https://ota.tournamentsoftware.com/player-profile/A22608C6-6D99-476C-9EC7-9A31F3CACB0A", "Link")</f>
        <v/>
      </c>
      <c r="E86" s="3" t="n">
        <v>1139.173</v>
      </c>
      <c r="F86" s="4" t="n">
        <v>22</v>
      </c>
      <c r="G86" t="inlineStr">
        <is>
          <t>Tennis Québec</t>
        </is>
      </c>
      <c r="H86" t="inlineStr">
        <is>
          <t>Tennis Ile- des- Soeurs</t>
        </is>
      </c>
      <c r="I86" t="n">
        <v>26.1</v>
      </c>
      <c r="J86" s="4" t="n">
        <v>270</v>
      </c>
      <c r="K86" t="inlineStr">
        <is>
          <t>149 / 121</t>
        </is>
      </c>
      <c r="L86" t="inlineStr">
        <is>
          <t>38 / 21</t>
        </is>
      </c>
      <c r="M86" s="5" t="n">
        <v>0.55</v>
      </c>
      <c r="N86" s="5" t="n">
        <v>0.64</v>
      </c>
    </row>
    <row r="87">
      <c r="A87" t="n">
        <v>86</v>
      </c>
      <c r="B87" t="n">
        <v>2012</v>
      </c>
      <c r="C87" t="inlineStr">
        <is>
          <t>Kate Louise Violet Dee</t>
        </is>
      </c>
      <c r="D87">
        <f>HYPERLINK("https://ota.tournamentsoftware.com/player-profile/807F7468-99D8-4717-B3DF-3F2ED69EFA0A", "Link")</f>
        <v/>
      </c>
      <c r="E87" s="3" t="n">
        <v>1135.533</v>
      </c>
      <c r="F87" s="4" t="n">
        <v>11</v>
      </c>
      <c r="G87" t="inlineStr">
        <is>
          <t>British Columbia</t>
        </is>
      </c>
      <c r="H87" t="inlineStr">
        <is>
          <t>North Vancouver Tennis Centre</t>
        </is>
      </c>
      <c r="I87" t="n">
        <v>25.8</v>
      </c>
      <c r="J87" s="4" t="n">
        <v>244</v>
      </c>
      <c r="K87" t="inlineStr">
        <is>
          <t>136 / 108</t>
        </is>
      </c>
      <c r="L87" t="inlineStr">
        <is>
          <t>14 / 16</t>
        </is>
      </c>
      <c r="M87" s="5" t="n">
        <v>0.5600000000000001</v>
      </c>
      <c r="N87" s="5" t="n">
        <v>0.47</v>
      </c>
    </row>
    <row r="88">
      <c r="A88" t="n">
        <v>87</v>
      </c>
      <c r="B88" t="n">
        <v>2015</v>
      </c>
      <c r="C88" t="inlineStr">
        <is>
          <t>Sofia Tabunshchyk</t>
        </is>
      </c>
      <c r="D88">
        <f>HYPERLINK("https://ota.tournamentsoftware.com/player-profile/3714FE82-9045-425F-937B-7104A43D57F9", "Link")</f>
        <v/>
      </c>
      <c r="E88" s="3" t="n">
        <v>1122.606</v>
      </c>
      <c r="F88" s="4" t="n">
        <v>38</v>
      </c>
      <c r="G88" t="inlineStr">
        <is>
          <t>Ontario Tennis Association</t>
        </is>
      </c>
      <c r="H88" t="inlineStr">
        <is>
          <t>ACE Tennis - Burlington</t>
        </is>
      </c>
      <c r="I88" t="n">
        <v>26.9</v>
      </c>
      <c r="J88" s="4" t="n">
        <v>333</v>
      </c>
      <c r="K88" t="inlineStr">
        <is>
          <t>167 / 166</t>
        </is>
      </c>
      <c r="L88" t="inlineStr">
        <is>
          <t>57 / 30</t>
        </is>
      </c>
      <c r="M88" s="5" t="n">
        <v>0.5</v>
      </c>
      <c r="N88" s="5" t="n">
        <v>0.66</v>
      </c>
    </row>
    <row r="89">
      <c r="A89" t="n">
        <v>88</v>
      </c>
      <c r="B89" t="n">
        <v>2012</v>
      </c>
      <c r="C89" t="inlineStr">
        <is>
          <t>Adrienne Keaton Nelson</t>
        </is>
      </c>
      <c r="D89">
        <f>HYPERLINK("https://ota.tournamentsoftware.com/player-profile/1D977DD3-331D-4977-B4D6-E3202A6C56BD", "Link")</f>
        <v/>
      </c>
      <c r="E89" s="3" t="n">
        <v>1117.411</v>
      </c>
      <c r="F89" s="4" t="n">
        <v>43</v>
      </c>
      <c r="G89" t="inlineStr">
        <is>
          <t>Ontario Tennis Association</t>
        </is>
      </c>
      <c r="H89" t="inlineStr">
        <is>
          <t>Blackmore Tennis Club</t>
        </is>
      </c>
      <c r="I89" t="n">
        <v>27</v>
      </c>
      <c r="J89" s="4" t="n">
        <v>236</v>
      </c>
      <c r="K89" t="inlineStr">
        <is>
          <t>114 / 122</t>
        </is>
      </c>
      <c r="L89" t="inlineStr">
        <is>
          <t>28 / 27</t>
        </is>
      </c>
      <c r="M89" s="5" t="n">
        <v>0.48</v>
      </c>
      <c r="N89" s="5" t="n">
        <v>0.51</v>
      </c>
    </row>
    <row r="90">
      <c r="A90" t="n">
        <v>89</v>
      </c>
      <c r="B90" t="n">
        <v>2013</v>
      </c>
      <c r="C90" t="inlineStr">
        <is>
          <t>Cindy Liu</t>
        </is>
      </c>
      <c r="D90">
        <f>HYPERLINK("https://ota.tournamentsoftware.com/player-profile/89018759-835F-4CE0-A297-3449F2A42D00", "Link")</f>
        <v/>
      </c>
      <c r="E90" s="3" t="n">
        <v>1113.273</v>
      </c>
      <c r="F90" s="4" t="n">
        <v>22</v>
      </c>
      <c r="G90" t="inlineStr">
        <is>
          <t>British Columbia</t>
        </is>
      </c>
      <c r="H90" t="inlineStr">
        <is>
          <t>The Tennis Centre</t>
        </is>
      </c>
      <c r="I90" t="n">
        <v>25.9</v>
      </c>
      <c r="J90" s="4" t="n">
        <v>197</v>
      </c>
      <c r="K90" t="inlineStr">
        <is>
          <t>104 / 93</t>
        </is>
      </c>
      <c r="L90" t="inlineStr">
        <is>
          <t>34 / 20</t>
        </is>
      </c>
      <c r="M90" s="5" t="n">
        <v>0.53</v>
      </c>
      <c r="N90" s="5" t="n">
        <v>0.63</v>
      </c>
    </row>
    <row r="91">
      <c r="A91" t="n">
        <v>90</v>
      </c>
      <c r="B91" t="n">
        <v>2012</v>
      </c>
      <c r="C91" t="inlineStr">
        <is>
          <t>Alecia Yahan Liu</t>
        </is>
      </c>
      <c r="D91">
        <f>HYPERLINK("https://ota.tournamentsoftware.com/player-profile/3FBB1729-DE66-45FA-864E-C010DC83E5AD", "Link")</f>
        <v/>
      </c>
      <c r="E91" s="3" t="n">
        <v>1097.866</v>
      </c>
      <c r="F91" s="4" t="n">
        <v>20</v>
      </c>
      <c r="G91" t="inlineStr">
        <is>
          <t>Tennis Alberta</t>
        </is>
      </c>
      <c r="H91" t="inlineStr">
        <is>
          <t>Saville Community Sports Centre</t>
        </is>
      </c>
      <c r="I91" t="n">
        <v>26.4</v>
      </c>
      <c r="J91" s="4" t="n">
        <v>242</v>
      </c>
      <c r="K91" t="inlineStr">
        <is>
          <t>125 / 117</t>
        </is>
      </c>
      <c r="L91" t="inlineStr">
        <is>
          <t>23 / 22</t>
        </is>
      </c>
      <c r="M91" s="5" t="n">
        <v>0.52</v>
      </c>
      <c r="N91" s="5" t="n">
        <v>0.51</v>
      </c>
    </row>
    <row r="92">
      <c r="A92" t="n">
        <v>91</v>
      </c>
      <c r="B92" t="n">
        <v>2013</v>
      </c>
      <c r="C92" t="inlineStr">
        <is>
          <t>Charlotte Ng</t>
        </is>
      </c>
      <c r="D92">
        <f>HYPERLINK("https://ota.tournamentsoftware.com/player-profile/1FAB3C52-8224-4122-A705-ED95AC2AE538", "Link")</f>
        <v/>
      </c>
      <c r="E92" s="3" t="n">
        <v>1096.863</v>
      </c>
      <c r="F92" s="4" t="n">
        <v>28</v>
      </c>
      <c r="G92" t="inlineStr">
        <is>
          <t>Ontario Tennis Association</t>
        </is>
      </c>
      <c r="H92" t="inlineStr">
        <is>
          <t>Blackmore Tennis Club</t>
        </is>
      </c>
      <c r="I92" t="n">
        <v>30.6</v>
      </c>
      <c r="J92" s="4" t="n">
        <v>220</v>
      </c>
      <c r="K92" t="inlineStr">
        <is>
          <t>124 / 96</t>
        </is>
      </c>
      <c r="L92" t="inlineStr">
        <is>
          <t>33 / 22</t>
        </is>
      </c>
      <c r="M92" s="5" t="n">
        <v>0.5600000000000001</v>
      </c>
      <c r="N92" s="5" t="n">
        <v>0.6</v>
      </c>
    </row>
    <row r="93">
      <c r="A93" t="n">
        <v>92</v>
      </c>
      <c r="B93" t="n">
        <v>2012</v>
      </c>
      <c r="C93" t="inlineStr">
        <is>
          <t>Emilia Klimek</t>
        </is>
      </c>
      <c r="D93">
        <f>HYPERLINK("https://ota.tournamentsoftware.com/player-profile/B65F75BD-7091-433B-817C-EC3472CCA6E3", "Link")</f>
        <v/>
      </c>
      <c r="E93" s="3" t="n">
        <v>1074.821</v>
      </c>
      <c r="F93" s="4" t="n">
        <v>19</v>
      </c>
      <c r="G93" t="inlineStr">
        <is>
          <t>British Columbia</t>
        </is>
      </c>
      <c r="H93" t="inlineStr">
        <is>
          <t>No Club</t>
        </is>
      </c>
      <c r="I93" t="n">
        <v>26</v>
      </c>
      <c r="J93" s="4" t="n">
        <v>223</v>
      </c>
      <c r="K93" t="inlineStr">
        <is>
          <t>119 / 104</t>
        </is>
      </c>
      <c r="L93" t="inlineStr">
        <is>
          <t>31 / 19</t>
        </is>
      </c>
      <c r="M93" s="5" t="n">
        <v>0.53</v>
      </c>
      <c r="N93" s="5" t="n">
        <v>0.62</v>
      </c>
    </row>
    <row r="94">
      <c r="A94" t="n">
        <v>93</v>
      </c>
      <c r="B94" t="n">
        <v>2013</v>
      </c>
      <c r="C94" t="inlineStr">
        <is>
          <t>Sophia Gettle</t>
        </is>
      </c>
      <c r="D94">
        <f>HYPERLINK("https://ota.tournamentsoftware.com/player-profile/5CC0A57F-C369-42D6-B845-B30A38F24F56", "Link")</f>
        <v/>
      </c>
      <c r="E94" s="3" t="n">
        <v>1060.252</v>
      </c>
      <c r="F94" s="4" t="n">
        <v>13</v>
      </c>
      <c r="G94" t="inlineStr">
        <is>
          <t>Tennis Saskatchewan</t>
        </is>
      </c>
      <c r="H94" t="inlineStr">
        <is>
          <t>Lakeshore Tennis Club</t>
        </is>
      </c>
      <c r="I94" t="inlineStr">
        <is>
          <t>unavailable</t>
        </is>
      </c>
      <c r="J94" s="4" t="n">
        <v>209</v>
      </c>
      <c r="K94" t="inlineStr">
        <is>
          <t>92 / 117</t>
        </is>
      </c>
      <c r="L94" t="inlineStr">
        <is>
          <t>23 / 31</t>
        </is>
      </c>
      <c r="M94" s="5" t="n">
        <v>0.44</v>
      </c>
      <c r="N94" s="5" t="n">
        <v>0.43</v>
      </c>
    </row>
    <row r="95">
      <c r="A95" t="n">
        <v>94</v>
      </c>
      <c r="B95" t="n">
        <v>2012</v>
      </c>
      <c r="C95" t="inlineStr">
        <is>
          <t>Laura Patsynka</t>
        </is>
      </c>
      <c r="D95">
        <f>HYPERLINK("https://ota.tournamentsoftware.com/player-profile/49340E93-6E30-4683-9E0F-4D50A1C584F1", "Link")</f>
        <v/>
      </c>
      <c r="E95" s="3" t="n">
        <v>1060.104</v>
      </c>
      <c r="F95" s="4" t="n">
        <v>28</v>
      </c>
      <c r="G95" t="inlineStr">
        <is>
          <t>Ontario Tennis Association</t>
        </is>
      </c>
      <c r="H95" t="inlineStr">
        <is>
          <t>SmartVMC Racquetsports by ACE</t>
        </is>
      </c>
      <c r="I95" t="inlineStr">
        <is>
          <t>unavailable</t>
        </is>
      </c>
      <c r="J95" s="4" t="n">
        <v>204</v>
      </c>
      <c r="K95" t="inlineStr">
        <is>
          <t>81 / 123</t>
        </is>
      </c>
      <c r="L95" t="inlineStr">
        <is>
          <t>12 / 24</t>
        </is>
      </c>
      <c r="M95" s="5" t="n">
        <v>0.4</v>
      </c>
      <c r="N95" s="5" t="n">
        <v>0.33</v>
      </c>
    </row>
    <row r="96">
      <c r="A96" t="n">
        <v>95</v>
      </c>
      <c r="B96" t="n">
        <v>2012</v>
      </c>
      <c r="C96" t="inlineStr">
        <is>
          <t>Maia-Alexandra Popa</t>
        </is>
      </c>
      <c r="D96">
        <f>HYPERLINK("https://ota.tournamentsoftware.com/player-profile/1D5E0C32-9DDE-4B44-ADF9-FDB75BF638BC", "Link")</f>
        <v/>
      </c>
      <c r="E96" s="3" t="n">
        <v>1059.546</v>
      </c>
      <c r="F96" s="4" t="n">
        <v>20</v>
      </c>
      <c r="G96" t="inlineStr">
        <is>
          <t>Ontario Tennis Association</t>
        </is>
      </c>
      <c r="H96" t="inlineStr">
        <is>
          <t>No Club</t>
        </is>
      </c>
      <c r="I96" t="n">
        <v>26.2</v>
      </c>
      <c r="J96" s="4" t="n">
        <v>210</v>
      </c>
      <c r="K96" t="inlineStr">
        <is>
          <t>110 / 100</t>
        </is>
      </c>
      <c r="L96" t="inlineStr">
        <is>
          <t>28 / 15</t>
        </is>
      </c>
      <c r="M96" s="5" t="n">
        <v>0.52</v>
      </c>
      <c r="N96" s="5" t="n">
        <v>0.65</v>
      </c>
    </row>
    <row r="97">
      <c r="A97" t="n">
        <v>96</v>
      </c>
      <c r="B97" t="n">
        <v>2014</v>
      </c>
      <c r="C97" t="inlineStr">
        <is>
          <t>Victoria Markova</t>
        </is>
      </c>
      <c r="D97">
        <f>HYPERLINK("https://ota.tournamentsoftware.com/player-profile/DE909631-ADF4-4157-ABE4-0097B95C4307", "Link")</f>
        <v/>
      </c>
      <c r="E97" s="3" t="n">
        <v>1059.342</v>
      </c>
      <c r="F97" s="4" t="n">
        <v>24</v>
      </c>
      <c r="G97" t="inlineStr">
        <is>
          <t>Tennis Québec</t>
        </is>
      </c>
      <c r="H97" t="inlineStr">
        <is>
          <t>Carrefour Multisports</t>
        </is>
      </c>
      <c r="I97" t="n">
        <v>29.1</v>
      </c>
      <c r="J97" s="4" t="n">
        <v>238</v>
      </c>
      <c r="K97" t="inlineStr">
        <is>
          <t>131 / 107</t>
        </is>
      </c>
      <c r="L97" t="inlineStr">
        <is>
          <t>44 / 28</t>
        </is>
      </c>
      <c r="M97" s="5" t="n">
        <v>0.55</v>
      </c>
      <c r="N97" s="5" t="n">
        <v>0.61</v>
      </c>
    </row>
    <row r="98">
      <c r="A98" t="n">
        <v>97</v>
      </c>
      <c r="B98" t="n">
        <v>2014</v>
      </c>
      <c r="C98" t="inlineStr">
        <is>
          <t>JOANNA QIHENG FEI</t>
        </is>
      </c>
      <c r="D98">
        <f>HYPERLINK("https://ota.tournamentsoftware.com/player-profile/1DD48A17-96B6-42F9-8D67-EE4CBF6DFA95", "Link")</f>
        <v/>
      </c>
      <c r="E98" s="3" t="n">
        <v>1051.658</v>
      </c>
      <c r="F98" s="4" t="n">
        <v>20</v>
      </c>
      <c r="G98" t="inlineStr">
        <is>
          <t>British Columbia</t>
        </is>
      </c>
      <c r="H98" t="inlineStr">
        <is>
          <t>Richmond Country Club</t>
        </is>
      </c>
      <c r="I98" t="n">
        <v>26</v>
      </c>
      <c r="J98" s="4" t="n">
        <v>271</v>
      </c>
      <c r="K98" t="inlineStr">
        <is>
          <t>135 / 136</t>
        </is>
      </c>
      <c r="L98" t="inlineStr">
        <is>
          <t>42 / 20</t>
        </is>
      </c>
      <c r="M98" s="5" t="n">
        <v>0.5</v>
      </c>
      <c r="N98" s="5" t="n">
        <v>0.68</v>
      </c>
    </row>
    <row r="99">
      <c r="A99" t="n">
        <v>98</v>
      </c>
      <c r="B99" t="n">
        <v>2012</v>
      </c>
      <c r="C99" t="inlineStr">
        <is>
          <t>Margarita Ter-Grigoryan</t>
        </is>
      </c>
      <c r="D99">
        <f>HYPERLINK("https://ota.tournamentsoftware.com/player-profile/A86B3E87-30AA-4D57-86CF-572CF663421E", "Link")</f>
        <v/>
      </c>
      <c r="E99" s="3" t="n">
        <v>1020.42</v>
      </c>
      <c r="F99" s="4" t="n">
        <v>14</v>
      </c>
      <c r="G99" t="inlineStr">
        <is>
          <t>Tennis Saskatchewan</t>
        </is>
      </c>
      <c r="H99" t="inlineStr">
        <is>
          <t>No Club</t>
        </is>
      </c>
      <c r="I99" t="n">
        <v>29.9</v>
      </c>
      <c r="J99" s="4" t="n">
        <v>130</v>
      </c>
      <c r="K99" t="inlineStr">
        <is>
          <t>70 / 60</t>
        </is>
      </c>
      <c r="L99" t="inlineStr">
        <is>
          <t>30 / 30</t>
        </is>
      </c>
      <c r="M99" s="5" t="n">
        <v>0.54</v>
      </c>
      <c r="N99" s="5" t="n">
        <v>0.5</v>
      </c>
    </row>
    <row r="100">
      <c r="A100" t="n">
        <v>99</v>
      </c>
      <c r="B100" t="n">
        <v>2013</v>
      </c>
      <c r="C100" t="inlineStr">
        <is>
          <t>Amelia Karapalevski</t>
        </is>
      </c>
      <c r="D100">
        <f>HYPERLINK("https://ota.tournamentsoftware.com/player-profile/FA2D2790-6EBD-4928-94F7-17F54621E2B4", "Link")</f>
        <v/>
      </c>
      <c r="E100" s="3" t="n">
        <v>1010.258</v>
      </c>
      <c r="F100" s="4" t="n">
        <v>32</v>
      </c>
      <c r="G100" t="inlineStr">
        <is>
          <t>Ontario Tennis Association</t>
        </is>
      </c>
      <c r="H100" t="inlineStr">
        <is>
          <t>SmartVMC Racquetsports by ACE</t>
        </is>
      </c>
      <c r="I100" t="n">
        <v>28</v>
      </c>
      <c r="J100" s="4" t="n">
        <v>225</v>
      </c>
      <c r="K100" t="inlineStr">
        <is>
          <t>130 / 95</t>
        </is>
      </c>
      <c r="L100" t="inlineStr">
        <is>
          <t>36 / 24</t>
        </is>
      </c>
      <c r="M100" s="5" t="n">
        <v>0.58</v>
      </c>
      <c r="N100" s="5" t="n">
        <v>0.6</v>
      </c>
    </row>
    <row r="101">
      <c r="A101" t="n">
        <v>100</v>
      </c>
      <c r="B101" t="n">
        <v>2012</v>
      </c>
      <c r="C101" t="inlineStr">
        <is>
          <t>Estelle Kroupetski</t>
        </is>
      </c>
      <c r="D101">
        <f>HYPERLINK("https://ota.tournamentsoftware.com/player-profile/7A8D0D40-A77C-429C-81D6-05DC21DB8D28", "Link")</f>
        <v/>
      </c>
      <c r="E101" s="3" t="n">
        <v>982.264</v>
      </c>
      <c r="F101" s="4" t="n">
        <v>20</v>
      </c>
      <c r="G101" t="inlineStr">
        <is>
          <t>Ontario Tennis Association</t>
        </is>
      </c>
      <c r="H101" t="inlineStr">
        <is>
          <t>Ontario Racquet Club</t>
        </is>
      </c>
      <c r="I101" t="n">
        <v>27.3</v>
      </c>
      <c r="J101" s="4" t="n">
        <v>151</v>
      </c>
      <c r="K101" t="inlineStr">
        <is>
          <t>77 / 74</t>
        </is>
      </c>
      <c r="L101" t="inlineStr">
        <is>
          <t>33 / 12</t>
        </is>
      </c>
      <c r="M101" s="5" t="n">
        <v>0.51</v>
      </c>
      <c r="N101" s="5" t="n">
        <v>0.73</v>
      </c>
    </row>
    <row r="102">
      <c r="A102" t="n">
        <v>101</v>
      </c>
      <c r="B102" t="n">
        <v>2013</v>
      </c>
      <c r="C102" t="inlineStr">
        <is>
          <t>Aubrianna Ellen York</t>
        </is>
      </c>
      <c r="D102">
        <f>HYPERLINK("https://ota.tournamentsoftware.com/player-profile/FDFD6FEF-AD8B-4B1E-ADE3-15417E1BCF05", "Link")</f>
        <v/>
      </c>
      <c r="E102" s="3" t="n">
        <v>970.944</v>
      </c>
      <c r="F102" s="4" t="n">
        <v>17</v>
      </c>
      <c r="G102" t="inlineStr">
        <is>
          <t>Tennis Alberta</t>
        </is>
      </c>
      <c r="H102" t="inlineStr">
        <is>
          <t>Aforza</t>
        </is>
      </c>
      <c r="I102" t="n">
        <v>28.1</v>
      </c>
      <c r="J102" s="4" t="n">
        <v>214</v>
      </c>
      <c r="K102" t="inlineStr">
        <is>
          <t>113 / 101</t>
        </is>
      </c>
      <c r="L102" t="inlineStr">
        <is>
          <t>28 / 19</t>
        </is>
      </c>
      <c r="M102" s="5" t="n">
        <v>0.53</v>
      </c>
      <c r="N102" s="5" t="n">
        <v>0.6</v>
      </c>
    </row>
    <row r="103">
      <c r="A103" t="n">
        <v>102</v>
      </c>
      <c r="B103" t="n">
        <v>2014</v>
      </c>
      <c r="C103" t="inlineStr">
        <is>
          <t>Qiuyue Li</t>
        </is>
      </c>
      <c r="D103">
        <f>HYPERLINK("https://ota.tournamentsoftware.com/player-profile/20DDEF60-3700-4387-8C53-C32DB7F857D4", "Link")</f>
        <v/>
      </c>
      <c r="E103" s="3" t="n">
        <v>961.8</v>
      </c>
      <c r="F103" s="4" t="n">
        <v>5</v>
      </c>
      <c r="G103" t="inlineStr">
        <is>
          <t>Ontario Tennis Association</t>
        </is>
      </c>
      <c r="H103" t="inlineStr">
        <is>
          <t>No Club</t>
        </is>
      </c>
      <c r="I103" t="n">
        <v>26.7</v>
      </c>
      <c r="J103" s="4" t="n">
        <v>26</v>
      </c>
      <c r="K103" t="inlineStr">
        <is>
          <t>24 / 2</t>
        </is>
      </c>
      <c r="L103" t="inlineStr">
        <is>
          <t>14 / 1</t>
        </is>
      </c>
      <c r="M103" s="5" t="n">
        <v>0.92</v>
      </c>
      <c r="N103" s="5" t="n">
        <v>0.93</v>
      </c>
    </row>
    <row r="104">
      <c r="A104" t="n">
        <v>103</v>
      </c>
      <c r="B104" t="n">
        <v>2012</v>
      </c>
      <c r="C104" t="inlineStr">
        <is>
          <t>Chloe Lou Friesen</t>
        </is>
      </c>
      <c r="D104">
        <f>HYPERLINK("https://ota.tournamentsoftware.com/player-profile/A0A11672-F1E8-4BD3-A43A-BB82984EDDA5", "Link")</f>
        <v/>
      </c>
      <c r="E104" s="3" t="n">
        <v>959.691</v>
      </c>
      <c r="F104" s="4" t="n">
        <v>17</v>
      </c>
      <c r="G104" t="inlineStr">
        <is>
          <t>British Columbia</t>
        </is>
      </c>
      <c r="H104" t="inlineStr">
        <is>
          <t>Vancouver Lawn Tennis and Badminton Club</t>
        </is>
      </c>
      <c r="I104" t="n">
        <v>26</v>
      </c>
      <c r="J104" s="4" t="n">
        <v>235</v>
      </c>
      <c r="K104" t="inlineStr">
        <is>
          <t>129 / 106</t>
        </is>
      </c>
      <c r="L104" t="inlineStr">
        <is>
          <t>24 / 16</t>
        </is>
      </c>
      <c r="M104" s="5" t="n">
        <v>0.55</v>
      </c>
      <c r="N104" s="5" t="n">
        <v>0.6</v>
      </c>
    </row>
    <row r="105">
      <c r="A105" t="n">
        <v>104</v>
      </c>
      <c r="B105" t="n">
        <v>2015</v>
      </c>
      <c r="C105" t="inlineStr">
        <is>
          <t>Evelyn J.C. Liu</t>
        </is>
      </c>
      <c r="D105">
        <f>HYPERLINK("https://ota.tournamentsoftware.com/player-profile/193F9EEB-1528-48A2-A0D8-C6448E62254A", "Link")</f>
        <v/>
      </c>
      <c r="E105" s="3" t="n">
        <v>945.349</v>
      </c>
      <c r="F105" s="4" t="n">
        <v>16</v>
      </c>
      <c r="G105" t="inlineStr">
        <is>
          <t>British Columbia</t>
        </is>
      </c>
      <c r="H105" t="inlineStr">
        <is>
          <t>Vancouver Lawn Tennis and Badminton Club</t>
        </is>
      </c>
      <c r="I105" t="n">
        <v>27</v>
      </c>
      <c r="J105" s="4" t="n">
        <v>271</v>
      </c>
      <c r="K105" t="inlineStr">
        <is>
          <t>152 / 119</t>
        </is>
      </c>
      <c r="L105" t="inlineStr">
        <is>
          <t>41 / 22</t>
        </is>
      </c>
      <c r="M105" s="5" t="n">
        <v>0.5600000000000001</v>
      </c>
      <c r="N105" s="5" t="n">
        <v>0.65</v>
      </c>
    </row>
    <row r="106">
      <c r="A106" t="n">
        <v>105</v>
      </c>
      <c r="B106" t="n">
        <v>2015</v>
      </c>
      <c r="C106" t="inlineStr">
        <is>
          <t>Aahana Guha</t>
        </is>
      </c>
      <c r="D106">
        <f>HYPERLINK("https://ota.tournamentsoftware.com/player-profile/B6BFAEC0-924F-4635-B45C-E700061D4B03", "Link")</f>
        <v/>
      </c>
      <c r="E106" s="3" t="n">
        <v>944.747</v>
      </c>
      <c r="F106" s="4" t="n">
        <v>12</v>
      </c>
      <c r="G106" t="inlineStr">
        <is>
          <t>Tennis Saskatchewan</t>
        </is>
      </c>
      <c r="H106" t="inlineStr">
        <is>
          <t>Lakeshore Tennis Club</t>
        </is>
      </c>
      <c r="I106" t="n">
        <v>30.8</v>
      </c>
      <c r="J106" s="4" t="n">
        <v>171</v>
      </c>
      <c r="K106" t="inlineStr">
        <is>
          <t>90 / 81</t>
        </is>
      </c>
      <c r="L106" t="inlineStr">
        <is>
          <t>34 / 23</t>
        </is>
      </c>
      <c r="M106" s="5" t="n">
        <v>0.53</v>
      </c>
      <c r="N106" s="5" t="n">
        <v>0.6</v>
      </c>
    </row>
    <row r="107">
      <c r="A107" t="n">
        <v>106</v>
      </c>
      <c r="B107" t="n">
        <v>2012</v>
      </c>
      <c r="C107" t="inlineStr">
        <is>
          <t>Emma Abdou</t>
        </is>
      </c>
      <c r="D107">
        <f>HYPERLINK("https://ota.tournamentsoftware.com/player-profile/FD6387AB-774D-491E-8A68-CE4DD20FAEF7", "Link")</f>
        <v/>
      </c>
      <c r="E107" s="3" t="n">
        <v>933.24</v>
      </c>
      <c r="F107" s="4" t="n">
        <v>35</v>
      </c>
      <c r="G107" t="inlineStr">
        <is>
          <t>Ontario Tennis Association</t>
        </is>
      </c>
      <c r="H107" t="inlineStr">
        <is>
          <t>Granite Club</t>
        </is>
      </c>
      <c r="I107" t="n">
        <v>29.7</v>
      </c>
      <c r="J107" s="4" t="n">
        <v>217</v>
      </c>
      <c r="K107" t="inlineStr">
        <is>
          <t>103 / 114</t>
        </is>
      </c>
      <c r="L107" t="inlineStr">
        <is>
          <t>35 / 31</t>
        </is>
      </c>
      <c r="M107" s="5" t="n">
        <v>0.47</v>
      </c>
      <c r="N107" s="5" t="n">
        <v>0.53</v>
      </c>
    </row>
    <row r="108">
      <c r="A108" t="n">
        <v>107</v>
      </c>
      <c r="B108" t="n">
        <v>2013</v>
      </c>
      <c r="C108" t="inlineStr">
        <is>
          <t>Akshara Bavanaka</t>
        </is>
      </c>
      <c r="D108">
        <f>HYPERLINK("https://ota.tournamentsoftware.com/player-profile/DB56F65D-8A18-4169-BE31-18F89B25E14B", "Link")</f>
        <v/>
      </c>
      <c r="E108" s="3" t="n">
        <v>923.843</v>
      </c>
      <c r="F108" s="4" t="n">
        <v>37</v>
      </c>
      <c r="G108" t="inlineStr">
        <is>
          <t>Ontario Tennis Association</t>
        </is>
      </c>
      <c r="H108" t="inlineStr">
        <is>
          <t>Advantage Tennis International at Veneto</t>
        </is>
      </c>
      <c r="I108" t="n">
        <v>29.9</v>
      </c>
      <c r="J108" s="4" t="n">
        <v>239</v>
      </c>
      <c r="K108" t="inlineStr">
        <is>
          <t>122 / 117</t>
        </is>
      </c>
      <c r="L108" t="inlineStr">
        <is>
          <t>21 / 26</t>
        </is>
      </c>
      <c r="M108" s="5" t="n">
        <v>0.51</v>
      </c>
      <c r="N108" s="5" t="n">
        <v>0.45</v>
      </c>
    </row>
    <row r="109">
      <c r="A109" t="n">
        <v>108</v>
      </c>
      <c r="B109" t="n">
        <v>2013</v>
      </c>
      <c r="C109" t="inlineStr">
        <is>
          <t>Mia Nikolovska</t>
        </is>
      </c>
      <c r="D109">
        <f>HYPERLINK("https://ota.tournamentsoftware.com/player-profile/52158395-8ADB-4430-ABAA-C56A79756D09", "Link")</f>
        <v/>
      </c>
      <c r="E109" s="3" t="n">
        <v>895.96</v>
      </c>
      <c r="F109" s="4" t="n">
        <v>34</v>
      </c>
      <c r="G109" t="inlineStr">
        <is>
          <t>Ontario Tennis Association</t>
        </is>
      </c>
      <c r="H109" t="inlineStr">
        <is>
          <t>No Club</t>
        </is>
      </c>
      <c r="I109" t="inlineStr">
        <is>
          <t>unavailable</t>
        </is>
      </c>
      <c r="J109" s="4" t="n">
        <v>366</v>
      </c>
      <c r="K109" t="inlineStr">
        <is>
          <t>223 / 143</t>
        </is>
      </c>
      <c r="L109" t="inlineStr">
        <is>
          <t>33 / 22</t>
        </is>
      </c>
      <c r="M109" s="5" t="n">
        <v>0.61</v>
      </c>
      <c r="N109" s="5" t="n">
        <v>0.6</v>
      </c>
    </row>
    <row r="110">
      <c r="A110" t="n">
        <v>109</v>
      </c>
      <c r="B110" t="n">
        <v>2015</v>
      </c>
      <c r="C110" t="inlineStr">
        <is>
          <t>Emilie Joly</t>
        </is>
      </c>
      <c r="D110">
        <f>HYPERLINK("https://ota.tournamentsoftware.com/player-profile/57736008-B9CA-4FCE-BEF6-90222787F336", "Link")</f>
        <v/>
      </c>
      <c r="E110" s="3" t="n">
        <v>865.3150000000001</v>
      </c>
      <c r="F110" s="4" t="n">
        <v>16</v>
      </c>
      <c r="G110" t="inlineStr">
        <is>
          <t>Ontario Tennis Association</t>
        </is>
      </c>
      <c r="H110" t="inlineStr">
        <is>
          <t>Kingston Racquet Centre</t>
        </is>
      </c>
      <c r="I110" t="n">
        <v>27.6</v>
      </c>
      <c r="J110" s="4" t="n">
        <v>224</v>
      </c>
      <c r="K110" t="inlineStr">
        <is>
          <t>156 / 68</t>
        </is>
      </c>
      <c r="L110" t="inlineStr">
        <is>
          <t>33 / 8</t>
        </is>
      </c>
      <c r="M110" s="5" t="n">
        <v>0.7</v>
      </c>
      <c r="N110" s="5" t="n">
        <v>0.8</v>
      </c>
    </row>
    <row r="111">
      <c r="A111" t="n">
        <v>110</v>
      </c>
      <c r="B111" t="n">
        <v>2012</v>
      </c>
      <c r="C111" t="inlineStr">
        <is>
          <t>Jaydalie Isaac</t>
        </is>
      </c>
      <c r="D111">
        <f>HYPERLINK("https://ota.tournamentsoftware.com/player-profile/A56DDC7B-03D0-424A-907D-63A363906F9A", "Link")</f>
        <v/>
      </c>
      <c r="E111" s="3" t="n">
        <v>851.111</v>
      </c>
      <c r="F111" s="4" t="n">
        <v>13</v>
      </c>
      <c r="G111" t="inlineStr">
        <is>
          <t>Tennis Québec</t>
        </is>
      </c>
      <c r="H111" t="inlineStr">
        <is>
          <t>No Club</t>
        </is>
      </c>
      <c r="I111" t="n">
        <v>28</v>
      </c>
      <c r="J111" s="4" t="n">
        <v>235</v>
      </c>
      <c r="K111" t="inlineStr">
        <is>
          <t>111 / 124</t>
        </is>
      </c>
      <c r="L111" t="inlineStr">
        <is>
          <t>21 / 12</t>
        </is>
      </c>
      <c r="M111" s="5" t="n">
        <v>0.47</v>
      </c>
      <c r="N111" s="5" t="n">
        <v>0.64</v>
      </c>
    </row>
    <row r="112">
      <c r="A112" t="n">
        <v>111</v>
      </c>
      <c r="B112" t="n">
        <v>2013</v>
      </c>
      <c r="C112" t="inlineStr">
        <is>
          <t>Jeanne Lampron</t>
        </is>
      </c>
      <c r="D112">
        <f>HYPERLINK("https://ota.tournamentsoftware.com/player-profile/DBA36429-C15E-4F24-9832-7D6BA94887C6", "Link")</f>
        <v/>
      </c>
      <c r="E112" s="3" t="n">
        <v>850.005</v>
      </c>
      <c r="F112" s="4" t="n">
        <v>23</v>
      </c>
      <c r="G112" t="inlineStr">
        <is>
          <t>Tennis Québec</t>
        </is>
      </c>
      <c r="H112" t="inlineStr">
        <is>
          <t>Tennis Montréal Excellence</t>
        </is>
      </c>
      <c r="I112" t="n">
        <v>26</v>
      </c>
      <c r="J112" s="4" t="n">
        <v>133</v>
      </c>
      <c r="K112" t="inlineStr">
        <is>
          <t>63 / 70</t>
        </is>
      </c>
      <c r="L112" t="inlineStr">
        <is>
          <t>28 / 23</t>
        </is>
      </c>
      <c r="M112" s="5" t="n">
        <v>0.47</v>
      </c>
      <c r="N112" s="5" t="n">
        <v>0.55</v>
      </c>
    </row>
    <row r="113">
      <c r="A113" t="n">
        <v>112</v>
      </c>
      <c r="B113" t="n">
        <v>2014</v>
      </c>
      <c r="C113" t="inlineStr">
        <is>
          <t>Thanida (Belle) Shaipanich</t>
        </is>
      </c>
      <c r="D113">
        <f>HYPERLINK("https://ota.tournamentsoftware.com/player-profile/98546C72-5CCA-44E8-AFB9-20B9D560E5E3", "Link")</f>
        <v/>
      </c>
      <c r="E113" s="3" t="n">
        <v>835.515</v>
      </c>
      <c r="F113" s="4" t="n">
        <v>14</v>
      </c>
      <c r="G113" t="inlineStr">
        <is>
          <t>British Columbia</t>
        </is>
      </c>
      <c r="H113" t="inlineStr">
        <is>
          <t>UBC Tennis Centre</t>
        </is>
      </c>
      <c r="I113" t="n">
        <v>27.7</v>
      </c>
      <c r="J113" s="4" t="n">
        <v>206</v>
      </c>
      <c r="K113" t="inlineStr">
        <is>
          <t>148 / 58</t>
        </is>
      </c>
      <c r="L113" t="inlineStr">
        <is>
          <t>31 / 21</t>
        </is>
      </c>
      <c r="M113" s="5" t="n">
        <v>0.72</v>
      </c>
      <c r="N113" s="5" t="n">
        <v>0.6</v>
      </c>
    </row>
    <row r="114">
      <c r="A114" t="n">
        <v>113</v>
      </c>
      <c r="B114" t="n">
        <v>2012</v>
      </c>
      <c r="C114" t="inlineStr">
        <is>
          <t>Zenaida May Kolesnikov</t>
        </is>
      </c>
      <c r="D114">
        <f>HYPERLINK("https://ota.tournamentsoftware.com/player-profile/0D20CA06-CC79-483F-87DD-AD6F5FC76972", "Link")</f>
        <v/>
      </c>
      <c r="E114" s="3" t="n">
        <v>834.88</v>
      </c>
      <c r="F114" s="4" t="n">
        <v>5</v>
      </c>
      <c r="G114" t="inlineStr">
        <is>
          <t>Ontario Tennis Association</t>
        </is>
      </c>
      <c r="H114" t="inlineStr">
        <is>
          <t>Kew Gardens Tennis Club</t>
        </is>
      </c>
      <c r="I114" t="n">
        <v>24.4</v>
      </c>
      <c r="J114" s="4" t="n">
        <v>87</v>
      </c>
      <c r="K114" t="inlineStr">
        <is>
          <t>67 / 20</t>
        </is>
      </c>
      <c r="L114" t="inlineStr">
        <is>
          <t>13 / 3</t>
        </is>
      </c>
      <c r="M114" s="5" t="n">
        <v>0.77</v>
      </c>
      <c r="N114" s="5" t="n">
        <v>0.8100000000000001</v>
      </c>
    </row>
    <row r="115">
      <c r="A115" t="n">
        <v>114</v>
      </c>
      <c r="B115" t="n">
        <v>2013</v>
      </c>
      <c r="C115" t="inlineStr">
        <is>
          <t>Natalia Sena</t>
        </is>
      </c>
      <c r="D115">
        <f>HYPERLINK("https://ota.tournamentsoftware.com/player-profile/D89592D5-D2EA-499E-9A9C-8B20B391C761", "Link")</f>
        <v/>
      </c>
      <c r="E115" s="3" t="n">
        <v>830.0940000000001</v>
      </c>
      <c r="F115" s="4" t="n">
        <v>28</v>
      </c>
      <c r="G115" t="inlineStr">
        <is>
          <t>Tennis Québec</t>
        </is>
      </c>
      <c r="H115" t="inlineStr">
        <is>
          <t>No Club</t>
        </is>
      </c>
      <c r="I115" t="n">
        <v>28.9</v>
      </c>
      <c r="J115" s="4" t="n">
        <v>92</v>
      </c>
      <c r="K115" t="inlineStr">
        <is>
          <t>47 / 45</t>
        </is>
      </c>
      <c r="L115" t="inlineStr">
        <is>
          <t>28 / 16</t>
        </is>
      </c>
      <c r="M115" s="5" t="n">
        <v>0.51</v>
      </c>
      <c r="N115" s="5" t="n">
        <v>0.64</v>
      </c>
    </row>
    <row r="116">
      <c r="A116" t="n">
        <v>115</v>
      </c>
      <c r="B116" t="n">
        <v>2014</v>
      </c>
      <c r="C116" t="inlineStr">
        <is>
          <t>Edwina Ed Xue</t>
        </is>
      </c>
      <c r="D116">
        <f>HYPERLINK("https://ota.tournamentsoftware.com/player-profile/16F3FDF7-F098-4A63-9D5F-87B196D248B5", "Link")</f>
        <v/>
      </c>
      <c r="E116" s="3" t="n">
        <v>821.777</v>
      </c>
      <c r="F116" s="4" t="n">
        <v>20</v>
      </c>
      <c r="G116" t="inlineStr">
        <is>
          <t>Ontario Tennis Association</t>
        </is>
      </c>
      <c r="H116" t="inlineStr">
        <is>
          <t>Granite Club</t>
        </is>
      </c>
      <c r="I116" t="n">
        <v>28.6</v>
      </c>
      <c r="J116" s="4" t="n">
        <v>288</v>
      </c>
      <c r="K116" t="inlineStr">
        <is>
          <t>169 / 119</t>
        </is>
      </c>
      <c r="L116" t="inlineStr">
        <is>
          <t>29 / 23</t>
        </is>
      </c>
      <c r="M116" s="5" t="n">
        <v>0.59</v>
      </c>
      <c r="N116" s="5" t="n">
        <v>0.5600000000000001</v>
      </c>
    </row>
    <row r="117">
      <c r="A117" t="n">
        <v>116</v>
      </c>
      <c r="B117" t="n">
        <v>2015</v>
      </c>
      <c r="C117" t="inlineStr">
        <is>
          <t>Olivia Lu</t>
        </is>
      </c>
      <c r="D117">
        <f>HYPERLINK("https://ota.tournamentsoftware.com/player-profile/807CAE71-A1FD-4ED2-952F-E0EDBF0E66E6", "Link")</f>
        <v/>
      </c>
      <c r="E117" s="3" t="n">
        <v>814.568</v>
      </c>
      <c r="F117" s="4" t="n">
        <v>22</v>
      </c>
      <c r="G117" t="inlineStr">
        <is>
          <t>Ontario Tennis Association</t>
        </is>
      </c>
      <c r="H117" t="inlineStr">
        <is>
          <t>Advantage Tennis International at Veneto</t>
        </is>
      </c>
      <c r="I117" t="n">
        <v>30.8</v>
      </c>
      <c r="J117" s="4" t="n">
        <v>165</v>
      </c>
      <c r="K117" t="inlineStr">
        <is>
          <t>95 / 70</t>
        </is>
      </c>
      <c r="L117" t="inlineStr">
        <is>
          <t>28 / 18</t>
        </is>
      </c>
      <c r="M117" s="5" t="n">
        <v>0.58</v>
      </c>
      <c r="N117" s="5" t="n">
        <v>0.61</v>
      </c>
    </row>
    <row r="118">
      <c r="A118" t="n">
        <v>117</v>
      </c>
      <c r="B118" t="n">
        <v>2014</v>
      </c>
      <c r="C118" t="inlineStr">
        <is>
          <t>Nyah Morgan</t>
        </is>
      </c>
      <c r="D118">
        <f>HYPERLINK("https://ota.tournamentsoftware.com/player-profile/D9CA028A-3366-4954-9B65-F9840B84F93D", "Link")</f>
        <v/>
      </c>
      <c r="E118" s="3" t="n">
        <v>794.096</v>
      </c>
      <c r="F118" s="4" t="n">
        <v>22</v>
      </c>
      <c r="G118" t="inlineStr">
        <is>
          <t>Ontario Tennis Association</t>
        </is>
      </c>
      <c r="H118" t="inlineStr">
        <is>
          <t>Premier Racquet Clubs – Mississauga</t>
        </is>
      </c>
      <c r="I118" t="n">
        <v>28.2</v>
      </c>
      <c r="J118" s="4" t="n">
        <v>211</v>
      </c>
      <c r="K118" t="inlineStr">
        <is>
          <t>135 / 76</t>
        </is>
      </c>
      <c r="L118" t="inlineStr">
        <is>
          <t>33 / 20</t>
        </is>
      </c>
      <c r="M118" s="5" t="n">
        <v>0.64</v>
      </c>
      <c r="N118" s="5" t="n">
        <v>0.62</v>
      </c>
    </row>
    <row r="119">
      <c r="A119" t="n">
        <v>118</v>
      </c>
      <c r="B119" t="n">
        <v>2012</v>
      </c>
      <c r="C119" t="inlineStr">
        <is>
          <t>Penelope Brandt</t>
        </is>
      </c>
      <c r="D119">
        <f>HYPERLINK("https://ota.tournamentsoftware.com/player-profile/AA2E46A9-EC33-4492-A527-0C8E0CA405B0", "Link")</f>
        <v/>
      </c>
      <c r="E119" s="3" t="n">
        <v>793.876</v>
      </c>
      <c r="F119" s="4" t="n">
        <v>25</v>
      </c>
      <c r="G119" t="inlineStr">
        <is>
          <t>Tennis Québec</t>
        </is>
      </c>
      <c r="H119" t="inlineStr">
        <is>
          <t>SANI Sport</t>
        </is>
      </c>
      <c r="I119" t="n">
        <v>28</v>
      </c>
      <c r="J119" s="4" t="n">
        <v>249</v>
      </c>
      <c r="K119" t="inlineStr">
        <is>
          <t>125 / 124</t>
        </is>
      </c>
      <c r="L119" t="inlineStr">
        <is>
          <t>34 / 23</t>
        </is>
      </c>
      <c r="M119" s="5" t="n">
        <v>0.5</v>
      </c>
      <c r="N119" s="5" t="n">
        <v>0.6</v>
      </c>
    </row>
    <row r="120">
      <c r="A120" t="n">
        <v>119</v>
      </c>
      <c r="B120" t="n">
        <v>2012</v>
      </c>
      <c r="C120" t="inlineStr">
        <is>
          <t>Joanna Pananchickal</t>
        </is>
      </c>
      <c r="D120">
        <f>HYPERLINK("https://ota.tournamentsoftware.com/player-profile/6487D297-D67D-4189-9D3C-05A8EA398E60", "Link")</f>
        <v/>
      </c>
      <c r="E120" s="3" t="n">
        <v>788.022</v>
      </c>
      <c r="F120" s="4" t="n">
        <v>14</v>
      </c>
      <c r="G120" t="inlineStr">
        <is>
          <t>Ontario Tennis Association</t>
        </is>
      </c>
      <c r="H120" t="inlineStr">
        <is>
          <t>No Club</t>
        </is>
      </c>
      <c r="I120" t="n">
        <v>29.6</v>
      </c>
      <c r="J120" s="4" t="n">
        <v>73</v>
      </c>
      <c r="K120" t="inlineStr">
        <is>
          <t>36 / 37</t>
        </is>
      </c>
      <c r="L120" t="inlineStr">
        <is>
          <t>18 / 9</t>
        </is>
      </c>
      <c r="M120" s="5" t="n">
        <v>0.49</v>
      </c>
      <c r="N120" s="5" t="n">
        <v>0.67</v>
      </c>
    </row>
    <row r="121">
      <c r="A121" t="n">
        <v>120</v>
      </c>
      <c r="B121" t="n">
        <v>2013</v>
      </c>
      <c r="C121" t="inlineStr">
        <is>
          <t>Melanie Moon</t>
        </is>
      </c>
      <c r="D121">
        <f>HYPERLINK("https://ota.tournamentsoftware.com/player-profile/90FC60A1-D48C-4A9A-97D8-A17B60CF6D4A", "Link")</f>
        <v/>
      </c>
      <c r="E121" s="3" t="n">
        <v>784.8390000000001</v>
      </c>
      <c r="F121" s="4" t="n">
        <v>14</v>
      </c>
      <c r="G121" t="inlineStr">
        <is>
          <t>British Columbia</t>
        </is>
      </c>
      <c r="H121" t="inlineStr">
        <is>
          <t>Vancouver Lawn Tennis and Badminton Club</t>
        </is>
      </c>
      <c r="I121" t="n">
        <v>28.3</v>
      </c>
      <c r="J121" s="4" t="n">
        <v>236</v>
      </c>
      <c r="K121" t="inlineStr">
        <is>
          <t>119 / 117</t>
        </is>
      </c>
      <c r="L121" t="inlineStr">
        <is>
          <t>10 / 17</t>
        </is>
      </c>
      <c r="M121" s="5" t="n">
        <v>0.5</v>
      </c>
      <c r="N121" s="5" t="n">
        <v>0.37</v>
      </c>
    </row>
    <row r="122">
      <c r="A122" t="n">
        <v>121</v>
      </c>
      <c r="B122" t="n">
        <v>2013</v>
      </c>
      <c r="C122" t="inlineStr">
        <is>
          <t>Élianne Bouchard</t>
        </is>
      </c>
      <c r="D122">
        <f>HYPERLINK("https://ota.tournamentsoftware.com/player-profile/44233F45-64EC-49B2-AA72-859E176C2987", "Link")</f>
        <v/>
      </c>
      <c r="E122" s="3" t="n">
        <v>784.313</v>
      </c>
      <c r="F122" s="4" t="n">
        <v>31</v>
      </c>
      <c r="G122" t="inlineStr">
        <is>
          <t>Tennis Québec</t>
        </is>
      </c>
      <c r="H122" t="inlineStr">
        <is>
          <t>Tennis Interclub Piedmont</t>
        </is>
      </c>
      <c r="I122" t="n">
        <v>28.9</v>
      </c>
      <c r="J122" s="4" t="n">
        <v>253</v>
      </c>
      <c r="K122" t="inlineStr">
        <is>
          <t>121 / 132</t>
        </is>
      </c>
      <c r="L122" t="inlineStr">
        <is>
          <t>35 / 24</t>
        </is>
      </c>
      <c r="M122" s="5" t="n">
        <v>0.48</v>
      </c>
      <c r="N122" s="5" t="n">
        <v>0.59</v>
      </c>
    </row>
    <row r="123">
      <c r="A123" t="n">
        <v>122</v>
      </c>
      <c r="B123" t="n">
        <v>2013</v>
      </c>
      <c r="C123" t="inlineStr">
        <is>
          <t>Navya Chawla</t>
        </is>
      </c>
      <c r="D123">
        <f>HYPERLINK("https://ota.tournamentsoftware.com/player-profile/26838C23-66D4-4CAD-825B-C69620EB242D", "Link")</f>
        <v/>
      </c>
      <c r="E123" s="3" t="n">
        <v>777.96</v>
      </c>
      <c r="F123" s="4" t="n">
        <v>18</v>
      </c>
      <c r="G123" t="inlineStr">
        <is>
          <t>Tennis Alberta</t>
        </is>
      </c>
      <c r="H123" t="inlineStr">
        <is>
          <t>Osten &amp; Victor Alberta Tennis Centre</t>
        </is>
      </c>
      <c r="I123" t="n">
        <v>24.6</v>
      </c>
      <c r="J123" s="4" t="n">
        <v>281</v>
      </c>
      <c r="K123" t="inlineStr">
        <is>
          <t>178 / 103</t>
        </is>
      </c>
      <c r="L123" t="inlineStr">
        <is>
          <t>14 / 13</t>
        </is>
      </c>
      <c r="M123" s="5" t="n">
        <v>0.63</v>
      </c>
      <c r="N123" s="5" t="n">
        <v>0.52</v>
      </c>
    </row>
    <row r="124">
      <c r="A124" t="n">
        <v>123</v>
      </c>
      <c r="B124" t="n">
        <v>2012</v>
      </c>
      <c r="C124" t="inlineStr">
        <is>
          <t>Anna Lucenti</t>
        </is>
      </c>
      <c r="D124">
        <f>HYPERLINK("https://ota.tournamentsoftware.com/player-profile/332E40CD-AB90-41CE-81C3-858501B2FAD3", "Link")</f>
        <v/>
      </c>
      <c r="E124" s="3" t="n">
        <v>766.526</v>
      </c>
      <c r="F124" s="4" t="n">
        <v>28</v>
      </c>
      <c r="G124" t="inlineStr">
        <is>
          <t>Ontario Tennis Association</t>
        </is>
      </c>
      <c r="H124" t="inlineStr">
        <is>
          <t>SmartVMC Racquetsports by ACE</t>
        </is>
      </c>
      <c r="I124" t="n">
        <v>29.2</v>
      </c>
      <c r="J124" s="4" t="n">
        <v>138</v>
      </c>
      <c r="K124" t="inlineStr">
        <is>
          <t>59 / 79</t>
        </is>
      </c>
      <c r="L124" t="inlineStr">
        <is>
          <t>26 / 16</t>
        </is>
      </c>
      <c r="M124" s="5" t="n">
        <v>0.43</v>
      </c>
      <c r="N124" s="5" t="n">
        <v>0.62</v>
      </c>
    </row>
    <row r="125">
      <c r="A125" t="n">
        <v>124</v>
      </c>
      <c r="B125" t="n">
        <v>2014</v>
      </c>
      <c r="C125" t="inlineStr">
        <is>
          <t>Fengfei ZHANG</t>
        </is>
      </c>
      <c r="D125">
        <f>HYPERLINK("https://ota.tournamentsoftware.com/player-profile/AB18AFB2-DEDF-42AF-BFB1-458553AF250C", "Link")</f>
        <v/>
      </c>
      <c r="E125" s="3" t="n">
        <v>766.082</v>
      </c>
      <c r="F125" s="4" t="n">
        <v>29</v>
      </c>
      <c r="G125" t="inlineStr">
        <is>
          <t>Tennis Québec</t>
        </is>
      </c>
      <c r="H125" t="inlineStr">
        <is>
          <t>Tennis Ile- des- Soeurs</t>
        </is>
      </c>
      <c r="I125" t="n">
        <v>29.4</v>
      </c>
      <c r="J125" s="4" t="n">
        <v>242</v>
      </c>
      <c r="K125" t="inlineStr">
        <is>
          <t>110 / 132</t>
        </is>
      </c>
      <c r="L125" t="inlineStr">
        <is>
          <t>41 / 32</t>
        </is>
      </c>
      <c r="M125" s="5" t="n">
        <v>0.45</v>
      </c>
      <c r="N125" s="5" t="n">
        <v>0.5600000000000001</v>
      </c>
    </row>
    <row r="126">
      <c r="A126" t="n">
        <v>125</v>
      </c>
      <c r="B126" t="n">
        <v>2012</v>
      </c>
      <c r="C126" t="inlineStr">
        <is>
          <t>Lourdes Valentina Haun</t>
        </is>
      </c>
      <c r="D126">
        <f>HYPERLINK("https://ota.tournamentsoftware.com/player-profile/97D1640C-AAFD-43B2-8C9A-BAA1649A3937", "Link")</f>
        <v/>
      </c>
      <c r="E126" s="3" t="n">
        <v>761.729</v>
      </c>
      <c r="F126" s="4" t="n">
        <v>14</v>
      </c>
      <c r="G126" t="inlineStr">
        <is>
          <t>Tennis Alberta</t>
        </is>
      </c>
      <c r="H126" t="inlineStr">
        <is>
          <t>Osten &amp; Victor Alberta Tennis Centre</t>
        </is>
      </c>
      <c r="I126" t="n">
        <v>26.2</v>
      </c>
      <c r="J126" s="4" t="n">
        <v>292</v>
      </c>
      <c r="K126" t="inlineStr">
        <is>
          <t>170 / 122</t>
        </is>
      </c>
      <c r="L126" t="inlineStr">
        <is>
          <t>21 / 16</t>
        </is>
      </c>
      <c r="M126" s="5" t="n">
        <v>0.58</v>
      </c>
      <c r="N126" s="5" t="n">
        <v>0.57</v>
      </c>
    </row>
    <row r="127">
      <c r="A127" t="n">
        <v>126</v>
      </c>
      <c r="B127" t="n">
        <v>2012</v>
      </c>
      <c r="C127" t="inlineStr">
        <is>
          <t>Victoria Chow</t>
        </is>
      </c>
      <c r="D127">
        <f>HYPERLINK("https://ota.tournamentsoftware.com/player-profile/7A966C5F-11C4-49ED-9F9D-2B1D18AB7E3B", "Link")</f>
        <v/>
      </c>
      <c r="E127" s="3" t="n">
        <v>743.375</v>
      </c>
      <c r="F127" s="4" t="n">
        <v>20</v>
      </c>
      <c r="G127" t="inlineStr">
        <is>
          <t>Ontario Tennis Association</t>
        </is>
      </c>
      <c r="H127" t="inlineStr">
        <is>
          <t>No Club</t>
        </is>
      </c>
      <c r="I127" t="inlineStr">
        <is>
          <t>unavailable</t>
        </is>
      </c>
      <c r="J127" s="4" t="n">
        <v>280</v>
      </c>
      <c r="K127" t="inlineStr">
        <is>
          <t>142 / 138</t>
        </is>
      </c>
      <c r="L127" t="inlineStr">
        <is>
          <t>16 / 24</t>
        </is>
      </c>
      <c r="M127" s="5" t="n">
        <v>0.51</v>
      </c>
      <c r="N127" s="5" t="n">
        <v>0.4</v>
      </c>
    </row>
    <row r="128">
      <c r="A128" t="n">
        <v>127</v>
      </c>
      <c r="B128" t="n">
        <v>2014</v>
      </c>
      <c r="C128" t="inlineStr">
        <is>
          <t>Michelle Zhang</t>
        </is>
      </c>
      <c r="D128">
        <f>HYPERLINK("https://ota.tournamentsoftware.com/player-profile/9912697B-2876-4A36-8F98-3B7F524694E1", "Link")</f>
        <v/>
      </c>
      <c r="E128" s="3" t="n">
        <v>738.6799999999999</v>
      </c>
      <c r="F128" s="4" t="n">
        <v>13</v>
      </c>
      <c r="G128" t="inlineStr">
        <is>
          <t>Tennis Nova Scotia</t>
        </is>
      </c>
      <c r="H128" t="inlineStr">
        <is>
          <t>Atlantic Tennis Centre</t>
        </is>
      </c>
      <c r="I128" t="n">
        <v>29.3</v>
      </c>
      <c r="J128" s="4" t="n">
        <v>159</v>
      </c>
      <c r="K128" t="inlineStr">
        <is>
          <t>89 / 70</t>
        </is>
      </c>
      <c r="L128" t="inlineStr">
        <is>
          <t>27 / 29</t>
        </is>
      </c>
      <c r="M128" s="5" t="n">
        <v>0.5600000000000001</v>
      </c>
      <c r="N128" s="5" t="n">
        <v>0.48</v>
      </c>
    </row>
    <row r="129">
      <c r="A129" t="n">
        <v>128</v>
      </c>
      <c r="B129" t="n">
        <v>2013</v>
      </c>
      <c r="C129" t="inlineStr">
        <is>
          <t>Sonya Resnikova</t>
        </is>
      </c>
      <c r="D129">
        <f>HYPERLINK("https://ota.tournamentsoftware.com/player-profile/083F5EEA-6E2D-488B-B778-27E4248C2F0D", "Link")</f>
        <v/>
      </c>
      <c r="E129" s="3" t="n">
        <v>725.702</v>
      </c>
      <c r="F129" s="4" t="n">
        <v>29</v>
      </c>
      <c r="G129" t="inlineStr">
        <is>
          <t>Ontario Tennis Association</t>
        </is>
      </c>
      <c r="H129" t="inlineStr">
        <is>
          <t>SmartVMC Racquetsports by ACE</t>
        </is>
      </c>
      <c r="I129" t="n">
        <v>31.1</v>
      </c>
      <c r="J129" s="4" t="n">
        <v>95</v>
      </c>
      <c r="K129" t="inlineStr">
        <is>
          <t>60 / 35</t>
        </is>
      </c>
      <c r="L129" t="inlineStr">
        <is>
          <t>28 / 21</t>
        </is>
      </c>
      <c r="M129" s="5" t="n">
        <v>0.63</v>
      </c>
      <c r="N129" s="5" t="n">
        <v>0.57</v>
      </c>
    </row>
    <row r="130">
      <c r="A130" t="n">
        <v>129</v>
      </c>
      <c r="B130" t="n">
        <v>2012</v>
      </c>
      <c r="C130" t="inlineStr">
        <is>
          <t>Dina Yijia Zhang</t>
        </is>
      </c>
      <c r="D130">
        <f>HYPERLINK("https://ota.tournamentsoftware.com/player-profile/CF7261D5-5723-40A9-853D-2B21D7A35985", "Link")</f>
        <v/>
      </c>
      <c r="E130" s="3" t="n">
        <v>714.651</v>
      </c>
      <c r="F130" s="4" t="n">
        <v>10</v>
      </c>
      <c r="G130" t="inlineStr">
        <is>
          <t>Tennis Nova Scotia</t>
        </is>
      </c>
      <c r="H130" t="inlineStr">
        <is>
          <t>HEADSTART</t>
        </is>
      </c>
      <c r="I130" t="n">
        <v>30.2</v>
      </c>
      <c r="J130" s="4" t="n">
        <v>163</v>
      </c>
      <c r="K130" t="inlineStr">
        <is>
          <t>67 / 96</t>
        </is>
      </c>
      <c r="L130" t="inlineStr">
        <is>
          <t>11 / 17</t>
        </is>
      </c>
      <c r="M130" s="5" t="n">
        <v>0.41</v>
      </c>
      <c r="N130" s="5" t="n">
        <v>0.39</v>
      </c>
    </row>
    <row r="131">
      <c r="A131" t="n">
        <v>130</v>
      </c>
      <c r="B131" t="n">
        <v>2014</v>
      </c>
      <c r="C131" t="inlineStr">
        <is>
          <t>Nuanyi Li</t>
        </is>
      </c>
      <c r="D131">
        <f>HYPERLINK("https://ota.tournamentsoftware.com/player-profile/341DA394-9039-4254-B369-B8C52872A168", "Link")</f>
        <v/>
      </c>
      <c r="E131" s="3" t="n">
        <v>710.697</v>
      </c>
      <c r="F131" s="4" t="n">
        <v>28</v>
      </c>
      <c r="G131" t="inlineStr">
        <is>
          <t>Ontario Tennis Association</t>
        </is>
      </c>
      <c r="H131" t="inlineStr">
        <is>
          <t>Fainblum Tennis Academy</t>
        </is>
      </c>
      <c r="I131" t="n">
        <v>28.5</v>
      </c>
      <c r="J131" s="4" t="n">
        <v>290</v>
      </c>
      <c r="K131" t="inlineStr">
        <is>
          <t>179 / 111</t>
        </is>
      </c>
      <c r="L131" t="inlineStr">
        <is>
          <t>28 / 28</t>
        </is>
      </c>
      <c r="M131" s="5" t="n">
        <v>0.62</v>
      </c>
      <c r="N131" s="5" t="n">
        <v>0.5</v>
      </c>
    </row>
    <row r="132">
      <c r="A132" t="n">
        <v>131</v>
      </c>
      <c r="B132" t="n">
        <v>2013</v>
      </c>
      <c r="C132" t="inlineStr">
        <is>
          <t>Elena Vamoser</t>
        </is>
      </c>
      <c r="D132">
        <f>HYPERLINK("https://ota.tournamentsoftware.com/player-profile/F839ADA6-2875-4712-9FE7-C958E075D669", "Link")</f>
        <v/>
      </c>
      <c r="E132" s="3" t="n">
        <v>697.77</v>
      </c>
      <c r="F132" s="4" t="n">
        <v>25</v>
      </c>
      <c r="G132" t="inlineStr">
        <is>
          <t>Ontario Tennis Association</t>
        </is>
      </c>
      <c r="H132" t="inlineStr">
        <is>
          <t>ACE Tennis - Burlington</t>
        </is>
      </c>
      <c r="I132" t="n">
        <v>30.9</v>
      </c>
      <c r="J132" s="4" t="n">
        <v>132</v>
      </c>
      <c r="K132" t="inlineStr">
        <is>
          <t>75 / 57</t>
        </is>
      </c>
      <c r="L132" t="inlineStr">
        <is>
          <t>16 / 20</t>
        </is>
      </c>
      <c r="M132" s="5" t="n">
        <v>0.57</v>
      </c>
      <c r="N132" s="5" t="n">
        <v>0.44</v>
      </c>
    </row>
    <row r="133">
      <c r="A133" t="n">
        <v>132</v>
      </c>
      <c r="B133" t="n">
        <v>2015</v>
      </c>
      <c r="C133" t="inlineStr">
        <is>
          <t>Sofia Chan</t>
        </is>
      </c>
      <c r="D133">
        <f>HYPERLINK("https://ota.tournamentsoftware.com/player-profile/62C41ADF-8A1D-416E-AAF9-4C80ECB74645", "Link")</f>
        <v/>
      </c>
      <c r="E133" s="3" t="n">
        <v>695.928</v>
      </c>
      <c r="F133" s="4" t="n">
        <v>32</v>
      </c>
      <c r="G133" t="inlineStr">
        <is>
          <t>Ontario Tennis Association</t>
        </is>
      </c>
      <c r="H133" t="inlineStr">
        <is>
          <t>No Club</t>
        </is>
      </c>
      <c r="I133" t="n">
        <v>30.2</v>
      </c>
      <c r="J133" s="4" t="n">
        <v>161</v>
      </c>
      <c r="K133" t="inlineStr">
        <is>
          <t>103 / 58</t>
        </is>
      </c>
      <c r="L133" t="inlineStr">
        <is>
          <t>46 / 27</t>
        </is>
      </c>
      <c r="M133" s="5" t="n">
        <v>0.64</v>
      </c>
      <c r="N133" s="5" t="n">
        <v>0.63</v>
      </c>
    </row>
    <row r="134">
      <c r="A134" t="n">
        <v>133</v>
      </c>
      <c r="B134" t="n">
        <v>2016</v>
      </c>
      <c r="C134" t="inlineStr">
        <is>
          <t>Kaili Ear Gui</t>
        </is>
      </c>
      <c r="D134">
        <f>HYPERLINK("https://ota.tournamentsoftware.com/player-profile/6E1FCBA7-1BA6-4DCA-9440-D121E3710638", "Link")</f>
        <v/>
      </c>
      <c r="E134" s="3" t="n">
        <v>695.772</v>
      </c>
      <c r="F134" s="4" t="n">
        <v>13</v>
      </c>
      <c r="G134" t="inlineStr">
        <is>
          <t>Tennis Saskatchewan</t>
        </is>
      </c>
      <c r="H134" t="inlineStr">
        <is>
          <t>Lakeshore Tennis Club</t>
        </is>
      </c>
      <c r="I134" t="n">
        <v>31.7</v>
      </c>
      <c r="J134" s="4" t="n">
        <v>147</v>
      </c>
      <c r="K134" t="inlineStr">
        <is>
          <t>84 / 63</t>
        </is>
      </c>
      <c r="L134" t="inlineStr">
        <is>
          <t>35 / 30</t>
        </is>
      </c>
      <c r="M134" s="5" t="n">
        <v>0.57</v>
      </c>
      <c r="N134" s="5" t="n">
        <v>0.54</v>
      </c>
    </row>
    <row r="135">
      <c r="A135" t="n">
        <v>134</v>
      </c>
      <c r="B135" t="n">
        <v>2012</v>
      </c>
      <c r="C135" t="inlineStr">
        <is>
          <t>Avea Ungureanu Pinto</t>
        </is>
      </c>
      <c r="D135">
        <f>HYPERLINK("https://ota.tournamentsoftware.com/player-profile/527FEC9E-D920-4439-9E01-51A3CFDED939", "Link")</f>
        <v/>
      </c>
      <c r="E135" s="3" t="n">
        <v>681.7809999999999</v>
      </c>
      <c r="F135" s="4" t="n">
        <v>26</v>
      </c>
      <c r="G135" t="inlineStr">
        <is>
          <t>Ontario Tennis Association</t>
        </is>
      </c>
      <c r="H135" t="inlineStr">
        <is>
          <t>Mayfair East Racquet Club</t>
        </is>
      </c>
      <c r="I135" t="n">
        <v>28.3</v>
      </c>
      <c r="J135" s="4" t="n">
        <v>144</v>
      </c>
      <c r="K135" t="inlineStr">
        <is>
          <t>78 / 66</t>
        </is>
      </c>
      <c r="L135" t="inlineStr">
        <is>
          <t>23 / 17</t>
        </is>
      </c>
      <c r="M135" s="5" t="n">
        <v>0.54</v>
      </c>
      <c r="N135" s="5" t="n">
        <v>0.57</v>
      </c>
    </row>
    <row r="136">
      <c r="A136" t="n">
        <v>135</v>
      </c>
      <c r="B136" t="n">
        <v>2013</v>
      </c>
      <c r="C136" t="inlineStr">
        <is>
          <t>Leyan Isabella Yik Sum Leung</t>
        </is>
      </c>
      <c r="D136">
        <f>HYPERLINK("https://ota.tournamentsoftware.com/player-profile/7FB2D792-ABB2-4F05-B9D4-757321E9FA35", "Link")</f>
        <v/>
      </c>
      <c r="E136" s="3" t="n">
        <v>663.989</v>
      </c>
      <c r="F136" s="4" t="n">
        <v>20</v>
      </c>
      <c r="G136" t="inlineStr">
        <is>
          <t>British Columbia</t>
        </is>
      </c>
      <c r="H136" t="inlineStr">
        <is>
          <t>Vanguard Tennis Academy</t>
        </is>
      </c>
      <c r="I136" t="n">
        <v>27.2</v>
      </c>
      <c r="J136" s="4" t="n">
        <v>127</v>
      </c>
      <c r="K136" t="inlineStr">
        <is>
          <t>82 / 45</t>
        </is>
      </c>
      <c r="L136" t="inlineStr">
        <is>
          <t>32 / 17</t>
        </is>
      </c>
      <c r="M136" s="5" t="n">
        <v>0.65</v>
      </c>
      <c r="N136" s="5" t="n">
        <v>0.65</v>
      </c>
    </row>
    <row r="137">
      <c r="A137" t="n">
        <v>136</v>
      </c>
      <c r="B137" t="n">
        <v>2012</v>
      </c>
      <c r="C137" t="inlineStr">
        <is>
          <t>Cindy Zixuan Li</t>
        </is>
      </c>
      <c r="D137">
        <f>HYPERLINK("https://ota.tournamentsoftware.com/player-profile/23E61DC5-74BF-4612-8E7F-7DA0B013D911", "Link")</f>
        <v/>
      </c>
      <c r="E137" s="3" t="n">
        <v>661.299</v>
      </c>
      <c r="F137" s="4" t="n">
        <v>11</v>
      </c>
      <c r="G137" t="inlineStr">
        <is>
          <t>British Columbia</t>
        </is>
      </c>
      <c r="H137" t="inlineStr">
        <is>
          <t>Vanguard Tennis Academy</t>
        </is>
      </c>
      <c r="I137" t="n">
        <v>25.9</v>
      </c>
      <c r="J137" s="4" t="n">
        <v>137</v>
      </c>
      <c r="K137" t="inlineStr">
        <is>
          <t>69 / 68</t>
        </is>
      </c>
      <c r="L137" t="inlineStr">
        <is>
          <t>8 / 7</t>
        </is>
      </c>
      <c r="M137" s="5" t="n">
        <v>0.5</v>
      </c>
      <c r="N137" s="5" t="n">
        <v>0.53</v>
      </c>
    </row>
    <row r="138">
      <c r="A138" t="n">
        <v>137</v>
      </c>
      <c r="B138" t="n">
        <v>2012</v>
      </c>
      <c r="C138" t="inlineStr">
        <is>
          <t>Luisa Victoria Davis</t>
        </is>
      </c>
      <c r="D138">
        <f>HYPERLINK("https://ota.tournamentsoftware.com/player-profile/F5AE6D4A-50BA-4E57-AD34-589189161D57", "Link")</f>
        <v/>
      </c>
      <c r="E138" s="3" t="n">
        <v>656.047</v>
      </c>
      <c r="F138" s="4" t="n">
        <v>12</v>
      </c>
      <c r="G138" t="inlineStr">
        <is>
          <t>Ontario Tennis Association</t>
        </is>
      </c>
      <c r="H138" t="inlineStr">
        <is>
          <t>Mayfair West Fitness &amp; Racquet Club</t>
        </is>
      </c>
      <c r="I138" t="inlineStr">
        <is>
          <t>unavailable</t>
        </is>
      </c>
      <c r="J138" s="4" t="n">
        <v>200</v>
      </c>
      <c r="K138" t="inlineStr">
        <is>
          <t>128 / 72</t>
        </is>
      </c>
      <c r="L138" t="inlineStr">
        <is>
          <t>6 / 10</t>
        </is>
      </c>
      <c r="M138" s="5" t="n">
        <v>0.64</v>
      </c>
      <c r="N138" s="5" t="n">
        <v>0.38</v>
      </c>
    </row>
    <row r="139">
      <c r="A139" t="n">
        <v>138</v>
      </c>
      <c r="B139" t="n">
        <v>2012</v>
      </c>
      <c r="C139" t="inlineStr">
        <is>
          <t>Margot de Candé</t>
        </is>
      </c>
      <c r="D139">
        <f>HYPERLINK("https://ota.tournamentsoftware.com/player-profile/695315EE-6360-44B7-9352-E2A867A09DAD", "Link")</f>
        <v/>
      </c>
      <c r="E139" s="3" t="n">
        <v>647.8</v>
      </c>
      <c r="F139" s="4" t="n">
        <v>15</v>
      </c>
      <c r="G139" t="inlineStr">
        <is>
          <t>Tennis Québec</t>
        </is>
      </c>
      <c r="H139" t="inlineStr">
        <is>
          <t>Tennis Ile- des- Soeurs</t>
        </is>
      </c>
      <c r="I139" t="n">
        <v>29.8</v>
      </c>
      <c r="J139" s="4" t="n">
        <v>123</v>
      </c>
      <c r="K139" t="inlineStr">
        <is>
          <t>59 / 64</t>
        </is>
      </c>
      <c r="L139" t="inlineStr">
        <is>
          <t>18 / 7</t>
        </is>
      </c>
      <c r="M139" s="5" t="n">
        <v>0.48</v>
      </c>
      <c r="N139" s="5" t="n">
        <v>0.72</v>
      </c>
    </row>
    <row r="140">
      <c r="A140" t="n">
        <v>139</v>
      </c>
      <c r="B140" t="n">
        <v>2012</v>
      </c>
      <c r="C140" t="inlineStr">
        <is>
          <t>Chloe Fischer</t>
        </is>
      </c>
      <c r="D140">
        <f>HYPERLINK("https://ota.tournamentsoftware.com/player-profile/4F19921D-D25C-4DFA-8A7D-90DE48FEB722", "Link")</f>
        <v/>
      </c>
      <c r="E140" s="3" t="n">
        <v>646.653</v>
      </c>
      <c r="F140" s="4" t="n">
        <v>20</v>
      </c>
      <c r="G140" t="inlineStr">
        <is>
          <t>Ontario Tennis Association</t>
        </is>
      </c>
      <c r="H140" t="inlineStr">
        <is>
          <t>No Club</t>
        </is>
      </c>
      <c r="I140" t="n">
        <v>32.7</v>
      </c>
      <c r="J140" s="4" t="n">
        <v>220</v>
      </c>
      <c r="K140" t="inlineStr">
        <is>
          <t>102 / 118</t>
        </is>
      </c>
      <c r="L140" t="inlineStr">
        <is>
          <t>6 / 23</t>
        </is>
      </c>
      <c r="M140" s="5" t="n">
        <v>0.46</v>
      </c>
      <c r="N140" s="5" t="n">
        <v>0.21</v>
      </c>
    </row>
    <row r="141">
      <c r="A141" t="n">
        <v>140</v>
      </c>
      <c r="B141" t="n">
        <v>2013</v>
      </c>
      <c r="C141" t="inlineStr">
        <is>
          <t>Chloe Elizabeth Kotorobai</t>
        </is>
      </c>
      <c r="D141">
        <f>HYPERLINK("https://ota.tournamentsoftware.com/player-profile/FA516D57-03A4-4F2E-810D-864F5732F5CE", "Link")</f>
        <v/>
      </c>
      <c r="E141" s="3" t="n">
        <v>644.04</v>
      </c>
      <c r="F141" s="4" t="n">
        <v>22</v>
      </c>
      <c r="G141" t="inlineStr">
        <is>
          <t>Ontario Tennis Association</t>
        </is>
      </c>
      <c r="H141" t="inlineStr">
        <is>
          <t>City of Stoney Creek</t>
        </is>
      </c>
      <c r="I141" t="n">
        <v>31.4</v>
      </c>
      <c r="J141" s="4" t="n">
        <v>99</v>
      </c>
      <c r="K141" t="inlineStr">
        <is>
          <t>38 / 61</t>
        </is>
      </c>
      <c r="L141" t="inlineStr">
        <is>
          <t>10 / 20</t>
        </is>
      </c>
      <c r="M141" s="5" t="n">
        <v>0.38</v>
      </c>
      <c r="N141" s="5" t="n">
        <v>0.33</v>
      </c>
    </row>
    <row r="142">
      <c r="A142" t="n">
        <v>141</v>
      </c>
      <c r="B142" t="n">
        <v>2015</v>
      </c>
      <c r="C142" t="inlineStr">
        <is>
          <t>Amy Jiao</t>
        </is>
      </c>
      <c r="D142">
        <f>HYPERLINK("https://ota.tournamentsoftware.com/player-profile/5977984B-8EC9-4812-BCFA-CD93C4FFD7AF", "Link")</f>
        <v/>
      </c>
      <c r="E142" s="3" t="n">
        <v>641.838</v>
      </c>
      <c r="F142" s="4" t="n">
        <v>24</v>
      </c>
      <c r="G142" t="inlineStr">
        <is>
          <t>Ontario Tennis Association</t>
        </is>
      </c>
      <c r="H142" t="inlineStr">
        <is>
          <t>Rideau Sports Centre</t>
        </is>
      </c>
      <c r="I142" t="n">
        <v>29.5</v>
      </c>
      <c r="J142" s="4" t="n">
        <v>299</v>
      </c>
      <c r="K142" t="inlineStr">
        <is>
          <t>169 / 130</t>
        </is>
      </c>
      <c r="L142" t="inlineStr">
        <is>
          <t>50 / 28</t>
        </is>
      </c>
      <c r="M142" s="5" t="n">
        <v>0.57</v>
      </c>
      <c r="N142" s="5" t="n">
        <v>0.64</v>
      </c>
    </row>
    <row r="143">
      <c r="A143" t="n">
        <v>142</v>
      </c>
      <c r="B143" t="n">
        <v>2013</v>
      </c>
      <c r="C143" t="inlineStr">
        <is>
          <t>Bianca Nestor</t>
        </is>
      </c>
      <c r="D143">
        <f>HYPERLINK("https://ota.tournamentsoftware.com/player-profile/8BAE5D37-8145-43F6-9016-30DDC5E4E994", "Link")</f>
        <v/>
      </c>
      <c r="E143" s="3" t="n">
        <v>639.472</v>
      </c>
      <c r="F143" s="4" t="n">
        <v>20</v>
      </c>
      <c r="G143" t="inlineStr">
        <is>
          <t>Ontario Tennis Association</t>
        </is>
      </c>
      <c r="H143" t="inlineStr">
        <is>
          <t>Toronto Lawn Tennis Club</t>
        </is>
      </c>
      <c r="I143" t="n">
        <v>30.6</v>
      </c>
      <c r="J143" s="4" t="n">
        <v>201</v>
      </c>
      <c r="K143" t="inlineStr">
        <is>
          <t>97 / 104</t>
        </is>
      </c>
      <c r="L143" t="inlineStr">
        <is>
          <t>16 / 18</t>
        </is>
      </c>
      <c r="M143" s="5" t="n">
        <v>0.48</v>
      </c>
      <c r="N143" s="5" t="n">
        <v>0.47</v>
      </c>
    </row>
    <row r="144">
      <c r="A144" t="n">
        <v>143</v>
      </c>
      <c r="B144" t="n">
        <v>2014</v>
      </c>
      <c r="C144" t="inlineStr">
        <is>
          <t>Emmanuella Ibrahim</t>
        </is>
      </c>
      <c r="D144">
        <f>HYPERLINK("https://ota.tournamentsoftware.com/player-profile/8CFFE2B1-9508-4CB2-8E6A-6761AA8394EA", "Link")</f>
        <v/>
      </c>
      <c r="E144" s="3" t="n">
        <v>628.717</v>
      </c>
      <c r="F144" s="4" t="n">
        <v>17</v>
      </c>
      <c r="G144" t="inlineStr">
        <is>
          <t>Tennis Alberta</t>
        </is>
      </c>
      <c r="H144" t="inlineStr">
        <is>
          <t>Aforza</t>
        </is>
      </c>
      <c r="I144" t="inlineStr">
        <is>
          <t>unavailable</t>
        </is>
      </c>
      <c r="J144" s="4" t="n">
        <v>190</v>
      </c>
      <c r="K144" t="inlineStr">
        <is>
          <t>137 / 53</t>
        </is>
      </c>
      <c r="L144" t="inlineStr">
        <is>
          <t>39 / 16</t>
        </is>
      </c>
      <c r="M144" s="5" t="n">
        <v>0.72</v>
      </c>
      <c r="N144" s="5" t="n">
        <v>0.71</v>
      </c>
    </row>
    <row r="145">
      <c r="A145" t="n">
        <v>144</v>
      </c>
      <c r="B145" t="n">
        <v>2012</v>
      </c>
      <c r="C145" t="inlineStr">
        <is>
          <t>Yutong (Olivia) Ha</t>
        </is>
      </c>
      <c r="D145">
        <f>HYPERLINK("https://ota.tournamentsoftware.com/player-profile/53AE0DB5-1F76-4FB8-9870-3B236A9DAA97", "Link")</f>
        <v/>
      </c>
      <c r="E145" s="3" t="n">
        <v>624.7430000000001</v>
      </c>
      <c r="F145" s="4" t="n">
        <v>14</v>
      </c>
      <c r="G145" t="inlineStr">
        <is>
          <t>Ontario Tennis Association</t>
        </is>
      </c>
      <c r="H145" t="inlineStr">
        <is>
          <t>Richmondhill Golf &amp; Country Club</t>
        </is>
      </c>
      <c r="I145" t="inlineStr">
        <is>
          <t>unavailable</t>
        </is>
      </c>
      <c r="J145" s="4" t="n">
        <v>195</v>
      </c>
      <c r="K145" t="inlineStr">
        <is>
          <t>84 / 111</t>
        </is>
      </c>
      <c r="L145" t="inlineStr">
        <is>
          <t>6 / 16</t>
        </is>
      </c>
      <c r="M145" s="5" t="n">
        <v>0.43</v>
      </c>
      <c r="N145" s="5" t="n">
        <v>0.27</v>
      </c>
    </row>
    <row r="146">
      <c r="A146" t="n">
        <v>145</v>
      </c>
      <c r="B146" t="n">
        <v>2012</v>
      </c>
      <c r="C146" t="inlineStr">
        <is>
          <t>Marisol Hilal</t>
        </is>
      </c>
      <c r="D146">
        <f>HYPERLINK("https://ota.tournamentsoftware.com/player-profile/A59841ED-F3F4-4773-A197-5502453988FE", "Link")</f>
        <v/>
      </c>
      <c r="E146" s="3" t="n">
        <v>621.989</v>
      </c>
      <c r="F146" s="4" t="n">
        <v>32</v>
      </c>
      <c r="G146" t="inlineStr">
        <is>
          <t>Tennis Québec</t>
        </is>
      </c>
      <c r="H146" t="inlineStr">
        <is>
          <t>Carrefour Multisports</t>
        </is>
      </c>
      <c r="I146" t="n">
        <v>29.7</v>
      </c>
      <c r="J146" s="4" t="n">
        <v>292</v>
      </c>
      <c r="K146" t="inlineStr">
        <is>
          <t>117 / 175</t>
        </is>
      </c>
      <c r="L146" t="inlineStr">
        <is>
          <t>18 / 28</t>
        </is>
      </c>
      <c r="M146" s="5" t="n">
        <v>0.4</v>
      </c>
      <c r="N146" s="5" t="n">
        <v>0.39</v>
      </c>
    </row>
    <row r="147">
      <c r="A147" t="n">
        <v>146</v>
      </c>
      <c r="B147" t="n">
        <v>2013</v>
      </c>
      <c r="C147" t="inlineStr">
        <is>
          <t>Maliah Morgan</t>
        </is>
      </c>
      <c r="D147">
        <f>HYPERLINK("https://ota.tournamentsoftware.com/player-profile/9A3C1326-AE04-42FE-BCE6-AF95D32715F8", "Link")</f>
        <v/>
      </c>
      <c r="E147" s="3" t="n">
        <v>619.681</v>
      </c>
      <c r="F147" s="4" t="n">
        <v>19</v>
      </c>
      <c r="G147" t="inlineStr">
        <is>
          <t>Ontario Tennis Association</t>
        </is>
      </c>
      <c r="H147" t="inlineStr">
        <is>
          <t>Joshua Creek Golf &amp; Tennis</t>
        </is>
      </c>
      <c r="I147" t="n">
        <v>28.2</v>
      </c>
      <c r="J147" s="4" t="n">
        <v>198</v>
      </c>
      <c r="K147" t="inlineStr">
        <is>
          <t>119 / 79</t>
        </is>
      </c>
      <c r="L147" t="inlineStr">
        <is>
          <t>19 / 16</t>
        </is>
      </c>
      <c r="M147" s="5" t="n">
        <v>0.6</v>
      </c>
      <c r="N147" s="5" t="n">
        <v>0.54</v>
      </c>
    </row>
    <row r="148">
      <c r="A148" t="n">
        <v>147</v>
      </c>
      <c r="B148" t="n">
        <v>2014</v>
      </c>
      <c r="C148" t="inlineStr">
        <is>
          <t>Evelyn Wang</t>
        </is>
      </c>
      <c r="D148">
        <f>HYPERLINK("https://ota.tournamentsoftware.com/player-profile/3A43E7FB-647C-4296-8E8D-106421DC2080", "Link")</f>
        <v/>
      </c>
      <c r="E148" s="3" t="n">
        <v>615.356</v>
      </c>
      <c r="F148" s="4" t="n">
        <v>16</v>
      </c>
      <c r="G148" t="inlineStr">
        <is>
          <t>British Columbia</t>
        </is>
      </c>
      <c r="H148" t="inlineStr">
        <is>
          <t>UBC Tennis Centre</t>
        </is>
      </c>
      <c r="I148" t="n">
        <v>28.8</v>
      </c>
      <c r="J148" s="4" t="n">
        <v>251</v>
      </c>
      <c r="K148" t="inlineStr">
        <is>
          <t>126 / 125</t>
        </is>
      </c>
      <c r="L148" t="inlineStr">
        <is>
          <t>30 / 26</t>
        </is>
      </c>
      <c r="M148" s="5" t="n">
        <v>0.5</v>
      </c>
      <c r="N148" s="5" t="n">
        <v>0.54</v>
      </c>
    </row>
    <row r="149">
      <c r="A149" t="n">
        <v>148</v>
      </c>
      <c r="B149" t="n">
        <v>2015</v>
      </c>
      <c r="C149" t="inlineStr">
        <is>
          <t>Emma Yin</t>
        </is>
      </c>
      <c r="D149">
        <f>HYPERLINK("https://ota.tournamentsoftware.com/player-profile/F90E2576-5989-4051-9E1F-45C789378967", "Link")</f>
        <v/>
      </c>
      <c r="E149" s="3" t="n">
        <v>613.705</v>
      </c>
      <c r="F149" s="4" t="n">
        <v>11</v>
      </c>
      <c r="G149" t="inlineStr">
        <is>
          <t>Tennis Saskatchewan</t>
        </is>
      </c>
      <c r="H149" t="inlineStr">
        <is>
          <t>Lakeshore Tennis Club</t>
        </is>
      </c>
      <c r="I149" t="n">
        <v>30.1</v>
      </c>
      <c r="J149" s="4" t="n">
        <v>157</v>
      </c>
      <c r="K149" t="inlineStr">
        <is>
          <t>80 / 77</t>
        </is>
      </c>
      <c r="L149" t="inlineStr">
        <is>
          <t>34 / 22</t>
        </is>
      </c>
      <c r="M149" s="5" t="n">
        <v>0.51</v>
      </c>
      <c r="N149" s="5" t="n">
        <v>0.61</v>
      </c>
    </row>
    <row r="150">
      <c r="A150" t="n">
        <v>149</v>
      </c>
      <c r="B150" t="n">
        <v>2014</v>
      </c>
      <c r="C150" t="inlineStr">
        <is>
          <t>Alice Yu-Qi Ren</t>
        </is>
      </c>
      <c r="D150">
        <f>HYPERLINK("https://ota.tournamentsoftware.com/player-profile/FE127D3B-825E-4C4F-9666-BA4529348FE4", "Link")</f>
        <v/>
      </c>
      <c r="E150" s="3" t="n">
        <v>610.301</v>
      </c>
      <c r="F150" s="4" t="n">
        <v>18</v>
      </c>
      <c r="G150" t="inlineStr">
        <is>
          <t>Tennis Alberta</t>
        </is>
      </c>
      <c r="H150" t="inlineStr">
        <is>
          <t>Saville Community Sports Centre</t>
        </is>
      </c>
      <c r="I150" t="n">
        <v>28.2</v>
      </c>
      <c r="J150" s="4" t="n">
        <v>208</v>
      </c>
      <c r="K150" t="inlineStr">
        <is>
          <t>142 / 66</t>
        </is>
      </c>
      <c r="L150" t="inlineStr">
        <is>
          <t>39 / 17</t>
        </is>
      </c>
      <c r="M150" s="5" t="n">
        <v>0.68</v>
      </c>
      <c r="N150" s="5" t="n">
        <v>0.7</v>
      </c>
    </row>
    <row r="151">
      <c r="A151" t="n">
        <v>150</v>
      </c>
      <c r="B151" t="n">
        <v>2012</v>
      </c>
      <c r="C151" t="inlineStr">
        <is>
          <t>OLIVIA JUNHAN CAO</t>
        </is>
      </c>
      <c r="D151">
        <f>HYPERLINK("https://ota.tournamentsoftware.com/player-profile/3D68BE77-5DE2-40D9-BCC3-C836A764F3EF", "Link")</f>
        <v/>
      </c>
      <c r="E151" s="3" t="n">
        <v>608.6</v>
      </c>
      <c r="F151" s="4" t="n">
        <v>20</v>
      </c>
      <c r="G151" t="inlineStr">
        <is>
          <t>British Columbia</t>
        </is>
      </c>
      <c r="H151" t="inlineStr">
        <is>
          <t>Richmond Country Club</t>
        </is>
      </c>
      <c r="I151" t="n">
        <v>27.3</v>
      </c>
      <c r="J151" s="4" t="n">
        <v>150</v>
      </c>
      <c r="K151" t="inlineStr">
        <is>
          <t>102 / 48</t>
        </is>
      </c>
      <c r="L151" t="inlineStr">
        <is>
          <t>39 / 17</t>
        </is>
      </c>
      <c r="M151" s="5" t="n">
        <v>0.68</v>
      </c>
      <c r="N151" s="5" t="n">
        <v>0.7</v>
      </c>
    </row>
    <row r="152">
      <c r="A152" t="n">
        <v>151</v>
      </c>
      <c r="B152" t="n">
        <v>2012</v>
      </c>
      <c r="C152" t="inlineStr">
        <is>
          <t>Madison Tam</t>
        </is>
      </c>
      <c r="D152">
        <f>HYPERLINK("https://ota.tournamentsoftware.com/player-profile/827C7FCD-2D7D-406E-B5C0-29D0720096DC", "Link")</f>
        <v/>
      </c>
      <c r="E152" s="3" t="n">
        <v>603.4</v>
      </c>
      <c r="F152" s="4" t="n">
        <v>16</v>
      </c>
      <c r="G152" t="inlineStr">
        <is>
          <t>Ontario Tennis Association</t>
        </is>
      </c>
      <c r="H152" t="inlineStr">
        <is>
          <t>Sir Winston Churchill Tennis Club</t>
        </is>
      </c>
      <c r="I152" t="n">
        <v>29.1</v>
      </c>
      <c r="J152" s="4" t="n">
        <v>441</v>
      </c>
      <c r="K152" t="inlineStr">
        <is>
          <t>316 / 125</t>
        </is>
      </c>
      <c r="L152" t="inlineStr">
        <is>
          <t>19 / 10</t>
        </is>
      </c>
      <c r="M152" s="5" t="n">
        <v>0.72</v>
      </c>
      <c r="N152" s="5" t="n">
        <v>0.66</v>
      </c>
    </row>
    <row r="153">
      <c r="A153" t="n">
        <v>152</v>
      </c>
      <c r="B153" t="n">
        <v>2013</v>
      </c>
      <c r="C153" t="inlineStr">
        <is>
          <t>Blaire Ming min kaminski</t>
        </is>
      </c>
      <c r="D153">
        <f>HYPERLINK("https://ota.tournamentsoftware.com/player-profile/F1255585-993D-4DBF-ADE9-E5818DCBA131", "Link")</f>
        <v/>
      </c>
      <c r="E153" s="3" t="n">
        <v>601.103</v>
      </c>
      <c r="F153" s="4" t="n">
        <v>15</v>
      </c>
      <c r="G153" t="inlineStr">
        <is>
          <t>Tennis Alberta</t>
        </is>
      </c>
      <c r="H153" t="inlineStr">
        <is>
          <t>Osten &amp; Victor Alberta Tennis Centre</t>
        </is>
      </c>
      <c r="I153" t="inlineStr">
        <is>
          <t>unavailable</t>
        </is>
      </c>
      <c r="J153" s="4" t="n">
        <v>124</v>
      </c>
      <c r="K153" t="inlineStr">
        <is>
          <t>60 / 64</t>
        </is>
      </c>
      <c r="L153" t="inlineStr">
        <is>
          <t>15 / 13</t>
        </is>
      </c>
      <c r="M153" s="5" t="n">
        <v>0.48</v>
      </c>
      <c r="N153" s="5" t="n">
        <v>0.54</v>
      </c>
    </row>
    <row r="154">
      <c r="A154" t="n">
        <v>153</v>
      </c>
      <c r="B154" t="n">
        <v>2013</v>
      </c>
      <c r="C154" t="inlineStr">
        <is>
          <t>Zoe Yeung</t>
        </is>
      </c>
      <c r="D154">
        <f>HYPERLINK("https://ota.tournamentsoftware.com/player-profile/69712725-5DA5-49A3-9C42-5A05BBB6B230", "Link")</f>
        <v/>
      </c>
      <c r="E154" s="3" t="n">
        <v>583.942</v>
      </c>
      <c r="F154" s="4" t="n">
        <v>15</v>
      </c>
      <c r="G154" t="inlineStr">
        <is>
          <t>Tennis Alberta</t>
        </is>
      </c>
      <c r="H154" t="inlineStr">
        <is>
          <t>Osten &amp; Victor Alberta Tennis Centre</t>
        </is>
      </c>
      <c r="I154" t="n">
        <v>29.2</v>
      </c>
      <c r="J154" s="4" t="n">
        <v>184</v>
      </c>
      <c r="K154" t="inlineStr">
        <is>
          <t>87 / 97</t>
        </is>
      </c>
      <c r="L154" t="inlineStr">
        <is>
          <t>13 / 16</t>
        </is>
      </c>
      <c r="M154" s="5" t="n">
        <v>0.47</v>
      </c>
      <c r="N154" s="5" t="n">
        <v>0.45</v>
      </c>
    </row>
    <row r="155">
      <c r="A155" t="n">
        <v>154</v>
      </c>
      <c r="B155" t="n">
        <v>2014</v>
      </c>
      <c r="C155" t="inlineStr">
        <is>
          <t>Veronica Mourlatov</t>
        </is>
      </c>
      <c r="D155">
        <f>HYPERLINK("https://ota.tournamentsoftware.com/player-profile/B6154A4C-BA94-41F6-A39C-E106D7116C1A", "Link")</f>
        <v/>
      </c>
      <c r="E155" s="3" t="n">
        <v>583.4</v>
      </c>
      <c r="F155" s="4" t="n">
        <v>33</v>
      </c>
      <c r="G155" t="inlineStr">
        <is>
          <t>Ontario Tennis Association</t>
        </is>
      </c>
      <c r="H155" t="inlineStr">
        <is>
          <t>SmartVMC Racquetsports by ACE</t>
        </is>
      </c>
      <c r="I155" t="n">
        <v>30.9</v>
      </c>
      <c r="J155" s="4" t="n">
        <v>220</v>
      </c>
      <c r="K155" t="inlineStr">
        <is>
          <t>139 / 81</t>
        </is>
      </c>
      <c r="L155" t="inlineStr">
        <is>
          <t>42 / 18</t>
        </is>
      </c>
      <c r="M155" s="5" t="n">
        <v>0.63</v>
      </c>
      <c r="N155" s="5" t="n">
        <v>0.7</v>
      </c>
    </row>
    <row r="156">
      <c r="A156" t="n">
        <v>155</v>
      </c>
      <c r="B156" t="n">
        <v>2012</v>
      </c>
      <c r="C156" t="inlineStr">
        <is>
          <t>Malia Lee Datta</t>
        </is>
      </c>
      <c r="D156">
        <f>HYPERLINK("https://ota.tournamentsoftware.com/player-profile/0FC1E5E7-0316-49C4-95C5-C429E3032398", "Link")</f>
        <v/>
      </c>
      <c r="E156" s="3" t="n">
        <v>583.375</v>
      </c>
      <c r="F156" s="4" t="n">
        <v>17</v>
      </c>
      <c r="G156" t="inlineStr">
        <is>
          <t>Tennis Alberta</t>
        </is>
      </c>
      <c r="H156" t="inlineStr">
        <is>
          <t>Osten &amp; Victor Alberta Tennis Centre</t>
        </is>
      </c>
      <c r="I156" t="n">
        <v>28.7</v>
      </c>
      <c r="J156" s="4" t="n">
        <v>149</v>
      </c>
      <c r="K156" t="inlineStr">
        <is>
          <t>64 / 85</t>
        </is>
      </c>
      <c r="L156" t="inlineStr">
        <is>
          <t>13 / 18</t>
        </is>
      </c>
      <c r="M156" s="5" t="n">
        <v>0.43</v>
      </c>
      <c r="N156" s="5" t="n">
        <v>0.42</v>
      </c>
    </row>
    <row r="157">
      <c r="A157" t="n">
        <v>156</v>
      </c>
      <c r="B157" t="n">
        <v>2014</v>
      </c>
      <c r="C157" t="inlineStr">
        <is>
          <t>Naomi Iamandi</t>
        </is>
      </c>
      <c r="D157">
        <f>HYPERLINK("https://ota.tournamentsoftware.com/player-profile/5653599F-FFB6-46FA-B574-E53D7FBC278E", "Link")</f>
        <v/>
      </c>
      <c r="E157" s="3" t="n">
        <v>582.021</v>
      </c>
      <c r="F157" s="4" t="n">
        <v>22</v>
      </c>
      <c r="G157" t="inlineStr">
        <is>
          <t>Ontario Tennis Association</t>
        </is>
      </c>
      <c r="H157" t="inlineStr">
        <is>
          <t>Joshua Creek Golf &amp; Tennis</t>
        </is>
      </c>
      <c r="I157" t="n">
        <v>30.2</v>
      </c>
      <c r="J157" s="4" t="n">
        <v>234</v>
      </c>
      <c r="K157" t="inlineStr">
        <is>
          <t>125 / 109</t>
        </is>
      </c>
      <c r="L157" t="inlineStr">
        <is>
          <t>16 / 28</t>
        </is>
      </c>
      <c r="M157" s="5" t="n">
        <v>0.53</v>
      </c>
      <c r="N157" s="5" t="n">
        <v>0.36</v>
      </c>
    </row>
    <row r="158">
      <c r="A158" t="n">
        <v>157</v>
      </c>
      <c r="B158" t="n">
        <v>2014</v>
      </c>
      <c r="C158" t="inlineStr">
        <is>
          <t>Adrianna Gianvito</t>
        </is>
      </c>
      <c r="D158">
        <f>HYPERLINK("https://ota.tournamentsoftware.com/player-profile/1412F0F4-82D3-410D-980E-969EFE386B01", "Link")</f>
        <v/>
      </c>
      <c r="E158" s="3" t="n">
        <v>579.152</v>
      </c>
      <c r="F158" s="4" t="n">
        <v>22</v>
      </c>
      <c r="G158" t="inlineStr">
        <is>
          <t>Tennis Québec</t>
        </is>
      </c>
      <c r="H158" t="inlineStr">
        <is>
          <t>No Club</t>
        </is>
      </c>
      <c r="I158" t="inlineStr">
        <is>
          <t>unavailable</t>
        </is>
      </c>
      <c r="J158" s="4" t="n">
        <v>150</v>
      </c>
      <c r="K158" t="inlineStr">
        <is>
          <t>79 / 71</t>
        </is>
      </c>
      <c r="L158" t="inlineStr">
        <is>
          <t>29 / 19</t>
        </is>
      </c>
      <c r="M158" s="5" t="n">
        <v>0.53</v>
      </c>
      <c r="N158" s="5" t="n">
        <v>0.6</v>
      </c>
    </row>
    <row r="159">
      <c r="A159" t="n">
        <v>158</v>
      </c>
      <c r="B159" t="n">
        <v>2012</v>
      </c>
      <c r="C159" t="inlineStr">
        <is>
          <t>Eliana Cantin</t>
        </is>
      </c>
      <c r="D159">
        <f>HYPERLINK("https://ota.tournamentsoftware.com/player-profile/D4DBD3FF-74D7-4D84-BB8F-104CA729E69E", "Link")</f>
        <v/>
      </c>
      <c r="E159" s="3" t="n">
        <v>579.148</v>
      </c>
      <c r="F159" s="4" t="n">
        <v>14</v>
      </c>
      <c r="G159" t="inlineStr">
        <is>
          <t>Tennis Québec</t>
        </is>
      </c>
      <c r="H159" t="inlineStr">
        <is>
          <t>Centre récréatif de Repentigny / Académie Tennis Momentum</t>
        </is>
      </c>
      <c r="I159" t="n">
        <v>29.1</v>
      </c>
      <c r="J159" s="4" t="n">
        <v>186</v>
      </c>
      <c r="K159" t="inlineStr">
        <is>
          <t>91 / 95</t>
        </is>
      </c>
      <c r="L159" t="inlineStr">
        <is>
          <t>9 / 16</t>
        </is>
      </c>
      <c r="M159" s="5" t="n">
        <v>0.49</v>
      </c>
      <c r="N159" s="5" t="n">
        <v>0.36</v>
      </c>
    </row>
    <row r="160">
      <c r="A160" t="n">
        <v>159</v>
      </c>
      <c r="B160" t="n">
        <v>2013</v>
      </c>
      <c r="C160" t="inlineStr">
        <is>
          <t>Mathilde Labeeuw</t>
        </is>
      </c>
      <c r="D160">
        <f>HYPERLINK("https://ota.tournamentsoftware.com/player-profile/ACCBCF37-0334-4ED1-B564-DFD6E35F3445", "Link")</f>
        <v/>
      </c>
      <c r="E160" s="3" t="n">
        <v>578.7809999999999</v>
      </c>
      <c r="F160" s="4" t="n">
        <v>21</v>
      </c>
      <c r="G160" t="inlineStr">
        <is>
          <t>Tennis Québec</t>
        </is>
      </c>
      <c r="H160" t="inlineStr">
        <is>
          <t>SANI Sport</t>
        </is>
      </c>
      <c r="I160" t="n">
        <v>30.4</v>
      </c>
      <c r="J160" s="4" t="n">
        <v>195</v>
      </c>
      <c r="K160" t="inlineStr">
        <is>
          <t>93 / 102</t>
        </is>
      </c>
      <c r="L160" t="inlineStr">
        <is>
          <t>15 / 16</t>
        </is>
      </c>
      <c r="M160" s="5" t="n">
        <v>0.48</v>
      </c>
      <c r="N160" s="5" t="n">
        <v>0.48</v>
      </c>
    </row>
    <row r="161">
      <c r="A161" t="n">
        <v>160</v>
      </c>
      <c r="B161" t="n">
        <v>2012</v>
      </c>
      <c r="C161" t="inlineStr">
        <is>
          <t>Caroline ChuYun Yang</t>
        </is>
      </c>
      <c r="D161">
        <f>HYPERLINK("https://ota.tournamentsoftware.com/player-profile/973A8D96-42F5-42BC-9DF2-0A195E1A983F", "Link")</f>
        <v/>
      </c>
      <c r="E161" s="3" t="n">
        <v>574.0700000000001</v>
      </c>
      <c r="F161" s="4" t="n">
        <v>20</v>
      </c>
      <c r="G161" t="inlineStr">
        <is>
          <t>British Columbia</t>
        </is>
      </c>
      <c r="H161" t="inlineStr">
        <is>
          <t>The Tennis Centre</t>
        </is>
      </c>
      <c r="I161" t="n">
        <v>28.6</v>
      </c>
      <c r="J161" s="4" t="n">
        <v>265</v>
      </c>
      <c r="K161" t="inlineStr">
        <is>
          <t>159 / 106</t>
        </is>
      </c>
      <c r="L161" t="inlineStr">
        <is>
          <t>27 / 20</t>
        </is>
      </c>
      <c r="M161" s="5" t="n">
        <v>0.6</v>
      </c>
      <c r="N161" s="5" t="n">
        <v>0.57</v>
      </c>
    </row>
    <row r="162">
      <c r="A162" t="n">
        <v>161</v>
      </c>
      <c r="B162" t="n">
        <v>2014</v>
      </c>
      <c r="C162" t="inlineStr">
        <is>
          <t>Sophie Lu</t>
        </is>
      </c>
      <c r="D162">
        <f>HYPERLINK("https://ota.tournamentsoftware.com/player-profile/5C3C8ABA-3BF6-4232-B65C-B26C16207D0A", "Link")</f>
        <v/>
      </c>
      <c r="E162" s="3" t="n">
        <v>569.085</v>
      </c>
      <c r="F162" s="4" t="n">
        <v>19</v>
      </c>
      <c r="G162" t="inlineStr">
        <is>
          <t>Tennis Québec</t>
        </is>
      </c>
      <c r="H162" t="inlineStr">
        <is>
          <t>Tennis Ile- des- Soeurs</t>
        </is>
      </c>
      <c r="I162" t="inlineStr">
        <is>
          <t>unavailable</t>
        </is>
      </c>
      <c r="J162" s="4" t="n">
        <v>211</v>
      </c>
      <c r="K162" t="inlineStr">
        <is>
          <t>107 / 104</t>
        </is>
      </c>
      <c r="L162" t="inlineStr">
        <is>
          <t>36 / 25</t>
        </is>
      </c>
      <c r="M162" s="5" t="n">
        <v>0.51</v>
      </c>
      <c r="N162" s="5" t="n">
        <v>0.59</v>
      </c>
    </row>
    <row r="163">
      <c r="A163" t="n">
        <v>162</v>
      </c>
      <c r="B163" t="n">
        <v>2012</v>
      </c>
      <c r="C163" t="inlineStr">
        <is>
          <t>Alexandra Dorobantu</t>
        </is>
      </c>
      <c r="D163">
        <f>HYPERLINK("https://ota.tournamentsoftware.com/player-profile/CE7FB59F-F5CB-4CA3-A3EB-27DC05EB2B7D", "Link")</f>
        <v/>
      </c>
      <c r="E163" s="3" t="n">
        <v>568.771</v>
      </c>
      <c r="F163" s="4" t="n">
        <v>13</v>
      </c>
      <c r="G163" t="inlineStr">
        <is>
          <t>Tennis Alberta</t>
        </is>
      </c>
      <c r="H163" t="inlineStr">
        <is>
          <t>Saville Community Sports Centre</t>
        </is>
      </c>
      <c r="I163" t="inlineStr">
        <is>
          <t>unavailable</t>
        </is>
      </c>
      <c r="J163" s="4" t="n">
        <v>156</v>
      </c>
      <c r="K163" t="inlineStr">
        <is>
          <t>76 / 80</t>
        </is>
      </c>
      <c r="L163" t="inlineStr">
        <is>
          <t>14 / 17</t>
        </is>
      </c>
      <c r="M163" s="5" t="n">
        <v>0.49</v>
      </c>
      <c r="N163" s="5" t="n">
        <v>0.45</v>
      </c>
    </row>
    <row r="164">
      <c r="A164" t="n">
        <v>163</v>
      </c>
      <c r="B164" t="n">
        <v>2015</v>
      </c>
      <c r="C164" t="inlineStr">
        <is>
          <t>Alexia Djomo</t>
        </is>
      </c>
      <c r="D164">
        <f>HYPERLINK("https://ota.tournamentsoftware.com/player-profile/DCE433A3-22C1-4484-BA5B-62931094794E", "Link")</f>
        <v/>
      </c>
      <c r="E164" s="3" t="n">
        <v>559.021</v>
      </c>
      <c r="F164" s="4" t="n">
        <v>13</v>
      </c>
      <c r="G164" t="inlineStr">
        <is>
          <t>Tennis Manitoba</t>
        </is>
      </c>
      <c r="H164" t="inlineStr">
        <is>
          <t>Winnipeg Winter Club</t>
        </is>
      </c>
      <c r="I164" t="n">
        <v>33</v>
      </c>
      <c r="J164" s="4" t="n">
        <v>78</v>
      </c>
      <c r="K164" t="inlineStr">
        <is>
          <t>31 / 47</t>
        </is>
      </c>
      <c r="L164" t="inlineStr">
        <is>
          <t>24 / 28</t>
        </is>
      </c>
      <c r="M164" s="5" t="n">
        <v>0.4</v>
      </c>
      <c r="N164" s="5" t="n">
        <v>0.46</v>
      </c>
    </row>
    <row r="165">
      <c r="A165" t="n">
        <v>164</v>
      </c>
      <c r="B165" t="n">
        <v>2012</v>
      </c>
      <c r="C165" t="inlineStr">
        <is>
          <t>Riddhi Jha</t>
        </is>
      </c>
      <c r="D165">
        <f>HYPERLINK("https://ota.tournamentsoftware.com/player-profile/3B4B01BB-2AAD-49DD-B186-312576B12DC9", "Link")</f>
        <v/>
      </c>
      <c r="E165" s="3" t="n">
        <v>558.928</v>
      </c>
      <c r="F165" s="4" t="n">
        <v>15</v>
      </c>
      <c r="G165" t="inlineStr">
        <is>
          <t>Ontario Tennis Association</t>
        </is>
      </c>
      <c r="H165" t="inlineStr">
        <is>
          <t>Bramalea Tennis Club</t>
        </is>
      </c>
      <c r="I165" t="n">
        <v>30.8</v>
      </c>
      <c r="J165" s="4" t="n">
        <v>244</v>
      </c>
      <c r="K165" t="inlineStr">
        <is>
          <t>89 / 155</t>
        </is>
      </c>
      <c r="L165" t="inlineStr">
        <is>
          <t>18 / 14</t>
        </is>
      </c>
      <c r="M165" s="5" t="n">
        <v>0.36</v>
      </c>
      <c r="N165" s="5" t="n">
        <v>0.5600000000000001</v>
      </c>
    </row>
    <row r="166">
      <c r="A166" t="n">
        <v>165</v>
      </c>
      <c r="B166" t="n">
        <v>2015</v>
      </c>
      <c r="C166" t="inlineStr">
        <is>
          <t>NELIA BERKOUD</t>
        </is>
      </c>
      <c r="D166">
        <f>HYPERLINK("https://ota.tournamentsoftware.com/player-profile/2E73021E-DEDD-484B-95FC-00429D223FB2", "Link")</f>
        <v/>
      </c>
      <c r="E166" s="3" t="n">
        <v>554.133</v>
      </c>
      <c r="F166" s="4" t="n">
        <v>22</v>
      </c>
      <c r="G166" t="inlineStr">
        <is>
          <t>Tennis Québec</t>
        </is>
      </c>
      <c r="H166" t="inlineStr">
        <is>
          <t>Carrefour Multisports</t>
        </is>
      </c>
      <c r="I166" t="n">
        <v>30.3</v>
      </c>
      <c r="J166" s="4" t="n">
        <v>143</v>
      </c>
      <c r="K166" t="inlineStr">
        <is>
          <t>87 / 56</t>
        </is>
      </c>
      <c r="L166" t="inlineStr">
        <is>
          <t>31 / 28</t>
        </is>
      </c>
      <c r="M166" s="5" t="n">
        <v>0.61</v>
      </c>
      <c r="N166" s="5" t="n">
        <v>0.53</v>
      </c>
    </row>
    <row r="167">
      <c r="A167" t="n">
        <v>166</v>
      </c>
      <c r="B167" t="n">
        <v>2015</v>
      </c>
      <c r="C167" t="inlineStr">
        <is>
          <t>Grace Wang</t>
        </is>
      </c>
      <c r="D167">
        <f>HYPERLINK("https://ota.tournamentsoftware.com/player-profile/2F68C1DC-1A19-4E3A-AF58-6DC4541843F2", "Link")</f>
        <v/>
      </c>
      <c r="E167" s="3" t="n">
        <v>553.759</v>
      </c>
      <c r="F167" s="4" t="n">
        <v>25</v>
      </c>
      <c r="G167" t="inlineStr">
        <is>
          <t>British Columbia</t>
        </is>
      </c>
      <c r="H167" t="inlineStr">
        <is>
          <t>No Club</t>
        </is>
      </c>
      <c r="I167" t="n">
        <v>28.9</v>
      </c>
      <c r="J167" s="4" t="n">
        <v>245</v>
      </c>
      <c r="K167" t="inlineStr">
        <is>
          <t>146 / 99</t>
        </is>
      </c>
      <c r="L167" t="inlineStr">
        <is>
          <t>45 / 26</t>
        </is>
      </c>
      <c r="M167" s="5" t="n">
        <v>0.6</v>
      </c>
      <c r="N167" s="5" t="n">
        <v>0.63</v>
      </c>
    </row>
    <row r="168">
      <c r="A168" t="n">
        <v>167</v>
      </c>
      <c r="B168" t="n">
        <v>2014</v>
      </c>
      <c r="C168" t="inlineStr">
        <is>
          <t>Charlie Thomas-Simard</t>
        </is>
      </c>
      <c r="D168">
        <f>HYPERLINK("https://ota.tournamentsoftware.com/player-profile/E101E3D0-39D8-4861-AB44-D9BE1C346E1E", "Link")</f>
        <v/>
      </c>
      <c r="E168" s="3" t="n">
        <v>550.771</v>
      </c>
      <c r="F168" s="4" t="n">
        <v>21</v>
      </c>
      <c r="G168" t="inlineStr">
        <is>
          <t>Tennis Québec</t>
        </is>
      </c>
      <c r="H168" t="inlineStr">
        <is>
          <t>Club Avantage Multi-sports / Académie de tennis Hérisset Bordeleau</t>
        </is>
      </c>
      <c r="I168" t="n">
        <v>31.8</v>
      </c>
      <c r="J168" s="4" t="n">
        <v>122</v>
      </c>
      <c r="K168" t="inlineStr">
        <is>
          <t>65 / 57</t>
        </is>
      </c>
      <c r="L168" t="inlineStr">
        <is>
          <t>29 / 29</t>
        </is>
      </c>
      <c r="M168" s="5" t="n">
        <v>0.53</v>
      </c>
      <c r="N168" s="5" t="n">
        <v>0.5</v>
      </c>
    </row>
    <row r="169">
      <c r="A169" t="n">
        <v>168</v>
      </c>
      <c r="B169" t="n">
        <v>2013</v>
      </c>
      <c r="C169" t="inlineStr">
        <is>
          <t>Mariela Ibrahim</t>
        </is>
      </c>
      <c r="D169">
        <f>HYPERLINK("https://ota.tournamentsoftware.com/player-profile/D80C965C-4117-4C2C-9F46-F371E9E47454", "Link")</f>
        <v/>
      </c>
      <c r="E169" s="3" t="n">
        <v>550.674</v>
      </c>
      <c r="F169" s="4" t="n">
        <v>32</v>
      </c>
      <c r="G169" t="inlineStr">
        <is>
          <t>Ontario Tennis Association</t>
        </is>
      </c>
      <c r="H169" t="inlineStr">
        <is>
          <t>Concord Tennis Academy</t>
        </is>
      </c>
      <c r="I169" t="inlineStr">
        <is>
          <t>unavailable</t>
        </is>
      </c>
      <c r="J169" s="4" t="n">
        <v>111</v>
      </c>
      <c r="K169" t="inlineStr">
        <is>
          <t>64 / 47</t>
        </is>
      </c>
      <c r="L169" t="inlineStr">
        <is>
          <t>30 / 21</t>
        </is>
      </c>
      <c r="M169" s="5" t="n">
        <v>0.58</v>
      </c>
      <c r="N169" s="5" t="n">
        <v>0.59</v>
      </c>
    </row>
    <row r="170">
      <c r="A170" t="n">
        <v>169</v>
      </c>
      <c r="B170" t="n">
        <v>2015</v>
      </c>
      <c r="C170" t="inlineStr">
        <is>
          <t>Alyanna Jane Principe</t>
        </is>
      </c>
      <c r="D170">
        <f>HYPERLINK("https://ota.tournamentsoftware.com/player-profile/DF18434B-FE2E-4647-9481-0DA91B5C9B92", "Link")</f>
        <v/>
      </c>
      <c r="E170" s="3" t="n">
        <v>532.043</v>
      </c>
      <c r="F170" s="4" t="n">
        <v>21</v>
      </c>
      <c r="G170" t="inlineStr">
        <is>
          <t>British Columbia</t>
        </is>
      </c>
      <c r="H170" t="inlineStr">
        <is>
          <t>The Tennis Centre</t>
        </is>
      </c>
      <c r="I170" t="n">
        <v>28.7</v>
      </c>
      <c r="J170" s="4" t="n">
        <v>242</v>
      </c>
      <c r="K170" t="inlineStr">
        <is>
          <t>159 / 83</t>
        </is>
      </c>
      <c r="L170" t="inlineStr">
        <is>
          <t>37 / 24</t>
        </is>
      </c>
      <c r="M170" s="5" t="n">
        <v>0.66</v>
      </c>
      <c r="N170" s="5" t="n">
        <v>0.61</v>
      </c>
    </row>
    <row r="171">
      <c r="A171" t="n">
        <v>170</v>
      </c>
      <c r="B171" t="n">
        <v>2013</v>
      </c>
      <c r="C171" t="inlineStr">
        <is>
          <t>Sonya Notta</t>
        </is>
      </c>
      <c r="D171">
        <f>HYPERLINK("https://ota.tournamentsoftware.com/player-profile/6AF626BE-D8F1-4939-AF03-813D0A17EE25", "Link")</f>
        <v/>
      </c>
      <c r="E171" s="3" t="n">
        <v>530.568</v>
      </c>
      <c r="F171" s="4" t="n">
        <v>8</v>
      </c>
      <c r="G171" t="inlineStr">
        <is>
          <t>Ontario Tennis Association</t>
        </is>
      </c>
      <c r="H171" t="inlineStr">
        <is>
          <t>Mayfair East Racquet Club</t>
        </is>
      </c>
      <c r="I171" t="inlineStr">
        <is>
          <t>unavailable</t>
        </is>
      </c>
      <c r="J171" s="4" t="n">
        <v>78</v>
      </c>
      <c r="K171" t="inlineStr">
        <is>
          <t>53 / 25</t>
        </is>
      </c>
      <c r="L171" t="inlineStr">
        <is>
          <t>10 / 3</t>
        </is>
      </c>
      <c r="M171" s="5" t="n">
        <v>0.68</v>
      </c>
      <c r="N171" s="5" t="n">
        <v>0.77</v>
      </c>
    </row>
    <row r="172">
      <c r="A172" t="n">
        <v>171</v>
      </c>
      <c r="B172" t="n">
        <v>2014</v>
      </c>
      <c r="C172" t="inlineStr">
        <is>
          <t>Laetitia Thuy Van Nguyen</t>
        </is>
      </c>
      <c r="D172">
        <f>HYPERLINK("https://ota.tournamentsoftware.com/player-profile/B151CB64-D12D-48B2-8087-4EABB50157E8", "Link")</f>
        <v/>
      </c>
      <c r="E172" s="3" t="n">
        <v>522.812</v>
      </c>
      <c r="F172" s="4" t="n">
        <v>23</v>
      </c>
      <c r="G172" t="inlineStr">
        <is>
          <t>Tennis Québec</t>
        </is>
      </c>
      <c r="H172" t="inlineStr">
        <is>
          <t>Tennis Outaouais Performance (TOP)</t>
        </is>
      </c>
      <c r="I172" t="n">
        <v>29.6</v>
      </c>
      <c r="J172" s="4" t="n">
        <v>221</v>
      </c>
      <c r="K172" t="inlineStr">
        <is>
          <t>122 / 99</t>
        </is>
      </c>
      <c r="L172" t="inlineStr">
        <is>
          <t>36 / 24</t>
        </is>
      </c>
      <c r="M172" s="5" t="n">
        <v>0.55</v>
      </c>
      <c r="N172" s="5" t="n">
        <v>0.6</v>
      </c>
    </row>
    <row r="173">
      <c r="A173" t="n">
        <v>172</v>
      </c>
      <c r="B173" t="n">
        <v>2012</v>
      </c>
      <c r="C173" t="inlineStr">
        <is>
          <t>Meeth Kaur Rai</t>
        </is>
      </c>
      <c r="D173">
        <f>HYPERLINK("https://ota.tournamentsoftware.com/player-profile/3C191393-570A-4DF7-80D4-0613143CE54B", "Link")</f>
        <v/>
      </c>
      <c r="E173" s="3" t="n">
        <v>517.12</v>
      </c>
      <c r="F173" s="4" t="n">
        <v>18</v>
      </c>
      <c r="G173" t="inlineStr">
        <is>
          <t>British Columbia</t>
        </is>
      </c>
      <c r="H173" t="inlineStr">
        <is>
          <t>No Club</t>
        </is>
      </c>
      <c r="I173" t="n">
        <v>28.4</v>
      </c>
      <c r="J173" s="4" t="n">
        <v>230</v>
      </c>
      <c r="K173" t="inlineStr">
        <is>
          <t>126 / 104</t>
        </is>
      </c>
      <c r="L173" t="inlineStr">
        <is>
          <t>16 / 27</t>
        </is>
      </c>
      <c r="M173" s="5" t="n">
        <v>0.55</v>
      </c>
      <c r="N173" s="5" t="n">
        <v>0.37</v>
      </c>
    </row>
    <row r="174">
      <c r="A174" t="n">
        <v>173</v>
      </c>
      <c r="B174" t="n">
        <v>2012</v>
      </c>
      <c r="C174" t="inlineStr">
        <is>
          <t>Daniella Kulemin</t>
        </is>
      </c>
      <c r="D174">
        <f>HYPERLINK("https://ota.tournamentsoftware.com/player-profile/665847C2-A172-4164-B9E1-C1030269B793", "Link")</f>
        <v/>
      </c>
      <c r="E174" s="3" t="n">
        <v>515.465</v>
      </c>
      <c r="F174" s="4" t="n">
        <v>20</v>
      </c>
      <c r="G174" t="inlineStr">
        <is>
          <t>Ontario Tennis Association</t>
        </is>
      </c>
      <c r="H174" t="inlineStr">
        <is>
          <t>Concord Tennis Academy</t>
        </is>
      </c>
      <c r="I174" t="n">
        <v>30.5</v>
      </c>
      <c r="J174" s="4" t="n">
        <v>59</v>
      </c>
      <c r="K174" t="inlineStr">
        <is>
          <t>27 / 32</t>
        </is>
      </c>
      <c r="L174" t="inlineStr">
        <is>
          <t>17 / 18</t>
        </is>
      </c>
      <c r="M174" s="5" t="n">
        <v>0.46</v>
      </c>
      <c r="N174" s="5" t="n">
        <v>0.49</v>
      </c>
    </row>
    <row r="175">
      <c r="A175" t="n">
        <v>174</v>
      </c>
      <c r="B175" t="n">
        <v>2012</v>
      </c>
      <c r="C175" t="inlineStr">
        <is>
          <t>Ira Karthi</t>
        </is>
      </c>
      <c r="D175">
        <f>HYPERLINK("https://ota.tournamentsoftware.com/player-profile/87DFD688-7475-43FD-B605-7E13CDDC471C", "Link")</f>
        <v/>
      </c>
      <c r="E175" s="3" t="n">
        <v>515.125</v>
      </c>
      <c r="F175" s="4" t="n">
        <v>19</v>
      </c>
      <c r="G175" t="inlineStr">
        <is>
          <t>Ontario Tennis Association</t>
        </is>
      </c>
      <c r="H175" t="inlineStr">
        <is>
          <t>Sandy Beach Tennis Club</t>
        </is>
      </c>
      <c r="I175" t="n">
        <v>31.7</v>
      </c>
      <c r="J175" s="4" t="n">
        <v>77</v>
      </c>
      <c r="K175" t="inlineStr">
        <is>
          <t>23 / 54</t>
        </is>
      </c>
      <c r="L175" t="inlineStr">
        <is>
          <t>12 / 16</t>
        </is>
      </c>
      <c r="M175" s="5" t="n">
        <v>0.3</v>
      </c>
      <c r="N175" s="5" t="n">
        <v>0.43</v>
      </c>
    </row>
    <row r="176">
      <c r="A176" t="n">
        <v>175</v>
      </c>
      <c r="B176" t="n">
        <v>2013</v>
      </c>
      <c r="C176" t="inlineStr">
        <is>
          <t>Nelly Campagna</t>
        </is>
      </c>
      <c r="D176">
        <f>HYPERLINK("https://ota.tournamentsoftware.com/player-profile/57A742FF-F88B-4C14-A895-DA6559972095", "Link")</f>
        <v/>
      </c>
      <c r="E176" s="3" t="n">
        <v>514.603</v>
      </c>
      <c r="F176" s="4" t="n">
        <v>20</v>
      </c>
      <c r="G176" t="inlineStr">
        <is>
          <t>Tennis Québec</t>
        </is>
      </c>
      <c r="H176" t="inlineStr">
        <is>
          <t>Centre récréatif de Repentigny / Académie Tennis Momentum</t>
        </is>
      </c>
      <c r="I176" t="n">
        <v>29.4</v>
      </c>
      <c r="J176" s="4" t="n">
        <v>170</v>
      </c>
      <c r="K176" t="inlineStr">
        <is>
          <t>91 / 79</t>
        </is>
      </c>
      <c r="L176" t="inlineStr">
        <is>
          <t>23 / 17</t>
        </is>
      </c>
      <c r="M176" s="5" t="n">
        <v>0.54</v>
      </c>
      <c r="N176" s="5" t="n">
        <v>0.57</v>
      </c>
    </row>
    <row r="177">
      <c r="A177" t="n">
        <v>176</v>
      </c>
      <c r="B177" t="n">
        <v>2012</v>
      </c>
      <c r="C177" t="inlineStr">
        <is>
          <t>Emma Sun</t>
        </is>
      </c>
      <c r="D177">
        <f>HYPERLINK("https://ota.tournamentsoftware.com/player-profile/00B8EFA4-17DF-49B4-90DE-B5A577BC8620", "Link")</f>
        <v/>
      </c>
      <c r="E177" s="3" t="n">
        <v>503.724</v>
      </c>
      <c r="F177" s="4" t="n">
        <v>15</v>
      </c>
      <c r="G177" t="inlineStr">
        <is>
          <t>British Columbia</t>
        </is>
      </c>
      <c r="H177" t="inlineStr">
        <is>
          <t>The Tennis Centre</t>
        </is>
      </c>
      <c r="I177" t="n">
        <v>27.6</v>
      </c>
      <c r="J177" s="4" t="n">
        <v>260</v>
      </c>
      <c r="K177" t="inlineStr">
        <is>
          <t>124 / 136</t>
        </is>
      </c>
      <c r="L177" t="inlineStr">
        <is>
          <t>15 / 15</t>
        </is>
      </c>
      <c r="M177" s="5" t="n">
        <v>0.48</v>
      </c>
      <c r="N177" s="5" t="n">
        <v>0.5</v>
      </c>
    </row>
    <row r="178">
      <c r="A178" t="n">
        <v>177</v>
      </c>
      <c r="B178" t="n">
        <v>2014</v>
      </c>
      <c r="C178" t="inlineStr">
        <is>
          <t>Hanna Julia Barta</t>
        </is>
      </c>
      <c r="D178">
        <f>HYPERLINK("https://ota.tournamentsoftware.com/player-profile/BAF4D69B-39E5-4A7E-BB04-5AF0EDC7734B", "Link")</f>
        <v/>
      </c>
      <c r="E178" s="3" t="n">
        <v>500.277</v>
      </c>
      <c r="F178" s="4" t="n">
        <v>25</v>
      </c>
      <c r="G178" t="inlineStr">
        <is>
          <t>Ontario Tennis Association</t>
        </is>
      </c>
      <c r="H178" t="inlineStr">
        <is>
          <t>Advantage Tennis International at Veneto</t>
        </is>
      </c>
      <c r="I178" t="n">
        <v>31.9</v>
      </c>
      <c r="J178" s="4" t="n">
        <v>211</v>
      </c>
      <c r="K178" t="inlineStr">
        <is>
          <t>105 / 106</t>
        </is>
      </c>
      <c r="L178" t="inlineStr">
        <is>
          <t>25 / 20</t>
        </is>
      </c>
      <c r="M178" s="5" t="n">
        <v>0.5</v>
      </c>
      <c r="N178" s="5" t="n">
        <v>0.5600000000000001</v>
      </c>
    </row>
    <row r="179">
      <c r="A179" t="n">
        <v>178</v>
      </c>
      <c r="B179" t="n">
        <v>2012</v>
      </c>
      <c r="C179" t="inlineStr">
        <is>
          <t>Alexandra Bayentin</t>
        </is>
      </c>
      <c r="D179">
        <f>HYPERLINK("https://ota.tournamentsoftware.com/player-profile/EFF894D9-35F7-45C9-9C57-06584708D213", "Link")</f>
        <v/>
      </c>
      <c r="E179" s="3" t="n">
        <v>499.016</v>
      </c>
      <c r="F179" s="4" t="n">
        <v>15</v>
      </c>
      <c r="G179" t="inlineStr">
        <is>
          <t>Tennis Alberta</t>
        </is>
      </c>
      <c r="H179" t="inlineStr">
        <is>
          <t>Osten &amp; Victor Alberta Tennis Centre</t>
        </is>
      </c>
      <c r="I179" t="n">
        <v>28.4</v>
      </c>
      <c r="J179" s="4" t="n">
        <v>167</v>
      </c>
      <c r="K179" t="inlineStr">
        <is>
          <t>81 / 86</t>
        </is>
      </c>
      <c r="L179" t="inlineStr">
        <is>
          <t>11 / 12</t>
        </is>
      </c>
      <c r="M179" s="5" t="n">
        <v>0.49</v>
      </c>
      <c r="N179" s="5" t="n">
        <v>0.48</v>
      </c>
    </row>
    <row r="180">
      <c r="A180" t="n">
        <v>179</v>
      </c>
      <c r="B180" t="n">
        <v>2015</v>
      </c>
      <c r="C180" t="inlineStr">
        <is>
          <t>Abbey Crump</t>
        </is>
      </c>
      <c r="D180">
        <f>HYPERLINK("https://ota.tournamentsoftware.com/player-profile/92F0423F-2B57-40B1-A6AA-5C7DC6477800", "Link")</f>
        <v/>
      </c>
      <c r="E180" s="3" t="n">
        <v>493.889</v>
      </c>
      <c r="F180" s="4" t="n">
        <v>16</v>
      </c>
      <c r="G180" t="inlineStr">
        <is>
          <t>Ontario Tennis Association</t>
        </is>
      </c>
      <c r="H180" t="inlineStr">
        <is>
          <t>Joshua Creek Golf &amp; Tennis</t>
        </is>
      </c>
      <c r="I180" t="n">
        <v>30.7</v>
      </c>
      <c r="J180" s="4" t="n">
        <v>146</v>
      </c>
      <c r="K180" t="inlineStr">
        <is>
          <t>120 / 26</t>
        </is>
      </c>
      <c r="L180" t="inlineStr">
        <is>
          <t>28 / 15</t>
        </is>
      </c>
      <c r="M180" s="5" t="n">
        <v>0.82</v>
      </c>
      <c r="N180" s="5" t="n">
        <v>0.65</v>
      </c>
    </row>
    <row r="181">
      <c r="A181" t="n">
        <v>180</v>
      </c>
      <c r="B181" t="n">
        <v>2013</v>
      </c>
      <c r="C181" t="inlineStr">
        <is>
          <t>Livia Seguin</t>
        </is>
      </c>
      <c r="D181">
        <f>HYPERLINK("https://ota.tournamentsoftware.com/player-profile/2B987274-8A56-4EE6-B85D-948871231CC0", "Link")</f>
        <v/>
      </c>
      <c r="E181" s="3" t="n">
        <v>493.701</v>
      </c>
      <c r="F181" s="4" t="n">
        <v>37</v>
      </c>
      <c r="G181" t="inlineStr">
        <is>
          <t>Tennis Québec</t>
        </is>
      </c>
      <c r="H181" t="inlineStr">
        <is>
          <t>Tennis Interclub Piedmont</t>
        </is>
      </c>
      <c r="I181" t="n">
        <v>32.7</v>
      </c>
      <c r="J181" s="4" t="n">
        <v>138</v>
      </c>
      <c r="K181" t="inlineStr">
        <is>
          <t>43 / 95</t>
        </is>
      </c>
      <c r="L181" t="inlineStr">
        <is>
          <t>19 / 34</t>
        </is>
      </c>
      <c r="M181" s="5" t="n">
        <v>0.31</v>
      </c>
      <c r="N181" s="5" t="n">
        <v>0.36</v>
      </c>
    </row>
    <row r="182">
      <c r="A182" t="n">
        <v>181</v>
      </c>
      <c r="B182" t="n">
        <v>2012</v>
      </c>
      <c r="C182" t="inlineStr">
        <is>
          <t>Yuehan DONG</t>
        </is>
      </c>
      <c r="D182">
        <f>HYPERLINK("https://ota.tournamentsoftware.com/player-profile/F5996998-771E-46C9-A222-1C90911DD4C3", "Link")</f>
        <v/>
      </c>
      <c r="E182" s="3" t="n">
        <v>491.405</v>
      </c>
      <c r="F182" s="4" t="n">
        <v>24</v>
      </c>
      <c r="G182" t="inlineStr">
        <is>
          <t>Ontario Tennis Association</t>
        </is>
      </c>
      <c r="H182" t="inlineStr">
        <is>
          <t>Fainblum Tennis Academy</t>
        </is>
      </c>
      <c r="I182" t="n">
        <v>31.8</v>
      </c>
      <c r="J182" s="4" t="n">
        <v>125</v>
      </c>
      <c r="K182" t="inlineStr">
        <is>
          <t>56 / 69</t>
        </is>
      </c>
      <c r="L182" t="inlineStr">
        <is>
          <t>8 / 18</t>
        </is>
      </c>
      <c r="M182" s="5" t="n">
        <v>0.45</v>
      </c>
      <c r="N182" s="5" t="n">
        <v>0.31</v>
      </c>
    </row>
    <row r="183">
      <c r="A183" t="n">
        <v>182</v>
      </c>
      <c r="B183" t="n">
        <v>2013</v>
      </c>
      <c r="C183" t="inlineStr">
        <is>
          <t>Mila Anna Kodjian</t>
        </is>
      </c>
      <c r="D183">
        <f>HYPERLINK("https://ota.tournamentsoftware.com/player-profile/CE1F1BC7-04CB-4652-A947-AF91FA03ECD5", "Link")</f>
        <v/>
      </c>
      <c r="E183" s="3" t="n">
        <v>491.4</v>
      </c>
      <c r="F183" s="4" t="n">
        <v>18</v>
      </c>
      <c r="G183" t="inlineStr">
        <is>
          <t>Ontario Tennis Association</t>
        </is>
      </c>
      <c r="H183" t="inlineStr">
        <is>
          <t>Rosethorn Tennis Club</t>
        </is>
      </c>
      <c r="I183" t="n">
        <v>31.9</v>
      </c>
      <c r="J183" s="4" t="n">
        <v>115</v>
      </c>
      <c r="K183" t="inlineStr">
        <is>
          <t>66 / 49</t>
        </is>
      </c>
      <c r="L183" t="inlineStr">
        <is>
          <t>25 / 11</t>
        </is>
      </c>
      <c r="M183" s="5" t="n">
        <v>0.57</v>
      </c>
      <c r="N183" s="5" t="n">
        <v>0.6899999999999999</v>
      </c>
    </row>
    <row r="184">
      <c r="A184" t="n">
        <v>183</v>
      </c>
      <c r="B184" t="n">
        <v>2012</v>
      </c>
      <c r="C184" t="inlineStr">
        <is>
          <t>MISHIKA SURESH BALAJI</t>
        </is>
      </c>
      <c r="D184">
        <f>HYPERLINK("https://ota.tournamentsoftware.com/player-profile/B11C615C-6BB8-4655-BCAA-370D01C186B1", "Link")</f>
        <v/>
      </c>
      <c r="E184" s="3" t="n">
        <v>488.52</v>
      </c>
      <c r="F184" s="4" t="n">
        <v>18</v>
      </c>
      <c r="G184" t="inlineStr">
        <is>
          <t>Tennis Nova Scotia</t>
        </is>
      </c>
      <c r="H184" t="inlineStr">
        <is>
          <t>Atlantic Tennis Centre</t>
        </is>
      </c>
      <c r="I184" t="n">
        <v>27.9</v>
      </c>
      <c r="J184" s="4" t="n">
        <v>173</v>
      </c>
      <c r="K184" t="inlineStr">
        <is>
          <t>91 / 82</t>
        </is>
      </c>
      <c r="L184" t="inlineStr">
        <is>
          <t>26 / 14</t>
        </is>
      </c>
      <c r="M184" s="5" t="n">
        <v>0.53</v>
      </c>
      <c r="N184" s="5" t="n">
        <v>0.65</v>
      </c>
    </row>
    <row r="185">
      <c r="A185" t="n">
        <v>184</v>
      </c>
      <c r="B185" t="n">
        <v>2012</v>
      </c>
      <c r="C185" t="inlineStr">
        <is>
          <t>Maya Sophia Abdullah</t>
        </is>
      </c>
      <c r="D185">
        <f>HYPERLINK("https://ota.tournamentsoftware.com/player-profile/6169AD2A-5AC2-4220-8B87-C5D54BAF6AD4", "Link")</f>
        <v/>
      </c>
      <c r="E185" s="3" t="n">
        <v>485.934</v>
      </c>
      <c r="F185" s="4" t="n">
        <v>19</v>
      </c>
      <c r="G185" t="inlineStr">
        <is>
          <t>Tennis Alberta</t>
        </is>
      </c>
      <c r="H185" t="inlineStr">
        <is>
          <t>Aforza</t>
        </is>
      </c>
      <c r="I185" t="n">
        <v>31.6</v>
      </c>
      <c r="J185" s="4" t="n">
        <v>61</v>
      </c>
      <c r="K185" t="inlineStr">
        <is>
          <t>30 / 31</t>
        </is>
      </c>
      <c r="L185" t="inlineStr">
        <is>
          <t>18 / 19</t>
        </is>
      </c>
      <c r="M185" s="5" t="n">
        <v>0.49</v>
      </c>
      <c r="N185" s="5" t="n">
        <v>0.49</v>
      </c>
    </row>
    <row r="186">
      <c r="A186" t="n">
        <v>185</v>
      </c>
      <c r="B186" t="n">
        <v>2014</v>
      </c>
      <c r="C186" t="inlineStr">
        <is>
          <t>Naima Majumdar-Moreau</t>
        </is>
      </c>
      <c r="D186">
        <f>HYPERLINK("https://ota.tournamentsoftware.com/player-profile/DCA02929-B08F-46CE-9CFE-852A987CEBF8", "Link")</f>
        <v/>
      </c>
      <c r="E186" s="3" t="n">
        <v>485.9</v>
      </c>
      <c r="F186" s="4" t="n">
        <v>31</v>
      </c>
      <c r="G186" t="inlineStr">
        <is>
          <t>Tennis Québec</t>
        </is>
      </c>
      <c r="H186" t="inlineStr">
        <is>
          <t>Tennis Ile- des- Soeurs</t>
        </is>
      </c>
      <c r="I186" t="inlineStr">
        <is>
          <t>unavailable</t>
        </is>
      </c>
      <c r="J186" s="4" t="n">
        <v>164</v>
      </c>
      <c r="K186" t="inlineStr">
        <is>
          <t>77 / 87</t>
        </is>
      </c>
      <c r="L186" t="inlineStr">
        <is>
          <t>31 / 30</t>
        </is>
      </c>
      <c r="M186" s="5" t="n">
        <v>0.47</v>
      </c>
      <c r="N186" s="5" t="n">
        <v>0.51</v>
      </c>
    </row>
    <row r="187">
      <c r="A187" t="n">
        <v>186</v>
      </c>
      <c r="B187" t="n">
        <v>2015</v>
      </c>
      <c r="C187" t="inlineStr">
        <is>
          <t>Elina Wang</t>
        </is>
      </c>
      <c r="D187">
        <f>HYPERLINK("https://ota.tournamentsoftware.com/player-profile/D1A88E02-8A26-413B-866E-8A72948B268F", "Link")</f>
        <v/>
      </c>
      <c r="E187" s="3" t="n">
        <v>482.596</v>
      </c>
      <c r="F187" s="4" t="n">
        <v>20</v>
      </c>
      <c r="G187" t="inlineStr">
        <is>
          <t>Ontario Tennis Association</t>
        </is>
      </c>
      <c r="H187" t="inlineStr">
        <is>
          <t>Richmondhill Golf &amp; Country Club</t>
        </is>
      </c>
      <c r="I187" t="n">
        <v>30.5</v>
      </c>
      <c r="J187" s="4" t="n">
        <v>234</v>
      </c>
      <c r="K187" t="inlineStr">
        <is>
          <t>154 / 80</t>
        </is>
      </c>
      <c r="L187" t="inlineStr">
        <is>
          <t>37 / 15</t>
        </is>
      </c>
      <c r="M187" s="5" t="n">
        <v>0.66</v>
      </c>
      <c r="N187" s="5" t="n">
        <v>0.71</v>
      </c>
    </row>
    <row r="188">
      <c r="A188" t="n">
        <v>187</v>
      </c>
      <c r="B188" t="n">
        <v>2014</v>
      </c>
      <c r="C188" t="inlineStr">
        <is>
          <t>Anica Yachun Liu</t>
        </is>
      </c>
      <c r="D188">
        <f>HYPERLINK("https://ota.tournamentsoftware.com/player-profile/B58148E6-4895-4918-B4B6-ADFAA5FEE0D2", "Link")</f>
        <v/>
      </c>
      <c r="E188" s="3" t="n">
        <v>479.105</v>
      </c>
      <c r="F188" s="4" t="n">
        <v>22</v>
      </c>
      <c r="G188" t="inlineStr">
        <is>
          <t>Tennis Alberta</t>
        </is>
      </c>
      <c r="H188" t="inlineStr">
        <is>
          <t>Saville Community Sports Centre</t>
        </is>
      </c>
      <c r="I188" t="n">
        <v>29.4</v>
      </c>
      <c r="J188" s="4" t="n">
        <v>224</v>
      </c>
      <c r="K188" t="inlineStr">
        <is>
          <t>111 / 113</t>
        </is>
      </c>
      <c r="L188" t="inlineStr">
        <is>
          <t>30 / 35</t>
        </is>
      </c>
      <c r="M188" s="5" t="n">
        <v>0.5</v>
      </c>
      <c r="N188" s="5" t="n">
        <v>0.46</v>
      </c>
    </row>
    <row r="189">
      <c r="A189" t="n">
        <v>188</v>
      </c>
      <c r="B189" t="n">
        <v>2015</v>
      </c>
      <c r="C189" t="inlineStr">
        <is>
          <t>Sunandita Pal</t>
        </is>
      </c>
      <c r="D189">
        <f>HYPERLINK("https://ota.tournamentsoftware.com/player-profile/10185E41-C6E2-4C6A-9A47-A3AF6C77F2A4", "Link")</f>
        <v/>
      </c>
      <c r="E189" s="3" t="n">
        <v>472.228</v>
      </c>
      <c r="F189" s="4" t="n">
        <v>28</v>
      </c>
      <c r="G189" t="inlineStr">
        <is>
          <t>Ontario Tennis Association</t>
        </is>
      </c>
      <c r="H189" t="inlineStr">
        <is>
          <t>No Club</t>
        </is>
      </c>
      <c r="I189" t="n">
        <v>32.8</v>
      </c>
      <c r="J189" s="4" t="n">
        <v>239</v>
      </c>
      <c r="K189" t="inlineStr">
        <is>
          <t>114 / 125</t>
        </is>
      </c>
      <c r="L189" t="inlineStr">
        <is>
          <t>30 / 24</t>
        </is>
      </c>
      <c r="M189" s="5" t="n">
        <v>0.48</v>
      </c>
      <c r="N189" s="5" t="n">
        <v>0.5600000000000001</v>
      </c>
    </row>
    <row r="190">
      <c r="A190" t="n">
        <v>189</v>
      </c>
      <c r="B190" t="n">
        <v>2013</v>
      </c>
      <c r="C190" t="inlineStr">
        <is>
          <t>Juliana Sophie Ho</t>
        </is>
      </c>
      <c r="D190">
        <f>HYPERLINK("https://ota.tournamentsoftware.com/player-profile/D79AC720-EA55-42CC-ACCB-558E5C86D00C", "Link")</f>
        <v/>
      </c>
      <c r="E190" s="3" t="n">
        <v>468.722</v>
      </c>
      <c r="F190" s="4" t="n">
        <v>28</v>
      </c>
      <c r="G190" t="inlineStr">
        <is>
          <t>Ontario Tennis Association</t>
        </is>
      </c>
      <c r="H190" t="inlineStr">
        <is>
          <t>Ontario Racquet Club</t>
        </is>
      </c>
      <c r="I190" t="n">
        <v>32.3</v>
      </c>
      <c r="J190" s="4" t="n">
        <v>143</v>
      </c>
      <c r="K190" t="inlineStr">
        <is>
          <t>73 / 70</t>
        </is>
      </c>
      <c r="L190" t="inlineStr">
        <is>
          <t>21 / 19</t>
        </is>
      </c>
      <c r="M190" s="5" t="n">
        <v>0.51</v>
      </c>
      <c r="N190" s="5" t="n">
        <v>0.53</v>
      </c>
    </row>
    <row r="191">
      <c r="A191" t="n">
        <v>190</v>
      </c>
      <c r="B191" t="n">
        <v>2012</v>
      </c>
      <c r="C191" t="inlineStr">
        <is>
          <t>Izibeyle Bhopal</t>
        </is>
      </c>
      <c r="D191">
        <f>HYPERLINK("https://ota.tournamentsoftware.com/player-profile/E9C7A60A-D097-4925-9456-764C57DCF01A", "Link")</f>
        <v/>
      </c>
      <c r="E191" s="3" t="n">
        <v>468.448</v>
      </c>
      <c r="F191" s="4" t="n">
        <v>2</v>
      </c>
      <c r="G191" t="inlineStr">
        <is>
          <t>British Columbia</t>
        </is>
      </c>
      <c r="H191" t="inlineStr">
        <is>
          <t>Bear Mountain Tennis Centre</t>
        </is>
      </c>
      <c r="I191" t="n">
        <v>24.5</v>
      </c>
      <c r="J191" s="4" t="n">
        <v>64</v>
      </c>
      <c r="K191" t="inlineStr">
        <is>
          <t>39 / 25</t>
        </is>
      </c>
      <c r="L191" t="inlineStr">
        <is>
          <t>4 / 0</t>
        </is>
      </c>
      <c r="M191" s="5" t="n">
        <v>0.61</v>
      </c>
      <c r="N191" s="5" t="n">
        <v>1</v>
      </c>
    </row>
    <row r="192">
      <c r="A192" t="n">
        <v>191</v>
      </c>
      <c r="B192" t="n">
        <v>2014</v>
      </c>
      <c r="C192" t="inlineStr">
        <is>
          <t>Eva Larose</t>
        </is>
      </c>
      <c r="D192">
        <f>HYPERLINK("https://ota.tournamentsoftware.com/player-profile/BC2D4F14-515B-4F2A-AD3B-8DA03F3E5E5B", "Link")</f>
        <v/>
      </c>
      <c r="E192" s="3" t="n">
        <v>466.782</v>
      </c>
      <c r="F192" s="4" t="n">
        <v>23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167</v>
      </c>
      <c r="K192" t="inlineStr">
        <is>
          <t>96 / 71</t>
        </is>
      </c>
      <c r="L192" t="inlineStr">
        <is>
          <t>43 / 20</t>
        </is>
      </c>
      <c r="M192" s="5" t="n">
        <v>0.57</v>
      </c>
      <c r="N192" s="5" t="n">
        <v>0.68</v>
      </c>
    </row>
    <row r="193">
      <c r="A193" t="n">
        <v>192</v>
      </c>
      <c r="B193" t="n">
        <v>2016</v>
      </c>
      <c r="C193" t="inlineStr">
        <is>
          <t>Alisha Goel</t>
        </is>
      </c>
      <c r="D193">
        <f>HYPERLINK("https://ota.tournamentsoftware.com/player-profile/7F9E9DD0-77A1-4F40-B2B5-C4B89592B089", "Link")</f>
        <v/>
      </c>
      <c r="E193" s="3" t="n">
        <v>459.47</v>
      </c>
      <c r="F193" s="4" t="n">
        <v>26</v>
      </c>
      <c r="G193" t="inlineStr">
        <is>
          <t>Ontario Tennis Association</t>
        </is>
      </c>
      <c r="H193" t="inlineStr">
        <is>
          <t>The Supreme Court Tennis Club</t>
        </is>
      </c>
      <c r="I193" t="n">
        <v>32.8</v>
      </c>
      <c r="J193" s="4" t="n">
        <v>183</v>
      </c>
      <c r="K193" t="inlineStr">
        <is>
          <t>123 / 60</t>
        </is>
      </c>
      <c r="L193" t="inlineStr">
        <is>
          <t>36 / 22</t>
        </is>
      </c>
      <c r="M193" s="5" t="n">
        <v>0.67</v>
      </c>
      <c r="N193" s="5" t="n">
        <v>0.62</v>
      </c>
    </row>
    <row r="194">
      <c r="A194" t="n">
        <v>193</v>
      </c>
      <c r="B194" t="n">
        <v>2013</v>
      </c>
      <c r="C194" t="inlineStr">
        <is>
          <t>Alexandra Choe</t>
        </is>
      </c>
      <c r="D194">
        <f>HYPERLINK("https://ota.tournamentsoftware.com/player-profile/0BFF8F09-A612-40D9-B491-E305A472672B", "Link")</f>
        <v/>
      </c>
      <c r="E194" s="3" t="n">
        <v>449.276</v>
      </c>
      <c r="F194" s="4" t="n">
        <v>12</v>
      </c>
      <c r="G194" t="inlineStr">
        <is>
          <t>Ontario Tennis Association</t>
        </is>
      </c>
      <c r="H194" t="inlineStr">
        <is>
          <t>Joshua Creek Golf &amp; Tennis</t>
        </is>
      </c>
      <c r="I194" t="n">
        <v>30</v>
      </c>
      <c r="J194" s="4" t="n">
        <v>221</v>
      </c>
      <c r="K194" t="inlineStr">
        <is>
          <t>135 / 86</t>
        </is>
      </c>
      <c r="L194" t="inlineStr">
        <is>
          <t>8 / 4</t>
        </is>
      </c>
      <c r="M194" s="5" t="n">
        <v>0.61</v>
      </c>
      <c r="N194" s="5" t="n">
        <v>0.67</v>
      </c>
    </row>
    <row r="195">
      <c r="A195" t="n">
        <v>194</v>
      </c>
      <c r="B195" t="n">
        <v>2014</v>
      </c>
      <c r="C195" t="inlineStr">
        <is>
          <t>Katelyn Li</t>
        </is>
      </c>
      <c r="D195">
        <f>HYPERLINK("https://ota.tournamentsoftware.com/player-profile/4A74B151-256A-40ED-9F9D-F00036EDD0A5", "Link")</f>
        <v/>
      </c>
      <c r="E195" s="3" t="n">
        <v>449.064</v>
      </c>
      <c r="F195" s="4" t="n">
        <v>25</v>
      </c>
      <c r="G195" t="inlineStr">
        <is>
          <t>Ontario Tennis Association</t>
        </is>
      </c>
      <c r="H195" t="inlineStr">
        <is>
          <t>Burlington Hall Sporting Club</t>
        </is>
      </c>
      <c r="I195" t="inlineStr">
        <is>
          <t>unavailable</t>
        </is>
      </c>
      <c r="J195" s="4" t="n">
        <v>137</v>
      </c>
      <c r="K195" t="inlineStr">
        <is>
          <t>65 / 72</t>
        </is>
      </c>
      <c r="L195" t="inlineStr">
        <is>
          <t>24 / 22</t>
        </is>
      </c>
      <c r="M195" s="5" t="n">
        <v>0.47</v>
      </c>
      <c r="N195" s="5" t="n">
        <v>0.52</v>
      </c>
    </row>
    <row r="196">
      <c r="A196" t="n">
        <v>195</v>
      </c>
      <c r="B196" t="n">
        <v>2013</v>
      </c>
      <c r="C196" t="inlineStr">
        <is>
          <t>Tia Patel</t>
        </is>
      </c>
      <c r="D196">
        <f>HYPERLINK("https://ota.tournamentsoftware.com/player-profile/5C480574-FD9C-4816-B1CF-F51441726B25", "Link")</f>
        <v/>
      </c>
      <c r="E196" s="3" t="n">
        <v>448.154</v>
      </c>
      <c r="F196" s="4" t="n">
        <v>16</v>
      </c>
      <c r="G196" t="inlineStr">
        <is>
          <t>Ontario Tennis Association</t>
        </is>
      </c>
      <c r="H196" t="inlineStr">
        <is>
          <t>Waterloo Tennis Club</t>
        </is>
      </c>
      <c r="I196" t="n">
        <v>34.2</v>
      </c>
      <c r="J196" s="4" t="n">
        <v>81</v>
      </c>
      <c r="K196" t="inlineStr">
        <is>
          <t>29 / 52</t>
        </is>
      </c>
      <c r="L196" t="inlineStr">
        <is>
          <t>7 / 12</t>
        </is>
      </c>
      <c r="M196" s="5" t="n">
        <v>0.36</v>
      </c>
      <c r="N196" s="5" t="n">
        <v>0.37</v>
      </c>
    </row>
    <row r="197">
      <c r="A197" t="n">
        <v>196</v>
      </c>
      <c r="B197" t="n">
        <v>2013</v>
      </c>
      <c r="C197" t="inlineStr">
        <is>
          <t>Bianca Bordogna</t>
        </is>
      </c>
      <c r="D197">
        <f>HYPERLINK("https://ota.tournamentsoftware.com/player-profile/71A0B4E7-3A92-4F64-82D6-42A032600DC7", "Link")</f>
        <v/>
      </c>
      <c r="E197" s="3" t="n">
        <v>447.08</v>
      </c>
      <c r="F197" s="4" t="n">
        <v>16</v>
      </c>
      <c r="G197" t="inlineStr">
        <is>
          <t>Ontario Tennis Association</t>
        </is>
      </c>
      <c r="H197" t="inlineStr">
        <is>
          <t>Carleton Tennis Centre</t>
        </is>
      </c>
      <c r="I197" t="n">
        <v>31.6</v>
      </c>
      <c r="J197" s="4" t="n">
        <v>111</v>
      </c>
      <c r="K197" t="inlineStr">
        <is>
          <t>57 / 54</t>
        </is>
      </c>
      <c r="L197" t="inlineStr">
        <is>
          <t>14 / 14</t>
        </is>
      </c>
      <c r="M197" s="5" t="n">
        <v>0.51</v>
      </c>
      <c r="N197" s="5" t="n">
        <v>0.5</v>
      </c>
    </row>
    <row r="198">
      <c r="A198" t="n">
        <v>197</v>
      </c>
      <c r="B198" t="n">
        <v>2013</v>
      </c>
      <c r="C198" t="inlineStr">
        <is>
          <t>Rihanna Kulyk</t>
        </is>
      </c>
      <c r="D198">
        <f>HYPERLINK("https://ota.tournamentsoftware.com/player-profile/6E1703BA-DB25-4B47-9BB7-314BDDCFDBAC", "Link")</f>
        <v/>
      </c>
      <c r="E198" s="3" t="n">
        <v>444.665</v>
      </c>
      <c r="F198" s="4" t="n">
        <v>24</v>
      </c>
      <c r="G198" t="inlineStr">
        <is>
          <t>Tennis Québec</t>
        </is>
      </c>
      <c r="H198" t="inlineStr">
        <is>
          <t>Tennis Ile- des- Soeurs</t>
        </is>
      </c>
      <c r="I198" t="inlineStr">
        <is>
          <t>unavailable</t>
        </is>
      </c>
      <c r="J198" s="4" t="n">
        <v>241</v>
      </c>
      <c r="K198" t="inlineStr">
        <is>
          <t>106 / 135</t>
        </is>
      </c>
      <c r="L198" t="inlineStr">
        <is>
          <t>13 / 21</t>
        </is>
      </c>
      <c r="M198" s="5" t="n">
        <v>0.44</v>
      </c>
      <c r="N198" s="5" t="n">
        <v>0.38</v>
      </c>
    </row>
    <row r="199">
      <c r="A199" t="n">
        <v>198</v>
      </c>
      <c r="B199" t="n">
        <v>2014</v>
      </c>
      <c r="C199" t="inlineStr">
        <is>
          <t>Sara Liao</t>
        </is>
      </c>
      <c r="D199">
        <f>HYPERLINK("https://ota.tournamentsoftware.com/player-profile/A86A9BCB-375D-415C-BD04-3D7638B2F6E8", "Link")</f>
        <v/>
      </c>
      <c r="E199" s="3" t="n">
        <v>443.842</v>
      </c>
      <c r="F199" s="4" t="n">
        <v>35</v>
      </c>
      <c r="G199" t="inlineStr">
        <is>
          <t>Ontario Tennis Association</t>
        </is>
      </c>
      <c r="H199" t="inlineStr">
        <is>
          <t>Ontario Racquet Club</t>
        </is>
      </c>
      <c r="I199" t="n">
        <v>32</v>
      </c>
      <c r="J199" s="4" t="n">
        <v>124</v>
      </c>
      <c r="K199" t="inlineStr">
        <is>
          <t>61 / 63</t>
        </is>
      </c>
      <c r="L199" t="inlineStr">
        <is>
          <t>34 / 30</t>
        </is>
      </c>
      <c r="M199" s="5" t="n">
        <v>0.49</v>
      </c>
      <c r="N199" s="5" t="n">
        <v>0.53</v>
      </c>
    </row>
    <row r="200">
      <c r="A200" t="n">
        <v>199</v>
      </c>
      <c r="B200" t="n">
        <v>2012</v>
      </c>
      <c r="C200" t="inlineStr">
        <is>
          <t>Ella Zhao</t>
        </is>
      </c>
      <c r="D200">
        <f>HYPERLINK("https://ota.tournamentsoftware.com/player-profile/4CFC4B61-0F67-4AD7-8CC6-03CC7A224737", "Link")</f>
        <v/>
      </c>
      <c r="E200" s="3" t="n">
        <v>442.478</v>
      </c>
      <c r="F200" s="4" t="n">
        <v>9</v>
      </c>
      <c r="G200" t="inlineStr">
        <is>
          <t>British Columbia</t>
        </is>
      </c>
      <c r="H200" t="inlineStr">
        <is>
          <t>North Shore Winter Club</t>
        </is>
      </c>
      <c r="I200" t="n">
        <v>26.9</v>
      </c>
      <c r="J200" s="4" t="n">
        <v>121</v>
      </c>
      <c r="K200" t="inlineStr">
        <is>
          <t>89 / 32</t>
        </is>
      </c>
      <c r="L200" t="inlineStr">
        <is>
          <t>9 / 7</t>
        </is>
      </c>
      <c r="M200" s="5" t="n">
        <v>0.74</v>
      </c>
      <c r="N200" s="5" t="n">
        <v>0.5600000000000001</v>
      </c>
    </row>
    <row r="201">
      <c r="A201" t="n">
        <v>200</v>
      </c>
      <c r="B201" t="n">
        <v>2013</v>
      </c>
      <c r="C201" t="inlineStr">
        <is>
          <t>Audrey Yiyi Xu</t>
        </is>
      </c>
      <c r="D201">
        <f>HYPERLINK("https://ota.tournamentsoftware.com/player-profile/25D8C643-E3DC-418B-948B-22520C94F8E3", "Link")</f>
        <v/>
      </c>
      <c r="E201" s="3" t="n">
        <v>440.022</v>
      </c>
      <c r="F201" s="4" t="n">
        <v>23</v>
      </c>
      <c r="G201" t="inlineStr">
        <is>
          <t>Ontario Tennis Association</t>
        </is>
      </c>
      <c r="H201" t="inlineStr">
        <is>
          <t>Joshua Creek Golf &amp; Tennis</t>
        </is>
      </c>
      <c r="I201" t="n">
        <v>32.1</v>
      </c>
      <c r="J201" s="4" t="n">
        <v>147</v>
      </c>
      <c r="K201" t="inlineStr">
        <is>
          <t>65 / 82</t>
        </is>
      </c>
      <c r="L201" t="inlineStr">
        <is>
          <t>26 / 18</t>
        </is>
      </c>
      <c r="M201" s="5" t="n">
        <v>0.44</v>
      </c>
      <c r="N201" s="5" t="n">
        <v>0.59</v>
      </c>
    </row>
    <row r="202">
      <c r="A202" t="n">
        <v>201</v>
      </c>
      <c r="B202" t="n">
        <v>2015</v>
      </c>
      <c r="C202" t="inlineStr">
        <is>
          <t>Tina liu</t>
        </is>
      </c>
      <c r="D202">
        <f>HYPERLINK("https://ota.tournamentsoftware.com/player-profile/E7D1FBAC-8033-480E-A688-28CBCEF6D907", "Link")</f>
        <v/>
      </c>
      <c r="E202" s="3" t="n">
        <v>436.506</v>
      </c>
      <c r="F202" s="4" t="n">
        <v>27</v>
      </c>
      <c r="G202" t="inlineStr">
        <is>
          <t>Ontario Tennis Association</t>
        </is>
      </c>
      <c r="H202" t="inlineStr">
        <is>
          <t>Advantage Tennis International at Veneto</t>
        </is>
      </c>
      <c r="I202" t="n">
        <v>32.5</v>
      </c>
      <c r="J202" s="4" t="n">
        <v>203</v>
      </c>
      <c r="K202" t="inlineStr">
        <is>
          <t>130 / 73</t>
        </is>
      </c>
      <c r="L202" t="inlineStr">
        <is>
          <t>34 / 20</t>
        </is>
      </c>
      <c r="M202" s="5" t="n">
        <v>0.64</v>
      </c>
      <c r="N202" s="5" t="n">
        <v>0.63</v>
      </c>
    </row>
    <row r="203">
      <c r="A203" t="n">
        <v>202</v>
      </c>
      <c r="B203" t="n">
        <v>2014</v>
      </c>
      <c r="C203" t="inlineStr">
        <is>
          <t>Maeva Cantin</t>
        </is>
      </c>
      <c r="D203">
        <f>HYPERLINK("https://ota.tournamentsoftware.com/player-profile/B46D6374-4A68-4FB0-8516-4056AFA1047A", "Link")</f>
        <v/>
      </c>
      <c r="E203" s="3" t="n">
        <v>433.008</v>
      </c>
      <c r="F203" s="4" t="n">
        <v>16</v>
      </c>
      <c r="G203" t="inlineStr">
        <is>
          <t>Tennis Québec</t>
        </is>
      </c>
      <c r="H203" t="inlineStr">
        <is>
          <t>Centre récréatif de Repentigny / Académie Tennis Momentum</t>
        </is>
      </c>
      <c r="I203" t="n">
        <v>30.7</v>
      </c>
      <c r="J203" s="4" t="n">
        <v>152</v>
      </c>
      <c r="K203" t="inlineStr">
        <is>
          <t>82 / 70</t>
        </is>
      </c>
      <c r="L203" t="inlineStr">
        <is>
          <t>29 / 17</t>
        </is>
      </c>
      <c r="M203" s="5" t="n">
        <v>0.54</v>
      </c>
      <c r="N203" s="5" t="n">
        <v>0.63</v>
      </c>
    </row>
    <row r="204">
      <c r="A204" t="n">
        <v>203</v>
      </c>
      <c r="B204" t="n">
        <v>2013</v>
      </c>
      <c r="C204" t="inlineStr">
        <is>
          <t>Rosemarie Gagnon</t>
        </is>
      </c>
      <c r="D204">
        <f>HYPERLINK("https://ota.tournamentsoftware.com/player-profile/55A370D6-4FAD-414D-9E3D-2889C644855A", "Link")</f>
        <v/>
      </c>
      <c r="E204" s="3" t="n">
        <v>429.244</v>
      </c>
      <c r="F204" s="4" t="n">
        <v>22</v>
      </c>
      <c r="G204" t="inlineStr">
        <is>
          <t>Tennis Québec</t>
        </is>
      </c>
      <c r="H204" t="inlineStr">
        <is>
          <t>Club de tennis intérieur Saguenay / École de tennis Delisle-Poirel</t>
        </is>
      </c>
      <c r="I204" t="n">
        <v>32.2</v>
      </c>
      <c r="J204" s="4" t="n">
        <v>113</v>
      </c>
      <c r="K204" t="inlineStr">
        <is>
          <t>50 / 63</t>
        </is>
      </c>
      <c r="L204" t="inlineStr">
        <is>
          <t>12 / 18</t>
        </is>
      </c>
      <c r="M204" s="5" t="n">
        <v>0.44</v>
      </c>
      <c r="N204" s="5" t="n">
        <v>0.4</v>
      </c>
    </row>
    <row r="205">
      <c r="A205" t="n">
        <v>204</v>
      </c>
      <c r="B205" t="n">
        <v>2012</v>
      </c>
      <c r="C205" t="inlineStr">
        <is>
          <t>Milena Mavrin</t>
        </is>
      </c>
      <c r="D205">
        <f>HYPERLINK("https://ota.tournamentsoftware.com/player-profile/E6DED1E8-57C3-4627-8D59-94A636610A6B", "Link")</f>
        <v/>
      </c>
      <c r="E205" s="3" t="n">
        <v>428.128</v>
      </c>
      <c r="F205" s="4" t="n">
        <v>27</v>
      </c>
      <c r="G205" t="inlineStr">
        <is>
          <t>Ontario Tennis Association</t>
        </is>
      </c>
      <c r="H205" t="inlineStr">
        <is>
          <t>Blackmore Tennis Club</t>
        </is>
      </c>
      <c r="I205" t="n">
        <v>31.5</v>
      </c>
      <c r="J205" s="4" t="n">
        <v>82</v>
      </c>
      <c r="K205" t="inlineStr">
        <is>
          <t>38 / 44</t>
        </is>
      </c>
      <c r="L205" t="inlineStr">
        <is>
          <t>30 / 24</t>
        </is>
      </c>
      <c r="M205" s="5" t="n">
        <v>0.46</v>
      </c>
      <c r="N205" s="5" t="n">
        <v>0.5600000000000001</v>
      </c>
    </row>
    <row r="206">
      <c r="A206" t="n">
        <v>205</v>
      </c>
      <c r="B206" t="n">
        <v>2014</v>
      </c>
      <c r="C206" t="inlineStr">
        <is>
          <t>Ema Zonjic</t>
        </is>
      </c>
      <c r="D206">
        <f>HYPERLINK("https://ota.tournamentsoftware.com/player-profile/42A43C76-E08F-4134-B876-2E9D05859D92", "Link")</f>
        <v/>
      </c>
      <c r="E206" s="3" t="n">
        <v>427.7</v>
      </c>
      <c r="F206" s="4" t="n">
        <v>27</v>
      </c>
      <c r="G206" t="inlineStr">
        <is>
          <t>Ontario Tennis Association</t>
        </is>
      </c>
      <c r="H206" t="inlineStr">
        <is>
          <t>Rideau Sports Centre</t>
        </is>
      </c>
      <c r="I206" t="n">
        <v>30.8</v>
      </c>
      <c r="J206" s="4" t="n">
        <v>190</v>
      </c>
      <c r="K206" t="inlineStr">
        <is>
          <t>109 / 81</t>
        </is>
      </c>
      <c r="L206" t="inlineStr">
        <is>
          <t>41 / 24</t>
        </is>
      </c>
      <c r="M206" s="5" t="n">
        <v>0.57</v>
      </c>
      <c r="N206" s="5" t="n">
        <v>0.63</v>
      </c>
    </row>
    <row r="207">
      <c r="A207" t="n">
        <v>206</v>
      </c>
      <c r="B207" t="n">
        <v>2012</v>
      </c>
      <c r="C207" t="inlineStr">
        <is>
          <t>Tiffany Ren Jun Cao</t>
        </is>
      </c>
      <c r="D207">
        <f>HYPERLINK("https://ota.tournamentsoftware.com/player-profile/07B17DA5-DD47-4C90-B575-478C58AD7465", "Link")</f>
        <v/>
      </c>
      <c r="E207" s="3" t="n">
        <v>426.413</v>
      </c>
      <c r="F207" s="4" t="n">
        <v>21</v>
      </c>
      <c r="G207" t="inlineStr">
        <is>
          <t>British Columbia</t>
        </is>
      </c>
      <c r="H207" t="inlineStr">
        <is>
          <t>Richmond Country Club</t>
        </is>
      </c>
      <c r="I207" t="n">
        <v>29.8</v>
      </c>
      <c r="J207" s="4" t="n">
        <v>207</v>
      </c>
      <c r="K207" t="inlineStr">
        <is>
          <t>105 / 102</t>
        </is>
      </c>
      <c r="L207" t="inlineStr">
        <is>
          <t>18 / 22</t>
        </is>
      </c>
      <c r="M207" s="5" t="n">
        <v>0.51</v>
      </c>
      <c r="N207" s="5" t="n">
        <v>0.45</v>
      </c>
    </row>
    <row r="208">
      <c r="A208" t="n">
        <v>207</v>
      </c>
      <c r="B208" t="n">
        <v>2014</v>
      </c>
      <c r="C208" t="inlineStr">
        <is>
          <t>Olivia Zhang</t>
        </is>
      </c>
      <c r="D208">
        <f>HYPERLINK("https://ota.tournamentsoftware.com/player-profile/8A1E61A8-3535-4F88-8C90-68A511D75AC2", "Link")</f>
        <v/>
      </c>
      <c r="E208" s="3" t="n">
        <v>420.2</v>
      </c>
      <c r="F208" s="4" t="n">
        <v>22</v>
      </c>
      <c r="G208" t="inlineStr">
        <is>
          <t>Ontario Tennis Association</t>
        </is>
      </c>
      <c r="H208" t="inlineStr">
        <is>
          <t>Richmondhill Golf &amp; Country Club</t>
        </is>
      </c>
      <c r="I208" t="n">
        <v>29.9</v>
      </c>
      <c r="J208" s="4" t="n">
        <v>107</v>
      </c>
      <c r="K208" t="inlineStr">
        <is>
          <t>64 / 43</t>
        </is>
      </c>
      <c r="L208" t="inlineStr">
        <is>
          <t>33 / 20</t>
        </is>
      </c>
      <c r="M208" s="5" t="n">
        <v>0.6</v>
      </c>
      <c r="N208" s="5" t="n">
        <v>0.62</v>
      </c>
    </row>
    <row r="209">
      <c r="A209" t="n">
        <v>208</v>
      </c>
      <c r="B209" t="n">
        <v>2014</v>
      </c>
      <c r="C209" t="inlineStr">
        <is>
          <t>Erin Yida Li</t>
        </is>
      </c>
      <c r="D209">
        <f>HYPERLINK("https://ota.tournamentsoftware.com/player-profile/48592A27-18BE-4C04-BE24-73F536B6D5D5", "Link")</f>
        <v/>
      </c>
      <c r="E209" s="3" t="n">
        <v>416.184</v>
      </c>
      <c r="F209" s="4" t="n">
        <v>23</v>
      </c>
      <c r="G209" t="inlineStr">
        <is>
          <t>Ontario Tennis Association</t>
        </is>
      </c>
      <c r="H209" t="inlineStr">
        <is>
          <t>Richmondhill Golf &amp; Country Club</t>
        </is>
      </c>
      <c r="I209" t="n">
        <v>32.3</v>
      </c>
      <c r="J209" s="4" t="n">
        <v>89</v>
      </c>
      <c r="K209" t="inlineStr">
        <is>
          <t>44 / 45</t>
        </is>
      </c>
      <c r="L209" t="inlineStr">
        <is>
          <t>21 / 20</t>
        </is>
      </c>
      <c r="M209" s="5" t="n">
        <v>0.49</v>
      </c>
      <c r="N209" s="5" t="n">
        <v>0.51</v>
      </c>
    </row>
    <row r="210">
      <c r="A210" t="n">
        <v>209</v>
      </c>
      <c r="B210" t="n">
        <v>2014</v>
      </c>
      <c r="C210" t="inlineStr">
        <is>
          <t>Sophia Pavlovska</t>
        </is>
      </c>
      <c r="D210">
        <f>HYPERLINK("https://ota.tournamentsoftware.com/player-profile/5C58F1EE-F291-431D-AC00-FB9096274E0A", "Link")</f>
        <v/>
      </c>
      <c r="E210" s="3" t="n">
        <v>413.785</v>
      </c>
      <c r="F210" s="4" t="n">
        <v>14</v>
      </c>
      <c r="G210" t="inlineStr">
        <is>
          <t>Tennis New Brunswick</t>
        </is>
      </c>
      <c r="H210" t="inlineStr">
        <is>
          <t>Dieppe</t>
        </is>
      </c>
      <c r="I210" t="n">
        <v>33.3</v>
      </c>
      <c r="J210" s="4" t="n">
        <v>178</v>
      </c>
      <c r="K210" t="inlineStr">
        <is>
          <t>66 / 112</t>
        </is>
      </c>
      <c r="L210" t="inlineStr">
        <is>
          <t>18 / 17</t>
        </is>
      </c>
      <c r="M210" s="5" t="n">
        <v>0.37</v>
      </c>
      <c r="N210" s="5" t="n">
        <v>0.51</v>
      </c>
    </row>
    <row r="211">
      <c r="A211" t="n">
        <v>210</v>
      </c>
      <c r="B211" t="n">
        <v>2012</v>
      </c>
      <c r="C211" t="inlineStr">
        <is>
          <t>Trisha Singh</t>
        </is>
      </c>
      <c r="D211">
        <f>HYPERLINK("https://ota.tournamentsoftware.com/player-profile/CA831513-6963-4556-B8FD-4D148748EB19", "Link")</f>
        <v/>
      </c>
      <c r="E211" s="3" t="n">
        <v>409.352</v>
      </c>
      <c r="F211" s="4" t="n">
        <v>17</v>
      </c>
      <c r="G211" t="inlineStr">
        <is>
          <t>Ontario Tennis Association</t>
        </is>
      </c>
      <c r="H211" t="inlineStr">
        <is>
          <t>Rideau Sports Centre</t>
        </is>
      </c>
      <c r="I211" t="n">
        <v>31.4</v>
      </c>
      <c r="J211" s="4" t="n">
        <v>98</v>
      </c>
      <c r="K211" t="inlineStr">
        <is>
          <t>45 / 53</t>
        </is>
      </c>
      <c r="L211" t="inlineStr">
        <is>
          <t>13 / 19</t>
        </is>
      </c>
      <c r="M211" s="5" t="n">
        <v>0.46</v>
      </c>
      <c r="N211" s="5" t="n">
        <v>0.41</v>
      </c>
    </row>
    <row r="212">
      <c r="A212" t="n">
        <v>211</v>
      </c>
      <c r="B212" t="n">
        <v>2013</v>
      </c>
      <c r="C212" t="inlineStr">
        <is>
          <t>Coralie D'Amours</t>
        </is>
      </c>
      <c r="D212">
        <f>HYPERLINK("https://ota.tournamentsoftware.com/player-profile/35A6230C-9F9D-4861-B1DB-6367FB38A039", "Link")</f>
        <v/>
      </c>
      <c r="E212" s="3" t="n">
        <v>408.39</v>
      </c>
      <c r="F212" s="4" t="n">
        <v>17</v>
      </c>
      <c r="G212" t="inlineStr">
        <is>
          <t>Ontario Tennis Association</t>
        </is>
      </c>
      <c r="H212" t="inlineStr">
        <is>
          <t>Rideau Sports Centre</t>
        </is>
      </c>
      <c r="I212" t="n">
        <v>32.9</v>
      </c>
      <c r="J212" s="4" t="n">
        <v>63</v>
      </c>
      <c r="K212" t="inlineStr">
        <is>
          <t>22 / 41</t>
        </is>
      </c>
      <c r="L212" t="inlineStr">
        <is>
          <t>14 / 19</t>
        </is>
      </c>
      <c r="M212" s="5" t="n">
        <v>0.35</v>
      </c>
      <c r="N212" s="5" t="n">
        <v>0.42</v>
      </c>
    </row>
    <row r="213">
      <c r="A213" t="n">
        <v>212</v>
      </c>
      <c r="B213" t="n">
        <v>2013</v>
      </c>
      <c r="C213" t="inlineStr">
        <is>
          <t>Isidora Trkulja</t>
        </is>
      </c>
      <c r="D213">
        <f>HYPERLINK("https://ota.tournamentsoftware.com/player-profile/1A3F3EE8-FB93-483C-A52C-E761E6FA42CE", "Link")</f>
        <v/>
      </c>
      <c r="E213" s="3" t="n">
        <v>406.915</v>
      </c>
      <c r="F213" s="4" t="n">
        <v>7</v>
      </c>
      <c r="G213" t="inlineStr">
        <is>
          <t>Tennis Alberta</t>
        </is>
      </c>
      <c r="H213" t="inlineStr">
        <is>
          <t>Saville Community Sports Centre</t>
        </is>
      </c>
      <c r="I213" t="n">
        <v>26.2</v>
      </c>
      <c r="J213" s="4" t="n">
        <v>194</v>
      </c>
      <c r="K213" t="inlineStr">
        <is>
          <t>125 / 69</t>
        </is>
      </c>
      <c r="L213" t="inlineStr">
        <is>
          <t>8 / 6</t>
        </is>
      </c>
      <c r="M213" s="5" t="n">
        <v>0.64</v>
      </c>
      <c r="N213" s="5" t="n">
        <v>0.57</v>
      </c>
    </row>
    <row r="214">
      <c r="A214" t="n">
        <v>213</v>
      </c>
      <c r="B214" t="n">
        <v>2013</v>
      </c>
      <c r="C214" t="inlineStr">
        <is>
          <t>Arya Kaur Dhillon</t>
        </is>
      </c>
      <c r="D214">
        <f>HYPERLINK("https://ota.tournamentsoftware.com/player-profile/3DBC0BDE-C3D6-40A5-992E-F7274098EF5D", "Link")</f>
        <v/>
      </c>
      <c r="E214" s="3" t="n">
        <v>405.446</v>
      </c>
      <c r="F214" s="4" t="n">
        <v>17</v>
      </c>
      <c r="G214" t="inlineStr">
        <is>
          <t>Tennis Alberta</t>
        </is>
      </c>
      <c r="H214" t="inlineStr">
        <is>
          <t>Saville Community Sports Centre</t>
        </is>
      </c>
      <c r="I214" t="n">
        <v>29.5</v>
      </c>
      <c r="J214" s="4" t="n">
        <v>173</v>
      </c>
      <c r="K214" t="inlineStr">
        <is>
          <t>85 / 88</t>
        </is>
      </c>
      <c r="L214" t="inlineStr">
        <is>
          <t>23 / 20</t>
        </is>
      </c>
      <c r="M214" s="5" t="n">
        <v>0.49</v>
      </c>
      <c r="N214" s="5" t="n">
        <v>0.53</v>
      </c>
    </row>
    <row r="215">
      <c r="A215" t="n">
        <v>214</v>
      </c>
      <c r="B215" t="n">
        <v>2013</v>
      </c>
      <c r="C215" t="inlineStr">
        <is>
          <t>Rachel Daniel</t>
        </is>
      </c>
      <c r="D215">
        <f>HYPERLINK("https://ota.tournamentsoftware.com/player-profile/C70279D5-586C-4A9D-94CC-EB9551085FF4", "Link")</f>
        <v/>
      </c>
      <c r="E215" s="3" t="n">
        <v>398.854</v>
      </c>
      <c r="F215" s="4" t="n">
        <v>18</v>
      </c>
      <c r="G215" t="inlineStr">
        <is>
          <t>Ontario Tennis Association</t>
        </is>
      </c>
      <c r="H215" t="inlineStr">
        <is>
          <t>Advantage Tennis International at Veneto</t>
        </is>
      </c>
      <c r="I215" t="n">
        <v>32.7</v>
      </c>
      <c r="J215" s="4" t="n">
        <v>102</v>
      </c>
      <c r="K215" t="inlineStr">
        <is>
          <t>40 / 62</t>
        </is>
      </c>
      <c r="L215" t="inlineStr">
        <is>
          <t>10 / 13</t>
        </is>
      </c>
      <c r="M215" s="5" t="n">
        <v>0.39</v>
      </c>
      <c r="N215" s="5" t="n">
        <v>0.43</v>
      </c>
    </row>
    <row r="216">
      <c r="A216" t="n">
        <v>215</v>
      </c>
      <c r="B216" t="n">
        <v>2012</v>
      </c>
      <c r="C216" t="inlineStr">
        <is>
          <t>Victoria Perez Vargas</t>
        </is>
      </c>
      <c r="D216">
        <f>HYPERLINK("https://ota.tournamentsoftware.com/player-profile/6649B15F-628D-4ED7-81D6-AEB9036DF19A", "Link")</f>
        <v/>
      </c>
      <c r="E216" s="3" t="n">
        <v>396.088</v>
      </c>
      <c r="F216" s="4" t="n">
        <v>25</v>
      </c>
      <c r="G216" t="inlineStr">
        <is>
          <t>Tennis Québec</t>
        </is>
      </c>
      <c r="H216" t="inlineStr">
        <is>
          <t>Centre récréatif de Repentigny / Académie Tennis Momentum</t>
        </is>
      </c>
      <c r="I216" t="n">
        <v>32.4</v>
      </c>
      <c r="J216" s="4" t="n">
        <v>110</v>
      </c>
      <c r="K216" t="inlineStr">
        <is>
          <t>55 / 55</t>
        </is>
      </c>
      <c r="L216" t="inlineStr">
        <is>
          <t>30 / 18</t>
        </is>
      </c>
      <c r="M216" s="5" t="n">
        <v>0.5</v>
      </c>
      <c r="N216" s="5" t="n">
        <v>0.62</v>
      </c>
    </row>
    <row r="217">
      <c r="A217" t="n">
        <v>216</v>
      </c>
      <c r="B217" t="n">
        <v>2015</v>
      </c>
      <c r="C217" t="inlineStr">
        <is>
          <t>Danica Stamatovic</t>
        </is>
      </c>
      <c r="D217">
        <f>HYPERLINK("https://ota.tournamentsoftware.com/player-profile/3D976EDA-1737-4852-A9BF-C67ED47C73C1", "Link")</f>
        <v/>
      </c>
      <c r="E217" s="3" t="n">
        <v>395.232</v>
      </c>
      <c r="F217" s="4" t="n">
        <v>24</v>
      </c>
      <c r="G217" t="inlineStr">
        <is>
          <t>Ontario Tennis Association</t>
        </is>
      </c>
      <c r="H217" t="inlineStr">
        <is>
          <t>SmartVMC Racquetsports by ACE</t>
        </is>
      </c>
      <c r="I217" t="n">
        <v>30.8</v>
      </c>
      <c r="J217" s="4" t="n">
        <v>202</v>
      </c>
      <c r="K217" t="inlineStr">
        <is>
          <t>105 / 97</t>
        </is>
      </c>
      <c r="L217" t="inlineStr">
        <is>
          <t>38 / 18</t>
        </is>
      </c>
      <c r="M217" s="5" t="n">
        <v>0.52</v>
      </c>
      <c r="N217" s="5" t="n">
        <v>0.68</v>
      </c>
    </row>
    <row r="218">
      <c r="A218" t="n">
        <v>217</v>
      </c>
      <c r="B218" t="n">
        <v>2013</v>
      </c>
      <c r="C218" t="inlineStr">
        <is>
          <t>Élisabeth Circé</t>
        </is>
      </c>
      <c r="D218">
        <f>HYPERLINK("https://ota.tournamentsoftware.com/player-profile/6616439A-F3CD-4D57-876F-DCE4AC4B88C9", "Link")</f>
        <v/>
      </c>
      <c r="E218" s="3" t="n">
        <v>392.873</v>
      </c>
      <c r="F218" s="4" t="n">
        <v>26</v>
      </c>
      <c r="G218" t="inlineStr">
        <is>
          <t>Tennis Québec</t>
        </is>
      </c>
      <c r="H218" t="inlineStr">
        <is>
          <t>Tennis Interclub Piedmont</t>
        </is>
      </c>
      <c r="I218" t="inlineStr">
        <is>
          <t>unavailable</t>
        </is>
      </c>
      <c r="J218" s="4" t="n">
        <v>149</v>
      </c>
      <c r="K218" t="inlineStr">
        <is>
          <t>50 / 99</t>
        </is>
      </c>
      <c r="L218" t="inlineStr">
        <is>
          <t>16 / 23</t>
        </is>
      </c>
      <c r="M218" s="5" t="n">
        <v>0.34</v>
      </c>
      <c r="N218" s="5" t="n">
        <v>0.41</v>
      </c>
    </row>
    <row r="219">
      <c r="A219" t="n">
        <v>218</v>
      </c>
      <c r="B219" t="n">
        <v>2014</v>
      </c>
      <c r="C219" t="inlineStr">
        <is>
          <t>Isabella Quintero-Gonzalez</t>
        </is>
      </c>
      <c r="D219">
        <f>HYPERLINK("https://ota.tournamentsoftware.com/player-profile/7215E114-BC9E-4292-9B97-03B766DB64EA", "Link")</f>
        <v/>
      </c>
      <c r="E219" s="3" t="n">
        <v>392.276</v>
      </c>
      <c r="F219" s="4" t="n">
        <v>14</v>
      </c>
      <c r="G219" t="inlineStr">
        <is>
          <t>Tennis Nova Scotia</t>
        </is>
      </c>
      <c r="H219" t="inlineStr">
        <is>
          <t>Atlantic Tennis Centre</t>
        </is>
      </c>
      <c r="I219" t="n">
        <v>31.4</v>
      </c>
      <c r="J219" s="4" t="n">
        <v>133</v>
      </c>
      <c r="K219" t="inlineStr">
        <is>
          <t>69 / 64</t>
        </is>
      </c>
      <c r="L219" t="inlineStr">
        <is>
          <t>33 / 24</t>
        </is>
      </c>
      <c r="M219" s="5" t="n">
        <v>0.52</v>
      </c>
      <c r="N219" s="5" t="n">
        <v>0.58</v>
      </c>
    </row>
    <row r="220">
      <c r="A220" t="n">
        <v>219</v>
      </c>
      <c r="B220" t="n">
        <v>2015</v>
      </c>
      <c r="C220" t="inlineStr">
        <is>
          <t>Mila Caporusso</t>
        </is>
      </c>
      <c r="D220">
        <f>HYPERLINK("https://ota.tournamentsoftware.com/player-profile/71A1C940-3E73-49DA-929B-3B90328FC4BC", "Link")</f>
        <v/>
      </c>
      <c r="E220" s="3" t="n">
        <v>392.138</v>
      </c>
      <c r="F220" s="4" t="n">
        <v>8</v>
      </c>
      <c r="G220" t="inlineStr">
        <is>
          <t>Tennis Québec</t>
        </is>
      </c>
      <c r="H220" t="inlineStr">
        <is>
          <t>Tennis 13 / Académie Ménard et associé</t>
        </is>
      </c>
      <c r="I220" t="n">
        <v>30.7</v>
      </c>
      <c r="J220" s="4" t="n">
        <v>112</v>
      </c>
      <c r="K220" t="inlineStr">
        <is>
          <t>73 / 39</t>
        </is>
      </c>
      <c r="L220" t="inlineStr">
        <is>
          <t>11 / 11</t>
        </is>
      </c>
      <c r="M220" s="5" t="n">
        <v>0.65</v>
      </c>
      <c r="N220" s="5" t="n">
        <v>0.5</v>
      </c>
    </row>
    <row r="221">
      <c r="A221" t="n">
        <v>220</v>
      </c>
      <c r="B221" t="n">
        <v>2013</v>
      </c>
      <c r="C221" t="inlineStr">
        <is>
          <t>Ria Tamber</t>
        </is>
      </c>
      <c r="D221">
        <f>HYPERLINK("https://ota.tournamentsoftware.com/player-profile/4A086BBB-EEC2-48A4-BDDA-142D9D4A3534", "Link")</f>
        <v/>
      </c>
      <c r="E221" s="3" t="n">
        <v>391.555</v>
      </c>
      <c r="F221" s="4" t="n">
        <v>24</v>
      </c>
      <c r="G221" t="inlineStr">
        <is>
          <t>Ontario Tennis Association</t>
        </is>
      </c>
      <c r="H221" t="inlineStr">
        <is>
          <t>Premier Racquet Clubs – Mississauga</t>
        </is>
      </c>
      <c r="I221" t="inlineStr">
        <is>
          <t>unavailable</t>
        </is>
      </c>
      <c r="J221" s="4" t="n">
        <v>101</v>
      </c>
      <c r="K221" t="inlineStr">
        <is>
          <t>44 / 57</t>
        </is>
      </c>
      <c r="L221" t="inlineStr">
        <is>
          <t>17 / 17</t>
        </is>
      </c>
      <c r="M221" s="5" t="n">
        <v>0.44</v>
      </c>
      <c r="N221" s="5" t="n">
        <v>0.5</v>
      </c>
    </row>
    <row r="222">
      <c r="A222" t="n">
        <v>221</v>
      </c>
      <c r="B222" t="n">
        <v>2013</v>
      </c>
      <c r="C222" t="inlineStr">
        <is>
          <t>EMMA ANTONIA DOBREAN</t>
        </is>
      </c>
      <c r="D222">
        <f>HYPERLINK("https://ota.tournamentsoftware.com/player-profile/A556E1FC-8159-42C1-A5DB-35375535B6F4", "Link")</f>
        <v/>
      </c>
      <c r="E222" s="3" t="n">
        <v>386.415</v>
      </c>
      <c r="F222" s="4" t="n">
        <v>3</v>
      </c>
      <c r="G222" t="inlineStr">
        <is>
          <t>Ontario Tennis Association</t>
        </is>
      </c>
      <c r="H222" t="inlineStr">
        <is>
          <t>No Club</t>
        </is>
      </c>
      <c r="I222" t="inlineStr">
        <is>
          <t>unavailable</t>
        </is>
      </c>
      <c r="J222" s="4" t="n">
        <v>137</v>
      </c>
      <c r="K222" t="inlineStr">
        <is>
          <t>98 / 39</t>
        </is>
      </c>
      <c r="L222" t="inlineStr">
        <is>
          <t>2 / 3</t>
        </is>
      </c>
      <c r="M222" s="5" t="n">
        <v>0.72</v>
      </c>
      <c r="N222" s="5" t="n">
        <v>0.4</v>
      </c>
    </row>
    <row r="223">
      <c r="A223" t="n">
        <v>222</v>
      </c>
      <c r="B223" t="n">
        <v>2012</v>
      </c>
      <c r="C223" t="inlineStr">
        <is>
          <t>Meika Sebastian</t>
        </is>
      </c>
      <c r="D223">
        <f>HYPERLINK("https://ota.tournamentsoftware.com/player-profile/0CA7407B-419A-43BA-82FB-32200AA68BA2", "Link")</f>
        <v/>
      </c>
      <c r="E223" s="3" t="n">
        <v>383.951</v>
      </c>
      <c r="F223" s="4" t="n">
        <v>7</v>
      </c>
      <c r="G223" t="inlineStr">
        <is>
          <t>Ontario Tennis Association</t>
        </is>
      </c>
      <c r="H223" t="inlineStr">
        <is>
          <t>City of Kingston</t>
        </is>
      </c>
      <c r="I223" t="n">
        <v>24.8</v>
      </c>
      <c r="J223" s="4" t="n">
        <v>287</v>
      </c>
      <c r="K223" t="inlineStr">
        <is>
          <t>147 / 140</t>
        </is>
      </c>
      <c r="L223" t="inlineStr">
        <is>
          <t>0 / 4</t>
        </is>
      </c>
      <c r="M223" s="5" t="n">
        <v>0.51</v>
      </c>
      <c r="N223" s="5" t="n">
        <v>0</v>
      </c>
    </row>
    <row r="224">
      <c r="A224" t="n">
        <v>223</v>
      </c>
      <c r="B224" t="n">
        <v>2014</v>
      </c>
      <c r="C224" t="inlineStr">
        <is>
          <t>anne xie</t>
        </is>
      </c>
      <c r="D224">
        <f>HYPERLINK("https://ota.tournamentsoftware.com/player-profile/FA9126B9-8D97-4D5E-9E34-8893BB836AE1", "Link")</f>
        <v/>
      </c>
      <c r="E224" s="3" t="n">
        <v>378.598</v>
      </c>
      <c r="F224" s="4" t="n">
        <v>25</v>
      </c>
      <c r="G224" t="inlineStr">
        <is>
          <t>British Columbia</t>
        </is>
      </c>
      <c r="H224" t="inlineStr">
        <is>
          <t>North Vancouver Tennis Centre</t>
        </is>
      </c>
      <c r="I224" t="n">
        <v>29.4</v>
      </c>
      <c r="J224" s="4" t="n">
        <v>264</v>
      </c>
      <c r="K224" t="inlineStr">
        <is>
          <t>128 / 136</t>
        </is>
      </c>
      <c r="L224" t="inlineStr">
        <is>
          <t>31 / 28</t>
        </is>
      </c>
      <c r="M224" s="5" t="n">
        <v>0.48</v>
      </c>
      <c r="N224" s="5" t="n">
        <v>0.53</v>
      </c>
    </row>
    <row r="225">
      <c r="A225" t="n">
        <v>224</v>
      </c>
      <c r="B225" t="n">
        <v>2014</v>
      </c>
      <c r="C225" t="inlineStr">
        <is>
          <t>KENZA JERBI</t>
        </is>
      </c>
      <c r="D225">
        <f>HYPERLINK("https://ota.tournamentsoftware.com/player-profile/C6A8B859-96DA-46D9-A270-B08DA27DDE5C", "Link")</f>
        <v/>
      </c>
      <c r="E225" s="3" t="n">
        <v>375.155</v>
      </c>
      <c r="F225" s="4" t="n">
        <v>13</v>
      </c>
      <c r="G225" t="inlineStr">
        <is>
          <t>Tennis Québec</t>
        </is>
      </c>
      <c r="H225" t="inlineStr">
        <is>
          <t>Tennis Montréal Excellence</t>
        </is>
      </c>
      <c r="I225" t="n">
        <v>31.9</v>
      </c>
      <c r="J225" s="4" t="n">
        <v>108</v>
      </c>
      <c r="K225" t="inlineStr">
        <is>
          <t>65 / 43</t>
        </is>
      </c>
      <c r="L225" t="inlineStr">
        <is>
          <t>7 / 11</t>
        </is>
      </c>
      <c r="M225" s="5" t="n">
        <v>0.6</v>
      </c>
      <c r="N225" s="5" t="n">
        <v>0.39</v>
      </c>
    </row>
    <row r="226">
      <c r="A226" t="n">
        <v>225</v>
      </c>
      <c r="B226" t="n">
        <v>2013</v>
      </c>
      <c r="C226" t="inlineStr">
        <is>
          <t>Noelle Coyne</t>
        </is>
      </c>
      <c r="D226">
        <f>HYPERLINK("https://ota.tournamentsoftware.com/player-profile/F9F10EB5-F22D-4997-85F1-78377170C70A", "Link")</f>
        <v/>
      </c>
      <c r="E226" s="3" t="n">
        <v>367.853</v>
      </c>
      <c r="F226" s="4" t="n">
        <v>25</v>
      </c>
      <c r="G226" t="inlineStr">
        <is>
          <t>Tennis Alberta</t>
        </is>
      </c>
      <c r="H226" t="inlineStr">
        <is>
          <t>Osten &amp; Victor Alberta Tennis Centre</t>
        </is>
      </c>
      <c r="I226" t="n">
        <v>31.9</v>
      </c>
      <c r="J226" s="4" t="n">
        <v>122</v>
      </c>
      <c r="K226" t="inlineStr">
        <is>
          <t>51 / 71</t>
        </is>
      </c>
      <c r="L226" t="inlineStr">
        <is>
          <t>23 / 32</t>
        </is>
      </c>
      <c r="M226" s="5" t="n">
        <v>0.42</v>
      </c>
      <c r="N226" s="5" t="n">
        <v>0.42</v>
      </c>
    </row>
    <row r="227">
      <c r="A227" t="n">
        <v>226</v>
      </c>
      <c r="B227" t="n">
        <v>2012</v>
      </c>
      <c r="C227" t="inlineStr">
        <is>
          <t>Aliya Star Michel</t>
        </is>
      </c>
      <c r="D227">
        <f>HYPERLINK("https://ota.tournamentsoftware.com/player-profile/B34E6AA6-2962-4DB5-93DB-BCA4DBF97316", "Link")</f>
        <v/>
      </c>
      <c r="E227" s="3" t="n">
        <v>366.865</v>
      </c>
      <c r="F227" s="4" t="n">
        <v>5</v>
      </c>
      <c r="G227" t="inlineStr">
        <is>
          <t>Tennis Québec</t>
        </is>
      </c>
      <c r="H227" t="inlineStr">
        <is>
          <t>Carrefour Multisports</t>
        </is>
      </c>
      <c r="I227" t="n">
        <v>30</v>
      </c>
      <c r="J227" s="4" t="n">
        <v>184</v>
      </c>
      <c r="K227" t="inlineStr">
        <is>
          <t>96 / 88</t>
        </is>
      </c>
      <c r="L227" t="inlineStr">
        <is>
          <t>2 / 2</t>
        </is>
      </c>
      <c r="M227" s="5" t="n">
        <v>0.52</v>
      </c>
      <c r="N227" s="5" t="n">
        <v>0.5</v>
      </c>
    </row>
    <row r="228">
      <c r="A228" t="n">
        <v>227</v>
      </c>
      <c r="B228" t="n">
        <v>2013</v>
      </c>
      <c r="C228" t="inlineStr">
        <is>
          <t>Mary Grace MacDonnell Doak</t>
        </is>
      </c>
      <c r="D228">
        <f>HYPERLINK("https://ota.tournamentsoftware.com/player-profile/7E3C3388-CB92-4FE9-B0C8-FE6415D966E4", "Link")</f>
        <v/>
      </c>
      <c r="E228" s="3" t="n">
        <v>366.079</v>
      </c>
      <c r="F228" s="4" t="n">
        <v>16</v>
      </c>
      <c r="G228" t="inlineStr">
        <is>
          <t>Ontario Tennis Association</t>
        </is>
      </c>
      <c r="H228" t="inlineStr">
        <is>
          <t>St. James Tennis Club</t>
        </is>
      </c>
      <c r="I228" t="n">
        <v>36.3</v>
      </c>
      <c r="J228" s="4" t="n">
        <v>146</v>
      </c>
      <c r="K228" t="inlineStr">
        <is>
          <t>69 / 77</t>
        </is>
      </c>
      <c r="L228" t="inlineStr">
        <is>
          <t>5 / 15</t>
        </is>
      </c>
      <c r="M228" s="5" t="n">
        <v>0.47</v>
      </c>
      <c r="N228" s="5" t="n">
        <v>0.25</v>
      </c>
    </row>
    <row r="229">
      <c r="A229" t="n">
        <v>228</v>
      </c>
      <c r="B229" t="n">
        <v>2012</v>
      </c>
      <c r="C229" t="inlineStr">
        <is>
          <t>Naomi Brown</t>
        </is>
      </c>
      <c r="D229">
        <f>HYPERLINK("https://ota.tournamentsoftware.com/player-profile/3302BB60-F05F-49BC-8E90-BE5B9A063576", "Link")</f>
        <v/>
      </c>
      <c r="E229" s="3" t="n">
        <v>355.859</v>
      </c>
      <c r="F229" s="4" t="n">
        <v>11</v>
      </c>
      <c r="G229" t="inlineStr">
        <is>
          <t>Ontario Tennis Association</t>
        </is>
      </c>
      <c r="H229" t="inlineStr">
        <is>
          <t>No Club</t>
        </is>
      </c>
      <c r="I229" t="inlineStr">
        <is>
          <t>unavailable</t>
        </is>
      </c>
      <c r="J229" s="4" t="n">
        <v>86</v>
      </c>
      <c r="K229" t="inlineStr">
        <is>
          <t>38 / 48</t>
        </is>
      </c>
      <c r="L229" t="inlineStr">
        <is>
          <t>10 / 10</t>
        </is>
      </c>
      <c r="M229" s="5" t="n">
        <v>0.44</v>
      </c>
      <c r="N229" s="5" t="n">
        <v>0.5</v>
      </c>
    </row>
    <row r="230">
      <c r="A230" t="n">
        <v>229</v>
      </c>
      <c r="B230" t="n">
        <v>2012</v>
      </c>
      <c r="C230" t="inlineStr">
        <is>
          <t>Ariyana Usharah Mahanandan</t>
        </is>
      </c>
      <c r="D230">
        <f>HYPERLINK("https://ota.tournamentsoftware.com/player-profile/FE0B9224-EA2B-4B60-AB52-7A0A2ACA90DA", "Link")</f>
        <v/>
      </c>
      <c r="E230" s="3" t="n">
        <v>348.022</v>
      </c>
      <c r="F230" s="4" t="n">
        <v>23</v>
      </c>
      <c r="G230" t="inlineStr">
        <is>
          <t>Ontario Tennis Association</t>
        </is>
      </c>
      <c r="H230" t="inlineStr">
        <is>
          <t>Premier Racquet Clubs – Mississauga</t>
        </is>
      </c>
      <c r="I230" t="inlineStr">
        <is>
          <t>unavailable</t>
        </is>
      </c>
      <c r="J230" s="4" t="n">
        <v>141</v>
      </c>
      <c r="K230" t="inlineStr">
        <is>
          <t>60 / 81</t>
        </is>
      </c>
      <c r="L230" t="inlineStr">
        <is>
          <t>14 / 23</t>
        </is>
      </c>
      <c r="M230" s="5" t="n">
        <v>0.43</v>
      </c>
      <c r="N230" s="5" t="n">
        <v>0.38</v>
      </c>
    </row>
    <row r="231">
      <c r="A231" t="n">
        <v>230</v>
      </c>
      <c r="B231" t="n">
        <v>2014</v>
      </c>
      <c r="C231" t="inlineStr">
        <is>
          <t>Hailey Zhou</t>
        </is>
      </c>
      <c r="D231">
        <f>HYPERLINK("https://ota.tournamentsoftware.com/player-profile/3046278B-E91E-4DE6-B598-5CD7D202AA49", "Link")</f>
        <v/>
      </c>
      <c r="E231" s="3" t="n">
        <v>344.77</v>
      </c>
      <c r="F231" s="4" t="n">
        <v>38</v>
      </c>
      <c r="G231" t="inlineStr">
        <is>
          <t>Ontario Tennis Association</t>
        </is>
      </c>
      <c r="H231" t="inlineStr">
        <is>
          <t>Advantage Tennis International at Veneto</t>
        </is>
      </c>
      <c r="I231" t="n">
        <v>33.6</v>
      </c>
      <c r="J231" s="4" t="n">
        <v>90</v>
      </c>
      <c r="K231" t="inlineStr">
        <is>
          <t>44 / 46</t>
        </is>
      </c>
      <c r="L231" t="inlineStr">
        <is>
          <t>34 / 34</t>
        </is>
      </c>
      <c r="M231" s="5" t="n">
        <v>0.49</v>
      </c>
      <c r="N231" s="5" t="n">
        <v>0.5</v>
      </c>
    </row>
    <row r="232">
      <c r="A232" t="n">
        <v>231</v>
      </c>
      <c r="B232" t="n">
        <v>2012</v>
      </c>
      <c r="C232" t="inlineStr">
        <is>
          <t>Sneha Sahiba Bhatti</t>
        </is>
      </c>
      <c r="D232">
        <f>HYPERLINK("https://ota.tournamentsoftware.com/player-profile/16EA0E7B-0025-4333-9A2A-28395C436A40", "Link")</f>
        <v/>
      </c>
      <c r="E232" s="3" t="n">
        <v>343.767</v>
      </c>
      <c r="F232" s="4" t="n">
        <v>17</v>
      </c>
      <c r="G232" t="inlineStr">
        <is>
          <t>British Columbia</t>
        </is>
      </c>
      <c r="H232" t="inlineStr">
        <is>
          <t>Coquitlam Tennis Club</t>
        </is>
      </c>
      <c r="I232" t="n">
        <v>30.3</v>
      </c>
      <c r="J232" s="4" t="n">
        <v>188</v>
      </c>
      <c r="K232" t="inlineStr">
        <is>
          <t>93 / 95</t>
        </is>
      </c>
      <c r="L232" t="inlineStr">
        <is>
          <t>15 / 21</t>
        </is>
      </c>
      <c r="M232" s="5" t="n">
        <v>0.49</v>
      </c>
      <c r="N232" s="5" t="n">
        <v>0.42</v>
      </c>
    </row>
    <row r="233">
      <c r="A233" t="n">
        <v>232</v>
      </c>
      <c r="B233" t="n">
        <v>2015</v>
      </c>
      <c r="C233" t="inlineStr">
        <is>
          <t>Clara Fanoos</t>
        </is>
      </c>
      <c r="D233">
        <f>HYPERLINK("https://ota.tournamentsoftware.com/player-profile/4AE431B3-C9E6-49D8-8003-48666B13F94B", "Link")</f>
        <v/>
      </c>
      <c r="E233" s="3" t="n">
        <v>342.309</v>
      </c>
      <c r="F233" s="4" t="n">
        <v>21</v>
      </c>
      <c r="G233" t="inlineStr">
        <is>
          <t>Tennis Québec</t>
        </is>
      </c>
      <c r="H233" t="inlineStr">
        <is>
          <t>Rouge et Or - Université Laval</t>
        </is>
      </c>
      <c r="I233" t="n">
        <v>30.6</v>
      </c>
      <c r="J233" s="4" t="n">
        <v>197</v>
      </c>
      <c r="K233" t="inlineStr">
        <is>
          <t>121 / 76</t>
        </is>
      </c>
      <c r="L233" t="inlineStr">
        <is>
          <t>33 / 20</t>
        </is>
      </c>
      <c r="M233" s="5" t="n">
        <v>0.61</v>
      </c>
      <c r="N233" s="5" t="n">
        <v>0.62</v>
      </c>
    </row>
    <row r="234">
      <c r="A234" t="n">
        <v>233</v>
      </c>
      <c r="B234" t="n">
        <v>2014</v>
      </c>
      <c r="C234" t="inlineStr">
        <is>
          <t>Isabelle Prusinkiewicz</t>
        </is>
      </c>
      <c r="D234">
        <f>HYPERLINK("https://ota.tournamentsoftware.com/player-profile/15F8CE0F-EF62-4029-B13B-F131581B8B29", "Link")</f>
        <v/>
      </c>
      <c r="E234" s="3" t="n">
        <v>338.545</v>
      </c>
      <c r="F234" s="4" t="n">
        <v>23</v>
      </c>
      <c r="G234" t="inlineStr">
        <is>
          <t>Tennis Alberta</t>
        </is>
      </c>
      <c r="H234" t="inlineStr">
        <is>
          <t>Aforza</t>
        </is>
      </c>
      <c r="I234" t="n">
        <v>32.1</v>
      </c>
      <c r="J234" s="4" t="n">
        <v>178</v>
      </c>
      <c r="K234" t="inlineStr">
        <is>
          <t>102 / 76</t>
        </is>
      </c>
      <c r="L234" t="inlineStr">
        <is>
          <t>30 / 20</t>
        </is>
      </c>
      <c r="M234" s="5" t="n">
        <v>0.57</v>
      </c>
      <c r="N234" s="5" t="n">
        <v>0.6</v>
      </c>
    </row>
    <row r="235">
      <c r="A235" t="n">
        <v>234</v>
      </c>
      <c r="B235" t="n">
        <v>2015</v>
      </c>
      <c r="C235" t="inlineStr">
        <is>
          <t>Mia Louise LADEWIG</t>
        </is>
      </c>
      <c r="D235">
        <f>HYPERLINK("https://ota.tournamentsoftware.com/player-profile/25055713-74C7-482D-8A9B-00D94FB7068B", "Link")</f>
        <v/>
      </c>
      <c r="E235" s="3" t="n">
        <v>337.743</v>
      </c>
      <c r="F235" s="4" t="n">
        <v>23</v>
      </c>
      <c r="G235" t="inlineStr">
        <is>
          <t>British Columbia</t>
        </is>
      </c>
      <c r="H235" t="inlineStr">
        <is>
          <t>North Vancouver Tennis Centre</t>
        </is>
      </c>
      <c r="I235" t="n">
        <v>28.4</v>
      </c>
      <c r="J235" s="4" t="n">
        <v>230</v>
      </c>
      <c r="K235" t="inlineStr">
        <is>
          <t>148 / 82</t>
        </is>
      </c>
      <c r="L235" t="inlineStr">
        <is>
          <t>38 / 20</t>
        </is>
      </c>
      <c r="M235" s="5" t="n">
        <v>0.64</v>
      </c>
      <c r="N235" s="5" t="n">
        <v>0.66</v>
      </c>
    </row>
    <row r="236">
      <c r="A236" t="n">
        <v>235</v>
      </c>
      <c r="B236" t="n">
        <v>2012</v>
      </c>
      <c r="C236" t="inlineStr">
        <is>
          <t>Anne-Frédérique Jacob</t>
        </is>
      </c>
      <c r="D236">
        <f>HYPERLINK("https://ota.tournamentsoftware.com/player-profile/6FDF9E24-9EF2-40B8-AA29-4E8DB70822F9", "Link")</f>
        <v/>
      </c>
      <c r="E236" s="3" t="n">
        <v>337.251</v>
      </c>
      <c r="F236" s="4" t="n">
        <v>14</v>
      </c>
      <c r="G236" t="inlineStr">
        <is>
          <t>Tennis Québec</t>
        </is>
      </c>
      <c r="H236" t="inlineStr">
        <is>
          <t>SANI Sport</t>
        </is>
      </c>
      <c r="I236" t="n">
        <v>30.4</v>
      </c>
      <c r="J236" s="4" t="n">
        <v>147</v>
      </c>
      <c r="K236" t="inlineStr">
        <is>
          <t>73 / 74</t>
        </is>
      </c>
      <c r="L236" t="inlineStr">
        <is>
          <t>5 / 11</t>
        </is>
      </c>
      <c r="M236" s="5" t="n">
        <v>0.5</v>
      </c>
      <c r="N236" s="5" t="n">
        <v>0.31</v>
      </c>
    </row>
    <row r="237">
      <c r="A237" t="n">
        <v>236</v>
      </c>
      <c r="B237" t="n">
        <v>2013</v>
      </c>
      <c r="C237" t="inlineStr">
        <is>
          <t>Jessica Rosemary Hill</t>
        </is>
      </c>
      <c r="D237">
        <f>HYPERLINK("https://ota.tournamentsoftware.com/player-profile/9F68BF9A-4FFA-4754-8023-C9F4ABCF0003", "Link")</f>
        <v/>
      </c>
      <c r="E237" s="3" t="n">
        <v>336.999</v>
      </c>
      <c r="F237" s="4" t="n">
        <v>20</v>
      </c>
      <c r="G237" t="inlineStr">
        <is>
          <t>British Columbia</t>
        </is>
      </c>
      <c r="H237" t="inlineStr">
        <is>
          <t>No Club</t>
        </is>
      </c>
      <c r="I237" t="n">
        <v>30.6</v>
      </c>
      <c r="J237" s="4" t="n">
        <v>167</v>
      </c>
      <c r="K237" t="inlineStr">
        <is>
          <t>93 / 74</t>
        </is>
      </c>
      <c r="L237" t="inlineStr">
        <is>
          <t>23 / 19</t>
        </is>
      </c>
      <c r="M237" s="5" t="n">
        <v>0.5600000000000001</v>
      </c>
      <c r="N237" s="5" t="n">
        <v>0.55</v>
      </c>
    </row>
    <row r="238">
      <c r="A238" t="n">
        <v>237</v>
      </c>
      <c r="B238" t="n">
        <v>2013</v>
      </c>
      <c r="C238" t="inlineStr">
        <is>
          <t>Alina Luo</t>
        </is>
      </c>
      <c r="D238">
        <f>HYPERLINK("https://ota.tournamentsoftware.com/player-profile/848C25E0-4CBB-4051-8AB5-C8460313D4A3", "Link")</f>
        <v/>
      </c>
      <c r="E238" s="3" t="n">
        <v>336.847</v>
      </c>
      <c r="F238" s="4" t="n">
        <v>21</v>
      </c>
      <c r="G238" t="inlineStr">
        <is>
          <t>Tennis Québec</t>
        </is>
      </c>
      <c r="H238" t="inlineStr">
        <is>
          <t>SANI Sport</t>
        </is>
      </c>
      <c r="I238" t="n">
        <v>32.5</v>
      </c>
      <c r="J238" s="4" t="n">
        <v>219</v>
      </c>
      <c r="K238" t="inlineStr">
        <is>
          <t>105 / 114</t>
        </is>
      </c>
      <c r="L238" t="inlineStr">
        <is>
          <t>5 / 17</t>
        </is>
      </c>
      <c r="M238" s="5" t="n">
        <v>0.48</v>
      </c>
      <c r="N238" s="5" t="n">
        <v>0.23</v>
      </c>
    </row>
    <row r="239">
      <c r="A239" t="n">
        <v>238</v>
      </c>
      <c r="B239" t="n">
        <v>2014</v>
      </c>
      <c r="C239" t="inlineStr">
        <is>
          <t>Eva Paquette</t>
        </is>
      </c>
      <c r="D239">
        <f>HYPERLINK("https://ota.tournamentsoftware.com/player-profile/631BF8EC-5FD6-41F7-A4BC-1B4980693D40", "Link")</f>
        <v/>
      </c>
      <c r="E239" s="3" t="n">
        <v>336.645</v>
      </c>
      <c r="F239" s="4" t="n">
        <v>32</v>
      </c>
      <c r="G239" t="inlineStr">
        <is>
          <t>Tennis Québec</t>
        </is>
      </c>
      <c r="H239" t="inlineStr">
        <is>
          <t>Club Sportif Côte-de-Liesse</t>
        </is>
      </c>
      <c r="I239" t="n">
        <v>32.2</v>
      </c>
      <c r="J239" s="4" t="n">
        <v>208</v>
      </c>
      <c r="K239" t="inlineStr">
        <is>
          <t>105 / 103</t>
        </is>
      </c>
      <c r="L239" t="inlineStr">
        <is>
          <t>41 / 28</t>
        </is>
      </c>
      <c r="M239" s="5" t="n">
        <v>0.5</v>
      </c>
      <c r="N239" s="5" t="n">
        <v>0.59</v>
      </c>
    </row>
    <row r="240">
      <c r="A240" t="n">
        <v>239</v>
      </c>
      <c r="B240" t="n">
        <v>2013</v>
      </c>
      <c r="C240" t="inlineStr">
        <is>
          <t>Anastazia De Lain</t>
        </is>
      </c>
      <c r="D240">
        <f>HYPERLINK("https://ota.tournamentsoftware.com/player-profile/BEE8D838-8464-4CCF-9268-D0D58F108999", "Link")</f>
        <v/>
      </c>
      <c r="E240" s="3" t="n">
        <v>335.359</v>
      </c>
      <c r="F240" s="4" t="n">
        <v>21</v>
      </c>
      <c r="G240" t="inlineStr">
        <is>
          <t>Tennis Québec</t>
        </is>
      </c>
      <c r="H240" t="inlineStr">
        <is>
          <t>EB Tennis inc.</t>
        </is>
      </c>
      <c r="I240" t="n">
        <v>36.6</v>
      </c>
      <c r="J240" s="4" t="n">
        <v>174</v>
      </c>
      <c r="K240" t="inlineStr">
        <is>
          <t>37 / 137</t>
        </is>
      </c>
      <c r="L240" t="inlineStr">
        <is>
          <t>4 / 23</t>
        </is>
      </c>
      <c r="M240" s="5" t="n">
        <v>0.21</v>
      </c>
      <c r="N240" s="5" t="n">
        <v>0.15</v>
      </c>
    </row>
    <row r="241">
      <c r="A241" t="n">
        <v>240</v>
      </c>
      <c r="B241" t="n">
        <v>2013</v>
      </c>
      <c r="C241" t="inlineStr">
        <is>
          <t>Kmar ELHOUIJ</t>
        </is>
      </c>
      <c r="D241">
        <f>HYPERLINK("https://ota.tournamentsoftware.com/player-profile/D690466C-B3D9-45B2-B453-BA40F436A5C1", "Link")</f>
        <v/>
      </c>
      <c r="E241" s="3" t="n">
        <v>335.176</v>
      </c>
      <c r="F241" s="4" t="n">
        <v>4</v>
      </c>
      <c r="G241" t="inlineStr">
        <is>
          <t>Tennis New Brunswick</t>
        </is>
      </c>
      <c r="H241" t="inlineStr">
        <is>
          <t>No Club</t>
        </is>
      </c>
      <c r="I241" t="n">
        <v>28.4</v>
      </c>
      <c r="J241" s="4" t="n">
        <v>42</v>
      </c>
      <c r="K241" t="inlineStr">
        <is>
          <t>30 / 12</t>
        </is>
      </c>
      <c r="L241" t="inlineStr">
        <is>
          <t>19 / 9</t>
        </is>
      </c>
      <c r="M241" s="5" t="n">
        <v>0.71</v>
      </c>
      <c r="N241" s="5" t="n">
        <v>0.68</v>
      </c>
    </row>
    <row r="242">
      <c r="A242" t="n">
        <v>241</v>
      </c>
      <c r="B242" t="n">
        <v>2014</v>
      </c>
      <c r="C242" t="inlineStr">
        <is>
          <t>Alaia Grace Serravalle</t>
        </is>
      </c>
      <c r="D242">
        <f>HYPERLINK("https://ota.tournamentsoftware.com/player-profile/EDBCEC0C-45DE-4DFD-B17A-C176B306FC97", "Link")</f>
        <v/>
      </c>
      <c r="E242" s="3" t="n">
        <v>333.24</v>
      </c>
      <c r="F242" s="4" t="n">
        <v>24</v>
      </c>
      <c r="G242" t="inlineStr">
        <is>
          <t>Ontario Tennis Association</t>
        </is>
      </c>
      <c r="H242" t="inlineStr">
        <is>
          <t>Youngs Sportsplex</t>
        </is>
      </c>
      <c r="I242" t="n">
        <v>32.5</v>
      </c>
      <c r="J242" s="4" t="n">
        <v>63</v>
      </c>
      <c r="K242" t="inlineStr">
        <is>
          <t>35 / 28</t>
        </is>
      </c>
      <c r="L242" t="inlineStr">
        <is>
          <t>23 / 19</t>
        </is>
      </c>
      <c r="M242" s="5" t="n">
        <v>0.5600000000000001</v>
      </c>
      <c r="N242" s="5" t="n">
        <v>0.55</v>
      </c>
    </row>
    <row r="243">
      <c r="A243" t="n">
        <v>242</v>
      </c>
      <c r="B243" t="n">
        <v>2013</v>
      </c>
      <c r="C243" t="inlineStr">
        <is>
          <t>Aicha Ben Ali</t>
        </is>
      </c>
      <c r="D243">
        <f>HYPERLINK("https://ota.tournamentsoftware.com/player-profile/87F8F2BE-10FE-41D7-8382-85524C1D5D23", "Link")</f>
        <v/>
      </c>
      <c r="E243" s="3" t="n">
        <v>330.988</v>
      </c>
      <c r="F243" s="4" t="n">
        <v>9</v>
      </c>
      <c r="G243" t="inlineStr">
        <is>
          <t>Tennis Saskatchewan</t>
        </is>
      </c>
      <c r="H243" t="inlineStr">
        <is>
          <t>Lakeshore Tennis Club</t>
        </is>
      </c>
      <c r="I243" t="inlineStr">
        <is>
          <t>unavailable</t>
        </is>
      </c>
      <c r="J243" s="4" t="n">
        <v>31</v>
      </c>
      <c r="K243" t="inlineStr">
        <is>
          <t>4 / 27</t>
        </is>
      </c>
      <c r="L243" t="inlineStr">
        <is>
          <t>4 / 23</t>
        </is>
      </c>
      <c r="M243" s="5" t="n">
        <v>0.13</v>
      </c>
      <c r="N243" s="5" t="n">
        <v>0.15</v>
      </c>
    </row>
    <row r="244">
      <c r="A244" t="n">
        <v>243</v>
      </c>
      <c r="B244" t="n">
        <v>2012</v>
      </c>
      <c r="C244" t="inlineStr">
        <is>
          <t>Jessica Li</t>
        </is>
      </c>
      <c r="D244">
        <f>HYPERLINK("https://ota.tournamentsoftware.com/player-profile/9F51CCE2-07F1-48BF-B635-CE7622769243", "Link")</f>
        <v/>
      </c>
      <c r="E244" s="3" t="n">
        <v>330.979</v>
      </c>
      <c r="F244" s="4" t="n">
        <v>14</v>
      </c>
      <c r="G244" t="inlineStr">
        <is>
          <t>Ontario Tennis Association</t>
        </is>
      </c>
      <c r="H244" t="inlineStr">
        <is>
          <t>Markham Tennis Club</t>
        </is>
      </c>
      <c r="I244" t="inlineStr">
        <is>
          <t>unavailable</t>
        </is>
      </c>
      <c r="J244" s="4" t="n">
        <v>65</v>
      </c>
      <c r="K244" t="inlineStr">
        <is>
          <t>32 / 33</t>
        </is>
      </c>
      <c r="L244" t="inlineStr">
        <is>
          <t>14 / 11</t>
        </is>
      </c>
      <c r="M244" s="5" t="n">
        <v>0.49</v>
      </c>
      <c r="N244" s="5" t="n">
        <v>0.5600000000000001</v>
      </c>
    </row>
    <row r="245">
      <c r="A245" t="n">
        <v>244</v>
      </c>
      <c r="B245" t="n">
        <v>2012</v>
      </c>
      <c r="C245" t="inlineStr">
        <is>
          <t>Yunia Bartha</t>
        </is>
      </c>
      <c r="D245">
        <f>HYPERLINK("https://ota.tournamentsoftware.com/player-profile/3A2980C0-C922-4870-A2B4-18E74AC903C2", "Link")</f>
        <v/>
      </c>
      <c r="E245" s="3" t="n">
        <v>330.484</v>
      </c>
      <c r="F245" s="4" t="n">
        <v>25</v>
      </c>
      <c r="G245" t="inlineStr">
        <is>
          <t>Tennis Québec</t>
        </is>
      </c>
      <c r="H245" t="inlineStr">
        <is>
          <t>Club Sportif Côte-de-Liesse</t>
        </is>
      </c>
      <c r="I245" t="n">
        <v>31.5</v>
      </c>
      <c r="J245" s="4" t="n">
        <v>144</v>
      </c>
      <c r="K245" t="inlineStr">
        <is>
          <t>57 / 87</t>
        </is>
      </c>
      <c r="L245" t="inlineStr">
        <is>
          <t>13 / 23</t>
        </is>
      </c>
      <c r="M245" s="5" t="n">
        <v>0.4</v>
      </c>
      <c r="N245" s="5" t="n">
        <v>0.36</v>
      </c>
    </row>
    <row r="246">
      <c r="A246" t="n">
        <v>245</v>
      </c>
      <c r="B246" t="n">
        <v>2014</v>
      </c>
      <c r="C246" t="inlineStr">
        <is>
          <t>Vrishti Gehlot</t>
        </is>
      </c>
      <c r="D246">
        <f>HYPERLINK("https://ota.tournamentsoftware.com/player-profile/8D59FB71-FC68-41E0-B69F-920C29B60AD3", "Link")</f>
        <v/>
      </c>
      <c r="E246" s="3" t="n">
        <v>322.528</v>
      </c>
      <c r="F246" s="4" t="n">
        <v>26</v>
      </c>
      <c r="G246" t="inlineStr">
        <is>
          <t>Ontario Tennis Association</t>
        </is>
      </c>
      <c r="H246" t="inlineStr">
        <is>
          <t>Premier Racquet Clubs – Mississauga</t>
        </is>
      </c>
      <c r="I246" t="n">
        <v>33</v>
      </c>
      <c r="J246" s="4" t="n">
        <v>161</v>
      </c>
      <c r="K246" t="inlineStr">
        <is>
          <t>81 / 80</t>
        </is>
      </c>
      <c r="L246" t="inlineStr">
        <is>
          <t>33 / 21</t>
        </is>
      </c>
      <c r="M246" s="5" t="n">
        <v>0.5</v>
      </c>
      <c r="N246" s="5" t="n">
        <v>0.61</v>
      </c>
    </row>
    <row r="247">
      <c r="A247" t="n">
        <v>246</v>
      </c>
      <c r="B247" t="n">
        <v>2015</v>
      </c>
      <c r="C247" t="inlineStr">
        <is>
          <t>Josephine Yitong Wu</t>
        </is>
      </c>
      <c r="D247">
        <f>HYPERLINK("https://ota.tournamentsoftware.com/player-profile/1DF0BC06-9057-4469-9CEF-A9B5D864D9C9", "Link")</f>
        <v/>
      </c>
      <c r="E247" s="3" t="n">
        <v>321.68</v>
      </c>
      <c r="F247" s="4" t="n">
        <v>18</v>
      </c>
      <c r="G247" t="inlineStr">
        <is>
          <t>British Columbia</t>
        </is>
      </c>
      <c r="H247" t="inlineStr">
        <is>
          <t>North Vancouver Tennis Centre</t>
        </is>
      </c>
      <c r="I247" t="n">
        <v>29.1</v>
      </c>
      <c r="J247" s="4" t="n">
        <v>169</v>
      </c>
      <c r="K247" t="inlineStr">
        <is>
          <t>100 / 69</t>
        </is>
      </c>
      <c r="L247" t="inlineStr">
        <is>
          <t>23 / 13</t>
        </is>
      </c>
      <c r="M247" s="5" t="n">
        <v>0.59</v>
      </c>
      <c r="N247" s="5" t="n">
        <v>0.64</v>
      </c>
    </row>
    <row r="248">
      <c r="A248" t="n">
        <v>247</v>
      </c>
      <c r="B248" t="n">
        <v>2014</v>
      </c>
      <c r="C248" t="inlineStr">
        <is>
          <t>Isabella Huang</t>
        </is>
      </c>
      <c r="D248">
        <f>HYPERLINK("https://ota.tournamentsoftware.com/player-profile/DB8FA904-8DE1-4D99-951F-F44CD792291A", "Link")</f>
        <v/>
      </c>
      <c r="E248" s="3" t="n">
        <v>320.94</v>
      </c>
      <c r="F248" s="4" t="n">
        <v>17</v>
      </c>
      <c r="G248" t="inlineStr">
        <is>
          <t>British Columbia</t>
        </is>
      </c>
      <c r="H248" t="inlineStr">
        <is>
          <t>Burnaby Tennis Club</t>
        </is>
      </c>
      <c r="I248" t="inlineStr">
        <is>
          <t>unavailable</t>
        </is>
      </c>
      <c r="J248" s="4" t="n">
        <v>201</v>
      </c>
      <c r="K248" t="inlineStr">
        <is>
          <t>116 / 85</t>
        </is>
      </c>
      <c r="L248" t="inlineStr">
        <is>
          <t>29 / 13</t>
        </is>
      </c>
      <c r="M248" s="5" t="n">
        <v>0.58</v>
      </c>
      <c r="N248" s="5" t="n">
        <v>0.6899999999999999</v>
      </c>
    </row>
    <row r="249">
      <c r="A249" t="n">
        <v>248</v>
      </c>
      <c r="B249" t="n">
        <v>2012</v>
      </c>
      <c r="C249" t="inlineStr">
        <is>
          <t>Abby Jean Tobac</t>
        </is>
      </c>
      <c r="D249">
        <f>HYPERLINK("https://ota.tournamentsoftware.com/player-profile/CDFDF0FB-A147-4D3C-BF4D-24E115B9EC1A", "Link")</f>
        <v/>
      </c>
      <c r="E249" s="3" t="n">
        <v>318.528</v>
      </c>
      <c r="F249" s="4" t="n">
        <v>6</v>
      </c>
      <c r="G249" t="inlineStr">
        <is>
          <t>Tennis Manitoba</t>
        </is>
      </c>
      <c r="H249" t="inlineStr">
        <is>
          <t>Taylor Tennis</t>
        </is>
      </c>
      <c r="I249" t="n">
        <v>35.1</v>
      </c>
      <c r="J249" s="4" t="n">
        <v>49</v>
      </c>
      <c r="K249" t="inlineStr">
        <is>
          <t>14 / 35</t>
        </is>
      </c>
      <c r="L249" t="inlineStr">
        <is>
          <t>2 / 9</t>
        </is>
      </c>
      <c r="M249" s="5" t="n">
        <v>0.29</v>
      </c>
      <c r="N249" s="5" t="n">
        <v>0.18</v>
      </c>
    </row>
    <row r="250">
      <c r="A250" t="n">
        <v>249</v>
      </c>
      <c r="B250" t="n">
        <v>2012</v>
      </c>
      <c r="C250" t="inlineStr">
        <is>
          <t>Eva Brisson</t>
        </is>
      </c>
      <c r="D250">
        <f>HYPERLINK("https://ota.tournamentsoftware.com/player-profile/BC349487-CEB9-4CB8-ABCF-1006DD0F69AA", "Link")</f>
        <v/>
      </c>
      <c r="E250" s="3" t="n">
        <v>313.816</v>
      </c>
      <c r="F250" s="4" t="n">
        <v>23</v>
      </c>
      <c r="G250" t="inlineStr">
        <is>
          <t>Tennis Québec</t>
        </is>
      </c>
      <c r="H250" t="inlineStr">
        <is>
          <t>Club Sportif Côte-de-Liesse</t>
        </is>
      </c>
      <c r="I250" t="n">
        <v>31.1</v>
      </c>
      <c r="J250" s="4" t="n">
        <v>150</v>
      </c>
      <c r="K250" t="inlineStr">
        <is>
          <t>63 / 87</t>
        </is>
      </c>
      <c r="L250" t="inlineStr">
        <is>
          <t>17 / 19</t>
        </is>
      </c>
      <c r="M250" s="5" t="n">
        <v>0.42</v>
      </c>
      <c r="N250" s="5" t="n">
        <v>0.47</v>
      </c>
    </row>
    <row r="251">
      <c r="A251" t="n">
        <v>250</v>
      </c>
      <c r="B251" t="n">
        <v>2012</v>
      </c>
      <c r="C251" t="inlineStr">
        <is>
          <t>helena Khorsid-G-Mahdi</t>
        </is>
      </c>
      <c r="D251">
        <f>HYPERLINK("https://ota.tournamentsoftware.com/player-profile/D9FB3068-A1A7-4F96-B728-095D292B805C", "Link")</f>
        <v/>
      </c>
      <c r="E251" s="3" t="n">
        <v>312.56</v>
      </c>
      <c r="F251" s="4" t="n">
        <v>22</v>
      </c>
      <c r="G251" t="inlineStr">
        <is>
          <t>Ontario Tennis Association</t>
        </is>
      </c>
      <c r="H251" t="inlineStr">
        <is>
          <t>Cottingham Tennis Club</t>
        </is>
      </c>
      <c r="I251" t="inlineStr">
        <is>
          <t>unavailable</t>
        </is>
      </c>
      <c r="J251" s="4" t="n">
        <v>56</v>
      </c>
      <c r="K251" t="inlineStr">
        <is>
          <t>33 / 23</t>
        </is>
      </c>
      <c r="L251" t="inlineStr">
        <is>
          <t>19 / 16</t>
        </is>
      </c>
      <c r="M251" s="5" t="n">
        <v>0.59</v>
      </c>
      <c r="N251" s="5" t="n">
        <v>0.54</v>
      </c>
    </row>
    <row r="252">
      <c r="A252" t="n">
        <v>251</v>
      </c>
      <c r="B252" t="n">
        <v>2013</v>
      </c>
      <c r="C252" t="inlineStr">
        <is>
          <t>Katelyn Zhao</t>
        </is>
      </c>
      <c r="D252">
        <f>HYPERLINK("https://ota.tournamentsoftware.com/player-profile/C6305E19-1670-4857-9967-0344F0C8AB1D", "Link")</f>
        <v/>
      </c>
      <c r="E252" s="3" t="n">
        <v>312.472</v>
      </c>
      <c r="F252" s="4" t="n">
        <v>27</v>
      </c>
      <c r="G252" t="inlineStr">
        <is>
          <t>Ontario Tennis Association</t>
        </is>
      </c>
      <c r="H252" t="inlineStr">
        <is>
          <t>Premier Racquet Club - Markham</t>
        </is>
      </c>
      <c r="I252" t="n">
        <v>33.5</v>
      </c>
      <c r="J252" s="4" t="n">
        <v>102</v>
      </c>
      <c r="K252" t="inlineStr">
        <is>
          <t>52 / 50</t>
        </is>
      </c>
      <c r="L252" t="inlineStr">
        <is>
          <t>20 / 24</t>
        </is>
      </c>
      <c r="M252" s="5" t="n">
        <v>0.51</v>
      </c>
      <c r="N252" s="5" t="n">
        <v>0.45</v>
      </c>
    </row>
    <row r="253">
      <c r="A253" t="n">
        <v>252</v>
      </c>
      <c r="B253" t="n">
        <v>2012</v>
      </c>
      <c r="C253" t="inlineStr">
        <is>
          <t>Camie Wang</t>
        </is>
      </c>
      <c r="D253">
        <f>HYPERLINK("https://ota.tournamentsoftware.com/player-profile/5CE5CCC5-E821-48EF-86C9-6973D97D1F92", "Link")</f>
        <v/>
      </c>
      <c r="E253" s="3" t="n">
        <v>311.911</v>
      </c>
      <c r="F253" s="4" t="n">
        <v>16</v>
      </c>
      <c r="G253" t="inlineStr">
        <is>
          <t>Tennis Alberta</t>
        </is>
      </c>
      <c r="H253" t="inlineStr">
        <is>
          <t>Osten &amp; Victor Alberta Tennis Centre</t>
        </is>
      </c>
      <c r="I253" t="n">
        <v>28</v>
      </c>
      <c r="J253" s="4" t="n">
        <v>115</v>
      </c>
      <c r="K253" t="inlineStr">
        <is>
          <t>61 / 54</t>
        </is>
      </c>
      <c r="L253" t="inlineStr">
        <is>
          <t>20 / 19</t>
        </is>
      </c>
      <c r="M253" s="5" t="n">
        <v>0.53</v>
      </c>
      <c r="N253" s="5" t="n">
        <v>0.51</v>
      </c>
    </row>
    <row r="254">
      <c r="A254" t="n">
        <v>253</v>
      </c>
      <c r="B254" t="n">
        <v>2012</v>
      </c>
      <c r="C254" t="inlineStr">
        <is>
          <t>Daisy Tingru Wang</t>
        </is>
      </c>
      <c r="D254">
        <f>HYPERLINK("https://ota.tournamentsoftware.com/player-profile/40DA5F9F-8E70-4030-A0ED-A54E3D8832D2", "Link")</f>
        <v/>
      </c>
      <c r="E254" s="3" t="n">
        <v>310.853</v>
      </c>
      <c r="F254" s="4" t="n">
        <v>9</v>
      </c>
      <c r="G254" t="inlineStr">
        <is>
          <t>Tennis Nova Scotia</t>
        </is>
      </c>
      <c r="H254" t="inlineStr">
        <is>
          <t>HEADSTART</t>
        </is>
      </c>
      <c r="I254" t="n">
        <v>36.2</v>
      </c>
      <c r="J254" s="4" t="n">
        <v>42</v>
      </c>
      <c r="K254" t="inlineStr">
        <is>
          <t>9 / 33</t>
        </is>
      </c>
      <c r="L254" t="inlineStr">
        <is>
          <t>6 / 23</t>
        </is>
      </c>
      <c r="M254" s="5" t="n">
        <v>0.21</v>
      </c>
      <c r="N254" s="5" t="n">
        <v>0.21</v>
      </c>
    </row>
    <row r="255">
      <c r="A255" t="n">
        <v>254</v>
      </c>
      <c r="B255" t="n">
        <v>2013</v>
      </c>
      <c r="C255" t="inlineStr">
        <is>
          <t>Lily Gaumond-Boivin</t>
        </is>
      </c>
      <c r="D255">
        <f>HYPERLINK("https://ota.tournamentsoftware.com/player-profile/98461C64-ECF9-40D8-849E-C8999A9F9BA1", "Link")</f>
        <v/>
      </c>
      <c r="E255" s="3" t="n">
        <v>310.601</v>
      </c>
      <c r="F255" s="4" t="n">
        <v>20</v>
      </c>
      <c r="G255" t="inlineStr">
        <is>
          <t>Tennis Québec</t>
        </is>
      </c>
      <c r="H255" t="inlineStr">
        <is>
          <t>Club Avantage Multi-sports / Académie de tennis Hérisset Bordeleau</t>
        </is>
      </c>
      <c r="I255" t="inlineStr">
        <is>
          <t>unavailable</t>
        </is>
      </c>
      <c r="J255" s="4" t="n">
        <v>128</v>
      </c>
      <c r="K255" t="inlineStr">
        <is>
          <t>62 / 66</t>
        </is>
      </c>
      <c r="L255" t="inlineStr">
        <is>
          <t>12 / 17</t>
        </is>
      </c>
      <c r="M255" s="5" t="n">
        <v>0.48</v>
      </c>
      <c r="N255" s="5" t="n">
        <v>0.41</v>
      </c>
    </row>
    <row r="256">
      <c r="A256" t="n">
        <v>255</v>
      </c>
      <c r="B256" t="n">
        <v>2015</v>
      </c>
      <c r="C256" t="inlineStr">
        <is>
          <t>Maya Lupu</t>
        </is>
      </c>
      <c r="D256">
        <f>HYPERLINK("https://ota.tournamentsoftware.com/player-profile/C02052CF-6FBB-4C91-8237-A96FF9B4C794", "Link")</f>
        <v/>
      </c>
      <c r="E256" s="3" t="n">
        <v>308.771</v>
      </c>
      <c r="F256" s="4" t="n">
        <v>17</v>
      </c>
      <c r="G256" t="inlineStr">
        <is>
          <t>Tennis Alberta</t>
        </is>
      </c>
      <c r="H256" t="inlineStr">
        <is>
          <t>Saville Community Sports Centre</t>
        </is>
      </c>
      <c r="I256" t="n">
        <v>31.3</v>
      </c>
      <c r="J256" s="4" t="n">
        <v>165</v>
      </c>
      <c r="K256" t="inlineStr">
        <is>
          <t>104 / 61</t>
        </is>
      </c>
      <c r="L256" t="inlineStr">
        <is>
          <t>19 / 26</t>
        </is>
      </c>
      <c r="M256" s="5" t="n">
        <v>0.63</v>
      </c>
      <c r="N256" s="5" t="n">
        <v>0.42</v>
      </c>
    </row>
    <row r="257">
      <c r="A257" t="n">
        <v>256</v>
      </c>
      <c r="B257" t="n">
        <v>2013</v>
      </c>
      <c r="C257" t="inlineStr">
        <is>
          <t>Kany Kaba</t>
        </is>
      </c>
      <c r="D257">
        <f>HYPERLINK("https://ota.tournamentsoftware.com/player-profile/7816DF47-252D-402D-BF26-B906A8AB6ED7", "Link")</f>
        <v/>
      </c>
      <c r="E257" s="3" t="n">
        <v>308.626</v>
      </c>
      <c r="F257" s="4" t="n">
        <v>11</v>
      </c>
      <c r="G257" t="inlineStr">
        <is>
          <t>Tennis Québec</t>
        </is>
      </c>
      <c r="H257" t="inlineStr">
        <is>
          <t>EB Tennis inc.</t>
        </is>
      </c>
      <c r="I257" t="n">
        <v>33.1</v>
      </c>
      <c r="J257" s="4" t="n">
        <v>140</v>
      </c>
      <c r="K257" t="inlineStr">
        <is>
          <t>84 / 56</t>
        </is>
      </c>
      <c r="L257" t="inlineStr">
        <is>
          <t>6 / 13</t>
        </is>
      </c>
      <c r="M257" s="5" t="n">
        <v>0.6</v>
      </c>
      <c r="N257" s="5" t="n">
        <v>0.32</v>
      </c>
    </row>
    <row r="258">
      <c r="A258" t="n">
        <v>257</v>
      </c>
      <c r="B258" t="n">
        <v>2013</v>
      </c>
      <c r="C258" t="inlineStr">
        <is>
          <t>Keona Asogwa</t>
        </is>
      </c>
      <c r="D258">
        <f>HYPERLINK("https://ota.tournamentsoftware.com/player-profile/1F426AE8-5B0F-4535-AD10-450570C37073", "Link")</f>
        <v/>
      </c>
      <c r="E258" s="3" t="n">
        <v>308.248</v>
      </c>
      <c r="F258" s="4" t="n">
        <v>16</v>
      </c>
      <c r="G258" t="inlineStr">
        <is>
          <t>Ontario Tennis Association</t>
        </is>
      </c>
      <c r="H258" t="inlineStr">
        <is>
          <t>Carleton Tennis Centre</t>
        </is>
      </c>
      <c r="I258" t="inlineStr">
        <is>
          <t>unavailable</t>
        </is>
      </c>
      <c r="J258" s="4" t="n">
        <v>110</v>
      </c>
      <c r="K258" t="inlineStr">
        <is>
          <t>41 / 69</t>
        </is>
      </c>
      <c r="L258" t="inlineStr">
        <is>
          <t>5 / 13</t>
        </is>
      </c>
      <c r="M258" s="5" t="n">
        <v>0.37</v>
      </c>
      <c r="N258" s="5" t="n">
        <v>0.28</v>
      </c>
    </row>
    <row r="259">
      <c r="A259" t="n">
        <v>258</v>
      </c>
      <c r="B259" t="n">
        <v>2013</v>
      </c>
      <c r="C259" t="inlineStr">
        <is>
          <t>ZOE SOFIA CARDENAS PANIAGUA</t>
        </is>
      </c>
      <c r="D259">
        <f>HYPERLINK("https://ota.tournamentsoftware.com/player-profile/6ADCA248-D68F-47BB-9ED7-CDC7448C4AE9", "Link")</f>
        <v/>
      </c>
      <c r="E259" s="3" t="n">
        <v>307.118</v>
      </c>
      <c r="F259" s="4" t="n">
        <v>6</v>
      </c>
      <c r="G259" t="inlineStr">
        <is>
          <t>Tennis Manitoba</t>
        </is>
      </c>
      <c r="H259" t="inlineStr">
        <is>
          <t>Tuxedo Tennis Club</t>
        </is>
      </c>
      <c r="I259" t="inlineStr">
        <is>
          <t>unavailable</t>
        </is>
      </c>
      <c r="J259" s="4" t="n">
        <v>59</v>
      </c>
      <c r="K259" t="inlineStr">
        <is>
          <t>22 / 37</t>
        </is>
      </c>
      <c r="L259" t="inlineStr">
        <is>
          <t>6 / 8</t>
        </is>
      </c>
      <c r="M259" s="5" t="n">
        <v>0.37</v>
      </c>
      <c r="N259" s="5" t="n">
        <v>0.43</v>
      </c>
    </row>
    <row r="260">
      <c r="A260" t="n">
        <v>259</v>
      </c>
      <c r="B260" t="n">
        <v>2013</v>
      </c>
      <c r="C260" t="inlineStr">
        <is>
          <t>Victoria Ta</t>
        </is>
      </c>
      <c r="D260">
        <f>HYPERLINK("https://ota.tournamentsoftware.com/player-profile/A9D6CF45-A7F1-427F-A376-2C40852D98CD", "Link")</f>
        <v/>
      </c>
      <c r="E260" s="3" t="n">
        <v>306.995</v>
      </c>
      <c r="F260" s="4" t="n">
        <v>19</v>
      </c>
      <c r="G260" t="inlineStr">
        <is>
          <t>Ontario Tennis Association</t>
        </is>
      </c>
      <c r="H260" t="inlineStr">
        <is>
          <t>Lambton Golf &amp; Country Club</t>
        </is>
      </c>
      <c r="I260" t="n">
        <v>31.3</v>
      </c>
      <c r="J260" s="4" t="n">
        <v>106</v>
      </c>
      <c r="K260" t="inlineStr">
        <is>
          <t>53 / 53</t>
        </is>
      </c>
      <c r="L260" t="inlineStr">
        <is>
          <t>18 / 13</t>
        </is>
      </c>
      <c r="M260" s="5" t="n">
        <v>0.5</v>
      </c>
      <c r="N260" s="5" t="n">
        <v>0.58</v>
      </c>
    </row>
    <row r="261">
      <c r="A261" t="n">
        <v>260</v>
      </c>
      <c r="B261" t="n">
        <v>2014</v>
      </c>
      <c r="C261" t="inlineStr">
        <is>
          <t>Rosie Mai Kowalewski</t>
        </is>
      </c>
      <c r="D261">
        <f>HYPERLINK("https://ota.tournamentsoftware.com/player-profile/6AE6D507-C7A4-4B8D-AF2E-EBFE848DD41B", "Link")</f>
        <v/>
      </c>
      <c r="E261" s="3" t="n">
        <v>303.327</v>
      </c>
      <c r="F261" s="4" t="n">
        <v>16</v>
      </c>
      <c r="G261" t="inlineStr">
        <is>
          <t>Ontario Tennis Association</t>
        </is>
      </c>
      <c r="H261" t="inlineStr">
        <is>
          <t>No Club</t>
        </is>
      </c>
      <c r="I261" t="n">
        <v>31.5</v>
      </c>
      <c r="J261" s="4" t="n">
        <v>192</v>
      </c>
      <c r="K261" t="inlineStr">
        <is>
          <t>113 / 79</t>
        </is>
      </c>
      <c r="L261" t="inlineStr">
        <is>
          <t>14 / 11</t>
        </is>
      </c>
      <c r="M261" s="5" t="n">
        <v>0.59</v>
      </c>
      <c r="N261" s="5" t="n">
        <v>0.5600000000000001</v>
      </c>
    </row>
    <row r="262">
      <c r="A262" t="n">
        <v>261</v>
      </c>
      <c r="B262" t="n">
        <v>2013</v>
      </c>
      <c r="C262" t="inlineStr">
        <is>
          <t>Chloe Lu</t>
        </is>
      </c>
      <c r="D262">
        <f>HYPERLINK("https://ota.tournamentsoftware.com/player-profile/30F898AC-1C96-41C5-BBB0-3BFD30EC0D0D", "Link")</f>
        <v/>
      </c>
      <c r="E262" s="3" t="n">
        <v>300.706</v>
      </c>
      <c r="F262" s="4" t="n">
        <v>24</v>
      </c>
      <c r="G262" t="inlineStr">
        <is>
          <t>British Columbia</t>
        </is>
      </c>
      <c r="H262" t="inlineStr">
        <is>
          <t>UBC Tennis Centre</t>
        </is>
      </c>
      <c r="I262" t="n">
        <v>32.1</v>
      </c>
      <c r="J262" s="4" t="n">
        <v>164</v>
      </c>
      <c r="K262" t="inlineStr">
        <is>
          <t>61 / 103</t>
        </is>
      </c>
      <c r="L262" t="inlineStr">
        <is>
          <t>21 / 25</t>
        </is>
      </c>
      <c r="M262" s="5" t="n">
        <v>0.37</v>
      </c>
      <c r="N262" s="5" t="n">
        <v>0.46</v>
      </c>
    </row>
    <row r="263">
      <c r="A263" t="n">
        <v>262</v>
      </c>
      <c r="B263" t="n">
        <v>2015</v>
      </c>
      <c r="C263" t="inlineStr">
        <is>
          <t>Zoë Crago</t>
        </is>
      </c>
      <c r="D263">
        <f>HYPERLINK("https://ota.tournamentsoftware.com/player-profile/C2D18227-6075-4F1E-83A2-40A822F874D3", "Link")</f>
        <v/>
      </c>
      <c r="E263" s="3" t="n">
        <v>298.67</v>
      </c>
      <c r="F263" s="4" t="n">
        <v>28</v>
      </c>
      <c r="G263" t="inlineStr">
        <is>
          <t>Tennis Québec</t>
        </is>
      </c>
      <c r="H263" t="inlineStr">
        <is>
          <t>Tennis Montréal Excellence</t>
        </is>
      </c>
      <c r="I263" t="n">
        <v>33</v>
      </c>
      <c r="J263" s="4" t="n">
        <v>198</v>
      </c>
      <c r="K263" t="inlineStr">
        <is>
          <t>104 / 94</t>
        </is>
      </c>
      <c r="L263" t="inlineStr">
        <is>
          <t>32 / 26</t>
        </is>
      </c>
      <c r="M263" s="5" t="n">
        <v>0.53</v>
      </c>
      <c r="N263" s="5" t="n">
        <v>0.55</v>
      </c>
    </row>
    <row r="264">
      <c r="A264" t="n">
        <v>263</v>
      </c>
      <c r="B264" t="n">
        <v>2014</v>
      </c>
      <c r="C264" t="inlineStr">
        <is>
          <t>Tehzeeb MRAR</t>
        </is>
      </c>
      <c r="D264">
        <f>HYPERLINK("https://ota.tournamentsoftware.com/player-profile/9E69163B-7ED7-4450-8845-0676D6C943B8", "Link")</f>
        <v/>
      </c>
      <c r="E264" s="3" t="n">
        <v>293.832</v>
      </c>
      <c r="F264" s="4" t="n">
        <v>19</v>
      </c>
      <c r="G264" t="inlineStr">
        <is>
          <t>British Columbia</t>
        </is>
      </c>
      <c r="H264" t="inlineStr">
        <is>
          <t>No Club</t>
        </is>
      </c>
      <c r="I264" t="n">
        <v>29.8</v>
      </c>
      <c r="J264" s="4" t="n">
        <v>201</v>
      </c>
      <c r="K264" t="inlineStr">
        <is>
          <t>111 / 90</t>
        </is>
      </c>
      <c r="L264" t="inlineStr">
        <is>
          <t>21 / 16</t>
        </is>
      </c>
      <c r="M264" s="5" t="n">
        <v>0.55</v>
      </c>
      <c r="N264" s="5" t="n">
        <v>0.57</v>
      </c>
    </row>
    <row r="265">
      <c r="A265" t="n">
        <v>264</v>
      </c>
      <c r="B265" t="n">
        <v>2014</v>
      </c>
      <c r="C265" t="inlineStr">
        <is>
          <t>Krystal Xuan Sun</t>
        </is>
      </c>
      <c r="D265">
        <f>HYPERLINK("https://ota.tournamentsoftware.com/player-profile/683C106F-AE4B-4C63-B1A3-D9C25FFAD31B", "Link")</f>
        <v/>
      </c>
      <c r="E265" s="3" t="n">
        <v>289.981</v>
      </c>
      <c r="F265" s="4" t="n">
        <v>11</v>
      </c>
      <c r="G265" t="inlineStr">
        <is>
          <t>Tennis Manitoba</t>
        </is>
      </c>
      <c r="H265" t="inlineStr">
        <is>
          <t>Taylor Tennis</t>
        </is>
      </c>
      <c r="I265" t="inlineStr">
        <is>
          <t>unavailable</t>
        </is>
      </c>
      <c r="J265" s="4" t="n">
        <v>74</v>
      </c>
      <c r="K265" t="inlineStr">
        <is>
          <t>21 / 53</t>
        </is>
      </c>
      <c r="L265" t="inlineStr">
        <is>
          <t>10 / 29</t>
        </is>
      </c>
      <c r="M265" s="5" t="n">
        <v>0.28</v>
      </c>
      <c r="N265" s="5" t="n">
        <v>0.26</v>
      </c>
    </row>
    <row r="266">
      <c r="A266" t="n">
        <v>265</v>
      </c>
      <c r="B266" t="n">
        <v>2012</v>
      </c>
      <c r="C266" t="inlineStr">
        <is>
          <t>Norah Diop</t>
        </is>
      </c>
      <c r="D266">
        <f>HYPERLINK("https://ota.tournamentsoftware.com/player-profile/1B130952-D24A-467D-813D-2DA5B56ADFFF", "Link")</f>
        <v/>
      </c>
      <c r="E266" s="3" t="n">
        <v>289.524</v>
      </c>
      <c r="F266" s="4" t="n">
        <v>16</v>
      </c>
      <c r="G266" t="inlineStr">
        <is>
          <t>Tennis Québec</t>
        </is>
      </c>
      <c r="H266" t="inlineStr">
        <is>
          <t>Tennis 13</t>
        </is>
      </c>
      <c r="I266" t="inlineStr">
        <is>
          <t>unavailable</t>
        </is>
      </c>
      <c r="J266" s="4" t="n">
        <v>85</v>
      </c>
      <c r="K266" t="inlineStr">
        <is>
          <t>38 / 47</t>
        </is>
      </c>
      <c r="L266" t="inlineStr">
        <is>
          <t>13 / 12</t>
        </is>
      </c>
      <c r="M266" s="5" t="n">
        <v>0.45</v>
      </c>
      <c r="N266" s="5" t="n">
        <v>0.52</v>
      </c>
    </row>
    <row r="267">
      <c r="A267" t="n">
        <v>266</v>
      </c>
      <c r="B267" t="n">
        <v>2016</v>
      </c>
      <c r="C267" t="inlineStr">
        <is>
          <t>Victoria Chang</t>
        </is>
      </c>
      <c r="D267">
        <f>HYPERLINK("https://ota.tournamentsoftware.com/player-profile/A391B4A7-44C6-4D9F-9A04-161A8B22E0C3", "Link")</f>
        <v/>
      </c>
      <c r="E267" s="3" t="n">
        <v>285.077</v>
      </c>
      <c r="F267" s="4" t="n">
        <v>19</v>
      </c>
      <c r="G267" t="inlineStr">
        <is>
          <t>Ontario Tennis Association</t>
        </is>
      </c>
      <c r="H267" t="inlineStr">
        <is>
          <t>Richmond Hill Country Club</t>
        </is>
      </c>
      <c r="I267" t="n">
        <v>31</v>
      </c>
      <c r="J267" s="4" t="n">
        <v>123</v>
      </c>
      <c r="K267" t="inlineStr">
        <is>
          <t>96 / 27</t>
        </is>
      </c>
      <c r="L267" t="inlineStr">
        <is>
          <t>48 / 11</t>
        </is>
      </c>
      <c r="M267" s="5" t="n">
        <v>0.78</v>
      </c>
      <c r="N267" s="5" t="n">
        <v>0.8100000000000001</v>
      </c>
    </row>
    <row r="268">
      <c r="A268" t="n">
        <v>267</v>
      </c>
      <c r="B268" t="n">
        <v>2013</v>
      </c>
      <c r="C268" t="inlineStr">
        <is>
          <t>Sasha Stack</t>
        </is>
      </c>
      <c r="D268">
        <f>HYPERLINK("https://ota.tournamentsoftware.com/player-profile/C0B95842-5E69-4EBF-8E5C-398666A7112E", "Link")</f>
        <v/>
      </c>
      <c r="E268" s="3" t="n">
        <v>283.679</v>
      </c>
      <c r="F268" s="4" t="n">
        <v>14</v>
      </c>
      <c r="G268" t="inlineStr">
        <is>
          <t>British Columbia</t>
        </is>
      </c>
      <c r="H268" t="inlineStr">
        <is>
          <t>Hollyburn Country Club</t>
        </is>
      </c>
      <c r="I268" t="n">
        <v>33</v>
      </c>
      <c r="J268" s="4" t="n">
        <v>113</v>
      </c>
      <c r="K268" t="inlineStr">
        <is>
          <t>52 / 61</t>
        </is>
      </c>
      <c r="L268" t="inlineStr">
        <is>
          <t>8 / 15</t>
        </is>
      </c>
      <c r="M268" s="5" t="n">
        <v>0.46</v>
      </c>
      <c r="N268" s="5" t="n">
        <v>0.35</v>
      </c>
    </row>
    <row r="269">
      <c r="A269" t="n">
        <v>268</v>
      </c>
      <c r="B269" t="n">
        <v>2014</v>
      </c>
      <c r="C269" t="inlineStr">
        <is>
          <t>Ela Velic</t>
        </is>
      </c>
      <c r="D269">
        <f>HYPERLINK("https://ota.tournamentsoftware.com/player-profile/5CC54F7D-0D30-4EF4-BE6C-A336041BBEE2", "Link")</f>
        <v/>
      </c>
      <c r="E269" s="3" t="n">
        <v>283.442</v>
      </c>
      <c r="F269" s="4" t="n">
        <v>28</v>
      </c>
      <c r="G269" t="inlineStr">
        <is>
          <t>Ontario Tennis Association</t>
        </is>
      </c>
      <c r="H269" t="inlineStr">
        <is>
          <t>Central Tennis Club</t>
        </is>
      </c>
      <c r="I269" t="n">
        <v>33.8</v>
      </c>
      <c r="J269" s="4" t="n">
        <v>110</v>
      </c>
      <c r="K269" t="inlineStr">
        <is>
          <t>56 / 54</t>
        </is>
      </c>
      <c r="L269" t="inlineStr">
        <is>
          <t>25 / 26</t>
        </is>
      </c>
      <c r="M269" s="5" t="n">
        <v>0.51</v>
      </c>
      <c r="N269" s="5" t="n">
        <v>0.49</v>
      </c>
    </row>
    <row r="270">
      <c r="A270" t="n">
        <v>269</v>
      </c>
      <c r="B270" t="n">
        <v>2014</v>
      </c>
      <c r="C270" t="inlineStr">
        <is>
          <t>Avelyn Deepak</t>
        </is>
      </c>
      <c r="D270">
        <f>HYPERLINK("https://ota.tournamentsoftware.com/player-profile/4412DB09-5DE9-45DA-AB13-46B4F24B409F", "Link")</f>
        <v/>
      </c>
      <c r="E270" s="3" t="n">
        <v>282.546</v>
      </c>
      <c r="F270" s="4" t="n">
        <v>10</v>
      </c>
      <c r="G270" t="inlineStr">
        <is>
          <t>Tennis Manitoba</t>
        </is>
      </c>
      <c r="H270" t="inlineStr">
        <is>
          <t>Winnipeg Winter Club</t>
        </is>
      </c>
      <c r="I270" t="n">
        <v>35.2</v>
      </c>
      <c r="J270" s="4" t="n">
        <v>35</v>
      </c>
      <c r="K270" t="inlineStr">
        <is>
          <t>9 / 26</t>
        </is>
      </c>
      <c r="L270" t="inlineStr">
        <is>
          <t>9 / 26</t>
        </is>
      </c>
      <c r="M270" s="5" t="n">
        <v>0.26</v>
      </c>
      <c r="N270" s="5" t="n">
        <v>0.26</v>
      </c>
    </row>
    <row r="271">
      <c r="A271" t="n">
        <v>270</v>
      </c>
      <c r="B271" t="n">
        <v>2013</v>
      </c>
      <c r="C271" t="inlineStr">
        <is>
          <t>Chanjoban Kaur Birdi</t>
        </is>
      </c>
      <c r="D271">
        <f>HYPERLINK("https://ota.tournamentsoftware.com/player-profile/26D50988-CF95-4A0A-9087-8DC8E38F0BDB", "Link")</f>
        <v/>
      </c>
      <c r="E271" s="3" t="n">
        <v>279.108</v>
      </c>
      <c r="F271" s="4" t="n">
        <v>20</v>
      </c>
      <c r="G271" t="inlineStr">
        <is>
          <t>British Columbia</t>
        </is>
      </c>
      <c r="H271" t="inlineStr">
        <is>
          <t>Newton Tennis Club</t>
        </is>
      </c>
      <c r="I271" t="n">
        <v>29.3</v>
      </c>
      <c r="J271" s="4" t="n">
        <v>207</v>
      </c>
      <c r="K271" t="inlineStr">
        <is>
          <t>103 / 104</t>
        </is>
      </c>
      <c r="L271" t="inlineStr">
        <is>
          <t>28 / 17</t>
        </is>
      </c>
      <c r="M271" s="5" t="n">
        <v>0.5</v>
      </c>
      <c r="N271" s="5" t="n">
        <v>0.62</v>
      </c>
    </row>
    <row r="272">
      <c r="A272" t="n">
        <v>271</v>
      </c>
      <c r="B272" t="n">
        <v>2014</v>
      </c>
      <c r="C272" t="inlineStr">
        <is>
          <t>Elliette Leah Tran</t>
        </is>
      </c>
      <c r="D272">
        <f>HYPERLINK("https://ota.tournamentsoftware.com/player-profile/9986D752-4364-42A6-9A1B-E1BC239760F0", "Link")</f>
        <v/>
      </c>
      <c r="E272" s="3" t="n">
        <v>278.539</v>
      </c>
      <c r="F272" s="4" t="n">
        <v>18</v>
      </c>
      <c r="G272" t="inlineStr">
        <is>
          <t>Tennis Alberta</t>
        </is>
      </c>
      <c r="H272" t="inlineStr">
        <is>
          <t>Saville Community Sports Centre</t>
        </is>
      </c>
      <c r="I272" t="inlineStr">
        <is>
          <t>unavailable</t>
        </is>
      </c>
      <c r="J272" s="4" t="n">
        <v>121</v>
      </c>
      <c r="K272" t="inlineStr">
        <is>
          <t>61 / 60</t>
        </is>
      </c>
      <c r="L272" t="inlineStr">
        <is>
          <t>26 / 20</t>
        </is>
      </c>
      <c r="M272" s="5" t="n">
        <v>0.5</v>
      </c>
      <c r="N272" s="5" t="n">
        <v>0.57</v>
      </c>
    </row>
    <row r="273">
      <c r="A273" t="n">
        <v>272</v>
      </c>
      <c r="B273" t="n">
        <v>2013</v>
      </c>
      <c r="C273" t="inlineStr">
        <is>
          <t>Maddie Kershaw</t>
        </is>
      </c>
      <c r="D273">
        <f>HYPERLINK("https://ota.tournamentsoftware.com/player-profile/14F8911D-BF5A-4FE7-BFF6-D5A71E72307F", "Link")</f>
        <v/>
      </c>
      <c r="E273" s="3" t="n">
        <v>278.432</v>
      </c>
      <c r="F273" s="4" t="n">
        <v>10</v>
      </c>
      <c r="G273" t="inlineStr">
        <is>
          <t>Tennis New Brunswick</t>
        </is>
      </c>
      <c r="H273" t="inlineStr">
        <is>
          <t>Abony Family Tennis Center</t>
        </is>
      </c>
      <c r="I273" t="n">
        <v>33.9</v>
      </c>
      <c r="J273" s="4" t="n">
        <v>188</v>
      </c>
      <c r="K273" t="inlineStr">
        <is>
          <t>95 / 93</t>
        </is>
      </c>
      <c r="L273" t="inlineStr">
        <is>
          <t>16 / 23</t>
        </is>
      </c>
      <c r="M273" s="5" t="n">
        <v>0.51</v>
      </c>
      <c r="N273" s="5" t="n">
        <v>0.41</v>
      </c>
    </row>
    <row r="274">
      <c r="A274" t="n">
        <v>273</v>
      </c>
      <c r="B274" t="n">
        <v>2015</v>
      </c>
      <c r="C274" t="inlineStr">
        <is>
          <t>Keira Braudo</t>
        </is>
      </c>
      <c r="D274">
        <f>HYPERLINK("https://ota.tournamentsoftware.com/player-profile/8D683600-A107-430B-BBAA-BD98BDCE0FD8", "Link")</f>
        <v/>
      </c>
      <c r="E274" s="3" t="n">
        <v>277.503</v>
      </c>
      <c r="F274" s="4" t="n">
        <v>14</v>
      </c>
      <c r="G274" t="inlineStr">
        <is>
          <t>Ontario Tennis Association</t>
        </is>
      </c>
      <c r="H274" t="inlineStr">
        <is>
          <t>Mayfair West Fitness &amp; Racquet Club</t>
        </is>
      </c>
      <c r="I274" t="n">
        <v>29.9</v>
      </c>
      <c r="J274" s="4" t="n">
        <v>77</v>
      </c>
      <c r="K274" t="inlineStr">
        <is>
          <t>52 / 25</t>
        </is>
      </c>
      <c r="L274" t="inlineStr">
        <is>
          <t>29 / 7</t>
        </is>
      </c>
      <c r="M274" s="5" t="n">
        <v>0.68</v>
      </c>
      <c r="N274" s="5" t="n">
        <v>0.8100000000000001</v>
      </c>
    </row>
    <row r="275">
      <c r="A275" t="n">
        <v>274</v>
      </c>
      <c r="B275" t="n">
        <v>2012</v>
      </c>
      <c r="C275" t="inlineStr">
        <is>
          <t>Jana Karkoukli</t>
        </is>
      </c>
      <c r="D275">
        <f>HYPERLINK("https://ota.tournamentsoftware.com/player-profile/ED5D7332-7665-453C-87FD-D7E5B172FD8A", "Link")</f>
        <v/>
      </c>
      <c r="E275" s="3" t="n">
        <v>276.736</v>
      </c>
      <c r="F275" s="4" t="n">
        <v>22</v>
      </c>
      <c r="G275" t="inlineStr">
        <is>
          <t>Tennis Québec</t>
        </is>
      </c>
      <c r="H275" t="inlineStr">
        <is>
          <t>EB Tennis inc.</t>
        </is>
      </c>
      <c r="I275" t="inlineStr">
        <is>
          <t>unavailable</t>
        </is>
      </c>
      <c r="J275" s="4" t="inlineStr"/>
      <c r="K275" t="inlineStr">
        <is>
          <t>unavailable</t>
        </is>
      </c>
      <c r="L275" t="inlineStr">
        <is>
          <t>unavailable</t>
        </is>
      </c>
      <c r="M275" s="5" t="inlineStr"/>
      <c r="N275" s="5" t="inlineStr"/>
    </row>
    <row r="276">
      <c r="A276" t="n">
        <v>275</v>
      </c>
      <c r="B276" t="n">
        <v>2014</v>
      </c>
      <c r="C276" t="inlineStr">
        <is>
          <t>Mégane Bernard</t>
        </is>
      </c>
      <c r="D276">
        <f>HYPERLINK("https://ota.tournamentsoftware.com/player-profile/041B9415-6EB0-452F-AD3F-EA68CADBA2FB", "Link")</f>
        <v/>
      </c>
      <c r="E276" s="3" t="n">
        <v>274.423</v>
      </c>
      <c r="F276" s="4" t="n">
        <v>23</v>
      </c>
      <c r="G276" t="inlineStr">
        <is>
          <t>Tennis Québec</t>
        </is>
      </c>
      <c r="H276" t="inlineStr">
        <is>
          <t>Tennis 13</t>
        </is>
      </c>
      <c r="I276" t="n">
        <v>32.6</v>
      </c>
      <c r="J276" s="4" t="n">
        <v>199</v>
      </c>
      <c r="K276" t="inlineStr">
        <is>
          <t>89 / 110</t>
        </is>
      </c>
      <c r="L276" t="inlineStr">
        <is>
          <t>19 / 24</t>
        </is>
      </c>
      <c r="M276" s="5" t="n">
        <v>0.45</v>
      </c>
      <c r="N276" s="5" t="n">
        <v>0.44</v>
      </c>
    </row>
    <row r="277">
      <c r="A277" t="n">
        <v>276</v>
      </c>
      <c r="B277" t="n">
        <v>2012</v>
      </c>
      <c r="C277" t="inlineStr">
        <is>
          <t>ella kim brend</t>
        </is>
      </c>
      <c r="D277">
        <f>HYPERLINK("https://ota.tournamentsoftware.com/player-profile/C777EDB2-AC2E-4E02-948A-26DCAC347821", "Link")</f>
        <v/>
      </c>
      <c r="E277" s="3" t="n">
        <v>274.297</v>
      </c>
      <c r="F277" s="4" t="n">
        <v>19</v>
      </c>
      <c r="G277" t="inlineStr">
        <is>
          <t>British Columbia</t>
        </is>
      </c>
      <c r="H277" t="inlineStr">
        <is>
          <t>The Tennis Centre</t>
        </is>
      </c>
      <c r="I277" t="n">
        <v>30.2</v>
      </c>
      <c r="J277" s="4" t="n">
        <v>128</v>
      </c>
      <c r="K277" t="inlineStr">
        <is>
          <t>88 / 40</t>
        </is>
      </c>
      <c r="L277" t="inlineStr">
        <is>
          <t>36 / 15</t>
        </is>
      </c>
      <c r="M277" s="5" t="n">
        <v>0.6899999999999999</v>
      </c>
      <c r="N277" s="5" t="n">
        <v>0.71</v>
      </c>
    </row>
    <row r="278">
      <c r="A278" t="n">
        <v>277</v>
      </c>
      <c r="B278" t="n">
        <v>2014</v>
      </c>
      <c r="C278" t="inlineStr">
        <is>
          <t>Candice YAO</t>
        </is>
      </c>
      <c r="D278">
        <f>HYPERLINK("https://ota.tournamentsoftware.com/player-profile/2EEE6D95-1504-4E36-A996-F48A3CD7FC03", "Link")</f>
        <v/>
      </c>
      <c r="E278" s="3" t="n">
        <v>273.266</v>
      </c>
      <c r="F278" s="4" t="n">
        <v>20</v>
      </c>
      <c r="G278" t="inlineStr">
        <is>
          <t>Ontario Tennis Association</t>
        </is>
      </c>
      <c r="H278" t="inlineStr">
        <is>
          <t>Richmondhill Golf &amp; Country Club</t>
        </is>
      </c>
      <c r="I278" t="n">
        <v>32.6</v>
      </c>
      <c r="J278" s="4" t="n">
        <v>99</v>
      </c>
      <c r="K278" t="inlineStr">
        <is>
          <t>45 / 54</t>
        </is>
      </c>
      <c r="L278" t="inlineStr">
        <is>
          <t>21 / 15</t>
        </is>
      </c>
      <c r="M278" s="5" t="n">
        <v>0.45</v>
      </c>
      <c r="N278" s="5" t="n">
        <v>0.58</v>
      </c>
    </row>
    <row r="279">
      <c r="A279" t="n">
        <v>278</v>
      </c>
      <c r="B279" t="n">
        <v>2014</v>
      </c>
      <c r="C279" t="inlineStr">
        <is>
          <t>Elisa Krumov</t>
        </is>
      </c>
      <c r="D279">
        <f>HYPERLINK("https://ota.tournamentsoftware.com/player-profile/8B5D18FC-0F51-468A-BE7C-7EA242A06382", "Link")</f>
        <v/>
      </c>
      <c r="E279" s="3" t="n">
        <v>270.273</v>
      </c>
      <c r="F279" s="4" t="n">
        <v>20</v>
      </c>
      <c r="G279" t="inlineStr">
        <is>
          <t>Ontario Tennis Association</t>
        </is>
      </c>
      <c r="H279" t="inlineStr">
        <is>
          <t>Joshua Creek Golf &amp; Tennis</t>
        </is>
      </c>
      <c r="I279" t="n">
        <v>33</v>
      </c>
      <c r="J279" s="4" t="n">
        <v>94</v>
      </c>
      <c r="K279" t="inlineStr">
        <is>
          <t>43 / 51</t>
        </is>
      </c>
      <c r="L279" t="inlineStr">
        <is>
          <t>16 / 21</t>
        </is>
      </c>
      <c r="M279" s="5" t="n">
        <v>0.46</v>
      </c>
      <c r="N279" s="5" t="n">
        <v>0.43</v>
      </c>
    </row>
    <row r="280">
      <c r="A280" t="n">
        <v>279</v>
      </c>
      <c r="B280" t="n">
        <v>2013</v>
      </c>
      <c r="C280" t="inlineStr">
        <is>
          <t>Gabriela Gardonyi</t>
        </is>
      </c>
      <c r="D280">
        <f>HYPERLINK("https://ota.tournamentsoftware.com/player-profile/EA584DC9-AF4E-413B-BF0B-75746024F8E4", "Link")</f>
        <v/>
      </c>
      <c r="E280" s="3" t="n">
        <v>269.544</v>
      </c>
      <c r="F280" s="4" t="n">
        <v>23</v>
      </c>
      <c r="G280" t="inlineStr">
        <is>
          <t>Ontario Tennis Association</t>
        </is>
      </c>
      <c r="H280" t="inlineStr">
        <is>
          <t>Richmond Hill Country Club</t>
        </is>
      </c>
      <c r="I280" t="inlineStr">
        <is>
          <t>unavailable</t>
        </is>
      </c>
      <c r="J280" s="4" t="n">
        <v>122</v>
      </c>
      <c r="K280" t="inlineStr">
        <is>
          <t>56 / 66</t>
        </is>
      </c>
      <c r="L280" t="inlineStr">
        <is>
          <t>21 / 22</t>
        </is>
      </c>
      <c r="M280" s="5" t="n">
        <v>0.46</v>
      </c>
      <c r="N280" s="5" t="n">
        <v>0.49</v>
      </c>
    </row>
    <row r="281">
      <c r="A281" t="n">
        <v>280</v>
      </c>
      <c r="B281" t="n">
        <v>2015</v>
      </c>
      <c r="C281" t="inlineStr">
        <is>
          <t>Sophia Shiqi Zeng</t>
        </is>
      </c>
      <c r="D281">
        <f>HYPERLINK("https://ota.tournamentsoftware.com/player-profile/F1A373DA-18B2-46FA-AF39-157644DB679B", "Link")</f>
        <v/>
      </c>
      <c r="E281" s="3" t="n">
        <v>267.836</v>
      </c>
      <c r="F281" s="4" t="n">
        <v>21</v>
      </c>
      <c r="G281" t="inlineStr">
        <is>
          <t>British Columbia</t>
        </is>
      </c>
      <c r="H281" t="inlineStr">
        <is>
          <t>The Tennis Centre</t>
        </is>
      </c>
      <c r="I281" t="n">
        <v>31.5</v>
      </c>
      <c r="J281" s="4" t="n">
        <v>192</v>
      </c>
      <c r="K281" t="inlineStr">
        <is>
          <t>105 / 87</t>
        </is>
      </c>
      <c r="L281" t="inlineStr">
        <is>
          <t>31 / 18</t>
        </is>
      </c>
      <c r="M281" s="5" t="n">
        <v>0.55</v>
      </c>
      <c r="N281" s="5" t="n">
        <v>0.63</v>
      </c>
    </row>
    <row r="282">
      <c r="A282" t="n">
        <v>281</v>
      </c>
      <c r="B282" t="n">
        <v>2012</v>
      </c>
      <c r="C282" t="inlineStr">
        <is>
          <t>Kristina Khlyebnykova</t>
        </is>
      </c>
      <c r="D282">
        <f>HYPERLINK("https://ota.tournamentsoftware.com/player-profile/D585FC7E-ABD0-44A4-A0AC-539E39880B84", "Link")</f>
        <v/>
      </c>
      <c r="E282" s="3" t="n">
        <v>267.654</v>
      </c>
      <c r="F282" s="4" t="n">
        <v>15</v>
      </c>
      <c r="G282" t="inlineStr">
        <is>
          <t>Ontario Tennis Association</t>
        </is>
      </c>
      <c r="H282" t="inlineStr">
        <is>
          <t>Concord Tennis Academy</t>
        </is>
      </c>
      <c r="I282" t="n">
        <v>32.6</v>
      </c>
      <c r="J282" s="4" t="n">
        <v>74</v>
      </c>
      <c r="K282" t="inlineStr">
        <is>
          <t>35 / 39</t>
        </is>
      </c>
      <c r="L282" t="inlineStr">
        <is>
          <t>14 / 12</t>
        </is>
      </c>
      <c r="M282" s="5" t="n">
        <v>0.47</v>
      </c>
      <c r="N282" s="5" t="n">
        <v>0.54</v>
      </c>
    </row>
    <row r="283">
      <c r="A283" t="n">
        <v>282</v>
      </c>
      <c r="B283" t="n">
        <v>2015</v>
      </c>
      <c r="C283" t="inlineStr">
        <is>
          <t>Alia Idrissi Serghini</t>
        </is>
      </c>
      <c r="D283">
        <f>HYPERLINK("https://ota.tournamentsoftware.com/player-profile/CF328206-362D-4259-AA9F-74B7EF760A80", "Link")</f>
        <v/>
      </c>
      <c r="E283" s="3" t="n">
        <v>267.456</v>
      </c>
      <c r="F283" s="4" t="n">
        <v>18</v>
      </c>
      <c r="G283" t="inlineStr">
        <is>
          <t>Tennis Québec</t>
        </is>
      </c>
      <c r="H283" t="inlineStr">
        <is>
          <t>Centre récréatif de Repentigny / Académie Tennis Momentum</t>
        </is>
      </c>
      <c r="I283" t="n">
        <v>32.6</v>
      </c>
      <c r="J283" s="4" t="n">
        <v>139</v>
      </c>
      <c r="K283" t="inlineStr">
        <is>
          <t>84 / 55</t>
        </is>
      </c>
      <c r="L283" t="inlineStr">
        <is>
          <t>19 / 19</t>
        </is>
      </c>
      <c r="M283" s="5" t="n">
        <v>0.6</v>
      </c>
      <c r="N283" s="5" t="n">
        <v>0.5</v>
      </c>
    </row>
    <row r="284">
      <c r="A284" t="n">
        <v>283</v>
      </c>
      <c r="B284" t="n">
        <v>2015</v>
      </c>
      <c r="C284" t="inlineStr">
        <is>
          <t>Alexia Picciola</t>
        </is>
      </c>
      <c r="D284">
        <f>HYPERLINK("https://ota.tournamentsoftware.com/player-profile/91C9A734-3E6E-45CC-B46D-51BF9C9A7FC4", "Link")</f>
        <v/>
      </c>
      <c r="E284" s="3" t="n">
        <v>264.417</v>
      </c>
      <c r="F284" s="4" t="n">
        <v>19</v>
      </c>
      <c r="G284" t="inlineStr">
        <is>
          <t>Tennis Québec</t>
        </is>
      </c>
      <c r="H284" t="inlineStr">
        <is>
          <t>Tennis Montréal Excellence</t>
        </is>
      </c>
      <c r="I284" t="n">
        <v>31.7</v>
      </c>
      <c r="J284" s="4" t="n">
        <v>164</v>
      </c>
      <c r="K284" t="inlineStr">
        <is>
          <t>79 / 85</t>
        </is>
      </c>
      <c r="L284" t="inlineStr">
        <is>
          <t>32 / 19</t>
        </is>
      </c>
      <c r="M284" s="5" t="n">
        <v>0.48</v>
      </c>
      <c r="N284" s="5" t="n">
        <v>0.63</v>
      </c>
    </row>
    <row r="285">
      <c r="A285" t="n">
        <v>284</v>
      </c>
      <c r="B285" t="n">
        <v>2013</v>
      </c>
      <c r="C285" t="inlineStr">
        <is>
          <t>Mia Tran</t>
        </is>
      </c>
      <c r="D285">
        <f>HYPERLINK("https://ota.tournamentsoftware.com/player-profile/140A029D-3BE9-44F2-AA6A-53ED5C2991A8", "Link")</f>
        <v/>
      </c>
      <c r="E285" s="3" t="n">
        <v>263.72</v>
      </c>
      <c r="F285" s="4" t="n">
        <v>11</v>
      </c>
      <c r="G285" t="inlineStr">
        <is>
          <t>Ontario Tennis Association</t>
        </is>
      </c>
      <c r="H285" t="inlineStr">
        <is>
          <t>SmartVMC Racquetsports by ACE</t>
        </is>
      </c>
      <c r="I285" t="n">
        <v>32.6</v>
      </c>
      <c r="J285" s="4" t="n">
        <v>88</v>
      </c>
      <c r="K285" t="inlineStr">
        <is>
          <t>54 / 34</t>
        </is>
      </c>
      <c r="L285" t="inlineStr">
        <is>
          <t>15 / 9</t>
        </is>
      </c>
      <c r="M285" s="5" t="n">
        <v>0.61</v>
      </c>
      <c r="N285" s="5" t="n">
        <v>0.62</v>
      </c>
    </row>
    <row r="286">
      <c r="A286" t="n">
        <v>285</v>
      </c>
      <c r="B286" t="n">
        <v>2015</v>
      </c>
      <c r="C286" t="inlineStr">
        <is>
          <t>Hannah D'Souza</t>
        </is>
      </c>
      <c r="D286">
        <f>HYPERLINK("https://ota.tournamentsoftware.com/player-profile/6516E6BE-4D11-4CDB-8F62-FFE106E8A899", "Link")</f>
        <v/>
      </c>
      <c r="E286" s="3" t="n">
        <v>263.065</v>
      </c>
      <c r="F286" s="4" t="n">
        <v>29</v>
      </c>
      <c r="G286" t="inlineStr">
        <is>
          <t>Ontario Tennis Association</t>
        </is>
      </c>
      <c r="H286" t="inlineStr">
        <is>
          <t>No Club</t>
        </is>
      </c>
      <c r="I286" t="n">
        <v>33.4</v>
      </c>
      <c r="J286" s="4" t="n">
        <v>162</v>
      </c>
      <c r="K286" t="inlineStr">
        <is>
          <t>67 / 95</t>
        </is>
      </c>
      <c r="L286" t="inlineStr">
        <is>
          <t>23 / 26</t>
        </is>
      </c>
      <c r="M286" s="5" t="n">
        <v>0.41</v>
      </c>
      <c r="N286" s="5" t="n">
        <v>0.47</v>
      </c>
    </row>
    <row r="287">
      <c r="A287" t="n">
        <v>286</v>
      </c>
      <c r="B287" t="n">
        <v>2014</v>
      </c>
      <c r="C287" t="inlineStr">
        <is>
          <t>Thanushka Sadasivam</t>
        </is>
      </c>
      <c r="D287">
        <f>HYPERLINK("https://ota.tournamentsoftware.com/player-profile/CA495DA8-0B9D-4530-9886-FC567CD73AE9", "Link")</f>
        <v/>
      </c>
      <c r="E287" s="3" t="n">
        <v>260.403</v>
      </c>
      <c r="F287" s="4" t="n">
        <v>15</v>
      </c>
      <c r="G287" t="inlineStr">
        <is>
          <t>Ontario Tennis Association</t>
        </is>
      </c>
      <c r="H287" t="inlineStr">
        <is>
          <t>Ontario Racquet Club</t>
        </is>
      </c>
      <c r="I287" t="n">
        <v>35.2</v>
      </c>
      <c r="J287" s="4" t="n">
        <v>59</v>
      </c>
      <c r="K287" t="inlineStr">
        <is>
          <t>25 / 34</t>
        </is>
      </c>
      <c r="L287" t="inlineStr">
        <is>
          <t>7 / 12</t>
        </is>
      </c>
      <c r="M287" s="5" t="n">
        <v>0.42</v>
      </c>
      <c r="N287" s="5" t="n">
        <v>0.37</v>
      </c>
    </row>
    <row r="288">
      <c r="A288" t="n">
        <v>287</v>
      </c>
      <c r="B288" t="n">
        <v>2015</v>
      </c>
      <c r="C288" t="inlineStr">
        <is>
          <t>Emma Xu</t>
        </is>
      </c>
      <c r="D288">
        <f>HYPERLINK("https://ota.tournamentsoftware.com/player-profile/464089C3-D2B4-413F-A102-AF0AEFF9A318", "Link")</f>
        <v/>
      </c>
      <c r="E288" s="3" t="n">
        <v>259.338</v>
      </c>
      <c r="F288" s="4" t="n">
        <v>9</v>
      </c>
      <c r="G288" t="inlineStr">
        <is>
          <t>Tennis Manitoba</t>
        </is>
      </c>
      <c r="H288" t="inlineStr">
        <is>
          <t>Taylor Tennis</t>
        </is>
      </c>
      <c r="I288" t="n">
        <v>36.3</v>
      </c>
      <c r="J288" s="4" t="n">
        <v>100</v>
      </c>
      <c r="K288" t="inlineStr">
        <is>
          <t>27 / 73</t>
        </is>
      </c>
      <c r="L288" t="inlineStr">
        <is>
          <t>9 / 28</t>
        </is>
      </c>
      <c r="M288" s="5" t="n">
        <v>0.27</v>
      </c>
      <c r="N288" s="5" t="n">
        <v>0.24</v>
      </c>
    </row>
    <row r="289">
      <c r="A289" t="n">
        <v>288</v>
      </c>
      <c r="B289" t="n">
        <v>2015</v>
      </c>
      <c r="C289" t="inlineStr">
        <is>
          <t>Sofia Twynam</t>
        </is>
      </c>
      <c r="D289">
        <f>HYPERLINK("https://ota.tournamentsoftware.com/player-profile/025F0929-F490-4440-8CB6-08E8D1F59F08", "Link")</f>
        <v/>
      </c>
      <c r="E289" s="3" t="n">
        <v>259.039</v>
      </c>
      <c r="F289" s="4" t="n">
        <v>16</v>
      </c>
      <c r="G289" t="inlineStr">
        <is>
          <t>Tennis Québec</t>
        </is>
      </c>
      <c r="H289" t="inlineStr">
        <is>
          <t>SANI Sport</t>
        </is>
      </c>
      <c r="I289" t="n">
        <v>32.1</v>
      </c>
      <c r="J289" s="4" t="n">
        <v>132</v>
      </c>
      <c r="K289" t="inlineStr">
        <is>
          <t>73 / 59</t>
        </is>
      </c>
      <c r="L289" t="inlineStr">
        <is>
          <t>18 / 16</t>
        </is>
      </c>
      <c r="M289" s="5" t="n">
        <v>0.55</v>
      </c>
      <c r="N289" s="5" t="n">
        <v>0.53</v>
      </c>
    </row>
    <row r="290">
      <c r="A290" t="n">
        <v>289</v>
      </c>
      <c r="B290" t="n">
        <v>2013</v>
      </c>
      <c r="C290" t="inlineStr">
        <is>
          <t>Ebun Fasanya</t>
        </is>
      </c>
      <c r="D290">
        <f>HYPERLINK("https://ota.tournamentsoftware.com/player-profile/943BB22B-8108-44B4-80BD-15A6984D1D23", "Link")</f>
        <v/>
      </c>
      <c r="E290" s="3" t="n">
        <v>256.168</v>
      </c>
      <c r="F290" s="4" t="n">
        <v>17</v>
      </c>
      <c r="G290" t="inlineStr">
        <is>
          <t>Ontario Tennis Association</t>
        </is>
      </c>
      <c r="H290" t="inlineStr">
        <is>
          <t>Joshua Creek Golf &amp; Tennis</t>
        </is>
      </c>
      <c r="I290" t="n">
        <v>33.9</v>
      </c>
      <c r="J290" s="4" t="n">
        <v>82</v>
      </c>
      <c r="K290" t="inlineStr">
        <is>
          <t>45 / 37</t>
        </is>
      </c>
      <c r="L290" t="inlineStr">
        <is>
          <t>17 / 14</t>
        </is>
      </c>
      <c r="M290" s="5" t="n">
        <v>0.55</v>
      </c>
      <c r="N290" s="5" t="n">
        <v>0.55</v>
      </c>
    </row>
    <row r="291">
      <c r="A291" t="n">
        <v>290</v>
      </c>
      <c r="B291" t="n">
        <v>2014</v>
      </c>
      <c r="C291" t="inlineStr">
        <is>
          <t>SOFIA LUCKY</t>
        </is>
      </c>
      <c r="D291">
        <f>HYPERLINK("https://ota.tournamentsoftware.com/player-profile/9A590660-3C23-4CD7-A9AF-30CC3227EC17", "Link")</f>
        <v/>
      </c>
      <c r="E291" s="3" t="n">
        <v>252.375</v>
      </c>
      <c r="F291" s="4" t="n">
        <v>11</v>
      </c>
      <c r="G291" t="inlineStr">
        <is>
          <t>Tennis Québec</t>
        </is>
      </c>
      <c r="H291" t="inlineStr">
        <is>
          <t>Académie de tennis UNI(T)</t>
        </is>
      </c>
      <c r="I291" t="n">
        <v>34.1</v>
      </c>
      <c r="J291" s="4" t="n">
        <v>89</v>
      </c>
      <c r="K291" t="inlineStr">
        <is>
          <t>33 / 56</t>
        </is>
      </c>
      <c r="L291" t="inlineStr">
        <is>
          <t>12 / 11</t>
        </is>
      </c>
      <c r="M291" s="5" t="n">
        <v>0.37</v>
      </c>
      <c r="N291" s="5" t="n">
        <v>0.52</v>
      </c>
    </row>
    <row r="292">
      <c r="A292" t="n">
        <v>291</v>
      </c>
      <c r="B292" t="n">
        <v>2015</v>
      </c>
      <c r="C292" t="inlineStr">
        <is>
          <t>Ella Potechin</t>
        </is>
      </c>
      <c r="D292">
        <f>HYPERLINK("https://ota.tournamentsoftware.com/player-profile/6611C50A-5A2F-4DF7-B99B-97DD644D2C2A", "Link")</f>
        <v/>
      </c>
      <c r="E292" s="3" t="n">
        <v>251.009</v>
      </c>
      <c r="F292" s="4" t="n">
        <v>16</v>
      </c>
      <c r="G292" t="inlineStr">
        <is>
          <t>Ontario Tennis Association</t>
        </is>
      </c>
      <c r="H292" t="inlineStr">
        <is>
          <t>Tennis Outaouais Performance (TOP) ON</t>
        </is>
      </c>
      <c r="I292" t="n">
        <v>34.9</v>
      </c>
      <c r="J292" s="4" t="n">
        <v>99</v>
      </c>
      <c r="K292" t="inlineStr">
        <is>
          <t>41 / 58</t>
        </is>
      </c>
      <c r="L292" t="inlineStr">
        <is>
          <t>24 / 22</t>
        </is>
      </c>
      <c r="M292" s="5" t="n">
        <v>0.41</v>
      </c>
      <c r="N292" s="5" t="n">
        <v>0.52</v>
      </c>
    </row>
    <row r="293">
      <c r="A293" t="n">
        <v>292</v>
      </c>
      <c r="B293" t="n">
        <v>2012</v>
      </c>
      <c r="C293" t="inlineStr">
        <is>
          <t>Louanna Perron</t>
        </is>
      </c>
      <c r="D293">
        <f>HYPERLINK("https://ota.tournamentsoftware.com/player-profile/0D5BD355-F71F-4A8A-B269-0D225B56C809", "Link")</f>
        <v/>
      </c>
      <c r="E293" s="3" t="n">
        <v>250.523</v>
      </c>
      <c r="F293" s="4" t="n">
        <v>10</v>
      </c>
      <c r="G293" t="inlineStr">
        <is>
          <t>Tennis Québec</t>
        </is>
      </c>
      <c r="H293" t="inlineStr">
        <is>
          <t>Tennis 13 / Académie Ménard et associé</t>
        </is>
      </c>
      <c r="I293" t="n">
        <v>33.1</v>
      </c>
      <c r="J293" s="4" t="n">
        <v>26</v>
      </c>
      <c r="K293" t="inlineStr">
        <is>
          <t>10 / 16</t>
        </is>
      </c>
      <c r="L293" t="inlineStr">
        <is>
          <t>4 / 8</t>
        </is>
      </c>
      <c r="M293" s="5" t="n">
        <v>0.38</v>
      </c>
      <c r="N293" s="5" t="n">
        <v>0.33</v>
      </c>
    </row>
    <row r="294">
      <c r="A294" t="n">
        <v>293</v>
      </c>
      <c r="B294" t="n">
        <v>2015</v>
      </c>
      <c r="C294" t="inlineStr">
        <is>
          <t>Lydia Huang</t>
        </is>
      </c>
      <c r="D294">
        <f>HYPERLINK("https://ota.tournamentsoftware.com/player-profile/C398C976-6D88-4D76-B532-8E986C6FF0EA", "Link")</f>
        <v/>
      </c>
      <c r="E294" s="3" t="n">
        <v>250.066</v>
      </c>
      <c r="F294" s="4" t="n">
        <v>31</v>
      </c>
      <c r="G294" t="inlineStr">
        <is>
          <t>Ontario Tennis Association</t>
        </is>
      </c>
      <c r="H294" t="inlineStr">
        <is>
          <t>The Supreme Court Tennis Club</t>
        </is>
      </c>
      <c r="I294" t="n">
        <v>32.4</v>
      </c>
      <c r="J294" s="4" t="n">
        <v>106</v>
      </c>
      <c r="K294" t="inlineStr">
        <is>
          <t>65 / 41</t>
        </is>
      </c>
      <c r="L294" t="inlineStr">
        <is>
          <t>36 / 23</t>
        </is>
      </c>
      <c r="M294" s="5" t="n">
        <v>0.61</v>
      </c>
      <c r="N294" s="5" t="n">
        <v>0.61</v>
      </c>
    </row>
    <row r="295">
      <c r="A295" t="n">
        <v>294</v>
      </c>
      <c r="B295" t="n">
        <v>2012</v>
      </c>
      <c r="C295" t="inlineStr">
        <is>
          <t>Shrreya Elkturi</t>
        </is>
      </c>
      <c r="D295">
        <f>HYPERLINK("https://ota.tournamentsoftware.com/player-profile/1A8DA0C1-51FB-48B8-8AED-D37DAB186E95", "Link")</f>
        <v/>
      </c>
      <c r="E295" s="3" t="n">
        <v>249.635</v>
      </c>
      <c r="F295" s="4" t="n">
        <v>23</v>
      </c>
      <c r="G295" t="inlineStr">
        <is>
          <t>Ontario Tennis Association</t>
        </is>
      </c>
      <c r="H295" t="inlineStr">
        <is>
          <t>No Club</t>
        </is>
      </c>
      <c r="I295" t="n">
        <v>32.7</v>
      </c>
      <c r="J295" s="4" t="n">
        <v>87</v>
      </c>
      <c r="K295" t="inlineStr">
        <is>
          <t>31 / 56</t>
        </is>
      </c>
      <c r="L295" t="inlineStr">
        <is>
          <t>16 / 18</t>
        </is>
      </c>
      <c r="M295" s="5" t="n">
        <v>0.36</v>
      </c>
      <c r="N295" s="5" t="n">
        <v>0.47</v>
      </c>
    </row>
    <row r="296">
      <c r="A296" t="n">
        <v>295</v>
      </c>
      <c r="B296" t="n">
        <v>2014</v>
      </c>
      <c r="C296" t="inlineStr">
        <is>
          <t>Emma Lajoie</t>
        </is>
      </c>
      <c r="D296">
        <f>HYPERLINK("https://ota.tournamentsoftware.com/player-profile/E1635D80-45C0-4A06-8270-280699032897", "Link")</f>
        <v/>
      </c>
      <c r="E296" s="3" t="n">
        <v>249.285</v>
      </c>
      <c r="F296" s="4" t="n">
        <v>19</v>
      </c>
      <c r="G296" t="inlineStr">
        <is>
          <t>Tennis Québec</t>
        </is>
      </c>
      <c r="H296" t="inlineStr">
        <is>
          <t>SANI Sport</t>
        </is>
      </c>
      <c r="I296" t="n">
        <v>33</v>
      </c>
      <c r="J296" s="4" t="n">
        <v>160</v>
      </c>
      <c r="K296" t="inlineStr">
        <is>
          <t>81 / 79</t>
        </is>
      </c>
      <c r="L296" t="inlineStr">
        <is>
          <t>19 / 23</t>
        </is>
      </c>
      <c r="M296" s="5" t="n">
        <v>0.51</v>
      </c>
      <c r="N296" s="5" t="n">
        <v>0.45</v>
      </c>
    </row>
    <row r="297">
      <c r="A297" t="n">
        <v>296</v>
      </c>
      <c r="B297" t="n">
        <v>2013</v>
      </c>
      <c r="C297" t="inlineStr">
        <is>
          <t>Ava Dancik</t>
        </is>
      </c>
      <c r="D297">
        <f>HYPERLINK("https://ota.tournamentsoftware.com/player-profile/CF808414-C0CE-4B07-9667-D3EE492D6BCE", "Link")</f>
        <v/>
      </c>
      <c r="E297" s="3" t="n">
        <v>245.24</v>
      </c>
      <c r="F297" s="4" t="n">
        <v>14</v>
      </c>
      <c r="G297" t="inlineStr">
        <is>
          <t>Tennis Québec</t>
        </is>
      </c>
      <c r="H297" t="inlineStr">
        <is>
          <t>Tennis Ile- des- Soeurs</t>
        </is>
      </c>
      <c r="I297" t="n">
        <v>31.5</v>
      </c>
      <c r="J297" s="4" t="n">
        <v>219</v>
      </c>
      <c r="K297" t="inlineStr">
        <is>
          <t>112 / 107</t>
        </is>
      </c>
      <c r="L297" t="inlineStr">
        <is>
          <t>16 / 10</t>
        </is>
      </c>
      <c r="M297" s="5" t="n">
        <v>0.51</v>
      </c>
      <c r="N297" s="5" t="n">
        <v>0.62</v>
      </c>
    </row>
    <row r="298">
      <c r="A298" t="n">
        <v>297</v>
      </c>
      <c r="B298" t="n">
        <v>2015</v>
      </c>
      <c r="C298" t="inlineStr">
        <is>
          <t>MASAL ELA YAZICI</t>
        </is>
      </c>
      <c r="D298">
        <f>HYPERLINK("https://ota.tournamentsoftware.com/player-profile/8556435C-B5F1-47A5-8C4A-46AF5B800D78", "Link")</f>
        <v/>
      </c>
      <c r="E298" s="3" t="n">
        <v>245.186</v>
      </c>
      <c r="F298" s="4" t="n">
        <v>23</v>
      </c>
      <c r="G298" t="inlineStr">
        <is>
          <t>Ontario Tennis Association</t>
        </is>
      </c>
      <c r="H298" t="inlineStr">
        <is>
          <t>Mayfair West Fitness &amp; Racquet Club</t>
        </is>
      </c>
      <c r="I298" t="n">
        <v>33.6</v>
      </c>
      <c r="J298" s="4" t="n">
        <v>62</v>
      </c>
      <c r="K298" t="inlineStr">
        <is>
          <t>37 / 25</t>
        </is>
      </c>
      <c r="L298" t="inlineStr">
        <is>
          <t>29 / 18</t>
        </is>
      </c>
      <c r="M298" s="5" t="n">
        <v>0.6</v>
      </c>
      <c r="N298" s="5" t="n">
        <v>0.62</v>
      </c>
    </row>
    <row r="299">
      <c r="A299" t="n">
        <v>298</v>
      </c>
      <c r="B299" t="n">
        <v>2016</v>
      </c>
      <c r="C299" t="inlineStr">
        <is>
          <t>Minna TAN</t>
        </is>
      </c>
      <c r="D299">
        <f>HYPERLINK("https://ota.tournamentsoftware.com/player-profile/4830D271-776A-41F3-B5D9-B5D2EC272CB4", "Link")</f>
        <v/>
      </c>
      <c r="E299" s="3" t="n">
        <v>244.921</v>
      </c>
      <c r="F299" s="4" t="n">
        <v>11</v>
      </c>
      <c r="G299" t="inlineStr">
        <is>
          <t>Tennis Québec</t>
        </is>
      </c>
      <c r="H299" t="inlineStr">
        <is>
          <t>Tennis Ile- des- Soeurs</t>
        </is>
      </c>
      <c r="I299" t="n">
        <v>31.7</v>
      </c>
      <c r="J299" s="4" t="n">
        <v>87</v>
      </c>
      <c r="K299" t="inlineStr">
        <is>
          <t>55 / 32</t>
        </is>
      </c>
      <c r="L299" t="inlineStr">
        <is>
          <t>23 / 7</t>
        </is>
      </c>
      <c r="M299" s="5" t="n">
        <v>0.63</v>
      </c>
      <c r="N299" s="5" t="n">
        <v>0.77</v>
      </c>
    </row>
    <row r="300">
      <c r="A300" t="n">
        <v>299</v>
      </c>
      <c r="B300" t="n">
        <v>2012</v>
      </c>
      <c r="C300" t="inlineStr">
        <is>
          <t>Sophia Zhang</t>
        </is>
      </c>
      <c r="D300">
        <f>HYPERLINK("https://ota.tournamentsoftware.com/player-profile/D3858E79-6F6D-42C3-B497-74590CD50165", "Link")</f>
        <v/>
      </c>
      <c r="E300" s="3" t="n">
        <v>242.786</v>
      </c>
      <c r="F300" s="4" t="n">
        <v>9</v>
      </c>
      <c r="G300" t="inlineStr">
        <is>
          <t>British Columbia</t>
        </is>
      </c>
      <c r="H300" t="inlineStr">
        <is>
          <t>Richmond Country Club</t>
        </is>
      </c>
      <c r="I300" t="n">
        <v>33.8</v>
      </c>
      <c r="J300" s="4" t="n">
        <v>122</v>
      </c>
      <c r="K300" t="inlineStr">
        <is>
          <t>33 / 89</t>
        </is>
      </c>
      <c r="L300" t="inlineStr">
        <is>
          <t>1 / 12</t>
        </is>
      </c>
      <c r="M300" s="5" t="n">
        <v>0.27</v>
      </c>
      <c r="N300" s="5" t="n">
        <v>0.08</v>
      </c>
    </row>
    <row r="301">
      <c r="A301" t="n">
        <v>300</v>
      </c>
      <c r="B301" t="n">
        <v>2012</v>
      </c>
      <c r="C301" t="inlineStr">
        <is>
          <t>MICHELLE OREANE OLA ECHAO</t>
        </is>
      </c>
      <c r="D301">
        <f>HYPERLINK("https://ota.tournamentsoftware.com/player-profile/50FA5AE5-9557-483C-94FB-05937E25C837", "Link")</f>
        <v/>
      </c>
      <c r="E301" s="3" t="n">
        <v>241.101</v>
      </c>
      <c r="F301" s="4" t="n">
        <v>9</v>
      </c>
      <c r="G301" t="inlineStr">
        <is>
          <t>Ontario Tennis Association</t>
        </is>
      </c>
      <c r="H301" t="inlineStr">
        <is>
          <t>Rideau Sports Centre</t>
        </is>
      </c>
      <c r="I301" t="n">
        <v>36.9</v>
      </c>
      <c r="J301" s="4" t="n">
        <v>55</v>
      </c>
      <c r="K301" t="inlineStr">
        <is>
          <t>12 / 43</t>
        </is>
      </c>
      <c r="L301" t="inlineStr">
        <is>
          <t>3 / 8</t>
        </is>
      </c>
      <c r="M301" s="5" t="n">
        <v>0.22</v>
      </c>
      <c r="N301" s="5" t="n">
        <v>0.27</v>
      </c>
    </row>
    <row r="302">
      <c r="A302" t="n">
        <v>301</v>
      </c>
      <c r="B302" t="n">
        <v>2015</v>
      </c>
      <c r="C302" t="inlineStr">
        <is>
          <t>Liana Arendain</t>
        </is>
      </c>
      <c r="D302">
        <f>HYPERLINK("https://ota.tournamentsoftware.com/player-profile/2D89D481-D621-43AF-8792-3F0114FE4D77", "Link")</f>
        <v/>
      </c>
      <c r="E302" s="3" t="n">
        <v>238.244</v>
      </c>
      <c r="F302" s="4" t="n">
        <v>20</v>
      </c>
      <c r="G302" t="inlineStr">
        <is>
          <t>Tennis Alberta</t>
        </is>
      </c>
      <c r="H302" t="inlineStr">
        <is>
          <t>Saville Community Sports Centre</t>
        </is>
      </c>
      <c r="I302" t="n">
        <v>30.4</v>
      </c>
      <c r="J302" s="4" t="n">
        <v>150</v>
      </c>
      <c r="K302" t="inlineStr">
        <is>
          <t>103 / 47</t>
        </is>
      </c>
      <c r="L302" t="inlineStr">
        <is>
          <t>36 / 19</t>
        </is>
      </c>
      <c r="M302" s="5" t="n">
        <v>0.6899999999999999</v>
      </c>
      <c r="N302" s="5" t="n">
        <v>0.65</v>
      </c>
    </row>
    <row r="303">
      <c r="A303" t="n">
        <v>302</v>
      </c>
      <c r="B303" t="n">
        <v>2012</v>
      </c>
      <c r="C303" t="inlineStr">
        <is>
          <t>Ariella Wainer</t>
        </is>
      </c>
      <c r="D303">
        <f>HYPERLINK("https://ota.tournamentsoftware.com/player-profile/29A07F50-E6F3-4FFE-84BF-31DB048552D6", "Link")</f>
        <v/>
      </c>
      <c r="E303" s="3" t="n">
        <v>238.158</v>
      </c>
      <c r="F303" s="4" t="n">
        <v>21</v>
      </c>
      <c r="G303" t="inlineStr">
        <is>
          <t>Tennis Québec</t>
        </is>
      </c>
      <c r="H303" t="inlineStr">
        <is>
          <t>Club Sportif Côte-de-Liesse</t>
        </is>
      </c>
      <c r="I303" t="n">
        <v>34.2</v>
      </c>
      <c r="J303" s="4" t="n">
        <v>172</v>
      </c>
      <c r="K303" t="inlineStr">
        <is>
          <t>60 / 112</t>
        </is>
      </c>
      <c r="L303" t="inlineStr">
        <is>
          <t>6 / 17</t>
        </is>
      </c>
      <c r="M303" s="5" t="n">
        <v>0.35</v>
      </c>
      <c r="N303" s="5" t="n">
        <v>0.26</v>
      </c>
    </row>
    <row r="304">
      <c r="A304" t="n">
        <v>303</v>
      </c>
      <c r="B304" t="n">
        <v>2015</v>
      </c>
      <c r="C304" t="inlineStr">
        <is>
          <t>Violetta Munoz</t>
        </is>
      </c>
      <c r="D304">
        <f>HYPERLINK("https://ota.tournamentsoftware.com/player-profile/55FD2B42-2961-45DA-8250-9ECCED0E6566", "Link")</f>
        <v/>
      </c>
      <c r="E304" s="3" t="n">
        <v>236.517</v>
      </c>
      <c r="F304" s="4" t="n">
        <v>23</v>
      </c>
      <c r="G304" t="inlineStr">
        <is>
          <t>Tennis Québec</t>
        </is>
      </c>
      <c r="H304" t="inlineStr">
        <is>
          <t>Carrefour Multisports</t>
        </is>
      </c>
      <c r="I304" t="n">
        <v>32.3</v>
      </c>
      <c r="J304" s="4" t="n">
        <v>181</v>
      </c>
      <c r="K304" t="inlineStr">
        <is>
          <t>94 / 87</t>
        </is>
      </c>
      <c r="L304" t="inlineStr">
        <is>
          <t>23 / 22</t>
        </is>
      </c>
      <c r="M304" s="5" t="n">
        <v>0.52</v>
      </c>
      <c r="N304" s="5" t="n">
        <v>0.51</v>
      </c>
    </row>
    <row r="305">
      <c r="A305" t="n">
        <v>304</v>
      </c>
      <c r="B305" t="n">
        <v>2014</v>
      </c>
      <c r="C305" t="inlineStr">
        <is>
          <t>Penelope Anne McMillan</t>
        </is>
      </c>
      <c r="D305">
        <f>HYPERLINK("https://ota.tournamentsoftware.com/player-profile/D7699338-4FE5-4F30-9A7D-8E14842C2A9B", "Link")</f>
        <v/>
      </c>
      <c r="E305" s="3" t="n">
        <v>235.813</v>
      </c>
      <c r="F305" s="4" t="n">
        <v>9</v>
      </c>
      <c r="G305" t="inlineStr">
        <is>
          <t>Tennis Nova Scotia</t>
        </is>
      </c>
      <c r="H305" t="inlineStr">
        <is>
          <t>Atlantic Tennis Centre</t>
        </is>
      </c>
      <c r="I305" t="n">
        <v>35.7</v>
      </c>
      <c r="J305" s="4" t="n">
        <v>110</v>
      </c>
      <c r="K305" t="inlineStr">
        <is>
          <t>46 / 64</t>
        </is>
      </c>
      <c r="L305" t="inlineStr">
        <is>
          <t>16 / 24</t>
        </is>
      </c>
      <c r="M305" s="5" t="n">
        <v>0.42</v>
      </c>
      <c r="N305" s="5" t="n">
        <v>0.4</v>
      </c>
    </row>
    <row r="306">
      <c r="A306" t="n">
        <v>305</v>
      </c>
      <c r="B306" t="n">
        <v>2013</v>
      </c>
      <c r="C306" t="inlineStr">
        <is>
          <t>Hazel Sharma</t>
        </is>
      </c>
      <c r="D306">
        <f>HYPERLINK("https://ota.tournamentsoftware.com/player-profile/114D9BCA-C6DA-49E0-9F64-5FB54E5B0E3E", "Link")</f>
        <v/>
      </c>
      <c r="E306" s="3" t="n">
        <v>234.934</v>
      </c>
      <c r="F306" s="4" t="n">
        <v>14</v>
      </c>
      <c r="G306" t="inlineStr">
        <is>
          <t>British Columbia</t>
        </is>
      </c>
      <c r="H306" t="inlineStr">
        <is>
          <t>The Tennis Centre</t>
        </is>
      </c>
      <c r="I306" t="n">
        <v>32.6</v>
      </c>
      <c r="J306" s="4" t="n">
        <v>192</v>
      </c>
      <c r="K306" t="inlineStr">
        <is>
          <t>85 / 107</t>
        </is>
      </c>
      <c r="L306" t="inlineStr">
        <is>
          <t>16 / 12</t>
        </is>
      </c>
      <c r="M306" s="5" t="n">
        <v>0.44</v>
      </c>
      <c r="N306" s="5" t="n">
        <v>0.57</v>
      </c>
    </row>
    <row r="307">
      <c r="A307" t="n">
        <v>306</v>
      </c>
      <c r="B307" t="n">
        <v>2015</v>
      </c>
      <c r="C307" t="inlineStr">
        <is>
          <t>ESTHER HAO</t>
        </is>
      </c>
      <c r="D307">
        <f>HYPERLINK("https://ota.tournamentsoftware.com/player-profile/8EA584DE-3986-4803-A3AA-F96230F853A7", "Link")</f>
        <v/>
      </c>
      <c r="E307" s="3" t="n">
        <v>233.33</v>
      </c>
      <c r="F307" s="4" t="n">
        <v>14</v>
      </c>
      <c r="G307" t="inlineStr">
        <is>
          <t>Ontario Tennis Association</t>
        </is>
      </c>
      <c r="H307" t="inlineStr">
        <is>
          <t>Ontario Racquet Club</t>
        </is>
      </c>
      <c r="I307" t="n">
        <v>34.2</v>
      </c>
      <c r="J307" s="4" t="n">
        <v>215</v>
      </c>
      <c r="K307" t="inlineStr">
        <is>
          <t>131 / 84</t>
        </is>
      </c>
      <c r="L307" t="inlineStr">
        <is>
          <t>9 / 9</t>
        </is>
      </c>
      <c r="M307" s="5" t="n">
        <v>0.61</v>
      </c>
      <c r="N307" s="5" t="n">
        <v>0.5</v>
      </c>
    </row>
    <row r="308">
      <c r="A308" t="n">
        <v>307</v>
      </c>
      <c r="B308" t="n">
        <v>2015</v>
      </c>
      <c r="C308" t="inlineStr">
        <is>
          <t>Daniella Lynne Lee</t>
        </is>
      </c>
      <c r="D308">
        <f>HYPERLINK("https://ota.tournamentsoftware.com/player-profile/92FC49CB-246B-48E6-ABC3-903AA780449F", "Link")</f>
        <v/>
      </c>
      <c r="E308" s="3" t="n">
        <v>232.641</v>
      </c>
      <c r="F308" s="4" t="n">
        <v>28</v>
      </c>
      <c r="G308" t="inlineStr">
        <is>
          <t>British Columbia</t>
        </is>
      </c>
      <c r="H308" t="inlineStr">
        <is>
          <t>Arbutus Club</t>
        </is>
      </c>
      <c r="I308" t="n">
        <v>32.3</v>
      </c>
      <c r="J308" s="4" t="n">
        <v>138</v>
      </c>
      <c r="K308" t="inlineStr">
        <is>
          <t>70 / 68</t>
        </is>
      </c>
      <c r="L308" t="inlineStr">
        <is>
          <t>31 / 29</t>
        </is>
      </c>
      <c r="M308" s="5" t="n">
        <v>0.51</v>
      </c>
      <c r="N308" s="5" t="n">
        <v>0.52</v>
      </c>
    </row>
    <row r="309">
      <c r="A309" t="n">
        <v>308</v>
      </c>
      <c r="B309" t="n">
        <v>2016</v>
      </c>
      <c r="C309" t="inlineStr">
        <is>
          <t>Tanishka Varishtha Tripathi</t>
        </is>
      </c>
      <c r="D309">
        <f>HYPERLINK("https://ota.tournamentsoftware.com/player-profile/C966D3AB-F944-4405-A712-C5FA591776A1", "Link")</f>
        <v/>
      </c>
      <c r="E309" s="3" t="n">
        <v>232.274</v>
      </c>
      <c r="F309" s="4" t="n">
        <v>14</v>
      </c>
      <c r="G309" t="inlineStr">
        <is>
          <t>Ontario Tennis Association</t>
        </is>
      </c>
      <c r="H309" t="inlineStr">
        <is>
          <t>Tennis Outaouais Performance (TOP) ON</t>
        </is>
      </c>
      <c r="I309" t="n">
        <v>32.2</v>
      </c>
      <c r="J309" s="4" t="n">
        <v>152</v>
      </c>
      <c r="K309" t="inlineStr">
        <is>
          <t>112 / 40</t>
        </is>
      </c>
      <c r="L309" t="inlineStr">
        <is>
          <t>35 / 13</t>
        </is>
      </c>
      <c r="M309" s="5" t="n">
        <v>0.74</v>
      </c>
      <c r="N309" s="5" t="n">
        <v>0.73</v>
      </c>
    </row>
    <row r="310">
      <c r="A310" t="n">
        <v>309</v>
      </c>
      <c r="B310" t="n">
        <v>2015</v>
      </c>
      <c r="C310" t="inlineStr">
        <is>
          <t>Navena Thelepan</t>
        </is>
      </c>
      <c r="D310">
        <f>HYPERLINK("https://ota.tournamentsoftware.com/player-profile/811C2EA5-51E7-4FDE-BF82-1DF3D9D0AD27", "Link")</f>
        <v/>
      </c>
      <c r="E310" s="3" t="n">
        <v>231.661</v>
      </c>
      <c r="F310" s="4" t="n">
        <v>46</v>
      </c>
      <c r="G310" t="inlineStr">
        <is>
          <t>Ontario Tennis Association</t>
        </is>
      </c>
      <c r="H310" t="inlineStr">
        <is>
          <t>Markham Tennis Club</t>
        </is>
      </c>
      <c r="I310" t="n">
        <v>35.4</v>
      </c>
      <c r="J310" s="4" t="n">
        <v>151</v>
      </c>
      <c r="K310" t="inlineStr">
        <is>
          <t>68 / 83</t>
        </is>
      </c>
      <c r="L310" t="inlineStr">
        <is>
          <t>24 / 46</t>
        </is>
      </c>
      <c r="M310" s="5" t="n">
        <v>0.45</v>
      </c>
      <c r="N310" s="5" t="n">
        <v>0.34</v>
      </c>
    </row>
    <row r="311">
      <c r="A311" t="n">
        <v>310</v>
      </c>
      <c r="B311" t="n">
        <v>2012</v>
      </c>
      <c r="C311" t="inlineStr">
        <is>
          <t>Harsimran Kaur Sandhu</t>
        </is>
      </c>
      <c r="D311">
        <f>HYPERLINK("https://ota.tournamentsoftware.com/player-profile/10345BBC-2CC8-4DA1-AA88-2730495B6CB8", "Link")</f>
        <v/>
      </c>
      <c r="E311" s="3" t="n">
        <v>231.48</v>
      </c>
      <c r="F311" s="4" t="n">
        <v>27</v>
      </c>
      <c r="G311" t="inlineStr">
        <is>
          <t>Ontario Tennis Association</t>
        </is>
      </c>
      <c r="H311" t="inlineStr">
        <is>
          <t>Premier Racquet Clubs – Mississauga</t>
        </is>
      </c>
      <c r="I311" t="inlineStr">
        <is>
          <t>unavailable</t>
        </is>
      </c>
      <c r="J311" s="4" t="n">
        <v>112</v>
      </c>
      <c r="K311" t="inlineStr">
        <is>
          <t>51 / 61</t>
        </is>
      </c>
      <c r="L311" t="inlineStr">
        <is>
          <t>26 / 22</t>
        </is>
      </c>
      <c r="M311" s="5" t="n">
        <v>0.46</v>
      </c>
      <c r="N311" s="5" t="n">
        <v>0.54</v>
      </c>
    </row>
    <row r="312">
      <c r="A312" t="n">
        <v>311</v>
      </c>
      <c r="B312" t="n">
        <v>2015</v>
      </c>
      <c r="C312" t="inlineStr">
        <is>
          <t>Lacey Isabella Ly</t>
        </is>
      </c>
      <c r="D312">
        <f>HYPERLINK("https://ota.tournamentsoftware.com/player-profile/878918D3-5C76-4815-A98A-1D1A49BFC21F", "Link")</f>
        <v/>
      </c>
      <c r="E312" s="3" t="n">
        <v>231.26</v>
      </c>
      <c r="F312" s="4" t="n">
        <v>11</v>
      </c>
      <c r="G312" t="inlineStr">
        <is>
          <t>British Columbia</t>
        </is>
      </c>
      <c r="H312" t="inlineStr">
        <is>
          <t>The Tennis Centre</t>
        </is>
      </c>
      <c r="I312" t="n">
        <v>30.9</v>
      </c>
      <c r="J312" s="4" t="n">
        <v>133</v>
      </c>
      <c r="K312" t="inlineStr">
        <is>
          <t>100 / 33</t>
        </is>
      </c>
      <c r="L312" t="inlineStr">
        <is>
          <t>23 / 9</t>
        </is>
      </c>
      <c r="M312" s="5" t="n">
        <v>0.75</v>
      </c>
      <c r="N312" s="5" t="n">
        <v>0.72</v>
      </c>
    </row>
    <row r="313">
      <c r="A313" t="n">
        <v>312</v>
      </c>
      <c r="B313" t="n">
        <v>2014</v>
      </c>
      <c r="C313" t="inlineStr">
        <is>
          <t>Aryella Ainame Duran Khongwir</t>
        </is>
      </c>
      <c r="D313">
        <f>HYPERLINK("https://ota.tournamentsoftware.com/player-profile/6DB3D46F-3C74-400D-92A4-62CF55426936", "Link")</f>
        <v/>
      </c>
      <c r="E313" s="3" t="n">
        <v>230.594</v>
      </c>
      <c r="F313" s="4" t="n">
        <v>19</v>
      </c>
      <c r="G313" t="inlineStr">
        <is>
          <t>Ontario Tennis Association</t>
        </is>
      </c>
      <c r="H313" t="inlineStr">
        <is>
          <t>Stefanovic Tennis Academy</t>
        </is>
      </c>
      <c r="I313" t="n">
        <v>34.7</v>
      </c>
      <c r="J313" s="4" t="n">
        <v>182</v>
      </c>
      <c r="K313" t="inlineStr">
        <is>
          <t>51 / 131</t>
        </is>
      </c>
      <c r="L313" t="inlineStr">
        <is>
          <t>17 / 19</t>
        </is>
      </c>
      <c r="M313" s="5" t="n">
        <v>0.28</v>
      </c>
      <c r="N313" s="5" t="n">
        <v>0.47</v>
      </c>
    </row>
    <row r="314">
      <c r="A314" t="n">
        <v>313</v>
      </c>
      <c r="B314" t="n">
        <v>2012</v>
      </c>
      <c r="C314" t="inlineStr">
        <is>
          <t>Charlotte Gal</t>
        </is>
      </c>
      <c r="D314">
        <f>HYPERLINK("https://ota.tournamentsoftware.com/player-profile/EF0AF614-E6CE-4E3C-9FC4-7EF8A5EB6B57", "Link")</f>
        <v/>
      </c>
      <c r="E314" s="3" t="n">
        <v>229.165</v>
      </c>
      <c r="F314" s="4" t="n">
        <v>4</v>
      </c>
      <c r="G314" t="inlineStr">
        <is>
          <t>Tennis Nova Scotia</t>
        </is>
      </c>
      <c r="H314" t="inlineStr">
        <is>
          <t>HEADSTART</t>
        </is>
      </c>
      <c r="I314" t="n">
        <v>37.1</v>
      </c>
      <c r="J314" s="4" t="n">
        <v>24</v>
      </c>
      <c r="K314" t="inlineStr">
        <is>
          <t>6 / 18</t>
        </is>
      </c>
      <c r="L314" t="inlineStr">
        <is>
          <t>2 / 12</t>
        </is>
      </c>
      <c r="M314" s="5" t="n">
        <v>0.25</v>
      </c>
      <c r="N314" s="5" t="n">
        <v>0.14</v>
      </c>
    </row>
    <row r="315">
      <c r="A315" t="n">
        <v>314</v>
      </c>
      <c r="B315" t="n">
        <v>2012</v>
      </c>
      <c r="C315" t="inlineStr">
        <is>
          <t>Jamie Cui</t>
        </is>
      </c>
      <c r="D315">
        <f>HYPERLINK("https://ota.tournamentsoftware.com/player-profile/6F7B90A5-BECB-44C9-9B4E-74FED8443672", "Link")</f>
        <v/>
      </c>
      <c r="E315" s="3" t="n">
        <v>228.114</v>
      </c>
      <c r="F315" s="4" t="n">
        <v>19</v>
      </c>
      <c r="G315" t="inlineStr">
        <is>
          <t>British Columbia</t>
        </is>
      </c>
      <c r="H315" t="inlineStr">
        <is>
          <t>Coquitlam Tennis Club</t>
        </is>
      </c>
      <c r="I315" t="inlineStr">
        <is>
          <t>unavailable</t>
        </is>
      </c>
      <c r="J315" s="4" t="n">
        <v>173</v>
      </c>
      <c r="K315" t="inlineStr">
        <is>
          <t>49 / 124</t>
        </is>
      </c>
      <c r="L315" t="inlineStr">
        <is>
          <t>12 / 21</t>
        </is>
      </c>
      <c r="M315" s="5" t="n">
        <v>0.28</v>
      </c>
      <c r="N315" s="5" t="n">
        <v>0.36</v>
      </c>
    </row>
    <row r="316">
      <c r="A316" t="n">
        <v>315</v>
      </c>
      <c r="B316" t="n">
        <v>2012</v>
      </c>
      <c r="C316" t="inlineStr">
        <is>
          <t>Saroop Randhawa</t>
        </is>
      </c>
      <c r="D316">
        <f>HYPERLINK("https://ota.tournamentsoftware.com/player-profile/5F710ADB-6059-4376-8917-220BAD95C9B2", "Link")</f>
        <v/>
      </c>
      <c r="E316" s="3" t="n">
        <v>228</v>
      </c>
      <c r="F316" s="4" t="n">
        <v>2</v>
      </c>
      <c r="G316" t="inlineStr">
        <is>
          <t>Ontario Tennis Association</t>
        </is>
      </c>
      <c r="H316" t="inlineStr">
        <is>
          <t>Advantage Tennis International at Veneto</t>
        </is>
      </c>
      <c r="I316" t="n">
        <v>22.6</v>
      </c>
      <c r="J316" s="4" t="n">
        <v>155</v>
      </c>
      <c r="K316" t="inlineStr">
        <is>
          <t>115 / 40</t>
        </is>
      </c>
      <c r="L316" t="inlineStr">
        <is>
          <t>5 / 0</t>
        </is>
      </c>
      <c r="M316" s="5" t="n">
        <v>0.74</v>
      </c>
      <c r="N316" s="5" t="n">
        <v>1</v>
      </c>
    </row>
    <row r="317">
      <c r="A317" t="n">
        <v>316</v>
      </c>
      <c r="B317" t="n">
        <v>2012</v>
      </c>
      <c r="C317" t="inlineStr">
        <is>
          <t>Xinyi Zhang</t>
        </is>
      </c>
      <c r="D317">
        <f>HYPERLINK("https://ota.tournamentsoftware.com/player-profile/BCC8B346-C184-4803-9CC2-592D143B667B", "Link")</f>
        <v/>
      </c>
      <c r="E317" s="3" t="n">
        <v>225.048</v>
      </c>
      <c r="F317" s="4" t="n">
        <v>16</v>
      </c>
      <c r="G317" t="inlineStr">
        <is>
          <t>Ontario Tennis Association</t>
        </is>
      </c>
      <c r="H317" t="inlineStr">
        <is>
          <t>Marilyn Redvers Tennis Club</t>
        </is>
      </c>
      <c r="I317" t="n">
        <v>33.3</v>
      </c>
      <c r="J317" s="4" t="n">
        <v>55</v>
      </c>
      <c r="K317" t="inlineStr">
        <is>
          <t>27 / 28</t>
        </is>
      </c>
      <c r="L317" t="inlineStr">
        <is>
          <t>16 / 20</t>
        </is>
      </c>
      <c r="M317" s="5" t="n">
        <v>0.49</v>
      </c>
      <c r="N317" s="5" t="n">
        <v>0.44</v>
      </c>
    </row>
    <row r="318">
      <c r="A318" t="n">
        <v>317</v>
      </c>
      <c r="B318" t="n">
        <v>2012</v>
      </c>
      <c r="C318" t="inlineStr">
        <is>
          <t>Mavis Li</t>
        </is>
      </c>
      <c r="D318">
        <f>HYPERLINK("https://ota.tournamentsoftware.com/player-profile/FC8D1AE6-D9A0-409A-A095-1B2C12EDB359", "Link")</f>
        <v/>
      </c>
      <c r="E318" s="3" t="n">
        <v>224.257</v>
      </c>
      <c r="F318" s="4" t="n">
        <v>22</v>
      </c>
      <c r="G318" t="inlineStr">
        <is>
          <t>Ontario Tennis Association</t>
        </is>
      </c>
      <c r="H318" t="inlineStr">
        <is>
          <t>Blackmore Tennis Club</t>
        </is>
      </c>
      <c r="I318" t="n">
        <v>35.4</v>
      </c>
      <c r="J318" s="4" t="n">
        <v>67</v>
      </c>
      <c r="K318" t="inlineStr">
        <is>
          <t>24 / 43</t>
        </is>
      </c>
      <c r="L318" t="inlineStr">
        <is>
          <t>9 / 26</t>
        </is>
      </c>
      <c r="M318" s="5" t="n">
        <v>0.36</v>
      </c>
      <c r="N318" s="5" t="n">
        <v>0.26</v>
      </c>
    </row>
    <row r="319">
      <c r="A319" t="n">
        <v>318</v>
      </c>
      <c r="B319" t="n">
        <v>2014</v>
      </c>
      <c r="C319" t="inlineStr">
        <is>
          <t>Skylar Isabelle JOHNSTON</t>
        </is>
      </c>
      <c r="D319">
        <f>HYPERLINK("https://ota.tournamentsoftware.com/player-profile/18CCEC3F-12DA-4A55-A300-393E64FB4F6E", "Link")</f>
        <v/>
      </c>
      <c r="E319" s="3" t="n">
        <v>223.404</v>
      </c>
      <c r="F319" s="4" t="n">
        <v>13</v>
      </c>
      <c r="G319" t="inlineStr">
        <is>
          <t>Tennis Nova Scotia</t>
        </is>
      </c>
      <c r="H319" t="inlineStr">
        <is>
          <t>Gordon Hughes Tennis Club</t>
        </is>
      </c>
      <c r="I319" t="n">
        <v>32.8</v>
      </c>
      <c r="J319" s="4" t="n">
        <v>98</v>
      </c>
      <c r="K319" t="inlineStr">
        <is>
          <t>49 / 49</t>
        </is>
      </c>
      <c r="L319" t="inlineStr">
        <is>
          <t>28 / 16</t>
        </is>
      </c>
      <c r="M319" s="5" t="n">
        <v>0.5</v>
      </c>
      <c r="N319" s="5" t="n">
        <v>0.64</v>
      </c>
    </row>
    <row r="320">
      <c r="A320" t="n">
        <v>319</v>
      </c>
      <c r="B320" t="n">
        <v>2013</v>
      </c>
      <c r="C320" t="inlineStr">
        <is>
          <t>Léa Crépault</t>
        </is>
      </c>
      <c r="D320">
        <f>HYPERLINK("https://ota.tournamentsoftware.com/player-profile/A3D2A82D-C6E8-410C-A1B3-E5DC3B845B7A", "Link")</f>
        <v/>
      </c>
      <c r="E320" s="3" t="n">
        <v>219.739</v>
      </c>
      <c r="F320" s="4" t="n">
        <v>21</v>
      </c>
      <c r="G320" t="inlineStr">
        <is>
          <t>Tennis Québec</t>
        </is>
      </c>
      <c r="H320" t="inlineStr">
        <is>
          <t>EB Tennis inc.</t>
        </is>
      </c>
      <c r="I320" t="n">
        <v>34.7</v>
      </c>
      <c r="J320" s="4" t="n">
        <v>161</v>
      </c>
      <c r="K320" t="inlineStr">
        <is>
          <t>45 / 116</t>
        </is>
      </c>
      <c r="L320" t="inlineStr">
        <is>
          <t>9 / 17</t>
        </is>
      </c>
      <c r="M320" s="5" t="n">
        <v>0.28</v>
      </c>
      <c r="N320" s="5" t="n">
        <v>0.35</v>
      </c>
    </row>
    <row r="321">
      <c r="A321" t="n">
        <v>320</v>
      </c>
      <c r="B321" t="n">
        <v>2013</v>
      </c>
      <c r="C321" t="inlineStr">
        <is>
          <t>Makayla Najjar</t>
        </is>
      </c>
      <c r="D321">
        <f>HYPERLINK("https://ota.tournamentsoftware.com/player-profile/A931D3E2-A84F-4018-9B2A-A1664811863E", "Link")</f>
        <v/>
      </c>
      <c r="E321" s="3" t="n">
        <v>219.584</v>
      </c>
      <c r="F321" s="4" t="n">
        <v>13</v>
      </c>
      <c r="G321" t="inlineStr">
        <is>
          <t>Ontario Tennis Association</t>
        </is>
      </c>
      <c r="H321" t="inlineStr">
        <is>
          <t>Premier Racquet Clubs – Mississauga</t>
        </is>
      </c>
      <c r="I321" t="n">
        <v>33.3</v>
      </c>
      <c r="J321" s="4" t="n">
        <v>90</v>
      </c>
      <c r="K321" t="inlineStr">
        <is>
          <t>60 / 30</t>
        </is>
      </c>
      <c r="L321" t="inlineStr">
        <is>
          <t>17 / 11</t>
        </is>
      </c>
      <c r="M321" s="5" t="n">
        <v>0.67</v>
      </c>
      <c r="N321" s="5" t="n">
        <v>0.61</v>
      </c>
    </row>
    <row r="322">
      <c r="A322" t="n">
        <v>321</v>
      </c>
      <c r="B322" t="n">
        <v>2015</v>
      </c>
      <c r="C322" t="inlineStr">
        <is>
          <t>Mikaëlla Jean-Bart</t>
        </is>
      </c>
      <c r="D322">
        <f>HYPERLINK("https://ota.tournamentsoftware.com/player-profile/5309814B-24E5-4F46-920F-74FD0DAF8C7D", "Link")</f>
        <v/>
      </c>
      <c r="E322" s="3" t="n">
        <v>218.826</v>
      </c>
      <c r="F322" s="4" t="n">
        <v>16</v>
      </c>
      <c r="G322" t="inlineStr">
        <is>
          <t>Tennis Québec</t>
        </is>
      </c>
      <c r="H322" t="inlineStr">
        <is>
          <t>Centre récréatif de Repentigny / Académie Tennis Momentum</t>
        </is>
      </c>
      <c r="I322" t="n">
        <v>34.1</v>
      </c>
      <c r="J322" s="4" t="n">
        <v>77</v>
      </c>
      <c r="K322" t="inlineStr">
        <is>
          <t>32 / 45</t>
        </is>
      </c>
      <c r="L322" t="inlineStr">
        <is>
          <t>15 / 17</t>
        </is>
      </c>
      <c r="M322" s="5" t="n">
        <v>0.42</v>
      </c>
      <c r="N322" s="5" t="n">
        <v>0.47</v>
      </c>
    </row>
    <row r="323">
      <c r="A323" t="n">
        <v>322</v>
      </c>
      <c r="B323" t="n">
        <v>2013</v>
      </c>
      <c r="C323" t="inlineStr">
        <is>
          <t>Helena Shengyi Chen</t>
        </is>
      </c>
      <c r="D323">
        <f>HYPERLINK("https://ota.tournamentsoftware.com/player-profile/097D6397-0826-4C15-948E-B983C1D748F4", "Link")</f>
        <v/>
      </c>
      <c r="E323" s="3" t="n">
        <v>218.438</v>
      </c>
      <c r="F323" s="4" t="n">
        <v>15</v>
      </c>
      <c r="G323" t="inlineStr">
        <is>
          <t>British Columbia</t>
        </is>
      </c>
      <c r="H323" t="inlineStr">
        <is>
          <t>Tennis BC Hub @ Richmond</t>
        </is>
      </c>
      <c r="I323" t="n">
        <v>32.9</v>
      </c>
      <c r="J323" s="4" t="n">
        <v>118</v>
      </c>
      <c r="K323" t="inlineStr">
        <is>
          <t>50 / 68</t>
        </is>
      </c>
      <c r="L323" t="inlineStr">
        <is>
          <t>13 / 17</t>
        </is>
      </c>
      <c r="M323" s="5" t="n">
        <v>0.42</v>
      </c>
      <c r="N323" s="5" t="n">
        <v>0.43</v>
      </c>
    </row>
    <row r="324">
      <c r="A324" t="n">
        <v>323</v>
      </c>
      <c r="B324" t="n">
        <v>2015</v>
      </c>
      <c r="C324" t="inlineStr">
        <is>
          <t>Kayla Chevez</t>
        </is>
      </c>
      <c r="D324">
        <f>HYPERLINK("https://ota.tournamentsoftware.com/player-profile/EE941149-B269-44AA-A65B-D00099EE4086", "Link")</f>
        <v/>
      </c>
      <c r="E324" s="3" t="n">
        <v>218.12</v>
      </c>
      <c r="F324" s="4" t="n">
        <v>28</v>
      </c>
      <c r="G324" t="inlineStr">
        <is>
          <t>Tennis Québec</t>
        </is>
      </c>
      <c r="H324" t="inlineStr">
        <is>
          <t>Tennis Montréal Excellence</t>
        </is>
      </c>
      <c r="I324" t="n">
        <v>33.8</v>
      </c>
      <c r="J324" s="4" t="n">
        <v>149</v>
      </c>
      <c r="K324" t="inlineStr">
        <is>
          <t>72 / 77</t>
        </is>
      </c>
      <c r="L324" t="inlineStr">
        <is>
          <t>21 / 26</t>
        </is>
      </c>
      <c r="M324" s="5" t="n">
        <v>0.48</v>
      </c>
      <c r="N324" s="5" t="n">
        <v>0.45</v>
      </c>
    </row>
    <row r="325">
      <c r="A325" t="n">
        <v>324</v>
      </c>
      <c r="B325" t="n">
        <v>2013</v>
      </c>
      <c r="C325" t="inlineStr">
        <is>
          <t>Alma Safinia</t>
        </is>
      </c>
      <c r="D325">
        <f>HYPERLINK("https://ota.tournamentsoftware.com/player-profile/5EF88718-BF69-42BC-A643-1C11174AD1CB", "Link")</f>
        <v/>
      </c>
      <c r="E325" s="3" t="n">
        <v>217.826</v>
      </c>
      <c r="F325" s="4" t="n">
        <v>2</v>
      </c>
      <c r="G325" t="inlineStr">
        <is>
          <t>Tennis Nova Scotia</t>
        </is>
      </c>
      <c r="H325" t="inlineStr">
        <is>
          <t>Atlantic Tennis Centre</t>
        </is>
      </c>
      <c r="I325" t="n">
        <v>33.9</v>
      </c>
      <c r="J325" s="4" t="n">
        <v>26</v>
      </c>
      <c r="K325" t="inlineStr">
        <is>
          <t>13 / 13</t>
        </is>
      </c>
      <c r="L325" t="inlineStr">
        <is>
          <t>2 / 5</t>
        </is>
      </c>
      <c r="M325" s="5" t="n">
        <v>0.5</v>
      </c>
      <c r="N325" s="5" t="n">
        <v>0.29</v>
      </c>
    </row>
    <row r="326">
      <c r="A326" t="n">
        <v>325</v>
      </c>
      <c r="B326" t="n">
        <v>2012</v>
      </c>
      <c r="C326" t="inlineStr">
        <is>
          <t>Clémence Martin</t>
        </is>
      </c>
      <c r="D326">
        <f>HYPERLINK("https://ota.tournamentsoftware.com/player-profile/CF2B02DD-EFB8-49FD-8774-B98F78A30C1A", "Link")</f>
        <v/>
      </c>
      <c r="E326" s="3" t="n">
        <v>216.993</v>
      </c>
      <c r="F326" s="4" t="n">
        <v>5</v>
      </c>
      <c r="G326" t="inlineStr">
        <is>
          <t>Tennis Québec</t>
        </is>
      </c>
      <c r="H326" t="inlineStr">
        <is>
          <t>Centre sportif Sport Scène / Élite Tennis Académie</t>
        </is>
      </c>
      <c r="I326" t="n">
        <v>31.3</v>
      </c>
      <c r="J326" s="4" t="n">
        <v>34</v>
      </c>
      <c r="K326" t="inlineStr">
        <is>
          <t>19 / 15</t>
        </is>
      </c>
      <c r="L326" t="inlineStr">
        <is>
          <t>5 / 5</t>
        </is>
      </c>
      <c r="M326" s="5" t="n">
        <v>0.5600000000000001</v>
      </c>
      <c r="N326" s="5" t="n">
        <v>0.5</v>
      </c>
    </row>
    <row r="327">
      <c r="A327" t="n">
        <v>326</v>
      </c>
      <c r="B327" t="n">
        <v>2015</v>
      </c>
      <c r="C327" t="inlineStr">
        <is>
          <t>Yasmine Maazouz</t>
        </is>
      </c>
      <c r="D327">
        <f>HYPERLINK("https://ota.tournamentsoftware.com/player-profile/004E04F8-71A7-4C1F-B42C-805F1590C456", "Link")</f>
        <v/>
      </c>
      <c r="E327" s="3" t="n">
        <v>215.212</v>
      </c>
      <c r="F327" s="4" t="n">
        <v>8</v>
      </c>
      <c r="G327" t="inlineStr">
        <is>
          <t>Tennis Québec</t>
        </is>
      </c>
      <c r="H327" t="inlineStr">
        <is>
          <t>Tennis Montréal Excellence</t>
        </is>
      </c>
      <c r="I327" t="n">
        <v>31.3</v>
      </c>
      <c r="J327" s="4" t="n">
        <v>116</v>
      </c>
      <c r="K327" t="inlineStr">
        <is>
          <t>69 / 47</t>
        </is>
      </c>
      <c r="L327" t="inlineStr">
        <is>
          <t>20 / 8</t>
        </is>
      </c>
      <c r="M327" s="5" t="n">
        <v>0.59</v>
      </c>
      <c r="N327" s="5" t="n">
        <v>0.71</v>
      </c>
    </row>
    <row r="328">
      <c r="A328" t="n">
        <v>327</v>
      </c>
      <c r="B328" t="n">
        <v>2015</v>
      </c>
      <c r="C328" t="inlineStr">
        <is>
          <t>Kiyara Dinuli Hinidumarachchi</t>
        </is>
      </c>
      <c r="D328">
        <f>HYPERLINK("https://ota.tournamentsoftware.com/player-profile/FD2638E4-B06D-478E-9F5A-FE51B9EC8DF8", "Link")</f>
        <v/>
      </c>
      <c r="E328" s="3" t="n">
        <v>213.029</v>
      </c>
      <c r="F328" s="4" t="n">
        <v>16</v>
      </c>
      <c r="G328" t="inlineStr">
        <is>
          <t>Ontario Tennis Association</t>
        </is>
      </c>
      <c r="H328" t="inlineStr">
        <is>
          <t>Sarnia Tennis Club</t>
        </is>
      </c>
      <c r="I328" t="inlineStr">
        <is>
          <t>unavailable</t>
        </is>
      </c>
      <c r="J328" s="4" t="n">
        <v>157</v>
      </c>
      <c r="K328" t="inlineStr">
        <is>
          <t>96 / 61</t>
        </is>
      </c>
      <c r="L328" t="inlineStr">
        <is>
          <t>11 / 15</t>
        </is>
      </c>
      <c r="M328" s="5" t="n">
        <v>0.61</v>
      </c>
      <c r="N328" s="5" t="n">
        <v>0.42</v>
      </c>
    </row>
    <row r="329">
      <c r="A329" t="n">
        <v>328</v>
      </c>
      <c r="B329" t="n">
        <v>2014</v>
      </c>
      <c r="C329" t="inlineStr">
        <is>
          <t>Esabel Liu</t>
        </is>
      </c>
      <c r="D329">
        <f>HYPERLINK("https://ota.tournamentsoftware.com/player-profile/03274A3B-556F-4321-880B-2AF255E6A817", "Link")</f>
        <v/>
      </c>
      <c r="E329" s="3" t="n">
        <v>212.86</v>
      </c>
      <c r="F329" s="4" t="n">
        <v>20</v>
      </c>
      <c r="G329" t="inlineStr">
        <is>
          <t>British Columbia</t>
        </is>
      </c>
      <c r="H329" t="inlineStr">
        <is>
          <t>North Vancouver Tennis Centre</t>
        </is>
      </c>
      <c r="I329" t="n">
        <v>30.6</v>
      </c>
      <c r="J329" s="4" t="n">
        <v>232</v>
      </c>
      <c r="K329" t="inlineStr">
        <is>
          <t>144 / 88</t>
        </is>
      </c>
      <c r="L329" t="inlineStr">
        <is>
          <t>36 / 22</t>
        </is>
      </c>
      <c r="M329" s="5" t="n">
        <v>0.62</v>
      </c>
      <c r="N329" s="5" t="n">
        <v>0.62</v>
      </c>
    </row>
    <row r="330">
      <c r="A330" t="n">
        <v>329</v>
      </c>
      <c r="B330" t="n">
        <v>2014</v>
      </c>
      <c r="C330" t="inlineStr">
        <is>
          <t>Payton Isabelle JOHNSTON</t>
        </is>
      </c>
      <c r="D330">
        <f>HYPERLINK("https://ota.tournamentsoftware.com/player-profile/30639279-6EB4-43A0-806A-9F7E6209EBA5", "Link")</f>
        <v/>
      </c>
      <c r="E330" s="3" t="n">
        <v>209.296</v>
      </c>
      <c r="F330" s="4" t="n">
        <v>13</v>
      </c>
      <c r="G330" t="inlineStr">
        <is>
          <t>Tennis Nova Scotia</t>
        </is>
      </c>
      <c r="H330" t="inlineStr">
        <is>
          <t>Gordon Hughes Tennis Club</t>
        </is>
      </c>
      <c r="I330" t="n">
        <v>34.3</v>
      </c>
      <c r="J330" s="4" t="n">
        <v>100</v>
      </c>
      <c r="K330" t="inlineStr">
        <is>
          <t>51 / 49</t>
        </is>
      </c>
      <c r="L330" t="inlineStr">
        <is>
          <t>20 / 23</t>
        </is>
      </c>
      <c r="M330" s="5" t="n">
        <v>0.51</v>
      </c>
      <c r="N330" s="5" t="n">
        <v>0.47</v>
      </c>
    </row>
    <row r="331">
      <c r="A331" t="n">
        <v>330</v>
      </c>
      <c r="B331" t="n">
        <v>2012</v>
      </c>
      <c r="C331" t="inlineStr">
        <is>
          <t>Ruoyu Wang</t>
        </is>
      </c>
      <c r="D331">
        <f>HYPERLINK("https://ota.tournamentsoftware.com/player-profile/BF1A51BB-FF4F-417F-AE41-0914B75C7FF1", "Link")</f>
        <v/>
      </c>
      <c r="E331" s="3" t="n">
        <v>206.594</v>
      </c>
      <c r="F331" s="4" t="n">
        <v>13</v>
      </c>
      <c r="G331" t="inlineStr">
        <is>
          <t>Tennis Québec</t>
        </is>
      </c>
      <c r="H331" t="inlineStr">
        <is>
          <t>Tennis 13</t>
        </is>
      </c>
      <c r="I331" t="inlineStr">
        <is>
          <t>unavailable</t>
        </is>
      </c>
      <c r="J331" s="4" t="n">
        <v>24</v>
      </c>
      <c r="K331" t="inlineStr">
        <is>
          <t>7 / 17</t>
        </is>
      </c>
      <c r="L331" t="inlineStr">
        <is>
          <t>6 / 11</t>
        </is>
      </c>
      <c r="M331" s="5" t="n">
        <v>0.29</v>
      </c>
      <c r="N331" s="5" t="n">
        <v>0.35</v>
      </c>
    </row>
    <row r="332">
      <c r="A332" t="n">
        <v>331</v>
      </c>
      <c r="B332" t="n">
        <v>2014</v>
      </c>
      <c r="C332" t="inlineStr">
        <is>
          <t>Vida Jeftic</t>
        </is>
      </c>
      <c r="D332">
        <f>HYPERLINK("https://ota.tournamentsoftware.com/player-profile/5A42C908-572E-4E42-A8CB-609FCF083DE9", "Link")</f>
        <v/>
      </c>
      <c r="E332" s="3" t="n">
        <v>206.56</v>
      </c>
      <c r="F332" s="4" t="n">
        <v>9</v>
      </c>
      <c r="G332" t="inlineStr">
        <is>
          <t>Ontario Tennis Association</t>
        </is>
      </c>
      <c r="H332" t="inlineStr">
        <is>
          <t>Parkside Tennis Club</t>
        </is>
      </c>
      <c r="I332" t="n">
        <v>30.8</v>
      </c>
      <c r="J332" s="4" t="n">
        <v>38</v>
      </c>
      <c r="K332" t="inlineStr">
        <is>
          <t>27 / 11</t>
        </is>
      </c>
      <c r="L332" t="inlineStr">
        <is>
          <t>11 / 4</t>
        </is>
      </c>
      <c r="M332" s="5" t="n">
        <v>0.71</v>
      </c>
      <c r="N332" s="5" t="n">
        <v>0.73</v>
      </c>
    </row>
    <row r="333">
      <c r="A333" t="n">
        <v>332</v>
      </c>
      <c r="B333" t="n">
        <v>2014</v>
      </c>
      <c r="C333" t="inlineStr">
        <is>
          <t>Qianqian (Dora) Zhang</t>
        </is>
      </c>
      <c r="D333">
        <f>HYPERLINK("https://ota.tournamentsoftware.com/player-profile/3772BD57-A73E-4652-86C8-E1885FE20DCF", "Link")</f>
        <v/>
      </c>
      <c r="E333" s="3" t="n">
        <v>205.59</v>
      </c>
      <c r="F333" s="4" t="n">
        <v>13</v>
      </c>
      <c r="G333" t="inlineStr">
        <is>
          <t>Ontario Tennis Association</t>
        </is>
      </c>
      <c r="H333" t="inlineStr">
        <is>
          <t>Toronto Tennis City</t>
        </is>
      </c>
      <c r="I333" t="n">
        <v>33.1</v>
      </c>
      <c r="J333" s="4" t="n">
        <v>50</v>
      </c>
      <c r="K333" t="inlineStr">
        <is>
          <t>36 / 14</t>
        </is>
      </c>
      <c r="L333" t="inlineStr">
        <is>
          <t>5 / 4</t>
        </is>
      </c>
      <c r="M333" s="5" t="n">
        <v>0.72</v>
      </c>
      <c r="N333" s="5" t="n">
        <v>0.5600000000000001</v>
      </c>
    </row>
    <row r="334">
      <c r="A334" t="n">
        <v>333</v>
      </c>
      <c r="B334" t="n">
        <v>2013</v>
      </c>
      <c r="C334" t="inlineStr">
        <is>
          <t>Ella Iva Mavretic</t>
        </is>
      </c>
      <c r="D334">
        <f>HYPERLINK("https://ota.tournamentsoftware.com/player-profile/CF99D041-FAEF-47A9-BBE6-3D6335355408", "Link")</f>
        <v/>
      </c>
      <c r="E334" s="3" t="n">
        <v>203.735</v>
      </c>
      <c r="F334" s="4" t="n">
        <v>11</v>
      </c>
      <c r="G334" t="inlineStr">
        <is>
          <t>Ontario Tennis Association</t>
        </is>
      </c>
      <c r="H334" t="inlineStr">
        <is>
          <t>Pinafore Park</t>
        </is>
      </c>
      <c r="I334" t="n">
        <v>34.8</v>
      </c>
      <c r="J334" s="4" t="n">
        <v>198</v>
      </c>
      <c r="K334" t="inlineStr">
        <is>
          <t>88 / 110</t>
        </is>
      </c>
      <c r="L334" t="inlineStr">
        <is>
          <t>4 / 6</t>
        </is>
      </c>
      <c r="M334" s="5" t="n">
        <v>0.44</v>
      </c>
      <c r="N334" s="5" t="n">
        <v>0.4</v>
      </c>
    </row>
    <row r="335">
      <c r="A335" t="n">
        <v>334</v>
      </c>
      <c r="B335" t="n">
        <v>2014</v>
      </c>
      <c r="C335" t="inlineStr">
        <is>
          <t>Freya Jiaxin He</t>
        </is>
      </c>
      <c r="D335">
        <f>HYPERLINK("https://ota.tournamentsoftware.com/player-profile/8C1C07F2-C769-4A85-8385-40B14C9CD709", "Link")</f>
        <v/>
      </c>
      <c r="E335" s="3" t="n">
        <v>203.592</v>
      </c>
      <c r="F335" s="4" t="n">
        <v>6</v>
      </c>
      <c r="G335" t="inlineStr">
        <is>
          <t>Tennis Prince Edward Island</t>
        </is>
      </c>
      <c r="H335" t="inlineStr">
        <is>
          <t>Charlottetown Recreation Tennis Group</t>
        </is>
      </c>
      <c r="I335" t="n">
        <v>31.9</v>
      </c>
      <c r="J335" s="4" t="n">
        <v>104</v>
      </c>
      <c r="K335" t="inlineStr">
        <is>
          <t>58 / 46</t>
        </is>
      </c>
      <c r="L335" t="inlineStr">
        <is>
          <t>19 / 7</t>
        </is>
      </c>
      <c r="M335" s="5" t="n">
        <v>0.5600000000000001</v>
      </c>
      <c r="N335" s="5" t="n">
        <v>0.73</v>
      </c>
    </row>
    <row r="336">
      <c r="A336" t="n">
        <v>335</v>
      </c>
      <c r="B336" t="n">
        <v>2012</v>
      </c>
      <c r="C336" t="inlineStr">
        <is>
          <t>Victoria Trempe</t>
        </is>
      </c>
      <c r="D336">
        <f>HYPERLINK("https://ota.tournamentsoftware.com/player-profile/90EB2857-D907-47BD-ABB6-AAED21876912", "Link")</f>
        <v/>
      </c>
      <c r="E336" s="3" t="n">
        <v>203.573</v>
      </c>
      <c r="F336" s="4" t="n">
        <v>8</v>
      </c>
      <c r="G336" t="inlineStr">
        <is>
          <t>Tennis Québec</t>
        </is>
      </c>
      <c r="H336" t="inlineStr">
        <is>
          <t>Club Sportif Côte-de-Liesse</t>
        </is>
      </c>
      <c r="I336" t="n">
        <v>34</v>
      </c>
      <c r="J336" s="4" t="n">
        <v>122</v>
      </c>
      <c r="K336" t="inlineStr">
        <is>
          <t>45 / 77</t>
        </is>
      </c>
      <c r="L336" t="inlineStr">
        <is>
          <t>2 / 4</t>
        </is>
      </c>
      <c r="M336" s="5" t="n">
        <v>0.37</v>
      </c>
      <c r="N336" s="5" t="n">
        <v>0.33</v>
      </c>
    </row>
    <row r="337">
      <c r="A337" t="n">
        <v>336</v>
      </c>
      <c r="B337" t="n">
        <v>2013</v>
      </c>
      <c r="C337" t="inlineStr">
        <is>
          <t>Annabelle Chen</t>
        </is>
      </c>
      <c r="D337">
        <f>HYPERLINK("https://ota.tournamentsoftware.com/player-profile/E532A343-867C-4B97-BCB3-998A28EC84A8", "Link")</f>
        <v/>
      </c>
      <c r="E337" s="3" t="n">
        <v>203.344</v>
      </c>
      <c r="F337" s="4" t="n">
        <v>7</v>
      </c>
      <c r="G337" t="inlineStr">
        <is>
          <t>British Columbia</t>
        </is>
      </c>
      <c r="H337" t="inlineStr">
        <is>
          <t>UBC Tennis Centre</t>
        </is>
      </c>
      <c r="I337" t="n">
        <v>32</v>
      </c>
      <c r="J337" s="4" t="n">
        <v>152</v>
      </c>
      <c r="K337" t="inlineStr">
        <is>
          <t>84 / 68</t>
        </is>
      </c>
      <c r="L337" t="inlineStr">
        <is>
          <t>0 / 4</t>
        </is>
      </c>
      <c r="M337" s="5" t="n">
        <v>0.55</v>
      </c>
      <c r="N337" s="5" t="n">
        <v>0</v>
      </c>
    </row>
    <row r="338">
      <c r="A338" t="n">
        <v>337</v>
      </c>
      <c r="B338" t="n">
        <v>2013</v>
      </c>
      <c r="C338" t="inlineStr">
        <is>
          <t>Ophélia Carbonneau</t>
        </is>
      </c>
      <c r="D338">
        <f>HYPERLINK("https://ota.tournamentsoftware.com/player-profile/8B592B8F-8B82-48EF-9CDD-0CBA40EBB412", "Link")</f>
        <v/>
      </c>
      <c r="E338" s="3" t="n">
        <v>200.846</v>
      </c>
      <c r="F338" s="4" t="n">
        <v>17</v>
      </c>
      <c r="G338" t="inlineStr">
        <is>
          <t>Tennis Québec</t>
        </is>
      </c>
      <c r="H338" t="inlineStr">
        <is>
          <t>Tennis Interclub Piedmont</t>
        </is>
      </c>
      <c r="I338" t="n">
        <v>35.8</v>
      </c>
      <c r="J338" s="4" t="n">
        <v>109</v>
      </c>
      <c r="K338" t="inlineStr">
        <is>
          <t>31 / 78</t>
        </is>
      </c>
      <c r="L338" t="inlineStr">
        <is>
          <t>7 / 15</t>
        </is>
      </c>
      <c r="M338" s="5" t="n">
        <v>0.28</v>
      </c>
      <c r="N338" s="5" t="n">
        <v>0.32</v>
      </c>
    </row>
    <row r="339">
      <c r="A339" t="n">
        <v>338</v>
      </c>
      <c r="B339" t="n">
        <v>2014</v>
      </c>
      <c r="C339" t="inlineStr">
        <is>
          <t>Lana Kasumovic</t>
        </is>
      </c>
      <c r="D339">
        <f>HYPERLINK("https://ota.tournamentsoftware.com/player-profile/7F2BA85F-A3DF-40B8-9457-1DD55A7C11FB", "Link")</f>
        <v/>
      </c>
      <c r="E339" s="3" t="n">
        <v>200.268</v>
      </c>
      <c r="F339" s="4" t="n">
        <v>24</v>
      </c>
      <c r="G339" t="inlineStr">
        <is>
          <t>Ontario Tennis Association</t>
        </is>
      </c>
      <c r="H339" t="inlineStr">
        <is>
          <t>Rideau Sports Centre</t>
        </is>
      </c>
      <c r="I339" t="n">
        <v>33.6</v>
      </c>
      <c r="J339" s="4" t="n">
        <v>154</v>
      </c>
      <c r="K339" t="inlineStr">
        <is>
          <t>55 / 99</t>
        </is>
      </c>
      <c r="L339" t="inlineStr">
        <is>
          <t>29 / 24</t>
        </is>
      </c>
      <c r="M339" s="5" t="n">
        <v>0.36</v>
      </c>
      <c r="N339" s="5" t="n">
        <v>0.55</v>
      </c>
    </row>
    <row r="340">
      <c r="A340" t="n">
        <v>339</v>
      </c>
      <c r="B340" t="n">
        <v>2014</v>
      </c>
      <c r="C340" t="inlineStr">
        <is>
          <t>Mariah Jorge-Eman</t>
        </is>
      </c>
      <c r="D340">
        <f>HYPERLINK("https://ota.tournamentsoftware.com/player-profile/B6887B12-5A2B-48B9-8A94-164305BBBBBE", "Link")</f>
        <v/>
      </c>
      <c r="E340" s="3" t="n">
        <v>198.746</v>
      </c>
      <c r="F340" s="4" t="n">
        <v>20</v>
      </c>
      <c r="G340" t="inlineStr">
        <is>
          <t>Ontario Tennis Association</t>
        </is>
      </c>
      <c r="H340" t="inlineStr">
        <is>
          <t>Premier Racquet Clubs – Mississauga</t>
        </is>
      </c>
      <c r="I340" t="n">
        <v>33.2</v>
      </c>
      <c r="J340" s="4" t="n">
        <v>105</v>
      </c>
      <c r="K340" t="inlineStr">
        <is>
          <t>50 / 55</t>
        </is>
      </c>
      <c r="L340" t="inlineStr">
        <is>
          <t>17 / 15</t>
        </is>
      </c>
      <c r="M340" s="5" t="n">
        <v>0.48</v>
      </c>
      <c r="N340" s="5" t="n">
        <v>0.53</v>
      </c>
    </row>
    <row r="341">
      <c r="A341" t="n">
        <v>340</v>
      </c>
      <c r="B341" t="n">
        <v>2013</v>
      </c>
      <c r="C341" t="inlineStr">
        <is>
          <t>Eliza Willow Nguyen</t>
        </is>
      </c>
      <c r="D341">
        <f>HYPERLINK("https://ota.tournamentsoftware.com/player-profile/1A3AE60F-B4FB-4C4C-AE09-5D730884AC0A", "Link")</f>
        <v/>
      </c>
      <c r="E341" s="3" t="n">
        <v>198.067</v>
      </c>
      <c r="F341" s="4" t="n">
        <v>12</v>
      </c>
      <c r="G341" t="inlineStr">
        <is>
          <t>Tennis Alberta</t>
        </is>
      </c>
      <c r="H341" t="inlineStr">
        <is>
          <t>Saville Community Sports Centre</t>
        </is>
      </c>
      <c r="I341" t="n">
        <v>33.1</v>
      </c>
      <c r="J341" s="4" t="n">
        <v>143</v>
      </c>
      <c r="K341" t="inlineStr">
        <is>
          <t>66 / 77</t>
        </is>
      </c>
      <c r="L341" t="inlineStr">
        <is>
          <t>10 / 13</t>
        </is>
      </c>
      <c r="M341" s="5" t="n">
        <v>0.46</v>
      </c>
      <c r="N341" s="5" t="n">
        <v>0.43</v>
      </c>
    </row>
    <row r="342">
      <c r="A342" t="n">
        <v>341</v>
      </c>
      <c r="B342" t="n">
        <v>2014</v>
      </c>
      <c r="C342" t="inlineStr">
        <is>
          <t>Ella Meng</t>
        </is>
      </c>
      <c r="D342">
        <f>HYPERLINK("https://ota.tournamentsoftware.com/player-profile/B7EC0DBA-A6B8-49FA-A398-63ABEF8384E7", "Link")</f>
        <v/>
      </c>
      <c r="E342" s="3" t="n">
        <v>194.534</v>
      </c>
      <c r="F342" s="4" t="n">
        <v>13</v>
      </c>
      <c r="G342" t="inlineStr">
        <is>
          <t>Ontario Tennis Association</t>
        </is>
      </c>
      <c r="H342" t="inlineStr">
        <is>
          <t>Marilyn Redvers Tennis Club</t>
        </is>
      </c>
      <c r="I342" t="n">
        <v>33.8</v>
      </c>
      <c r="J342" s="4" t="n">
        <v>85</v>
      </c>
      <c r="K342" t="inlineStr">
        <is>
          <t>30 / 55</t>
        </is>
      </c>
      <c r="L342" t="inlineStr">
        <is>
          <t>11 / 13</t>
        </is>
      </c>
      <c r="M342" s="5" t="n">
        <v>0.35</v>
      </c>
      <c r="N342" s="5" t="n">
        <v>0.46</v>
      </c>
    </row>
    <row r="343">
      <c r="A343" t="n">
        <v>342</v>
      </c>
      <c r="B343" t="n">
        <v>2012</v>
      </c>
      <c r="C343" t="inlineStr">
        <is>
          <t>Carys Miles</t>
        </is>
      </c>
      <c r="D343">
        <f>HYPERLINK("https://ota.tournamentsoftware.com/player-profile/7FCFD8F6-5B52-4825-B8AA-B72BF77A3298", "Link")</f>
        <v/>
      </c>
      <c r="E343" s="3" t="n">
        <v>194.325</v>
      </c>
      <c r="F343" s="4" t="n">
        <v>15</v>
      </c>
      <c r="G343" t="inlineStr">
        <is>
          <t>Tennis Alberta</t>
        </is>
      </c>
      <c r="H343" t="inlineStr">
        <is>
          <t>Osten &amp; Victor Alberta Tennis Centre</t>
        </is>
      </c>
      <c r="I343" t="n">
        <v>31.1</v>
      </c>
      <c r="J343" s="4" t="n">
        <v>200</v>
      </c>
      <c r="K343" t="inlineStr">
        <is>
          <t>98 / 102</t>
        </is>
      </c>
      <c r="L343" t="inlineStr">
        <is>
          <t>4 / 9</t>
        </is>
      </c>
      <c r="M343" s="5" t="n">
        <v>0.49</v>
      </c>
      <c r="N343" s="5" t="n">
        <v>0.31</v>
      </c>
    </row>
    <row r="344">
      <c r="A344" t="n">
        <v>343</v>
      </c>
      <c r="B344" t="n">
        <v>2015</v>
      </c>
      <c r="C344" t="inlineStr">
        <is>
          <t>Emma Echeverri Vujicic</t>
        </is>
      </c>
      <c r="D344">
        <f>HYPERLINK("https://ota.tournamentsoftware.com/player-profile/644C3F8A-163C-4BEA-8EBD-9263F89347F9", "Link")</f>
        <v/>
      </c>
      <c r="E344" s="3" t="n">
        <v>194.237</v>
      </c>
      <c r="F344" s="4" t="n">
        <v>22</v>
      </c>
      <c r="G344" t="inlineStr">
        <is>
          <t>Ontario Tennis Association</t>
        </is>
      </c>
      <c r="H344" t="inlineStr">
        <is>
          <t>Mayfair West Fitness &amp; Racquet Club</t>
        </is>
      </c>
      <c r="I344" t="n">
        <v>33.6</v>
      </c>
      <c r="J344" s="4" t="n">
        <v>133</v>
      </c>
      <c r="K344" t="inlineStr">
        <is>
          <t>64 / 69</t>
        </is>
      </c>
      <c r="L344" t="inlineStr">
        <is>
          <t>25 / 15</t>
        </is>
      </c>
      <c r="M344" s="5" t="n">
        <v>0.48</v>
      </c>
      <c r="N344" s="5" t="n">
        <v>0.62</v>
      </c>
    </row>
    <row r="345">
      <c r="A345" t="n">
        <v>344</v>
      </c>
      <c r="B345" t="n">
        <v>2014</v>
      </c>
      <c r="C345" t="inlineStr">
        <is>
          <t>Nadia Stuparyk</t>
        </is>
      </c>
      <c r="D345">
        <f>HYPERLINK("https://ota.tournamentsoftware.com/player-profile/05ABA68F-2EB2-4BFB-B6CA-677BDD1DCDCA", "Link")</f>
        <v/>
      </c>
      <c r="E345" s="3" t="n">
        <v>193.255</v>
      </c>
      <c r="F345" s="4" t="n">
        <v>35</v>
      </c>
      <c r="G345" t="inlineStr">
        <is>
          <t>Ontario Tennis Association</t>
        </is>
      </c>
      <c r="H345" t="inlineStr">
        <is>
          <t>Parkside Tennis Club</t>
        </is>
      </c>
      <c r="I345" t="n">
        <v>33</v>
      </c>
      <c r="J345" s="4" t="n">
        <v>191</v>
      </c>
      <c r="K345" t="inlineStr">
        <is>
          <t>92 / 99</t>
        </is>
      </c>
      <c r="L345" t="inlineStr">
        <is>
          <t>27 / 23</t>
        </is>
      </c>
      <c r="M345" s="5" t="n">
        <v>0.48</v>
      </c>
      <c r="N345" s="5" t="n">
        <v>0.54</v>
      </c>
    </row>
    <row r="346">
      <c r="A346" t="n">
        <v>345</v>
      </c>
      <c r="B346" t="n">
        <v>2015</v>
      </c>
      <c r="C346" t="inlineStr">
        <is>
          <t>Isla J Green</t>
        </is>
      </c>
      <c r="D346">
        <f>HYPERLINK("https://ota.tournamentsoftware.com/player-profile/B2E098BE-DB7E-4756-BD31-93298500E09D", "Link")</f>
        <v/>
      </c>
      <c r="E346" s="3" t="n">
        <v>193.154</v>
      </c>
      <c r="F346" s="4" t="n">
        <v>29</v>
      </c>
      <c r="G346" t="inlineStr">
        <is>
          <t>Ontario Tennis Association</t>
        </is>
      </c>
      <c r="H346" t="inlineStr">
        <is>
          <t>Advantage Tennis International at Veneto</t>
        </is>
      </c>
      <c r="I346" t="n">
        <v>32.5</v>
      </c>
      <c r="J346" s="4" t="n">
        <v>256</v>
      </c>
      <c r="K346" t="inlineStr">
        <is>
          <t>171 / 85</t>
        </is>
      </c>
      <c r="L346" t="inlineStr">
        <is>
          <t>44 / 22</t>
        </is>
      </c>
      <c r="M346" s="5" t="n">
        <v>0.67</v>
      </c>
      <c r="N346" s="5" t="n">
        <v>0.67</v>
      </c>
    </row>
    <row r="347">
      <c r="A347" t="n">
        <v>346</v>
      </c>
      <c r="B347" t="n">
        <v>2016</v>
      </c>
      <c r="C347" t="inlineStr">
        <is>
          <t>Emily Zheng</t>
        </is>
      </c>
      <c r="D347">
        <f>HYPERLINK("https://ota.tournamentsoftware.com/player-profile/6AB11A61-4852-4958-84E1-2773676D29C2", "Link")</f>
        <v/>
      </c>
      <c r="E347" s="3" t="n">
        <v>190.026</v>
      </c>
      <c r="F347" s="4" t="n">
        <v>25</v>
      </c>
      <c r="G347" t="inlineStr">
        <is>
          <t>Ontario Tennis Association</t>
        </is>
      </c>
      <c r="H347" t="inlineStr">
        <is>
          <t>Toronto Cricket Skating &amp; Curling</t>
        </is>
      </c>
      <c r="I347" t="n">
        <v>33</v>
      </c>
      <c r="J347" s="4" t="n">
        <v>110</v>
      </c>
      <c r="K347" t="inlineStr">
        <is>
          <t>45 / 65</t>
        </is>
      </c>
      <c r="L347" t="inlineStr">
        <is>
          <t>24 / 15</t>
        </is>
      </c>
      <c r="M347" s="5" t="n">
        <v>0.41</v>
      </c>
      <c r="N347" s="5" t="n">
        <v>0.62</v>
      </c>
    </row>
    <row r="348">
      <c r="A348" t="n">
        <v>347</v>
      </c>
      <c r="B348" t="n">
        <v>2012</v>
      </c>
      <c r="C348" t="inlineStr">
        <is>
          <t>Sabrina Sajjad</t>
        </is>
      </c>
      <c r="D348">
        <f>HYPERLINK("https://ota.tournamentsoftware.com/player-profile/6C7EB560-0C6C-49E6-9B42-49009727ED3D", "Link")</f>
        <v/>
      </c>
      <c r="E348" s="3" t="n">
        <v>189.48</v>
      </c>
      <c r="F348" s="4" t="n">
        <v>16</v>
      </c>
      <c r="G348" t="inlineStr">
        <is>
          <t>Ontario Tennis Association</t>
        </is>
      </c>
      <c r="H348" t="inlineStr">
        <is>
          <t>No Club</t>
        </is>
      </c>
      <c r="I348" t="n">
        <v>34.1</v>
      </c>
      <c r="J348" s="4" t="n">
        <v>71</v>
      </c>
      <c r="K348" t="inlineStr">
        <is>
          <t>36 / 35</t>
        </is>
      </c>
      <c r="L348" t="inlineStr">
        <is>
          <t>9 / 11</t>
        </is>
      </c>
      <c r="M348" s="5" t="n">
        <v>0.51</v>
      </c>
      <c r="N348" s="5" t="n">
        <v>0.45</v>
      </c>
    </row>
    <row r="349">
      <c r="A349" t="n">
        <v>348</v>
      </c>
      <c r="B349" t="n">
        <v>2012</v>
      </c>
      <c r="C349" t="inlineStr">
        <is>
          <t>GURMEHR KAUR</t>
        </is>
      </c>
      <c r="D349">
        <f>HYPERLINK("https://ota.tournamentsoftware.com/player-profile/2C69CAA6-FCC8-49BC-ACA2-32F5C15717ED", "Link")</f>
        <v/>
      </c>
      <c r="E349" s="3" t="n">
        <v>189.248</v>
      </c>
      <c r="F349" s="4" t="n">
        <v>19</v>
      </c>
      <c r="G349" t="inlineStr">
        <is>
          <t>British Columbia</t>
        </is>
      </c>
      <c r="H349" t="inlineStr">
        <is>
          <t>Newton Tennis Club</t>
        </is>
      </c>
      <c r="I349" t="n">
        <v>32.4</v>
      </c>
      <c r="J349" s="4" t="n">
        <v>180</v>
      </c>
      <c r="K349" t="inlineStr">
        <is>
          <t>78 / 102</t>
        </is>
      </c>
      <c r="L349" t="inlineStr">
        <is>
          <t>18 / 23</t>
        </is>
      </c>
      <c r="M349" s="5" t="n">
        <v>0.43</v>
      </c>
      <c r="N349" s="5" t="n">
        <v>0.44</v>
      </c>
    </row>
    <row r="350">
      <c r="A350" t="n">
        <v>349</v>
      </c>
      <c r="B350" t="n">
        <v>2013</v>
      </c>
      <c r="C350" t="inlineStr">
        <is>
          <t>Sophie Pothel</t>
        </is>
      </c>
      <c r="D350">
        <f>HYPERLINK("https://ota.tournamentsoftware.com/player-profile/21DD6509-0C4D-4711-BEB0-DC2D198520FD", "Link")</f>
        <v/>
      </c>
      <c r="E350" s="3" t="n">
        <v>188.14</v>
      </c>
      <c r="F350" s="4" t="n">
        <v>17</v>
      </c>
      <c r="G350" t="inlineStr">
        <is>
          <t>Tennis Québec</t>
        </is>
      </c>
      <c r="H350" t="inlineStr">
        <is>
          <t>Tennis Ile- des- Soeurs</t>
        </is>
      </c>
      <c r="I350" t="inlineStr">
        <is>
          <t>unavailable</t>
        </is>
      </c>
      <c r="J350" s="4" t="n">
        <v>61</v>
      </c>
      <c r="K350" t="inlineStr">
        <is>
          <t>10 / 51</t>
        </is>
      </c>
      <c r="L350" t="inlineStr">
        <is>
          <t>5 / 19</t>
        </is>
      </c>
      <c r="M350" s="5" t="n">
        <v>0.16</v>
      </c>
      <c r="N350" s="5" t="n">
        <v>0.21</v>
      </c>
    </row>
    <row r="351">
      <c r="A351" t="n">
        <v>350</v>
      </c>
      <c r="B351" t="n">
        <v>2015</v>
      </c>
      <c r="C351" t="inlineStr">
        <is>
          <t>Olivia Ormandy</t>
        </is>
      </c>
      <c r="D351">
        <f>HYPERLINK("https://ota.tournamentsoftware.com/player-profile/C2722647-7EFC-4E85-B2ED-55E77949843B", "Link")</f>
        <v/>
      </c>
      <c r="E351" s="3" t="n">
        <v>187.714</v>
      </c>
      <c r="F351" s="4" t="n">
        <v>25</v>
      </c>
      <c r="G351" t="inlineStr">
        <is>
          <t>Tennis Québec</t>
        </is>
      </c>
      <c r="H351" t="inlineStr">
        <is>
          <t>Tennis Interclub Piedmont</t>
        </is>
      </c>
      <c r="I351" t="n">
        <v>33.3</v>
      </c>
      <c r="J351" s="4" t="n">
        <v>198</v>
      </c>
      <c r="K351" t="inlineStr">
        <is>
          <t>98 / 100</t>
        </is>
      </c>
      <c r="L351" t="inlineStr">
        <is>
          <t>26 / 26</t>
        </is>
      </c>
      <c r="M351" s="5" t="n">
        <v>0.49</v>
      </c>
      <c r="N351" s="5" t="n">
        <v>0.5</v>
      </c>
    </row>
    <row r="352">
      <c r="A352" t="n">
        <v>351</v>
      </c>
      <c r="B352" t="n">
        <v>2012</v>
      </c>
      <c r="C352" t="inlineStr">
        <is>
          <t>Gabrielle Siewe Meliatou</t>
        </is>
      </c>
      <c r="D352">
        <f>HYPERLINK("https://ota.tournamentsoftware.com/player-profile/7E53A46A-6CF0-4DB8-9382-FCE1966714A8", "Link")</f>
        <v/>
      </c>
      <c r="E352" s="3" t="n">
        <v>187.337</v>
      </c>
      <c r="F352" s="4" t="n">
        <v>14</v>
      </c>
      <c r="G352" t="inlineStr">
        <is>
          <t>Tennis Québec</t>
        </is>
      </c>
      <c r="H352" t="inlineStr">
        <is>
          <t>SANI Sport</t>
        </is>
      </c>
      <c r="I352" t="n">
        <v>35.5</v>
      </c>
      <c r="J352" s="4" t="n">
        <v>78</v>
      </c>
      <c r="K352" t="inlineStr">
        <is>
          <t>24 / 54</t>
        </is>
      </c>
      <c r="L352" t="inlineStr">
        <is>
          <t>5 / 11</t>
        </is>
      </c>
      <c r="M352" s="5" t="n">
        <v>0.31</v>
      </c>
      <c r="N352" s="5" t="n">
        <v>0.31</v>
      </c>
    </row>
    <row r="353">
      <c r="A353" t="n">
        <v>352</v>
      </c>
      <c r="B353" t="n">
        <v>2013</v>
      </c>
      <c r="C353" t="inlineStr">
        <is>
          <t>Alysha Alexis</t>
        </is>
      </c>
      <c r="D353">
        <f>HYPERLINK("https://ota.tournamentsoftware.com/player-profile/42191CE6-0E1E-460D-80E0-9A7FF78DA6C6", "Link")</f>
        <v/>
      </c>
      <c r="E353" s="3" t="n">
        <v>185.03</v>
      </c>
      <c r="F353" s="4" t="n">
        <v>17</v>
      </c>
      <c r="G353" t="inlineStr">
        <is>
          <t>Tennis Québec</t>
        </is>
      </c>
      <c r="H353" t="inlineStr">
        <is>
          <t>Académie Tennis Momentum (club extérieur)</t>
        </is>
      </c>
      <c r="I353" t="n">
        <v>33.9</v>
      </c>
      <c r="J353" s="4" t="n">
        <v>68</v>
      </c>
      <c r="K353" t="inlineStr">
        <is>
          <t>32 / 36</t>
        </is>
      </c>
      <c r="L353" t="inlineStr">
        <is>
          <t>12 / 12</t>
        </is>
      </c>
      <c r="M353" s="5" t="n">
        <v>0.47</v>
      </c>
      <c r="N353" s="5" t="n">
        <v>0.5</v>
      </c>
    </row>
    <row r="354">
      <c r="A354" t="n">
        <v>353</v>
      </c>
      <c r="B354" t="n">
        <v>2014</v>
      </c>
      <c r="C354" t="inlineStr">
        <is>
          <t>Mila Alexandra Voros</t>
        </is>
      </c>
      <c r="D354">
        <f>HYPERLINK("https://ota.tournamentsoftware.com/player-profile/96155B79-5199-481D-8AF1-A174FA860401", "Link")</f>
        <v/>
      </c>
      <c r="E354" s="3" t="n">
        <v>184.412</v>
      </c>
      <c r="F354" s="4" t="n">
        <v>13</v>
      </c>
      <c r="G354" t="inlineStr">
        <is>
          <t>Ontario Tennis Association</t>
        </is>
      </c>
      <c r="H354" t="inlineStr">
        <is>
          <t>GSM Tennis Club</t>
        </is>
      </c>
      <c r="I354" t="n">
        <v>34.8</v>
      </c>
      <c r="J354" s="4" t="n">
        <v>136</v>
      </c>
      <c r="K354" t="inlineStr">
        <is>
          <t>58 / 78</t>
        </is>
      </c>
      <c r="L354" t="inlineStr">
        <is>
          <t>7 / 15</t>
        </is>
      </c>
      <c r="M354" s="5" t="n">
        <v>0.43</v>
      </c>
      <c r="N354" s="5" t="n">
        <v>0.32</v>
      </c>
    </row>
    <row r="355">
      <c r="A355" t="n">
        <v>354</v>
      </c>
      <c r="B355" t="n">
        <v>2014</v>
      </c>
      <c r="C355" t="inlineStr">
        <is>
          <t>Amelia Rogette Hinnawi</t>
        </is>
      </c>
      <c r="D355">
        <f>HYPERLINK("https://ota.tournamentsoftware.com/player-profile/1DADE780-E571-45F1-BC6D-21B72637C0B7", "Link")</f>
        <v/>
      </c>
      <c r="E355" s="3" t="n">
        <v>184.213</v>
      </c>
      <c r="F355" s="4" t="n">
        <v>22</v>
      </c>
      <c r="G355" t="inlineStr">
        <is>
          <t>Tennis Québec</t>
        </is>
      </c>
      <c r="H355" t="inlineStr">
        <is>
          <t>Tennis Ile- des- Soeurs</t>
        </is>
      </c>
      <c r="I355" t="inlineStr">
        <is>
          <t>unavailable</t>
        </is>
      </c>
      <c r="J355" s="4" t="n">
        <v>139</v>
      </c>
      <c r="K355" t="inlineStr">
        <is>
          <t>44 / 95</t>
        </is>
      </c>
      <c r="L355" t="inlineStr">
        <is>
          <t>12 / 21</t>
        </is>
      </c>
      <c r="M355" s="5" t="n">
        <v>0.32</v>
      </c>
      <c r="N355" s="5" t="n">
        <v>0.36</v>
      </c>
    </row>
    <row r="356">
      <c r="A356" t="n">
        <v>355</v>
      </c>
      <c r="B356" t="n">
        <v>2013</v>
      </c>
      <c r="C356" t="inlineStr">
        <is>
          <t>Kate Penalba</t>
        </is>
      </c>
      <c r="D356">
        <f>HYPERLINK("https://ota.tournamentsoftware.com/player-profile/C3F08CFB-765E-4234-8D01-16CB3E717037", "Link")</f>
        <v/>
      </c>
      <c r="E356" s="3" t="n">
        <v>182.596</v>
      </c>
      <c r="F356" s="4" t="n">
        <v>15</v>
      </c>
      <c r="G356" t="inlineStr">
        <is>
          <t>Ontario Tennis Association</t>
        </is>
      </c>
      <c r="H356" t="inlineStr">
        <is>
          <t>No Club</t>
        </is>
      </c>
      <c r="I356" t="n">
        <v>34.7</v>
      </c>
      <c r="J356" s="4" t="n">
        <v>132</v>
      </c>
      <c r="K356" t="inlineStr">
        <is>
          <t>53 / 79</t>
        </is>
      </c>
      <c r="L356" t="inlineStr">
        <is>
          <t>10 / 17</t>
        </is>
      </c>
      <c r="M356" s="5" t="n">
        <v>0.4</v>
      </c>
      <c r="N356" s="5" t="n">
        <v>0.37</v>
      </c>
    </row>
    <row r="357">
      <c r="A357" t="n">
        <v>356</v>
      </c>
      <c r="B357" t="n">
        <v>2013</v>
      </c>
      <c r="C357" t="inlineStr">
        <is>
          <t>Victoria Pellerin</t>
        </is>
      </c>
      <c r="D357">
        <f>HYPERLINK("https://ota.tournamentsoftware.com/player-profile/097573BE-64EA-4951-9B1B-3779B5938722", "Link")</f>
        <v/>
      </c>
      <c r="E357" s="3" t="n">
        <v>181.263</v>
      </c>
      <c r="F357" s="4" t="n">
        <v>15</v>
      </c>
      <c r="G357" t="inlineStr">
        <is>
          <t>Tennis Québec</t>
        </is>
      </c>
      <c r="H357" t="inlineStr">
        <is>
          <t>Centre récréatif de Repentigny / Académie Tennis Momentum</t>
        </is>
      </c>
      <c r="I357" t="n">
        <v>36.7</v>
      </c>
      <c r="J357" s="4" t="n">
        <v>58</v>
      </c>
      <c r="K357" t="inlineStr">
        <is>
          <t>16 / 42</t>
        </is>
      </c>
      <c r="L357" t="inlineStr">
        <is>
          <t>4 / 14</t>
        </is>
      </c>
      <c r="M357" s="5" t="n">
        <v>0.28</v>
      </c>
      <c r="N357" s="5" t="n">
        <v>0.22</v>
      </c>
    </row>
    <row r="358">
      <c r="A358" t="n">
        <v>357</v>
      </c>
      <c r="B358" t="n">
        <v>2015</v>
      </c>
      <c r="C358" t="inlineStr">
        <is>
          <t>Jesi Myra Kumaran</t>
        </is>
      </c>
      <c r="D358">
        <f>HYPERLINK("https://ota.tournamentsoftware.com/player-profile/8DE19A2A-095B-4432-92FE-7CA64D28B7F1", "Link")</f>
        <v/>
      </c>
      <c r="E358" s="3" t="n">
        <v>179.454</v>
      </c>
      <c r="F358" s="4" t="n">
        <v>30</v>
      </c>
      <c r="G358" t="inlineStr">
        <is>
          <t>Ontario Tennis Association</t>
        </is>
      </c>
      <c r="H358" t="inlineStr">
        <is>
          <t>Valan Tennis Academy</t>
        </is>
      </c>
      <c r="I358" t="n">
        <v>36.7</v>
      </c>
      <c r="J358" s="4" t="n">
        <v>196</v>
      </c>
      <c r="K358" t="inlineStr">
        <is>
          <t>69 / 127</t>
        </is>
      </c>
      <c r="L358" t="inlineStr">
        <is>
          <t>15 / 30</t>
        </is>
      </c>
      <c r="M358" s="5" t="n">
        <v>0.35</v>
      </c>
      <c r="N358" s="5" t="n">
        <v>0.33</v>
      </c>
    </row>
    <row r="359">
      <c r="A359" t="n">
        <v>358</v>
      </c>
      <c r="B359" t="n">
        <v>2015</v>
      </c>
      <c r="C359" t="inlineStr">
        <is>
          <t>Kynarra Tayt Burthwright</t>
        </is>
      </c>
      <c r="D359">
        <f>HYPERLINK("https://ota.tournamentsoftware.com/player-profile/54340729-CFE8-4AE6-B072-4BD29664CBEC", "Link")</f>
        <v/>
      </c>
      <c r="E359" s="3" t="n">
        <v>179.393</v>
      </c>
      <c r="F359" s="4" t="n">
        <v>28</v>
      </c>
      <c r="G359" t="inlineStr">
        <is>
          <t>Ontario Tennis Association</t>
        </is>
      </c>
      <c r="H359" t="inlineStr">
        <is>
          <t>Newmarket Community Tennis Club</t>
        </is>
      </c>
      <c r="I359" t="n">
        <v>34.5</v>
      </c>
      <c r="J359" s="4" t="n">
        <v>132</v>
      </c>
      <c r="K359" t="inlineStr">
        <is>
          <t>68 / 64</t>
        </is>
      </c>
      <c r="L359" t="inlineStr">
        <is>
          <t>31 / 31</t>
        </is>
      </c>
      <c r="M359" s="5" t="n">
        <v>0.52</v>
      </c>
      <c r="N359" s="5" t="n">
        <v>0.5</v>
      </c>
    </row>
    <row r="360">
      <c r="A360" t="n">
        <v>359</v>
      </c>
      <c r="B360" t="n">
        <v>2013</v>
      </c>
      <c r="C360" t="inlineStr">
        <is>
          <t>Alice Laganière</t>
        </is>
      </c>
      <c r="D360">
        <f>HYPERLINK("https://ota.tournamentsoftware.com/player-profile/C9532D29-EE9A-4084-ACB5-2DBCAD4DF862", "Link")</f>
        <v/>
      </c>
      <c r="E360" s="3" t="n">
        <v>179.018</v>
      </c>
      <c r="F360" s="4" t="n">
        <v>10</v>
      </c>
      <c r="G360" t="inlineStr">
        <is>
          <t>Tennis Québec</t>
        </is>
      </c>
      <c r="H360" t="inlineStr">
        <is>
          <t>Club de tennis intérieur Saguenay / École de tennis Delisle-Poirel</t>
        </is>
      </c>
      <c r="I360" t="n">
        <v>35.6</v>
      </c>
      <c r="J360" s="4" t="n">
        <v>41</v>
      </c>
      <c r="K360" t="inlineStr">
        <is>
          <t>13 / 28</t>
        </is>
      </c>
      <c r="L360" t="inlineStr">
        <is>
          <t>1 / 8</t>
        </is>
      </c>
      <c r="M360" s="5" t="n">
        <v>0.32</v>
      </c>
      <c r="N360" s="5" t="n">
        <v>0.11</v>
      </c>
    </row>
    <row r="361">
      <c r="A361" t="n">
        <v>360</v>
      </c>
      <c r="B361" t="n">
        <v>2013</v>
      </c>
      <c r="C361" t="inlineStr">
        <is>
          <t>Ana Sofia Prieto Echandia</t>
        </is>
      </c>
      <c r="D361">
        <f>HYPERLINK("https://ota.tournamentsoftware.com/player-profile/0A98F660-17C5-4374-B63C-9B5B0E183AF0", "Link")</f>
        <v/>
      </c>
      <c r="E361" s="3" t="n">
        <v>178.675</v>
      </c>
      <c r="F361" s="4" t="n">
        <v>7</v>
      </c>
      <c r="G361" t="inlineStr">
        <is>
          <t>Tennis Québec</t>
        </is>
      </c>
      <c r="H361" t="inlineStr">
        <is>
          <t>Tennis Ile- des- Soeurs</t>
        </is>
      </c>
      <c r="I361" t="n">
        <v>32.4</v>
      </c>
      <c r="J361" s="4" t="n">
        <v>33</v>
      </c>
      <c r="K361" t="inlineStr">
        <is>
          <t>19 / 14</t>
        </is>
      </c>
      <c r="L361" t="inlineStr">
        <is>
          <t>2 / 6</t>
        </is>
      </c>
      <c r="M361" s="5" t="n">
        <v>0.58</v>
      </c>
      <c r="N361" s="5" t="n">
        <v>0.25</v>
      </c>
    </row>
    <row r="362">
      <c r="A362" t="n">
        <v>361</v>
      </c>
      <c r="B362" t="n">
        <v>2017</v>
      </c>
      <c r="C362" t="inlineStr">
        <is>
          <t>Ella Nicolaeva</t>
        </is>
      </c>
      <c r="D362">
        <f>HYPERLINK("https://ota.tournamentsoftware.com/player-profile/7A11DAF6-4353-49AB-8591-07AB86D11272", "Link")</f>
        <v/>
      </c>
      <c r="E362" s="3" t="n">
        <v>178.458</v>
      </c>
      <c r="F362" s="4" t="n">
        <v>41</v>
      </c>
      <c r="G362" t="inlineStr">
        <is>
          <t>Ontario Tennis Association</t>
        </is>
      </c>
      <c r="H362" t="inlineStr">
        <is>
          <t>Valan Tennis Academy</t>
        </is>
      </c>
      <c r="I362" t="n">
        <v>32.9</v>
      </c>
      <c r="J362" s="4" t="n">
        <v>193</v>
      </c>
      <c r="K362" t="inlineStr">
        <is>
          <t>135 / 58</t>
        </is>
      </c>
      <c r="L362" t="inlineStr">
        <is>
          <t>46 / 28</t>
        </is>
      </c>
      <c r="M362" s="5" t="n">
        <v>0.7</v>
      </c>
      <c r="N362" s="5" t="n">
        <v>0.62</v>
      </c>
    </row>
    <row r="363">
      <c r="A363" t="n">
        <v>362</v>
      </c>
      <c r="B363" t="n">
        <v>2015</v>
      </c>
      <c r="C363" t="inlineStr">
        <is>
          <t>Brielle York</t>
        </is>
      </c>
      <c r="D363">
        <f>HYPERLINK("https://ota.tournamentsoftware.com/player-profile/C0B1A514-EDF7-4907-9E4D-D3B8C705EB1D", "Link")</f>
        <v/>
      </c>
      <c r="E363" s="3" t="n">
        <v>177.941</v>
      </c>
      <c r="F363" s="4" t="n">
        <v>15</v>
      </c>
      <c r="G363" t="inlineStr">
        <is>
          <t>Tennis Alberta</t>
        </is>
      </c>
      <c r="H363" t="inlineStr">
        <is>
          <t>Aforza</t>
        </is>
      </c>
      <c r="I363" t="n">
        <v>36.3</v>
      </c>
      <c r="J363" s="4" t="n">
        <v>144</v>
      </c>
      <c r="K363" t="inlineStr">
        <is>
          <t>68 / 76</t>
        </is>
      </c>
      <c r="L363" t="inlineStr">
        <is>
          <t>13 / 21</t>
        </is>
      </c>
      <c r="M363" s="5" t="n">
        <v>0.47</v>
      </c>
      <c r="N363" s="5" t="n">
        <v>0.38</v>
      </c>
    </row>
    <row r="364">
      <c r="A364" t="n">
        <v>363</v>
      </c>
      <c r="B364" t="n">
        <v>2014</v>
      </c>
      <c r="C364" t="inlineStr">
        <is>
          <t>Hunter Anne Wilkinson</t>
        </is>
      </c>
      <c r="D364">
        <f>HYPERLINK("https://ota.tournamentsoftware.com/player-profile/EB893DF0-DCAD-49C8-BAB9-0D044090A656", "Link")</f>
        <v/>
      </c>
      <c r="E364" s="3" t="n">
        <v>177.766</v>
      </c>
      <c r="F364" s="4" t="n">
        <v>19</v>
      </c>
      <c r="G364" t="inlineStr">
        <is>
          <t>Ontario Tennis Association</t>
        </is>
      </c>
      <c r="H364" t="inlineStr">
        <is>
          <t>GSM Tennis Club</t>
        </is>
      </c>
      <c r="I364" t="n">
        <v>34</v>
      </c>
      <c r="J364" s="4" t="n">
        <v>188</v>
      </c>
      <c r="K364" t="inlineStr">
        <is>
          <t>90 / 98</t>
        </is>
      </c>
      <c r="L364" t="inlineStr">
        <is>
          <t>13 / 15</t>
        </is>
      </c>
      <c r="M364" s="5" t="n">
        <v>0.48</v>
      </c>
      <c r="N364" s="5" t="n">
        <v>0.46</v>
      </c>
    </row>
    <row r="365">
      <c r="A365" t="n">
        <v>364</v>
      </c>
      <c r="B365" t="n">
        <v>2013</v>
      </c>
      <c r="C365" t="inlineStr">
        <is>
          <t>Renée Jugalbot</t>
        </is>
      </c>
      <c r="D365">
        <f>HYPERLINK("https://ota.tournamentsoftware.com/player-profile/A487A79B-AB42-4314-BD75-6EFD99F64BC7", "Link")</f>
        <v/>
      </c>
      <c r="E365" s="3" t="n">
        <v>176.744</v>
      </c>
      <c r="F365" s="4" t="n">
        <v>26</v>
      </c>
      <c r="G365" t="inlineStr">
        <is>
          <t>Ontario Tennis Association</t>
        </is>
      </c>
      <c r="H365" t="inlineStr">
        <is>
          <t>Rosedale Tennis Club (Hamilton)</t>
        </is>
      </c>
      <c r="I365" t="n">
        <v>35.9</v>
      </c>
      <c r="J365" s="4" t="n">
        <v>91</v>
      </c>
      <c r="K365" t="inlineStr">
        <is>
          <t>37 / 54</t>
        </is>
      </c>
      <c r="L365" t="inlineStr">
        <is>
          <t>19 / 27</t>
        </is>
      </c>
      <c r="M365" s="5" t="n">
        <v>0.41</v>
      </c>
      <c r="N365" s="5" t="n">
        <v>0.41</v>
      </c>
    </row>
    <row r="366">
      <c r="A366" t="n">
        <v>365</v>
      </c>
      <c r="B366" t="n">
        <v>2012</v>
      </c>
      <c r="C366" t="inlineStr">
        <is>
          <t>Charlianne Grace Kiss</t>
        </is>
      </c>
      <c r="D366">
        <f>HYPERLINK("https://ota.tournamentsoftware.com/player-profile/09C918D2-187B-42AF-836D-E31A35062CB3", "Link")</f>
        <v/>
      </c>
      <c r="E366" s="3" t="n">
        <v>176.12</v>
      </c>
      <c r="F366" s="4" t="n">
        <v>9</v>
      </c>
      <c r="G366" t="inlineStr">
        <is>
          <t>Tennis Alberta</t>
        </is>
      </c>
      <c r="H366" t="inlineStr">
        <is>
          <t>Saville Community Sports Centre</t>
        </is>
      </c>
      <c r="I366" t="n">
        <v>35.9</v>
      </c>
      <c r="J366" s="4" t="n">
        <v>72</v>
      </c>
      <c r="K366" t="inlineStr">
        <is>
          <t>27 / 45</t>
        </is>
      </c>
      <c r="L366" t="inlineStr">
        <is>
          <t>9 / 15</t>
        </is>
      </c>
      <c r="M366" s="5" t="n">
        <v>0.38</v>
      </c>
      <c r="N366" s="5" t="n">
        <v>0.38</v>
      </c>
    </row>
    <row r="367">
      <c r="A367" t="n">
        <v>366</v>
      </c>
      <c r="B367" t="n">
        <v>2012</v>
      </c>
      <c r="C367" t="inlineStr">
        <is>
          <t>Angelica Rose Spyrka</t>
        </is>
      </c>
      <c r="D367">
        <f>HYPERLINK("https://ota.tournamentsoftware.com/player-profile/7A8F99DB-3ADA-4FDB-AC08-5095AAF01985", "Link")</f>
        <v/>
      </c>
      <c r="E367" s="3" t="n">
        <v>173.417</v>
      </c>
      <c r="F367" s="4" t="n">
        <v>12</v>
      </c>
      <c r="G367" t="inlineStr">
        <is>
          <t>British Columbia</t>
        </is>
      </c>
      <c r="H367" t="inlineStr">
        <is>
          <t>Vanguard Tennis Academy</t>
        </is>
      </c>
      <c r="I367" t="n">
        <v>33.3</v>
      </c>
      <c r="J367" s="4" t="n">
        <v>74</v>
      </c>
      <c r="K367" t="inlineStr">
        <is>
          <t>32 / 42</t>
        </is>
      </c>
      <c r="L367" t="inlineStr">
        <is>
          <t>6 / 10</t>
        </is>
      </c>
      <c r="M367" s="5" t="n">
        <v>0.43</v>
      </c>
      <c r="N367" s="5" t="n">
        <v>0.38</v>
      </c>
    </row>
    <row r="368">
      <c r="A368" t="n">
        <v>367</v>
      </c>
      <c r="B368" t="n">
        <v>2017</v>
      </c>
      <c r="C368" t="inlineStr">
        <is>
          <t>Nalayah Smith</t>
        </is>
      </c>
      <c r="D368">
        <f>HYPERLINK("https://ota.tournamentsoftware.com/player-profile/6F913BA8-58BB-4BEE-9CA1-8E064E1332B8", "Link")</f>
        <v/>
      </c>
      <c r="E368" s="3" t="n">
        <v>173.154</v>
      </c>
      <c r="F368" s="4" t="n">
        <v>23</v>
      </c>
      <c r="G368" t="inlineStr">
        <is>
          <t>Ontario Tennis Association</t>
        </is>
      </c>
      <c r="H368" t="inlineStr">
        <is>
          <t>SmartVMC Racquetsports by ACE</t>
        </is>
      </c>
      <c r="I368" t="n">
        <v>32.6</v>
      </c>
      <c r="J368" s="4" t="n">
        <v>141</v>
      </c>
      <c r="K368" t="inlineStr">
        <is>
          <t>93 / 48</t>
        </is>
      </c>
      <c r="L368" t="inlineStr">
        <is>
          <t>38 / 15</t>
        </is>
      </c>
      <c r="M368" s="5" t="n">
        <v>0.66</v>
      </c>
      <c r="N368" s="5" t="n">
        <v>0.72</v>
      </c>
    </row>
    <row r="369">
      <c r="A369" t="n">
        <v>368</v>
      </c>
      <c r="B369" t="n">
        <v>2012</v>
      </c>
      <c r="C369" t="inlineStr">
        <is>
          <t>Riley Lynn Banath</t>
        </is>
      </c>
      <c r="D369">
        <f>HYPERLINK("https://ota.tournamentsoftware.com/player-profile/4B613A1C-293C-4701-B6BA-BEC5F8EBDA29", "Link")</f>
        <v/>
      </c>
      <c r="E369" s="3" t="n">
        <v>173.105</v>
      </c>
      <c r="F369" s="4" t="n">
        <v>14</v>
      </c>
      <c r="G369" t="inlineStr">
        <is>
          <t>British Columbia</t>
        </is>
      </c>
      <c r="H369" t="inlineStr">
        <is>
          <t>Arbutus Club</t>
        </is>
      </c>
      <c r="I369" t="n">
        <v>36.5</v>
      </c>
      <c r="J369" s="4" t="n">
        <v>46</v>
      </c>
      <c r="K369" t="inlineStr">
        <is>
          <t>10 / 36</t>
        </is>
      </c>
      <c r="L369" t="inlineStr">
        <is>
          <t>6 / 21</t>
        </is>
      </c>
      <c r="M369" s="5" t="n">
        <v>0.22</v>
      </c>
      <c r="N369" s="5" t="n">
        <v>0.22</v>
      </c>
    </row>
    <row r="370">
      <c r="A370" t="n">
        <v>369</v>
      </c>
      <c r="B370" t="n">
        <v>2012</v>
      </c>
      <c r="C370" t="inlineStr">
        <is>
          <t>Amelia Jee</t>
        </is>
      </c>
      <c r="D370">
        <f>HYPERLINK("https://ota.tournamentsoftware.com/player-profile/485EA829-3893-4703-AF9A-1CF8D304CE5D", "Link")</f>
        <v/>
      </c>
      <c r="E370" s="3" t="n">
        <v>173.084</v>
      </c>
      <c r="F370" s="4" t="n">
        <v>11</v>
      </c>
      <c r="G370" t="inlineStr">
        <is>
          <t>Ontario Tennis Association</t>
        </is>
      </c>
      <c r="H370" t="inlineStr">
        <is>
          <t>Toronto Cricket Skating &amp; Curling</t>
        </is>
      </c>
      <c r="I370" t="n">
        <v>32.8</v>
      </c>
      <c r="J370" s="4" t="n">
        <v>125</v>
      </c>
      <c r="K370" t="inlineStr">
        <is>
          <t>53 / 72</t>
        </is>
      </c>
      <c r="L370" t="inlineStr">
        <is>
          <t>11 / 13</t>
        </is>
      </c>
      <c r="M370" s="5" t="n">
        <v>0.42</v>
      </c>
      <c r="N370" s="5" t="n">
        <v>0.46</v>
      </c>
    </row>
    <row r="371">
      <c r="A371" t="n">
        <v>370</v>
      </c>
      <c r="B371" t="n">
        <v>2013</v>
      </c>
      <c r="C371" t="inlineStr">
        <is>
          <t>Eva Eile</t>
        </is>
      </c>
      <c r="D371">
        <f>HYPERLINK("https://ota.tournamentsoftware.com/player-profile/EE5E7036-3979-48DF-A095-8C40584653EF", "Link")</f>
        <v/>
      </c>
      <c r="E371" s="3" t="n">
        <v>172.661</v>
      </c>
      <c r="F371" s="4" t="n">
        <v>16</v>
      </c>
      <c r="G371" t="inlineStr">
        <is>
          <t>Tennis Québec</t>
        </is>
      </c>
      <c r="H371" t="inlineStr">
        <is>
          <t>Midtown Le Sporting Club Sanctuaire</t>
        </is>
      </c>
      <c r="I371" t="n">
        <v>39.2</v>
      </c>
      <c r="J371" s="4" t="n">
        <v>28</v>
      </c>
      <c r="K371" t="inlineStr">
        <is>
          <t>3 / 25</t>
        </is>
      </c>
      <c r="L371" t="inlineStr">
        <is>
          <t>0 / 14</t>
        </is>
      </c>
      <c r="M371" s="5" t="n">
        <v>0.11</v>
      </c>
      <c r="N371" s="5" t="n">
        <v>0</v>
      </c>
    </row>
    <row r="372">
      <c r="A372" t="n">
        <v>371</v>
      </c>
      <c r="B372" t="n">
        <v>2013</v>
      </c>
      <c r="C372" t="inlineStr">
        <is>
          <t>Diya Vasudeva</t>
        </is>
      </c>
      <c r="D372">
        <f>HYPERLINK("https://ota.tournamentsoftware.com/player-profile/81C22EEF-F10A-4447-AF45-2B9B6D1A7F5B", "Link")</f>
        <v/>
      </c>
      <c r="E372" s="3" t="n">
        <v>171.328</v>
      </c>
      <c r="F372" s="4" t="n">
        <v>10</v>
      </c>
      <c r="G372" t="inlineStr">
        <is>
          <t>Ontario Tennis Association</t>
        </is>
      </c>
      <c r="H372" t="inlineStr">
        <is>
          <t>ACE Tennis - Burlington</t>
        </is>
      </c>
      <c r="I372" t="n">
        <v>36.5</v>
      </c>
      <c r="J372" s="4" t="n">
        <v>100</v>
      </c>
      <c r="K372" t="inlineStr">
        <is>
          <t>34 / 66</t>
        </is>
      </c>
      <c r="L372" t="inlineStr">
        <is>
          <t>5 / 11</t>
        </is>
      </c>
      <c r="M372" s="5" t="n">
        <v>0.34</v>
      </c>
      <c r="N372" s="5" t="n">
        <v>0.31</v>
      </c>
    </row>
    <row r="373">
      <c r="A373" t="n">
        <v>372</v>
      </c>
      <c r="B373" t="n">
        <v>2015</v>
      </c>
      <c r="C373" t="inlineStr">
        <is>
          <t>Ruichu Rachel Piao</t>
        </is>
      </c>
      <c r="D373">
        <f>HYPERLINK("https://ota.tournamentsoftware.com/player-profile/13F65932-C96D-4F89-B571-4AA7315B2EEB", "Link")</f>
        <v/>
      </c>
      <c r="E373" s="3" t="n">
        <v>170.967</v>
      </c>
      <c r="F373" s="4" t="n">
        <v>14</v>
      </c>
      <c r="G373" t="inlineStr">
        <is>
          <t>Tennis Québec</t>
        </is>
      </c>
      <c r="H373" t="inlineStr">
        <is>
          <t>Tennis Ile- des- Soeurs</t>
        </is>
      </c>
      <c r="I373" t="inlineStr">
        <is>
          <t>unavailable</t>
        </is>
      </c>
      <c r="J373" s="4" t="n">
        <v>77</v>
      </c>
      <c r="K373" t="inlineStr">
        <is>
          <t>36 / 41</t>
        </is>
      </c>
      <c r="L373" t="inlineStr">
        <is>
          <t>8 / 13</t>
        </is>
      </c>
      <c r="M373" s="5" t="n">
        <v>0.47</v>
      </c>
      <c r="N373" s="5" t="n">
        <v>0.38</v>
      </c>
    </row>
    <row r="374">
      <c r="A374" t="n">
        <v>373</v>
      </c>
      <c r="B374" t="n">
        <v>2016</v>
      </c>
      <c r="C374" t="inlineStr">
        <is>
          <t>Dorothy Ning</t>
        </is>
      </c>
      <c r="D374">
        <f>HYPERLINK("https://ota.tournamentsoftware.com/player-profile/15BEDAE4-AB73-4AE9-B466-BA81BCA77DB1", "Link")</f>
        <v/>
      </c>
      <c r="E374" s="3" t="n">
        <v>170.864</v>
      </c>
      <c r="F374" s="4" t="n">
        <v>22</v>
      </c>
      <c r="G374" t="inlineStr">
        <is>
          <t>Ontario Tennis Association</t>
        </is>
      </c>
      <c r="H374" t="inlineStr">
        <is>
          <t>Toronto Tennis Academy</t>
        </is>
      </c>
      <c r="I374" t="inlineStr">
        <is>
          <t>unavailable</t>
        </is>
      </c>
      <c r="J374" s="4" t="n">
        <v>154</v>
      </c>
      <c r="K374" t="inlineStr">
        <is>
          <t>82 / 72</t>
        </is>
      </c>
      <c r="L374" t="inlineStr">
        <is>
          <t>23 / 17</t>
        </is>
      </c>
      <c r="M374" s="5" t="n">
        <v>0.53</v>
      </c>
      <c r="N374" s="5" t="n">
        <v>0.57</v>
      </c>
    </row>
    <row r="375">
      <c r="A375" t="n">
        <v>374</v>
      </c>
      <c r="B375" t="n">
        <v>2015</v>
      </c>
      <c r="C375" t="inlineStr">
        <is>
          <t>Adelaide Mossop</t>
        </is>
      </c>
      <c r="D375">
        <f>HYPERLINK("https://ota.tournamentsoftware.com/player-profile/0BA4F4DB-3133-41DE-9EE3-39EB4A609399", "Link")</f>
        <v/>
      </c>
      <c r="E375" s="3" t="n">
        <v>170.614</v>
      </c>
      <c r="F375" s="4" t="n">
        <v>13</v>
      </c>
      <c r="G375" t="inlineStr">
        <is>
          <t>Tennis Nova Scotia</t>
        </is>
      </c>
      <c r="H375" t="inlineStr">
        <is>
          <t>Atlantic Tennis Centre</t>
        </is>
      </c>
      <c r="I375" t="n">
        <v>36.2</v>
      </c>
      <c r="J375" s="4" t="n">
        <v>167</v>
      </c>
      <c r="K375" t="inlineStr">
        <is>
          <t>68 / 99</t>
        </is>
      </c>
      <c r="L375" t="inlineStr">
        <is>
          <t>17 / 26</t>
        </is>
      </c>
      <c r="M375" s="5" t="n">
        <v>0.41</v>
      </c>
      <c r="N375" s="5" t="n">
        <v>0.4</v>
      </c>
    </row>
    <row r="376">
      <c r="A376" t="n">
        <v>375</v>
      </c>
      <c r="B376" t="n">
        <v>2016</v>
      </c>
      <c r="C376" t="inlineStr">
        <is>
          <t>Amaranna Ugwunze</t>
        </is>
      </c>
      <c r="D376">
        <f>HYPERLINK("https://ota.tournamentsoftware.com/player-profile/2C6CBEBE-C5D2-4EC5-B283-CB703335834E", "Link")</f>
        <v/>
      </c>
      <c r="E376" s="3" t="n">
        <v>170.064</v>
      </c>
      <c r="F376" s="4" t="n">
        <v>20</v>
      </c>
      <c r="G376" t="inlineStr">
        <is>
          <t>Ontario Tennis Association</t>
        </is>
      </c>
      <c r="H376" t="inlineStr">
        <is>
          <t>Ontario Racquet Club</t>
        </is>
      </c>
      <c r="I376" t="n">
        <v>34.1</v>
      </c>
      <c r="J376" s="4" t="n">
        <v>94</v>
      </c>
      <c r="K376" t="inlineStr">
        <is>
          <t>49 / 45</t>
        </is>
      </c>
      <c r="L376" t="inlineStr">
        <is>
          <t>25 / 17</t>
        </is>
      </c>
      <c r="M376" s="5" t="n">
        <v>0.52</v>
      </c>
      <c r="N376" s="5" t="n">
        <v>0.6</v>
      </c>
    </row>
    <row r="377">
      <c r="A377" t="n">
        <v>376</v>
      </c>
      <c r="B377" t="n">
        <v>2015</v>
      </c>
      <c r="C377" t="inlineStr">
        <is>
          <t>Allison Penev</t>
        </is>
      </c>
      <c r="D377">
        <f>HYPERLINK("https://ota.tournamentsoftware.com/player-profile/C34C7D86-0233-454A-9C07-62AD41AF32CE", "Link")</f>
        <v/>
      </c>
      <c r="E377" s="3" t="n">
        <v>169.413</v>
      </c>
      <c r="F377" s="4" t="n">
        <v>19</v>
      </c>
      <c r="G377" t="inlineStr">
        <is>
          <t>Tennis Québec</t>
        </is>
      </c>
      <c r="H377" t="inlineStr">
        <is>
          <t>Carrefour Multisports</t>
        </is>
      </c>
      <c r="I377" t="n">
        <v>35.9</v>
      </c>
      <c r="J377" s="4" t="n">
        <v>155</v>
      </c>
      <c r="K377" t="inlineStr">
        <is>
          <t>66 / 89</t>
        </is>
      </c>
      <c r="L377" t="inlineStr">
        <is>
          <t>8 / 19</t>
        </is>
      </c>
      <c r="M377" s="5" t="n">
        <v>0.43</v>
      </c>
      <c r="N377" s="5" t="n">
        <v>0.3</v>
      </c>
    </row>
    <row r="378">
      <c r="A378" t="n">
        <v>377</v>
      </c>
      <c r="B378" t="n">
        <v>2014</v>
      </c>
      <c r="C378" t="inlineStr">
        <is>
          <t>Alexandra Strgacic</t>
        </is>
      </c>
      <c r="D378">
        <f>HYPERLINK("https://ota.tournamentsoftware.com/player-profile/C809B120-C1B7-4F85-B411-257E3DC9B63B", "Link")</f>
        <v/>
      </c>
      <c r="E378" s="3" t="n">
        <v>168.42</v>
      </c>
      <c r="F378" s="4" t="n">
        <v>5</v>
      </c>
      <c r="G378" t="inlineStr">
        <is>
          <t>Ontario Tennis Association</t>
        </is>
      </c>
      <c r="H378" t="inlineStr">
        <is>
          <t>Advantage Tennis International at Veneto</t>
        </is>
      </c>
      <c r="I378" t="n">
        <v>33.5</v>
      </c>
      <c r="J378" s="4" t="n">
        <v>165</v>
      </c>
      <c r="K378" t="inlineStr">
        <is>
          <t>96 / 69</t>
        </is>
      </c>
      <c r="L378" t="inlineStr">
        <is>
          <t>3 / 5</t>
        </is>
      </c>
      <c r="M378" s="5" t="n">
        <v>0.58</v>
      </c>
      <c r="N378" s="5" t="n">
        <v>0.38</v>
      </c>
    </row>
    <row r="379">
      <c r="A379" t="n">
        <v>378</v>
      </c>
      <c r="B379" t="n">
        <v>2015</v>
      </c>
      <c r="C379" t="inlineStr">
        <is>
          <t>Nora Firoozi</t>
        </is>
      </c>
      <c r="D379">
        <f>HYPERLINK("https://ota.tournamentsoftware.com/player-profile/328F4CA8-B72D-4F94-9BB6-3F666B5E0706", "Link")</f>
        <v/>
      </c>
      <c r="E379" s="3" t="n">
        <v>167.643</v>
      </c>
      <c r="F379" s="4" t="n">
        <v>18</v>
      </c>
      <c r="G379" t="inlineStr">
        <is>
          <t>British Columbia</t>
        </is>
      </c>
      <c r="H379" t="inlineStr">
        <is>
          <t>North Vancouver Tennis Centre</t>
        </is>
      </c>
      <c r="I379" t="n">
        <v>33.3</v>
      </c>
      <c r="J379" s="4" t="n">
        <v>168</v>
      </c>
      <c r="K379" t="inlineStr">
        <is>
          <t>83 / 85</t>
        </is>
      </c>
      <c r="L379" t="inlineStr">
        <is>
          <t>17 / 19</t>
        </is>
      </c>
      <c r="M379" s="5" t="n">
        <v>0.49</v>
      </c>
      <c r="N379" s="5" t="n">
        <v>0.47</v>
      </c>
    </row>
    <row r="380">
      <c r="A380" t="n">
        <v>379</v>
      </c>
      <c r="B380" t="n">
        <v>2014</v>
      </c>
      <c r="C380" t="inlineStr">
        <is>
          <t>Sahana Bath</t>
        </is>
      </c>
      <c r="D380">
        <f>HYPERLINK("https://ota.tournamentsoftware.com/player-profile/25E19F82-227F-4B69-8295-16AA8F4F207F", "Link")</f>
        <v/>
      </c>
      <c r="E380" s="3" t="n">
        <v>166.44</v>
      </c>
      <c r="F380" s="4" t="n">
        <v>24</v>
      </c>
      <c r="G380" t="inlineStr">
        <is>
          <t>British Columbia</t>
        </is>
      </c>
      <c r="H380" t="inlineStr">
        <is>
          <t>The Tennis Centre</t>
        </is>
      </c>
      <c r="I380" t="n">
        <v>31.1</v>
      </c>
      <c r="J380" s="4" t="n">
        <v>180</v>
      </c>
      <c r="K380" t="inlineStr">
        <is>
          <t>104 / 76</t>
        </is>
      </c>
      <c r="L380" t="inlineStr">
        <is>
          <t>49 / 23</t>
        </is>
      </c>
      <c r="M380" s="5" t="n">
        <v>0.58</v>
      </c>
      <c r="N380" s="5" t="n">
        <v>0.68</v>
      </c>
    </row>
    <row r="381">
      <c r="A381" t="n">
        <v>380</v>
      </c>
      <c r="B381" t="n">
        <v>2012</v>
      </c>
      <c r="C381" t="inlineStr">
        <is>
          <t>Naomi Lucy McCrank</t>
        </is>
      </c>
      <c r="D381">
        <f>HYPERLINK("https://ota.tournamentsoftware.com/player-profile/68E80EA0-3999-4449-8E0B-83CC30E1EF77", "Link")</f>
        <v/>
      </c>
      <c r="E381" s="3" t="n">
        <v>166.417</v>
      </c>
      <c r="F381" s="4" t="n">
        <v>14</v>
      </c>
      <c r="G381" t="inlineStr">
        <is>
          <t>Tennis Alberta</t>
        </is>
      </c>
      <c r="H381" t="inlineStr">
        <is>
          <t>Aforza</t>
        </is>
      </c>
      <c r="I381" t="n">
        <v>33.5</v>
      </c>
      <c r="J381" s="4" t="n">
        <v>80</v>
      </c>
      <c r="K381" t="inlineStr">
        <is>
          <t>24 / 56</t>
        </is>
      </c>
      <c r="L381" t="inlineStr">
        <is>
          <t>8 / 11</t>
        </is>
      </c>
      <c r="M381" s="5" t="n">
        <v>0.3</v>
      </c>
      <c r="N381" s="5" t="n">
        <v>0.42</v>
      </c>
    </row>
    <row r="382">
      <c r="A382" t="n">
        <v>381</v>
      </c>
      <c r="B382" t="n">
        <v>2014</v>
      </c>
      <c r="C382" t="inlineStr">
        <is>
          <t>Grace Li</t>
        </is>
      </c>
      <c r="D382">
        <f>HYPERLINK("https://ota.tournamentsoftware.com/player-profile/5B95D38D-7E3D-4B41-B418-6B2307ED0863", "Link")</f>
        <v/>
      </c>
      <c r="E382" s="3" t="n">
        <v>166.105</v>
      </c>
      <c r="F382" s="4" t="n">
        <v>20</v>
      </c>
      <c r="G382" t="inlineStr">
        <is>
          <t>Tennis Québec</t>
        </is>
      </c>
      <c r="H382" t="inlineStr">
        <is>
          <t>Tennis 13</t>
        </is>
      </c>
      <c r="I382" t="n">
        <v>35.1</v>
      </c>
      <c r="J382" s="4" t="n">
        <v>168</v>
      </c>
      <c r="K382" t="inlineStr">
        <is>
          <t>72 / 96</t>
        </is>
      </c>
      <c r="L382" t="inlineStr">
        <is>
          <t>8 / 15</t>
        </is>
      </c>
      <c r="M382" s="5" t="n">
        <v>0.43</v>
      </c>
      <c r="N382" s="5" t="n">
        <v>0.35</v>
      </c>
    </row>
    <row r="383">
      <c r="A383" t="n">
        <v>382</v>
      </c>
      <c r="B383" t="n">
        <v>2013</v>
      </c>
      <c r="C383" t="inlineStr">
        <is>
          <t>Adriana Juliana Tambini</t>
        </is>
      </c>
      <c r="D383">
        <f>HYPERLINK("https://ota.tournamentsoftware.com/player-profile/7D7985A7-C189-4AE6-9641-F7EA5AE89364", "Link")</f>
        <v/>
      </c>
      <c r="E383" s="3" t="n">
        <v>165.937</v>
      </c>
      <c r="F383" s="4" t="n">
        <v>7</v>
      </c>
      <c r="G383" t="inlineStr">
        <is>
          <t>Ontario Tennis Association</t>
        </is>
      </c>
      <c r="H383" t="inlineStr">
        <is>
          <t>Headwaters Racquet Club</t>
        </is>
      </c>
      <c r="I383" t="n">
        <v>38.5</v>
      </c>
      <c r="J383" s="4" t="n">
        <v>23</v>
      </c>
      <c r="K383" t="inlineStr">
        <is>
          <t>12 / 11</t>
        </is>
      </c>
      <c r="L383" t="inlineStr">
        <is>
          <t>7 / 10</t>
        </is>
      </c>
      <c r="M383" s="5" t="n">
        <v>0.52</v>
      </c>
      <c r="N383" s="5" t="n">
        <v>0.41</v>
      </c>
    </row>
    <row r="384">
      <c r="A384" t="n">
        <v>383</v>
      </c>
      <c r="B384" t="n">
        <v>2014</v>
      </c>
      <c r="C384" t="inlineStr">
        <is>
          <t>Sonia Leung</t>
        </is>
      </c>
      <c r="D384">
        <f>HYPERLINK("https://ota.tournamentsoftware.com/player-profile/CCA302B0-3E0B-42DA-BCF9-B1A9AF0035E5", "Link")</f>
        <v/>
      </c>
      <c r="E384" s="3" t="n">
        <v>165.44</v>
      </c>
      <c r="F384" s="4" t="n">
        <v>17</v>
      </c>
      <c r="G384" t="inlineStr">
        <is>
          <t>Ontario Tennis Association</t>
        </is>
      </c>
      <c r="H384" t="inlineStr">
        <is>
          <t>Toronto Tennis Academy</t>
        </is>
      </c>
      <c r="I384" t="n">
        <v>33.5</v>
      </c>
      <c r="J384" s="4" t="n">
        <v>72</v>
      </c>
      <c r="K384" t="inlineStr">
        <is>
          <t>38 / 34</t>
        </is>
      </c>
      <c r="L384" t="inlineStr">
        <is>
          <t>29 / 14</t>
        </is>
      </c>
      <c r="M384" s="5" t="n">
        <v>0.53</v>
      </c>
      <c r="N384" s="5" t="n">
        <v>0.67</v>
      </c>
    </row>
    <row r="385">
      <c r="A385" t="n">
        <v>384</v>
      </c>
      <c r="B385" t="n">
        <v>2012</v>
      </c>
      <c r="C385" t="inlineStr">
        <is>
          <t>Alyssa Grace Clouden</t>
        </is>
      </c>
      <c r="D385">
        <f>HYPERLINK("https://ota.tournamentsoftware.com/player-profile/85FC5E76-6ACD-4520-94D0-C05BABDC2184", "Link")</f>
        <v/>
      </c>
      <c r="E385" s="3" t="n">
        <v>165.1</v>
      </c>
      <c r="F385" s="4" t="n">
        <v>15</v>
      </c>
      <c r="G385" t="inlineStr">
        <is>
          <t>Ontario Tennis Association</t>
        </is>
      </c>
      <c r="H385" t="inlineStr">
        <is>
          <t>Headwaters Racquet Club</t>
        </is>
      </c>
      <c r="I385" t="n">
        <v>35.2</v>
      </c>
      <c r="J385" s="4" t="n">
        <v>57</v>
      </c>
      <c r="K385" t="inlineStr">
        <is>
          <t>26 / 31</t>
        </is>
      </c>
      <c r="L385" t="inlineStr">
        <is>
          <t>11 / 15</t>
        </is>
      </c>
      <c r="M385" s="5" t="n">
        <v>0.46</v>
      </c>
      <c r="N385" s="5" t="n">
        <v>0.42</v>
      </c>
    </row>
    <row r="386">
      <c r="A386" t="n">
        <v>385</v>
      </c>
      <c r="B386" t="n">
        <v>2014</v>
      </c>
      <c r="C386" t="inlineStr">
        <is>
          <t>Melissa Yi Nuo Yang</t>
        </is>
      </c>
      <c r="D386">
        <f>HYPERLINK("https://ota.tournamentsoftware.com/player-profile/870FB276-B8EA-4586-B0F5-B2318D4B1CD6", "Link")</f>
        <v/>
      </c>
      <c r="E386" s="3" t="n">
        <v>164.547</v>
      </c>
      <c r="F386" s="4" t="n">
        <v>17</v>
      </c>
      <c r="G386" t="inlineStr">
        <is>
          <t>Tennis Québec</t>
        </is>
      </c>
      <c r="H386" t="inlineStr">
        <is>
          <t>Club Sportif Côte-de-Liesse</t>
        </is>
      </c>
      <c r="I386" t="n">
        <v>33.3</v>
      </c>
      <c r="J386" s="4" t="n">
        <v>88</v>
      </c>
      <c r="K386" t="inlineStr">
        <is>
          <t>45 / 43</t>
        </is>
      </c>
      <c r="L386" t="inlineStr">
        <is>
          <t>25 / 12</t>
        </is>
      </c>
      <c r="M386" s="5" t="n">
        <v>0.51</v>
      </c>
      <c r="N386" s="5" t="n">
        <v>0.68</v>
      </c>
    </row>
    <row r="387">
      <c r="A387" t="n">
        <v>386</v>
      </c>
      <c r="B387" t="n">
        <v>2013</v>
      </c>
      <c r="C387" t="inlineStr">
        <is>
          <t>Nisa Karim</t>
        </is>
      </c>
      <c r="D387">
        <f>HYPERLINK("https://ota.tournamentsoftware.com/player-profile/11CB5752-5D45-47AB-82AD-AC3D554873E5", "Link")</f>
        <v/>
      </c>
      <c r="E387" s="3" t="n">
        <v>163.167</v>
      </c>
      <c r="F387" s="4" t="n">
        <v>16</v>
      </c>
      <c r="G387" t="inlineStr">
        <is>
          <t>British Columbia</t>
        </is>
      </c>
      <c r="H387" t="inlineStr">
        <is>
          <t>Arbutus Club</t>
        </is>
      </c>
      <c r="I387" t="n">
        <v>34.7</v>
      </c>
      <c r="J387" s="4" t="n">
        <v>97</v>
      </c>
      <c r="K387" t="inlineStr">
        <is>
          <t>51 / 46</t>
        </is>
      </c>
      <c r="L387" t="inlineStr">
        <is>
          <t>17 / 20</t>
        </is>
      </c>
      <c r="M387" s="5" t="n">
        <v>0.53</v>
      </c>
      <c r="N387" s="5" t="n">
        <v>0.46</v>
      </c>
    </row>
    <row r="388">
      <c r="A388" t="n">
        <v>387</v>
      </c>
      <c r="B388" t="n">
        <v>2014</v>
      </c>
      <c r="C388" t="inlineStr">
        <is>
          <t>Eve Martel</t>
        </is>
      </c>
      <c r="D388">
        <f>HYPERLINK("https://ota.tournamentsoftware.com/player-profile/590DE091-4FC9-494D-A8AC-45DB223E71D8", "Link")</f>
        <v/>
      </c>
      <c r="E388" s="3" t="n">
        <v>160.307</v>
      </c>
      <c r="F388" s="4" t="n">
        <v>19</v>
      </c>
      <c r="G388" t="inlineStr">
        <is>
          <t>Tennis Québec</t>
        </is>
      </c>
      <c r="H388" t="inlineStr">
        <is>
          <t>Club Avantage Multi-sports / Académie de tennis Hérisset Bordeleau</t>
        </is>
      </c>
      <c r="I388" t="inlineStr">
        <is>
          <t>unavailable</t>
        </is>
      </c>
      <c r="J388" s="4" t="n">
        <v>130</v>
      </c>
      <c r="K388" t="inlineStr">
        <is>
          <t>41 / 89</t>
        </is>
      </c>
      <c r="L388" t="inlineStr">
        <is>
          <t>12 / 17</t>
        </is>
      </c>
      <c r="M388" s="5" t="n">
        <v>0.32</v>
      </c>
      <c r="N388" s="5" t="n">
        <v>0.41</v>
      </c>
    </row>
    <row r="389">
      <c r="A389" t="n">
        <v>388</v>
      </c>
      <c r="B389" t="n">
        <v>2012</v>
      </c>
      <c r="C389" t="inlineStr">
        <is>
          <t>Eliana Yiannacouras</t>
        </is>
      </c>
      <c r="D389">
        <f>HYPERLINK("https://ota.tournamentsoftware.com/player-profile/B77AA2DD-5FF4-4B16-8ABD-E6ED22D4B5E1", "Link")</f>
        <v/>
      </c>
      <c r="E389" s="3" t="n">
        <v>157.896</v>
      </c>
      <c r="F389" s="4" t="n">
        <v>15</v>
      </c>
      <c r="G389" t="inlineStr">
        <is>
          <t>Ontario Tennis Association</t>
        </is>
      </c>
      <c r="H389" t="inlineStr">
        <is>
          <t>The Supreme Court Tennis Club</t>
        </is>
      </c>
      <c r="I389" t="n">
        <v>33.9</v>
      </c>
      <c r="J389" s="4" t="n">
        <v>104</v>
      </c>
      <c r="K389" t="inlineStr">
        <is>
          <t>29 / 75</t>
        </is>
      </c>
      <c r="L389" t="inlineStr">
        <is>
          <t>10 / 12</t>
        </is>
      </c>
      <c r="M389" s="5" t="n">
        <v>0.28</v>
      </c>
      <c r="N389" s="5" t="n">
        <v>0.45</v>
      </c>
    </row>
    <row r="390">
      <c r="A390" t="n">
        <v>389</v>
      </c>
      <c r="B390" t="n">
        <v>2012</v>
      </c>
      <c r="C390" t="inlineStr">
        <is>
          <t>Sophia Zhang</t>
        </is>
      </c>
      <c r="D390">
        <f>HYPERLINK("https://ota.tournamentsoftware.com/player-profile/2BBD611B-69D1-4A97-AAC3-1D897498B21A", "Link")</f>
        <v/>
      </c>
      <c r="E390" s="3" t="n">
        <v>157.227</v>
      </c>
      <c r="F390" s="4" t="n">
        <v>10</v>
      </c>
      <c r="G390" t="inlineStr">
        <is>
          <t>Ontario Tennis Association</t>
        </is>
      </c>
      <c r="H390" t="inlineStr">
        <is>
          <t>Burlington Tennis Club</t>
        </is>
      </c>
      <c r="I390" t="inlineStr">
        <is>
          <t>unavailable</t>
        </is>
      </c>
      <c r="J390" s="4" t="n">
        <v>40</v>
      </c>
      <c r="K390" t="inlineStr">
        <is>
          <t>18 / 22</t>
        </is>
      </c>
      <c r="L390" t="inlineStr">
        <is>
          <t>12 / 11</t>
        </is>
      </c>
      <c r="M390" s="5" t="n">
        <v>0.45</v>
      </c>
      <c r="N390" s="5" t="n">
        <v>0.52</v>
      </c>
    </row>
    <row r="391">
      <c r="A391" t="n">
        <v>390</v>
      </c>
      <c r="B391" t="n">
        <v>2017</v>
      </c>
      <c r="C391" t="inlineStr">
        <is>
          <t>Yuetwing, Doris Li</t>
        </is>
      </c>
      <c r="D391">
        <f>HYPERLINK("https://ota.tournamentsoftware.com/player-profile/C901A65F-E3DE-47DE-A4BC-21149FEBA20C", "Link")</f>
        <v/>
      </c>
      <c r="E391" s="3" t="n">
        <v>157.026</v>
      </c>
      <c r="F391" s="4" t="n">
        <v>5</v>
      </c>
      <c r="G391" t="inlineStr">
        <is>
          <t>Ontario Tennis Association</t>
        </is>
      </c>
      <c r="H391" t="inlineStr">
        <is>
          <t>No Club</t>
        </is>
      </c>
      <c r="I391" t="n">
        <v>32.7</v>
      </c>
      <c r="J391" s="4" t="n">
        <v>16</v>
      </c>
      <c r="K391" t="inlineStr">
        <is>
          <t>14 / 2</t>
        </is>
      </c>
      <c r="L391" t="inlineStr">
        <is>
          <t>10 / 2</t>
        </is>
      </c>
      <c r="M391" s="5" t="n">
        <v>0.88</v>
      </c>
      <c r="N391" s="5" t="n">
        <v>0.83</v>
      </c>
    </row>
    <row r="392">
      <c r="A392" t="n">
        <v>391</v>
      </c>
      <c r="B392" t="n">
        <v>2012</v>
      </c>
      <c r="C392" t="inlineStr">
        <is>
          <t>Chloe Park</t>
        </is>
      </c>
      <c r="D392">
        <f>HYPERLINK("https://ota.tournamentsoftware.com/player-profile/FD8FB9A4-F5D9-4A90-AA66-D8E6FC3D3BC5", "Link")</f>
        <v/>
      </c>
      <c r="E392" s="3" t="n">
        <v>154.282</v>
      </c>
      <c r="F392" s="4" t="n">
        <v>5</v>
      </c>
      <c r="G392" t="inlineStr">
        <is>
          <t>Tennis Prince Edward Island</t>
        </is>
      </c>
      <c r="H392" t="inlineStr">
        <is>
          <t>No Club</t>
        </is>
      </c>
      <c r="I392" t="n">
        <v>34.9</v>
      </c>
      <c r="J392" s="4" t="n">
        <v>57</v>
      </c>
      <c r="K392" t="inlineStr">
        <is>
          <t>13 / 44</t>
        </is>
      </c>
      <c r="L392" t="inlineStr">
        <is>
          <t>8 / 13</t>
        </is>
      </c>
      <c r="M392" s="5" t="n">
        <v>0.23</v>
      </c>
      <c r="N392" s="5" t="n">
        <v>0.38</v>
      </c>
    </row>
    <row r="393">
      <c r="A393" t="n">
        <v>392</v>
      </c>
      <c r="B393" t="n">
        <v>2013</v>
      </c>
      <c r="C393" t="inlineStr">
        <is>
          <t>Gabrielle Pompa</t>
        </is>
      </c>
      <c r="D393">
        <f>HYPERLINK("https://ota.tournamentsoftware.com/player-profile/668A29C0-962F-4DAD-B317-933787C09DCF", "Link")</f>
        <v/>
      </c>
      <c r="E393" s="3" t="n">
        <v>153.753</v>
      </c>
      <c r="F393" s="4" t="n">
        <v>6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29.2</v>
      </c>
      <c r="J393" s="4" t="n">
        <v>162</v>
      </c>
      <c r="K393" t="inlineStr">
        <is>
          <t>111 / 51</t>
        </is>
      </c>
      <c r="L393" t="inlineStr">
        <is>
          <t>6 / 4</t>
        </is>
      </c>
      <c r="M393" s="5" t="n">
        <v>0.6899999999999999</v>
      </c>
      <c r="N393" s="5" t="n">
        <v>0.6</v>
      </c>
    </row>
    <row r="394">
      <c r="A394" t="n">
        <v>393</v>
      </c>
      <c r="B394" t="n">
        <v>2014</v>
      </c>
      <c r="C394" t="inlineStr">
        <is>
          <t>Olivia Lee</t>
        </is>
      </c>
      <c r="D394">
        <f>HYPERLINK("https://ota.tournamentsoftware.com/player-profile/DEF89846-A0EF-4373-B8DC-8305F756E612", "Link")</f>
        <v/>
      </c>
      <c r="E394" s="3" t="n">
        <v>153.166</v>
      </c>
      <c r="F394" s="4" t="n">
        <v>22</v>
      </c>
      <c r="G394" t="inlineStr">
        <is>
          <t>Tennis Québec</t>
        </is>
      </c>
      <c r="H394" t="inlineStr">
        <is>
          <t>SANI Sport</t>
        </is>
      </c>
      <c r="I394" t="n">
        <v>35.6</v>
      </c>
      <c r="J394" s="4" t="n">
        <v>115</v>
      </c>
      <c r="K394" t="inlineStr">
        <is>
          <t>43 / 72</t>
        </is>
      </c>
      <c r="L394" t="inlineStr">
        <is>
          <t>13 / 24</t>
        </is>
      </c>
      <c r="M394" s="5" t="n">
        <v>0.37</v>
      </c>
      <c r="N394" s="5" t="n">
        <v>0.35</v>
      </c>
    </row>
    <row r="395">
      <c r="A395" t="n">
        <v>394</v>
      </c>
      <c r="B395" t="n">
        <v>2014</v>
      </c>
      <c r="C395" t="inlineStr">
        <is>
          <t>Rain Yu Chan</t>
        </is>
      </c>
      <c r="D395">
        <f>HYPERLINK("https://ota.tournamentsoftware.com/player-profile/BF26AD2D-BAAC-4E82-A862-14039C1584F2", "Link")</f>
        <v/>
      </c>
      <c r="E395" s="3" t="n">
        <v>152.222</v>
      </c>
      <c r="F395" s="4" t="n">
        <v>32</v>
      </c>
      <c r="G395" t="inlineStr">
        <is>
          <t>British Columbia</t>
        </is>
      </c>
      <c r="H395" t="inlineStr">
        <is>
          <t>Burnaby Tennis Club</t>
        </is>
      </c>
      <c r="I395" t="inlineStr">
        <is>
          <t>unavailable</t>
        </is>
      </c>
      <c r="J395" s="4" t="n">
        <v>209</v>
      </c>
      <c r="K395" t="inlineStr">
        <is>
          <t>99 / 110</t>
        </is>
      </c>
      <c r="L395" t="inlineStr">
        <is>
          <t>33 / 33</t>
        </is>
      </c>
      <c r="M395" s="5" t="n">
        <v>0.47</v>
      </c>
      <c r="N395" s="5" t="n">
        <v>0.5</v>
      </c>
    </row>
    <row r="396">
      <c r="A396" t="n">
        <v>395</v>
      </c>
      <c r="B396" t="n">
        <v>2014</v>
      </c>
      <c r="C396" t="inlineStr">
        <is>
          <t>Andrea Robles Sgambatti</t>
        </is>
      </c>
      <c r="D396">
        <f>HYPERLINK("https://ota.tournamentsoftware.com/player-profile/842B5763-8026-4DFF-BD28-4FA110C3A345", "Link")</f>
        <v/>
      </c>
      <c r="E396" s="3" t="n">
        <v>152.162</v>
      </c>
      <c r="F396" s="4" t="n">
        <v>16</v>
      </c>
      <c r="G396" t="inlineStr">
        <is>
          <t>Tennis Alberta</t>
        </is>
      </c>
      <c r="H396" t="inlineStr">
        <is>
          <t>Osten &amp; Victor Alberta Tennis Centre</t>
        </is>
      </c>
      <c r="I396" t="n">
        <v>34.3</v>
      </c>
      <c r="J396" s="4" t="n">
        <v>150</v>
      </c>
      <c r="K396" t="inlineStr">
        <is>
          <t>62 / 88</t>
        </is>
      </c>
      <c r="L396" t="inlineStr">
        <is>
          <t>13 / 20</t>
        </is>
      </c>
      <c r="M396" s="5" t="n">
        <v>0.41</v>
      </c>
      <c r="N396" s="5" t="n">
        <v>0.39</v>
      </c>
    </row>
    <row r="397">
      <c r="A397" t="n">
        <v>396</v>
      </c>
      <c r="B397" t="n">
        <v>2013</v>
      </c>
      <c r="C397" t="inlineStr">
        <is>
          <t>Alyxandra Grace Bellot Wildeman</t>
        </is>
      </c>
      <c r="D397">
        <f>HYPERLINK("https://ota.tournamentsoftware.com/player-profile/E2171261-67FD-4CFA-B4F2-64D9B979CCE5", "Link")</f>
        <v/>
      </c>
      <c r="E397" s="3" t="n">
        <v>151.193</v>
      </c>
      <c r="F397" s="4" t="n">
        <v>12</v>
      </c>
      <c r="G397" t="inlineStr">
        <is>
          <t>British Columbia</t>
        </is>
      </c>
      <c r="H397" t="inlineStr">
        <is>
          <t>Vanguard Tennis Academy</t>
        </is>
      </c>
      <c r="I397" t="n">
        <v>33</v>
      </c>
      <c r="J397" s="4" t="n">
        <v>131</v>
      </c>
      <c r="K397" t="inlineStr">
        <is>
          <t>59 / 72</t>
        </is>
      </c>
      <c r="L397" t="inlineStr">
        <is>
          <t>15 / 14</t>
        </is>
      </c>
      <c r="M397" s="5" t="n">
        <v>0.45</v>
      </c>
      <c r="N397" s="5" t="n">
        <v>0.52</v>
      </c>
    </row>
    <row r="398">
      <c r="A398" t="n">
        <v>397</v>
      </c>
      <c r="B398" t="n">
        <v>2013</v>
      </c>
      <c r="C398" t="inlineStr">
        <is>
          <t>Jaheema Jajah Joseph</t>
        </is>
      </c>
      <c r="D398">
        <f>HYPERLINK("https://ota.tournamentsoftware.com/player-profile/2C08ABD4-0853-4E02-96D6-4CBDA8251E2A", "Link")</f>
        <v/>
      </c>
      <c r="E398" s="3" t="n">
        <v>150.699</v>
      </c>
      <c r="F398" s="4" t="n">
        <v>14</v>
      </c>
      <c r="G398" t="inlineStr">
        <is>
          <t>Tennis Québec</t>
        </is>
      </c>
      <c r="H398" t="inlineStr">
        <is>
          <t>Tennis Montréal</t>
        </is>
      </c>
      <c r="I398" t="n">
        <v>36.8</v>
      </c>
      <c r="J398" s="4" t="n">
        <v>94</v>
      </c>
      <c r="K398" t="inlineStr">
        <is>
          <t>38 / 56</t>
        </is>
      </c>
      <c r="L398" t="inlineStr">
        <is>
          <t>6 / 16</t>
        </is>
      </c>
      <c r="M398" s="5" t="n">
        <v>0.4</v>
      </c>
      <c r="N398" s="5" t="n">
        <v>0.27</v>
      </c>
    </row>
    <row r="399">
      <c r="A399" t="n">
        <v>398</v>
      </c>
      <c r="B399" t="n">
        <v>2013</v>
      </c>
      <c r="C399" t="inlineStr">
        <is>
          <t>Aarushi Pal</t>
        </is>
      </c>
      <c r="D399">
        <f>HYPERLINK("https://ota.tournamentsoftware.com/player-profile/F5E1E459-0A97-4C1F-8F37-D8CEF64DA1FA", "Link")</f>
        <v/>
      </c>
      <c r="E399" s="3" t="n">
        <v>149.571</v>
      </c>
      <c r="F399" s="4" t="n">
        <v>13</v>
      </c>
      <c r="G399" t="inlineStr">
        <is>
          <t>Tennis Alberta</t>
        </is>
      </c>
      <c r="H399" t="inlineStr">
        <is>
          <t>Osten &amp; Victor Alberta Tennis Centre</t>
        </is>
      </c>
      <c r="I399" t="n">
        <v>33.9</v>
      </c>
      <c r="J399" s="4" t="n">
        <v>165</v>
      </c>
      <c r="K399" t="inlineStr">
        <is>
          <t>81 / 84</t>
        </is>
      </c>
      <c r="L399" t="inlineStr">
        <is>
          <t>5 / 12</t>
        </is>
      </c>
      <c r="M399" s="5" t="n">
        <v>0.49</v>
      </c>
      <c r="N399" s="5" t="n">
        <v>0.29</v>
      </c>
    </row>
    <row r="400">
      <c r="A400" t="n">
        <v>399</v>
      </c>
      <c r="B400" t="n">
        <v>2015</v>
      </c>
      <c r="C400" t="inlineStr">
        <is>
          <t>Emma Lucenti</t>
        </is>
      </c>
      <c r="D400">
        <f>HYPERLINK("https://ota.tournamentsoftware.com/player-profile/F174A813-5F1A-4B24-BDFF-B6E6160FE2EB", "Link")</f>
        <v/>
      </c>
      <c r="E400" s="3" t="n">
        <v>148.828</v>
      </c>
      <c r="F400" s="4" t="n">
        <v>12</v>
      </c>
      <c r="G400" t="inlineStr">
        <is>
          <t>Ontario Tennis Association</t>
        </is>
      </c>
      <c r="H400" t="inlineStr">
        <is>
          <t>SmartVMC Racquetsports by ACE</t>
        </is>
      </c>
      <c r="I400" t="n">
        <v>35.5</v>
      </c>
      <c r="J400" s="4" t="n">
        <v>85</v>
      </c>
      <c r="K400" t="inlineStr">
        <is>
          <t>30 / 55</t>
        </is>
      </c>
      <c r="L400" t="inlineStr">
        <is>
          <t>9 / 13</t>
        </is>
      </c>
      <c r="M400" s="5" t="n">
        <v>0.35</v>
      </c>
      <c r="N400" s="5" t="n">
        <v>0.41</v>
      </c>
    </row>
    <row r="401">
      <c r="A401" t="n">
        <v>400</v>
      </c>
      <c r="B401" t="n">
        <v>2016</v>
      </c>
      <c r="C401" t="inlineStr">
        <is>
          <t>Eva Yanakieva</t>
        </is>
      </c>
      <c r="D401">
        <f>HYPERLINK("https://ota.tournamentsoftware.com/player-profile/7FBBEC05-D20C-448B-93F1-1F8C6BA80758", "Link")</f>
        <v/>
      </c>
      <c r="E401" s="3" t="n">
        <v>148.333</v>
      </c>
      <c r="F401" s="4" t="n">
        <v>21</v>
      </c>
      <c r="G401" t="inlineStr">
        <is>
          <t>Tennis Québec</t>
        </is>
      </c>
      <c r="H401" t="inlineStr">
        <is>
          <t>Tennis Montréal Excellence</t>
        </is>
      </c>
      <c r="I401" t="n">
        <v>35.2</v>
      </c>
      <c r="J401" s="4" t="n">
        <v>178</v>
      </c>
      <c r="K401" t="inlineStr">
        <is>
          <t>85 / 93</t>
        </is>
      </c>
      <c r="L401" t="inlineStr">
        <is>
          <t>24 / 25</t>
        </is>
      </c>
      <c r="M401" s="5" t="n">
        <v>0.48</v>
      </c>
      <c r="N401" s="5" t="n">
        <v>0.49</v>
      </c>
    </row>
    <row r="402">
      <c r="A402" t="n">
        <v>401</v>
      </c>
      <c r="B402" t="n">
        <v>2015</v>
      </c>
      <c r="C402" t="inlineStr">
        <is>
          <t>Stefaniia Grimailo</t>
        </is>
      </c>
      <c r="D402">
        <f>HYPERLINK("https://ota.tournamentsoftware.com/player-profile/63AAF188-F773-4BFA-B6C2-97B1DFB9AF3A", "Link")</f>
        <v/>
      </c>
      <c r="E402" s="3" t="n">
        <v>147.389</v>
      </c>
      <c r="F402" s="4" t="n">
        <v>9</v>
      </c>
      <c r="G402" t="inlineStr">
        <is>
          <t>Tennis Manitoba</t>
        </is>
      </c>
      <c r="H402" t="inlineStr">
        <is>
          <t>Winnipeg Winter Club</t>
        </is>
      </c>
      <c r="I402" t="n">
        <v>38.6</v>
      </c>
      <c r="J402" s="4" t="n">
        <v>64</v>
      </c>
      <c r="K402" t="inlineStr">
        <is>
          <t>9 / 55</t>
        </is>
      </c>
      <c r="L402" t="inlineStr">
        <is>
          <t>2 / 25</t>
        </is>
      </c>
      <c r="M402" s="5" t="n">
        <v>0.14</v>
      </c>
      <c r="N402" s="5" t="n">
        <v>0.07000000000000001</v>
      </c>
    </row>
    <row r="403">
      <c r="A403" t="n">
        <v>402</v>
      </c>
      <c r="B403" t="n">
        <v>2015</v>
      </c>
      <c r="C403" t="inlineStr">
        <is>
          <t>Elaina York</t>
        </is>
      </c>
      <c r="D403">
        <f>HYPERLINK("https://ota.tournamentsoftware.com/player-profile/7D4D2F10-C754-4560-B490-903FD1C70ADE", "Link")</f>
        <v/>
      </c>
      <c r="E403" s="3" t="n">
        <v>145.952</v>
      </c>
      <c r="F403" s="4" t="n">
        <v>15</v>
      </c>
      <c r="G403" t="inlineStr">
        <is>
          <t>Tennis Alberta</t>
        </is>
      </c>
      <c r="H403" t="inlineStr">
        <is>
          <t>Aforza</t>
        </is>
      </c>
      <c r="I403" t="n">
        <v>34.9</v>
      </c>
      <c r="J403" s="4" t="n">
        <v>149</v>
      </c>
      <c r="K403" t="inlineStr">
        <is>
          <t>61 / 88</t>
        </is>
      </c>
      <c r="L403" t="inlineStr">
        <is>
          <t>15 / 23</t>
        </is>
      </c>
      <c r="M403" s="5" t="n">
        <v>0.41</v>
      </c>
      <c r="N403" s="5" t="n">
        <v>0.39</v>
      </c>
    </row>
    <row r="404">
      <c r="A404" t="n">
        <v>403</v>
      </c>
      <c r="B404" t="n">
        <v>2014</v>
      </c>
      <c r="C404" t="inlineStr">
        <is>
          <t>Sofia Zhuchenko</t>
        </is>
      </c>
      <c r="D404">
        <f>HYPERLINK("https://ota.tournamentsoftware.com/player-profile/F633DD21-A0C3-4CAC-B560-7222D07936B7", "Link")</f>
        <v/>
      </c>
      <c r="E404" s="3" t="n">
        <v>145.261</v>
      </c>
      <c r="F404" s="4" t="n">
        <v>15</v>
      </c>
      <c r="G404" t="inlineStr">
        <is>
          <t>Tennis Alberta</t>
        </is>
      </c>
      <c r="H404" t="inlineStr">
        <is>
          <t>Osten &amp; Victor Alberta Tennis Centre</t>
        </is>
      </c>
      <c r="I404" t="n">
        <v>33.9</v>
      </c>
      <c r="J404" s="4" t="n">
        <v>114</v>
      </c>
      <c r="K404" t="inlineStr">
        <is>
          <t>43 / 71</t>
        </is>
      </c>
      <c r="L404" t="inlineStr">
        <is>
          <t>13 / 21</t>
        </is>
      </c>
      <c r="M404" s="5" t="n">
        <v>0.38</v>
      </c>
      <c r="N404" s="5" t="n">
        <v>0.38</v>
      </c>
    </row>
    <row r="405">
      <c r="A405" t="n">
        <v>404</v>
      </c>
      <c r="B405" t="n">
        <v>2014</v>
      </c>
      <c r="C405" t="inlineStr">
        <is>
          <t>Bella Beiqi Zhao</t>
        </is>
      </c>
      <c r="D405">
        <f>HYPERLINK("https://ota.tournamentsoftware.com/player-profile/440C1FD3-B189-4153-99D4-C9B6B43D7D03", "Link")</f>
        <v/>
      </c>
      <c r="E405" s="3" t="n">
        <v>144.935</v>
      </c>
      <c r="F405" s="4" t="n">
        <v>26</v>
      </c>
      <c r="G405" t="inlineStr">
        <is>
          <t>British Columbia</t>
        </is>
      </c>
      <c r="H405" t="inlineStr">
        <is>
          <t>No Club</t>
        </is>
      </c>
      <c r="I405" t="n">
        <v>31.2</v>
      </c>
      <c r="J405" s="4" t="n">
        <v>213</v>
      </c>
      <c r="K405" t="inlineStr">
        <is>
          <t>88 / 125</t>
        </is>
      </c>
      <c r="L405" t="inlineStr">
        <is>
          <t>26 / 25</t>
        </is>
      </c>
      <c r="M405" s="5" t="n">
        <v>0.41</v>
      </c>
      <c r="N405" s="5" t="n">
        <v>0.51</v>
      </c>
    </row>
    <row r="406">
      <c r="A406" t="n">
        <v>405</v>
      </c>
      <c r="B406" t="n">
        <v>2014</v>
      </c>
      <c r="C406" t="inlineStr">
        <is>
          <t>Kira Wong</t>
        </is>
      </c>
      <c r="D406">
        <f>HYPERLINK("https://ota.tournamentsoftware.com/player-profile/E305B648-4548-45A0-B043-623E1473C7E5", "Link")</f>
        <v/>
      </c>
      <c r="E406" s="3" t="n">
        <v>144.621</v>
      </c>
      <c r="F406" s="4" t="n">
        <v>23</v>
      </c>
      <c r="G406" t="inlineStr">
        <is>
          <t>Tennis Alberta</t>
        </is>
      </c>
      <c r="H406" t="inlineStr">
        <is>
          <t>Aforza</t>
        </is>
      </c>
      <c r="I406" t="n">
        <v>35.2</v>
      </c>
      <c r="J406" s="4" t="n">
        <v>130</v>
      </c>
      <c r="K406" t="inlineStr">
        <is>
          <t>48 / 82</t>
        </is>
      </c>
      <c r="L406" t="inlineStr">
        <is>
          <t>24 / 28</t>
        </is>
      </c>
      <c r="M406" s="5" t="n">
        <v>0.37</v>
      </c>
      <c r="N406" s="5" t="n">
        <v>0.46</v>
      </c>
    </row>
    <row r="407">
      <c r="A407" t="n">
        <v>406</v>
      </c>
      <c r="B407" t="n">
        <v>2012</v>
      </c>
      <c r="C407" t="inlineStr">
        <is>
          <t>Aila Olivia Brimacombe</t>
        </is>
      </c>
      <c r="D407">
        <f>HYPERLINK("https://ota.tournamentsoftware.com/player-profile/665F5A6C-3B65-4541-A5CF-6A84DC235104", "Link")</f>
        <v/>
      </c>
      <c r="E407" s="3" t="n">
        <v>144.088</v>
      </c>
      <c r="F407" s="4" t="n">
        <v>22</v>
      </c>
      <c r="G407" t="inlineStr">
        <is>
          <t>British Columbia</t>
        </is>
      </c>
      <c r="H407" t="inlineStr">
        <is>
          <t>West Vancouver Tennis Club</t>
        </is>
      </c>
      <c r="I407" t="n">
        <v>34.7</v>
      </c>
      <c r="J407" s="4" t="n">
        <v>118</v>
      </c>
      <c r="K407" t="inlineStr">
        <is>
          <t>21 / 97</t>
        </is>
      </c>
      <c r="L407" t="inlineStr">
        <is>
          <t>11 / 32</t>
        </is>
      </c>
      <c r="M407" s="5" t="n">
        <v>0.18</v>
      </c>
      <c r="N407" s="5" t="n">
        <v>0.26</v>
      </c>
    </row>
    <row r="408">
      <c r="A408" t="n">
        <v>407</v>
      </c>
      <c r="B408" t="n">
        <v>2016</v>
      </c>
      <c r="C408" t="inlineStr">
        <is>
          <t>Milana Piazza</t>
        </is>
      </c>
      <c r="D408">
        <f>HYPERLINK("https://ota.tournamentsoftware.com/player-profile/4CDBB0C3-0D8B-4D7B-873C-3CEC65600FA0", "Link")</f>
        <v/>
      </c>
      <c r="E408" s="3" t="n">
        <v>144.058</v>
      </c>
      <c r="F408" s="4" t="n">
        <v>10</v>
      </c>
      <c r="G408" t="inlineStr">
        <is>
          <t>Tennis Québec</t>
        </is>
      </c>
      <c r="H408" t="inlineStr">
        <is>
          <t>Tennis 13</t>
        </is>
      </c>
      <c r="I408" t="n">
        <v>32.9</v>
      </c>
      <c r="J408" s="4" t="n">
        <v>93</v>
      </c>
      <c r="K408" t="inlineStr">
        <is>
          <t>56 / 37</t>
        </is>
      </c>
      <c r="L408" t="inlineStr">
        <is>
          <t>23 / 9</t>
        </is>
      </c>
      <c r="M408" s="5" t="n">
        <v>0.6</v>
      </c>
      <c r="N408" s="5" t="n">
        <v>0.72</v>
      </c>
    </row>
    <row r="409">
      <c r="A409" t="n">
        <v>408</v>
      </c>
      <c r="B409" t="n">
        <v>2015</v>
      </c>
      <c r="C409" t="inlineStr">
        <is>
          <t>Vera Toptounov</t>
        </is>
      </c>
      <c r="D409">
        <f>HYPERLINK("https://ota.tournamentsoftware.com/player-profile/6AC05446-ED22-406D-9460-F30F3FC8B16B", "Link")</f>
        <v/>
      </c>
      <c r="E409" s="3" t="n">
        <v>144.013</v>
      </c>
      <c r="F409" s="4" t="n">
        <v>19</v>
      </c>
      <c r="G409" t="inlineStr">
        <is>
          <t>Ontario Tennis Association</t>
        </is>
      </c>
      <c r="H409" t="inlineStr">
        <is>
          <t>SmartVMC Racquetsports by ACE</t>
        </is>
      </c>
      <c r="I409" t="n">
        <v>35.5</v>
      </c>
      <c r="J409" s="4" t="n">
        <v>106</v>
      </c>
      <c r="K409" t="inlineStr">
        <is>
          <t>46 / 60</t>
        </is>
      </c>
      <c r="L409" t="inlineStr">
        <is>
          <t>12 / 16</t>
        </is>
      </c>
      <c r="M409" s="5" t="n">
        <v>0.43</v>
      </c>
      <c r="N409" s="5" t="n">
        <v>0.43</v>
      </c>
    </row>
    <row r="410">
      <c r="A410" t="n">
        <v>409</v>
      </c>
      <c r="B410" t="n">
        <v>2015</v>
      </c>
      <c r="C410" t="inlineStr">
        <is>
          <t>Theia Zhang</t>
        </is>
      </c>
      <c r="D410">
        <f>HYPERLINK("https://ota.tournamentsoftware.com/player-profile/8628DB3F-1A24-45E1-A1F1-727AFFD593DD", "Link")</f>
        <v/>
      </c>
      <c r="E410" s="3" t="n">
        <v>142.594</v>
      </c>
      <c r="F410" s="4" t="n">
        <v>10</v>
      </c>
      <c r="G410" t="inlineStr">
        <is>
          <t>Ontario Tennis Association</t>
        </is>
      </c>
      <c r="H410" t="inlineStr">
        <is>
          <t>Premier Racquet Clubs – Mississauga</t>
        </is>
      </c>
      <c r="I410" t="n">
        <v>35.8</v>
      </c>
      <c r="J410" s="4" t="n">
        <v>102</v>
      </c>
      <c r="K410" t="inlineStr">
        <is>
          <t>48 / 54</t>
        </is>
      </c>
      <c r="L410" t="inlineStr">
        <is>
          <t>1 / 6</t>
        </is>
      </c>
      <c r="M410" s="5" t="n">
        <v>0.47</v>
      </c>
      <c r="N410" s="5" t="n">
        <v>0.14</v>
      </c>
    </row>
    <row r="411">
      <c r="A411" t="n">
        <v>410</v>
      </c>
      <c r="B411" t="n">
        <v>2015</v>
      </c>
      <c r="C411" t="inlineStr">
        <is>
          <t>Maranata Okubazgi</t>
        </is>
      </c>
      <c r="D411">
        <f>HYPERLINK("https://ota.tournamentsoftware.com/player-profile/D41680BB-0D07-401E-A1E3-7ECB40E4830A", "Link")</f>
        <v/>
      </c>
      <c r="E411" s="3" t="n">
        <v>142.224</v>
      </c>
      <c r="F411" s="4" t="n">
        <v>18</v>
      </c>
      <c r="G411" t="inlineStr">
        <is>
          <t>Ontario Tennis Association</t>
        </is>
      </c>
      <c r="H411" t="inlineStr">
        <is>
          <t>Premier Racquet Clubs – Mississauga</t>
        </is>
      </c>
      <c r="I411" t="n">
        <v>34.6</v>
      </c>
      <c r="J411" s="4" t="n">
        <v>101</v>
      </c>
      <c r="K411" t="inlineStr">
        <is>
          <t>58 / 43</t>
        </is>
      </c>
      <c r="L411" t="inlineStr">
        <is>
          <t>19 / 15</t>
        </is>
      </c>
      <c r="M411" s="5" t="n">
        <v>0.57</v>
      </c>
      <c r="N411" s="5" t="n">
        <v>0.5600000000000001</v>
      </c>
    </row>
    <row r="412">
      <c r="A412" t="n">
        <v>411</v>
      </c>
      <c r="B412" t="n">
        <v>2014</v>
      </c>
      <c r="C412" t="inlineStr">
        <is>
          <t>myra Malik</t>
        </is>
      </c>
      <c r="D412">
        <f>HYPERLINK("https://ota.tournamentsoftware.com/player-profile/B5B677E5-44EA-48DD-95B7-05BF38E3758B", "Link")</f>
        <v/>
      </c>
      <c r="E412" s="3" t="n">
        <v>140.56</v>
      </c>
      <c r="F412" s="4" t="n">
        <v>28</v>
      </c>
      <c r="G412" t="inlineStr">
        <is>
          <t>British Columbia</t>
        </is>
      </c>
      <c r="H412" t="inlineStr">
        <is>
          <t>The Tennis Centre</t>
        </is>
      </c>
      <c r="I412" t="n">
        <v>32.2</v>
      </c>
      <c r="J412" s="4" t="n">
        <v>76</v>
      </c>
      <c r="K412" t="inlineStr">
        <is>
          <t>38 / 38</t>
        </is>
      </c>
      <c r="L412" t="inlineStr">
        <is>
          <t>31 / 24</t>
        </is>
      </c>
      <c r="M412" s="5" t="n">
        <v>0.5</v>
      </c>
      <c r="N412" s="5" t="n">
        <v>0.5600000000000001</v>
      </c>
    </row>
    <row r="413">
      <c r="A413" t="n">
        <v>412</v>
      </c>
      <c r="B413" t="n">
        <v>2015</v>
      </c>
      <c r="C413" t="inlineStr">
        <is>
          <t>Athisayah Viji</t>
        </is>
      </c>
      <c r="D413">
        <f>HYPERLINK("https://ota.tournamentsoftware.com/player-profile/C8684F68-4EF9-414D-BDA9-FC73111C2DB8", "Link")</f>
        <v/>
      </c>
      <c r="E413" s="3" t="n">
        <v>139.162</v>
      </c>
      <c r="F413" s="4" t="n">
        <v>21</v>
      </c>
      <c r="G413" t="inlineStr">
        <is>
          <t>British Columbia</t>
        </is>
      </c>
      <c r="H413" t="inlineStr">
        <is>
          <t>The Tennis Centre</t>
        </is>
      </c>
      <c r="I413" t="n">
        <v>31.9</v>
      </c>
      <c r="J413" s="4" t="n">
        <v>133</v>
      </c>
      <c r="K413" t="inlineStr">
        <is>
          <t>79 / 54</t>
        </is>
      </c>
      <c r="L413" t="inlineStr">
        <is>
          <t>39 / 19</t>
        </is>
      </c>
      <c r="M413" s="5" t="n">
        <v>0.59</v>
      </c>
      <c r="N413" s="5" t="n">
        <v>0.67</v>
      </c>
    </row>
    <row r="414">
      <c r="A414" t="n">
        <v>413</v>
      </c>
      <c r="B414" t="n">
        <v>2012</v>
      </c>
      <c r="C414" t="inlineStr">
        <is>
          <t>Spencer Xie</t>
        </is>
      </c>
      <c r="D414">
        <f>HYPERLINK("https://ota.tournamentsoftware.com/player-profile/E8C882F3-740E-4E76-A249-7FC036AFD1F8", "Link")</f>
        <v/>
      </c>
      <c r="E414" s="3" t="n">
        <v>138.244</v>
      </c>
      <c r="F414" s="4" t="n">
        <v>12</v>
      </c>
      <c r="G414" t="inlineStr">
        <is>
          <t>Ontario Tennis Association</t>
        </is>
      </c>
      <c r="H414" t="inlineStr">
        <is>
          <t>Granite Club</t>
        </is>
      </c>
      <c r="I414" t="n">
        <v>35.2</v>
      </c>
      <c r="J414" s="4" t="n">
        <v>71</v>
      </c>
      <c r="K414" t="inlineStr">
        <is>
          <t>19 / 52</t>
        </is>
      </c>
      <c r="L414" t="inlineStr">
        <is>
          <t>6 / 13</t>
        </is>
      </c>
      <c r="M414" s="5" t="n">
        <v>0.27</v>
      </c>
      <c r="N414" s="5" t="n">
        <v>0.32</v>
      </c>
    </row>
    <row r="415">
      <c r="A415" t="n">
        <v>414</v>
      </c>
      <c r="B415" t="n">
        <v>2013</v>
      </c>
      <c r="C415" t="inlineStr">
        <is>
          <t>Audrey Ziqi Liu</t>
        </is>
      </c>
      <c r="D415">
        <f>HYPERLINK("https://ota.tournamentsoftware.com/player-profile/C2E6156A-D7ED-45A1-B728-0FA7A8D2D6A1", "Link")</f>
        <v/>
      </c>
      <c r="E415" s="3" t="n">
        <v>138.106</v>
      </c>
      <c r="F415" s="4" t="n">
        <v>11</v>
      </c>
      <c r="G415" t="inlineStr">
        <is>
          <t>British Columbia</t>
        </is>
      </c>
      <c r="H415" t="inlineStr">
        <is>
          <t>UBC Tennis Centre</t>
        </is>
      </c>
      <c r="I415" t="n">
        <v>34.8</v>
      </c>
      <c r="J415" s="4" t="n">
        <v>28</v>
      </c>
      <c r="K415" t="inlineStr">
        <is>
          <t>9 / 19</t>
        </is>
      </c>
      <c r="L415" t="inlineStr">
        <is>
          <t>8 / 17</t>
        </is>
      </c>
      <c r="M415" s="5" t="n">
        <v>0.32</v>
      </c>
      <c r="N415" s="5" t="n">
        <v>0.32</v>
      </c>
    </row>
    <row r="416">
      <c r="A416" t="n">
        <v>415</v>
      </c>
      <c r="B416" t="n">
        <v>2014</v>
      </c>
      <c r="C416" t="inlineStr">
        <is>
          <t>Audrey JIA</t>
        </is>
      </c>
      <c r="D416">
        <f>HYPERLINK("https://ota.tournamentsoftware.com/player-profile/3F7A519A-489C-490B-9AA2-F4FCBBCA474F", "Link")</f>
        <v/>
      </c>
      <c r="E416" s="3" t="n">
        <v>137.049</v>
      </c>
      <c r="F416" s="4" t="n">
        <v>23</v>
      </c>
      <c r="G416" t="inlineStr">
        <is>
          <t>Ontario Tennis Association</t>
        </is>
      </c>
      <c r="H416" t="inlineStr">
        <is>
          <t>Newmarket Community Tennis Club</t>
        </is>
      </c>
      <c r="I416" t="inlineStr">
        <is>
          <t>unavailable</t>
        </is>
      </c>
      <c r="J416" s="4" t="n">
        <v>100</v>
      </c>
      <c r="K416" t="inlineStr">
        <is>
          <t>55 / 45</t>
        </is>
      </c>
      <c r="L416" t="inlineStr">
        <is>
          <t>38 / 18</t>
        </is>
      </c>
      <c r="M416" s="5" t="n">
        <v>0.55</v>
      </c>
      <c r="N416" s="5" t="n">
        <v>0.68</v>
      </c>
    </row>
    <row r="417">
      <c r="A417" t="n">
        <v>416</v>
      </c>
      <c r="B417" t="n">
        <v>2012</v>
      </c>
      <c r="C417" t="inlineStr">
        <is>
          <t>Sophia Hamel</t>
        </is>
      </c>
      <c r="D417">
        <f>HYPERLINK("https://ota.tournamentsoftware.com/player-profile/D6C2A4EC-5F86-459B-A81E-7C31F47AD78D", "Link")</f>
        <v/>
      </c>
      <c r="E417" s="3" t="n">
        <v>135.331</v>
      </c>
      <c r="F417" s="4" t="n">
        <v>8</v>
      </c>
      <c r="G417" t="inlineStr">
        <is>
          <t>Tennis Québec</t>
        </is>
      </c>
      <c r="H417" t="inlineStr">
        <is>
          <t>Rouge et Or - Université Laval</t>
        </is>
      </c>
      <c r="I417" t="n">
        <v>35</v>
      </c>
      <c r="J417" s="4" t="n">
        <v>71</v>
      </c>
      <c r="K417" t="inlineStr">
        <is>
          <t>15 / 56</t>
        </is>
      </c>
      <c r="L417" t="inlineStr">
        <is>
          <t>6 / 11</t>
        </is>
      </c>
      <c r="M417" s="5" t="n">
        <v>0.21</v>
      </c>
      <c r="N417" s="5" t="n">
        <v>0.35</v>
      </c>
    </row>
    <row r="418">
      <c r="A418" t="n">
        <v>417</v>
      </c>
      <c r="B418" t="n">
        <v>2015</v>
      </c>
      <c r="C418" t="inlineStr">
        <is>
          <t>Anya De Lain</t>
        </is>
      </c>
      <c r="D418">
        <f>HYPERLINK("https://ota.tournamentsoftware.com/player-profile/563B79E2-A8FE-4D68-B224-8FB6861F2D7F", "Link")</f>
        <v/>
      </c>
      <c r="E418" s="3" t="n">
        <v>134.241</v>
      </c>
      <c r="F418" s="4" t="n">
        <v>14</v>
      </c>
      <c r="G418" t="inlineStr">
        <is>
          <t>Tennis Québec</t>
        </is>
      </c>
      <c r="H418" t="inlineStr">
        <is>
          <t>EB Tennis inc.</t>
        </is>
      </c>
      <c r="I418" t="n">
        <v>40</v>
      </c>
      <c r="J418" s="4" t="n">
        <v>90</v>
      </c>
      <c r="K418" t="inlineStr">
        <is>
          <t>16 / 74</t>
        </is>
      </c>
      <c r="L418" t="inlineStr">
        <is>
          <t>2 / 18</t>
        </is>
      </c>
      <c r="M418" s="5" t="n">
        <v>0.18</v>
      </c>
      <c r="N418" s="5" t="n">
        <v>0.1</v>
      </c>
    </row>
    <row r="419">
      <c r="A419" t="n">
        <v>418</v>
      </c>
      <c r="B419" t="n">
        <v>2015</v>
      </c>
      <c r="C419" t="inlineStr">
        <is>
          <t>Blake Badger</t>
        </is>
      </c>
      <c r="D419">
        <f>HYPERLINK("https://ota.tournamentsoftware.com/player-profile/33B72483-1E5D-4043-8C06-81F76F0504E6", "Link")</f>
        <v/>
      </c>
      <c r="E419" s="3" t="n">
        <v>133.817</v>
      </c>
      <c r="F419" s="4" t="n">
        <v>4</v>
      </c>
      <c r="G419" t="inlineStr">
        <is>
          <t>Tennis Saskatchewan</t>
        </is>
      </c>
      <c r="H419" t="inlineStr">
        <is>
          <t>Lakeshore Tennis Club</t>
        </is>
      </c>
      <c r="I419" t="n">
        <v>38.3</v>
      </c>
      <c r="J419" s="4" t="n">
        <v>63</v>
      </c>
      <c r="K419" t="inlineStr">
        <is>
          <t>20 / 43</t>
        </is>
      </c>
      <c r="L419" t="inlineStr">
        <is>
          <t>2 / 7</t>
        </is>
      </c>
      <c r="M419" s="5" t="n">
        <v>0.32</v>
      </c>
      <c r="N419" s="5" t="n">
        <v>0.22</v>
      </c>
    </row>
    <row r="420">
      <c r="A420" t="n">
        <v>419</v>
      </c>
      <c r="B420" t="n">
        <v>2013</v>
      </c>
      <c r="C420" t="inlineStr">
        <is>
          <t>Zoé Pilon</t>
        </is>
      </c>
      <c r="D420">
        <f>HYPERLINK("https://ota.tournamentsoftware.com/player-profile/5CF92DF6-CB3B-4E9E-9D03-B9CC6481DEBA", "Link")</f>
        <v/>
      </c>
      <c r="E420" s="3" t="n">
        <v>133.497</v>
      </c>
      <c r="F420" s="4" t="n">
        <v>12</v>
      </c>
      <c r="G420" t="inlineStr">
        <is>
          <t>Tennis Québec</t>
        </is>
      </c>
      <c r="H420" t="inlineStr">
        <is>
          <t>Tennis Interclub Piedmont</t>
        </is>
      </c>
      <c r="I420" t="n">
        <v>37.7</v>
      </c>
      <c r="J420" s="4" t="n">
        <v>22</v>
      </c>
      <c r="K420" t="inlineStr">
        <is>
          <t>7 / 15</t>
        </is>
      </c>
      <c r="L420" t="inlineStr">
        <is>
          <t>3 / 12</t>
        </is>
      </c>
      <c r="M420" s="5" t="n">
        <v>0.32</v>
      </c>
      <c r="N420" s="5" t="n">
        <v>0.2</v>
      </c>
    </row>
    <row r="421">
      <c r="A421" t="n">
        <v>420</v>
      </c>
      <c r="B421" t="n">
        <v>2014</v>
      </c>
      <c r="C421" t="inlineStr">
        <is>
          <t>Jaynaëlle Isaac</t>
        </is>
      </c>
      <c r="D421">
        <f>HYPERLINK("https://ota.tournamentsoftware.com/player-profile/6748F07C-41D2-4D26-87D9-8636B60DC389", "Link")</f>
        <v/>
      </c>
      <c r="E421" s="3" t="n">
        <v>132.874</v>
      </c>
      <c r="F421" s="4" t="n">
        <v>11</v>
      </c>
      <c r="G421" t="inlineStr">
        <is>
          <t>Tennis Québec</t>
        </is>
      </c>
      <c r="H421" t="inlineStr">
        <is>
          <t>No Club</t>
        </is>
      </c>
      <c r="I421" t="n">
        <v>32.5</v>
      </c>
      <c r="J421" s="4" t="n">
        <v>124</v>
      </c>
      <c r="K421" t="inlineStr">
        <is>
          <t>49 / 75</t>
        </is>
      </c>
      <c r="L421" t="inlineStr">
        <is>
          <t>9 / 11</t>
        </is>
      </c>
      <c r="M421" s="5" t="n">
        <v>0.4</v>
      </c>
      <c r="N421" s="5" t="n">
        <v>0.45</v>
      </c>
    </row>
    <row r="422">
      <c r="A422" t="n">
        <v>421</v>
      </c>
      <c r="B422" t="n">
        <v>2013</v>
      </c>
      <c r="C422" t="inlineStr">
        <is>
          <t>Olivia Xing</t>
        </is>
      </c>
      <c r="D422">
        <f>HYPERLINK("https://ota.tournamentsoftware.com/player-profile/03475BC0-CC60-490A-8E94-0D82D43C8EDC", "Link")</f>
        <v/>
      </c>
      <c r="E422" s="3" t="n">
        <v>132.497</v>
      </c>
      <c r="F422" s="4" t="n">
        <v>16</v>
      </c>
      <c r="G422" t="inlineStr">
        <is>
          <t>British Columbia</t>
        </is>
      </c>
      <c r="H422" t="inlineStr">
        <is>
          <t>Vancouver Lawn Tennis and Badminton Club</t>
        </is>
      </c>
      <c r="I422" t="inlineStr">
        <is>
          <t>unavailable</t>
        </is>
      </c>
      <c r="J422" s="4" t="n">
        <v>117</v>
      </c>
      <c r="K422" t="inlineStr">
        <is>
          <t>57 / 60</t>
        </is>
      </c>
      <c r="L422" t="inlineStr">
        <is>
          <t>10 / 13</t>
        </is>
      </c>
      <c r="M422" s="5" t="n">
        <v>0.49</v>
      </c>
      <c r="N422" s="5" t="n">
        <v>0.43</v>
      </c>
    </row>
    <row r="423">
      <c r="A423" t="n">
        <v>422</v>
      </c>
      <c r="B423" t="n">
        <v>2013</v>
      </c>
      <c r="C423" t="inlineStr">
        <is>
          <t>Kaylie Kam</t>
        </is>
      </c>
      <c r="D423">
        <f>HYPERLINK("https://ota.tournamentsoftware.com/player-profile/29B7928E-12B2-4691-8B4A-1DE557B4F068", "Link")</f>
        <v/>
      </c>
      <c r="E423" s="3" t="n">
        <v>131.835</v>
      </c>
      <c r="F423" s="4" t="n">
        <v>16</v>
      </c>
      <c r="G423" t="inlineStr">
        <is>
          <t>Ontario Tennis Association</t>
        </is>
      </c>
      <c r="H423" t="inlineStr">
        <is>
          <t>Blackmore Tennis Club</t>
        </is>
      </c>
      <c r="I423" t="n">
        <v>33.8</v>
      </c>
      <c r="J423" s="4" t="n">
        <v>61</v>
      </c>
      <c r="K423" t="inlineStr">
        <is>
          <t>39 / 22</t>
        </is>
      </c>
      <c r="L423" t="inlineStr">
        <is>
          <t>13 / 14</t>
        </is>
      </c>
      <c r="M423" s="5" t="n">
        <v>0.64</v>
      </c>
      <c r="N423" s="5" t="n">
        <v>0.48</v>
      </c>
    </row>
    <row r="424">
      <c r="A424" t="n">
        <v>423</v>
      </c>
      <c r="B424" t="n">
        <v>2014</v>
      </c>
      <c r="C424" t="inlineStr">
        <is>
          <t>Olivia Weiwei Kong</t>
        </is>
      </c>
      <c r="D424">
        <f>HYPERLINK("https://ota.tournamentsoftware.com/player-profile/D959AEB1-2F72-4DC3-9FC0-C7595A80CDA0", "Link")</f>
        <v/>
      </c>
      <c r="E424" s="3" t="n">
        <v>130.887</v>
      </c>
      <c r="F424" s="4" t="n">
        <v>6</v>
      </c>
      <c r="G424" t="inlineStr">
        <is>
          <t>Tennis Saskatchewan</t>
        </is>
      </c>
      <c r="H424" t="inlineStr">
        <is>
          <t>Lakeshore Tennis Club</t>
        </is>
      </c>
      <c r="I424" t="n">
        <v>35.9</v>
      </c>
      <c r="J424" s="4" t="n">
        <v>91</v>
      </c>
      <c r="K424" t="inlineStr">
        <is>
          <t>23 / 68</t>
        </is>
      </c>
      <c r="L424" t="inlineStr">
        <is>
          <t>4 / 11</t>
        </is>
      </c>
      <c r="M424" s="5" t="n">
        <v>0.25</v>
      </c>
      <c r="N424" s="5" t="n">
        <v>0.27</v>
      </c>
    </row>
    <row r="425">
      <c r="A425" t="n">
        <v>424</v>
      </c>
      <c r="B425" t="n">
        <v>2013</v>
      </c>
      <c r="C425" t="inlineStr">
        <is>
          <t>Ellie Patricia Wilson</t>
        </is>
      </c>
      <c r="D425">
        <f>HYPERLINK("https://ota.tournamentsoftware.com/player-profile/CB4D2A63-DEA3-4EB8-9085-4317BC39804E", "Link")</f>
        <v/>
      </c>
      <c r="E425" s="3" t="n">
        <v>130.711</v>
      </c>
      <c r="F425" s="4" t="n">
        <v>6</v>
      </c>
      <c r="G425" t="inlineStr">
        <is>
          <t>Ontario Tennis Association</t>
        </is>
      </c>
      <c r="H425" t="inlineStr">
        <is>
          <t>Milton Tennis Club</t>
        </is>
      </c>
      <c r="I425" t="n">
        <v>34.5</v>
      </c>
      <c r="J425" s="4" t="n">
        <v>66</v>
      </c>
      <c r="K425" t="inlineStr">
        <is>
          <t>24 / 42</t>
        </is>
      </c>
      <c r="L425" t="inlineStr">
        <is>
          <t>3 / 5</t>
        </is>
      </c>
      <c r="M425" s="5" t="n">
        <v>0.36</v>
      </c>
      <c r="N425" s="5" t="n">
        <v>0.38</v>
      </c>
    </row>
    <row r="426">
      <c r="A426" t="n">
        <v>425</v>
      </c>
      <c r="B426" t="n">
        <v>2013</v>
      </c>
      <c r="C426" t="inlineStr">
        <is>
          <t>LEAH SHOJAIE</t>
        </is>
      </c>
      <c r="D426">
        <f>HYPERLINK("https://ota.tournamentsoftware.com/player-profile/A1DEEE7E-F9FE-4AA1-9DCF-5A3FDD2E189E", "Link")</f>
        <v/>
      </c>
      <c r="E426" s="3" t="n">
        <v>130.147</v>
      </c>
      <c r="F426" s="4" t="n">
        <v>14</v>
      </c>
      <c r="G426" t="inlineStr">
        <is>
          <t>Ontario Tennis Association</t>
        </is>
      </c>
      <c r="H426" t="inlineStr">
        <is>
          <t>Valan Tennis Academy</t>
        </is>
      </c>
      <c r="I426" t="n">
        <v>36</v>
      </c>
      <c r="J426" s="4" t="n">
        <v>21</v>
      </c>
      <c r="K426" t="inlineStr">
        <is>
          <t>6 / 15</t>
        </is>
      </c>
      <c r="L426" t="inlineStr">
        <is>
          <t>6 / 15</t>
        </is>
      </c>
      <c r="M426" s="5" t="n">
        <v>0.29</v>
      </c>
      <c r="N426" s="5" t="n">
        <v>0.29</v>
      </c>
    </row>
    <row r="427">
      <c r="A427" t="n">
        <v>426</v>
      </c>
      <c r="B427" t="n">
        <v>2012</v>
      </c>
      <c r="C427" t="inlineStr">
        <is>
          <t>Myra Chowdhary</t>
        </is>
      </c>
      <c r="D427">
        <f>HYPERLINK("https://ota.tournamentsoftware.com/player-profile/CE7139B1-580D-4EF4-A747-D0E1E897EAFB", "Link")</f>
        <v/>
      </c>
      <c r="E427" s="3" t="n">
        <v>130.123</v>
      </c>
      <c r="F427" s="4" t="n">
        <v>10</v>
      </c>
      <c r="G427" t="inlineStr">
        <is>
          <t>Ontario Tennis Association</t>
        </is>
      </c>
      <c r="H427" t="inlineStr">
        <is>
          <t>Youngs Sportsplex</t>
        </is>
      </c>
      <c r="I427" t="n">
        <v>38.4</v>
      </c>
      <c r="J427" s="4" t="n">
        <v>41</v>
      </c>
      <c r="K427" t="inlineStr">
        <is>
          <t>12 / 29</t>
        </is>
      </c>
      <c r="L427" t="inlineStr">
        <is>
          <t>4 / 13</t>
        </is>
      </c>
      <c r="M427" s="5" t="n">
        <v>0.29</v>
      </c>
      <c r="N427" s="5" t="n">
        <v>0.24</v>
      </c>
    </row>
    <row r="428">
      <c r="A428" t="n">
        <v>427</v>
      </c>
      <c r="B428" t="n">
        <v>2014</v>
      </c>
      <c r="C428" t="inlineStr">
        <is>
          <t>Scarlett Hannah Yip</t>
        </is>
      </c>
      <c r="D428">
        <f>HYPERLINK("https://ota.tournamentsoftware.com/player-profile/D01B38C8-E207-4D1F-B33D-970B1F8BDC78", "Link")</f>
        <v/>
      </c>
      <c r="E428" s="3" t="n">
        <v>128.523</v>
      </c>
      <c r="F428" s="4" t="n">
        <v>11</v>
      </c>
      <c r="G428" t="inlineStr">
        <is>
          <t>Tennis Alberta</t>
        </is>
      </c>
      <c r="H428" t="inlineStr">
        <is>
          <t>Osten &amp; Victor Alberta Tennis Centre</t>
        </is>
      </c>
      <c r="I428" t="n">
        <v>33.7</v>
      </c>
      <c r="J428" s="4" t="n">
        <v>146</v>
      </c>
      <c r="K428" t="inlineStr">
        <is>
          <t>65 / 81</t>
        </is>
      </c>
      <c r="L428" t="inlineStr">
        <is>
          <t>6 / 8</t>
        </is>
      </c>
      <c r="M428" s="5" t="n">
        <v>0.45</v>
      </c>
      <c r="N428" s="5" t="n">
        <v>0.43</v>
      </c>
    </row>
    <row r="429">
      <c r="A429" t="n">
        <v>428</v>
      </c>
      <c r="B429" t="n">
        <v>2014</v>
      </c>
      <c r="C429" t="inlineStr">
        <is>
          <t>Afsoune Wassel</t>
        </is>
      </c>
      <c r="D429">
        <f>HYPERLINK("https://ota.tournamentsoftware.com/player-profile/72D5D7A1-94DE-47DF-B01E-F83205C53092", "Link")</f>
        <v/>
      </c>
      <c r="E429" s="3" t="n">
        <v>128.099</v>
      </c>
      <c r="F429" s="4" t="n">
        <v>18</v>
      </c>
      <c r="G429" t="inlineStr">
        <is>
          <t>Tennis Québec</t>
        </is>
      </c>
      <c r="H429" t="inlineStr">
        <is>
          <t>SANI Sport</t>
        </is>
      </c>
      <c r="I429" t="n">
        <v>34.7</v>
      </c>
      <c r="J429" s="4" t="n">
        <v>118</v>
      </c>
      <c r="K429" t="inlineStr">
        <is>
          <t>59 / 59</t>
        </is>
      </c>
      <c r="L429" t="inlineStr">
        <is>
          <t>7 / 13</t>
        </is>
      </c>
      <c r="M429" s="5" t="n">
        <v>0.5</v>
      </c>
      <c r="N429" s="5" t="n">
        <v>0.35</v>
      </c>
    </row>
    <row r="430">
      <c r="A430" t="n">
        <v>429</v>
      </c>
      <c r="B430" t="n">
        <v>2014</v>
      </c>
      <c r="C430" t="inlineStr">
        <is>
          <t>Mikayla Avani Mahanandan</t>
        </is>
      </c>
      <c r="D430">
        <f>HYPERLINK("https://ota.tournamentsoftware.com/player-profile/DAFD5F0F-733D-4242-B572-5905268B6041", "Link")</f>
        <v/>
      </c>
      <c r="E430" s="3" t="n">
        <v>127.05</v>
      </c>
      <c r="F430" s="4" t="n">
        <v>22</v>
      </c>
      <c r="G430" t="inlineStr">
        <is>
          <t>Ontario Tennis Association</t>
        </is>
      </c>
      <c r="H430" t="inlineStr">
        <is>
          <t>Premier Racquet Clubs – Mississauga</t>
        </is>
      </c>
      <c r="I430" t="inlineStr">
        <is>
          <t>unavailable</t>
        </is>
      </c>
      <c r="J430" s="4" t="n">
        <v>110</v>
      </c>
      <c r="K430" t="inlineStr">
        <is>
          <t>38 / 72</t>
        </is>
      </c>
      <c r="L430" t="inlineStr">
        <is>
          <t>14 / 23</t>
        </is>
      </c>
      <c r="M430" s="5" t="n">
        <v>0.35</v>
      </c>
      <c r="N430" s="5" t="n">
        <v>0.38</v>
      </c>
    </row>
    <row r="431">
      <c r="A431" t="n">
        <v>430</v>
      </c>
      <c r="B431" t="n">
        <v>2015</v>
      </c>
      <c r="C431" t="inlineStr">
        <is>
          <t>Isla Suokas</t>
        </is>
      </c>
      <c r="D431">
        <f>HYPERLINK("https://ota.tournamentsoftware.com/player-profile/4CF0CDA6-2600-4F1B-8775-31212B766E74", "Link")</f>
        <v/>
      </c>
      <c r="E431" s="3" t="n">
        <v>126</v>
      </c>
      <c r="F431" s="4" t="n">
        <v>24</v>
      </c>
      <c r="G431" t="inlineStr">
        <is>
          <t>Ontario Tennis Association</t>
        </is>
      </c>
      <c r="H431" t="inlineStr">
        <is>
          <t>Boulevard Club</t>
        </is>
      </c>
      <c r="I431" t="n">
        <v>34.1</v>
      </c>
      <c r="J431" s="4" t="n">
        <v>103</v>
      </c>
      <c r="K431" t="inlineStr">
        <is>
          <t>62 / 41</t>
        </is>
      </c>
      <c r="L431" t="inlineStr">
        <is>
          <t>27 / 18</t>
        </is>
      </c>
      <c r="M431" s="5" t="n">
        <v>0.6</v>
      </c>
      <c r="N431" s="5" t="n">
        <v>0.6</v>
      </c>
    </row>
    <row r="432">
      <c r="A432" t="n">
        <v>431</v>
      </c>
      <c r="B432" t="n">
        <v>2015</v>
      </c>
      <c r="C432" t="inlineStr">
        <is>
          <t>Xinyue Grace zhu</t>
        </is>
      </c>
      <c r="D432">
        <f>HYPERLINK("https://ota.tournamentsoftware.com/player-profile/9C1D6B37-A27B-4B15-8F8F-72E6D4418B50", "Link")</f>
        <v/>
      </c>
      <c r="E432" s="3" t="n">
        <v>124.998</v>
      </c>
      <c r="F432" s="4" t="n">
        <v>11</v>
      </c>
      <c r="G432" t="inlineStr">
        <is>
          <t>British Columbia</t>
        </is>
      </c>
      <c r="H432" t="inlineStr">
        <is>
          <t>North Vancouver Tennis Centre</t>
        </is>
      </c>
      <c r="I432" t="inlineStr">
        <is>
          <t>unavailable</t>
        </is>
      </c>
      <c r="J432" s="4" t="n">
        <v>184</v>
      </c>
      <c r="K432" t="inlineStr">
        <is>
          <t>111 / 73</t>
        </is>
      </c>
      <c r="L432" t="inlineStr">
        <is>
          <t>12 / 10</t>
        </is>
      </c>
      <c r="M432" s="5" t="n">
        <v>0.6</v>
      </c>
      <c r="N432" s="5" t="n">
        <v>0.55</v>
      </c>
    </row>
    <row r="433">
      <c r="A433" t="n">
        <v>432</v>
      </c>
      <c r="B433" t="n">
        <v>2015</v>
      </c>
      <c r="C433" t="inlineStr">
        <is>
          <t>Chloe Zhiyan Bai</t>
        </is>
      </c>
      <c r="D433">
        <f>HYPERLINK("https://ota.tournamentsoftware.com/player-profile/D190414C-9B0E-4001-86BC-CD88F7FCF827", "Link")</f>
        <v/>
      </c>
      <c r="E433" s="3" t="n">
        <v>123.895</v>
      </c>
      <c r="F433" s="4" t="n">
        <v>26</v>
      </c>
      <c r="G433" t="inlineStr">
        <is>
          <t>British Columbia</t>
        </is>
      </c>
      <c r="H433" t="inlineStr">
        <is>
          <t>Tennis BC Hub @ Richmond</t>
        </is>
      </c>
      <c r="I433" t="inlineStr">
        <is>
          <t>unavailable</t>
        </is>
      </c>
      <c r="J433" s="4" t="n">
        <v>180</v>
      </c>
      <c r="K433" t="inlineStr">
        <is>
          <t>84 / 96</t>
        </is>
      </c>
      <c r="L433" t="inlineStr">
        <is>
          <t>31 / 23</t>
        </is>
      </c>
      <c r="M433" s="5" t="n">
        <v>0.47</v>
      </c>
      <c r="N433" s="5" t="n">
        <v>0.57</v>
      </c>
    </row>
    <row r="434">
      <c r="A434" t="n">
        <v>433</v>
      </c>
      <c r="B434" t="n">
        <v>2013</v>
      </c>
      <c r="C434" t="inlineStr">
        <is>
          <t>Noa Margaux Dery</t>
        </is>
      </c>
      <c r="D434">
        <f>HYPERLINK("https://ota.tournamentsoftware.com/player-profile/2BE09915-8A78-4187-839F-E3A10E233213", "Link")</f>
        <v/>
      </c>
      <c r="E434" s="3" t="n">
        <v>119.111</v>
      </c>
      <c r="F434" s="4" t="n">
        <v>6</v>
      </c>
      <c r="G434" t="inlineStr">
        <is>
          <t>Tennis Québec</t>
        </is>
      </c>
      <c r="H434" t="inlineStr">
        <is>
          <t>Club Sportif Côte-de-Liesse</t>
        </is>
      </c>
      <c r="I434" t="n">
        <v>35.5</v>
      </c>
      <c r="J434" s="4" t="n">
        <v>39</v>
      </c>
      <c r="K434" t="inlineStr">
        <is>
          <t>14 / 25</t>
        </is>
      </c>
      <c r="L434" t="inlineStr">
        <is>
          <t>7 / 6</t>
        </is>
      </c>
      <c r="M434" s="5" t="n">
        <v>0.36</v>
      </c>
      <c r="N434" s="5" t="n">
        <v>0.54</v>
      </c>
    </row>
    <row r="435">
      <c r="A435" t="n">
        <v>434</v>
      </c>
      <c r="B435" t="n">
        <v>2014</v>
      </c>
      <c r="C435" t="inlineStr">
        <is>
          <t>Ranica Li</t>
        </is>
      </c>
      <c r="D435">
        <f>HYPERLINK("https://ota.tournamentsoftware.com/player-profile/5C189397-D536-4086-AA1D-1AD29C093438", "Link")</f>
        <v/>
      </c>
      <c r="E435" s="3" t="n">
        <v>118.633</v>
      </c>
      <c r="F435" s="4" t="n">
        <v>21</v>
      </c>
      <c r="G435" t="inlineStr">
        <is>
          <t>British Columbia</t>
        </is>
      </c>
      <c r="H435" t="inlineStr">
        <is>
          <t>The Tennis Centre</t>
        </is>
      </c>
      <c r="I435" t="n">
        <v>33.1</v>
      </c>
      <c r="J435" s="4" t="n">
        <v>97</v>
      </c>
      <c r="K435" t="inlineStr">
        <is>
          <t>56 / 41</t>
        </is>
      </c>
      <c r="L435" t="inlineStr">
        <is>
          <t>32 / 18</t>
        </is>
      </c>
      <c r="M435" s="5" t="n">
        <v>0.58</v>
      </c>
      <c r="N435" s="5" t="n">
        <v>0.64</v>
      </c>
    </row>
    <row r="436">
      <c r="A436" t="n">
        <v>435</v>
      </c>
      <c r="B436" t="n">
        <v>2013</v>
      </c>
      <c r="C436" t="inlineStr">
        <is>
          <t>Zaria Antonella Tambini</t>
        </is>
      </c>
      <c r="D436">
        <f>HYPERLINK("https://ota.tournamentsoftware.com/player-profile/92DDE685-2967-4CDD-8CA6-2827E6AC3AEB", "Link")</f>
        <v/>
      </c>
      <c r="E436" s="3" t="n">
        <v>117.899</v>
      </c>
      <c r="F436" s="4" t="n">
        <v>8</v>
      </c>
      <c r="G436" t="inlineStr">
        <is>
          <t>Ontario Tennis Association</t>
        </is>
      </c>
      <c r="H436" t="inlineStr">
        <is>
          <t>Headwaters Racquet Club</t>
        </is>
      </c>
      <c r="I436" t="n">
        <v>38</v>
      </c>
      <c r="J436" s="4" t="n">
        <v>26</v>
      </c>
      <c r="K436" t="inlineStr">
        <is>
          <t>10 / 16</t>
        </is>
      </c>
      <c r="L436" t="inlineStr">
        <is>
          <t>5 / 14</t>
        </is>
      </c>
      <c r="M436" s="5" t="n">
        <v>0.38</v>
      </c>
      <c r="N436" s="5" t="n">
        <v>0.26</v>
      </c>
    </row>
    <row r="437">
      <c r="A437" t="n">
        <v>436</v>
      </c>
      <c r="B437" t="n">
        <v>2016</v>
      </c>
      <c r="C437" t="inlineStr">
        <is>
          <t>Paulina Mangal</t>
        </is>
      </c>
      <c r="D437">
        <f>HYPERLINK("https://ota.tournamentsoftware.com/player-profile/ADDD5986-263D-4338-B6C0-6F72A2AC55F7", "Link")</f>
        <v/>
      </c>
      <c r="E437" s="3" t="n">
        <v>117.826</v>
      </c>
      <c r="F437" s="4" t="n">
        <v>26</v>
      </c>
      <c r="G437" t="inlineStr">
        <is>
          <t>Ontario Tennis Association</t>
        </is>
      </c>
      <c r="H437" t="inlineStr">
        <is>
          <t>Premier Racquet Clubs – Mississauga</t>
        </is>
      </c>
      <c r="I437" t="n">
        <v>36.1</v>
      </c>
      <c r="J437" s="4" t="n">
        <v>186</v>
      </c>
      <c r="K437" t="inlineStr">
        <is>
          <t>79 / 107</t>
        </is>
      </c>
      <c r="L437" t="inlineStr">
        <is>
          <t>20 / 22</t>
        </is>
      </c>
      <c r="M437" s="5" t="n">
        <v>0.42</v>
      </c>
      <c r="N437" s="5" t="n">
        <v>0.48</v>
      </c>
    </row>
    <row r="438">
      <c r="A438" t="n">
        <v>437</v>
      </c>
      <c r="B438" t="n">
        <v>2015</v>
      </c>
      <c r="C438" t="inlineStr">
        <is>
          <t>Grace Raymond</t>
        </is>
      </c>
      <c r="D438">
        <f>HYPERLINK("https://ota.tournamentsoftware.com/player-profile/879338D5-D59E-4EA6-A8E9-135220F52905", "Link")</f>
        <v/>
      </c>
      <c r="E438" s="3" t="n">
        <v>117.654</v>
      </c>
      <c r="F438" s="4" t="n">
        <v>15</v>
      </c>
      <c r="G438" t="inlineStr">
        <is>
          <t>Tennis Alberta</t>
        </is>
      </c>
      <c r="H438" t="inlineStr">
        <is>
          <t>Osten &amp; Victor Alberta Tennis Centre</t>
        </is>
      </c>
      <c r="I438" t="n">
        <v>34.5</v>
      </c>
      <c r="J438" s="4" t="n">
        <v>72</v>
      </c>
      <c r="K438" t="inlineStr">
        <is>
          <t>32 / 40</t>
        </is>
      </c>
      <c r="L438" t="inlineStr">
        <is>
          <t>7 / 11</t>
        </is>
      </c>
      <c r="M438" s="5" t="n">
        <v>0.44</v>
      </c>
      <c r="N438" s="5" t="n">
        <v>0.39</v>
      </c>
    </row>
    <row r="439">
      <c r="A439" t="n">
        <v>438</v>
      </c>
      <c r="B439" t="n">
        <v>2015</v>
      </c>
      <c r="C439" t="inlineStr">
        <is>
          <t>Emma Plugaru</t>
        </is>
      </c>
      <c r="D439">
        <f>HYPERLINK("https://ota.tournamentsoftware.com/player-profile/A8C9C47A-4B9A-43CD-97A6-5516A6BAA15D", "Link")</f>
        <v/>
      </c>
      <c r="E439" s="3" t="n">
        <v>117.51</v>
      </c>
      <c r="F439" s="4" t="n">
        <v>14</v>
      </c>
      <c r="G439" t="inlineStr">
        <is>
          <t>Tennis Québec</t>
        </is>
      </c>
      <c r="H439" t="inlineStr">
        <is>
          <t>Tennis 13</t>
        </is>
      </c>
      <c r="I439" t="n">
        <v>33.6</v>
      </c>
      <c r="J439" s="4" t="n">
        <v>133</v>
      </c>
      <c r="K439" t="inlineStr">
        <is>
          <t>73 / 60</t>
        </is>
      </c>
      <c r="L439" t="inlineStr">
        <is>
          <t>20 / 11</t>
        </is>
      </c>
      <c r="M439" s="5" t="n">
        <v>0.55</v>
      </c>
      <c r="N439" s="5" t="n">
        <v>0.65</v>
      </c>
    </row>
    <row r="440">
      <c r="A440" t="n">
        <v>439</v>
      </c>
      <c r="B440" t="n">
        <v>2015</v>
      </c>
      <c r="C440" t="inlineStr">
        <is>
          <t>Mia Pan</t>
        </is>
      </c>
      <c r="D440">
        <f>HYPERLINK("https://ota.tournamentsoftware.com/player-profile/AC58096C-5119-4221-95E0-C06E89FC8EFF", "Link")</f>
        <v/>
      </c>
      <c r="E440" s="3" t="n">
        <v>116.37</v>
      </c>
      <c r="F440" s="4" t="n">
        <v>18</v>
      </c>
      <c r="G440" t="inlineStr">
        <is>
          <t>British Columbia</t>
        </is>
      </c>
      <c r="H440" t="inlineStr">
        <is>
          <t>Vanguard Tennis Academy</t>
        </is>
      </c>
      <c r="I440" t="inlineStr">
        <is>
          <t>unavailable</t>
        </is>
      </c>
      <c r="J440" s="4" t="n">
        <v>126</v>
      </c>
      <c r="K440" t="inlineStr">
        <is>
          <t>72 / 54</t>
        </is>
      </c>
      <c r="L440" t="inlineStr">
        <is>
          <t>28 / 20</t>
        </is>
      </c>
      <c r="M440" s="5" t="n">
        <v>0.57</v>
      </c>
      <c r="N440" s="5" t="n">
        <v>0.58</v>
      </c>
    </row>
    <row r="441">
      <c r="A441" t="n">
        <v>440</v>
      </c>
      <c r="B441" t="n">
        <v>2015</v>
      </c>
      <c r="C441" t="inlineStr">
        <is>
          <t>Sofia Bulynko</t>
        </is>
      </c>
      <c r="D441">
        <f>HYPERLINK("https://ota.tournamentsoftware.com/player-profile/88C213E0-0960-44DC-B9B0-66B1ADEE699B", "Link")</f>
        <v/>
      </c>
      <c r="E441" s="3" t="n">
        <v>116.274</v>
      </c>
      <c r="F441" s="4" t="n">
        <v>13</v>
      </c>
      <c r="G441" t="inlineStr">
        <is>
          <t>Ontario Tennis Association</t>
        </is>
      </c>
      <c r="H441" t="inlineStr">
        <is>
          <t>National Tennis School</t>
        </is>
      </c>
      <c r="I441" t="n">
        <v>35.4</v>
      </c>
      <c r="J441" s="4" t="n">
        <v>59</v>
      </c>
      <c r="K441" t="inlineStr">
        <is>
          <t>30 / 29</t>
        </is>
      </c>
      <c r="L441" t="inlineStr">
        <is>
          <t>13 / 12</t>
        </is>
      </c>
      <c r="M441" s="5" t="n">
        <v>0.51</v>
      </c>
      <c r="N441" s="5" t="n">
        <v>0.52</v>
      </c>
    </row>
    <row r="442">
      <c r="A442" t="n">
        <v>441</v>
      </c>
      <c r="B442" t="n">
        <v>2015</v>
      </c>
      <c r="C442" t="inlineStr">
        <is>
          <t>Namasya Nakul</t>
        </is>
      </c>
      <c r="D442">
        <f>HYPERLINK("https://ota.tournamentsoftware.com/player-profile/30AB6566-4805-4DA5-90A9-E6D59F3D0D64", "Link")</f>
        <v/>
      </c>
      <c r="E442" s="3" t="n">
        <v>116.243</v>
      </c>
      <c r="F442" s="4" t="n">
        <v>20</v>
      </c>
      <c r="G442" t="inlineStr">
        <is>
          <t>British Columbia</t>
        </is>
      </c>
      <c r="H442" t="inlineStr">
        <is>
          <t>Richmond Country Club</t>
        </is>
      </c>
      <c r="I442" t="n">
        <v>32.6</v>
      </c>
      <c r="J442" s="4" t="n">
        <v>124</v>
      </c>
      <c r="K442" t="inlineStr">
        <is>
          <t>68 / 56</t>
        </is>
      </c>
      <c r="L442" t="inlineStr">
        <is>
          <t>28 / 20</t>
        </is>
      </c>
      <c r="M442" s="5" t="n">
        <v>0.55</v>
      </c>
      <c r="N442" s="5" t="n">
        <v>0.58</v>
      </c>
    </row>
    <row r="443">
      <c r="A443" t="n">
        <v>442</v>
      </c>
      <c r="B443" t="n">
        <v>2013</v>
      </c>
      <c r="C443" t="inlineStr">
        <is>
          <t>Sofia Anne Brunetto</t>
        </is>
      </c>
      <c r="D443">
        <f>HYPERLINK("https://ota.tournamentsoftware.com/player-profile/C2843F1F-C701-4853-A79C-051450F19D77", "Link")</f>
        <v/>
      </c>
      <c r="E443" s="3" t="n">
        <v>116.084</v>
      </c>
      <c r="F443" s="4" t="n">
        <v>8</v>
      </c>
      <c r="G443" t="inlineStr">
        <is>
          <t>Ontario Tennis Association</t>
        </is>
      </c>
      <c r="H443" t="inlineStr">
        <is>
          <t>Zekelman Tennis Centre</t>
        </is>
      </c>
      <c r="I443" t="n">
        <v>33.8</v>
      </c>
      <c r="J443" s="4" t="n">
        <v>20</v>
      </c>
      <c r="K443" t="inlineStr">
        <is>
          <t>8 / 12</t>
        </is>
      </c>
      <c r="L443" t="inlineStr">
        <is>
          <t>3 / 7</t>
        </is>
      </c>
      <c r="M443" s="5" t="n">
        <v>0.4</v>
      </c>
      <c r="N443" s="5" t="n">
        <v>0.3</v>
      </c>
    </row>
    <row r="444">
      <c r="A444" t="n">
        <v>443</v>
      </c>
      <c r="B444" t="n">
        <v>2015</v>
      </c>
      <c r="C444" t="inlineStr">
        <is>
          <t>Juliet Lauture</t>
        </is>
      </c>
      <c r="D444">
        <f>HYPERLINK("https://ota.tournamentsoftware.com/player-profile/70FC879C-9BB0-4123-BE70-BCB588C22C80", "Link")</f>
        <v/>
      </c>
      <c r="E444" s="3" t="n">
        <v>114.508</v>
      </c>
      <c r="F444" s="4" t="n">
        <v>24</v>
      </c>
      <c r="G444" t="inlineStr">
        <is>
          <t>Tennis Québec</t>
        </is>
      </c>
      <c r="H444" t="inlineStr">
        <is>
          <t>Club Sportif Côte-de-Liesse</t>
        </is>
      </c>
      <c r="I444" t="n">
        <v>35.4</v>
      </c>
      <c r="J444" s="4" t="n">
        <v>109</v>
      </c>
      <c r="K444" t="inlineStr">
        <is>
          <t>59 / 50</t>
        </is>
      </c>
      <c r="L444" t="inlineStr">
        <is>
          <t>20 / 22</t>
        </is>
      </c>
      <c r="M444" s="5" t="n">
        <v>0.54</v>
      </c>
      <c r="N444" s="5" t="n">
        <v>0.48</v>
      </c>
    </row>
    <row r="445">
      <c r="A445" t="n">
        <v>444</v>
      </c>
      <c r="B445" t="n">
        <v>2015</v>
      </c>
      <c r="C445" t="inlineStr">
        <is>
          <t>Sofia Nasrallah</t>
        </is>
      </c>
      <c r="D445">
        <f>HYPERLINK("https://ota.tournamentsoftware.com/player-profile/FAA88C80-170D-40C3-8A88-6B81077D1F02", "Link")</f>
        <v/>
      </c>
      <c r="E445" s="3" t="n">
        <v>114.42</v>
      </c>
      <c r="F445" s="4" t="n">
        <v>21</v>
      </c>
      <c r="G445" t="inlineStr">
        <is>
          <t>Tennis Québec</t>
        </is>
      </c>
      <c r="H445" t="inlineStr">
        <is>
          <t>Carrefour Multisports</t>
        </is>
      </c>
      <c r="I445" t="n">
        <v>36.8</v>
      </c>
      <c r="J445" s="4" t="n">
        <v>160</v>
      </c>
      <c r="K445" t="inlineStr">
        <is>
          <t>53 / 107</t>
        </is>
      </c>
      <c r="L445" t="inlineStr">
        <is>
          <t>10 / 22</t>
        </is>
      </c>
      <c r="M445" s="5" t="n">
        <v>0.33</v>
      </c>
      <c r="N445" s="5" t="n">
        <v>0.31</v>
      </c>
    </row>
    <row r="446">
      <c r="A446" t="n">
        <v>445</v>
      </c>
      <c r="B446" t="n">
        <v>2016</v>
      </c>
      <c r="C446" t="inlineStr">
        <is>
          <t>Lydia Yinuo Xu</t>
        </is>
      </c>
      <c r="D446">
        <f>HYPERLINK("https://ota.tournamentsoftware.com/player-profile/515F94D6-B979-4BBE-98E6-48CFEF4CE395", "Link")</f>
        <v/>
      </c>
      <c r="E446" s="3" t="n">
        <v>114</v>
      </c>
      <c r="F446" s="4" t="n">
        <v>16</v>
      </c>
      <c r="G446" t="inlineStr">
        <is>
          <t>Ontario Tennis Association</t>
        </is>
      </c>
      <c r="H446" t="inlineStr">
        <is>
          <t>Joshua Creek Golf &amp; Tennis</t>
        </is>
      </c>
      <c r="I446" t="n">
        <v>34.2</v>
      </c>
      <c r="J446" s="4" t="n">
        <v>168</v>
      </c>
      <c r="K446" t="inlineStr">
        <is>
          <t>82 / 86</t>
        </is>
      </c>
      <c r="L446" t="inlineStr">
        <is>
          <t>36 / 16</t>
        </is>
      </c>
      <c r="M446" s="5" t="n">
        <v>0.49</v>
      </c>
      <c r="N446" s="5" t="n">
        <v>0.6899999999999999</v>
      </c>
    </row>
    <row r="447">
      <c r="A447" t="n">
        <v>446</v>
      </c>
      <c r="B447" t="n">
        <v>2014</v>
      </c>
      <c r="C447" t="inlineStr">
        <is>
          <t>Sarah Gottlieb</t>
        </is>
      </c>
      <c r="D447">
        <f>HYPERLINK("https://ota.tournamentsoftware.com/player-profile/BD51254A-E036-424C-B89A-FB47A73C0DC5", "Link")</f>
        <v/>
      </c>
      <c r="E447" s="3" t="n">
        <v>113.604</v>
      </c>
      <c r="F447" s="4" t="n">
        <v>4</v>
      </c>
      <c r="G447" t="inlineStr">
        <is>
          <t>Tennis Québec</t>
        </is>
      </c>
      <c r="H447" t="inlineStr">
        <is>
          <t>Tennis 13</t>
        </is>
      </c>
      <c r="I447" t="n">
        <v>33.6</v>
      </c>
      <c r="J447" s="4" t="n">
        <v>92</v>
      </c>
      <c r="K447" t="inlineStr">
        <is>
          <t>46 / 46</t>
        </is>
      </c>
      <c r="L447" t="inlineStr">
        <is>
          <t>1 / 2</t>
        </is>
      </c>
      <c r="M447" s="5" t="n">
        <v>0.5</v>
      </c>
      <c r="N447" s="5" t="n">
        <v>0.33</v>
      </c>
    </row>
    <row r="448">
      <c r="A448" t="n">
        <v>447</v>
      </c>
      <c r="B448" t="n">
        <v>2012</v>
      </c>
      <c r="C448" t="inlineStr">
        <is>
          <t>Zeyu (Anne) Xu</t>
        </is>
      </c>
      <c r="D448">
        <f>HYPERLINK("https://ota.tournamentsoftware.com/player-profile/7D4E0E2F-DC2C-4911-BF16-A07E84364BB7", "Link")</f>
        <v/>
      </c>
      <c r="E448" s="3" t="n">
        <v>113.598</v>
      </c>
      <c r="F448" s="4" t="n">
        <v>9</v>
      </c>
      <c r="G448" t="inlineStr">
        <is>
          <t>British Columbia</t>
        </is>
      </c>
      <c r="H448" t="inlineStr">
        <is>
          <t>Tennis BC Hub @ Richmond</t>
        </is>
      </c>
      <c r="I448" t="n">
        <v>34.7</v>
      </c>
      <c r="J448" s="4" t="n">
        <v>109</v>
      </c>
      <c r="K448" t="inlineStr">
        <is>
          <t>26 / 83</t>
        </is>
      </c>
      <c r="L448" t="inlineStr">
        <is>
          <t>4 / 13</t>
        </is>
      </c>
      <c r="M448" s="5" t="n">
        <v>0.24</v>
      </c>
      <c r="N448" s="5" t="n">
        <v>0.24</v>
      </c>
    </row>
    <row r="449">
      <c r="A449" t="n">
        <v>448</v>
      </c>
      <c r="B449" t="n">
        <v>2012</v>
      </c>
      <c r="C449" t="inlineStr">
        <is>
          <t>Karolina Klepinin</t>
        </is>
      </c>
      <c r="D449">
        <f>HYPERLINK("https://ota.tournamentsoftware.com/player-profile/A0474BDB-A63B-423A-90FB-FAAA726E2052", "Link")</f>
        <v/>
      </c>
      <c r="E449" s="3" t="n">
        <v>113.268</v>
      </c>
      <c r="F449" s="4" t="n">
        <v>7</v>
      </c>
      <c r="G449" t="inlineStr">
        <is>
          <t>Ontario Tennis Association</t>
        </is>
      </c>
      <c r="H449" t="inlineStr">
        <is>
          <t>ON North Central No Club</t>
        </is>
      </c>
      <c r="I449" t="n">
        <v>36.4</v>
      </c>
      <c r="J449" s="4" t="n">
        <v>54</v>
      </c>
      <c r="K449" t="inlineStr">
        <is>
          <t>14 / 40</t>
        </is>
      </c>
      <c r="L449" t="inlineStr">
        <is>
          <t>3 / 9</t>
        </is>
      </c>
      <c r="M449" s="5" t="n">
        <v>0.26</v>
      </c>
      <c r="N449" s="5" t="n">
        <v>0.25</v>
      </c>
    </row>
    <row r="450">
      <c r="A450" t="n">
        <v>449</v>
      </c>
      <c r="B450" t="n">
        <v>2015</v>
      </c>
      <c r="C450" t="inlineStr">
        <is>
          <t>Misia Ania Pietras</t>
        </is>
      </c>
      <c r="D450">
        <f>HYPERLINK("https://ota.tournamentsoftware.com/player-profile/81A2D044-B79D-4C29-B0B3-9E7AF48F2811", "Link")</f>
        <v/>
      </c>
      <c r="E450" s="3" t="n">
        <v>113.264</v>
      </c>
      <c r="F450" s="4" t="n">
        <v>16</v>
      </c>
      <c r="G450" t="inlineStr">
        <is>
          <t>Ontario Tennis Association</t>
        </is>
      </c>
      <c r="H450" t="inlineStr">
        <is>
          <t>The Tennis School</t>
        </is>
      </c>
      <c r="I450" t="n">
        <v>35.4</v>
      </c>
      <c r="J450" s="4" t="n">
        <v>57</v>
      </c>
      <c r="K450" t="inlineStr">
        <is>
          <t>32 / 25</t>
        </is>
      </c>
      <c r="L450" t="inlineStr">
        <is>
          <t>15 / 10</t>
        </is>
      </c>
      <c r="M450" s="5" t="n">
        <v>0.5600000000000001</v>
      </c>
      <c r="N450" s="5" t="n">
        <v>0.6</v>
      </c>
    </row>
    <row r="451">
      <c r="A451" t="n">
        <v>450</v>
      </c>
      <c r="B451" t="n">
        <v>2013</v>
      </c>
      <c r="C451" t="inlineStr">
        <is>
          <t>Stella Marion Thoms</t>
        </is>
      </c>
      <c r="D451">
        <f>HYPERLINK("https://ota.tournamentsoftware.com/player-profile/26731833-04E0-4736-BC60-733715112E5E", "Link")</f>
        <v/>
      </c>
      <c r="E451" s="3" t="n">
        <v>113.237</v>
      </c>
      <c r="F451" s="4" t="n">
        <v>7</v>
      </c>
      <c r="G451" t="inlineStr">
        <is>
          <t>Tennis Newfoundland &amp; Labrador</t>
        </is>
      </c>
      <c r="H451" t="inlineStr">
        <is>
          <t>Riverdale Tennis Club</t>
        </is>
      </c>
      <c r="I451" t="n">
        <v>33.7</v>
      </c>
      <c r="J451" s="4" t="n">
        <v>48</v>
      </c>
      <c r="K451" t="inlineStr">
        <is>
          <t>28 / 20</t>
        </is>
      </c>
      <c r="L451" t="inlineStr">
        <is>
          <t>8 / 8</t>
        </is>
      </c>
      <c r="M451" s="5" t="n">
        <v>0.58</v>
      </c>
      <c r="N451" s="5" t="n">
        <v>0.5</v>
      </c>
    </row>
    <row r="452">
      <c r="A452" t="n">
        <v>451</v>
      </c>
      <c r="B452" t="n">
        <v>2017</v>
      </c>
      <c r="C452" t="inlineStr">
        <is>
          <t>Amelia Alhakim</t>
        </is>
      </c>
      <c r="D452">
        <f>HYPERLINK("https://ota.tournamentsoftware.com/player-profile/0B954ECB-D503-4C36-BD94-6D389AF0D202", "Link")</f>
        <v/>
      </c>
      <c r="E452" s="3" t="n">
        <v>112.68</v>
      </c>
      <c r="F452" s="4" t="n">
        <v>14</v>
      </c>
      <c r="G452" t="inlineStr">
        <is>
          <t>Ontario Tennis Association</t>
        </is>
      </c>
      <c r="H452" t="inlineStr">
        <is>
          <t>Zekelman Tennis Centre</t>
        </is>
      </c>
      <c r="I452" t="n">
        <v>32.9</v>
      </c>
      <c r="J452" s="4" t="n">
        <v>43</v>
      </c>
      <c r="K452" t="inlineStr">
        <is>
          <t>25 / 18</t>
        </is>
      </c>
      <c r="L452" t="inlineStr">
        <is>
          <t>21 / 13</t>
        </is>
      </c>
      <c r="M452" s="5" t="n">
        <v>0.58</v>
      </c>
      <c r="N452" s="5" t="n">
        <v>0.62</v>
      </c>
    </row>
    <row r="453">
      <c r="A453" t="n">
        <v>452</v>
      </c>
      <c r="B453" t="n">
        <v>2014</v>
      </c>
      <c r="C453" t="inlineStr">
        <is>
          <t>Maxine Andrea Subsuban</t>
        </is>
      </c>
      <c r="D453">
        <f>HYPERLINK("https://ota.tournamentsoftware.com/player-profile/330D8089-39D5-4A22-8596-8BAAF8D4E02E", "Link")</f>
        <v/>
      </c>
      <c r="E453" s="3" t="n">
        <v>112.585</v>
      </c>
      <c r="F453" s="4" t="n">
        <v>11</v>
      </c>
      <c r="G453" t="inlineStr">
        <is>
          <t>Tennis Alberta</t>
        </is>
      </c>
      <c r="H453" t="inlineStr">
        <is>
          <t>Osten &amp; Victor Alberta Tennis Centre</t>
        </is>
      </c>
      <c r="I453" t="inlineStr">
        <is>
          <t>unavailable</t>
        </is>
      </c>
      <c r="J453" s="4" t="n">
        <v>106</v>
      </c>
      <c r="K453" t="inlineStr">
        <is>
          <t>45 / 61</t>
        </is>
      </c>
      <c r="L453" t="inlineStr">
        <is>
          <t>11 / 10</t>
        </is>
      </c>
      <c r="M453" s="5" t="n">
        <v>0.42</v>
      </c>
      <c r="N453" s="5" t="n">
        <v>0.52</v>
      </c>
    </row>
    <row r="454">
      <c r="A454" t="n">
        <v>453</v>
      </c>
      <c r="B454" t="n">
        <v>2015</v>
      </c>
      <c r="C454" t="inlineStr">
        <is>
          <t>Arianna Marquez</t>
        </is>
      </c>
      <c r="D454">
        <f>HYPERLINK("https://ota.tournamentsoftware.com/player-profile/ABB23AE3-6EC2-498B-AA4D-BB89BCBF0088", "Link")</f>
        <v/>
      </c>
      <c r="E454" s="3" t="n">
        <v>112.229</v>
      </c>
      <c r="F454" s="4" t="n">
        <v>17</v>
      </c>
      <c r="G454" t="inlineStr">
        <is>
          <t>Tennis Alberta</t>
        </is>
      </c>
      <c r="H454" t="inlineStr">
        <is>
          <t>Saville Community Sports Centre</t>
        </is>
      </c>
      <c r="I454" t="n">
        <v>33.4</v>
      </c>
      <c r="J454" s="4" t="n">
        <v>144</v>
      </c>
      <c r="K454" t="inlineStr">
        <is>
          <t>92 / 52</t>
        </is>
      </c>
      <c r="L454" t="inlineStr">
        <is>
          <t>16 / 18</t>
        </is>
      </c>
      <c r="M454" s="5" t="n">
        <v>0.64</v>
      </c>
      <c r="N454" s="5" t="n">
        <v>0.47</v>
      </c>
    </row>
    <row r="455">
      <c r="A455" t="n">
        <v>454</v>
      </c>
      <c r="B455" t="n">
        <v>2015</v>
      </c>
      <c r="C455" t="inlineStr">
        <is>
          <t>Anna Guzina-McLeod</t>
        </is>
      </c>
      <c r="D455">
        <f>HYPERLINK("https://ota.tournamentsoftware.com/player-profile/55F5BC4F-092C-4C72-BFDC-3F60E618D778", "Link")</f>
        <v/>
      </c>
      <c r="E455" s="3" t="n">
        <v>110.416</v>
      </c>
      <c r="F455" s="4" t="n">
        <v>18</v>
      </c>
      <c r="G455" t="inlineStr">
        <is>
          <t>Ontario Tennis Association</t>
        </is>
      </c>
      <c r="H455" t="inlineStr">
        <is>
          <t>Rideau Sports Centre</t>
        </is>
      </c>
      <c r="I455" t="inlineStr">
        <is>
          <t>unavailable</t>
        </is>
      </c>
      <c r="J455" s="4" t="n">
        <v>121</v>
      </c>
      <c r="K455" t="inlineStr">
        <is>
          <t>70 / 51</t>
        </is>
      </c>
      <c r="L455" t="inlineStr">
        <is>
          <t>14 / 18</t>
        </is>
      </c>
      <c r="M455" s="5" t="n">
        <v>0.58</v>
      </c>
      <c r="N455" s="5" t="n">
        <v>0.44</v>
      </c>
    </row>
    <row r="456">
      <c r="A456" t="n">
        <v>455</v>
      </c>
      <c r="B456" t="n">
        <v>2013</v>
      </c>
      <c r="C456" t="inlineStr">
        <is>
          <t>LeeZann Lai</t>
        </is>
      </c>
      <c r="D456">
        <f>HYPERLINK("https://ota.tournamentsoftware.com/player-profile/F653FB3B-D606-4799-98B3-B9B8F7D1D120", "Link")</f>
        <v/>
      </c>
      <c r="E456" s="3" t="n">
        <v>110.16</v>
      </c>
      <c r="F456" s="4" t="n">
        <v>13</v>
      </c>
      <c r="G456" t="inlineStr">
        <is>
          <t>Ontario Tennis Association</t>
        </is>
      </c>
      <c r="H456" t="inlineStr">
        <is>
          <t>Don Mills Tennis Club</t>
        </is>
      </c>
      <c r="I456" t="n">
        <v>34.8</v>
      </c>
      <c r="J456" s="4" t="n">
        <v>54</v>
      </c>
      <c r="K456" t="inlineStr">
        <is>
          <t>22 / 32</t>
        </is>
      </c>
      <c r="L456" t="inlineStr">
        <is>
          <t>6 / 12</t>
        </is>
      </c>
      <c r="M456" s="5" t="n">
        <v>0.41</v>
      </c>
      <c r="N456" s="5" t="n">
        <v>0.33</v>
      </c>
    </row>
    <row r="457">
      <c r="A457" t="n">
        <v>456</v>
      </c>
      <c r="B457" t="n">
        <v>2014</v>
      </c>
      <c r="C457" t="inlineStr">
        <is>
          <t>Grace Wu</t>
        </is>
      </c>
      <c r="D457">
        <f>HYPERLINK("https://ota.tournamentsoftware.com/player-profile/0E55C3D7-7F72-4CDB-9BC3-2D90797931A5", "Link")</f>
        <v/>
      </c>
      <c r="E457" s="3" t="n">
        <v>109.93</v>
      </c>
      <c r="F457" s="4" t="n">
        <v>4</v>
      </c>
      <c r="G457" t="inlineStr">
        <is>
          <t>British Columbia</t>
        </is>
      </c>
      <c r="H457" t="inlineStr">
        <is>
          <t>The Tennis Centre</t>
        </is>
      </c>
      <c r="I457" t="n">
        <v>32.1</v>
      </c>
      <c r="J457" s="4" t="n">
        <v>96</v>
      </c>
      <c r="K457" t="inlineStr">
        <is>
          <t>63 / 33</t>
        </is>
      </c>
      <c r="L457" t="inlineStr">
        <is>
          <t>3 / 4</t>
        </is>
      </c>
      <c r="M457" s="5" t="n">
        <v>0.66</v>
      </c>
      <c r="N457" s="5" t="n">
        <v>0.43</v>
      </c>
    </row>
    <row r="458">
      <c r="A458" t="n">
        <v>457</v>
      </c>
      <c r="B458" t="n">
        <v>2012</v>
      </c>
      <c r="C458" t="inlineStr">
        <is>
          <t>Gaëlle Jodoin</t>
        </is>
      </c>
      <c r="D458">
        <f>HYPERLINK("https://ota.tournamentsoftware.com/player-profile/A3792AFC-E32E-4258-8FA9-9240021C6401", "Link")</f>
        <v/>
      </c>
      <c r="E458" s="3" t="n">
        <v>108.955</v>
      </c>
      <c r="F458" s="4" t="n">
        <v>4</v>
      </c>
      <c r="G458" t="inlineStr">
        <is>
          <t>Tennis Québec</t>
        </is>
      </c>
      <c r="H458" t="inlineStr">
        <is>
          <t>Tennis 13</t>
        </is>
      </c>
      <c r="I458" t="n">
        <v>38.5</v>
      </c>
      <c r="J458" s="4" t="n">
        <v>87</v>
      </c>
      <c r="K458" t="inlineStr">
        <is>
          <t>14 / 73</t>
        </is>
      </c>
      <c r="L458" t="inlineStr">
        <is>
          <t>0 / 3</t>
        </is>
      </c>
      <c r="M458" s="5" t="n">
        <v>0.16</v>
      </c>
      <c r="N458" s="5" t="n">
        <v>0</v>
      </c>
    </row>
    <row r="459">
      <c r="A459" t="n">
        <v>458</v>
      </c>
      <c r="B459" t="n">
        <v>2015</v>
      </c>
      <c r="C459" t="inlineStr">
        <is>
          <t>Mila Venturelli</t>
        </is>
      </c>
      <c r="D459">
        <f>HYPERLINK("https://ota.tournamentsoftware.com/player-profile/BCA3B83C-81C0-4469-B3DA-4E3234E6CA0A", "Link")</f>
        <v/>
      </c>
      <c r="E459" s="3" t="n">
        <v>108.926</v>
      </c>
      <c r="F459" s="4" t="n">
        <v>20</v>
      </c>
      <c r="G459" t="inlineStr">
        <is>
          <t>Tennis Québec</t>
        </is>
      </c>
      <c r="H459" t="inlineStr">
        <is>
          <t>Tennis 13</t>
        </is>
      </c>
      <c r="I459" t="n">
        <v>36.7</v>
      </c>
      <c r="J459" s="4" t="n">
        <v>94</v>
      </c>
      <c r="K459" t="inlineStr">
        <is>
          <t>39 / 55</t>
        </is>
      </c>
      <c r="L459" t="inlineStr">
        <is>
          <t>11 / 18</t>
        </is>
      </c>
      <c r="M459" s="5" t="n">
        <v>0.41</v>
      </c>
      <c r="N459" s="5" t="n">
        <v>0.38</v>
      </c>
    </row>
    <row r="460">
      <c r="A460" t="n">
        <v>459</v>
      </c>
      <c r="B460" t="n">
        <v>2013</v>
      </c>
      <c r="C460" t="inlineStr">
        <is>
          <t>Isabelle Duvinage</t>
        </is>
      </c>
      <c r="D460">
        <f>HYPERLINK("https://ota.tournamentsoftware.com/player-profile/7B9DB032-AD8C-41C5-A138-CF844016B7C1", "Link")</f>
        <v/>
      </c>
      <c r="E460" s="3" t="n">
        <v>108.218</v>
      </c>
      <c r="F460" s="4" t="n">
        <v>8</v>
      </c>
      <c r="G460" t="inlineStr">
        <is>
          <t>Ontario Tennis Association</t>
        </is>
      </c>
      <c r="H460" t="inlineStr">
        <is>
          <t>Kew Gardens Tennis Club</t>
        </is>
      </c>
      <c r="I460" t="n">
        <v>38</v>
      </c>
      <c r="J460" s="4" t="n">
        <v>43</v>
      </c>
      <c r="K460" t="inlineStr">
        <is>
          <t>14 / 29</t>
        </is>
      </c>
      <c r="L460" t="inlineStr">
        <is>
          <t>3 / 9</t>
        </is>
      </c>
      <c r="M460" s="5" t="n">
        <v>0.33</v>
      </c>
      <c r="N460" s="5" t="n">
        <v>0.25</v>
      </c>
    </row>
    <row r="461">
      <c r="A461" t="n">
        <v>460</v>
      </c>
      <c r="B461" t="n">
        <v>2014</v>
      </c>
      <c r="C461" t="inlineStr">
        <is>
          <t>SHANAYA CHAUDHARY</t>
        </is>
      </c>
      <c r="D461">
        <f>HYPERLINK("https://ota.tournamentsoftware.com/player-profile/72814258-2663-4B9E-9EB1-0A804D79578E", "Link")</f>
        <v/>
      </c>
      <c r="E461" s="3" t="n">
        <v>107.581</v>
      </c>
      <c r="F461" s="4" t="n">
        <v>11</v>
      </c>
      <c r="G461" t="inlineStr">
        <is>
          <t>Ontario Tennis Association</t>
        </is>
      </c>
      <c r="H461" t="inlineStr">
        <is>
          <t>Waterloo Tennis Club</t>
        </is>
      </c>
      <c r="I461" t="inlineStr">
        <is>
          <t>unavailable</t>
        </is>
      </c>
      <c r="J461" s="4" t="n">
        <v>26</v>
      </c>
      <c r="K461" t="inlineStr">
        <is>
          <t>16 / 10</t>
        </is>
      </c>
      <c r="L461" t="inlineStr">
        <is>
          <t>12 / 7</t>
        </is>
      </c>
      <c r="M461" s="5" t="n">
        <v>0.62</v>
      </c>
      <c r="N461" s="5" t="n">
        <v>0.63</v>
      </c>
    </row>
    <row r="462">
      <c r="A462" t="n">
        <v>461</v>
      </c>
      <c r="B462" t="n">
        <v>2013</v>
      </c>
      <c r="C462" t="inlineStr">
        <is>
          <t>Murphy Mofei Gao</t>
        </is>
      </c>
      <c r="D462">
        <f>HYPERLINK("https://ota.tournamentsoftware.com/player-profile/64A4B4DB-7753-451A-A411-16FC49084860", "Link")</f>
        <v/>
      </c>
      <c r="E462" s="3" t="n">
        <v>107.489</v>
      </c>
      <c r="F462" s="4" t="n">
        <v>17</v>
      </c>
      <c r="G462" t="inlineStr">
        <is>
          <t>British Columbia</t>
        </is>
      </c>
      <c r="H462" t="inlineStr">
        <is>
          <t>No Club</t>
        </is>
      </c>
      <c r="I462" t="n">
        <v>37.4</v>
      </c>
      <c r="J462" s="4" t="n">
        <v>141</v>
      </c>
      <c r="K462" t="inlineStr">
        <is>
          <t>19 / 122</t>
        </is>
      </c>
      <c r="L462" t="inlineStr">
        <is>
          <t>4 / 26</t>
        </is>
      </c>
      <c r="M462" s="5" t="n">
        <v>0.13</v>
      </c>
      <c r="N462" s="5" t="n">
        <v>0.13</v>
      </c>
    </row>
    <row r="463">
      <c r="A463" t="n">
        <v>462</v>
      </c>
      <c r="B463" t="n">
        <v>2014</v>
      </c>
      <c r="C463" t="inlineStr">
        <is>
          <t>Emily Ke</t>
        </is>
      </c>
      <c r="D463">
        <f>HYPERLINK("https://ota.tournamentsoftware.com/player-profile/D0843107-5FBA-4EB4-8781-B60B5E7E1319", "Link")</f>
        <v/>
      </c>
      <c r="E463" s="3" t="n">
        <v>107.414</v>
      </c>
      <c r="F463" s="4" t="n">
        <v>14</v>
      </c>
      <c r="G463" t="inlineStr">
        <is>
          <t>Ontario Tennis Association</t>
        </is>
      </c>
      <c r="H463" t="inlineStr">
        <is>
          <t>Mayfair East Racquet Club</t>
        </is>
      </c>
      <c r="I463" t="n">
        <v>35.2</v>
      </c>
      <c r="J463" s="4" t="n">
        <v>109</v>
      </c>
      <c r="K463" t="inlineStr">
        <is>
          <t>38 / 71</t>
        </is>
      </c>
      <c r="L463" t="inlineStr">
        <is>
          <t>4 / 7</t>
        </is>
      </c>
      <c r="M463" s="5" t="n">
        <v>0.35</v>
      </c>
      <c r="N463" s="5" t="n">
        <v>0.36</v>
      </c>
    </row>
    <row r="464">
      <c r="A464" t="n">
        <v>463</v>
      </c>
      <c r="B464" t="n">
        <v>2013</v>
      </c>
      <c r="C464" t="inlineStr">
        <is>
          <t>Khaliya Karim</t>
        </is>
      </c>
      <c r="D464">
        <f>HYPERLINK("https://ota.tournamentsoftware.com/player-profile/3982667F-BB84-4AC0-B470-E67D90581DB9", "Link")</f>
        <v/>
      </c>
      <c r="E464" s="3" t="n">
        <v>106.257</v>
      </c>
      <c r="F464" s="4" t="n">
        <v>18</v>
      </c>
      <c r="G464" t="inlineStr">
        <is>
          <t>British Columbia</t>
        </is>
      </c>
      <c r="H464" t="inlineStr">
        <is>
          <t>Arbutus Club</t>
        </is>
      </c>
      <c r="I464" t="n">
        <v>35.3</v>
      </c>
      <c r="J464" s="4" t="n">
        <v>90</v>
      </c>
      <c r="K464" t="inlineStr">
        <is>
          <t>18 / 72</t>
        </is>
      </c>
      <c r="L464" t="inlineStr">
        <is>
          <t>14 / 25</t>
        </is>
      </c>
      <c r="M464" s="5" t="n">
        <v>0.2</v>
      </c>
      <c r="N464" s="5" t="n">
        <v>0.36</v>
      </c>
    </row>
    <row r="465">
      <c r="A465" t="n">
        <v>464</v>
      </c>
      <c r="B465" t="n">
        <v>2012</v>
      </c>
      <c r="C465" t="inlineStr">
        <is>
          <t>Emma Fedeyko</t>
        </is>
      </c>
      <c r="D465">
        <f>HYPERLINK("https://ota.tournamentsoftware.com/player-profile/62E06657-0480-40D7-B491-B99DA20E11DF", "Link")</f>
        <v/>
      </c>
      <c r="E465" s="3" t="n">
        <v>105.454</v>
      </c>
      <c r="F465" s="4" t="n">
        <v>9</v>
      </c>
      <c r="G465" t="inlineStr">
        <is>
          <t>Ontario Tennis Association</t>
        </is>
      </c>
      <c r="H465" t="inlineStr">
        <is>
          <t>Ontario Racquet Club</t>
        </is>
      </c>
      <c r="I465" t="n">
        <v>35.6</v>
      </c>
      <c r="J465" s="4" t="n">
        <v>53</v>
      </c>
      <c r="K465" t="inlineStr">
        <is>
          <t>19 / 34</t>
        </is>
      </c>
      <c r="L465" t="inlineStr">
        <is>
          <t>3 / 6</t>
        </is>
      </c>
      <c r="M465" s="5" t="n">
        <v>0.36</v>
      </c>
      <c r="N465" s="5" t="n">
        <v>0.33</v>
      </c>
    </row>
    <row r="466">
      <c r="A466" t="n">
        <v>465</v>
      </c>
      <c r="B466" t="n">
        <v>2014</v>
      </c>
      <c r="C466" t="inlineStr">
        <is>
          <t>Abigail Curilscaia</t>
        </is>
      </c>
      <c r="D466">
        <f>HYPERLINK("https://ota.tournamentsoftware.com/player-profile/275CB740-D9DB-4B51-8864-93A2F0D91A3B", "Link")</f>
        <v/>
      </c>
      <c r="E466" s="3" t="n">
        <v>105.422</v>
      </c>
      <c r="F466" s="4" t="n">
        <v>12</v>
      </c>
      <c r="G466" t="inlineStr">
        <is>
          <t>Tennis Alberta</t>
        </is>
      </c>
      <c r="H466" t="inlineStr">
        <is>
          <t>Aforza</t>
        </is>
      </c>
      <c r="I466" t="inlineStr">
        <is>
          <t>unavailable</t>
        </is>
      </c>
      <c r="J466" s="4" t="inlineStr"/>
      <c r="K466" t="inlineStr">
        <is>
          <t>unavailable</t>
        </is>
      </c>
      <c r="L466" t="inlineStr">
        <is>
          <t>unavailable</t>
        </is>
      </c>
      <c r="M466" s="5" t="inlineStr"/>
      <c r="N466" s="5" t="inlineStr"/>
    </row>
    <row r="467">
      <c r="A467" t="n">
        <v>466</v>
      </c>
      <c r="B467" t="n">
        <v>2014</v>
      </c>
      <c r="C467" t="inlineStr">
        <is>
          <t>Scarlett Habeebkutty</t>
        </is>
      </c>
      <c r="D467">
        <f>HYPERLINK("https://ota.tournamentsoftware.com/player-profile/B3E7011D-10BF-4CEB-9D49-F24BAE1BE1A2", "Link")</f>
        <v/>
      </c>
      <c r="E467" s="3" t="n">
        <v>102.277</v>
      </c>
      <c r="F467" s="4" t="n">
        <v>5</v>
      </c>
      <c r="G467" t="inlineStr">
        <is>
          <t>Tennis Saskatchewan</t>
        </is>
      </c>
      <c r="H467" t="inlineStr">
        <is>
          <t>Lakeshore Tennis Club</t>
        </is>
      </c>
      <c r="I467" t="n">
        <v>40</v>
      </c>
      <c r="J467" s="4" t="n">
        <v>14</v>
      </c>
      <c r="K467" t="inlineStr">
        <is>
          <t>0 / 14</t>
        </is>
      </c>
      <c r="L467" t="inlineStr">
        <is>
          <t>0 / 14</t>
        </is>
      </c>
      <c r="M467" s="5" t="n">
        <v>0</v>
      </c>
      <c r="N467" s="5" t="n">
        <v>0</v>
      </c>
    </row>
    <row r="468">
      <c r="A468" t="n">
        <v>467</v>
      </c>
      <c r="B468" t="n">
        <v>2016</v>
      </c>
      <c r="C468" t="inlineStr">
        <is>
          <t>Kassidy, Chin Yau Lau</t>
        </is>
      </c>
      <c r="D468">
        <f>HYPERLINK("https://ota.tournamentsoftware.com/player-profile/725BC980-EB67-418A-9A78-144DF7D7CE7E", "Link")</f>
        <v/>
      </c>
      <c r="E468" s="3" t="n">
        <v>102</v>
      </c>
      <c r="F468" s="4" t="n">
        <v>26</v>
      </c>
      <c r="G468" t="inlineStr">
        <is>
          <t>Ontario Tennis Association</t>
        </is>
      </c>
      <c r="H468" t="inlineStr">
        <is>
          <t>No Club</t>
        </is>
      </c>
      <c r="I468" t="n">
        <v>34.8</v>
      </c>
      <c r="J468" s="4" t="n">
        <v>65</v>
      </c>
      <c r="K468" t="inlineStr">
        <is>
          <t>38 / 27</t>
        </is>
      </c>
      <c r="L468" t="inlineStr">
        <is>
          <t>38 / 27</t>
        </is>
      </c>
      <c r="M468" s="5" t="n">
        <v>0.58</v>
      </c>
      <c r="N468" s="5" t="n">
        <v>0.58</v>
      </c>
    </row>
    <row r="469">
      <c r="A469" t="n">
        <v>468</v>
      </c>
      <c r="B469" t="n">
        <v>2016</v>
      </c>
      <c r="C469" t="inlineStr">
        <is>
          <t>Chenlin Wang</t>
        </is>
      </c>
      <c r="D469">
        <f>HYPERLINK("https://ota.tournamentsoftware.com/player-profile/9F8A5A74-B5B7-41F1-A513-DA87D68CAFFE", "Link")</f>
        <v/>
      </c>
      <c r="E469" s="3" t="n">
        <v>101.603</v>
      </c>
      <c r="F469" s="4" t="n">
        <v>31</v>
      </c>
      <c r="G469" t="inlineStr">
        <is>
          <t>British Columbia</t>
        </is>
      </c>
      <c r="H469" t="inlineStr">
        <is>
          <t>Aura Tennis Academy</t>
        </is>
      </c>
      <c r="I469" t="inlineStr">
        <is>
          <t>unavailable</t>
        </is>
      </c>
      <c r="J469" s="4" t="n">
        <v>168</v>
      </c>
      <c r="K469" t="inlineStr">
        <is>
          <t>90 / 78</t>
        </is>
      </c>
      <c r="L469" t="inlineStr">
        <is>
          <t>38 / 29</t>
        </is>
      </c>
      <c r="M469" s="5" t="n">
        <v>0.54</v>
      </c>
      <c r="N469" s="5" t="n">
        <v>0.57</v>
      </c>
    </row>
    <row r="470">
      <c r="A470" t="n">
        <v>469</v>
      </c>
      <c r="B470" t="n">
        <v>2014</v>
      </c>
      <c r="C470" t="inlineStr">
        <is>
          <t>Olivia Hesse</t>
        </is>
      </c>
      <c r="D470">
        <f>HYPERLINK("https://ota.tournamentsoftware.com/player-profile/18AF6D11-FB26-470D-81A9-00DC98F16884", "Link")</f>
        <v/>
      </c>
      <c r="E470" s="3" t="n">
        <v>101.049</v>
      </c>
      <c r="F470" s="4" t="n">
        <v>13</v>
      </c>
      <c r="G470" t="inlineStr">
        <is>
          <t>Ontario Tennis Association</t>
        </is>
      </c>
      <c r="H470" t="inlineStr">
        <is>
          <t>Boulevard Club</t>
        </is>
      </c>
      <c r="I470" t="n">
        <v>36.1</v>
      </c>
      <c r="J470" s="4" t="n">
        <v>68</v>
      </c>
      <c r="K470" t="inlineStr">
        <is>
          <t>27 / 41</t>
        </is>
      </c>
      <c r="L470" t="inlineStr">
        <is>
          <t>9 / 12</t>
        </is>
      </c>
      <c r="M470" s="5" t="n">
        <v>0.4</v>
      </c>
      <c r="N470" s="5" t="n">
        <v>0.43</v>
      </c>
    </row>
    <row r="471">
      <c r="A471" t="n">
        <v>470</v>
      </c>
      <c r="B471" t="n">
        <v>2012</v>
      </c>
      <c r="C471" t="inlineStr">
        <is>
          <t>aashka vishal devaiya</t>
        </is>
      </c>
      <c r="D471">
        <f>HYPERLINK("https://ota.tournamentsoftware.com/player-profile/99C1CB63-E70E-4FB5-A115-3A252251FA67", "Link")</f>
        <v/>
      </c>
      <c r="E471" s="3" t="n">
        <v>100.829</v>
      </c>
      <c r="F471" s="4" t="n">
        <v>1</v>
      </c>
      <c r="G471" t="inlineStr">
        <is>
          <t>British Columbia</t>
        </is>
      </c>
      <c r="H471" t="inlineStr">
        <is>
          <t>No Club</t>
        </is>
      </c>
      <c r="I471" t="inlineStr">
        <is>
          <t>unavailable</t>
        </is>
      </c>
      <c r="J471" s="4" t="inlineStr"/>
      <c r="K471" t="inlineStr">
        <is>
          <t>unavailable</t>
        </is>
      </c>
      <c r="L471" t="inlineStr">
        <is>
          <t>unavailable</t>
        </is>
      </c>
      <c r="M471" s="5" t="inlineStr"/>
      <c r="N471" s="5" t="inlineStr"/>
    </row>
    <row r="472">
      <c r="A472" t="n">
        <v>471</v>
      </c>
      <c r="B472" t="n">
        <v>2013</v>
      </c>
      <c r="C472" t="inlineStr">
        <is>
          <t>Hengxi Celine Du</t>
        </is>
      </c>
      <c r="D472">
        <f>HYPERLINK("https://ota.tournamentsoftware.com/player-profile/7011B5E4-06D4-4830-95A3-18CF46BE4ED0", "Link")</f>
        <v/>
      </c>
      <c r="E472" s="3" t="n">
        <v>100.366</v>
      </c>
      <c r="F472" s="4" t="n">
        <v>4</v>
      </c>
      <c r="G472" t="inlineStr">
        <is>
          <t>Ontario Tennis Association</t>
        </is>
      </c>
      <c r="H472" t="inlineStr">
        <is>
          <t>Premier Racquet Clubs – Mississauga</t>
        </is>
      </c>
      <c r="I472" t="inlineStr">
        <is>
          <t>unavailable</t>
        </is>
      </c>
      <c r="J472" s="4" t="n">
        <v>25</v>
      </c>
      <c r="K472" t="inlineStr">
        <is>
          <t>9 / 16</t>
        </is>
      </c>
      <c r="L472" t="inlineStr">
        <is>
          <t>8 / 9</t>
        </is>
      </c>
      <c r="M472" s="5" t="n">
        <v>0.36</v>
      </c>
      <c r="N472" s="5" t="n">
        <v>0.47</v>
      </c>
    </row>
    <row r="473">
      <c r="A473" t="n">
        <v>472</v>
      </c>
      <c r="B473" t="n">
        <v>2015</v>
      </c>
      <c r="C473" t="inlineStr">
        <is>
          <t>Olivia An Yi Ta</t>
        </is>
      </c>
      <c r="D473">
        <f>HYPERLINK("https://ota.tournamentsoftware.com/player-profile/F718058C-465B-4AEB-BACA-80FE5B3917B6", "Link")</f>
        <v/>
      </c>
      <c r="E473" s="3" t="n">
        <v>99.991</v>
      </c>
      <c r="F473" s="4" t="n">
        <v>15</v>
      </c>
      <c r="G473" t="inlineStr">
        <is>
          <t>Ontario Tennis Association</t>
        </is>
      </c>
      <c r="H473" t="inlineStr">
        <is>
          <t>Lambton Golf &amp; Country Club</t>
        </is>
      </c>
      <c r="I473" t="inlineStr">
        <is>
          <t>unavailable</t>
        </is>
      </c>
      <c r="J473" s="4" t="n">
        <v>70</v>
      </c>
      <c r="K473" t="inlineStr">
        <is>
          <t>20 / 50</t>
        </is>
      </c>
      <c r="L473" t="inlineStr">
        <is>
          <t>11 / 12</t>
        </is>
      </c>
      <c r="M473" s="5" t="n">
        <v>0.29</v>
      </c>
      <c r="N473" s="5" t="n">
        <v>0.48</v>
      </c>
    </row>
    <row r="474">
      <c r="A474" t="n">
        <v>473</v>
      </c>
      <c r="B474" t="n">
        <v>2012</v>
      </c>
      <c r="C474" t="inlineStr">
        <is>
          <t>ONYEKACHUKWU MAGDALENE OGBATUE</t>
        </is>
      </c>
      <c r="D474">
        <f>HYPERLINK("https://ota.tournamentsoftware.com/player-profile/34FAC6AA-945B-40B3-BDE9-3F8B4198659B", "Link")</f>
        <v/>
      </c>
      <c r="E474" s="3" t="n">
        <v>99.878</v>
      </c>
      <c r="F474" s="4" t="n">
        <v>6</v>
      </c>
      <c r="G474" t="inlineStr">
        <is>
          <t>Ontario Tennis Association</t>
        </is>
      </c>
      <c r="H474" t="inlineStr">
        <is>
          <t>Matchpoint Tennis</t>
        </is>
      </c>
      <c r="I474" t="n">
        <v>35.6</v>
      </c>
      <c r="J474" s="4" t="n">
        <v>18</v>
      </c>
      <c r="K474" t="inlineStr">
        <is>
          <t>11 / 7</t>
        </is>
      </c>
      <c r="L474" t="inlineStr">
        <is>
          <t>11 / 7</t>
        </is>
      </c>
      <c r="M474" s="5" t="n">
        <v>0.61</v>
      </c>
      <c r="N474" s="5" t="n">
        <v>0.61</v>
      </c>
    </row>
    <row r="475">
      <c r="A475" t="n">
        <v>474</v>
      </c>
      <c r="B475" t="n">
        <v>2012</v>
      </c>
      <c r="C475" t="inlineStr">
        <is>
          <t>Isabella Sofia Zrnic</t>
        </is>
      </c>
      <c r="D475">
        <f>HYPERLINK("https://ota.tournamentsoftware.com/player-profile/C8963CF4-1E95-43AF-B92C-08778B2BA616", "Link")</f>
        <v/>
      </c>
      <c r="E475" s="3" t="n">
        <v>99.809</v>
      </c>
      <c r="F475" s="4" t="n">
        <v>10</v>
      </c>
      <c r="G475" t="inlineStr">
        <is>
          <t>Ontario Tennis Association</t>
        </is>
      </c>
      <c r="H475" t="inlineStr">
        <is>
          <t>Lawrence Park Tennis Club</t>
        </is>
      </c>
      <c r="I475" t="n">
        <v>35.5</v>
      </c>
      <c r="J475" s="4" t="n">
        <v>66</v>
      </c>
      <c r="K475" t="inlineStr">
        <is>
          <t>27 / 39</t>
        </is>
      </c>
      <c r="L475" t="inlineStr">
        <is>
          <t>6 / 9</t>
        </is>
      </c>
      <c r="M475" s="5" t="n">
        <v>0.41</v>
      </c>
      <c r="N475" s="5" t="n">
        <v>0.4</v>
      </c>
    </row>
    <row r="476">
      <c r="A476" t="n">
        <v>475</v>
      </c>
      <c r="B476" t="n">
        <v>2013</v>
      </c>
      <c r="C476" t="inlineStr">
        <is>
          <t>Chelsea Yuxin Lan</t>
        </is>
      </c>
      <c r="D476">
        <f>HYPERLINK("https://ota.tournamentsoftware.com/player-profile/D861FE8B-CCB2-4222-BA9C-EBD5C1FECE32", "Link")</f>
        <v/>
      </c>
      <c r="E476" s="3" t="n">
        <v>99.697</v>
      </c>
      <c r="F476" s="4" t="n">
        <v>15</v>
      </c>
      <c r="G476" t="inlineStr">
        <is>
          <t>British Columbia</t>
        </is>
      </c>
      <c r="H476" t="inlineStr">
        <is>
          <t>Hollyburn Country Club</t>
        </is>
      </c>
      <c r="I476" t="inlineStr">
        <is>
          <t>unavailable</t>
        </is>
      </c>
      <c r="J476" s="4" t="n">
        <v>119</v>
      </c>
      <c r="K476" t="inlineStr">
        <is>
          <t>35 / 84</t>
        </is>
      </c>
      <c r="L476" t="inlineStr">
        <is>
          <t>3 / 21</t>
        </is>
      </c>
      <c r="M476" s="5" t="n">
        <v>0.29</v>
      </c>
      <c r="N476" s="5" t="n">
        <v>0.12</v>
      </c>
    </row>
    <row r="477">
      <c r="A477" t="n">
        <v>476</v>
      </c>
      <c r="B477" t="n">
        <v>2015</v>
      </c>
      <c r="C477" t="inlineStr">
        <is>
          <t>Kaliya Summer Miserre-Garrecht</t>
        </is>
      </c>
      <c r="D477">
        <f>HYPERLINK("https://ota.tournamentsoftware.com/player-profile/C178309B-9B10-4C79-99B5-DD8E37FCC1EF", "Link")</f>
        <v/>
      </c>
      <c r="E477" s="3" t="n">
        <v>99.33799999999999</v>
      </c>
      <c r="F477" s="4" t="n">
        <v>23</v>
      </c>
      <c r="G477" t="inlineStr">
        <is>
          <t>British Columbia</t>
        </is>
      </c>
      <c r="H477" t="inlineStr">
        <is>
          <t>Vanguard Tennis Academy</t>
        </is>
      </c>
      <c r="I477" t="n">
        <v>36.1</v>
      </c>
      <c r="J477" s="4" t="n">
        <v>143</v>
      </c>
      <c r="K477" t="inlineStr">
        <is>
          <t>62 / 81</t>
        </is>
      </c>
      <c r="L477" t="inlineStr">
        <is>
          <t>17 / 28</t>
        </is>
      </c>
      <c r="M477" s="5" t="n">
        <v>0.43</v>
      </c>
      <c r="N477" s="5" t="n">
        <v>0.38</v>
      </c>
    </row>
    <row r="478">
      <c r="A478" t="n">
        <v>477</v>
      </c>
      <c r="B478" t="n">
        <v>2014</v>
      </c>
      <c r="C478" t="inlineStr">
        <is>
          <t>Chloe Esther Yeung</t>
        </is>
      </c>
      <c r="D478">
        <f>HYPERLINK("https://ota.tournamentsoftware.com/player-profile/A0100B59-21FE-4244-87C6-16B2DE0DBB96", "Link")</f>
        <v/>
      </c>
      <c r="E478" s="3" t="n">
        <v>99.27800000000001</v>
      </c>
      <c r="F478" s="4" t="n">
        <v>10</v>
      </c>
      <c r="G478" t="inlineStr">
        <is>
          <t>Ontario Tennis Association</t>
        </is>
      </c>
      <c r="H478" t="inlineStr">
        <is>
          <t>Mayfair East Racquet Club</t>
        </is>
      </c>
      <c r="I478" t="n">
        <v>36.6</v>
      </c>
      <c r="J478" s="4" t="n">
        <v>106</v>
      </c>
      <c r="K478" t="inlineStr">
        <is>
          <t>45 / 61</t>
        </is>
      </c>
      <c r="L478" t="inlineStr">
        <is>
          <t>3 / 9</t>
        </is>
      </c>
      <c r="M478" s="5" t="n">
        <v>0.42</v>
      </c>
      <c r="N478" s="5" t="n">
        <v>0.25</v>
      </c>
    </row>
    <row r="479">
      <c r="A479" t="n">
        <v>478</v>
      </c>
      <c r="B479" t="n">
        <v>2015</v>
      </c>
      <c r="C479" t="inlineStr">
        <is>
          <t>zhiyi li</t>
        </is>
      </c>
      <c r="D479">
        <f>HYPERLINK("https://ota.tournamentsoftware.com/player-profile/262E56E9-3220-45C2-961D-ACE763C5C345", "Link")</f>
        <v/>
      </c>
      <c r="E479" s="3" t="n">
        <v>98.78400000000001</v>
      </c>
      <c r="F479" s="4" t="n">
        <v>12</v>
      </c>
      <c r="G479" t="inlineStr">
        <is>
          <t>Ontario Tennis Association</t>
        </is>
      </c>
      <c r="H479" t="inlineStr">
        <is>
          <t>Rideau Sports Centre</t>
        </is>
      </c>
      <c r="I479" t="n">
        <v>35.1</v>
      </c>
      <c r="J479" s="4" t="n">
        <v>91</v>
      </c>
      <c r="K479" t="inlineStr">
        <is>
          <t>48 / 43</t>
        </is>
      </c>
      <c r="L479" t="inlineStr">
        <is>
          <t>12 / 13</t>
        </is>
      </c>
      <c r="M479" s="5" t="n">
        <v>0.53</v>
      </c>
      <c r="N479" s="5" t="n">
        <v>0.48</v>
      </c>
    </row>
    <row r="480">
      <c r="A480" t="n">
        <v>479</v>
      </c>
      <c r="B480" t="n">
        <v>2012</v>
      </c>
      <c r="C480" t="inlineStr">
        <is>
          <t>Emily Lyn</t>
        </is>
      </c>
      <c r="D480">
        <f>HYPERLINK("https://ota.tournamentsoftware.com/player-profile/952E408B-05E4-4A69-8AAE-E4D164512A9E", "Link")</f>
        <v/>
      </c>
      <c r="E480" s="3" t="n">
        <v>98.52</v>
      </c>
      <c r="F480" s="4" t="n">
        <v>8</v>
      </c>
      <c r="G480" t="inlineStr">
        <is>
          <t>Ontario Tennis Association</t>
        </is>
      </c>
      <c r="H480" t="inlineStr">
        <is>
          <t>Markham Tennis Club</t>
        </is>
      </c>
      <c r="I480" t="n">
        <v>36.1</v>
      </c>
      <c r="J480" s="4" t="n">
        <v>103</v>
      </c>
      <c r="K480" t="inlineStr">
        <is>
          <t>61 / 42</t>
        </is>
      </c>
      <c r="L480" t="inlineStr">
        <is>
          <t>5 / 6</t>
        </is>
      </c>
      <c r="M480" s="5" t="n">
        <v>0.59</v>
      </c>
      <c r="N480" s="5" t="n">
        <v>0.45</v>
      </c>
    </row>
    <row r="481">
      <c r="A481" t="n">
        <v>480</v>
      </c>
      <c r="B481" t="n">
        <v>2014</v>
      </c>
      <c r="C481" t="inlineStr">
        <is>
          <t>Avril Kymber Lin</t>
        </is>
      </c>
      <c r="D481">
        <f>HYPERLINK("https://ota.tournamentsoftware.com/player-profile/6CFCC91C-A66C-46B5-8430-D2D78CE3EE4B", "Link")</f>
        <v/>
      </c>
      <c r="E481" s="3" t="n">
        <v>98.492</v>
      </c>
      <c r="F481" s="4" t="n">
        <v>12</v>
      </c>
      <c r="G481" t="inlineStr">
        <is>
          <t>Tennis Alberta</t>
        </is>
      </c>
      <c r="H481" t="inlineStr">
        <is>
          <t>Brookside Court &amp; Wellness</t>
        </is>
      </c>
      <c r="I481" t="inlineStr">
        <is>
          <t>unavailable</t>
        </is>
      </c>
      <c r="J481" s="4" t="n">
        <v>101</v>
      </c>
      <c r="K481" t="inlineStr">
        <is>
          <t>40 / 61</t>
        </is>
      </c>
      <c r="L481" t="inlineStr">
        <is>
          <t>10 / 16</t>
        </is>
      </c>
      <c r="M481" s="5" t="n">
        <v>0.4</v>
      </c>
      <c r="N481" s="5" t="n">
        <v>0.38</v>
      </c>
    </row>
    <row r="482">
      <c r="A482" t="n">
        <v>481</v>
      </c>
      <c r="B482" t="n">
        <v>2013</v>
      </c>
      <c r="C482" t="inlineStr">
        <is>
          <t>Darcia Rabezandriny</t>
        </is>
      </c>
      <c r="D482">
        <f>HYPERLINK("https://ota.tournamentsoftware.com/player-profile/52069260-9644-4FA6-A8E4-10B4E037765E", "Link")</f>
        <v/>
      </c>
      <c r="E482" s="3" t="n">
        <v>98.27200000000001</v>
      </c>
      <c r="F482" s="4" t="n">
        <v>7</v>
      </c>
      <c r="G482" t="inlineStr">
        <is>
          <t>Tennis Québec</t>
        </is>
      </c>
      <c r="H482" t="inlineStr">
        <is>
          <t>AA Autre club</t>
        </is>
      </c>
      <c r="I482" t="n">
        <v>34.6</v>
      </c>
      <c r="J482" s="4" t="n">
        <v>157</v>
      </c>
      <c r="K482" t="inlineStr">
        <is>
          <t>82 / 75</t>
        </is>
      </c>
      <c r="L482" t="inlineStr">
        <is>
          <t>7 / 8</t>
        </is>
      </c>
      <c r="M482" s="5" t="n">
        <v>0.52</v>
      </c>
      <c r="N482" s="5" t="n">
        <v>0.47</v>
      </c>
    </row>
    <row r="483">
      <c r="A483" t="n">
        <v>482</v>
      </c>
      <c r="B483" t="n">
        <v>2013</v>
      </c>
      <c r="C483" t="inlineStr">
        <is>
          <t>Julia Anne Kennedy</t>
        </is>
      </c>
      <c r="D483">
        <f>HYPERLINK("https://ota.tournamentsoftware.com/player-profile/82DF6D3D-A382-4764-B57C-0EA44A762022", "Link")</f>
        <v/>
      </c>
      <c r="E483" s="3" t="n">
        <v>97.88</v>
      </c>
      <c r="F483" s="4" t="n">
        <v>2</v>
      </c>
      <c r="G483" t="inlineStr">
        <is>
          <t>Ontario Tennis Association</t>
        </is>
      </c>
      <c r="H483" t="inlineStr">
        <is>
          <t>SmartVMC Racquetsports by ACE</t>
        </is>
      </c>
      <c r="I483" t="n">
        <v>32.2</v>
      </c>
      <c r="J483" s="4" t="n">
        <v>147</v>
      </c>
      <c r="K483" t="inlineStr">
        <is>
          <t>71 / 76</t>
        </is>
      </c>
      <c r="L483" t="inlineStr">
        <is>
          <t>5 / 1</t>
        </is>
      </c>
      <c r="M483" s="5" t="n">
        <v>0.48</v>
      </c>
      <c r="N483" s="5" t="n">
        <v>0.83</v>
      </c>
    </row>
    <row r="484">
      <c r="A484" t="n">
        <v>483</v>
      </c>
      <c r="B484" t="n">
        <v>2014</v>
      </c>
      <c r="C484" t="inlineStr">
        <is>
          <t>Sarah Huang</t>
        </is>
      </c>
      <c r="D484">
        <f>HYPERLINK("https://ota.tournamentsoftware.com/player-profile/535A9ABE-481C-45C4-9357-B8FD9305232E", "Link")</f>
        <v/>
      </c>
      <c r="E484" s="3" t="n">
        <v>97.762</v>
      </c>
      <c r="F484" s="4" t="n">
        <v>17</v>
      </c>
      <c r="G484" t="inlineStr">
        <is>
          <t>Ontario Tennis Association</t>
        </is>
      </c>
      <c r="H484" t="inlineStr">
        <is>
          <t>Premier Racquet Club - Markham</t>
        </is>
      </c>
      <c r="I484" t="n">
        <v>35.3</v>
      </c>
      <c r="J484" s="4" t="n">
        <v>116</v>
      </c>
      <c r="K484" t="inlineStr">
        <is>
          <t>40 / 76</t>
        </is>
      </c>
      <c r="L484" t="inlineStr">
        <is>
          <t>6 / 9</t>
        </is>
      </c>
      <c r="M484" s="5" t="n">
        <v>0.34</v>
      </c>
      <c r="N484" s="5" t="n">
        <v>0.4</v>
      </c>
    </row>
    <row r="485">
      <c r="A485" t="n">
        <v>484</v>
      </c>
      <c r="B485" t="n">
        <v>2015</v>
      </c>
      <c r="C485" t="inlineStr">
        <is>
          <t>Larissa Bulynko</t>
        </is>
      </c>
      <c r="D485">
        <f>HYPERLINK("https://ota.tournamentsoftware.com/player-profile/387B3C19-006B-446B-A1CE-226F349C0C24", "Link")</f>
        <v/>
      </c>
      <c r="E485" s="3" t="n">
        <v>97.074</v>
      </c>
      <c r="F485" s="4" t="n">
        <v>14</v>
      </c>
      <c r="G485" t="inlineStr">
        <is>
          <t>Ontario Tennis Association</t>
        </is>
      </c>
      <c r="H485" t="inlineStr">
        <is>
          <t>National Tennis School</t>
        </is>
      </c>
      <c r="I485" t="n">
        <v>36.7</v>
      </c>
      <c r="J485" s="4" t="n">
        <v>62</v>
      </c>
      <c r="K485" t="inlineStr">
        <is>
          <t>25 / 37</t>
        </is>
      </c>
      <c r="L485" t="inlineStr">
        <is>
          <t>10 / 14</t>
        </is>
      </c>
      <c r="M485" s="5" t="n">
        <v>0.4</v>
      </c>
      <c r="N485" s="5" t="n">
        <v>0.42</v>
      </c>
    </row>
    <row r="486">
      <c r="A486" t="n">
        <v>485</v>
      </c>
      <c r="B486" t="n">
        <v>2015</v>
      </c>
      <c r="C486" t="inlineStr">
        <is>
          <t>Violet Ton-That</t>
        </is>
      </c>
      <c r="D486">
        <f>HYPERLINK("https://ota.tournamentsoftware.com/player-profile/2832D590-1D78-4B7F-B573-E2D932040ADB", "Link")</f>
        <v/>
      </c>
      <c r="E486" s="3" t="n">
        <v>96.917</v>
      </c>
      <c r="F486" s="4" t="n">
        <v>10</v>
      </c>
      <c r="G486" t="inlineStr">
        <is>
          <t>Tennis Québec</t>
        </is>
      </c>
      <c r="H486" t="inlineStr">
        <is>
          <t>Tennis Montréal Excellence</t>
        </is>
      </c>
      <c r="I486" t="n">
        <v>35.7</v>
      </c>
      <c r="J486" s="4" t="n">
        <v>63</v>
      </c>
      <c r="K486" t="inlineStr">
        <is>
          <t>29 / 34</t>
        </is>
      </c>
      <c r="L486" t="inlineStr">
        <is>
          <t>8 / 10</t>
        </is>
      </c>
      <c r="M486" s="5" t="n">
        <v>0.46</v>
      </c>
      <c r="N486" s="5" t="n">
        <v>0.44</v>
      </c>
    </row>
    <row r="487">
      <c r="A487" t="n">
        <v>486</v>
      </c>
      <c r="B487" t="n">
        <v>2012</v>
      </c>
      <c r="C487" t="inlineStr">
        <is>
          <t>Emily Zhang</t>
        </is>
      </c>
      <c r="D487">
        <f>HYPERLINK("https://ota.tournamentsoftware.com/player-profile/927E8E34-8FE2-4B37-81C7-621F5326585C", "Link")</f>
        <v/>
      </c>
      <c r="E487" s="3" t="n">
        <v>96.367</v>
      </c>
      <c r="F487" s="4" t="n">
        <v>5</v>
      </c>
      <c r="G487" t="inlineStr">
        <is>
          <t>Ontario Tennis Association</t>
        </is>
      </c>
      <c r="H487" t="inlineStr">
        <is>
          <t>Blackmore Tennis Club</t>
        </is>
      </c>
      <c r="I487" t="inlineStr">
        <is>
          <t>unavailable</t>
        </is>
      </c>
      <c r="J487" s="4" t="n">
        <v>48</v>
      </c>
      <c r="K487" t="inlineStr">
        <is>
          <t>10 / 38</t>
        </is>
      </c>
      <c r="L487" t="inlineStr">
        <is>
          <t>1 / 3</t>
        </is>
      </c>
      <c r="M487" s="5" t="n">
        <v>0.21</v>
      </c>
      <c r="N487" s="5" t="n">
        <v>0.25</v>
      </c>
    </row>
    <row r="488">
      <c r="A488" t="n">
        <v>487</v>
      </c>
      <c r="B488" t="n">
        <v>2014</v>
      </c>
      <c r="C488" t="inlineStr">
        <is>
          <t>Yue Zhang</t>
        </is>
      </c>
      <c r="D488">
        <f>HYPERLINK("https://ota.tournamentsoftware.com/player-profile/85239D79-7080-4052-A527-EE7F087184E4", "Link")</f>
        <v/>
      </c>
      <c r="E488" s="3" t="n">
        <v>96.28100000000001</v>
      </c>
      <c r="F488" s="4" t="n">
        <v>8</v>
      </c>
      <c r="G488" t="inlineStr">
        <is>
          <t>Tennis Nova Scotia</t>
        </is>
      </c>
      <c r="H488" t="inlineStr">
        <is>
          <t>Atlantic Tennis Centre</t>
        </is>
      </c>
      <c r="I488" t="n">
        <v>35.4</v>
      </c>
      <c r="J488" s="4" t="n">
        <v>43</v>
      </c>
      <c r="K488" t="inlineStr">
        <is>
          <t>19 / 24</t>
        </is>
      </c>
      <c r="L488" t="inlineStr">
        <is>
          <t>10 / 13</t>
        </is>
      </c>
      <c r="M488" s="5" t="n">
        <v>0.44</v>
      </c>
      <c r="N488" s="5" t="n">
        <v>0.43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95.923</v>
      </c>
      <c r="F489" s="4" t="n">
        <v>5</v>
      </c>
      <c r="G489" t="inlineStr">
        <is>
          <t>Tennis Nova Scotia</t>
        </is>
      </c>
      <c r="H489" t="inlineStr">
        <is>
          <t>HEADSTART</t>
        </is>
      </c>
      <c r="I489" t="n">
        <v>37.6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2014</v>
      </c>
      <c r="C490" t="inlineStr">
        <is>
          <t>Zoey Folashakin</t>
        </is>
      </c>
      <c r="D490">
        <f>HYPERLINK("https://ota.tournamentsoftware.com/player-profile/3301B942-3C8E-4FE4-9470-6F68EC47669D", "Link")</f>
        <v/>
      </c>
      <c r="E490" s="3" t="n">
        <v>95.544</v>
      </c>
      <c r="F490" s="4" t="n">
        <v>23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36.5</v>
      </c>
      <c r="J490" s="4" t="n">
        <v>70</v>
      </c>
      <c r="K490" t="inlineStr">
        <is>
          <t>15 / 55</t>
        </is>
      </c>
      <c r="L490" t="inlineStr">
        <is>
          <t>11 / 16</t>
        </is>
      </c>
      <c r="M490" s="5" t="n">
        <v>0.21</v>
      </c>
      <c r="N490" s="5" t="n">
        <v>0.41</v>
      </c>
    </row>
    <row r="491">
      <c r="A491" t="n">
        <v>490</v>
      </c>
      <c r="B491" t="n">
        <v>2012</v>
      </c>
      <c r="C491" t="inlineStr">
        <is>
          <t>Tiana Amede-Bramwell</t>
        </is>
      </c>
      <c r="D491">
        <f>HYPERLINK("https://ota.tournamentsoftware.com/player-profile/BC31A25D-C48C-47FD-A0A3-D600EA315675", "Link")</f>
        <v/>
      </c>
      <c r="E491" s="3" t="n">
        <v>94.053</v>
      </c>
      <c r="F491" s="4" t="n">
        <v>11</v>
      </c>
      <c r="G491" t="inlineStr">
        <is>
          <t>Ontario Tennis Association</t>
        </is>
      </c>
      <c r="H491" t="inlineStr">
        <is>
          <t>Credit Valley Tennis Club</t>
        </is>
      </c>
      <c r="I491" t="n">
        <v>39.5</v>
      </c>
      <c r="J491" s="4" t="n">
        <v>40</v>
      </c>
      <c r="K491" t="inlineStr">
        <is>
          <t>8 / 32</t>
        </is>
      </c>
      <c r="L491" t="inlineStr">
        <is>
          <t>8 / 29</t>
        </is>
      </c>
      <c r="M491" s="5" t="n">
        <v>0.2</v>
      </c>
      <c r="N491" s="5" t="n">
        <v>0.22</v>
      </c>
    </row>
    <row r="492">
      <c r="A492" t="n">
        <v>491</v>
      </c>
      <c r="B492" t="n">
        <v>2015</v>
      </c>
      <c r="C492" t="inlineStr">
        <is>
          <t>Joey Wu</t>
        </is>
      </c>
      <c r="D492">
        <f>HYPERLINK("https://ota.tournamentsoftware.com/player-profile/5271198B-7814-4938-9A9E-61E10CC7CCA6", "Link")</f>
        <v/>
      </c>
      <c r="E492" s="3" t="n">
        <v>92.84</v>
      </c>
      <c r="F492" s="4" t="n">
        <v>25</v>
      </c>
      <c r="G492" t="inlineStr">
        <is>
          <t>British Columbia</t>
        </is>
      </c>
      <c r="H492" t="inlineStr">
        <is>
          <t>City of Richmond</t>
        </is>
      </c>
      <c r="I492" t="inlineStr">
        <is>
          <t>unavailable</t>
        </is>
      </c>
      <c r="J492" s="4" t="n">
        <v>127</v>
      </c>
      <c r="K492" t="inlineStr">
        <is>
          <t>75 / 52</t>
        </is>
      </c>
      <c r="L492" t="inlineStr">
        <is>
          <t>20 / 28</t>
        </is>
      </c>
      <c r="M492" s="5" t="n">
        <v>0.59</v>
      </c>
      <c r="N492" s="5" t="n">
        <v>0.42</v>
      </c>
    </row>
    <row r="493">
      <c r="A493" t="n">
        <v>492</v>
      </c>
      <c r="B493" t="n">
        <v>2014</v>
      </c>
      <c r="C493" t="inlineStr">
        <is>
          <t>cataleya florina zadarojnea</t>
        </is>
      </c>
      <c r="D493">
        <f>HYPERLINK("https://ota.tournamentsoftware.com/player-profile/EAEB7B00-5E1C-47F6-8FF3-1537E07A8B59", "Link")</f>
        <v/>
      </c>
      <c r="E493" s="3" t="n">
        <v>92.57599999999999</v>
      </c>
      <c r="F493" s="4" t="n">
        <v>26</v>
      </c>
      <c r="G493" t="inlineStr">
        <is>
          <t>Ontario Tennis Association</t>
        </is>
      </c>
      <c r="H493" t="inlineStr">
        <is>
          <t>Premier Racquet Clubs – Mississauga</t>
        </is>
      </c>
      <c r="I493" t="n">
        <v>37.4</v>
      </c>
      <c r="J493" s="4" t="n">
        <v>39</v>
      </c>
      <c r="K493" t="inlineStr">
        <is>
          <t>13 / 26</t>
        </is>
      </c>
      <c r="L493" t="inlineStr">
        <is>
          <t>9 / 19</t>
        </is>
      </c>
      <c r="M493" s="5" t="n">
        <v>0.33</v>
      </c>
      <c r="N493" s="5" t="n">
        <v>0.32</v>
      </c>
    </row>
    <row r="494">
      <c r="A494" t="n">
        <v>493</v>
      </c>
      <c r="B494" t="n">
        <v>2016</v>
      </c>
      <c r="C494" t="inlineStr">
        <is>
          <t>Ziqi Yu</t>
        </is>
      </c>
      <c r="D494">
        <f>HYPERLINK("https://ota.tournamentsoftware.com/player-profile/89FEB2A7-669B-4D40-A67D-54016F42DA82", "Link")</f>
        <v/>
      </c>
      <c r="E494" s="3" t="n">
        <v>92.40000000000001</v>
      </c>
      <c r="F494" s="4" t="n">
        <v>20</v>
      </c>
      <c r="G494" t="inlineStr">
        <is>
          <t>Ontario Tennis Association</t>
        </is>
      </c>
      <c r="H494" t="inlineStr">
        <is>
          <t>Blackmore Tennis Club</t>
        </is>
      </c>
      <c r="I494" t="n">
        <v>34.2</v>
      </c>
      <c r="J494" s="4" t="n">
        <v>106</v>
      </c>
      <c r="K494" t="inlineStr">
        <is>
          <t>69 / 37</t>
        </is>
      </c>
      <c r="L494" t="inlineStr">
        <is>
          <t>33 / 18</t>
        </is>
      </c>
      <c r="M494" s="5" t="n">
        <v>0.65</v>
      </c>
      <c r="N494" s="5" t="n">
        <v>0.65</v>
      </c>
    </row>
    <row r="495">
      <c r="A495" t="n">
        <v>494</v>
      </c>
      <c r="B495" t="n">
        <v>2013</v>
      </c>
      <c r="C495" t="inlineStr">
        <is>
          <t>Aditi Varma</t>
        </is>
      </c>
      <c r="D495">
        <f>HYPERLINK("https://ota.tournamentsoftware.com/player-profile/EE1E4950-6BCE-4CAA-921A-C5201D737DFF", "Link")</f>
        <v/>
      </c>
      <c r="E495" s="3" t="n">
        <v>91.402</v>
      </c>
      <c r="F495" s="4" t="n">
        <v>8</v>
      </c>
      <c r="G495" t="inlineStr">
        <is>
          <t>Ontario Tennis Association</t>
        </is>
      </c>
      <c r="H495" t="inlineStr">
        <is>
          <t>Ontario Racquet Club</t>
        </is>
      </c>
      <c r="I495" t="n">
        <v>35</v>
      </c>
      <c r="J495" s="4" t="n">
        <v>87</v>
      </c>
      <c r="K495" t="inlineStr">
        <is>
          <t>26 / 61</t>
        </is>
      </c>
      <c r="L495" t="inlineStr">
        <is>
          <t>2 / 5</t>
        </is>
      </c>
      <c r="M495" s="5" t="n">
        <v>0.3</v>
      </c>
      <c r="N495" s="5" t="n">
        <v>0.29</v>
      </c>
    </row>
    <row r="496">
      <c r="A496" t="n">
        <v>495</v>
      </c>
      <c r="B496" t="n">
        <v>2014</v>
      </c>
      <c r="C496" t="inlineStr">
        <is>
          <t>Maylis Ilmane</t>
        </is>
      </c>
      <c r="D496">
        <f>HYPERLINK("https://ota.tournamentsoftware.com/player-profile/8AD3E1E2-82F0-490F-B772-6E9AA24959CC", "Link")</f>
        <v/>
      </c>
      <c r="E496" s="3" t="n">
        <v>90.08799999999999</v>
      </c>
      <c r="F496" s="4" t="n">
        <v>8</v>
      </c>
      <c r="G496" t="inlineStr">
        <is>
          <t>Tennis Québec</t>
        </is>
      </c>
      <c r="H496" t="inlineStr">
        <is>
          <t>Centre récréatif de Repentigny / Académie Tennis Momentum</t>
        </is>
      </c>
      <c r="I496" t="n">
        <v>35.4</v>
      </c>
      <c r="J496" s="4" t="n">
        <v>60</v>
      </c>
      <c r="K496" t="inlineStr">
        <is>
          <t>25 / 35</t>
        </is>
      </c>
      <c r="L496" t="inlineStr">
        <is>
          <t>7 / 6</t>
        </is>
      </c>
      <c r="M496" s="5" t="n">
        <v>0.42</v>
      </c>
      <c r="N496" s="5" t="n">
        <v>0.54</v>
      </c>
    </row>
    <row r="497">
      <c r="A497" t="n">
        <v>496</v>
      </c>
      <c r="B497" t="n">
        <v>2013</v>
      </c>
      <c r="C497" t="inlineStr">
        <is>
          <t>Victoria maya Carinci</t>
        </is>
      </c>
      <c r="D497">
        <f>HYPERLINK("https://ota.tournamentsoftware.com/player-profile/767AAF86-8D36-4699-8113-86AA6DA60CE4", "Link")</f>
        <v/>
      </c>
      <c r="E497" s="3" t="n">
        <v>88.83499999999999</v>
      </c>
      <c r="F497" s="4" t="n">
        <v>12</v>
      </c>
      <c r="G497" t="inlineStr">
        <is>
          <t>Ontario Tennis Association</t>
        </is>
      </c>
      <c r="H497" t="inlineStr">
        <is>
          <t>Concord Tennis Academy</t>
        </is>
      </c>
      <c r="I497" t="n">
        <v>39.3</v>
      </c>
      <c r="J497" s="4" t="n">
        <v>40</v>
      </c>
      <c r="K497" t="inlineStr">
        <is>
          <t>9 / 31</t>
        </is>
      </c>
      <c r="L497" t="inlineStr">
        <is>
          <t>1 / 10</t>
        </is>
      </c>
      <c r="M497" s="5" t="n">
        <v>0.23</v>
      </c>
      <c r="N497" s="5" t="n">
        <v>0.09</v>
      </c>
    </row>
    <row r="498">
      <c r="A498" t="n">
        <v>497</v>
      </c>
      <c r="B498" t="n">
        <v>2012</v>
      </c>
      <c r="C498" t="inlineStr">
        <is>
          <t>Aaisha Rathod</t>
        </is>
      </c>
      <c r="D498">
        <f>HYPERLINK("https://ota.tournamentsoftware.com/player-profile/3CFF2AC0-C5A1-461F-91D3-0CD8EAFC5609", "Link")</f>
        <v/>
      </c>
      <c r="E498" s="3" t="n">
        <v>88.039</v>
      </c>
      <c r="F498" s="4" t="n">
        <v>10</v>
      </c>
      <c r="G498" t="inlineStr">
        <is>
          <t>Ontario Tennis Association</t>
        </is>
      </c>
      <c r="H498" t="inlineStr">
        <is>
          <t>Premier Racquet Clubs – Mississauga</t>
        </is>
      </c>
      <c r="I498" t="n">
        <v>38.6</v>
      </c>
      <c r="J498" s="4" t="n">
        <v>76</v>
      </c>
      <c r="K498" t="inlineStr">
        <is>
          <t>4 / 72</t>
        </is>
      </c>
      <c r="L498" t="inlineStr">
        <is>
          <t>2 / 9</t>
        </is>
      </c>
      <c r="M498" s="5" t="n">
        <v>0.05</v>
      </c>
      <c r="N498" s="5" t="n">
        <v>0.18</v>
      </c>
    </row>
    <row r="499">
      <c r="A499" t="n">
        <v>498</v>
      </c>
      <c r="B499" t="n">
        <v>2016</v>
      </c>
      <c r="C499" t="inlineStr">
        <is>
          <t>LUXI YANG</t>
        </is>
      </c>
      <c r="D499">
        <f>HYPERLINK("https://ota.tournamentsoftware.com/player-profile/00CB777C-F17D-4A37-8393-1F4E5A4F3C39", "Link")</f>
        <v/>
      </c>
      <c r="E499" s="3" t="n">
        <v>86.93600000000001</v>
      </c>
      <c r="F499" s="4" t="n">
        <v>11</v>
      </c>
      <c r="G499" t="inlineStr">
        <is>
          <t>British Columbia</t>
        </is>
      </c>
      <c r="H499" t="inlineStr">
        <is>
          <t>The Tennis Centre</t>
        </is>
      </c>
      <c r="I499" t="n">
        <v>31.8</v>
      </c>
      <c r="J499" s="4" t="n">
        <v>84</v>
      </c>
      <c r="K499" t="inlineStr">
        <is>
          <t>66 / 18</t>
        </is>
      </c>
      <c r="L499" t="inlineStr">
        <is>
          <t>29 / 8</t>
        </is>
      </c>
      <c r="M499" s="5" t="n">
        <v>0.79</v>
      </c>
      <c r="N499" s="5" t="n">
        <v>0.78</v>
      </c>
    </row>
    <row r="500">
      <c r="A500" t="n">
        <v>499</v>
      </c>
      <c r="B500" t="n">
        <v>2013</v>
      </c>
      <c r="C500" t="inlineStr">
        <is>
          <t>Quinn Pfaff</t>
        </is>
      </c>
      <c r="D500">
        <f>HYPERLINK("https://ota.tournamentsoftware.com/player-profile/4EE4E18D-7D9C-41F4-B172-783EBB13EF00", "Link")</f>
        <v/>
      </c>
      <c r="E500" s="3" t="n">
        <v>83.955</v>
      </c>
      <c r="F500" s="4" t="n">
        <v>4</v>
      </c>
      <c r="G500" t="inlineStr">
        <is>
          <t>Ontario Tennis Association</t>
        </is>
      </c>
      <c r="H500" t="inlineStr">
        <is>
          <t>Maitland Country Club</t>
        </is>
      </c>
      <c r="I500" t="n">
        <v>38</v>
      </c>
      <c r="J500" s="4" t="n">
        <v>4</v>
      </c>
      <c r="K500" t="inlineStr">
        <is>
          <t>0 / 4</t>
        </is>
      </c>
      <c r="L500" t="inlineStr">
        <is>
          <t>0 / 3</t>
        </is>
      </c>
      <c r="M500" s="5" t="n">
        <v>0</v>
      </c>
      <c r="N500" s="5" t="n">
        <v>0</v>
      </c>
    </row>
    <row r="501">
      <c r="A501" t="n">
        <v>500</v>
      </c>
      <c r="B501" t="n">
        <v>2013</v>
      </c>
      <c r="C501" t="inlineStr">
        <is>
          <t>Helena Nastic</t>
        </is>
      </c>
      <c r="D501">
        <f>HYPERLINK("https://ota.tournamentsoftware.com/player-profile/384CD39C-50E9-4DF1-B1AD-85571147C1F9", "Link")</f>
        <v/>
      </c>
      <c r="E501" s="3" t="n">
        <v>83.664</v>
      </c>
      <c r="F501" s="4" t="n">
        <v>7</v>
      </c>
      <c r="G501" t="inlineStr">
        <is>
          <t>Ontario Tennis Association</t>
        </is>
      </c>
      <c r="H501" t="inlineStr">
        <is>
          <t>Royal City Tennis Club</t>
        </is>
      </c>
      <c r="I501" t="inlineStr">
        <is>
          <t>unavailable</t>
        </is>
      </c>
      <c r="J501" s="4" t="n">
        <v>39</v>
      </c>
      <c r="K501" t="inlineStr">
        <is>
          <t>19 / 20</t>
        </is>
      </c>
      <c r="L501" t="inlineStr">
        <is>
          <t>0 / 6</t>
        </is>
      </c>
      <c r="M501" s="5" t="n">
        <v>0.49</v>
      </c>
      <c r="N501" s="5" t="n">
        <v>0</v>
      </c>
    </row>
    <row r="502">
      <c r="A502" t="n">
        <v>501</v>
      </c>
      <c r="B502" t="n">
        <v>2013</v>
      </c>
      <c r="C502" t="inlineStr">
        <is>
          <t>Avonlyn Long</t>
        </is>
      </c>
      <c r="D502">
        <f>HYPERLINK("https://ota.tournamentsoftware.com/player-profile/750061EB-6049-44F3-9B6E-4DE9428D7158", "Link")</f>
        <v/>
      </c>
      <c r="E502" s="3" t="n">
        <v>83.592</v>
      </c>
      <c r="F502" s="4" t="n">
        <v>3</v>
      </c>
      <c r="G502" t="inlineStr">
        <is>
          <t>Ontario Tennis Association</t>
        </is>
      </c>
      <c r="H502" t="inlineStr">
        <is>
          <t>Carleton Tennis Centre</t>
        </is>
      </c>
      <c r="I502" t="n">
        <v>39</v>
      </c>
      <c r="J502" s="4" t="n">
        <v>12</v>
      </c>
      <c r="K502" t="inlineStr">
        <is>
          <t>1 / 11</t>
        </is>
      </c>
      <c r="L502" t="inlineStr">
        <is>
          <t>1 / 3</t>
        </is>
      </c>
      <c r="M502" s="5" t="n">
        <v>0.08</v>
      </c>
      <c r="N502" s="5" t="n">
        <v>0.25</v>
      </c>
    </row>
    <row r="503">
      <c r="A503" t="n">
        <v>502</v>
      </c>
      <c r="B503" t="n">
        <v>2014</v>
      </c>
      <c r="C503" t="inlineStr">
        <is>
          <t>Ananya Rao</t>
        </is>
      </c>
      <c r="D503">
        <f>HYPERLINK("https://ota.tournamentsoftware.com/player-profile/D12578BD-BDAF-471D-B53C-09B281C916CB", "Link")</f>
        <v/>
      </c>
      <c r="E503" s="3" t="n">
        <v>83.045</v>
      </c>
      <c r="F503" s="4" t="n">
        <v>12</v>
      </c>
      <c r="G503" t="inlineStr">
        <is>
          <t>Ontario Tennis Association</t>
        </is>
      </c>
      <c r="H503" t="inlineStr">
        <is>
          <t>Carleton Tennis Centre</t>
        </is>
      </c>
      <c r="I503" t="n">
        <v>36.8</v>
      </c>
      <c r="J503" s="4" t="n">
        <v>93</v>
      </c>
      <c r="K503" t="inlineStr">
        <is>
          <t>29 / 64</t>
        </is>
      </c>
      <c r="L503" t="inlineStr">
        <is>
          <t>6 / 9</t>
        </is>
      </c>
      <c r="M503" s="5" t="n">
        <v>0.31</v>
      </c>
      <c r="N503" s="5" t="n">
        <v>0.4</v>
      </c>
    </row>
    <row r="504">
      <c r="A504" t="n">
        <v>503</v>
      </c>
      <c r="B504" t="n">
        <v>2014</v>
      </c>
      <c r="C504" t="inlineStr">
        <is>
          <t>Aditri Mundhra</t>
        </is>
      </c>
      <c r="D504">
        <f>HYPERLINK("https://ota.tournamentsoftware.com/player-profile/C7A9A9F1-2DF6-42CD-AA71-F15C9BFFA6EB", "Link")</f>
        <v/>
      </c>
      <c r="E504" s="3" t="n">
        <v>82.485</v>
      </c>
      <c r="F504" s="4" t="n">
        <v>18</v>
      </c>
      <c r="G504" t="inlineStr">
        <is>
          <t>British Columbia</t>
        </is>
      </c>
      <c r="H504" t="inlineStr">
        <is>
          <t>No Club</t>
        </is>
      </c>
      <c r="I504" t="n">
        <v>36</v>
      </c>
      <c r="J504" s="4" t="n">
        <v>52</v>
      </c>
      <c r="K504" t="inlineStr">
        <is>
          <t>18 / 34</t>
        </is>
      </c>
      <c r="L504" t="inlineStr">
        <is>
          <t>14 / 21</t>
        </is>
      </c>
      <c r="M504" s="5" t="n">
        <v>0.35</v>
      </c>
      <c r="N504" s="5" t="n">
        <v>0.4</v>
      </c>
    </row>
    <row r="505">
      <c r="A505" t="n">
        <v>504</v>
      </c>
      <c r="B505" t="n">
        <v>2013</v>
      </c>
      <c r="C505" t="inlineStr">
        <is>
          <t>Emilia Sofia Urkedal</t>
        </is>
      </c>
      <c r="D505">
        <f>HYPERLINK("https://ota.tournamentsoftware.com/player-profile/381713CB-202F-43FD-B96F-4B364BE2EE52", "Link")</f>
        <v/>
      </c>
      <c r="E505" s="3" t="n">
        <v>81.57299999999999</v>
      </c>
      <c r="F505" s="4" t="n">
        <v>7</v>
      </c>
      <c r="G505" t="inlineStr">
        <is>
          <t>Ontario Tennis Association</t>
        </is>
      </c>
      <c r="H505" t="inlineStr">
        <is>
          <t>Greenhills Golf Club</t>
        </is>
      </c>
      <c r="I505" t="n">
        <v>37</v>
      </c>
      <c r="J505" s="4" t="n">
        <v>69</v>
      </c>
      <c r="K505" t="inlineStr">
        <is>
          <t>17 / 52</t>
        </is>
      </c>
      <c r="L505" t="inlineStr">
        <is>
          <t>4 / 7</t>
        </is>
      </c>
      <c r="M505" s="5" t="n">
        <v>0.25</v>
      </c>
      <c r="N505" s="5" t="n">
        <v>0.36</v>
      </c>
    </row>
    <row r="506">
      <c r="A506" t="n">
        <v>505</v>
      </c>
      <c r="B506" t="n">
        <v>2015</v>
      </c>
      <c r="C506" t="inlineStr">
        <is>
          <t>Ellieann Jean Baker</t>
        </is>
      </c>
      <c r="D506">
        <f>HYPERLINK("https://ota.tournamentsoftware.com/player-profile/059CF7FD-B4FA-4522-AF55-9B2138153D9C", "Link")</f>
        <v/>
      </c>
      <c r="E506" s="3" t="n">
        <v>81.10299999999999</v>
      </c>
      <c r="F506" s="4" t="n">
        <v>9</v>
      </c>
      <c r="G506" t="inlineStr">
        <is>
          <t>Tennis Alberta</t>
        </is>
      </c>
      <c r="H506" t="inlineStr">
        <is>
          <t>Aforza</t>
        </is>
      </c>
      <c r="I506" t="n">
        <v>36.8</v>
      </c>
      <c r="J506" s="4" t="n">
        <v>109</v>
      </c>
      <c r="K506" t="inlineStr">
        <is>
          <t>45 / 64</t>
        </is>
      </c>
      <c r="L506" t="inlineStr">
        <is>
          <t>4 / 11</t>
        </is>
      </c>
      <c r="M506" s="5" t="n">
        <v>0.41</v>
      </c>
      <c r="N506" s="5" t="n">
        <v>0.27</v>
      </c>
    </row>
    <row r="507">
      <c r="A507" t="n">
        <v>506</v>
      </c>
      <c r="B507" t="n">
        <v>2015</v>
      </c>
      <c r="C507" t="inlineStr">
        <is>
          <t>Doreen Bowen Mao</t>
        </is>
      </c>
      <c r="D507">
        <f>HYPERLINK("https://ota.tournamentsoftware.com/player-profile/24478EB2-203F-4DE3-92C9-B16D9A60F77F", "Link")</f>
        <v/>
      </c>
      <c r="E507" s="3" t="n">
        <v>80.43600000000001</v>
      </c>
      <c r="F507" s="4" t="n">
        <v>16</v>
      </c>
      <c r="G507" t="inlineStr">
        <is>
          <t>Ontario Tennis Association</t>
        </is>
      </c>
      <c r="H507" t="inlineStr">
        <is>
          <t>Joshua Creek Golf &amp; Tennis</t>
        </is>
      </c>
      <c r="I507" t="n">
        <v>37.3</v>
      </c>
      <c r="J507" s="4" t="n">
        <v>80</v>
      </c>
      <c r="K507" t="inlineStr">
        <is>
          <t>33 / 47</t>
        </is>
      </c>
      <c r="L507" t="inlineStr">
        <is>
          <t>18 / 22</t>
        </is>
      </c>
      <c r="M507" s="5" t="n">
        <v>0.41</v>
      </c>
      <c r="N507" s="5" t="n">
        <v>0.45</v>
      </c>
    </row>
    <row r="508">
      <c r="A508" t="n">
        <v>507</v>
      </c>
      <c r="B508" t="n">
        <v>2017</v>
      </c>
      <c r="C508" t="inlineStr">
        <is>
          <t>Chen Xi Zhou Kong</t>
        </is>
      </c>
      <c r="D508">
        <f>HYPERLINK("https://ota.tournamentsoftware.com/player-profile/E5CD94C9-63F9-419B-A6E9-CCB6DEF8B502", "Link")</f>
        <v/>
      </c>
      <c r="E508" s="3" t="n">
        <v>80.40000000000001</v>
      </c>
      <c r="F508" s="4" t="n">
        <v>25</v>
      </c>
      <c r="G508" t="inlineStr">
        <is>
          <t>Tennis Québec</t>
        </is>
      </c>
      <c r="H508" t="inlineStr">
        <is>
          <t>Centre récréatif de Repentigny / Académie Tennis Momentum</t>
        </is>
      </c>
      <c r="I508" t="n">
        <v>35.8</v>
      </c>
      <c r="J508" s="4" t="n">
        <v>125</v>
      </c>
      <c r="K508" t="inlineStr">
        <is>
          <t>59 / 66</t>
        </is>
      </c>
      <c r="L508" t="inlineStr">
        <is>
          <t>42 / 39</t>
        </is>
      </c>
      <c r="M508" s="5" t="n">
        <v>0.47</v>
      </c>
      <c r="N508" s="5" t="n">
        <v>0.52</v>
      </c>
    </row>
    <row r="509">
      <c r="A509" t="n">
        <v>508</v>
      </c>
      <c r="B509" t="n">
        <v>2015</v>
      </c>
      <c r="C509" t="inlineStr">
        <is>
          <t>Savannah Billings</t>
        </is>
      </c>
      <c r="D509">
        <f>HYPERLINK("https://ota.tournamentsoftware.com/player-profile/3C86C2A1-7881-4E07-A889-C842F4C67652", "Link")</f>
        <v/>
      </c>
      <c r="E509" s="3" t="n">
        <v>79.464</v>
      </c>
      <c r="F509" s="4" t="n">
        <v>5</v>
      </c>
      <c r="G509" t="inlineStr">
        <is>
          <t>Tennis Québec</t>
        </is>
      </c>
      <c r="H509" t="inlineStr">
        <is>
          <t>Club Avantage Multi-sports / Académie de tennis Hérisset Bordeleau</t>
        </is>
      </c>
      <c r="I509" t="n">
        <v>28.2</v>
      </c>
      <c r="J509" s="4" t="n">
        <v>13</v>
      </c>
      <c r="K509" t="inlineStr">
        <is>
          <t>8 / 5</t>
        </is>
      </c>
      <c r="L509" t="inlineStr">
        <is>
          <t>8 / 3</t>
        </is>
      </c>
      <c r="M509" s="5" t="n">
        <v>0.62</v>
      </c>
      <c r="N509" s="5" t="n">
        <v>0.73</v>
      </c>
    </row>
    <row r="510">
      <c r="A510" t="n">
        <v>509</v>
      </c>
      <c r="B510" t="n">
        <v>2015</v>
      </c>
      <c r="C510" t="inlineStr">
        <is>
          <t>Mia Gidaro</t>
        </is>
      </c>
      <c r="D510">
        <f>HYPERLINK("https://ota.tournamentsoftware.com/player-profile/17357D82-FEBE-483D-8054-F1F6B85AD8A5", "Link")</f>
        <v/>
      </c>
      <c r="E510" s="3" t="n">
        <v>79.46299999999999</v>
      </c>
      <c r="F510" s="4" t="n">
        <v>11</v>
      </c>
      <c r="G510" t="inlineStr">
        <is>
          <t>Ontario Tennis Association</t>
        </is>
      </c>
      <c r="H510" t="inlineStr">
        <is>
          <t>Baby Point Tennis Club</t>
        </is>
      </c>
      <c r="I510" t="n">
        <v>37.1</v>
      </c>
      <c r="J510" s="4" t="n">
        <v>61</v>
      </c>
      <c r="K510" t="inlineStr">
        <is>
          <t>24 / 37</t>
        </is>
      </c>
      <c r="L510" t="inlineStr">
        <is>
          <t>3 / 7</t>
        </is>
      </c>
      <c r="M510" s="5" t="n">
        <v>0.39</v>
      </c>
      <c r="N510" s="5" t="n">
        <v>0.3</v>
      </c>
    </row>
    <row r="511">
      <c r="A511" t="n">
        <v>510</v>
      </c>
      <c r="B511" t="n">
        <v>2014</v>
      </c>
      <c r="C511" t="inlineStr">
        <is>
          <t>Clarice de Azevedo Guedes</t>
        </is>
      </c>
      <c r="D511">
        <f>HYPERLINK("https://ota.tournamentsoftware.com/player-profile/027DF0F1-69E8-4220-8263-B26C4D1AFC70", "Link")</f>
        <v/>
      </c>
      <c r="E511" s="3" t="n">
        <v>79.407</v>
      </c>
      <c r="F511" s="4" t="n">
        <v>14</v>
      </c>
      <c r="G511" t="inlineStr">
        <is>
          <t>Tennis Québec</t>
        </is>
      </c>
      <c r="H511" t="inlineStr">
        <is>
          <t>Tennis 13</t>
        </is>
      </c>
      <c r="I511" t="inlineStr">
        <is>
          <t>unavailable</t>
        </is>
      </c>
      <c r="J511" s="4" t="n">
        <v>64</v>
      </c>
      <c r="K511" t="inlineStr">
        <is>
          <t>26 / 38</t>
        </is>
      </c>
      <c r="L511" t="inlineStr">
        <is>
          <t>12 / 12</t>
        </is>
      </c>
      <c r="M511" s="5" t="n">
        <v>0.41</v>
      </c>
      <c r="N511" s="5" t="n">
        <v>0.5</v>
      </c>
    </row>
    <row r="512">
      <c r="A512" t="n">
        <v>511</v>
      </c>
      <c r="B512" t="n">
        <v>2013</v>
      </c>
      <c r="C512" t="inlineStr">
        <is>
          <t>Mengge(Maya) Xu</t>
        </is>
      </c>
      <c r="D512">
        <f>HYPERLINK("https://ota.tournamentsoftware.com/player-profile/9CD6D408-1A72-4E0B-A9C9-DD675B785873", "Link")</f>
        <v/>
      </c>
      <c r="E512" s="3" t="n">
        <v>79.38800000000001</v>
      </c>
      <c r="F512" s="4" t="n">
        <v>8</v>
      </c>
      <c r="G512" t="inlineStr">
        <is>
          <t>Ontario Tennis Association</t>
        </is>
      </c>
      <c r="H512" t="inlineStr">
        <is>
          <t>Markham Tennis Club</t>
        </is>
      </c>
      <c r="I512" t="n">
        <v>38.7</v>
      </c>
      <c r="J512" s="4" t="n">
        <v>34</v>
      </c>
      <c r="K512" t="inlineStr">
        <is>
          <t>11 / 23</t>
        </is>
      </c>
      <c r="L512" t="inlineStr">
        <is>
          <t>6 / 11</t>
        </is>
      </c>
      <c r="M512" s="5" t="n">
        <v>0.32</v>
      </c>
      <c r="N512" s="5" t="n">
        <v>0.35</v>
      </c>
    </row>
    <row r="513">
      <c r="A513" t="n">
        <v>512</v>
      </c>
      <c r="B513" t="n">
        <v>2015</v>
      </c>
      <c r="C513" t="inlineStr">
        <is>
          <t>Abigail Csima</t>
        </is>
      </c>
      <c r="D513">
        <f>HYPERLINK("https://ota.tournamentsoftware.com/player-profile/6F3C1A53-8070-482F-B046-BE875C66F4B8", "Link")</f>
        <v/>
      </c>
      <c r="E513" s="3" t="n">
        <v>79.28700000000001</v>
      </c>
      <c r="F513" s="4" t="n">
        <v>14</v>
      </c>
      <c r="G513" t="inlineStr">
        <is>
          <t>Ontario Tennis Association</t>
        </is>
      </c>
      <c r="H513" t="inlineStr">
        <is>
          <t>Waterloo Tennis Club</t>
        </is>
      </c>
      <c r="I513" t="n">
        <v>38.5</v>
      </c>
      <c r="J513" s="4" t="n">
        <v>60</v>
      </c>
      <c r="K513" t="inlineStr">
        <is>
          <t>12 / 48</t>
        </is>
      </c>
      <c r="L513" t="inlineStr">
        <is>
          <t>3 / 14</t>
        </is>
      </c>
      <c r="M513" s="5" t="n">
        <v>0.2</v>
      </c>
      <c r="N513" s="5" t="n">
        <v>0.18</v>
      </c>
    </row>
    <row r="514">
      <c r="A514" t="n">
        <v>513</v>
      </c>
      <c r="B514" t="n">
        <v>2014</v>
      </c>
      <c r="C514" t="inlineStr">
        <is>
          <t>Shaghun Dhillon</t>
        </is>
      </c>
      <c r="D514">
        <f>HYPERLINK("https://ota.tournamentsoftware.com/player-profile/97B5DEDE-AA93-468B-902A-462AB9B42432", "Link")</f>
        <v/>
      </c>
      <c r="E514" s="3" t="n">
        <v>76.43899999999999</v>
      </c>
      <c r="F514" s="4" t="n">
        <v>13</v>
      </c>
      <c r="G514" t="inlineStr">
        <is>
          <t>Ontario Tennis Association</t>
        </is>
      </c>
      <c r="H514" t="inlineStr">
        <is>
          <t>Premier Racquet Club - Markham</t>
        </is>
      </c>
      <c r="I514" t="inlineStr">
        <is>
          <t>unavailable</t>
        </is>
      </c>
      <c r="J514" s="4" t="n">
        <v>60</v>
      </c>
      <c r="K514" t="inlineStr">
        <is>
          <t>34 / 26</t>
        </is>
      </c>
      <c r="L514" t="inlineStr">
        <is>
          <t>28 / 20</t>
        </is>
      </c>
      <c r="M514" s="5" t="n">
        <v>0.57</v>
      </c>
      <c r="N514" s="5" t="n">
        <v>0.58</v>
      </c>
    </row>
    <row r="515">
      <c r="A515" t="n">
        <v>514</v>
      </c>
      <c r="B515" t="n">
        <v>2017</v>
      </c>
      <c r="C515" t="inlineStr">
        <is>
          <t>Siena Yang-frome</t>
        </is>
      </c>
      <c r="D515">
        <f>HYPERLINK("https://ota.tournamentsoftware.com/player-profile/07E78FFD-E9BB-462A-8A5B-4456E8FEB96D", "Link")</f>
        <v/>
      </c>
      <c r="E515" s="3" t="n">
        <v>76.09399999999999</v>
      </c>
      <c r="F515" s="4" t="n">
        <v>13</v>
      </c>
      <c r="G515" t="inlineStr">
        <is>
          <t>Ontario Tennis Association</t>
        </is>
      </c>
      <c r="H515" t="inlineStr">
        <is>
          <t>Premier Racquet Clubs – Mississauga</t>
        </is>
      </c>
      <c r="I515" t="n">
        <v>36.2</v>
      </c>
      <c r="J515" s="4" t="n">
        <v>86</v>
      </c>
      <c r="K515" t="inlineStr">
        <is>
          <t>49 / 37</t>
        </is>
      </c>
      <c r="L515" t="inlineStr">
        <is>
          <t>11 / 14</t>
        </is>
      </c>
      <c r="M515" s="5" t="n">
        <v>0.57</v>
      </c>
      <c r="N515" s="5" t="n">
        <v>0.44</v>
      </c>
    </row>
    <row r="516">
      <c r="A516" t="n">
        <v>515</v>
      </c>
      <c r="B516" t="n">
        <v>2013</v>
      </c>
      <c r="C516" t="inlineStr">
        <is>
          <t>Avery Hao</t>
        </is>
      </c>
      <c r="D516">
        <f>HYPERLINK("https://ota.tournamentsoftware.com/player-profile/4D297E0A-97AD-4487-A64F-403E8B3ACA30", "Link")</f>
        <v/>
      </c>
      <c r="E516" s="3" t="n">
        <v>74.54300000000001</v>
      </c>
      <c r="F516" s="4" t="n">
        <v>3</v>
      </c>
      <c r="G516" t="inlineStr">
        <is>
          <t>Ontario Tennis Association</t>
        </is>
      </c>
      <c r="H516" t="inlineStr">
        <is>
          <t>Elmridge Tennis Club</t>
        </is>
      </c>
      <c r="I516" t="n">
        <v>39.2</v>
      </c>
      <c r="J516" s="4" t="n">
        <v>15</v>
      </c>
      <c r="K516" t="inlineStr">
        <is>
          <t>4 / 11</t>
        </is>
      </c>
      <c r="L516" t="inlineStr">
        <is>
          <t>0 / 5</t>
        </is>
      </c>
      <c r="M516" s="5" t="n">
        <v>0.27</v>
      </c>
      <c r="N516" s="5" t="n">
        <v>0</v>
      </c>
    </row>
    <row r="517">
      <c r="A517" t="n">
        <v>516</v>
      </c>
      <c r="B517" t="n">
        <v>2014</v>
      </c>
      <c r="C517" t="inlineStr">
        <is>
          <t>Ava Amiripour</t>
        </is>
      </c>
      <c r="D517">
        <f>HYPERLINK("https://ota.tournamentsoftware.com/player-profile/C08AB363-A302-4023-8D6D-B732D837DADF", "Link")</f>
        <v/>
      </c>
      <c r="E517" s="3" t="n">
        <v>74.288</v>
      </c>
      <c r="F517" s="4" t="n">
        <v>4</v>
      </c>
      <c r="G517" t="inlineStr">
        <is>
          <t>Ontario Tennis Association</t>
        </is>
      </c>
      <c r="H517" t="inlineStr">
        <is>
          <t>No Club</t>
        </is>
      </c>
      <c r="I517" t="n">
        <v>37.7</v>
      </c>
      <c r="J517" s="4" t="n">
        <v>7</v>
      </c>
      <c r="K517" t="inlineStr">
        <is>
          <t>1 / 6</t>
        </is>
      </c>
      <c r="L517" t="inlineStr">
        <is>
          <t>1 / 5</t>
        </is>
      </c>
      <c r="M517" s="5" t="n">
        <v>0.14</v>
      </c>
      <c r="N517" s="5" t="n">
        <v>0.17</v>
      </c>
    </row>
    <row r="518">
      <c r="A518" t="n">
        <v>517</v>
      </c>
      <c r="B518" t="n">
        <v>2015</v>
      </c>
      <c r="C518" t="inlineStr">
        <is>
          <t>Cara Tereza Nyakahuma</t>
        </is>
      </c>
      <c r="D518">
        <f>HYPERLINK("https://ota.tournamentsoftware.com/player-profile/AFC2100D-E6CB-4B13-AD01-0EBC56083397", "Link")</f>
        <v/>
      </c>
      <c r="E518" s="3" t="n">
        <v>74.08</v>
      </c>
      <c r="F518" s="4" t="n">
        <v>7</v>
      </c>
      <c r="G518" t="inlineStr">
        <is>
          <t>Ontario Tennis Association</t>
        </is>
      </c>
      <c r="H518" t="inlineStr">
        <is>
          <t>Intercounty Tennis Association</t>
        </is>
      </c>
      <c r="I518" t="inlineStr">
        <is>
          <t>unavailable</t>
        </is>
      </c>
      <c r="J518" s="4" t="n">
        <v>143</v>
      </c>
      <c r="K518" t="inlineStr">
        <is>
          <t>90 / 53</t>
        </is>
      </c>
      <c r="L518" t="inlineStr">
        <is>
          <t>7 / 4</t>
        </is>
      </c>
      <c r="M518" s="5" t="n">
        <v>0.63</v>
      </c>
      <c r="N518" s="5" t="n">
        <v>0.64</v>
      </c>
    </row>
    <row r="519">
      <c r="A519" t="n">
        <v>518</v>
      </c>
      <c r="B519" t="n">
        <v>2013</v>
      </c>
      <c r="C519" t="inlineStr">
        <is>
          <t>Lolia Abdrabou</t>
        </is>
      </c>
      <c r="D519">
        <f>HYPERLINK("https://ota.tournamentsoftware.com/player-profile/02101E1E-CCDA-437A-A3E7-8CBDBA76F674", "Link")</f>
        <v/>
      </c>
      <c r="E519" s="3" t="n">
        <v>72.959</v>
      </c>
      <c r="F519" s="4" t="n">
        <v>4</v>
      </c>
      <c r="G519" t="inlineStr">
        <is>
          <t>Tennis Nova Scotia</t>
        </is>
      </c>
      <c r="H519" t="inlineStr">
        <is>
          <t>HEADSTART</t>
        </is>
      </c>
      <c r="I519" t="n">
        <v>35.6</v>
      </c>
      <c r="J519" s="4" t="n">
        <v>22</v>
      </c>
      <c r="K519" t="inlineStr">
        <is>
          <t>13 / 9</t>
        </is>
      </c>
      <c r="L519" t="inlineStr">
        <is>
          <t>2 / 4</t>
        </is>
      </c>
      <c r="M519" s="5" t="n">
        <v>0.59</v>
      </c>
      <c r="N519" s="5" t="n">
        <v>0.33</v>
      </c>
    </row>
    <row r="520">
      <c r="A520" t="n">
        <v>519</v>
      </c>
      <c r="B520" t="n">
        <v>2013</v>
      </c>
      <c r="C520" t="inlineStr">
        <is>
          <t>Emma Victoria Chan</t>
        </is>
      </c>
      <c r="D520">
        <f>HYPERLINK("https://ota.tournamentsoftware.com/player-profile/29822B25-6004-4E31-822F-CF8FF1CD9AB7", "Link")</f>
        <v/>
      </c>
      <c r="E520" s="3" t="n">
        <v>71.83199999999999</v>
      </c>
      <c r="F520" s="4" t="n">
        <v>7</v>
      </c>
      <c r="G520" t="inlineStr">
        <is>
          <t>Ontario Tennis Association</t>
        </is>
      </c>
      <c r="H520" t="inlineStr">
        <is>
          <t>Joshua Creek Golf &amp; Tennis</t>
        </is>
      </c>
      <c r="I520" t="n">
        <v>36.5</v>
      </c>
      <c r="J520" s="4" t="n">
        <v>64</v>
      </c>
      <c r="K520" t="inlineStr">
        <is>
          <t>40 / 24</t>
        </is>
      </c>
      <c r="L520" t="inlineStr">
        <is>
          <t>12 / 4</t>
        </is>
      </c>
      <c r="M520" s="5" t="n">
        <v>0.62</v>
      </c>
      <c r="N520" s="5" t="n">
        <v>0.75</v>
      </c>
    </row>
    <row r="521">
      <c r="A521" t="n">
        <v>520</v>
      </c>
      <c r="B521" t="n">
        <v>2015</v>
      </c>
      <c r="C521" t="inlineStr">
        <is>
          <t>Ella Bloom Chulak</t>
        </is>
      </c>
      <c r="D521">
        <f>HYPERLINK("https://ota.tournamentsoftware.com/player-profile/3DBBE08D-DBAA-43E3-BCD3-2820667C7A24", "Link")</f>
        <v/>
      </c>
      <c r="E521" s="3" t="n">
        <v>71.8</v>
      </c>
      <c r="F521" s="4" t="n">
        <v>13</v>
      </c>
      <c r="G521" t="inlineStr">
        <is>
          <t>Ontario Tennis Association</t>
        </is>
      </c>
      <c r="H521" t="inlineStr">
        <is>
          <t>Richmondhill Golf &amp; Country Club</t>
        </is>
      </c>
      <c r="I521" t="n">
        <v>35.8</v>
      </c>
      <c r="J521" s="4" t="n">
        <v>89</v>
      </c>
      <c r="K521" t="inlineStr">
        <is>
          <t>36 / 53</t>
        </is>
      </c>
      <c r="L521" t="inlineStr">
        <is>
          <t>12 / 11</t>
        </is>
      </c>
      <c r="M521" s="5" t="n">
        <v>0.4</v>
      </c>
      <c r="N521" s="5" t="n">
        <v>0.52</v>
      </c>
    </row>
    <row r="522">
      <c r="A522" t="n">
        <v>521</v>
      </c>
      <c r="B522" t="n">
        <v>2016</v>
      </c>
      <c r="C522" t="inlineStr">
        <is>
          <t>Anne Cherednychenko</t>
        </is>
      </c>
      <c r="D522">
        <f>HYPERLINK("https://ota.tournamentsoftware.com/player-profile/8FB2FF81-D0FE-4491-B99E-18BAAFE1E3CD", "Link")</f>
        <v/>
      </c>
      <c r="E522" s="3" t="n">
        <v>71.066</v>
      </c>
      <c r="F522" s="4" t="n">
        <v>10</v>
      </c>
      <c r="G522" t="inlineStr">
        <is>
          <t>Tennis Québec</t>
        </is>
      </c>
      <c r="H522" t="inlineStr">
        <is>
          <t>No Club</t>
        </is>
      </c>
      <c r="I522" t="n">
        <v>35</v>
      </c>
      <c r="J522" s="4" t="n">
        <v>66</v>
      </c>
      <c r="K522" t="inlineStr">
        <is>
          <t>40 / 26</t>
        </is>
      </c>
      <c r="L522" t="inlineStr">
        <is>
          <t>16 / 12</t>
        </is>
      </c>
      <c r="M522" s="5" t="n">
        <v>0.61</v>
      </c>
      <c r="N522" s="5" t="n">
        <v>0.57</v>
      </c>
    </row>
    <row r="523">
      <c r="A523" t="n">
        <v>522</v>
      </c>
      <c r="B523" t="n">
        <v>2016</v>
      </c>
      <c r="C523" t="inlineStr">
        <is>
          <t>Grace SHI</t>
        </is>
      </c>
      <c r="D523">
        <f>HYPERLINK("https://ota.tournamentsoftware.com/player-profile/71A1D6E1-33D1-46A0-AF21-F397AE1BA314", "Link")</f>
        <v/>
      </c>
      <c r="E523" s="3" t="n">
        <v>70.416</v>
      </c>
      <c r="F523" s="4" t="n">
        <v>10</v>
      </c>
      <c r="G523" t="inlineStr">
        <is>
          <t>British Columbia</t>
        </is>
      </c>
      <c r="H523" t="inlineStr">
        <is>
          <t>No Club</t>
        </is>
      </c>
      <c r="I523" t="n">
        <v>38.5</v>
      </c>
      <c r="J523" s="4" t="n">
        <v>48</v>
      </c>
      <c r="K523" t="inlineStr">
        <is>
          <t>16 / 32</t>
        </is>
      </c>
      <c r="L523" t="inlineStr">
        <is>
          <t>9 / 13</t>
        </is>
      </c>
      <c r="M523" s="5" t="n">
        <v>0.33</v>
      </c>
      <c r="N523" s="5" t="n">
        <v>0.41</v>
      </c>
    </row>
    <row r="524">
      <c r="A524" t="n">
        <v>523</v>
      </c>
      <c r="B524" t="n">
        <v>2015</v>
      </c>
      <c r="C524" t="inlineStr">
        <is>
          <t>Myra Shukla</t>
        </is>
      </c>
      <c r="D524">
        <f>HYPERLINK("https://ota.tournamentsoftware.com/player-profile/2F4B1A1D-35AC-45A0-9F5D-6D5533376D9A", "Link")</f>
        <v/>
      </c>
      <c r="E524" s="3" t="n">
        <v>70.126</v>
      </c>
      <c r="F524" s="4" t="n">
        <v>8</v>
      </c>
      <c r="G524" t="inlineStr">
        <is>
          <t>Ontario Tennis Association</t>
        </is>
      </c>
      <c r="H524" t="inlineStr">
        <is>
          <t>Veneto Tennis Club</t>
        </is>
      </c>
      <c r="I524" t="n">
        <v>38.1</v>
      </c>
      <c r="J524" s="4" t="n">
        <v>83</v>
      </c>
      <c r="K524" t="inlineStr">
        <is>
          <t>34 / 49</t>
        </is>
      </c>
      <c r="L524" t="inlineStr">
        <is>
          <t>1 / 6</t>
        </is>
      </c>
      <c r="M524" s="5" t="n">
        <v>0.41</v>
      </c>
      <c r="N524" s="5" t="n">
        <v>0.14</v>
      </c>
    </row>
    <row r="525">
      <c r="A525" t="n">
        <v>524</v>
      </c>
      <c r="B525" t="n">
        <v>2013</v>
      </c>
      <c r="C525" t="inlineStr">
        <is>
          <t>Lydia Squires-Sturge</t>
        </is>
      </c>
      <c r="D525">
        <f>HYPERLINK("https://ota.tournamentsoftware.com/player-profile/AD6D5BEF-6293-4DE8-BF13-52E1A33EF28B", "Link")</f>
        <v/>
      </c>
      <c r="E525" s="3" t="n">
        <v>69.855</v>
      </c>
      <c r="F525" s="4" t="n">
        <v>5</v>
      </c>
      <c r="G525" t="inlineStr">
        <is>
          <t>Tennis Newfoundland &amp; Labrador</t>
        </is>
      </c>
      <c r="H525" t="inlineStr">
        <is>
          <t>Mount Pearl Tennis Club</t>
        </is>
      </c>
      <c r="I525" t="inlineStr">
        <is>
          <t>unavailable</t>
        </is>
      </c>
      <c r="J525" s="4" t="n">
        <v>25</v>
      </c>
      <c r="K525" t="inlineStr">
        <is>
          <t>8 / 17</t>
        </is>
      </c>
      <c r="L525" t="inlineStr">
        <is>
          <t>1 / 5</t>
        </is>
      </c>
      <c r="M525" s="5" t="n">
        <v>0.32</v>
      </c>
      <c r="N525" s="5" t="n">
        <v>0.17</v>
      </c>
    </row>
    <row r="526">
      <c r="A526" t="n">
        <v>525</v>
      </c>
      <c r="B526" t="n">
        <v>2013</v>
      </c>
      <c r="C526" t="inlineStr">
        <is>
          <t>Lilya Youssef</t>
        </is>
      </c>
      <c r="D526">
        <f>HYPERLINK("https://ota.tournamentsoftware.com/player-profile/E4A52F0A-7400-4236-ACEF-6680D7FB1262", "Link")</f>
        <v/>
      </c>
      <c r="E526" s="3" t="n">
        <v>69.61</v>
      </c>
      <c r="F526" s="4" t="n">
        <v>3</v>
      </c>
      <c r="G526" t="inlineStr">
        <is>
          <t>Tennis Québec</t>
        </is>
      </c>
      <c r="H526" t="inlineStr">
        <is>
          <t>Tennis 13</t>
        </is>
      </c>
      <c r="I526" t="inlineStr">
        <is>
          <t>unavailable</t>
        </is>
      </c>
      <c r="J526" s="4" t="n">
        <v>10</v>
      </c>
      <c r="K526" t="inlineStr">
        <is>
          <t>5 / 5</t>
        </is>
      </c>
      <c r="L526" t="inlineStr">
        <is>
          <t>5 / 5</t>
        </is>
      </c>
      <c r="M526" s="5" t="n">
        <v>0.5</v>
      </c>
      <c r="N526" s="5" t="n">
        <v>0.5</v>
      </c>
    </row>
    <row r="527">
      <c r="A527" t="n">
        <v>526</v>
      </c>
      <c r="B527" t="n">
        <v>2015</v>
      </c>
      <c r="C527" t="inlineStr">
        <is>
          <t>Mataya Victoria Jan</t>
        </is>
      </c>
      <c r="D527">
        <f>HYPERLINK("https://ota.tournamentsoftware.com/player-profile/52A288CA-2524-4398-A498-9546CE531A78", "Link")</f>
        <v/>
      </c>
      <c r="E527" s="3" t="n">
        <v>69.43600000000001</v>
      </c>
      <c r="F527" s="4" t="n">
        <v>10</v>
      </c>
      <c r="G527" t="inlineStr">
        <is>
          <t>Ontario Tennis Association</t>
        </is>
      </c>
      <c r="H527" t="inlineStr">
        <is>
          <t>Tennis Centre West Ottawa</t>
        </is>
      </c>
      <c r="I527" t="n">
        <v>38</v>
      </c>
      <c r="J527" s="4" t="n">
        <v>17</v>
      </c>
      <c r="K527" t="inlineStr">
        <is>
          <t>1 / 16</t>
        </is>
      </c>
      <c r="L527" t="inlineStr">
        <is>
          <t>1 / 11</t>
        </is>
      </c>
      <c r="M527" s="5" t="n">
        <v>0.06</v>
      </c>
      <c r="N527" s="5" t="n">
        <v>0.08</v>
      </c>
    </row>
    <row r="528">
      <c r="A528" t="n">
        <v>527</v>
      </c>
      <c r="B528" t="n">
        <v>2015</v>
      </c>
      <c r="C528" t="inlineStr">
        <is>
          <t>Emilia Ho</t>
        </is>
      </c>
      <c r="D528">
        <f>HYPERLINK("https://ota.tournamentsoftware.com/player-profile/91D4EC27-5C11-4119-B45C-F3809BFF1CF1", "Link")</f>
        <v/>
      </c>
      <c r="E528" s="3" t="n">
        <v>69.21299999999999</v>
      </c>
      <c r="F528" s="4" t="n">
        <v>17</v>
      </c>
      <c r="G528" t="inlineStr">
        <is>
          <t>Tennis Alberta</t>
        </is>
      </c>
      <c r="H528" t="inlineStr">
        <is>
          <t>Osten &amp; Victor Alberta Tennis Centre</t>
        </is>
      </c>
      <c r="I528" t="n">
        <v>34.3</v>
      </c>
      <c r="J528" s="4" t="n">
        <v>138</v>
      </c>
      <c r="K528" t="inlineStr">
        <is>
          <t>73 / 65</t>
        </is>
      </c>
      <c r="L528" t="inlineStr">
        <is>
          <t>19 / 17</t>
        </is>
      </c>
      <c r="M528" s="5" t="n">
        <v>0.53</v>
      </c>
      <c r="N528" s="5" t="n">
        <v>0.53</v>
      </c>
    </row>
    <row r="529">
      <c r="A529" t="n">
        <v>528</v>
      </c>
      <c r="B529" t="n">
        <v>2014</v>
      </c>
      <c r="C529" t="inlineStr">
        <is>
          <t>Alexis Sokol</t>
        </is>
      </c>
      <c r="D529">
        <f>HYPERLINK("https://ota.tournamentsoftware.com/player-profile/8337D953-FBB9-45F2-B72A-FF18B572FA6A", "Link")</f>
        <v/>
      </c>
      <c r="E529" s="3" t="n">
        <v>68.806</v>
      </c>
      <c r="F529" s="4" t="n">
        <v>9</v>
      </c>
      <c r="G529" t="inlineStr">
        <is>
          <t>Tennis Alberta</t>
        </is>
      </c>
      <c r="H529" t="inlineStr">
        <is>
          <t>Saville Community Sports Centre</t>
        </is>
      </c>
      <c r="I529" t="n">
        <v>36.5</v>
      </c>
      <c r="J529" s="4" t="n">
        <v>21</v>
      </c>
      <c r="K529" t="inlineStr">
        <is>
          <t>8 / 13</t>
        </is>
      </c>
      <c r="L529" t="inlineStr">
        <is>
          <t>6 / 9</t>
        </is>
      </c>
      <c r="M529" s="5" t="n">
        <v>0.38</v>
      </c>
      <c r="N529" s="5" t="n">
        <v>0.4</v>
      </c>
    </row>
    <row r="530">
      <c r="A530" t="n">
        <v>529</v>
      </c>
      <c r="B530" t="n">
        <v>2014</v>
      </c>
      <c r="C530" t="inlineStr">
        <is>
          <t>Kaitlynn Xie</t>
        </is>
      </c>
      <c r="D530">
        <f>HYPERLINK("https://ota.tournamentsoftware.com/player-profile/25655CF4-99DC-4E1E-BE40-C11FF6785117", "Link")</f>
        <v/>
      </c>
      <c r="E530" s="3" t="n">
        <v>68.715</v>
      </c>
      <c r="F530" s="4" t="n">
        <v>8</v>
      </c>
      <c r="G530" t="inlineStr">
        <is>
          <t>Tennis Alberta</t>
        </is>
      </c>
      <c r="H530" t="inlineStr">
        <is>
          <t>Saville Community Sports Centre</t>
        </is>
      </c>
      <c r="I530" t="n">
        <v>34.2</v>
      </c>
      <c r="J530" s="4" t="n">
        <v>57</v>
      </c>
      <c r="K530" t="inlineStr">
        <is>
          <t>19 / 38</t>
        </is>
      </c>
      <c r="L530" t="inlineStr">
        <is>
          <t>7 / 12</t>
        </is>
      </c>
      <c r="M530" s="5" t="n">
        <v>0.33</v>
      </c>
      <c r="N530" s="5" t="n">
        <v>0.37</v>
      </c>
    </row>
    <row r="531">
      <c r="A531" t="n">
        <v>530</v>
      </c>
      <c r="B531" t="n">
        <v>2014</v>
      </c>
      <c r="C531" t="inlineStr">
        <is>
          <t>Hui-Xin Chen</t>
        </is>
      </c>
      <c r="D531">
        <f>HYPERLINK("https://ota.tournamentsoftware.com/player-profile/755E1358-E624-498A-A129-DA058D259A1E", "Link")</f>
        <v/>
      </c>
      <c r="E531" s="3" t="n">
        <v>67.884</v>
      </c>
      <c r="F531" s="4" t="n">
        <v>12</v>
      </c>
      <c r="G531" t="inlineStr">
        <is>
          <t>British Columbia</t>
        </is>
      </c>
      <c r="H531" t="inlineStr">
        <is>
          <t>No Club</t>
        </is>
      </c>
      <c r="I531" t="inlineStr">
        <is>
          <t>unavailable</t>
        </is>
      </c>
      <c r="J531" s="4" t="n">
        <v>108</v>
      </c>
      <c r="K531" t="inlineStr">
        <is>
          <t>37 / 71</t>
        </is>
      </c>
      <c r="L531" t="inlineStr">
        <is>
          <t>14 / 14</t>
        </is>
      </c>
      <c r="M531" s="5" t="n">
        <v>0.34</v>
      </c>
      <c r="N531" s="5" t="n">
        <v>0.5</v>
      </c>
    </row>
    <row r="532">
      <c r="A532" t="n">
        <v>531</v>
      </c>
      <c r="B532" t="n">
        <v>2014</v>
      </c>
      <c r="C532" t="inlineStr">
        <is>
          <t>Melissa Elena Rusu</t>
        </is>
      </c>
      <c r="D532">
        <f>HYPERLINK("https://ota.tournamentsoftware.com/player-profile/9F55033D-1DF5-465D-A3A2-401E58DF9FEB", "Link")</f>
        <v/>
      </c>
      <c r="E532" s="3" t="n">
        <v>67.018</v>
      </c>
      <c r="F532" s="4" t="n">
        <v>17</v>
      </c>
      <c r="G532" t="inlineStr">
        <is>
          <t>Tennis Québec</t>
        </is>
      </c>
      <c r="H532" t="inlineStr">
        <is>
          <t>Carrefour Multisports - Haute Performance</t>
        </is>
      </c>
      <c r="I532" t="n">
        <v>37.5</v>
      </c>
      <c r="J532" s="4" t="n">
        <v>58</v>
      </c>
      <c r="K532" t="inlineStr">
        <is>
          <t>19 / 39</t>
        </is>
      </c>
      <c r="L532" t="inlineStr">
        <is>
          <t>4 / 16</t>
        </is>
      </c>
      <c r="M532" s="5" t="n">
        <v>0.33</v>
      </c>
      <c r="N532" s="5" t="n">
        <v>0.2</v>
      </c>
    </row>
    <row r="533">
      <c r="A533" t="n">
        <v>532</v>
      </c>
      <c r="B533" t="n">
        <v>2014</v>
      </c>
      <c r="C533" t="inlineStr">
        <is>
          <t>Mioara Oulima Bouyela</t>
        </is>
      </c>
      <c r="D533">
        <f>HYPERLINK("https://ota.tournamentsoftware.com/player-profile/44DDF62F-2675-4E36-B215-8515347ABD9E", "Link")</f>
        <v/>
      </c>
      <c r="E533" s="3" t="n">
        <v>66.925</v>
      </c>
      <c r="F533" s="4" t="n">
        <v>11</v>
      </c>
      <c r="G533" t="inlineStr">
        <is>
          <t>Tennis Québec</t>
        </is>
      </c>
      <c r="H533" t="inlineStr">
        <is>
          <t>Tennis 13</t>
        </is>
      </c>
      <c r="I533" t="n">
        <v>38</v>
      </c>
      <c r="J533" s="4" t="n">
        <v>81</v>
      </c>
      <c r="K533" t="inlineStr">
        <is>
          <t>33 / 48</t>
        </is>
      </c>
      <c r="L533" t="inlineStr">
        <is>
          <t>9 / 12</t>
        </is>
      </c>
      <c r="M533" s="5" t="n">
        <v>0.41</v>
      </c>
      <c r="N533" s="5" t="n">
        <v>0.43</v>
      </c>
    </row>
    <row r="534">
      <c r="A534" t="n">
        <v>533</v>
      </c>
      <c r="B534" t="n">
        <v>2012</v>
      </c>
      <c r="C534" t="inlineStr">
        <is>
          <t>Daisy Brown</t>
        </is>
      </c>
      <c r="D534">
        <f>HYPERLINK("https://ota.tournamentsoftware.com/player-profile/9CF1A8A4-6BA5-46C8-92F4-3E802A738811", "Link")</f>
        <v/>
      </c>
      <c r="E534" s="3" t="n">
        <v>66.79900000000001</v>
      </c>
      <c r="F534" s="4" t="n">
        <v>5</v>
      </c>
      <c r="G534" t="inlineStr">
        <is>
          <t>British Columbia</t>
        </is>
      </c>
      <c r="H534" t="inlineStr">
        <is>
          <t>Oak Bay Recreation Centre</t>
        </is>
      </c>
      <c r="I534" t="n">
        <v>35.7</v>
      </c>
      <c r="J534" s="4" t="n">
        <v>62</v>
      </c>
      <c r="K534" t="inlineStr">
        <is>
          <t>34 / 28</t>
        </is>
      </c>
      <c r="L534" t="inlineStr">
        <is>
          <t>4 / 6</t>
        </is>
      </c>
      <c r="M534" s="5" t="n">
        <v>0.55</v>
      </c>
      <c r="N534" s="5" t="n">
        <v>0.4</v>
      </c>
    </row>
    <row r="535">
      <c r="A535" t="n">
        <v>534</v>
      </c>
      <c r="B535" t="n">
        <v>2014</v>
      </c>
      <c r="C535" t="inlineStr">
        <is>
          <t>Gabriella Geronimo</t>
        </is>
      </c>
      <c r="D535">
        <f>HYPERLINK("https://ota.tournamentsoftware.com/player-profile/E075895A-C22F-4FDB-9A95-CCD353169906", "Link")</f>
        <v/>
      </c>
      <c r="E535" s="3" t="n">
        <v>66.63200000000001</v>
      </c>
      <c r="F535" s="4" t="n">
        <v>5</v>
      </c>
      <c r="G535" t="inlineStr">
        <is>
          <t>Ontario Tennis Association</t>
        </is>
      </c>
      <c r="H535" t="inlineStr">
        <is>
          <t>Albion Gardens Tennis Club</t>
        </is>
      </c>
      <c r="I535" t="n">
        <v>34</v>
      </c>
      <c r="J535" s="4" t="n">
        <v>201</v>
      </c>
      <c r="K535" t="inlineStr">
        <is>
          <t>113 / 88</t>
        </is>
      </c>
      <c r="L535" t="inlineStr">
        <is>
          <t>5 / 2</t>
        </is>
      </c>
      <c r="M535" s="5" t="n">
        <v>0.5600000000000001</v>
      </c>
      <c r="N535" s="5" t="n">
        <v>0.71</v>
      </c>
    </row>
    <row r="536">
      <c r="A536" t="n">
        <v>535</v>
      </c>
      <c r="B536" t="n">
        <v>2013</v>
      </c>
      <c r="C536" t="inlineStr">
        <is>
          <t>Camélia Duong</t>
        </is>
      </c>
      <c r="D536">
        <f>HYPERLINK("https://ota.tournamentsoftware.com/player-profile/86B52BC3-1BF6-4334-8E35-8F6D2AF1C95B", "Link")</f>
        <v/>
      </c>
      <c r="E536" s="3" t="n">
        <v>66.614</v>
      </c>
      <c r="F536" s="4" t="n">
        <v>10</v>
      </c>
      <c r="G536" t="inlineStr">
        <is>
          <t>Tennis Québec</t>
        </is>
      </c>
      <c r="H536" t="inlineStr">
        <is>
          <t>Tennis Ile- des- Soeurs</t>
        </is>
      </c>
      <c r="I536" t="n">
        <v>36.9</v>
      </c>
      <c r="J536" s="4" t="n">
        <v>67</v>
      </c>
      <c r="K536" t="inlineStr">
        <is>
          <t>12 / 55</t>
        </is>
      </c>
      <c r="L536" t="inlineStr">
        <is>
          <t>4 / 8</t>
        </is>
      </c>
      <c r="M536" s="5" t="n">
        <v>0.18</v>
      </c>
      <c r="N536" s="5" t="n">
        <v>0.33</v>
      </c>
    </row>
    <row r="537">
      <c r="A537" t="n">
        <v>536</v>
      </c>
      <c r="B537" t="n">
        <v>2016</v>
      </c>
      <c r="C537" t="inlineStr">
        <is>
          <t>Lily Chen</t>
        </is>
      </c>
      <c r="D537">
        <f>HYPERLINK("https://ota.tournamentsoftware.com/player-profile/A6A0EB19-7DDD-4B25-B81C-FCA911081AB5", "Link")</f>
        <v/>
      </c>
      <c r="E537" s="3" t="n">
        <v>66.55200000000001</v>
      </c>
      <c r="F537" s="4" t="n">
        <v>18</v>
      </c>
      <c r="G537" t="inlineStr">
        <is>
          <t>British Columbia</t>
        </is>
      </c>
      <c r="H537" t="inlineStr">
        <is>
          <t>No Club</t>
        </is>
      </c>
      <c r="I537" t="n">
        <v>35.2</v>
      </c>
      <c r="J537" s="4" t="n">
        <v>111</v>
      </c>
      <c r="K537" t="inlineStr">
        <is>
          <t>42 / 69</t>
        </is>
      </c>
      <c r="L537" t="inlineStr">
        <is>
          <t>15 / 26</t>
        </is>
      </c>
      <c r="M537" s="5" t="n">
        <v>0.38</v>
      </c>
      <c r="N537" s="5" t="n">
        <v>0.37</v>
      </c>
    </row>
    <row r="538">
      <c r="A538" t="n">
        <v>537</v>
      </c>
      <c r="B538" t="n">
        <v>2015</v>
      </c>
      <c r="C538" t="inlineStr">
        <is>
          <t>Brielle Ramirez Balos</t>
        </is>
      </c>
      <c r="D538">
        <f>HYPERLINK("https://ota.tournamentsoftware.com/player-profile/2F36BC35-A108-44F9-B705-6F2246749033", "Link")</f>
        <v/>
      </c>
      <c r="E538" s="3" t="n">
        <v>66.29000000000001</v>
      </c>
      <c r="F538" s="4" t="n">
        <v>9</v>
      </c>
      <c r="G538" t="inlineStr">
        <is>
          <t>Tennis Alberta</t>
        </is>
      </c>
      <c r="H538" t="inlineStr">
        <is>
          <t>Saville Community Sports Centre</t>
        </is>
      </c>
      <c r="I538" t="inlineStr">
        <is>
          <t>unavailable</t>
        </is>
      </c>
      <c r="J538" s="4" t="n">
        <v>65</v>
      </c>
      <c r="K538" t="inlineStr">
        <is>
          <t>37 / 28</t>
        </is>
      </c>
      <c r="L538" t="inlineStr">
        <is>
          <t>15 / 9</t>
        </is>
      </c>
      <c r="M538" s="5" t="n">
        <v>0.57</v>
      </c>
      <c r="N538" s="5" t="n">
        <v>0.62</v>
      </c>
    </row>
    <row r="539">
      <c r="A539" t="n">
        <v>538</v>
      </c>
      <c r="B539" t="n">
        <v>2014</v>
      </c>
      <c r="C539" t="inlineStr">
        <is>
          <t>Sareen Kaur Hehar</t>
        </is>
      </c>
      <c r="D539">
        <f>HYPERLINK("https://ota.tournamentsoftware.com/player-profile/07D185FB-AE5B-444B-BAE8-058B536108E2", "Link")</f>
        <v/>
      </c>
      <c r="E539" s="3" t="n">
        <v>66.22499999999999</v>
      </c>
      <c r="F539" s="4" t="n">
        <v>12</v>
      </c>
      <c r="G539" t="inlineStr">
        <is>
          <t>British Columbia</t>
        </is>
      </c>
      <c r="H539" t="inlineStr">
        <is>
          <t>No Club</t>
        </is>
      </c>
      <c r="I539" t="n">
        <v>35.7</v>
      </c>
      <c r="J539" s="4" t="n">
        <v>197</v>
      </c>
      <c r="K539" t="inlineStr">
        <is>
          <t>75 / 122</t>
        </is>
      </c>
      <c r="L539" t="inlineStr">
        <is>
          <t>5 / 10</t>
        </is>
      </c>
      <c r="M539" s="5" t="n">
        <v>0.38</v>
      </c>
      <c r="N539" s="5" t="n">
        <v>0.33</v>
      </c>
    </row>
    <row r="540">
      <c r="A540" t="n">
        <v>539</v>
      </c>
      <c r="B540" t="n">
        <v>2016</v>
      </c>
      <c r="C540" t="inlineStr">
        <is>
          <t>Evelyn May</t>
        </is>
      </c>
      <c r="D540">
        <f>HYPERLINK("https://ota.tournamentsoftware.com/player-profile/ABFB9C06-ABE9-4B21-BF57-67179CC1CD5D", "Link")</f>
        <v/>
      </c>
      <c r="E540" s="3" t="n">
        <v>65.914</v>
      </c>
      <c r="F540" s="4" t="n">
        <v>13</v>
      </c>
      <c r="G540" t="inlineStr">
        <is>
          <t>Tennis Québec</t>
        </is>
      </c>
      <c r="H540" t="inlineStr">
        <is>
          <t>Tennis 13 / Académie Ménard et associé</t>
        </is>
      </c>
      <c r="I540" t="n">
        <v>33.6</v>
      </c>
      <c r="J540" s="4" t="n">
        <v>182</v>
      </c>
      <c r="K540" t="inlineStr">
        <is>
          <t>112 / 70</t>
        </is>
      </c>
      <c r="L540" t="inlineStr">
        <is>
          <t>15 / 14</t>
        </is>
      </c>
      <c r="M540" s="5" t="n">
        <v>0.62</v>
      </c>
      <c r="N540" s="5" t="n">
        <v>0.52</v>
      </c>
    </row>
    <row r="541">
      <c r="A541" t="n">
        <v>540</v>
      </c>
      <c r="B541" t="n">
        <v>2012</v>
      </c>
      <c r="C541" t="inlineStr">
        <is>
          <t>Diya Anand</t>
        </is>
      </c>
      <c r="D541">
        <f>HYPERLINK("https://ota.tournamentsoftware.com/player-profile/3939C1EF-E95B-4DD4-9208-81F6E4D5387F", "Link")</f>
        <v/>
      </c>
      <c r="E541" s="3" t="n">
        <v>65.70999999999999</v>
      </c>
      <c r="F541" s="4" t="n">
        <v>5</v>
      </c>
      <c r="G541" t="inlineStr">
        <is>
          <t>Ontario Tennis Association</t>
        </is>
      </c>
      <c r="H541" t="inlineStr">
        <is>
          <t>Rosedale Tennis Club (Hamilton)</t>
        </is>
      </c>
      <c r="I541" t="inlineStr">
        <is>
          <t>unavailable</t>
        </is>
      </c>
      <c r="J541" s="4" t="n">
        <v>20</v>
      </c>
      <c r="K541" t="inlineStr">
        <is>
          <t>4 / 16</t>
        </is>
      </c>
      <c r="L541" t="inlineStr">
        <is>
          <t>1 / 6</t>
        </is>
      </c>
      <c r="M541" s="5" t="n">
        <v>0.2</v>
      </c>
      <c r="N541" s="5" t="n">
        <v>0.14</v>
      </c>
    </row>
    <row r="542">
      <c r="A542" t="n">
        <v>541</v>
      </c>
      <c r="B542" t="n">
        <v>2014</v>
      </c>
      <c r="C542" t="inlineStr">
        <is>
          <t>Victoria Guiral</t>
        </is>
      </c>
      <c r="D542">
        <f>HYPERLINK("https://ota.tournamentsoftware.com/player-profile/1DC3BD6C-A3EA-46CB-A6B3-CB5D3D2F1E7D", "Link")</f>
        <v/>
      </c>
      <c r="E542" s="3" t="n">
        <v>65.601</v>
      </c>
      <c r="F542" s="4" t="n">
        <v>6</v>
      </c>
      <c r="G542" t="inlineStr">
        <is>
          <t>Tennis Québec</t>
        </is>
      </c>
      <c r="H542" t="inlineStr">
        <is>
          <t>Tennis Interclub Piedmont</t>
        </is>
      </c>
      <c r="I542" t="n">
        <v>38.7</v>
      </c>
      <c r="J542" s="4" t="n">
        <v>22</v>
      </c>
      <c r="K542" t="inlineStr">
        <is>
          <t>6 / 16</t>
        </is>
      </c>
      <c r="L542" t="inlineStr">
        <is>
          <t>1 / 9</t>
        </is>
      </c>
      <c r="M542" s="5" t="n">
        <v>0.27</v>
      </c>
      <c r="N542" s="5" t="n">
        <v>0.1</v>
      </c>
    </row>
    <row r="543">
      <c r="A543" t="n">
        <v>542</v>
      </c>
      <c r="B543" t="n">
        <v>2013</v>
      </c>
      <c r="C543" t="inlineStr">
        <is>
          <t>Robyn Abigail Allen</t>
        </is>
      </c>
      <c r="D543">
        <f>HYPERLINK("https://ota.tournamentsoftware.com/player-profile/248A3F67-26CE-43CB-A1BB-A426F8AC9211", "Link")</f>
        <v/>
      </c>
      <c r="E543" s="3" t="n">
        <v>65.42700000000001</v>
      </c>
      <c r="F543" s="4" t="n">
        <v>4</v>
      </c>
      <c r="G543" t="inlineStr">
        <is>
          <t>Ontario Tennis Association</t>
        </is>
      </c>
      <c r="H543" t="inlineStr">
        <is>
          <t>Waterloo Tennis Club</t>
        </is>
      </c>
      <c r="I543" t="inlineStr">
        <is>
          <t>unavailable</t>
        </is>
      </c>
      <c r="J543" s="4" t="n">
        <v>24</v>
      </c>
      <c r="K543" t="inlineStr">
        <is>
          <t>5 / 19</t>
        </is>
      </c>
      <c r="L543" t="inlineStr">
        <is>
          <t>2 / 12</t>
        </is>
      </c>
      <c r="M543" s="5" t="n">
        <v>0.21</v>
      </c>
      <c r="N543" s="5" t="n">
        <v>0.14</v>
      </c>
    </row>
    <row r="544">
      <c r="A544" t="n">
        <v>543</v>
      </c>
      <c r="B544" t="n">
        <v>2013</v>
      </c>
      <c r="C544" t="inlineStr">
        <is>
          <t>Vina BLANCHARD</t>
        </is>
      </c>
      <c r="D544">
        <f>HYPERLINK("https://ota.tournamentsoftware.com/player-profile/B5AD0E2A-4843-4177-AD96-5A3203B5C718", "Link")</f>
        <v/>
      </c>
      <c r="E544" s="3" t="n">
        <v>65.05200000000001</v>
      </c>
      <c r="F544" s="4" t="n">
        <v>7</v>
      </c>
      <c r="G544" t="inlineStr">
        <is>
          <t>Ontario Tennis Association</t>
        </is>
      </c>
      <c r="H544" t="inlineStr">
        <is>
          <t>Ontario Racquet Club</t>
        </is>
      </c>
      <c r="I544" t="inlineStr">
        <is>
          <t>unavailable</t>
        </is>
      </c>
      <c r="J544" s="4" t="n">
        <v>27</v>
      </c>
      <c r="K544" t="inlineStr">
        <is>
          <t>12 / 15</t>
        </is>
      </c>
      <c r="L544" t="inlineStr">
        <is>
          <t>3 / 9</t>
        </is>
      </c>
      <c r="M544" s="5" t="n">
        <v>0.44</v>
      </c>
      <c r="N544" s="5" t="n">
        <v>0.25</v>
      </c>
    </row>
    <row r="545">
      <c r="A545" t="n">
        <v>544</v>
      </c>
      <c r="B545" t="n">
        <v>2015</v>
      </c>
      <c r="C545" t="inlineStr">
        <is>
          <t>Alexandria Gianvito</t>
        </is>
      </c>
      <c r="D545">
        <f>HYPERLINK("https://ota.tournamentsoftware.com/player-profile/4A4D327B-3019-4349-8F36-0769D584A4FA", "Link")</f>
        <v/>
      </c>
      <c r="E545" s="3" t="n">
        <v>64.84999999999999</v>
      </c>
      <c r="F545" s="4" t="n">
        <v>6</v>
      </c>
      <c r="G545" t="inlineStr">
        <is>
          <t>Tennis Québec</t>
        </is>
      </c>
      <c r="H545" t="inlineStr">
        <is>
          <t>No Club</t>
        </is>
      </c>
      <c r="I545" t="inlineStr">
        <is>
          <t>unavailable</t>
        </is>
      </c>
      <c r="J545" s="4" t="n">
        <v>50</v>
      </c>
      <c r="K545" t="inlineStr">
        <is>
          <t>13 / 37</t>
        </is>
      </c>
      <c r="L545" t="inlineStr">
        <is>
          <t>1 / 5</t>
        </is>
      </c>
      <c r="M545" s="5" t="n">
        <v>0.26</v>
      </c>
      <c r="N545" s="5" t="n">
        <v>0.17</v>
      </c>
    </row>
    <row r="546">
      <c r="A546" t="n">
        <v>545</v>
      </c>
      <c r="B546" t="n">
        <v>2012</v>
      </c>
      <c r="C546" t="inlineStr">
        <is>
          <t>kate zixi ye</t>
        </is>
      </c>
      <c r="D546">
        <f>HYPERLINK("https://ota.tournamentsoftware.com/player-profile/0A8F7797-88F4-49C6-8F3D-6079B8242406", "Link")</f>
        <v/>
      </c>
      <c r="E546" s="3" t="n">
        <v>64.583</v>
      </c>
      <c r="F546" s="4" t="n">
        <v>6</v>
      </c>
      <c r="G546" t="inlineStr">
        <is>
          <t>Ontario Tennis Association</t>
        </is>
      </c>
      <c r="H546" t="inlineStr">
        <is>
          <t>No Club</t>
        </is>
      </c>
      <c r="I546" t="n">
        <v>38.1</v>
      </c>
      <c r="J546" s="4" t="n">
        <v>13</v>
      </c>
      <c r="K546" t="inlineStr">
        <is>
          <t>2 / 11</t>
        </is>
      </c>
      <c r="L546" t="inlineStr">
        <is>
          <t>1 / 6</t>
        </is>
      </c>
      <c r="M546" s="5" t="n">
        <v>0.15</v>
      </c>
      <c r="N546" s="5" t="n">
        <v>0.14</v>
      </c>
    </row>
    <row r="547">
      <c r="A547" t="n">
        <v>546</v>
      </c>
      <c r="B547" t="n">
        <v>2015</v>
      </c>
      <c r="C547" t="inlineStr">
        <is>
          <t>Ziba Forooghian</t>
        </is>
      </c>
      <c r="D547">
        <f>HYPERLINK("https://ota.tournamentsoftware.com/player-profile/F7878057-CB20-46E1-B220-553040C8AC48", "Link")</f>
        <v/>
      </c>
      <c r="E547" s="3" t="n">
        <v>64.547</v>
      </c>
      <c r="F547" s="4" t="n">
        <v>21</v>
      </c>
      <c r="G547" t="inlineStr">
        <is>
          <t>British Columbia</t>
        </is>
      </c>
      <c r="H547" t="inlineStr">
        <is>
          <t>Aura Tennis Academy</t>
        </is>
      </c>
      <c r="I547" t="n">
        <v>35.9</v>
      </c>
      <c r="J547" s="4" t="n">
        <v>88</v>
      </c>
      <c r="K547" t="inlineStr">
        <is>
          <t>31 / 57</t>
        </is>
      </c>
      <c r="L547" t="inlineStr">
        <is>
          <t>18 / 34</t>
        </is>
      </c>
      <c r="M547" s="5" t="n">
        <v>0.35</v>
      </c>
      <c r="N547" s="5" t="n">
        <v>0.35</v>
      </c>
    </row>
    <row r="548">
      <c r="A548" t="n">
        <v>547</v>
      </c>
      <c r="B548" t="n">
        <v>2012</v>
      </c>
      <c r="C548" t="inlineStr">
        <is>
          <t>Jemima Edwards</t>
        </is>
      </c>
      <c r="D548">
        <f>HYPERLINK("https://ota.tournamentsoftware.com/player-profile/89C8AA4C-1698-4049-8B88-9B77FC5C4B9B", "Link")</f>
        <v/>
      </c>
      <c r="E548" s="3" t="n">
        <v>64</v>
      </c>
      <c r="F548" s="4" t="n">
        <v>2</v>
      </c>
      <c r="G548" t="inlineStr">
        <is>
          <t>Ontario Tennis Association</t>
        </is>
      </c>
      <c r="H548" t="inlineStr">
        <is>
          <t>Rideau Sports Centre</t>
        </is>
      </c>
      <c r="I548" t="n">
        <v>32.5</v>
      </c>
      <c r="J548" s="4" t="n">
        <v>77</v>
      </c>
      <c r="K548" t="inlineStr">
        <is>
          <t>39 / 38</t>
        </is>
      </c>
      <c r="L548" t="inlineStr">
        <is>
          <t>3 / 1</t>
        </is>
      </c>
      <c r="M548" s="5" t="n">
        <v>0.51</v>
      </c>
      <c r="N548" s="5" t="n">
        <v>0.75</v>
      </c>
    </row>
    <row r="549">
      <c r="A549" t="n">
        <v>548</v>
      </c>
      <c r="B549" t="n">
        <v>2013</v>
      </c>
      <c r="C549" t="inlineStr">
        <is>
          <t>Audrey Humeniuk</t>
        </is>
      </c>
      <c r="D549">
        <f>HYPERLINK("https://ota.tournamentsoftware.com/player-profile/468D56FB-0ABD-4840-82FB-F2B1EB075075", "Link")</f>
        <v/>
      </c>
      <c r="E549" s="3" t="n">
        <v>63.86</v>
      </c>
      <c r="F549" s="4" t="n">
        <v>4</v>
      </c>
      <c r="G549" t="inlineStr">
        <is>
          <t>Ontario Tennis Association</t>
        </is>
      </c>
      <c r="H549" t="inlineStr">
        <is>
          <t>Tennis Centre West Ottawa</t>
        </is>
      </c>
      <c r="I549" t="n">
        <v>39.5</v>
      </c>
      <c r="J549" s="4" t="n">
        <v>10</v>
      </c>
      <c r="K549" t="inlineStr">
        <is>
          <t>2 / 8</t>
        </is>
      </c>
      <c r="L549" t="inlineStr">
        <is>
          <t>1 / 4</t>
        </is>
      </c>
      <c r="M549" s="5" t="n">
        <v>0.2</v>
      </c>
      <c r="N549" s="5" t="n">
        <v>0.2</v>
      </c>
    </row>
    <row r="550">
      <c r="A550" t="n">
        <v>549</v>
      </c>
      <c r="B550" t="n">
        <v>2016</v>
      </c>
      <c r="C550" t="inlineStr">
        <is>
          <t>Hayley Bryce</t>
        </is>
      </c>
      <c r="D550">
        <f>HYPERLINK("https://ota.tournamentsoftware.com/player-profile/B433F420-A779-4270-B32A-8DE5FF43BD05", "Link")</f>
        <v/>
      </c>
      <c r="E550" s="3" t="n">
        <v>63.547</v>
      </c>
      <c r="F550" s="4" t="n">
        <v>15</v>
      </c>
      <c r="G550" t="inlineStr">
        <is>
          <t>Ontario Tennis Association</t>
        </is>
      </c>
      <c r="H550" t="inlineStr">
        <is>
          <t>SmartVMC Racquetsports by ACE</t>
        </is>
      </c>
      <c r="I550" t="inlineStr">
        <is>
          <t>unavailable</t>
        </is>
      </c>
      <c r="J550" s="4" t="n">
        <v>81</v>
      </c>
      <c r="K550" t="inlineStr">
        <is>
          <t>36 / 45</t>
        </is>
      </c>
      <c r="L550" t="inlineStr">
        <is>
          <t>19 / 23</t>
        </is>
      </c>
      <c r="M550" s="5" t="n">
        <v>0.44</v>
      </c>
      <c r="N550" s="5" t="n">
        <v>0.45</v>
      </c>
    </row>
    <row r="551">
      <c r="A551" t="n">
        <v>550</v>
      </c>
      <c r="B551" t="n">
        <v>2013</v>
      </c>
      <c r="C551" t="inlineStr">
        <is>
          <t>Deborah Zhao</t>
        </is>
      </c>
      <c r="D551">
        <f>HYPERLINK("https://ota.tournamentsoftware.com/player-profile/F6904719-B024-412B-8805-0CEB145651FD", "Link")</f>
        <v/>
      </c>
      <c r="E551" s="3" t="n">
        <v>63.288</v>
      </c>
      <c r="F551" s="4" t="n">
        <v>3</v>
      </c>
      <c r="G551" t="inlineStr">
        <is>
          <t>Tennis Prince Edward Island</t>
        </is>
      </c>
      <c r="H551" t="inlineStr">
        <is>
          <t>Charlottetown Recreation Tennis Group</t>
        </is>
      </c>
      <c r="I551" t="n">
        <v>35.5</v>
      </c>
      <c r="J551" s="4" t="n">
        <v>139</v>
      </c>
      <c r="K551" t="inlineStr">
        <is>
          <t>67 / 72</t>
        </is>
      </c>
      <c r="L551" t="inlineStr">
        <is>
          <t>5 / 8</t>
        </is>
      </c>
      <c r="M551" s="5" t="n">
        <v>0.48</v>
      </c>
      <c r="N551" s="5" t="n">
        <v>0.38</v>
      </c>
    </row>
    <row r="552">
      <c r="A552" t="n">
        <v>551</v>
      </c>
      <c r="B552" t="n">
        <v>2015</v>
      </c>
      <c r="C552" t="inlineStr">
        <is>
          <t>Aayushi Gautam</t>
        </is>
      </c>
      <c r="D552">
        <f>HYPERLINK("https://ota.tournamentsoftware.com/player-profile/A24CEE26-7629-46B9-89B0-12B054D2DFB9", "Link")</f>
        <v/>
      </c>
      <c r="E552" s="3" t="n">
        <v>63.275</v>
      </c>
      <c r="F552" s="4" t="n">
        <v>13</v>
      </c>
      <c r="G552" t="inlineStr">
        <is>
          <t>Tennis Alberta</t>
        </is>
      </c>
      <c r="H552" t="inlineStr">
        <is>
          <t>Saville Community Sports Centre</t>
        </is>
      </c>
      <c r="I552" t="n">
        <v>33.6</v>
      </c>
      <c r="J552" s="4" t="n">
        <v>152</v>
      </c>
      <c r="K552" t="inlineStr">
        <is>
          <t>90 / 62</t>
        </is>
      </c>
      <c r="L552" t="inlineStr">
        <is>
          <t>16 / 8</t>
        </is>
      </c>
      <c r="M552" s="5" t="n">
        <v>0.59</v>
      </c>
      <c r="N552" s="5" t="n">
        <v>0.67</v>
      </c>
    </row>
    <row r="553">
      <c r="A553" t="n">
        <v>552</v>
      </c>
      <c r="B553" t="n">
        <v>2016</v>
      </c>
      <c r="C553" t="inlineStr">
        <is>
          <t>Abigail Jianing Zhou</t>
        </is>
      </c>
      <c r="D553">
        <f>HYPERLINK("https://ota.tournamentsoftware.com/player-profile/E53B2389-2E47-459E-9543-5DBB506C324A", "Link")</f>
        <v/>
      </c>
      <c r="E553" s="3" t="n">
        <v>63.12</v>
      </c>
      <c r="F553" s="4" t="n">
        <v>18</v>
      </c>
      <c r="G553" t="inlineStr">
        <is>
          <t>Ontario Tennis Association</t>
        </is>
      </c>
      <c r="H553" t="inlineStr">
        <is>
          <t>Joshua Creek Golf &amp; Tennis</t>
        </is>
      </c>
      <c r="I553" t="n">
        <v>36.9</v>
      </c>
      <c r="J553" s="4" t="n">
        <v>157</v>
      </c>
      <c r="K553" t="inlineStr">
        <is>
          <t>65 / 92</t>
        </is>
      </c>
      <c r="L553" t="inlineStr">
        <is>
          <t>27 / 27</t>
        </is>
      </c>
      <c r="M553" s="5" t="n">
        <v>0.41</v>
      </c>
      <c r="N553" s="5" t="n">
        <v>0.5</v>
      </c>
    </row>
    <row r="554">
      <c r="A554" t="n">
        <v>553</v>
      </c>
      <c r="B554" t="n">
        <v>2015</v>
      </c>
      <c r="C554" t="inlineStr">
        <is>
          <t>Karina Lee Griffin</t>
        </is>
      </c>
      <c r="D554">
        <f>HYPERLINK("https://ota.tournamentsoftware.com/player-profile/51794C7A-992F-4A4D-9983-0483174644A1", "Link")</f>
        <v/>
      </c>
      <c r="E554" s="3" t="n">
        <v>62.799</v>
      </c>
      <c r="F554" s="4" t="n">
        <v>18</v>
      </c>
      <c r="G554" t="inlineStr">
        <is>
          <t>British Columbia</t>
        </is>
      </c>
      <c r="H554" t="inlineStr">
        <is>
          <t>North Vancouver Tennis Centre</t>
        </is>
      </c>
      <c r="I554" t="n">
        <v>35.1</v>
      </c>
      <c r="J554" s="4" t="n">
        <v>155</v>
      </c>
      <c r="K554" t="inlineStr">
        <is>
          <t>73 / 82</t>
        </is>
      </c>
      <c r="L554" t="inlineStr">
        <is>
          <t>12 / 20</t>
        </is>
      </c>
      <c r="M554" s="5" t="n">
        <v>0.47</v>
      </c>
      <c r="N554" s="5" t="n">
        <v>0.38</v>
      </c>
    </row>
    <row r="555">
      <c r="A555" t="n">
        <v>554</v>
      </c>
      <c r="B555" t="n">
        <v>2012</v>
      </c>
      <c r="C555" t="inlineStr">
        <is>
          <t>Hannah Ines Fischer-Kandelas</t>
        </is>
      </c>
      <c r="D555">
        <f>HYPERLINK("https://ota.tournamentsoftware.com/player-profile/672C977E-EE19-4DD0-AE73-F6FCDD2EE1E1", "Link")</f>
        <v/>
      </c>
      <c r="E555" s="3" t="n">
        <v>62.453</v>
      </c>
      <c r="F555" s="4" t="n">
        <v>4</v>
      </c>
      <c r="G555" t="inlineStr">
        <is>
          <t>Ontario Tennis Association</t>
        </is>
      </c>
      <c r="H555" t="inlineStr">
        <is>
          <t>Wychwood Tennis Club</t>
        </is>
      </c>
      <c r="I555" t="n">
        <v>39.1</v>
      </c>
      <c r="J555" s="4" t="n">
        <v>22</v>
      </c>
      <c r="K555" t="inlineStr">
        <is>
          <t>9 / 13</t>
        </is>
      </c>
      <c r="L555" t="inlineStr">
        <is>
          <t>2 / 7</t>
        </is>
      </c>
      <c r="M555" s="5" t="n">
        <v>0.41</v>
      </c>
      <c r="N555" s="5" t="n">
        <v>0.22</v>
      </c>
    </row>
    <row r="556">
      <c r="A556" t="n">
        <v>555</v>
      </c>
      <c r="B556" t="n">
        <v>2014</v>
      </c>
      <c r="C556" t="inlineStr">
        <is>
          <t>Chloe Huang</t>
        </is>
      </c>
      <c r="D556">
        <f>HYPERLINK("https://ota.tournamentsoftware.com/player-profile/F00195EB-06BF-48AD-9E24-7FA037871F13", "Link")</f>
        <v/>
      </c>
      <c r="E556" s="3" t="n">
        <v>62.111</v>
      </c>
      <c r="F556" s="4" t="n">
        <v>3</v>
      </c>
      <c r="G556" t="inlineStr">
        <is>
          <t>Ontario Tennis Association</t>
        </is>
      </c>
      <c r="H556" t="inlineStr">
        <is>
          <t>Richmond Hill Country Club</t>
        </is>
      </c>
      <c r="I556" t="n">
        <v>38.8</v>
      </c>
      <c r="J556" s="4" t="n">
        <v>54</v>
      </c>
      <c r="K556" t="inlineStr">
        <is>
          <t>20 / 34</t>
        </is>
      </c>
      <c r="L556" t="inlineStr">
        <is>
          <t>0 / 3</t>
        </is>
      </c>
      <c r="M556" s="5" t="n">
        <v>0.37</v>
      </c>
      <c r="N556" s="5" t="n">
        <v>0</v>
      </c>
    </row>
    <row r="557">
      <c r="A557" t="n">
        <v>556</v>
      </c>
      <c r="B557" t="n">
        <v>2012</v>
      </c>
      <c r="C557" t="inlineStr">
        <is>
          <t>Alice Zhang</t>
        </is>
      </c>
      <c r="D557">
        <f>HYPERLINK("https://ota.tournamentsoftware.com/player-profile/D65C72B6-843B-48BF-A073-AE5080F1EA2D", "Link")</f>
        <v/>
      </c>
      <c r="E557" s="3" t="n">
        <v>61.807</v>
      </c>
      <c r="F557" s="4" t="n">
        <v>4</v>
      </c>
      <c r="G557" t="inlineStr">
        <is>
          <t>Ontario Tennis Association</t>
        </is>
      </c>
      <c r="H557" t="inlineStr">
        <is>
          <t>ACE Tennis - Burlington</t>
        </is>
      </c>
      <c r="I557" t="n">
        <v>37.2</v>
      </c>
      <c r="J557" s="4" t="n">
        <v>10</v>
      </c>
      <c r="K557" t="inlineStr">
        <is>
          <t>2 / 8</t>
        </is>
      </c>
      <c r="L557" t="inlineStr">
        <is>
          <t>2 / 6</t>
        </is>
      </c>
      <c r="M557" s="5" t="n">
        <v>0.2</v>
      </c>
      <c r="N557" s="5" t="n">
        <v>0.25</v>
      </c>
    </row>
    <row r="558">
      <c r="A558" t="n">
        <v>557</v>
      </c>
      <c r="B558" t="n">
        <v>2016</v>
      </c>
      <c r="C558" t="inlineStr">
        <is>
          <t>Vianna Mostashari</t>
        </is>
      </c>
      <c r="D558">
        <f>HYPERLINK("https://ota.tournamentsoftware.com/player-profile/670B74EC-3F81-45DD-8F9B-AEE768B61639", "Link")</f>
        <v/>
      </c>
      <c r="E558" s="3" t="n">
        <v>60.995</v>
      </c>
      <c r="F558" s="4" t="n">
        <v>12</v>
      </c>
      <c r="G558" t="inlineStr">
        <is>
          <t>British Columbia</t>
        </is>
      </c>
      <c r="H558" t="inlineStr">
        <is>
          <t>North Vancouver Tennis Centre</t>
        </is>
      </c>
      <c r="I558" t="n">
        <v>35.5</v>
      </c>
      <c r="J558" s="4" t="n">
        <v>160</v>
      </c>
      <c r="K558" t="inlineStr">
        <is>
          <t>89 / 71</t>
        </is>
      </c>
      <c r="L558" t="inlineStr">
        <is>
          <t>9 / 18</t>
        </is>
      </c>
      <c r="M558" s="5" t="n">
        <v>0.5600000000000001</v>
      </c>
      <c r="N558" s="5" t="n">
        <v>0.33</v>
      </c>
    </row>
    <row r="559">
      <c r="A559" t="n">
        <v>558</v>
      </c>
      <c r="B559" t="n">
        <v>2016</v>
      </c>
      <c r="C559" t="inlineStr">
        <is>
          <t>Saanvi Sharma</t>
        </is>
      </c>
      <c r="D559">
        <f>HYPERLINK("https://ota.tournamentsoftware.com/player-profile/CE1D7CD8-1C3C-4F68-B568-48AC24E75437", "Link")</f>
        <v/>
      </c>
      <c r="E559" s="3" t="n">
        <v>60.845</v>
      </c>
      <c r="F559" s="4" t="n">
        <v>6</v>
      </c>
      <c r="G559" t="inlineStr">
        <is>
          <t>Tennis Québec</t>
        </is>
      </c>
      <c r="H559" t="inlineStr">
        <is>
          <t>Tennis Ile- des- Soeurs</t>
        </is>
      </c>
      <c r="I559" t="n">
        <v>36.3</v>
      </c>
      <c r="J559" s="4" t="n">
        <v>95</v>
      </c>
      <c r="K559" t="inlineStr">
        <is>
          <t>47 / 48</t>
        </is>
      </c>
      <c r="L559" t="inlineStr">
        <is>
          <t>14 / 10</t>
        </is>
      </c>
      <c r="M559" s="5" t="n">
        <v>0.49</v>
      </c>
      <c r="N559" s="5" t="n">
        <v>0.58</v>
      </c>
    </row>
    <row r="560">
      <c r="A560" t="n">
        <v>559</v>
      </c>
      <c r="B560" t="n">
        <v>2014</v>
      </c>
      <c r="C560" t="inlineStr">
        <is>
          <t>Mila Phoebe Madrid</t>
        </is>
      </c>
      <c r="D560">
        <f>HYPERLINK("https://ota.tournamentsoftware.com/player-profile/3994748B-2ED2-4F57-8907-B1AE9B874F9B", "Link")</f>
        <v/>
      </c>
      <c r="E560" s="3" t="n">
        <v>60.769</v>
      </c>
      <c r="F560" s="4" t="n">
        <v>6</v>
      </c>
      <c r="G560" t="inlineStr">
        <is>
          <t>Ontario Tennis Association</t>
        </is>
      </c>
      <c r="H560" t="inlineStr">
        <is>
          <t>Newmarket Winter Tennis Club</t>
        </is>
      </c>
      <c r="I560" t="n">
        <v>37</v>
      </c>
      <c r="J560" s="4" t="n">
        <v>53</v>
      </c>
      <c r="K560" t="inlineStr">
        <is>
          <t>20 / 33</t>
        </is>
      </c>
      <c r="L560" t="inlineStr">
        <is>
          <t>13 / 7</t>
        </is>
      </c>
      <c r="M560" s="5" t="n">
        <v>0.38</v>
      </c>
      <c r="N560" s="5" t="n">
        <v>0.65</v>
      </c>
    </row>
    <row r="561">
      <c r="A561" t="n">
        <v>560</v>
      </c>
      <c r="B561" t="n">
        <v>2015</v>
      </c>
      <c r="C561" t="inlineStr">
        <is>
          <t>Clara Surprenant</t>
        </is>
      </c>
      <c r="D561">
        <f>HYPERLINK("https://ota.tournamentsoftware.com/player-profile/82684D26-C7AE-41C6-893D-5E94585A41D7", "Link")</f>
        <v/>
      </c>
      <c r="E561" s="3" t="n">
        <v>60.705</v>
      </c>
      <c r="F561" s="4" t="n">
        <v>6</v>
      </c>
      <c r="G561" t="inlineStr">
        <is>
          <t>Tennis Québec</t>
        </is>
      </c>
      <c r="H561" t="inlineStr">
        <is>
          <t>SANI Sport</t>
        </is>
      </c>
      <c r="I561" t="n">
        <v>36.4</v>
      </c>
      <c r="J561" s="4" t="n">
        <v>87</v>
      </c>
      <c r="K561" t="inlineStr">
        <is>
          <t>41 / 46</t>
        </is>
      </c>
      <c r="L561" t="inlineStr">
        <is>
          <t>3 / 5</t>
        </is>
      </c>
      <c r="M561" s="5" t="n">
        <v>0.47</v>
      </c>
      <c r="N561" s="5" t="n">
        <v>0.38</v>
      </c>
    </row>
    <row r="562">
      <c r="A562" t="n">
        <v>561</v>
      </c>
      <c r="B562" t="n">
        <v>2014</v>
      </c>
      <c r="C562" t="inlineStr">
        <is>
          <t>Minnie Jinwen Xu</t>
        </is>
      </c>
      <c r="D562">
        <f>HYPERLINK("https://ota.tournamentsoftware.com/player-profile/617AABE9-B600-4656-9194-77743DDDC351", "Link")</f>
        <v/>
      </c>
      <c r="E562" s="3" t="n">
        <v>60.695</v>
      </c>
      <c r="F562" s="4" t="n">
        <v>11</v>
      </c>
      <c r="G562" t="inlineStr">
        <is>
          <t>British Columbia</t>
        </is>
      </c>
      <c r="H562" t="inlineStr">
        <is>
          <t>The Tennis Centre</t>
        </is>
      </c>
      <c r="I562" t="n">
        <v>35.4</v>
      </c>
      <c r="J562" s="4" t="n">
        <v>128</v>
      </c>
      <c r="K562" t="inlineStr">
        <is>
          <t>67 / 61</t>
        </is>
      </c>
      <c r="L562" t="inlineStr">
        <is>
          <t>13 / 12</t>
        </is>
      </c>
      <c r="M562" s="5" t="n">
        <v>0.52</v>
      </c>
      <c r="N562" s="5" t="n">
        <v>0.52</v>
      </c>
    </row>
    <row r="563">
      <c r="A563" t="n">
        <v>562</v>
      </c>
      <c r="B563" t="n">
        <v>2012</v>
      </c>
      <c r="C563" t="inlineStr">
        <is>
          <t>Alice Le</t>
        </is>
      </c>
      <c r="D563">
        <f>HYPERLINK("https://ota.tournamentsoftware.com/player-profile/762C717D-CB5B-4A61-877E-C235D5E4911F", "Link")</f>
        <v/>
      </c>
      <c r="E563" s="3" t="n">
        <v>59.04</v>
      </c>
      <c r="F563" s="4" t="n">
        <v>2</v>
      </c>
      <c r="G563" t="inlineStr">
        <is>
          <t>British Columbia</t>
        </is>
      </c>
      <c r="H563" t="inlineStr">
        <is>
          <t>City of Vancouver</t>
        </is>
      </c>
      <c r="I563" t="inlineStr">
        <is>
          <t>unavailable</t>
        </is>
      </c>
      <c r="J563" s="4" t="n">
        <v>10</v>
      </c>
      <c r="K563" t="inlineStr">
        <is>
          <t>7 / 3</t>
        </is>
      </c>
      <c r="L563" t="inlineStr">
        <is>
          <t>1 / 1</t>
        </is>
      </c>
      <c r="M563" s="5" t="n">
        <v>0.7</v>
      </c>
      <c r="N563" s="5" t="n">
        <v>0.5</v>
      </c>
    </row>
    <row r="564">
      <c r="A564" t="n">
        <v>563</v>
      </c>
      <c r="B564" t="n">
        <v>2014</v>
      </c>
      <c r="C564" t="inlineStr">
        <is>
          <t>Sofia Morisette</t>
        </is>
      </c>
      <c r="D564">
        <f>HYPERLINK("https://ota.tournamentsoftware.com/player-profile/F99611AC-3485-4574-897D-68151916B40D", "Link")</f>
        <v/>
      </c>
      <c r="E564" s="3" t="n">
        <v>59.011</v>
      </c>
      <c r="F564" s="4" t="n">
        <v>5</v>
      </c>
      <c r="G564" t="inlineStr">
        <is>
          <t>British Columbia</t>
        </is>
      </c>
      <c r="H564" t="inlineStr">
        <is>
          <t>Tennis BC Hub @ Richmond</t>
        </is>
      </c>
      <c r="I564" t="n">
        <v>34.7</v>
      </c>
      <c r="J564" s="4" t="n">
        <v>131</v>
      </c>
      <c r="K564" t="inlineStr">
        <is>
          <t>52 / 79</t>
        </is>
      </c>
      <c r="L564" t="inlineStr">
        <is>
          <t>3 / 8</t>
        </is>
      </c>
      <c r="M564" s="5" t="n">
        <v>0.4</v>
      </c>
      <c r="N564" s="5" t="n">
        <v>0.27</v>
      </c>
    </row>
    <row r="565">
      <c r="A565" t="n">
        <v>564</v>
      </c>
      <c r="B565" t="n">
        <v>2015</v>
      </c>
      <c r="C565" t="inlineStr">
        <is>
          <t>Ava Gracia Hurley</t>
        </is>
      </c>
      <c r="D565">
        <f>HYPERLINK("https://ota.tournamentsoftware.com/player-profile/DC3D1043-9FBA-467F-8103-AE9D0DEEF066", "Link")</f>
        <v/>
      </c>
      <c r="E565" s="3" t="n">
        <v>58.941</v>
      </c>
      <c r="F565" s="4" t="n">
        <v>11</v>
      </c>
      <c r="G565" t="inlineStr">
        <is>
          <t>Ontario Tennis Association</t>
        </is>
      </c>
      <c r="H565" t="inlineStr">
        <is>
          <t>Manotick Tennis Club</t>
        </is>
      </c>
      <c r="I565" t="inlineStr">
        <is>
          <t>unavailable</t>
        </is>
      </c>
      <c r="J565" s="4" t="n">
        <v>33</v>
      </c>
      <c r="K565" t="inlineStr">
        <is>
          <t>13 / 20</t>
        </is>
      </c>
      <c r="L565" t="inlineStr">
        <is>
          <t>5 / 9</t>
        </is>
      </c>
      <c r="M565" s="5" t="n">
        <v>0.39</v>
      </c>
      <c r="N565" s="5" t="n">
        <v>0.36</v>
      </c>
    </row>
    <row r="566">
      <c r="A566" t="n">
        <v>565</v>
      </c>
      <c r="B566" t="n">
        <v>2013</v>
      </c>
      <c r="C566" t="inlineStr">
        <is>
          <t>Presley Pellegrino</t>
        </is>
      </c>
      <c r="D566">
        <f>HYPERLINK("https://ota.tournamentsoftware.com/player-profile/A7978533-179E-4FC4-8D48-C160FA6FF2E3", "Link")</f>
        <v/>
      </c>
      <c r="E566" s="3" t="n">
        <v>58.878</v>
      </c>
      <c r="F566" s="4" t="n">
        <v>3</v>
      </c>
      <c r="G566" t="inlineStr">
        <is>
          <t>Ontario Tennis Association</t>
        </is>
      </c>
      <c r="H566" t="inlineStr">
        <is>
          <t>No Club</t>
        </is>
      </c>
      <c r="I566" t="inlineStr">
        <is>
          <t>unavailable</t>
        </is>
      </c>
      <c r="J566" s="4" t="inlineStr"/>
      <c r="K566" t="inlineStr">
        <is>
          <t>unavailable</t>
        </is>
      </c>
      <c r="L566" t="inlineStr">
        <is>
          <t>unavailable</t>
        </is>
      </c>
      <c r="M566" s="5" t="inlineStr"/>
      <c r="N566" s="5" t="inlineStr"/>
    </row>
    <row r="567">
      <c r="A567" t="n">
        <v>566</v>
      </c>
      <c r="B567" t="n">
        <v>2015</v>
      </c>
      <c r="C567" t="inlineStr">
        <is>
          <t>Aria MARTIN</t>
        </is>
      </c>
      <c r="D567">
        <f>HYPERLINK("https://ota.tournamentsoftware.com/player-profile/220708AF-B049-4C3B-83FA-C1AAC60269C5", "Link")</f>
        <v/>
      </c>
      <c r="E567" s="3" t="n">
        <v>58.434</v>
      </c>
      <c r="F567" s="4" t="n">
        <v>16</v>
      </c>
      <c r="G567" t="inlineStr">
        <is>
          <t>British Columbia</t>
        </is>
      </c>
      <c r="H567" t="inlineStr">
        <is>
          <t>Vancouver Lawn Tennis and Badminton Club</t>
        </is>
      </c>
      <c r="I567" t="n">
        <v>35.2</v>
      </c>
      <c r="J567" s="4" t="n">
        <v>133</v>
      </c>
      <c r="K567" t="inlineStr">
        <is>
          <t>53 / 80</t>
        </is>
      </c>
      <c r="L567" t="inlineStr">
        <is>
          <t>24 / 17</t>
        </is>
      </c>
      <c r="M567" s="5" t="n">
        <v>0.4</v>
      </c>
      <c r="N567" s="5" t="n">
        <v>0.59</v>
      </c>
    </row>
    <row r="568">
      <c r="A568" t="n">
        <v>567</v>
      </c>
      <c r="B568" t="n">
        <v>2012</v>
      </c>
      <c r="C568" t="inlineStr">
        <is>
          <t>Chloe Teng</t>
        </is>
      </c>
      <c r="D568">
        <f>HYPERLINK("https://ota.tournamentsoftware.com/player-profile/F5AC5875-4E89-4D3E-BF17-24986F702240", "Link")</f>
        <v/>
      </c>
      <c r="E568" s="3" t="n">
        <v>58.388</v>
      </c>
      <c r="F568" s="4" t="n">
        <v>12</v>
      </c>
      <c r="G568" t="inlineStr">
        <is>
          <t>Ontario Tennis Association</t>
        </is>
      </c>
      <c r="H568" t="inlineStr">
        <is>
          <t>Tennis Clubs of Canada</t>
        </is>
      </c>
      <c r="I568" t="n">
        <v>38.1</v>
      </c>
      <c r="J568" s="4" t="n">
        <v>48</v>
      </c>
      <c r="K568" t="inlineStr">
        <is>
          <t>12 / 36</t>
        </is>
      </c>
      <c r="L568" t="inlineStr">
        <is>
          <t>9 / 25</t>
        </is>
      </c>
      <c r="M568" s="5" t="n">
        <v>0.25</v>
      </c>
      <c r="N568" s="5" t="n">
        <v>0.26</v>
      </c>
    </row>
    <row r="569">
      <c r="A569" t="n">
        <v>568</v>
      </c>
      <c r="B569" t="n">
        <v>2015</v>
      </c>
      <c r="C569" t="inlineStr">
        <is>
          <t>Maeva Kaur Dhillon</t>
        </is>
      </c>
      <c r="D569">
        <f>HYPERLINK("https://ota.tournamentsoftware.com/player-profile/1E3A662C-1993-423F-99BB-0CD2F93CC62A", "Link")</f>
        <v/>
      </c>
      <c r="E569" s="3" t="n">
        <v>58.125</v>
      </c>
      <c r="F569" s="4" t="n">
        <v>11</v>
      </c>
      <c r="G569" t="inlineStr">
        <is>
          <t>Tennis Alberta</t>
        </is>
      </c>
      <c r="H569" t="inlineStr">
        <is>
          <t>Saville Community Sports Centre</t>
        </is>
      </c>
      <c r="I569" t="n">
        <v>37.4</v>
      </c>
      <c r="J569" s="4" t="n">
        <v>74</v>
      </c>
      <c r="K569" t="inlineStr">
        <is>
          <t>22 / 52</t>
        </is>
      </c>
      <c r="L569" t="inlineStr">
        <is>
          <t>5 / 9</t>
        </is>
      </c>
      <c r="M569" s="5" t="n">
        <v>0.3</v>
      </c>
      <c r="N569" s="5" t="n">
        <v>0.36</v>
      </c>
    </row>
    <row r="570">
      <c r="A570" t="n">
        <v>569</v>
      </c>
      <c r="B570" t="n">
        <v>2016</v>
      </c>
      <c r="C570" t="inlineStr">
        <is>
          <t>Melinna Yu Nuo Yang</t>
        </is>
      </c>
      <c r="D570">
        <f>HYPERLINK("https://ota.tournamentsoftware.com/player-profile/6BCCA5B4-7059-414C-A06D-D2936B6A3CC2", "Link")</f>
        <v/>
      </c>
      <c r="E570" s="3" t="n">
        <v>57.8</v>
      </c>
      <c r="F570" s="4" t="n">
        <v>8</v>
      </c>
      <c r="G570" t="inlineStr">
        <is>
          <t>Tennis Québec</t>
        </is>
      </c>
      <c r="H570" t="inlineStr">
        <is>
          <t>Club Sportif Côte-de-Liesse</t>
        </is>
      </c>
      <c r="I570" t="inlineStr">
        <is>
          <t>unavailable</t>
        </is>
      </c>
      <c r="J570" s="4" t="n">
        <v>95</v>
      </c>
      <c r="K570" t="inlineStr">
        <is>
          <t>39 / 56</t>
        </is>
      </c>
      <c r="L570" t="inlineStr">
        <is>
          <t>18 / 14</t>
        </is>
      </c>
      <c r="M570" s="5" t="n">
        <v>0.41</v>
      </c>
      <c r="N570" s="5" t="n">
        <v>0.5600000000000001</v>
      </c>
    </row>
    <row r="571">
      <c r="A571" t="n">
        <v>570</v>
      </c>
      <c r="B571" t="n">
        <v>2013</v>
      </c>
      <c r="C571" t="inlineStr">
        <is>
          <t>Gabrielle Galgay</t>
        </is>
      </c>
      <c r="D571">
        <f>HYPERLINK("https://ota.tournamentsoftware.com/player-profile/1A26365B-FAA0-4130-8F92-B67D497E82D9", "Link")</f>
        <v/>
      </c>
      <c r="E571" s="3" t="n">
        <v>57.069</v>
      </c>
      <c r="F571" s="4" t="n">
        <v>4</v>
      </c>
      <c r="G571" t="inlineStr">
        <is>
          <t>Ontario Tennis Association</t>
        </is>
      </c>
      <c r="H571" t="inlineStr">
        <is>
          <t>No Club</t>
        </is>
      </c>
      <c r="I571" t="n">
        <v>34.3</v>
      </c>
      <c r="J571" s="4" t="n">
        <v>10</v>
      </c>
      <c r="K571" t="inlineStr">
        <is>
          <t>4 / 6</t>
        </is>
      </c>
      <c r="L571" t="inlineStr">
        <is>
          <t>1 / 3</t>
        </is>
      </c>
      <c r="M571" s="5" t="n">
        <v>0.4</v>
      </c>
      <c r="N571" s="5" t="n">
        <v>0.25</v>
      </c>
    </row>
    <row r="572">
      <c r="A572" t="n">
        <v>571</v>
      </c>
      <c r="B572" t="n">
        <v>2013</v>
      </c>
      <c r="C572" t="inlineStr">
        <is>
          <t>Noa Anne Broere</t>
        </is>
      </c>
      <c r="D572">
        <f>HYPERLINK("https://ota.tournamentsoftware.com/player-profile/A5724AD9-99FF-4D46-A565-ED1BBCAE83F4", "Link")</f>
        <v/>
      </c>
      <c r="E572" s="3" t="n">
        <v>57.045</v>
      </c>
      <c r="F572" s="4" t="n">
        <v>15</v>
      </c>
      <c r="G572" t="inlineStr">
        <is>
          <t>British Columbia</t>
        </is>
      </c>
      <c r="H572" t="inlineStr">
        <is>
          <t>Vancouver Lawn Tennis and Badminton Club</t>
        </is>
      </c>
      <c r="I572" t="n">
        <v>34.5</v>
      </c>
      <c r="J572" s="4" t="n">
        <v>75</v>
      </c>
      <c r="K572" t="inlineStr">
        <is>
          <t>30 / 45</t>
        </is>
      </c>
      <c r="L572" t="inlineStr">
        <is>
          <t>9 / 14</t>
        </is>
      </c>
      <c r="M572" s="5" t="n">
        <v>0.4</v>
      </c>
      <c r="N572" s="5" t="n">
        <v>0.39</v>
      </c>
    </row>
    <row r="573">
      <c r="A573" t="n">
        <v>572</v>
      </c>
      <c r="B573" t="n">
        <v>2013</v>
      </c>
      <c r="C573" t="inlineStr">
        <is>
          <t>Grace Christina Lawrence</t>
        </is>
      </c>
      <c r="D573">
        <f>HYPERLINK("https://ota.tournamentsoftware.com/player-profile/9FEF2F9B-F202-41CF-8B36-42B1520055E0", "Link")</f>
        <v/>
      </c>
      <c r="E573" s="3" t="n">
        <v>57.027</v>
      </c>
      <c r="F573" s="4" t="n">
        <v>8</v>
      </c>
      <c r="G573" t="inlineStr">
        <is>
          <t>Ontario Tennis Association</t>
        </is>
      </c>
      <c r="H573" t="inlineStr">
        <is>
          <t>Toronto Lawn Tennis Club</t>
        </is>
      </c>
      <c r="I573" t="n">
        <v>35.9</v>
      </c>
      <c r="J573" s="4" t="n">
        <v>107</v>
      </c>
      <c r="K573" t="inlineStr">
        <is>
          <t>48 / 59</t>
        </is>
      </c>
      <c r="L573" t="inlineStr">
        <is>
          <t>4 / 4</t>
        </is>
      </c>
      <c r="M573" s="5" t="n">
        <v>0.45</v>
      </c>
      <c r="N573" s="5" t="n">
        <v>0.5</v>
      </c>
    </row>
    <row r="574">
      <c r="A574" t="n">
        <v>573</v>
      </c>
      <c r="B574" t="n">
        <v>2013</v>
      </c>
      <c r="C574" t="inlineStr">
        <is>
          <t>Daniella Adekoya</t>
        </is>
      </c>
      <c r="D574">
        <f>HYPERLINK("https://ota.tournamentsoftware.com/player-profile/1AE7E627-3ED1-4E93-9C7E-52183DBA7410", "Link")</f>
        <v/>
      </c>
      <c r="E574" s="3" t="n">
        <v>55.728</v>
      </c>
      <c r="F574" s="4" t="n">
        <v>2</v>
      </c>
      <c r="G574" t="inlineStr">
        <is>
          <t>Ontario Tennis Association</t>
        </is>
      </c>
      <c r="H574" t="inlineStr">
        <is>
          <t>Rideau Sports Centre</t>
        </is>
      </c>
      <c r="I574" t="n">
        <v>35.4</v>
      </c>
      <c r="J574" s="4" t="n">
        <v>28</v>
      </c>
      <c r="K574" t="inlineStr">
        <is>
          <t>8 / 20</t>
        </is>
      </c>
      <c r="L574" t="inlineStr">
        <is>
          <t>1 / 2</t>
        </is>
      </c>
      <c r="M574" s="5" t="n">
        <v>0.29</v>
      </c>
      <c r="N574" s="5" t="n">
        <v>0.33</v>
      </c>
    </row>
    <row r="575">
      <c r="A575" t="n">
        <v>574</v>
      </c>
      <c r="B575" t="n">
        <v>2013</v>
      </c>
      <c r="C575" t="inlineStr">
        <is>
          <t>Anika Surtani</t>
        </is>
      </c>
      <c r="D575">
        <f>HYPERLINK("https://ota.tournamentsoftware.com/player-profile/8434E356-BD3E-4FDA-9513-46F335FD471C", "Link")</f>
        <v/>
      </c>
      <c r="E575" s="3" t="n">
        <v>55.444</v>
      </c>
      <c r="F575" s="4" t="n">
        <v>7</v>
      </c>
      <c r="G575" t="inlineStr">
        <is>
          <t>Ontario Tennis Association</t>
        </is>
      </c>
      <c r="H575" t="inlineStr">
        <is>
          <t>Boulevard Club</t>
        </is>
      </c>
      <c r="I575" t="inlineStr">
        <is>
          <t>unavailable</t>
        </is>
      </c>
      <c r="J575" s="4" t="n">
        <v>20</v>
      </c>
      <c r="K575" t="inlineStr">
        <is>
          <t>5 / 15</t>
        </is>
      </c>
      <c r="L575" t="inlineStr">
        <is>
          <t>3 / 7</t>
        </is>
      </c>
      <c r="M575" s="5" t="n">
        <v>0.25</v>
      </c>
      <c r="N575" s="5" t="n">
        <v>0.3</v>
      </c>
    </row>
    <row r="576">
      <c r="A576" t="n">
        <v>575</v>
      </c>
      <c r="B576" t="n">
        <v>2015</v>
      </c>
      <c r="C576" t="inlineStr">
        <is>
          <t>Madeleine Penelope Haun</t>
        </is>
      </c>
      <c r="D576">
        <f>HYPERLINK("https://ota.tournamentsoftware.com/player-profile/6F8A0525-0D8F-4263-8F76-0B8CF4B34D42", "Link")</f>
        <v/>
      </c>
      <c r="E576" s="3" t="n">
        <v>55.31</v>
      </c>
      <c r="F576" s="4" t="n">
        <v>9</v>
      </c>
      <c r="G576" t="inlineStr">
        <is>
          <t>Tennis Alberta</t>
        </is>
      </c>
      <c r="H576" t="inlineStr">
        <is>
          <t>Osten &amp; Victor Alberta Tennis Centre</t>
        </is>
      </c>
      <c r="I576" t="n">
        <v>37.3</v>
      </c>
      <c r="J576" s="4" t="n">
        <v>152</v>
      </c>
      <c r="K576" t="inlineStr">
        <is>
          <t>82 / 70</t>
        </is>
      </c>
      <c r="L576" t="inlineStr">
        <is>
          <t>5 / 8</t>
        </is>
      </c>
      <c r="M576" s="5" t="n">
        <v>0.54</v>
      </c>
      <c r="N576" s="5" t="n">
        <v>0.38</v>
      </c>
    </row>
    <row r="577">
      <c r="A577" t="n">
        <v>576</v>
      </c>
      <c r="B577" t="n">
        <v>2012</v>
      </c>
      <c r="C577" t="inlineStr">
        <is>
          <t>Karmi Singh</t>
        </is>
      </c>
      <c r="D577">
        <f>HYPERLINK("https://ota.tournamentsoftware.com/player-profile/B68DC1C1-BC37-443E-AB03-601E1E7E72A2", "Link")</f>
        <v/>
      </c>
      <c r="E577" s="3" t="n">
        <v>54.499</v>
      </c>
      <c r="F577" s="4" t="n">
        <v>4</v>
      </c>
      <c r="G577" t="inlineStr">
        <is>
          <t>Ontario Tennis Association</t>
        </is>
      </c>
      <c r="H577" t="inlineStr">
        <is>
          <t>Ontario Racquet Club</t>
        </is>
      </c>
      <c r="I577" t="inlineStr">
        <is>
          <t>unavailable</t>
        </is>
      </c>
      <c r="J577" s="4" t="n">
        <v>59</v>
      </c>
      <c r="K577" t="inlineStr">
        <is>
          <t>26 / 33</t>
        </is>
      </c>
      <c r="L577" t="inlineStr">
        <is>
          <t>1 / 5</t>
        </is>
      </c>
      <c r="M577" s="5" t="n">
        <v>0.44</v>
      </c>
      <c r="N577" s="5" t="n">
        <v>0.17</v>
      </c>
    </row>
    <row r="578">
      <c r="A578" t="n">
        <v>577</v>
      </c>
      <c r="B578" t="n">
        <v>2016</v>
      </c>
      <c r="C578" t="inlineStr">
        <is>
          <t>Chloe Garikimukkula</t>
        </is>
      </c>
      <c r="D578">
        <f>HYPERLINK("https://ota.tournamentsoftware.com/player-profile/8B630DA5-F61E-4159-9316-7EA463790908", "Link")</f>
        <v/>
      </c>
      <c r="E578" s="3" t="n">
        <v>54.36</v>
      </c>
      <c r="F578" s="4" t="n">
        <v>13</v>
      </c>
      <c r="G578" t="inlineStr">
        <is>
          <t>Ontario Tennis Association</t>
        </is>
      </c>
      <c r="H578" t="inlineStr">
        <is>
          <t>Burlington Tennis Club</t>
        </is>
      </c>
      <c r="I578" t="n">
        <v>36.9</v>
      </c>
      <c r="J578" s="4" t="n">
        <v>104</v>
      </c>
      <c r="K578" t="inlineStr">
        <is>
          <t>59 / 45</t>
        </is>
      </c>
      <c r="L578" t="inlineStr">
        <is>
          <t>40 / 30</t>
        </is>
      </c>
      <c r="M578" s="5" t="n">
        <v>0.57</v>
      </c>
      <c r="N578" s="5" t="n">
        <v>0.57</v>
      </c>
    </row>
    <row r="579">
      <c r="A579" t="n">
        <v>578</v>
      </c>
      <c r="B579" t="n">
        <v>2016</v>
      </c>
      <c r="C579" t="inlineStr">
        <is>
          <t>Xirui Ding</t>
        </is>
      </c>
      <c r="D579">
        <f>HYPERLINK("https://ota.tournamentsoftware.com/player-profile/6DC46DF7-2964-4ED2-9C01-D39C773C942F", "Link")</f>
        <v/>
      </c>
      <c r="E579" s="3" t="n">
        <v>54.085</v>
      </c>
      <c r="F579" s="4" t="n">
        <v>7</v>
      </c>
      <c r="G579" t="inlineStr">
        <is>
          <t>Ontario Tennis Association</t>
        </is>
      </c>
      <c r="H579" t="inlineStr">
        <is>
          <t>Valan Tennis Academy</t>
        </is>
      </c>
      <c r="I579" t="n">
        <v>37.5</v>
      </c>
      <c r="J579" s="4" t="n">
        <v>121</v>
      </c>
      <c r="K579" t="inlineStr">
        <is>
          <t>76 / 45</t>
        </is>
      </c>
      <c r="L579" t="inlineStr">
        <is>
          <t>71 / 36</t>
        </is>
      </c>
      <c r="M579" s="5" t="n">
        <v>0.63</v>
      </c>
      <c r="N579" s="5" t="n">
        <v>0.66</v>
      </c>
    </row>
    <row r="580">
      <c r="A580" t="n">
        <v>579</v>
      </c>
      <c r="B580" t="n">
        <v>2015</v>
      </c>
      <c r="C580" t="inlineStr">
        <is>
          <t>Miadel Flores</t>
        </is>
      </c>
      <c r="D580">
        <f>HYPERLINK("https://ota.tournamentsoftware.com/player-profile/19F5DCB9-D4C1-477E-9443-DA276E9A30BC", "Link")</f>
        <v/>
      </c>
      <c r="E580" s="3" t="n">
        <v>53.935</v>
      </c>
      <c r="F580" s="4" t="n">
        <v>5</v>
      </c>
      <c r="G580" t="inlineStr">
        <is>
          <t>Tennis Québec</t>
        </is>
      </c>
      <c r="H580" t="inlineStr">
        <is>
          <t>No Club</t>
        </is>
      </c>
      <c r="I580" t="n">
        <v>40</v>
      </c>
      <c r="J580" s="4" t="n">
        <v>8</v>
      </c>
      <c r="K580" t="inlineStr">
        <is>
          <t>1 / 7</t>
        </is>
      </c>
      <c r="L580" t="inlineStr">
        <is>
          <t>1 / 7</t>
        </is>
      </c>
      <c r="M580" s="5" t="n">
        <v>0.12</v>
      </c>
      <c r="N580" s="5" t="n">
        <v>0.12</v>
      </c>
    </row>
    <row r="581">
      <c r="A581" t="n">
        <v>580</v>
      </c>
      <c r="B581" t="n">
        <v>2015</v>
      </c>
      <c r="C581" t="inlineStr">
        <is>
          <t>Alexia Lionis</t>
        </is>
      </c>
      <c r="D581">
        <f>HYPERLINK("https://ota.tournamentsoftware.com/player-profile/C2079715-4A8A-4F16-A5F2-10633FCB08AA", "Link")</f>
        <v/>
      </c>
      <c r="E581" s="3" t="n">
        <v>53.632</v>
      </c>
      <c r="F581" s="4" t="n">
        <v>7</v>
      </c>
      <c r="G581" t="inlineStr">
        <is>
          <t>Ontario Tennis Association</t>
        </is>
      </c>
      <c r="H581" t="inlineStr">
        <is>
          <t>Ontario Racquet Club</t>
        </is>
      </c>
      <c r="I581" t="inlineStr">
        <is>
          <t>unavailable</t>
        </is>
      </c>
      <c r="J581" s="4" t="n">
        <v>79</v>
      </c>
      <c r="K581" t="inlineStr">
        <is>
          <t>35 / 44</t>
        </is>
      </c>
      <c r="L581" t="inlineStr">
        <is>
          <t>6 / 10</t>
        </is>
      </c>
      <c r="M581" s="5" t="n">
        <v>0.44</v>
      </c>
      <c r="N581" s="5" t="n">
        <v>0.38</v>
      </c>
    </row>
    <row r="582">
      <c r="A582" t="n">
        <v>581</v>
      </c>
      <c r="B582" t="n">
        <v>2013</v>
      </c>
      <c r="C582" t="inlineStr">
        <is>
          <t>Julia Soldatov</t>
        </is>
      </c>
      <c r="D582">
        <f>HYPERLINK("https://ota.tournamentsoftware.com/player-profile/9CDD8F0E-2B06-4818-8B32-A0ED95A9E6DF", "Link")</f>
        <v/>
      </c>
      <c r="E582" s="3" t="n">
        <v>53.274</v>
      </c>
      <c r="F582" s="4" t="n">
        <v>5</v>
      </c>
      <c r="G582" t="inlineStr">
        <is>
          <t>Ontario Tennis Association</t>
        </is>
      </c>
      <c r="H582" t="inlineStr">
        <is>
          <t>Newmarket Community Tennis Club</t>
        </is>
      </c>
      <c r="I582" t="n">
        <v>38.8</v>
      </c>
      <c r="J582" s="4" t="n">
        <v>19</v>
      </c>
      <c r="K582" t="inlineStr">
        <is>
          <t>6 / 13</t>
        </is>
      </c>
      <c r="L582" t="inlineStr">
        <is>
          <t>6 / 13</t>
        </is>
      </c>
      <c r="M582" s="5" t="n">
        <v>0.32</v>
      </c>
      <c r="N582" s="5" t="n">
        <v>0.32</v>
      </c>
    </row>
    <row r="583">
      <c r="A583" t="n">
        <v>582</v>
      </c>
      <c r="B583" t="n">
        <v>2015</v>
      </c>
      <c r="C583" t="inlineStr">
        <is>
          <t>Dania Ahmed</t>
        </is>
      </c>
      <c r="D583">
        <f>HYPERLINK("https://ota.tournamentsoftware.com/player-profile/3A4EF5D7-2C40-4E2A-A979-D3231C03A93C", "Link")</f>
        <v/>
      </c>
      <c r="E583" s="3" t="n">
        <v>53.149</v>
      </c>
      <c r="F583" s="4" t="n">
        <v>13</v>
      </c>
      <c r="G583" t="inlineStr">
        <is>
          <t>Ontario Tennis Association</t>
        </is>
      </c>
      <c r="H583" t="inlineStr">
        <is>
          <t>Waterloo Tennis Club</t>
        </is>
      </c>
      <c r="I583" t="n">
        <v>37.7</v>
      </c>
      <c r="J583" s="4" t="n">
        <v>86</v>
      </c>
      <c r="K583" t="inlineStr">
        <is>
          <t>50 / 36</t>
        </is>
      </c>
      <c r="L583" t="inlineStr">
        <is>
          <t>3 / 11</t>
        </is>
      </c>
      <c r="M583" s="5" t="n">
        <v>0.58</v>
      </c>
      <c r="N583" s="5" t="n">
        <v>0.21</v>
      </c>
    </row>
    <row r="584">
      <c r="A584" t="n">
        <v>583</v>
      </c>
      <c r="B584" t="n">
        <v>2014</v>
      </c>
      <c r="C584" t="inlineStr">
        <is>
          <t>Julia Jzmati</t>
        </is>
      </c>
      <c r="D584">
        <f>HYPERLINK("https://ota.tournamentsoftware.com/player-profile/2AADF196-C892-43B1-9128-5338F8D87E95", "Link")</f>
        <v/>
      </c>
      <c r="E584" s="3" t="n">
        <v>52.454</v>
      </c>
      <c r="F584" s="4" t="n">
        <v>12</v>
      </c>
      <c r="G584" t="inlineStr">
        <is>
          <t>Ontario Tennis Association</t>
        </is>
      </c>
      <c r="H584" t="inlineStr">
        <is>
          <t>Rideau Sports Centre</t>
        </is>
      </c>
      <c r="I584" t="n">
        <v>38.9</v>
      </c>
      <c r="J584" s="4" t="n">
        <v>33</v>
      </c>
      <c r="K584" t="inlineStr">
        <is>
          <t>6 / 27</t>
        </is>
      </c>
      <c r="L584" t="inlineStr">
        <is>
          <t>2 / 12</t>
        </is>
      </c>
      <c r="M584" s="5" t="n">
        <v>0.18</v>
      </c>
      <c r="N584" s="5" t="n">
        <v>0.14</v>
      </c>
    </row>
    <row r="585">
      <c r="A585" t="n">
        <v>584</v>
      </c>
      <c r="B585" t="n">
        <v>2014</v>
      </c>
      <c r="C585" t="inlineStr">
        <is>
          <t>Tara Nastic</t>
        </is>
      </c>
      <c r="D585">
        <f>HYPERLINK("https://ota.tournamentsoftware.com/player-profile/43FF8AFD-A54E-4011-88C7-132B60B568E8", "Link")</f>
        <v/>
      </c>
      <c r="E585" s="3" t="n">
        <v>51.12</v>
      </c>
      <c r="F585" s="4" t="n">
        <v>4</v>
      </c>
      <c r="G585" t="inlineStr">
        <is>
          <t>Ontario Tennis Association</t>
        </is>
      </c>
      <c r="H585" t="inlineStr">
        <is>
          <t>Royal City Tennis Club</t>
        </is>
      </c>
      <c r="I585" t="inlineStr">
        <is>
          <t>unavailable</t>
        </is>
      </c>
      <c r="J585" s="4" t="n">
        <v>20</v>
      </c>
      <c r="K585" t="inlineStr">
        <is>
          <t>4 / 16</t>
        </is>
      </c>
      <c r="L585" t="inlineStr">
        <is>
          <t>1 / 4</t>
        </is>
      </c>
      <c r="M585" s="5" t="n">
        <v>0.2</v>
      </c>
      <c r="N585" s="5" t="n">
        <v>0.2</v>
      </c>
    </row>
    <row r="586">
      <c r="A586" t="n">
        <v>585</v>
      </c>
      <c r="B586" t="n">
        <v>2014</v>
      </c>
      <c r="C586" t="inlineStr">
        <is>
          <t>Ann Ha</t>
        </is>
      </c>
      <c r="D586">
        <f>HYPERLINK("https://ota.tournamentsoftware.com/player-profile/139E73DD-882F-4509-9B0C-BB790DA8399D", "Link")</f>
        <v/>
      </c>
      <c r="E586" s="3" t="n">
        <v>50.846</v>
      </c>
      <c r="F586" s="4" t="n">
        <v>3</v>
      </c>
      <c r="G586" t="inlineStr">
        <is>
          <t>Tennis Saskatchewan</t>
        </is>
      </c>
      <c r="H586" t="inlineStr">
        <is>
          <t>Lakewood Indoor Tennis Centre</t>
        </is>
      </c>
      <c r="I586" t="inlineStr">
        <is>
          <t>unavailable</t>
        </is>
      </c>
      <c r="J586" s="4" t="n">
        <v>9</v>
      </c>
      <c r="K586" t="inlineStr">
        <is>
          <t>1 / 8</t>
        </is>
      </c>
      <c r="L586" t="inlineStr">
        <is>
          <t>1 / 8</t>
        </is>
      </c>
      <c r="M586" s="5" t="n">
        <v>0.11</v>
      </c>
      <c r="N586" s="5" t="n">
        <v>0.11</v>
      </c>
    </row>
    <row r="587">
      <c r="A587" t="n">
        <v>586</v>
      </c>
      <c r="B587" t="n">
        <v>2012</v>
      </c>
      <c r="C587" t="inlineStr">
        <is>
          <t>Elise Chan</t>
        </is>
      </c>
      <c r="D587">
        <f>HYPERLINK("https://ota.tournamentsoftware.com/player-profile/74C14A51-A560-4368-85E6-96F13264726F", "Link")</f>
        <v/>
      </c>
      <c r="E587" s="3" t="n">
        <v>50.266</v>
      </c>
      <c r="F587" s="4" t="n">
        <v>4</v>
      </c>
      <c r="G587" t="inlineStr">
        <is>
          <t>Ontario Tennis Association</t>
        </is>
      </c>
      <c r="H587" t="inlineStr">
        <is>
          <t>Rideau Sports Centre</t>
        </is>
      </c>
      <c r="I587" t="n">
        <v>38.4</v>
      </c>
      <c r="J587" s="4" t="n">
        <v>3</v>
      </c>
      <c r="K587" t="inlineStr">
        <is>
          <t>0 / 3</t>
        </is>
      </c>
      <c r="L587" t="inlineStr">
        <is>
          <t>0 / 3</t>
        </is>
      </c>
      <c r="M587" s="5" t="n">
        <v>0</v>
      </c>
      <c r="N587" s="5" t="n">
        <v>0</v>
      </c>
    </row>
    <row r="588">
      <c r="A588" t="n">
        <v>587</v>
      </c>
      <c r="B588" t="n">
        <v>2014</v>
      </c>
      <c r="C588" t="inlineStr">
        <is>
          <t>Charlotte Adeline Ratchford</t>
        </is>
      </c>
      <c r="D588">
        <f>HYPERLINK("https://ota.tournamentsoftware.com/player-profile/552DF1FC-65F6-48FE-8B31-884C1DC273DB", "Link")</f>
        <v/>
      </c>
      <c r="E588" s="3" t="n">
        <v>49.765</v>
      </c>
      <c r="F588" s="4" t="n">
        <v>17</v>
      </c>
      <c r="G588" t="inlineStr">
        <is>
          <t>British Columbia</t>
        </is>
      </c>
      <c r="H588" t="inlineStr">
        <is>
          <t>Jericho Tennis Club</t>
        </is>
      </c>
      <c r="I588" t="n">
        <v>36.9</v>
      </c>
      <c r="J588" s="4" t="n">
        <v>45</v>
      </c>
      <c r="K588" t="inlineStr">
        <is>
          <t>14 / 31</t>
        </is>
      </c>
      <c r="L588" t="inlineStr">
        <is>
          <t>12 / 26</t>
        </is>
      </c>
      <c r="M588" s="5" t="n">
        <v>0.31</v>
      </c>
      <c r="N588" s="5" t="n">
        <v>0.32</v>
      </c>
    </row>
    <row r="589">
      <c r="A589" t="n">
        <v>588</v>
      </c>
      <c r="B589" t="n">
        <v>2014</v>
      </c>
      <c r="C589" t="inlineStr">
        <is>
          <t>Emma Ghantous</t>
        </is>
      </c>
      <c r="D589">
        <f>HYPERLINK("https://ota.tournamentsoftware.com/player-profile/0EA6BF71-F3BF-4EA7-95F6-B80CD551F4FB", "Link")</f>
        <v/>
      </c>
      <c r="E589" s="3" t="n">
        <v>49.68</v>
      </c>
      <c r="F589" s="4" t="n">
        <v>2</v>
      </c>
      <c r="G589" t="inlineStr">
        <is>
          <t>Tennis Québec</t>
        </is>
      </c>
      <c r="H589" t="inlineStr">
        <is>
          <t>Tennis 13</t>
        </is>
      </c>
      <c r="I589" t="n">
        <v>33.4</v>
      </c>
      <c r="J589" s="4" t="n">
        <v>126</v>
      </c>
      <c r="K589" t="inlineStr">
        <is>
          <t>77 / 49</t>
        </is>
      </c>
      <c r="L589" t="inlineStr">
        <is>
          <t>0 / 0</t>
        </is>
      </c>
      <c r="M589" s="5" t="n">
        <v>0.61</v>
      </c>
      <c r="N589" s="5" t="n">
        <v>0</v>
      </c>
    </row>
    <row r="590">
      <c r="A590" t="n">
        <v>589</v>
      </c>
      <c r="B590" t="n">
        <v>2015</v>
      </c>
      <c r="C590" t="inlineStr">
        <is>
          <t>Sofia Kiselenko</t>
        </is>
      </c>
      <c r="D590">
        <f>HYPERLINK("https://ota.tournamentsoftware.com/player-profile/8164E8EB-17A8-4270-A12B-31EFF18C9343", "Link")</f>
        <v/>
      </c>
      <c r="E590" s="3" t="n">
        <v>49.342</v>
      </c>
      <c r="F590" s="4" t="n">
        <v>15</v>
      </c>
      <c r="G590" t="inlineStr">
        <is>
          <t>Tennis Alberta</t>
        </is>
      </c>
      <c r="H590" t="inlineStr">
        <is>
          <t>Osten &amp; Victor Alberta Tennis Centre</t>
        </is>
      </c>
      <c r="I590" t="n">
        <v>37</v>
      </c>
      <c r="J590" s="4" t="n">
        <v>133</v>
      </c>
      <c r="K590" t="inlineStr">
        <is>
          <t>44 / 89</t>
        </is>
      </c>
      <c r="L590" t="inlineStr">
        <is>
          <t>12 / 15</t>
        </is>
      </c>
      <c r="M590" s="5" t="n">
        <v>0.33</v>
      </c>
      <c r="N590" s="5" t="n">
        <v>0.44</v>
      </c>
    </row>
    <row r="591">
      <c r="A591" t="n">
        <v>590</v>
      </c>
      <c r="B591" t="n">
        <v>2016</v>
      </c>
      <c r="C591" t="inlineStr">
        <is>
          <t>Olivia Yueer Hao</t>
        </is>
      </c>
      <c r="D591">
        <f>HYPERLINK("https://ota.tournamentsoftware.com/player-profile/61C0E090-4E32-499F-86FE-FFD674DD6128", "Link")</f>
        <v/>
      </c>
      <c r="E591" s="3" t="n">
        <v>49.177</v>
      </c>
      <c r="F591" s="4" t="n">
        <v>9</v>
      </c>
      <c r="G591" t="inlineStr">
        <is>
          <t>Ontario Tennis Association</t>
        </is>
      </c>
      <c r="H591" t="inlineStr">
        <is>
          <t>Valan Tennis Academy</t>
        </is>
      </c>
      <c r="I591" t="n">
        <v>38.1</v>
      </c>
      <c r="J591" s="4" t="n">
        <v>73</v>
      </c>
      <c r="K591" t="inlineStr">
        <is>
          <t>33 / 40</t>
        </is>
      </c>
      <c r="L591" t="inlineStr">
        <is>
          <t>29 / 25</t>
        </is>
      </c>
      <c r="M591" s="5" t="n">
        <v>0.45</v>
      </c>
      <c r="N591" s="5" t="n">
        <v>0.54</v>
      </c>
    </row>
    <row r="592">
      <c r="A592" t="n">
        <v>591</v>
      </c>
      <c r="B592" t="n">
        <v>2017</v>
      </c>
      <c r="C592" t="inlineStr">
        <is>
          <t>Vivian Spurrell</t>
        </is>
      </c>
      <c r="D592">
        <f>HYPERLINK("https://ota.tournamentsoftware.com/player-profile/9CFE670B-9D8C-4BC2-8DDB-1C78F17AE1FF", "Link")</f>
        <v/>
      </c>
      <c r="E592" s="3" t="n">
        <v>49.126</v>
      </c>
      <c r="F592" s="4" t="n">
        <v>3</v>
      </c>
      <c r="G592" t="inlineStr">
        <is>
          <t>Tennis Newfoundland &amp; Labrador</t>
        </is>
      </c>
      <c r="H592" t="inlineStr">
        <is>
          <t>Greenbelt Tennis Club</t>
        </is>
      </c>
      <c r="I592" t="inlineStr">
        <is>
          <t>unavailable</t>
        </is>
      </c>
      <c r="J592" s="4" t="n">
        <v>20</v>
      </c>
      <c r="K592" t="inlineStr">
        <is>
          <t>15 / 5</t>
        </is>
      </c>
      <c r="L592" t="inlineStr">
        <is>
          <t>11 / 3</t>
        </is>
      </c>
      <c r="M592" s="5" t="n">
        <v>0.75</v>
      </c>
      <c r="N592" s="5" t="n">
        <v>0.79</v>
      </c>
    </row>
    <row r="593">
      <c r="A593" t="n">
        <v>592</v>
      </c>
      <c r="B593" t="n">
        <v>2015</v>
      </c>
      <c r="C593" t="inlineStr">
        <is>
          <t>Scarlett Chan</t>
        </is>
      </c>
      <c r="D593">
        <f>HYPERLINK("https://ota.tournamentsoftware.com/player-profile/FC173056-E1A0-4194-9722-D15B8524262F", "Link")</f>
        <v/>
      </c>
      <c r="E593" s="3" t="n">
        <v>48.556</v>
      </c>
      <c r="F593" s="4" t="n">
        <v>5</v>
      </c>
      <c r="G593" t="inlineStr">
        <is>
          <t>Ontario Tennis Association</t>
        </is>
      </c>
      <c r="H593" t="inlineStr">
        <is>
          <t>Mayfair East Racquet Club</t>
        </is>
      </c>
      <c r="I593" t="n">
        <v>36.7</v>
      </c>
      <c r="J593" s="4" t="n">
        <v>81</v>
      </c>
      <c r="K593" t="inlineStr">
        <is>
          <t>48 / 33</t>
        </is>
      </c>
      <c r="L593" t="inlineStr">
        <is>
          <t>4 / 7</t>
        </is>
      </c>
      <c r="M593" s="5" t="n">
        <v>0.59</v>
      </c>
      <c r="N593" s="5" t="n">
        <v>0.36</v>
      </c>
    </row>
    <row r="594">
      <c r="A594" t="n">
        <v>593</v>
      </c>
      <c r="B594" t="n">
        <v>2015</v>
      </c>
      <c r="C594" t="inlineStr">
        <is>
          <t>Aubrey Baldinelli</t>
        </is>
      </c>
      <c r="D594">
        <f>HYPERLINK("https://ota.tournamentsoftware.com/player-profile/4C52D449-95CA-49A9-B524-B01117EAD86C", "Link")</f>
        <v/>
      </c>
      <c r="E594" s="3" t="n">
        <v>48.55</v>
      </c>
      <c r="F594" s="4" t="n">
        <v>10</v>
      </c>
      <c r="G594" t="inlineStr">
        <is>
          <t>Ontario Tennis Association</t>
        </is>
      </c>
      <c r="H594" t="inlineStr">
        <is>
          <t>Youngs Sportsplex</t>
        </is>
      </c>
      <c r="I594" t="n">
        <v>37.4</v>
      </c>
      <c r="J594" s="4" t="n">
        <v>43</v>
      </c>
      <c r="K594" t="inlineStr">
        <is>
          <t>22 / 21</t>
        </is>
      </c>
      <c r="L594" t="inlineStr">
        <is>
          <t>5 / 13</t>
        </is>
      </c>
      <c r="M594" s="5" t="n">
        <v>0.51</v>
      </c>
      <c r="N594" s="5" t="n">
        <v>0.28</v>
      </c>
    </row>
    <row r="595">
      <c r="A595" t="n">
        <v>594</v>
      </c>
      <c r="B595" t="n">
        <v>2014</v>
      </c>
      <c r="C595" t="inlineStr">
        <is>
          <t>Tess Marie Trenholm</t>
        </is>
      </c>
      <c r="D595">
        <f>HYPERLINK("https://ota.tournamentsoftware.com/player-profile/37DD9223-BE00-45F7-9DE9-3EA92F74CD7B", "Link")</f>
        <v/>
      </c>
      <c r="E595" s="3" t="n">
        <v>48.421</v>
      </c>
      <c r="F595" s="4" t="n">
        <v>17</v>
      </c>
      <c r="G595" t="inlineStr">
        <is>
          <t>Ontario Tennis Association</t>
        </is>
      </c>
      <c r="H595" t="inlineStr">
        <is>
          <t>Ontario Racquet Club</t>
        </is>
      </c>
      <c r="I595" t="n">
        <v>38.1</v>
      </c>
      <c r="J595" s="4" t="n">
        <v>97</v>
      </c>
      <c r="K595" t="inlineStr">
        <is>
          <t>27 / 70</t>
        </is>
      </c>
      <c r="L595" t="inlineStr">
        <is>
          <t>8 / 15</t>
        </is>
      </c>
      <c r="M595" s="5" t="n">
        <v>0.28</v>
      </c>
      <c r="N595" s="5" t="n">
        <v>0.35</v>
      </c>
    </row>
    <row r="596">
      <c r="A596" t="n">
        <v>595</v>
      </c>
      <c r="B596" t="n">
        <v>2014</v>
      </c>
      <c r="C596" t="inlineStr">
        <is>
          <t>Sophie Vivienne Ma</t>
        </is>
      </c>
      <c r="D596">
        <f>HYPERLINK("https://ota.tournamentsoftware.com/player-profile/5BFCC3E7-799D-4957-B35C-26164F771CAB", "Link")</f>
        <v/>
      </c>
      <c r="E596" s="3" t="n">
        <v>48.24</v>
      </c>
      <c r="F596" s="4" t="n">
        <v>10</v>
      </c>
      <c r="G596" t="inlineStr">
        <is>
          <t>Ontario Tennis Association</t>
        </is>
      </c>
      <c r="H596" t="inlineStr">
        <is>
          <t>NYTA Winter Tennis Club</t>
        </is>
      </c>
      <c r="I596" t="n">
        <v>37.5</v>
      </c>
      <c r="J596" s="4" t="n">
        <v>61</v>
      </c>
      <c r="K596" t="inlineStr">
        <is>
          <t>21 / 40</t>
        </is>
      </c>
      <c r="L596" t="inlineStr">
        <is>
          <t>6 / 13</t>
        </is>
      </c>
      <c r="M596" s="5" t="n">
        <v>0.34</v>
      </c>
      <c r="N596" s="5" t="n">
        <v>0.32</v>
      </c>
    </row>
    <row r="597">
      <c r="A597" t="n">
        <v>596</v>
      </c>
      <c r="B597" t="n">
        <v>2013</v>
      </c>
      <c r="C597" t="inlineStr">
        <is>
          <t>Gloria Yang</t>
        </is>
      </c>
      <c r="D597">
        <f>HYPERLINK("https://ota.tournamentsoftware.com/player-profile/93D03535-4A4B-4898-A531-8F0DB9BA8BD8", "Link")</f>
        <v/>
      </c>
      <c r="E597" s="3" t="n">
        <v>48.153</v>
      </c>
      <c r="F597" s="4" t="n">
        <v>2</v>
      </c>
      <c r="G597" t="inlineStr">
        <is>
          <t>Tennis Prince Edward Island</t>
        </is>
      </c>
      <c r="H597" t="inlineStr">
        <is>
          <t>Royalty Racquet Centre</t>
        </is>
      </c>
      <c r="I597" t="inlineStr">
        <is>
          <t>unavailable</t>
        </is>
      </c>
      <c r="J597" s="4" t="n">
        <v>24</v>
      </c>
      <c r="K597" t="inlineStr">
        <is>
          <t>11 / 13</t>
        </is>
      </c>
      <c r="L597" t="inlineStr">
        <is>
          <t>7 / 9</t>
        </is>
      </c>
      <c r="M597" s="5" t="n">
        <v>0.46</v>
      </c>
      <c r="N597" s="5" t="n">
        <v>0.44</v>
      </c>
    </row>
    <row r="598">
      <c r="A598" t="n">
        <v>597</v>
      </c>
      <c r="B598" t="n">
        <v>2015</v>
      </c>
      <c r="C598" t="inlineStr">
        <is>
          <t>LILLIAN LI</t>
        </is>
      </c>
      <c r="D598">
        <f>HYPERLINK("https://ota.tournamentsoftware.com/player-profile/6381808D-332A-4694-9A60-DD4214A2A2F0", "Link")</f>
        <v/>
      </c>
      <c r="E598" s="3" t="n">
        <v>47.962</v>
      </c>
      <c r="F598" s="4" t="n">
        <v>9</v>
      </c>
      <c r="G598" t="inlineStr">
        <is>
          <t>Ontario Tennis Association</t>
        </is>
      </c>
      <c r="H598" t="inlineStr">
        <is>
          <t>Rideau Sports Centre</t>
        </is>
      </c>
      <c r="I598" t="n">
        <v>40</v>
      </c>
      <c r="J598" s="4" t="n">
        <v>23</v>
      </c>
      <c r="K598" t="inlineStr">
        <is>
          <t>5 / 18</t>
        </is>
      </c>
      <c r="L598" t="inlineStr">
        <is>
          <t>1 / 10</t>
        </is>
      </c>
      <c r="M598" s="5" t="n">
        <v>0.22</v>
      </c>
      <c r="N598" s="5" t="n">
        <v>0.09</v>
      </c>
    </row>
    <row r="599">
      <c r="A599" t="n">
        <v>598</v>
      </c>
      <c r="B599" t="n">
        <v>2015</v>
      </c>
      <c r="C599" t="inlineStr">
        <is>
          <t>Anna Bella Grozdanovski</t>
        </is>
      </c>
      <c r="D599">
        <f>HYPERLINK("https://ota.tournamentsoftware.com/player-profile/C1BD78E7-5BB0-4BD0-9D53-DA02A232F8A0", "Link")</f>
        <v/>
      </c>
      <c r="E599" s="3" t="n">
        <v>46.908</v>
      </c>
      <c r="F599" s="4" t="n">
        <v>6</v>
      </c>
      <c r="G599" t="inlineStr">
        <is>
          <t>Ontario Tennis Association</t>
        </is>
      </c>
      <c r="H599" t="inlineStr">
        <is>
          <t>No Club</t>
        </is>
      </c>
      <c r="I599" t="n">
        <v>36.5</v>
      </c>
      <c r="J599" s="4" t="n">
        <v>40</v>
      </c>
      <c r="K599" t="inlineStr">
        <is>
          <t>19 / 21</t>
        </is>
      </c>
      <c r="L599" t="inlineStr">
        <is>
          <t>10 / 6</t>
        </is>
      </c>
      <c r="M599" s="5" t="n">
        <v>0.47</v>
      </c>
      <c r="N599" s="5" t="n">
        <v>0.62</v>
      </c>
    </row>
    <row r="600">
      <c r="A600" t="n">
        <v>599</v>
      </c>
      <c r="B600" t="n">
        <v>2014</v>
      </c>
      <c r="C600" t="inlineStr">
        <is>
          <t>Victoria Kycia Block</t>
        </is>
      </c>
      <c r="D600">
        <f>HYPERLINK("https://ota.tournamentsoftware.com/player-profile/1F978CA6-97AC-4A84-BBEB-B431DDD9A28B", "Link")</f>
        <v/>
      </c>
      <c r="E600" s="3" t="n">
        <v>46.53</v>
      </c>
      <c r="F600" s="4" t="n">
        <v>11</v>
      </c>
      <c r="G600" t="inlineStr">
        <is>
          <t>Tennis Alberta</t>
        </is>
      </c>
      <c r="H600" t="inlineStr">
        <is>
          <t>Saville Community Sports Centre</t>
        </is>
      </c>
      <c r="I600" t="n">
        <v>34.4</v>
      </c>
      <c r="J600" s="4" t="n">
        <v>49</v>
      </c>
      <c r="K600" t="inlineStr">
        <is>
          <t>17 / 32</t>
        </is>
      </c>
      <c r="L600" t="inlineStr">
        <is>
          <t>10 / 9</t>
        </is>
      </c>
      <c r="M600" s="5" t="n">
        <v>0.35</v>
      </c>
      <c r="N600" s="5" t="n">
        <v>0.53</v>
      </c>
    </row>
    <row r="601">
      <c r="A601" t="n">
        <v>600</v>
      </c>
      <c r="B601" t="n">
        <v>2014</v>
      </c>
      <c r="C601" t="inlineStr">
        <is>
          <t>Alena Sui</t>
        </is>
      </c>
      <c r="D601">
        <f>HYPERLINK("https://ota.tournamentsoftware.com/player-profile/92B690E9-D6C6-410C-A457-5AC3927E933A", "Link")</f>
        <v/>
      </c>
      <c r="E601" s="3" t="n">
        <v>46.443</v>
      </c>
      <c r="F601" s="4" t="n">
        <v>13</v>
      </c>
      <c r="G601" t="inlineStr">
        <is>
          <t>British Columbia</t>
        </is>
      </c>
      <c r="H601" t="inlineStr">
        <is>
          <t>No Club</t>
        </is>
      </c>
      <c r="I601" t="n">
        <v>37.7</v>
      </c>
      <c r="J601" s="4" t="n">
        <v>84</v>
      </c>
      <c r="K601" t="inlineStr">
        <is>
          <t>38 / 46</t>
        </is>
      </c>
      <c r="L601" t="inlineStr">
        <is>
          <t>18 / 24</t>
        </is>
      </c>
      <c r="M601" s="5" t="n">
        <v>0.45</v>
      </c>
      <c r="N601" s="5" t="n">
        <v>0.43</v>
      </c>
    </row>
    <row r="602">
      <c r="A602" t="n">
        <v>601</v>
      </c>
      <c r="B602" t="n">
        <v>2014</v>
      </c>
      <c r="C602" t="inlineStr">
        <is>
          <t>Laura Gyori</t>
        </is>
      </c>
      <c r="D602">
        <f>HYPERLINK("https://ota.tournamentsoftware.com/player-profile/5A55107A-8C3C-4255-8453-79017D4120E3", "Link")</f>
        <v/>
      </c>
      <c r="E602" s="3" t="n">
        <v>46.432</v>
      </c>
      <c r="F602" s="4" t="n">
        <v>5</v>
      </c>
      <c r="G602" t="inlineStr">
        <is>
          <t>Ontario Tennis Association</t>
        </is>
      </c>
      <c r="H602" t="inlineStr">
        <is>
          <t>Rideau Sports Centre</t>
        </is>
      </c>
      <c r="I602" t="inlineStr">
        <is>
          <t>unavailable</t>
        </is>
      </c>
      <c r="J602" s="4" t="n">
        <v>19</v>
      </c>
      <c r="K602" t="inlineStr">
        <is>
          <t>7 / 12</t>
        </is>
      </c>
      <c r="L602" t="inlineStr">
        <is>
          <t>3 / 5</t>
        </is>
      </c>
      <c r="M602" s="5" t="n">
        <v>0.37</v>
      </c>
      <c r="N602" s="5" t="n">
        <v>0.38</v>
      </c>
    </row>
    <row r="603">
      <c r="A603" t="n">
        <v>602</v>
      </c>
      <c r="B603" t="n">
        <v>2016</v>
      </c>
      <c r="C603" t="inlineStr">
        <is>
          <t>Stella Somerville</t>
        </is>
      </c>
      <c r="D603">
        <f>HYPERLINK("https://ota.tournamentsoftware.com/player-profile/87C92774-21A4-4A46-97F9-D656FA91A212", "Link")</f>
        <v/>
      </c>
      <c r="E603" s="3" t="n">
        <v>46.08</v>
      </c>
      <c r="F603" s="4" t="n">
        <v>7</v>
      </c>
      <c r="G603" t="inlineStr">
        <is>
          <t>Ontario Tennis Association</t>
        </is>
      </c>
      <c r="H603" t="inlineStr">
        <is>
          <t>Advantage Tennis International at Veneto</t>
        </is>
      </c>
      <c r="I603" t="n">
        <v>36.6</v>
      </c>
      <c r="J603" s="4" t="n">
        <v>89</v>
      </c>
      <c r="K603" t="inlineStr">
        <is>
          <t>41 / 48</t>
        </is>
      </c>
      <c r="L603" t="inlineStr">
        <is>
          <t>10 / 10</t>
        </is>
      </c>
      <c r="M603" s="5" t="n">
        <v>0.46</v>
      </c>
      <c r="N603" s="5" t="n">
        <v>0.5</v>
      </c>
    </row>
    <row r="604">
      <c r="A604" t="n">
        <v>603</v>
      </c>
      <c r="B604" t="n">
        <v>2015</v>
      </c>
      <c r="C604" t="inlineStr">
        <is>
          <t>Olivia Mary Hipwell</t>
        </is>
      </c>
      <c r="D604">
        <f>HYPERLINK("https://ota.tournamentsoftware.com/player-profile/1595D3E6-D4CF-4ADE-B136-FD5AC473C7F7", "Link")</f>
        <v/>
      </c>
      <c r="E604" s="3" t="n">
        <v>45.828</v>
      </c>
      <c r="F604" s="4" t="n">
        <v>10</v>
      </c>
      <c r="G604" t="inlineStr">
        <is>
          <t>Ontario Tennis Association</t>
        </is>
      </c>
      <c r="H604" t="inlineStr">
        <is>
          <t>Ontario Racquet Club</t>
        </is>
      </c>
      <c r="I604" t="inlineStr">
        <is>
          <t>unavailable</t>
        </is>
      </c>
      <c r="J604" s="4" t="inlineStr"/>
      <c r="K604" t="inlineStr">
        <is>
          <t>unavailable</t>
        </is>
      </c>
      <c r="L604" t="inlineStr">
        <is>
          <t>unavailable</t>
        </is>
      </c>
      <c r="M604" s="5" t="inlineStr"/>
      <c r="N604" s="5" t="inlineStr"/>
    </row>
    <row r="605">
      <c r="A605" t="n">
        <v>604</v>
      </c>
      <c r="B605" t="n">
        <v>2015</v>
      </c>
      <c r="C605" t="inlineStr">
        <is>
          <t>ALICE Wan yee Wong</t>
        </is>
      </c>
      <c r="D605">
        <f>HYPERLINK("https://ota.tournamentsoftware.com/player-profile/1B8AB01B-692B-4E5E-B513-A24155329374", "Link")</f>
        <v/>
      </c>
      <c r="E605" s="3" t="n">
        <v>45.818</v>
      </c>
      <c r="F605" s="4" t="n">
        <v>13</v>
      </c>
      <c r="G605" t="inlineStr">
        <is>
          <t>British Columbia</t>
        </is>
      </c>
      <c r="H605" t="inlineStr">
        <is>
          <t>The Tennis Centre</t>
        </is>
      </c>
      <c r="I605" t="n">
        <v>35</v>
      </c>
      <c r="J605" s="4" t="n">
        <v>125</v>
      </c>
      <c r="K605" t="inlineStr">
        <is>
          <t>60 / 65</t>
        </is>
      </c>
      <c r="L605" t="inlineStr">
        <is>
          <t>20 / 16</t>
        </is>
      </c>
      <c r="M605" s="5" t="n">
        <v>0.48</v>
      </c>
      <c r="N605" s="5" t="n">
        <v>0.5600000000000001</v>
      </c>
    </row>
    <row r="606">
      <c r="A606" t="n">
        <v>605</v>
      </c>
      <c r="B606" t="n">
        <v>2013</v>
      </c>
      <c r="C606" t="inlineStr">
        <is>
          <t>Blake Beck Sadler</t>
        </is>
      </c>
      <c r="D606">
        <f>HYPERLINK("https://ota.tournamentsoftware.com/player-profile/B44D5381-342B-4AF0-8200-EA0CEE1E54B7", "Link")</f>
        <v/>
      </c>
      <c r="E606" s="3" t="n">
        <v>45.78</v>
      </c>
      <c r="F606" s="4" t="n">
        <v>3</v>
      </c>
      <c r="G606" t="inlineStr">
        <is>
          <t>Ontario Tennis Association</t>
        </is>
      </c>
      <c r="H606" t="inlineStr">
        <is>
          <t>Ontario Racquet Club</t>
        </is>
      </c>
      <c r="I606" t="n">
        <v>37.2</v>
      </c>
      <c r="J606" s="4" t="n">
        <v>23</v>
      </c>
      <c r="K606" t="inlineStr">
        <is>
          <t>12 / 11</t>
        </is>
      </c>
      <c r="L606" t="inlineStr">
        <is>
          <t>1 / 2</t>
        </is>
      </c>
      <c r="M606" s="5" t="n">
        <v>0.52</v>
      </c>
      <c r="N606" s="5" t="n">
        <v>0.33</v>
      </c>
    </row>
    <row r="607">
      <c r="A607" t="n">
        <v>606</v>
      </c>
      <c r="B607" t="n">
        <v>2017</v>
      </c>
      <c r="C607" t="inlineStr">
        <is>
          <t>Arianna Fernanda Chacon</t>
        </is>
      </c>
      <c r="D607">
        <f>HYPERLINK("https://ota.tournamentsoftware.com/player-profile/3B36D99D-C9E7-48A2-BC06-6AD3725AC12E", "Link")</f>
        <v/>
      </c>
      <c r="E607" s="3" t="n">
        <v>45.016</v>
      </c>
      <c r="F607" s="4" t="n">
        <v>16</v>
      </c>
      <c r="G607" t="inlineStr">
        <is>
          <t>Tennis Alberta</t>
        </is>
      </c>
      <c r="H607" t="inlineStr">
        <is>
          <t>Aforza</t>
        </is>
      </c>
      <c r="I607" t="n">
        <v>34.8</v>
      </c>
      <c r="J607" s="4" t="n">
        <v>204</v>
      </c>
      <c r="K607" t="inlineStr">
        <is>
          <t>108 / 96</t>
        </is>
      </c>
      <c r="L607" t="inlineStr">
        <is>
          <t>35 / 20</t>
        </is>
      </c>
      <c r="M607" s="5" t="n">
        <v>0.53</v>
      </c>
      <c r="N607" s="5" t="n">
        <v>0.64</v>
      </c>
    </row>
    <row r="608">
      <c r="A608" t="n">
        <v>607</v>
      </c>
      <c r="B608" t="n">
        <v>2012</v>
      </c>
      <c r="C608" t="inlineStr">
        <is>
          <t>Selena Wazelle</t>
        </is>
      </c>
      <c r="D608">
        <f>HYPERLINK("https://ota.tournamentsoftware.com/player-profile/B596341F-BD27-43AF-8888-AAD072F39AFB", "Link")</f>
        <v/>
      </c>
      <c r="E608" s="3" t="n">
        <v>45</v>
      </c>
      <c r="F608" s="4" t="n">
        <v>1</v>
      </c>
      <c r="G608" t="inlineStr">
        <is>
          <t>British Columbia</t>
        </is>
      </c>
      <c r="H608" t="inlineStr">
        <is>
          <t>No Club</t>
        </is>
      </c>
      <c r="I608" t="n">
        <v>30.2</v>
      </c>
      <c r="J608" s="4" t="n">
        <v>159</v>
      </c>
      <c r="K608" t="inlineStr">
        <is>
          <t>89 / 70</t>
        </is>
      </c>
      <c r="L608" t="inlineStr">
        <is>
          <t>0 / 0</t>
        </is>
      </c>
      <c r="M608" s="5" t="n">
        <v>0.5600000000000001</v>
      </c>
      <c r="N608" s="5" t="n">
        <v>0</v>
      </c>
    </row>
    <row r="609">
      <c r="A609" t="n">
        <v>608</v>
      </c>
      <c r="B609" t="n">
        <v>2015</v>
      </c>
      <c r="C609" t="inlineStr">
        <is>
          <t>Kinsley Jade Lin</t>
        </is>
      </c>
      <c r="D609">
        <f>HYPERLINK("https://ota.tournamentsoftware.com/player-profile/1FF4FA2D-412B-4E4A-AE72-948C7BC68D73", "Link")</f>
        <v/>
      </c>
      <c r="E609" s="3" t="n">
        <v>44.956</v>
      </c>
      <c r="F609" s="4" t="n">
        <v>11</v>
      </c>
      <c r="G609" t="inlineStr">
        <is>
          <t>Ontario Tennis Association</t>
        </is>
      </c>
      <c r="H609" t="inlineStr">
        <is>
          <t>The Tennis School</t>
        </is>
      </c>
      <c r="I609" t="n">
        <v>37.6</v>
      </c>
      <c r="J609" s="4" t="n">
        <v>94</v>
      </c>
      <c r="K609" t="inlineStr">
        <is>
          <t>40 / 54</t>
        </is>
      </c>
      <c r="L609" t="inlineStr">
        <is>
          <t>5 / 11</t>
        </is>
      </c>
      <c r="M609" s="5" t="n">
        <v>0.43</v>
      </c>
      <c r="N609" s="5" t="n">
        <v>0.31</v>
      </c>
    </row>
    <row r="610">
      <c r="A610" t="n">
        <v>609</v>
      </c>
      <c r="B610" t="n">
        <v>2016</v>
      </c>
      <c r="C610" t="inlineStr">
        <is>
          <t>Jessie DONG</t>
        </is>
      </c>
      <c r="D610">
        <f>HYPERLINK("https://ota.tournamentsoftware.com/player-profile/DD46DDC2-A0FA-4A57-9C2B-207D02D3DFB6", "Link")</f>
        <v/>
      </c>
      <c r="E610" s="3" t="n">
        <v>44.76</v>
      </c>
      <c r="F610" s="4" t="n">
        <v>9</v>
      </c>
      <c r="G610" t="inlineStr">
        <is>
          <t>Ontario Tennis Association</t>
        </is>
      </c>
      <c r="H610" t="inlineStr">
        <is>
          <t>Premier Racquet Clubs – Mississauga</t>
        </is>
      </c>
      <c r="I610" t="n">
        <v>37.5</v>
      </c>
      <c r="J610" s="4" t="n">
        <v>61</v>
      </c>
      <c r="K610" t="inlineStr">
        <is>
          <t>25 / 36</t>
        </is>
      </c>
      <c r="L610" t="inlineStr">
        <is>
          <t>25 / 36</t>
        </is>
      </c>
      <c r="M610" s="5" t="n">
        <v>0.41</v>
      </c>
      <c r="N610" s="5" t="n">
        <v>0.41</v>
      </c>
    </row>
    <row r="611">
      <c r="A611" t="n">
        <v>610</v>
      </c>
      <c r="B611" t="n">
        <v>2015</v>
      </c>
      <c r="C611" t="inlineStr">
        <is>
          <t>Milana Maor</t>
        </is>
      </c>
      <c r="D611">
        <f>HYPERLINK("https://ota.tournamentsoftware.com/player-profile/EFC2E194-22E1-4017-A2E8-0B41E7DB9101", "Link")</f>
        <v/>
      </c>
      <c r="E611" s="3" t="n">
        <v>44.009</v>
      </c>
      <c r="F611" s="4" t="n">
        <v>10</v>
      </c>
      <c r="G611" t="inlineStr">
        <is>
          <t>Ontario Tennis Association</t>
        </is>
      </c>
      <c r="H611" t="inlineStr">
        <is>
          <t>No Club</t>
        </is>
      </c>
      <c r="I611" t="n">
        <v>36.7</v>
      </c>
      <c r="J611" s="4" t="n">
        <v>60</v>
      </c>
      <c r="K611" t="inlineStr">
        <is>
          <t>25 / 35</t>
        </is>
      </c>
      <c r="L611" t="inlineStr">
        <is>
          <t>8 / 16</t>
        </is>
      </c>
      <c r="M611" s="5" t="n">
        <v>0.42</v>
      </c>
      <c r="N611" s="5" t="n">
        <v>0.33</v>
      </c>
    </row>
    <row r="612">
      <c r="A612" t="n">
        <v>611</v>
      </c>
      <c r="B612" t="n">
        <v>2012</v>
      </c>
      <c r="C612" t="inlineStr">
        <is>
          <t>Adelaide Morgan</t>
        </is>
      </c>
      <c r="D612">
        <f>HYPERLINK("https://ota.tournamentsoftware.com/player-profile/349677AB-87B2-407B-BDFF-04EE8550EE87", "Link")</f>
        <v/>
      </c>
      <c r="E612" s="3" t="n">
        <v>43.891</v>
      </c>
      <c r="F612" s="4" t="n">
        <v>3</v>
      </c>
      <c r="G612" t="inlineStr">
        <is>
          <t>Ontario Tennis Association</t>
        </is>
      </c>
      <c r="H612" t="inlineStr">
        <is>
          <t>Eglinton Flats Winter Tennis Club</t>
        </is>
      </c>
      <c r="I612" t="inlineStr">
        <is>
          <t>unavailable</t>
        </is>
      </c>
      <c r="J612" s="4" t="n">
        <v>17</v>
      </c>
      <c r="K612" t="inlineStr">
        <is>
          <t>5 / 12</t>
        </is>
      </c>
      <c r="L612" t="inlineStr">
        <is>
          <t>0 / 6</t>
        </is>
      </c>
      <c r="M612" s="5" t="n">
        <v>0.29</v>
      </c>
      <c r="N612" s="5" t="n">
        <v>0</v>
      </c>
    </row>
    <row r="613">
      <c r="A613" t="n">
        <v>612</v>
      </c>
      <c r="B613" t="n">
        <v>2012</v>
      </c>
      <c r="C613" t="inlineStr">
        <is>
          <t>Stefaniia Petrova</t>
        </is>
      </c>
      <c r="D613">
        <f>HYPERLINK("https://ota.tournamentsoftware.com/player-profile/23727B96-731B-4DBB-9789-81399E2B9950", "Link")</f>
        <v/>
      </c>
      <c r="E613" s="3" t="n">
        <v>43.56</v>
      </c>
      <c r="F613" s="4" t="n">
        <v>1</v>
      </c>
      <c r="G613" t="inlineStr">
        <is>
          <t>Ontario Tennis Association</t>
        </is>
      </c>
      <c r="H613" t="inlineStr">
        <is>
          <t>No Club</t>
        </is>
      </c>
      <c r="I613" t="n">
        <v>29.1</v>
      </c>
      <c r="J613" s="4" t="n">
        <v>301</v>
      </c>
      <c r="K613" t="inlineStr">
        <is>
          <t>177 / 124</t>
        </is>
      </c>
      <c r="L613" t="inlineStr">
        <is>
          <t>0 / 0</t>
        </is>
      </c>
      <c r="M613" s="5" t="n">
        <v>0.59</v>
      </c>
      <c r="N613" s="5" t="n">
        <v>0</v>
      </c>
    </row>
    <row r="614">
      <c r="A614" t="n">
        <v>613</v>
      </c>
      <c r="B614" t="n">
        <v>2013</v>
      </c>
      <c r="C614" t="inlineStr">
        <is>
          <t>Emma Isabella Lamacchia</t>
        </is>
      </c>
      <c r="D614">
        <f>HYPERLINK("https://ota.tournamentsoftware.com/player-profile/13408327-82EC-4D4E-B3D1-9FA084C53782", "Link")</f>
        <v/>
      </c>
      <c r="E614" s="3" t="n">
        <v>43.33</v>
      </c>
      <c r="F614" s="4" t="n">
        <v>3</v>
      </c>
      <c r="G614" t="inlineStr">
        <is>
          <t>Ontario Tennis Association</t>
        </is>
      </c>
      <c r="H614" t="inlineStr">
        <is>
          <t>Advantage Tennis International at Veneto</t>
        </is>
      </c>
      <c r="I614" t="n">
        <v>39.9</v>
      </c>
      <c r="J614" s="4" t="n">
        <v>19</v>
      </c>
      <c r="K614" t="inlineStr">
        <is>
          <t>2 / 17</t>
        </is>
      </c>
      <c r="L614" t="inlineStr">
        <is>
          <t>2 / 17</t>
        </is>
      </c>
      <c r="M614" s="5" t="n">
        <v>0.11</v>
      </c>
      <c r="N614" s="5" t="n">
        <v>0.11</v>
      </c>
    </row>
    <row r="615">
      <c r="A615" t="n">
        <v>614</v>
      </c>
      <c r="B615" t="n">
        <v>2012</v>
      </c>
      <c r="C615" t="inlineStr">
        <is>
          <t>Valeria Taborda - Valverde</t>
        </is>
      </c>
      <c r="D615">
        <f>HYPERLINK("https://ota.tournamentsoftware.com/player-profile/E0201B38-AEE1-4BAC-B0FB-FA389A1FFEA8", "Link")</f>
        <v/>
      </c>
      <c r="E615" s="3" t="n">
        <v>43.272</v>
      </c>
      <c r="F615" s="4" t="n">
        <v>2</v>
      </c>
      <c r="G615" t="inlineStr">
        <is>
          <t>Ontario Tennis Association</t>
        </is>
      </c>
      <c r="H615" t="inlineStr">
        <is>
          <t>Port Hope Racquet Club</t>
        </is>
      </c>
      <c r="I615" t="inlineStr">
        <is>
          <t>unavailable</t>
        </is>
      </c>
      <c r="J615" s="4" t="n">
        <v>38</v>
      </c>
      <c r="K615" t="inlineStr">
        <is>
          <t>16 / 22</t>
        </is>
      </c>
      <c r="L615" t="inlineStr">
        <is>
          <t>4 / 1</t>
        </is>
      </c>
      <c r="M615" s="5" t="n">
        <v>0.42</v>
      </c>
      <c r="N615" s="5" t="n">
        <v>0.8</v>
      </c>
    </row>
    <row r="616">
      <c r="A616" t="n">
        <v>615</v>
      </c>
      <c r="B616" t="n">
        <v>2015</v>
      </c>
      <c r="C616" t="inlineStr">
        <is>
          <t>Charlotte Harvey</t>
        </is>
      </c>
      <c r="D616">
        <f>HYPERLINK("https://ota.tournamentsoftware.com/player-profile/222A5F1C-DAD0-4E2A-B035-6A15561C1E0A", "Link")</f>
        <v/>
      </c>
      <c r="E616" s="3" t="n">
        <v>43.248</v>
      </c>
      <c r="F616" s="4" t="n">
        <v>4</v>
      </c>
      <c r="G616" t="inlineStr">
        <is>
          <t>Tennis Québec</t>
        </is>
      </c>
      <c r="H616" t="inlineStr">
        <is>
          <t>Les Tennis de Rimouski (intérieur)</t>
        </is>
      </c>
      <c r="I616" t="n">
        <v>36.1</v>
      </c>
      <c r="J616" s="4" t="n">
        <v>14</v>
      </c>
      <c r="K616" t="inlineStr">
        <is>
          <t>8 / 6</t>
        </is>
      </c>
      <c r="L616" t="inlineStr">
        <is>
          <t>6 / 5</t>
        </is>
      </c>
      <c r="M616" s="5" t="n">
        <v>0.57</v>
      </c>
      <c r="N616" s="5" t="n">
        <v>0.55</v>
      </c>
    </row>
    <row r="617">
      <c r="A617" t="n">
        <v>616</v>
      </c>
      <c r="B617" t="n">
        <v>2014</v>
      </c>
      <c r="C617" t="inlineStr">
        <is>
          <t>Ann-Mayelle Veillard</t>
        </is>
      </c>
      <c r="D617">
        <f>HYPERLINK("https://ota.tournamentsoftware.com/player-profile/C734CB2A-2E7E-46C5-B1F0-69D754EF8527", "Link")</f>
        <v/>
      </c>
      <c r="E617" s="3" t="n">
        <v>42.328</v>
      </c>
      <c r="F617" s="4" t="n">
        <v>11</v>
      </c>
      <c r="G617" t="inlineStr">
        <is>
          <t>Tennis Québec</t>
        </is>
      </c>
      <c r="H617" t="inlineStr">
        <is>
          <t>No Club</t>
        </is>
      </c>
      <c r="I617" t="inlineStr">
        <is>
          <t>unavailable</t>
        </is>
      </c>
      <c r="J617" s="4" t="n">
        <v>22</v>
      </c>
      <c r="K617" t="inlineStr">
        <is>
          <t>10 / 12</t>
        </is>
      </c>
      <c r="L617" t="inlineStr">
        <is>
          <t>10 / 12</t>
        </is>
      </c>
      <c r="M617" s="5" t="n">
        <v>0.45</v>
      </c>
      <c r="N617" s="5" t="n">
        <v>0.45</v>
      </c>
    </row>
    <row r="618">
      <c r="A618" t="n">
        <v>617</v>
      </c>
      <c r="B618" t="n">
        <v>2012</v>
      </c>
      <c r="C618" t="inlineStr">
        <is>
          <t>Mackenzie Quek</t>
        </is>
      </c>
      <c r="D618">
        <f>HYPERLINK("https://ota.tournamentsoftware.com/player-profile/51407A91-7051-4BC3-B583-F0DC1E06E113", "Link")</f>
        <v/>
      </c>
      <c r="E618" s="3" t="n">
        <v>42.274</v>
      </c>
      <c r="F618" s="4" t="n">
        <v>4</v>
      </c>
      <c r="G618" t="inlineStr">
        <is>
          <t>Ontario Tennis Association</t>
        </is>
      </c>
      <c r="H618" t="inlineStr">
        <is>
          <t>Concord Tennis Academy</t>
        </is>
      </c>
      <c r="I618" t="inlineStr">
        <is>
          <t>unavailable</t>
        </is>
      </c>
      <c r="J618" s="4" t="n">
        <v>13</v>
      </c>
      <c r="K618" t="inlineStr">
        <is>
          <t>3 / 10</t>
        </is>
      </c>
      <c r="L618" t="inlineStr">
        <is>
          <t>3 / 10</t>
        </is>
      </c>
      <c r="M618" s="5" t="n">
        <v>0.23</v>
      </c>
      <c r="N618" s="5" t="n">
        <v>0.23</v>
      </c>
    </row>
    <row r="619">
      <c r="A619" t="n">
        <v>618</v>
      </c>
      <c r="B619" t="n">
        <v>2015</v>
      </c>
      <c r="C619" t="inlineStr">
        <is>
          <t>Juliette Tremblay</t>
        </is>
      </c>
      <c r="D619">
        <f>HYPERLINK("https://ota.tournamentsoftware.com/player-profile/94E82DA2-01EF-471F-BB0F-8CEAA1C42076", "Link")</f>
        <v/>
      </c>
      <c r="E619" s="3" t="n">
        <v>41.998</v>
      </c>
      <c r="F619" s="4" t="n">
        <v>11</v>
      </c>
      <c r="G619" t="inlineStr">
        <is>
          <t>Tennis Québec</t>
        </is>
      </c>
      <c r="H619" t="inlineStr">
        <is>
          <t>Tennis Outaouais Performance (TOP)</t>
        </is>
      </c>
      <c r="I619" t="n">
        <v>37.7</v>
      </c>
      <c r="J619" s="4" t="n">
        <v>54</v>
      </c>
      <c r="K619" t="inlineStr">
        <is>
          <t>16 / 38</t>
        </is>
      </c>
      <c r="L619" t="inlineStr">
        <is>
          <t>5 / 13</t>
        </is>
      </c>
      <c r="M619" s="5" t="n">
        <v>0.3</v>
      </c>
      <c r="N619" s="5" t="n">
        <v>0.28</v>
      </c>
    </row>
    <row r="620">
      <c r="A620" t="n">
        <v>619</v>
      </c>
      <c r="B620" t="n">
        <v>2015</v>
      </c>
      <c r="C620" t="inlineStr">
        <is>
          <t>Mia Kojic</t>
        </is>
      </c>
      <c r="D620">
        <f>HYPERLINK("https://ota.tournamentsoftware.com/player-profile/1573DFB3-8189-4CE9-AAAC-9ADF1738AD9C", "Link")</f>
        <v/>
      </c>
      <c r="E620" s="3" t="n">
        <v>41.917</v>
      </c>
      <c r="F620" s="4" t="n">
        <v>8</v>
      </c>
      <c r="G620" t="inlineStr">
        <is>
          <t>Ontario Tennis Association</t>
        </is>
      </c>
      <c r="H620" t="inlineStr">
        <is>
          <t>Ontario Racquet Club</t>
        </is>
      </c>
      <c r="I620" t="n">
        <v>36.7</v>
      </c>
      <c r="J620" s="4" t="n">
        <v>95</v>
      </c>
      <c r="K620" t="inlineStr">
        <is>
          <t>41 / 54</t>
        </is>
      </c>
      <c r="L620" t="inlineStr">
        <is>
          <t>5 / 9</t>
        </is>
      </c>
      <c r="M620" s="5" t="n">
        <v>0.43</v>
      </c>
      <c r="N620" s="5" t="n">
        <v>0.36</v>
      </c>
    </row>
    <row r="621">
      <c r="A621" t="n">
        <v>620</v>
      </c>
      <c r="B621" t="n">
        <v>2014</v>
      </c>
      <c r="C621" t="inlineStr">
        <is>
          <t>Melina Ioannidis</t>
        </is>
      </c>
      <c r="D621">
        <f>HYPERLINK("https://ota.tournamentsoftware.com/player-profile/7105A5E6-611D-4531-9016-F7FBEE3F6368", "Link")</f>
        <v/>
      </c>
      <c r="E621" s="3" t="n">
        <v>41.56</v>
      </c>
      <c r="F621" s="4" t="n">
        <v>6</v>
      </c>
      <c r="G621" t="inlineStr">
        <is>
          <t>Ontario Tennis Association</t>
        </is>
      </c>
      <c r="H621" t="inlineStr">
        <is>
          <t>Aurora Community Tennis Club</t>
        </is>
      </c>
      <c r="I621" t="n">
        <v>37</v>
      </c>
      <c r="J621" s="4" t="n">
        <v>61</v>
      </c>
      <c r="K621" t="inlineStr">
        <is>
          <t>34 / 27</t>
        </is>
      </c>
      <c r="L621" t="inlineStr">
        <is>
          <t>4 / 5</t>
        </is>
      </c>
      <c r="M621" s="5" t="n">
        <v>0.5600000000000001</v>
      </c>
      <c r="N621" s="5" t="n">
        <v>0.44</v>
      </c>
    </row>
    <row r="622">
      <c r="A622" t="n">
        <v>621</v>
      </c>
      <c r="B622" t="n">
        <v>2017</v>
      </c>
      <c r="C622" t="inlineStr">
        <is>
          <t>Aria Bloom</t>
        </is>
      </c>
      <c r="D622">
        <f>HYPERLINK("https://ota.tournamentsoftware.com/player-profile/7C30BE00-7F15-42B9-BA96-B3B2895898A0", "Link")</f>
        <v/>
      </c>
      <c r="E622" s="3" t="n">
        <v>41.346</v>
      </c>
      <c r="F622" s="4" t="n">
        <v>8</v>
      </c>
      <c r="G622" t="inlineStr">
        <is>
          <t>Tennis Alberta</t>
        </is>
      </c>
      <c r="H622" t="inlineStr">
        <is>
          <t>Osten &amp; Victor Alberta Tennis Centre</t>
        </is>
      </c>
      <c r="I622" t="n">
        <v>33.5</v>
      </c>
      <c r="J622" s="4" t="n">
        <v>123</v>
      </c>
      <c r="K622" t="inlineStr">
        <is>
          <t>94 / 29</t>
        </is>
      </c>
      <c r="L622" t="inlineStr">
        <is>
          <t>40 / 6</t>
        </is>
      </c>
      <c r="M622" s="5" t="n">
        <v>0.76</v>
      </c>
      <c r="N622" s="5" t="n">
        <v>0.87</v>
      </c>
    </row>
    <row r="623">
      <c r="A623" t="n">
        <v>622</v>
      </c>
      <c r="B623" t="n">
        <v>2015</v>
      </c>
      <c r="C623" t="inlineStr">
        <is>
          <t>Lillian Tooryani</t>
        </is>
      </c>
      <c r="D623">
        <f>HYPERLINK("https://ota.tournamentsoftware.com/player-profile/B149ED5D-E26B-4577-8AAB-620DB4A7A85F", "Link")</f>
        <v/>
      </c>
      <c r="E623" s="3" t="n">
        <v>41.04</v>
      </c>
      <c r="F623" s="4" t="n">
        <v>13</v>
      </c>
      <c r="G623" t="inlineStr">
        <is>
          <t>Ontario Tennis Association</t>
        </is>
      </c>
      <c r="H623" t="inlineStr">
        <is>
          <t>Mayfair West Fitness &amp; Racquet Club</t>
        </is>
      </c>
      <c r="I623" t="n">
        <v>37.5</v>
      </c>
      <c r="J623" s="4" t="n">
        <v>44</v>
      </c>
      <c r="K623" t="inlineStr">
        <is>
          <t>17 / 27</t>
        </is>
      </c>
      <c r="L623" t="inlineStr">
        <is>
          <t>14 / 14</t>
        </is>
      </c>
      <c r="M623" s="5" t="n">
        <v>0.39</v>
      </c>
      <c r="N623" s="5" t="n">
        <v>0.5</v>
      </c>
    </row>
    <row r="624">
      <c r="A624" t="n">
        <v>622</v>
      </c>
      <c r="B624" t="n">
        <v>2016</v>
      </c>
      <c r="C624" t="inlineStr">
        <is>
          <t>Kiara Krishnan</t>
        </is>
      </c>
      <c r="D624">
        <f>HYPERLINK("https://ota.tournamentsoftware.com/player-profile/50D3305E-63D5-4EFB-B53F-B64E463DE26E", "Link")</f>
        <v/>
      </c>
      <c r="E624" s="3" t="n">
        <v>41.04</v>
      </c>
      <c r="F624" s="4" t="n">
        <v>29</v>
      </c>
      <c r="G624" t="inlineStr">
        <is>
          <t>Ontario Tennis Association</t>
        </is>
      </c>
      <c r="H624" t="inlineStr">
        <is>
          <t>Toronto Tennis Academy</t>
        </is>
      </c>
      <c r="I624" t="n">
        <v>37.7</v>
      </c>
      <c r="J624" s="4" t="n">
        <v>248</v>
      </c>
      <c r="K624" t="inlineStr">
        <is>
          <t>98 / 150</t>
        </is>
      </c>
      <c r="L624" t="inlineStr">
        <is>
          <t>11 / 33</t>
        </is>
      </c>
      <c r="M624" s="5" t="n">
        <v>0.4</v>
      </c>
      <c r="N624" s="5" t="n">
        <v>0.25</v>
      </c>
    </row>
    <row r="625">
      <c r="A625" t="n">
        <v>624</v>
      </c>
      <c r="B625" t="n">
        <v>2013</v>
      </c>
      <c r="C625" t="inlineStr">
        <is>
          <t>Naia Luke</t>
        </is>
      </c>
      <c r="D625">
        <f>HYPERLINK("https://ota.tournamentsoftware.com/player-profile/E8620DEC-5B72-4D85-9171-1F914B105E62", "Link")</f>
        <v/>
      </c>
      <c r="E625" s="3" t="n">
        <v>40.629</v>
      </c>
      <c r="F625" s="4" t="n">
        <v>4</v>
      </c>
      <c r="G625" t="inlineStr">
        <is>
          <t>British Columbia</t>
        </is>
      </c>
      <c r="H625" t="inlineStr">
        <is>
          <t>Jericho Tennis Club</t>
        </is>
      </c>
      <c r="I625" t="n">
        <v>39.7</v>
      </c>
      <c r="J625" s="4" t="n">
        <v>43</v>
      </c>
      <c r="K625" t="inlineStr">
        <is>
          <t>9 / 34</t>
        </is>
      </c>
      <c r="L625" t="inlineStr">
        <is>
          <t>0 / 9</t>
        </is>
      </c>
      <c r="M625" s="5" t="n">
        <v>0.21</v>
      </c>
      <c r="N625" s="5" t="n">
        <v>0</v>
      </c>
    </row>
    <row r="626">
      <c r="A626" t="n">
        <v>625</v>
      </c>
      <c r="B626" t="n">
        <v>2015</v>
      </c>
      <c r="C626" t="inlineStr">
        <is>
          <t>Mila Anglade</t>
        </is>
      </c>
      <c r="D626">
        <f>HYPERLINK("https://ota.tournamentsoftware.com/player-profile/05635752-0D80-4827-BA70-1CECB2BE0528", "Link")</f>
        <v/>
      </c>
      <c r="E626" s="3" t="n">
        <v>40.12</v>
      </c>
      <c r="F626" s="4" t="n">
        <v>4</v>
      </c>
      <c r="G626" t="inlineStr">
        <is>
          <t>Tennis Québec</t>
        </is>
      </c>
      <c r="H626" t="inlineStr">
        <is>
          <t>Carrefour Multisports</t>
        </is>
      </c>
      <c r="I626" t="inlineStr">
        <is>
          <t>unavailable</t>
        </is>
      </c>
      <c r="J626" s="4" t="n">
        <v>64</v>
      </c>
      <c r="K626" t="inlineStr">
        <is>
          <t>39 / 25</t>
        </is>
      </c>
      <c r="L626" t="inlineStr">
        <is>
          <t>8 / 2</t>
        </is>
      </c>
      <c r="M626" s="5" t="n">
        <v>0.61</v>
      </c>
      <c r="N626" s="5" t="n">
        <v>0.8</v>
      </c>
    </row>
    <row r="627">
      <c r="A627" t="n">
        <v>626</v>
      </c>
      <c r="B627" t="n">
        <v>2014</v>
      </c>
      <c r="C627" t="inlineStr">
        <is>
          <t>Chloe Leblond</t>
        </is>
      </c>
      <c r="D627">
        <f>HYPERLINK("https://ota.tournamentsoftware.com/player-profile/B25C8E1B-DD5B-45CB-A94E-27B9E436CCF5", "Link")</f>
        <v/>
      </c>
      <c r="E627" s="3" t="n">
        <v>38.706</v>
      </c>
      <c r="F627" s="4" t="n">
        <v>4</v>
      </c>
      <c r="G627" t="inlineStr">
        <is>
          <t>Ontario Tennis Association</t>
        </is>
      </c>
      <c r="H627" t="inlineStr">
        <is>
          <t>Tam Heather Tennis Club</t>
        </is>
      </c>
      <c r="I627" t="inlineStr">
        <is>
          <t>unavailable</t>
        </is>
      </c>
      <c r="J627" s="4" t="n">
        <v>59</v>
      </c>
      <c r="K627" t="inlineStr">
        <is>
          <t>31 / 28</t>
        </is>
      </c>
      <c r="L627" t="inlineStr">
        <is>
          <t>6 / 4</t>
        </is>
      </c>
      <c r="M627" s="5" t="n">
        <v>0.53</v>
      </c>
      <c r="N627" s="5" t="n">
        <v>0.6</v>
      </c>
    </row>
    <row r="628">
      <c r="A628" t="n">
        <v>627</v>
      </c>
      <c r="B628" t="n">
        <v>2016</v>
      </c>
      <c r="C628" t="inlineStr">
        <is>
          <t>Madison Dionne</t>
        </is>
      </c>
      <c r="D628">
        <f>HYPERLINK("https://ota.tournamentsoftware.com/player-profile/E7A43ABD-96E4-46C3-84A5-BAF14D846E4C", "Link")</f>
        <v/>
      </c>
      <c r="E628" s="3" t="n">
        <v>38.517</v>
      </c>
      <c r="F628" s="4" t="n">
        <v>11</v>
      </c>
      <c r="G628" t="inlineStr">
        <is>
          <t>Ontario Tennis Association</t>
        </is>
      </c>
      <c r="H628" t="inlineStr">
        <is>
          <t>Ontario Racquet Club</t>
        </is>
      </c>
      <c r="I628" t="n">
        <v>37.4</v>
      </c>
      <c r="J628" s="4" t="n">
        <v>105</v>
      </c>
      <c r="K628" t="inlineStr">
        <is>
          <t>34 / 71</t>
        </is>
      </c>
      <c r="L628" t="inlineStr">
        <is>
          <t>18 / 17</t>
        </is>
      </c>
      <c r="M628" s="5" t="n">
        <v>0.32</v>
      </c>
      <c r="N628" s="5" t="n">
        <v>0.51</v>
      </c>
    </row>
    <row r="629">
      <c r="A629" t="n">
        <v>628</v>
      </c>
      <c r="B629" t="n">
        <v>2014</v>
      </c>
      <c r="C629" t="inlineStr">
        <is>
          <t>Ariella Naomi Shegelman</t>
        </is>
      </c>
      <c r="D629">
        <f>HYPERLINK("https://ota.tournamentsoftware.com/player-profile/F4A076BF-B4C6-4301-B22A-3E13FD483AD5", "Link")</f>
        <v/>
      </c>
      <c r="E629" s="3" t="n">
        <v>38.011</v>
      </c>
      <c r="F629" s="4" t="n">
        <v>5</v>
      </c>
      <c r="G629" t="inlineStr">
        <is>
          <t>Ontario Tennis Association</t>
        </is>
      </c>
      <c r="H629" t="inlineStr">
        <is>
          <t>Concord Tennis Academy</t>
        </is>
      </c>
      <c r="I629" t="n">
        <v>35.7</v>
      </c>
      <c r="J629" s="4" t="n">
        <v>32</v>
      </c>
      <c r="K629" t="inlineStr">
        <is>
          <t>16 / 16</t>
        </is>
      </c>
      <c r="L629" t="inlineStr">
        <is>
          <t>6 / 6</t>
        </is>
      </c>
      <c r="M629" s="5" t="n">
        <v>0.5</v>
      </c>
      <c r="N629" s="5" t="n">
        <v>0.5</v>
      </c>
    </row>
    <row r="630">
      <c r="A630" t="n">
        <v>629</v>
      </c>
      <c r="B630" t="n">
        <v>2015</v>
      </c>
      <c r="C630" t="inlineStr">
        <is>
          <t>Sloane Burdick</t>
        </is>
      </c>
      <c r="D630">
        <f>HYPERLINK("https://ota.tournamentsoftware.com/player-profile/B4ED1890-6E53-4FCC-9711-828BDD90CD1F", "Link")</f>
        <v/>
      </c>
      <c r="E630" s="3" t="n">
        <v>37.799</v>
      </c>
      <c r="F630" s="4" t="n">
        <v>9</v>
      </c>
      <c r="G630" t="inlineStr">
        <is>
          <t>British Columbia</t>
        </is>
      </c>
      <c r="H630" t="inlineStr">
        <is>
          <t>Vanguard Tennis Academy</t>
        </is>
      </c>
      <c r="I630" t="n">
        <v>36.9</v>
      </c>
      <c r="J630" s="4" t="n">
        <v>74</v>
      </c>
      <c r="K630" t="inlineStr">
        <is>
          <t>36 / 38</t>
        </is>
      </c>
      <c r="L630" t="inlineStr">
        <is>
          <t>9 / 11</t>
        </is>
      </c>
      <c r="M630" s="5" t="n">
        <v>0.49</v>
      </c>
      <c r="N630" s="5" t="n">
        <v>0.45</v>
      </c>
    </row>
    <row r="631">
      <c r="A631" t="n">
        <v>630</v>
      </c>
      <c r="B631" t="n">
        <v>2014</v>
      </c>
      <c r="C631" t="inlineStr">
        <is>
          <t>Mathilde Langis</t>
        </is>
      </c>
      <c r="D631">
        <f>HYPERLINK("https://ota.tournamentsoftware.com/player-profile/39929D79-FF7E-4461-9561-38C5D88AE666", "Link")</f>
        <v/>
      </c>
      <c r="E631" s="3" t="n">
        <v>37.752</v>
      </c>
      <c r="F631" s="4" t="n">
        <v>4</v>
      </c>
      <c r="G631" t="inlineStr">
        <is>
          <t>Tennis Québec</t>
        </is>
      </c>
      <c r="H631" t="inlineStr">
        <is>
          <t>Académie de tennis UNI(T)</t>
        </is>
      </c>
      <c r="I631" t="n">
        <v>36.2</v>
      </c>
      <c r="J631" s="4" t="n">
        <v>72</v>
      </c>
      <c r="K631" t="inlineStr">
        <is>
          <t>31 / 41</t>
        </is>
      </c>
      <c r="L631" t="inlineStr">
        <is>
          <t>1 / 2</t>
        </is>
      </c>
      <c r="M631" s="5" t="n">
        <v>0.43</v>
      </c>
      <c r="N631" s="5" t="n">
        <v>0.33</v>
      </c>
    </row>
    <row r="632">
      <c r="A632" t="n">
        <v>631</v>
      </c>
      <c r="B632" t="n">
        <v>2013</v>
      </c>
      <c r="C632" t="inlineStr">
        <is>
          <t>Alexa Ardeleanu</t>
        </is>
      </c>
      <c r="D632">
        <f>HYPERLINK("https://ota.tournamentsoftware.com/player-profile/109D0444-3430-4CBD-A2CA-522592228926", "Link")</f>
        <v/>
      </c>
      <c r="E632" s="3" t="n">
        <v>37.397</v>
      </c>
      <c r="F632" s="4" t="n">
        <v>3</v>
      </c>
      <c r="G632" t="inlineStr">
        <is>
          <t>Ontario Tennis Association</t>
        </is>
      </c>
      <c r="H632" t="inlineStr">
        <is>
          <t>No Club</t>
        </is>
      </c>
      <c r="I632" t="n">
        <v>37.7</v>
      </c>
      <c r="J632" s="4" t="n">
        <v>5</v>
      </c>
      <c r="K632" t="inlineStr">
        <is>
          <t>1 / 4</t>
        </is>
      </c>
      <c r="L632" t="inlineStr">
        <is>
          <t>1 / 4</t>
        </is>
      </c>
      <c r="M632" s="5" t="n">
        <v>0.2</v>
      </c>
      <c r="N632" s="5" t="n">
        <v>0.2</v>
      </c>
    </row>
    <row r="633">
      <c r="A633" t="n">
        <v>632</v>
      </c>
      <c r="B633" t="n">
        <v>2015</v>
      </c>
      <c r="C633" t="inlineStr">
        <is>
          <t>Tamara Amad</t>
        </is>
      </c>
      <c r="D633">
        <f>HYPERLINK("https://ota.tournamentsoftware.com/player-profile/4DB13A7D-F9F2-45DD-AAD4-FA9987D24AC9", "Link")</f>
        <v/>
      </c>
      <c r="E633" s="3" t="n">
        <v>36.8</v>
      </c>
      <c r="F633" s="4" t="n">
        <v>2</v>
      </c>
      <c r="G633" t="inlineStr">
        <is>
          <t>Ontario Tennis Association</t>
        </is>
      </c>
      <c r="H633" t="inlineStr">
        <is>
          <t>Ontario Racquet Club</t>
        </is>
      </c>
      <c r="I633" t="inlineStr">
        <is>
          <t>unavailable</t>
        </is>
      </c>
      <c r="J633" s="4" t="n">
        <v>23</v>
      </c>
      <c r="K633" t="inlineStr">
        <is>
          <t>15 / 8</t>
        </is>
      </c>
      <c r="L633" t="inlineStr">
        <is>
          <t>6 / 3</t>
        </is>
      </c>
      <c r="M633" s="5" t="n">
        <v>0.65</v>
      </c>
      <c r="N633" s="5" t="n">
        <v>0.67</v>
      </c>
    </row>
    <row r="634">
      <c r="A634" t="n">
        <v>633</v>
      </c>
      <c r="B634" t="n">
        <v>2015</v>
      </c>
      <c r="C634" t="inlineStr">
        <is>
          <t>Nya BLANCHARD</t>
        </is>
      </c>
      <c r="D634">
        <f>HYPERLINK("https://ota.tournamentsoftware.com/player-profile/E8E00722-2274-4657-BCF4-B20EEBB0EB21", "Link")</f>
        <v/>
      </c>
      <c r="E634" s="3" t="n">
        <v>36.577</v>
      </c>
      <c r="F634" s="4" t="n">
        <v>7</v>
      </c>
      <c r="G634" t="inlineStr">
        <is>
          <t>Ontario Tennis Association</t>
        </is>
      </c>
      <c r="H634" t="inlineStr">
        <is>
          <t>Ontario Racquet Club</t>
        </is>
      </c>
      <c r="I634" t="n">
        <v>35.3</v>
      </c>
      <c r="J634" s="4" t="n">
        <v>43</v>
      </c>
      <c r="K634" t="inlineStr">
        <is>
          <t>24 / 19</t>
        </is>
      </c>
      <c r="L634" t="inlineStr">
        <is>
          <t>9 / 8</t>
        </is>
      </c>
      <c r="M634" s="5" t="n">
        <v>0.5600000000000001</v>
      </c>
      <c r="N634" s="5" t="n">
        <v>0.53</v>
      </c>
    </row>
    <row r="635">
      <c r="A635" t="n">
        <v>634</v>
      </c>
      <c r="B635" t="n">
        <v>2012</v>
      </c>
      <c r="C635" t="inlineStr">
        <is>
          <t>Naomi Lau</t>
        </is>
      </c>
      <c r="D635">
        <f>HYPERLINK("https://ota.tournamentsoftware.com/player-profile/0A97F4BF-4260-46FD-AB50-BFA06A31A239", "Link")</f>
        <v/>
      </c>
      <c r="E635" s="3" t="n">
        <v>36.425</v>
      </c>
      <c r="F635" s="4" t="n">
        <v>3</v>
      </c>
      <c r="G635" t="inlineStr">
        <is>
          <t>Ontario Tennis Association</t>
        </is>
      </c>
      <c r="H635" t="inlineStr">
        <is>
          <t>Central Tennis Club</t>
        </is>
      </c>
      <c r="I635" t="n">
        <v>37.9</v>
      </c>
      <c r="J635" s="4" t="n">
        <v>34</v>
      </c>
      <c r="K635" t="inlineStr">
        <is>
          <t>12 / 22</t>
        </is>
      </c>
      <c r="L635" t="inlineStr">
        <is>
          <t>6 / 8</t>
        </is>
      </c>
      <c r="M635" s="5" t="n">
        <v>0.35</v>
      </c>
      <c r="N635" s="5" t="n">
        <v>0.43</v>
      </c>
    </row>
    <row r="636">
      <c r="A636" t="n">
        <v>635</v>
      </c>
      <c r="B636" t="n">
        <v>2012</v>
      </c>
      <c r="C636" t="inlineStr">
        <is>
          <t>Aurélie Houde</t>
        </is>
      </c>
      <c r="D636">
        <f>HYPERLINK("https://ota.tournamentsoftware.com/player-profile/F697AB49-11E9-42EF-B0E6-5DF0E77AF99C", "Link")</f>
        <v/>
      </c>
      <c r="E636" s="3" t="n">
        <v>35.857</v>
      </c>
      <c r="F636" s="4" t="n">
        <v>4</v>
      </c>
      <c r="G636" t="inlineStr">
        <is>
          <t>Tennis Québec</t>
        </is>
      </c>
      <c r="H636" t="inlineStr">
        <is>
          <t>Association de tennis de Drummondville</t>
        </is>
      </c>
      <c r="I636" t="n">
        <v>39.7</v>
      </c>
      <c r="J636" s="4" t="n">
        <v>22</v>
      </c>
      <c r="K636" t="inlineStr">
        <is>
          <t>1 / 21</t>
        </is>
      </c>
      <c r="L636" t="inlineStr">
        <is>
          <t>0 / 3</t>
        </is>
      </c>
      <c r="M636" s="5" t="n">
        <v>0.05</v>
      </c>
      <c r="N636" s="5" t="n">
        <v>0</v>
      </c>
    </row>
    <row r="637">
      <c r="A637" t="n">
        <v>636</v>
      </c>
      <c r="B637" t="n">
        <v>2013</v>
      </c>
      <c r="C637" t="inlineStr">
        <is>
          <t>Mariya Fedchyshyna</t>
        </is>
      </c>
      <c r="D637">
        <f>HYPERLINK("https://ota.tournamentsoftware.com/player-profile/5A64317A-A412-4DEB-A68D-94CE45EAE2DD", "Link")</f>
        <v/>
      </c>
      <c r="E637" s="3" t="n">
        <v>35.767</v>
      </c>
      <c r="F637" s="4" t="n">
        <v>3</v>
      </c>
      <c r="G637" t="inlineStr">
        <is>
          <t>British Columbia</t>
        </is>
      </c>
      <c r="H637" t="inlineStr">
        <is>
          <t>Oak Bay Recreation Centre</t>
        </is>
      </c>
      <c r="I637" t="inlineStr">
        <is>
          <t>unavailable</t>
        </is>
      </c>
      <c r="J637" s="4" t="n">
        <v>9</v>
      </c>
      <c r="K637" t="inlineStr">
        <is>
          <t>1 / 8</t>
        </is>
      </c>
      <c r="L637" t="inlineStr">
        <is>
          <t>1 / 6</t>
        </is>
      </c>
      <c r="M637" s="5" t="n">
        <v>0.11</v>
      </c>
      <c r="N637" s="5" t="n">
        <v>0.14</v>
      </c>
    </row>
    <row r="638">
      <c r="A638" t="n">
        <v>637</v>
      </c>
      <c r="B638" t="n">
        <v>2015</v>
      </c>
      <c r="C638" t="inlineStr">
        <is>
          <t>Allegra Gill</t>
        </is>
      </c>
      <c r="D638">
        <f>HYPERLINK("https://ota.tournamentsoftware.com/player-profile/74E5B02E-036C-4D6F-B122-5C8FEF79A927", "Link")</f>
        <v/>
      </c>
      <c r="E638" s="3" t="n">
        <v>35.726</v>
      </c>
      <c r="F638" s="4" t="n">
        <v>5</v>
      </c>
      <c r="G638" t="inlineStr">
        <is>
          <t>Ontario Tennis Association</t>
        </is>
      </c>
      <c r="H638" t="inlineStr">
        <is>
          <t>Zekelman Tennis Centre</t>
        </is>
      </c>
      <c r="I638" t="n">
        <v>39.9</v>
      </c>
      <c r="J638" s="4" t="n">
        <v>98</v>
      </c>
      <c r="K638" t="inlineStr">
        <is>
          <t>18 / 80</t>
        </is>
      </c>
      <c r="L638" t="inlineStr">
        <is>
          <t>11 / 18</t>
        </is>
      </c>
      <c r="M638" s="5" t="n">
        <v>0.18</v>
      </c>
      <c r="N638" s="5" t="n">
        <v>0.38</v>
      </c>
    </row>
    <row r="639">
      <c r="A639" t="n">
        <v>638</v>
      </c>
      <c r="B639" t="n">
        <v>2015</v>
      </c>
      <c r="C639" t="inlineStr">
        <is>
          <t>Victoria Guo</t>
        </is>
      </c>
      <c r="D639">
        <f>HYPERLINK("https://ota.tournamentsoftware.com/player-profile/54FA7561-0327-4A42-A5FE-A5519116069C", "Link")</f>
        <v/>
      </c>
      <c r="E639" s="3" t="n">
        <v>35.632</v>
      </c>
      <c r="F639" s="4" t="n">
        <v>4</v>
      </c>
      <c r="G639" t="inlineStr">
        <is>
          <t>Ontario Tennis Association</t>
        </is>
      </c>
      <c r="H639" t="inlineStr">
        <is>
          <t>Craig Henry</t>
        </is>
      </c>
      <c r="I639" t="n">
        <v>39.3</v>
      </c>
      <c r="J639" s="4" t="n">
        <v>27</v>
      </c>
      <c r="K639" t="inlineStr">
        <is>
          <t>10 / 17</t>
        </is>
      </c>
      <c r="L639" t="inlineStr">
        <is>
          <t>1 / 4</t>
        </is>
      </c>
      <c r="M639" s="5" t="n">
        <v>0.37</v>
      </c>
      <c r="N639" s="5" t="n">
        <v>0.2</v>
      </c>
    </row>
    <row r="640">
      <c r="A640" t="n">
        <v>639</v>
      </c>
      <c r="B640" t="n">
        <v>2013</v>
      </c>
      <c r="C640" t="inlineStr">
        <is>
          <t>Mehak Garg</t>
        </is>
      </c>
      <c r="D640">
        <f>HYPERLINK("https://ota.tournamentsoftware.com/player-profile/2FA47597-FC2B-4F26-80C4-912C2FC70064", "Link")</f>
        <v/>
      </c>
      <c r="E640" s="3" t="n">
        <v>35.51</v>
      </c>
      <c r="F640" s="4" t="n">
        <v>1</v>
      </c>
      <c r="G640" t="inlineStr">
        <is>
          <t>Tennis Saskatchewan</t>
        </is>
      </c>
      <c r="H640" t="inlineStr">
        <is>
          <t>Lakewood Indoor Tennis Centre</t>
        </is>
      </c>
      <c r="I640" t="n">
        <v>35.2</v>
      </c>
      <c r="J640" s="4" t="n">
        <v>13</v>
      </c>
      <c r="K640" t="inlineStr">
        <is>
          <t>5 / 8</t>
        </is>
      </c>
      <c r="L640" t="inlineStr">
        <is>
          <t>5 / 8</t>
        </is>
      </c>
      <c r="M640" s="5" t="n">
        <v>0.38</v>
      </c>
      <c r="N640" s="5" t="n">
        <v>0.38</v>
      </c>
    </row>
    <row r="641">
      <c r="A641" t="n">
        <v>640</v>
      </c>
      <c r="B641" t="n">
        <v>2014</v>
      </c>
      <c r="C641" t="inlineStr">
        <is>
          <t>Juliette Viel</t>
        </is>
      </c>
      <c r="D641">
        <f>HYPERLINK("https://ota.tournamentsoftware.com/player-profile/3C42B108-2BA4-41D7-8AE2-19A52170601F", "Link")</f>
        <v/>
      </c>
      <c r="E641" s="3" t="n">
        <v>35.48</v>
      </c>
      <c r="F641" s="4" t="n">
        <v>2</v>
      </c>
      <c r="G641" t="inlineStr">
        <is>
          <t>Tennis Québec</t>
        </is>
      </c>
      <c r="H641" t="inlineStr">
        <is>
          <t>Club de tennis de Rivière-du-Loup</t>
        </is>
      </c>
      <c r="I641" t="n">
        <v>33.7</v>
      </c>
      <c r="J641" s="4" t="n">
        <v>23</v>
      </c>
      <c r="K641" t="inlineStr">
        <is>
          <t>11 / 12</t>
        </is>
      </c>
      <c r="L641" t="inlineStr">
        <is>
          <t>4 / 2</t>
        </is>
      </c>
      <c r="M641" s="5" t="n">
        <v>0.48</v>
      </c>
      <c r="N641" s="5" t="n">
        <v>0.67</v>
      </c>
    </row>
    <row r="642">
      <c r="A642" t="n">
        <v>641</v>
      </c>
      <c r="B642" t="n">
        <v>2014</v>
      </c>
      <c r="C642" t="inlineStr">
        <is>
          <t>Violette Hébert</t>
        </is>
      </c>
      <c r="D642">
        <f>HYPERLINK("https://ota.tournamentsoftware.com/player-profile/53615BF8-C3DB-4C99-8745-F5A7E4DC7C2E", "Link")</f>
        <v/>
      </c>
      <c r="E642" s="3" t="n">
        <v>35.466</v>
      </c>
      <c r="F642" s="4" t="n">
        <v>10</v>
      </c>
      <c r="G642" t="inlineStr">
        <is>
          <t>Tennis Québec</t>
        </is>
      </c>
      <c r="H642" t="inlineStr">
        <is>
          <t>EB Tennis inc.</t>
        </is>
      </c>
      <c r="I642" t="n">
        <v>39.2</v>
      </c>
      <c r="J642" s="4" t="n">
        <v>49</v>
      </c>
      <c r="K642" t="inlineStr">
        <is>
          <t>14 / 35</t>
        </is>
      </c>
      <c r="L642" t="inlineStr">
        <is>
          <t>4 / 13</t>
        </is>
      </c>
      <c r="M642" s="5" t="n">
        <v>0.29</v>
      </c>
      <c r="N642" s="5" t="n">
        <v>0.24</v>
      </c>
    </row>
    <row r="643">
      <c r="A643" t="n">
        <v>642</v>
      </c>
      <c r="B643" t="n">
        <v>2014</v>
      </c>
      <c r="C643" t="inlineStr">
        <is>
          <t>Olivia Duthoit</t>
        </is>
      </c>
      <c r="D643">
        <f>HYPERLINK("https://ota.tournamentsoftware.com/player-profile/7ADA0A6D-C257-4896-AEB0-8E053AAA4B48", "Link")</f>
        <v/>
      </c>
      <c r="E643" s="3" t="n">
        <v>35.342</v>
      </c>
      <c r="F643" s="4" t="n">
        <v>3</v>
      </c>
      <c r="G643" t="inlineStr">
        <is>
          <t>Tennis Québec</t>
        </is>
      </c>
      <c r="H643" t="inlineStr">
        <is>
          <t>Club Avantage Multi-sports / Académie de tennis Hérisset Bordeleau</t>
        </is>
      </c>
      <c r="I643" t="n">
        <v>36</v>
      </c>
      <c r="J643" s="4" t="n">
        <v>20</v>
      </c>
      <c r="K643" t="inlineStr">
        <is>
          <t>4 / 16</t>
        </is>
      </c>
      <c r="L643" t="inlineStr">
        <is>
          <t>3 / 4</t>
        </is>
      </c>
      <c r="M643" s="5" t="n">
        <v>0.2</v>
      </c>
      <c r="N643" s="5" t="n">
        <v>0.43</v>
      </c>
    </row>
    <row r="644">
      <c r="A644" t="n">
        <v>643</v>
      </c>
      <c r="B644" t="n">
        <v>2016</v>
      </c>
      <c r="C644" t="inlineStr">
        <is>
          <t>Eliana Gamboa Puentevella</t>
        </is>
      </c>
      <c r="D644">
        <f>HYPERLINK("https://ota.tournamentsoftware.com/player-profile/F092EBD2-5997-4E03-AED5-C7E2E614192B", "Link")</f>
        <v/>
      </c>
      <c r="E644" s="3" t="n">
        <v>35.102</v>
      </c>
      <c r="F644" s="4" t="n">
        <v>12</v>
      </c>
      <c r="G644" t="inlineStr">
        <is>
          <t>British Columbia</t>
        </is>
      </c>
      <c r="H644" t="inlineStr">
        <is>
          <t>Suncoast Racquet Club</t>
        </is>
      </c>
      <c r="I644" t="n">
        <v>36.3</v>
      </c>
      <c r="J644" s="4" t="n">
        <v>134</v>
      </c>
      <c r="K644" t="inlineStr">
        <is>
          <t>65 / 69</t>
        </is>
      </c>
      <c r="L644" t="inlineStr">
        <is>
          <t>35 / 25</t>
        </is>
      </c>
      <c r="M644" s="5" t="n">
        <v>0.49</v>
      </c>
      <c r="N644" s="5" t="n">
        <v>0.58</v>
      </c>
    </row>
    <row r="645">
      <c r="A645" t="n">
        <v>644</v>
      </c>
      <c r="B645" t="n">
        <v>2015</v>
      </c>
      <c r="C645" t="inlineStr">
        <is>
          <t>Parine Jani</t>
        </is>
      </c>
      <c r="D645">
        <f>HYPERLINK("https://ota.tournamentsoftware.com/player-profile/DEF6C92A-14C0-4DEB-A4E3-22B40C75E14A", "Link")</f>
        <v/>
      </c>
      <c r="E645" s="3" t="n">
        <v>35.012</v>
      </c>
      <c r="F645" s="4" t="n">
        <v>5</v>
      </c>
      <c r="G645" t="inlineStr">
        <is>
          <t>Ontario Tennis Association</t>
        </is>
      </c>
      <c r="H645" t="inlineStr">
        <is>
          <t>Premier Racquet Club - Markham</t>
        </is>
      </c>
      <c r="I645" t="n">
        <v>39.7</v>
      </c>
      <c r="J645" s="4" t="n">
        <v>43</v>
      </c>
      <c r="K645" t="inlineStr">
        <is>
          <t>7 / 36</t>
        </is>
      </c>
      <c r="L645" t="inlineStr">
        <is>
          <t>1 / 11</t>
        </is>
      </c>
      <c r="M645" s="5" t="n">
        <v>0.16</v>
      </c>
      <c r="N645" s="5" t="n">
        <v>0.08</v>
      </c>
    </row>
    <row r="646">
      <c r="A646" t="n">
        <v>645</v>
      </c>
      <c r="B646" t="n">
        <v>2013</v>
      </c>
      <c r="C646" t="inlineStr">
        <is>
          <t>Caroline Chuyi Wang</t>
        </is>
      </c>
      <c r="D646">
        <f>HYPERLINK("https://ota.tournamentsoftware.com/player-profile/3F052198-DCE4-4852-8FA0-B0793E67B6FC", "Link")</f>
        <v/>
      </c>
      <c r="E646" s="3" t="n">
        <v>34.166</v>
      </c>
      <c r="F646" s="4" t="n">
        <v>4</v>
      </c>
      <c r="G646" t="inlineStr">
        <is>
          <t>British Columbia</t>
        </is>
      </c>
      <c r="H646" t="inlineStr">
        <is>
          <t>Richmond Country Club</t>
        </is>
      </c>
      <c r="I646" t="n">
        <v>37.9</v>
      </c>
      <c r="J646" s="4" t="n">
        <v>26</v>
      </c>
      <c r="K646" t="inlineStr">
        <is>
          <t>11 / 15</t>
        </is>
      </c>
      <c r="L646" t="inlineStr">
        <is>
          <t>11 / 15</t>
        </is>
      </c>
      <c r="M646" s="5" t="n">
        <v>0.42</v>
      </c>
      <c r="N646" s="5" t="n">
        <v>0.42</v>
      </c>
    </row>
    <row r="647">
      <c r="A647" t="n">
        <v>646</v>
      </c>
      <c r="B647" t="n">
        <v>2016</v>
      </c>
      <c r="C647" t="inlineStr">
        <is>
          <t>Emma Yu</t>
        </is>
      </c>
      <c r="D647">
        <f>HYPERLINK("https://ota.tournamentsoftware.com/player-profile/08E91FF6-D5E8-42FC-9B0D-2002B0263706", "Link")</f>
        <v/>
      </c>
      <c r="E647" s="3" t="n">
        <v>33.84</v>
      </c>
      <c r="F647" s="4" t="n">
        <v>6</v>
      </c>
      <c r="G647" t="inlineStr">
        <is>
          <t>Tennis Nova Scotia</t>
        </is>
      </c>
      <c r="H647" t="inlineStr">
        <is>
          <t>Atlantic Tennis Centre</t>
        </is>
      </c>
      <c r="I647" t="inlineStr">
        <is>
          <t>unavailable</t>
        </is>
      </c>
      <c r="J647" s="4" t="inlineStr"/>
      <c r="K647" t="inlineStr">
        <is>
          <t>unavailable</t>
        </is>
      </c>
      <c r="L647" t="inlineStr">
        <is>
          <t>unavailable</t>
        </is>
      </c>
      <c r="M647" s="5" t="inlineStr"/>
      <c r="N647" s="5" t="inlineStr"/>
    </row>
    <row r="648">
      <c r="A648" t="n">
        <v>647</v>
      </c>
      <c r="B648" t="n">
        <v>2014</v>
      </c>
      <c r="C648" t="inlineStr">
        <is>
          <t>Georgena Banquicio</t>
        </is>
      </c>
      <c r="D648">
        <f>HYPERLINK("https://ota.tournamentsoftware.com/player-profile/AB3893CF-B68D-4258-893E-E7C3FB601465", "Link")</f>
        <v/>
      </c>
      <c r="E648" s="3" t="n">
        <v>33.663</v>
      </c>
      <c r="F648" s="4" t="n">
        <v>5</v>
      </c>
      <c r="G648" t="inlineStr">
        <is>
          <t>Tennis New Brunswick</t>
        </is>
      </c>
      <c r="H648" t="inlineStr">
        <is>
          <t>Abony Family Tennis Center</t>
        </is>
      </c>
      <c r="I648" t="n">
        <v>37.4</v>
      </c>
      <c r="J648" s="4" t="n">
        <v>72</v>
      </c>
      <c r="K648" t="inlineStr">
        <is>
          <t>34 / 38</t>
        </is>
      </c>
      <c r="L648" t="inlineStr">
        <is>
          <t>2 / 6</t>
        </is>
      </c>
      <c r="M648" s="5" t="n">
        <v>0.47</v>
      </c>
      <c r="N648" s="5" t="n">
        <v>0.25</v>
      </c>
    </row>
    <row r="649">
      <c r="A649" t="n">
        <v>648</v>
      </c>
      <c r="B649" t="n">
        <v>2013</v>
      </c>
      <c r="C649" t="inlineStr">
        <is>
          <t>SOPHIA MARIA TRULESCU</t>
        </is>
      </c>
      <c r="D649">
        <f>HYPERLINK("https://ota.tournamentsoftware.com/player-profile/A41CCD9F-8BEB-4085-842F-8E5A7DA612FF", "Link")</f>
        <v/>
      </c>
      <c r="E649" s="3" t="n">
        <v>33.35</v>
      </c>
      <c r="F649" s="4" t="n">
        <v>2</v>
      </c>
      <c r="G649" t="inlineStr">
        <is>
          <t>Ontario Tennis Association</t>
        </is>
      </c>
      <c r="H649" t="inlineStr">
        <is>
          <t>Rosedale Tennis Club (Hamilton)</t>
        </is>
      </c>
      <c r="I649" t="n">
        <v>34.4</v>
      </c>
      <c r="J649" s="4" t="n">
        <v>55</v>
      </c>
      <c r="K649" t="inlineStr">
        <is>
          <t>41 / 14</t>
        </is>
      </c>
      <c r="L649" t="inlineStr">
        <is>
          <t>4 / 2</t>
        </is>
      </c>
      <c r="M649" s="5" t="n">
        <v>0.75</v>
      </c>
      <c r="N649" s="5" t="n">
        <v>0.67</v>
      </c>
    </row>
    <row r="650">
      <c r="A650" t="n">
        <v>649</v>
      </c>
      <c r="B650" t="n">
        <v>2014</v>
      </c>
      <c r="C650" t="inlineStr">
        <is>
          <t>Victoria Dorvius</t>
        </is>
      </c>
      <c r="D650">
        <f>HYPERLINK("https://ota.tournamentsoftware.com/player-profile/0742AD15-E29E-4761-9ABC-EF929E7499C5", "Link")</f>
        <v/>
      </c>
      <c r="E650" s="3" t="n">
        <v>33.305</v>
      </c>
      <c r="F650" s="4" t="n">
        <v>3</v>
      </c>
      <c r="G650" t="inlineStr">
        <is>
          <t>Tennis Québec</t>
        </is>
      </c>
      <c r="H650" t="inlineStr">
        <is>
          <t>No Club</t>
        </is>
      </c>
      <c r="I650" t="n">
        <v>40</v>
      </c>
      <c r="J650" s="4" t="n">
        <v>8</v>
      </c>
      <c r="K650" t="inlineStr">
        <is>
          <t>0 / 8</t>
        </is>
      </c>
      <c r="L650" t="inlineStr">
        <is>
          <t>0 / 3</t>
        </is>
      </c>
      <c r="M650" s="5" t="n">
        <v>0</v>
      </c>
      <c r="N650" s="5" t="n">
        <v>0</v>
      </c>
    </row>
    <row r="651">
      <c r="A651" t="n">
        <v>650</v>
      </c>
      <c r="B651" t="n">
        <v>2012</v>
      </c>
      <c r="C651" t="inlineStr">
        <is>
          <t>Elise Weaser</t>
        </is>
      </c>
      <c r="D651">
        <f>HYPERLINK("https://ota.tournamentsoftware.com/player-profile/DA22DB71-D6D8-4605-B329-E9AEA5B14695", "Link")</f>
        <v/>
      </c>
      <c r="E651" s="3" t="n">
        <v>33.264</v>
      </c>
      <c r="F651" s="4" t="n">
        <v>2</v>
      </c>
      <c r="G651" t="inlineStr">
        <is>
          <t>Ontario Tennis Association</t>
        </is>
      </c>
      <c r="H651" t="inlineStr">
        <is>
          <t>Ontario Racquet Club</t>
        </is>
      </c>
      <c r="I651" t="n">
        <v>37.6</v>
      </c>
      <c r="J651" s="4" t="n">
        <v>30</v>
      </c>
      <c r="K651" t="inlineStr">
        <is>
          <t>7 / 23</t>
        </is>
      </c>
      <c r="L651" t="inlineStr">
        <is>
          <t>2 / 2</t>
        </is>
      </c>
      <c r="M651" s="5" t="n">
        <v>0.23</v>
      </c>
      <c r="N651" s="5" t="n">
        <v>0.5</v>
      </c>
    </row>
    <row r="652">
      <c r="A652" t="n">
        <v>651</v>
      </c>
      <c r="B652" t="n">
        <v>2016</v>
      </c>
      <c r="C652" t="inlineStr">
        <is>
          <t>Yuetian Caroline Guo</t>
        </is>
      </c>
      <c r="D652">
        <f>HYPERLINK("https://ota.tournamentsoftware.com/player-profile/D9EEB088-31A0-4FD1-A91B-A82319998935", "Link")</f>
        <v/>
      </c>
      <c r="E652" s="3" t="n">
        <v>33.219</v>
      </c>
      <c r="F652" s="4" t="n">
        <v>13</v>
      </c>
      <c r="G652" t="inlineStr">
        <is>
          <t>British Columbia</t>
        </is>
      </c>
      <c r="H652" t="inlineStr">
        <is>
          <t>The Tennis Centre</t>
        </is>
      </c>
      <c r="I652" t="n">
        <v>36.5</v>
      </c>
      <c r="J652" s="4" t="n">
        <v>112</v>
      </c>
      <c r="K652" t="inlineStr">
        <is>
          <t>63 / 49</t>
        </is>
      </c>
      <c r="L652" t="inlineStr">
        <is>
          <t>33 / 23</t>
        </is>
      </c>
      <c r="M652" s="5" t="n">
        <v>0.5600000000000001</v>
      </c>
      <c r="N652" s="5" t="n">
        <v>0.59</v>
      </c>
    </row>
    <row r="653">
      <c r="A653" t="n">
        <v>652</v>
      </c>
      <c r="B653" t="n">
        <v>2015</v>
      </c>
      <c r="C653" t="inlineStr">
        <is>
          <t>Enlin Fan</t>
        </is>
      </c>
      <c r="D653">
        <f>HYPERLINK("https://ota.tournamentsoftware.com/player-profile/0F38D490-CA76-4A12-BE87-0BAC308EDC74", "Link")</f>
        <v/>
      </c>
      <c r="E653" s="3" t="n">
        <v>32.538</v>
      </c>
      <c r="F653" s="4" t="n">
        <v>6</v>
      </c>
      <c r="G653" t="inlineStr">
        <is>
          <t>British Columbia</t>
        </is>
      </c>
      <c r="H653" t="inlineStr">
        <is>
          <t>The Tennis Centre</t>
        </is>
      </c>
      <c r="I653" t="inlineStr">
        <is>
          <t>unavailable</t>
        </is>
      </c>
      <c r="J653" s="4" t="n">
        <v>93</v>
      </c>
      <c r="K653" t="inlineStr">
        <is>
          <t>42 / 51</t>
        </is>
      </c>
      <c r="L653" t="inlineStr">
        <is>
          <t>7 / 6</t>
        </is>
      </c>
      <c r="M653" s="5" t="n">
        <v>0.45</v>
      </c>
      <c r="N653" s="5" t="n">
        <v>0.54</v>
      </c>
    </row>
    <row r="654">
      <c r="A654" t="n">
        <v>653</v>
      </c>
      <c r="B654" t="n">
        <v>2015</v>
      </c>
      <c r="C654" t="inlineStr">
        <is>
          <t>GAURI BHARDWAJ</t>
        </is>
      </c>
      <c r="D654">
        <f>HYPERLINK("https://ota.tournamentsoftware.com/player-profile/7D0915D9-E26B-4DD0-AA8A-90DD2833C0F8", "Link")</f>
        <v/>
      </c>
      <c r="E654" s="3" t="n">
        <v>32.49</v>
      </c>
      <c r="F654" s="4" t="n">
        <v>6</v>
      </c>
      <c r="G654" t="inlineStr">
        <is>
          <t>Ontario Tennis Association</t>
        </is>
      </c>
      <c r="H654" t="inlineStr">
        <is>
          <t>Premier Racquet Clubs – Mississauga</t>
        </is>
      </c>
      <c r="I654" t="n">
        <v>37.6</v>
      </c>
      <c r="J654" s="4" t="n">
        <v>105</v>
      </c>
      <c r="K654" t="inlineStr">
        <is>
          <t>38 / 67</t>
        </is>
      </c>
      <c r="L654" t="inlineStr">
        <is>
          <t>3 / 3</t>
        </is>
      </c>
      <c r="M654" s="5" t="n">
        <v>0.36</v>
      </c>
      <c r="N654" s="5" t="n">
        <v>0.5</v>
      </c>
    </row>
    <row r="655">
      <c r="A655" t="n">
        <v>654</v>
      </c>
      <c r="B655" t="n">
        <v>2015</v>
      </c>
      <c r="C655" t="inlineStr">
        <is>
          <t>Meera Ramanathan</t>
        </is>
      </c>
      <c r="D655">
        <f>HYPERLINK("https://ota.tournamentsoftware.com/player-profile/4BFD1C94-F572-47D9-8892-3117B37D58A1", "Link")</f>
        <v/>
      </c>
      <c r="E655" s="3" t="n">
        <v>32.4</v>
      </c>
      <c r="F655" s="4" t="n">
        <v>3</v>
      </c>
      <c r="G655" t="inlineStr">
        <is>
          <t>Ontario Tennis Association</t>
        </is>
      </c>
      <c r="H655" t="inlineStr">
        <is>
          <t>Rideau Sports Centre</t>
        </is>
      </c>
      <c r="I655" t="n">
        <v>37.8</v>
      </c>
      <c r="J655" s="4" t="n">
        <v>13</v>
      </c>
      <c r="K655" t="inlineStr">
        <is>
          <t>7 / 6</t>
        </is>
      </c>
      <c r="L655" t="inlineStr">
        <is>
          <t>5 / 6</t>
        </is>
      </c>
      <c r="M655" s="5" t="n">
        <v>0.54</v>
      </c>
      <c r="N655" s="5" t="n">
        <v>0.45</v>
      </c>
    </row>
    <row r="656">
      <c r="A656" t="n">
        <v>654</v>
      </c>
      <c r="B656" t="n">
        <v>2017</v>
      </c>
      <c r="C656" t="inlineStr">
        <is>
          <t>Anastasia Savtchenko</t>
        </is>
      </c>
      <c r="D656">
        <f>HYPERLINK("https://ota.tournamentsoftware.com/player-profile/FF881545-63C4-4D7F-B9E4-0A8D65FB9607", "Link")</f>
        <v/>
      </c>
      <c r="E656" s="3" t="n">
        <v>32.4</v>
      </c>
      <c r="F656" s="4" t="n">
        <v>7</v>
      </c>
      <c r="G656" t="inlineStr">
        <is>
          <t>Ontario Tennis Association</t>
        </is>
      </c>
      <c r="H656" t="inlineStr">
        <is>
          <t>Valan Tennis Academy</t>
        </is>
      </c>
      <c r="I656" t="inlineStr">
        <is>
          <t>unavailable</t>
        </is>
      </c>
      <c r="J656" s="4" t="n">
        <v>95</v>
      </c>
      <c r="K656" t="inlineStr">
        <is>
          <t>53 / 42</t>
        </is>
      </c>
      <c r="L656" t="inlineStr">
        <is>
          <t>17 / 13</t>
        </is>
      </c>
      <c r="M656" s="5" t="n">
        <v>0.5600000000000001</v>
      </c>
      <c r="N656" s="5" t="n">
        <v>0.57</v>
      </c>
    </row>
    <row r="657">
      <c r="A657" t="n">
        <v>656</v>
      </c>
      <c r="B657" t="n">
        <v>2014</v>
      </c>
      <c r="C657" t="inlineStr">
        <is>
          <t>Ignatia Walsh</t>
        </is>
      </c>
      <c r="D657">
        <f>HYPERLINK("https://ota.tournamentsoftware.com/player-profile/AEC8F080-693E-4608-867A-22E590A9E567", "Link")</f>
        <v/>
      </c>
      <c r="E657" s="3" t="n">
        <v>32.307</v>
      </c>
      <c r="F657" s="4" t="n">
        <v>16</v>
      </c>
      <c r="G657" t="inlineStr">
        <is>
          <t>Ontario Tennis Association</t>
        </is>
      </c>
      <c r="H657" t="inlineStr">
        <is>
          <t>Premier Racquet Clubs – Mississauga</t>
        </is>
      </c>
      <c r="I657" t="inlineStr">
        <is>
          <t>unavailable</t>
        </is>
      </c>
      <c r="J657" s="4" t="n">
        <v>56</v>
      </c>
      <c r="K657" t="inlineStr">
        <is>
          <t>14 / 42</t>
        </is>
      </c>
      <c r="L657" t="inlineStr">
        <is>
          <t>7 / 18</t>
        </is>
      </c>
      <c r="M657" s="5" t="n">
        <v>0.25</v>
      </c>
      <c r="N657" s="5" t="n">
        <v>0.28</v>
      </c>
    </row>
    <row r="658">
      <c r="A658" t="n">
        <v>657</v>
      </c>
      <c r="B658" t="n">
        <v>2015</v>
      </c>
      <c r="C658" t="inlineStr">
        <is>
          <t>Piper Harrison</t>
        </is>
      </c>
      <c r="D658">
        <f>HYPERLINK("https://ota.tournamentsoftware.com/player-profile/8FD01254-4DB3-4BFF-A784-65DB87717C42", "Link")</f>
        <v/>
      </c>
      <c r="E658" s="3" t="n">
        <v>31.992</v>
      </c>
      <c r="F658" s="4" t="n">
        <v>7</v>
      </c>
      <c r="G658" t="inlineStr">
        <is>
          <t>Ontario Tennis Association</t>
        </is>
      </c>
      <c r="H658" t="inlineStr">
        <is>
          <t>Boulevard Club</t>
        </is>
      </c>
      <c r="I658" t="n">
        <v>38.6</v>
      </c>
      <c r="J658" s="4" t="n">
        <v>56</v>
      </c>
      <c r="K658" t="inlineStr">
        <is>
          <t>18 / 38</t>
        </is>
      </c>
      <c r="L658" t="inlineStr">
        <is>
          <t>6 / 10</t>
        </is>
      </c>
      <c r="M658" s="5" t="n">
        <v>0.32</v>
      </c>
      <c r="N658" s="5" t="n">
        <v>0.38</v>
      </c>
    </row>
    <row r="659">
      <c r="A659" t="n">
        <v>658</v>
      </c>
      <c r="B659" t="n">
        <v>2014</v>
      </c>
      <c r="C659" t="inlineStr">
        <is>
          <t>Adrianna Rajchel</t>
        </is>
      </c>
      <c r="D659">
        <f>HYPERLINK("https://ota.tournamentsoftware.com/player-profile/CF345FA9-9F2F-4BDB-8B66-131A15D8B231", "Link")</f>
        <v/>
      </c>
      <c r="E659" s="3" t="n">
        <v>31.982</v>
      </c>
      <c r="F659" s="4" t="n">
        <v>4</v>
      </c>
      <c r="G659" t="inlineStr">
        <is>
          <t>Ontario Tennis Association</t>
        </is>
      </c>
      <c r="H659" t="inlineStr">
        <is>
          <t>Carleton Tennis Centre</t>
        </is>
      </c>
      <c r="I659" t="n">
        <v>37.9</v>
      </c>
      <c r="J659" s="4" t="n">
        <v>16</v>
      </c>
      <c r="K659" t="inlineStr">
        <is>
          <t>4 / 12</t>
        </is>
      </c>
      <c r="L659" t="inlineStr">
        <is>
          <t>1 / 4</t>
        </is>
      </c>
      <c r="M659" s="5" t="n">
        <v>0.25</v>
      </c>
      <c r="N659" s="5" t="n">
        <v>0.2</v>
      </c>
    </row>
    <row r="660">
      <c r="A660" t="n">
        <v>659</v>
      </c>
      <c r="B660" t="n">
        <v>2012</v>
      </c>
      <c r="C660" t="inlineStr">
        <is>
          <t>Rosalie Lanthier</t>
        </is>
      </c>
      <c r="D660">
        <f>HYPERLINK("https://ota.tournamentsoftware.com/player-profile/7853B67E-AF4D-4FFF-9839-6455ACC0C941", "Link")</f>
        <v/>
      </c>
      <c r="E660" s="3" t="n">
        <v>31.759</v>
      </c>
      <c r="F660" s="4" t="n">
        <v>5</v>
      </c>
      <c r="G660" t="inlineStr">
        <is>
          <t>Tennis Québec</t>
        </is>
      </c>
      <c r="H660" t="inlineStr">
        <is>
          <t>EB Tennis inc.</t>
        </is>
      </c>
      <c r="I660" t="n">
        <v>40</v>
      </c>
      <c r="J660" s="4" t="n">
        <v>15</v>
      </c>
      <c r="K660" t="inlineStr">
        <is>
          <t>1 / 14</t>
        </is>
      </c>
      <c r="L660" t="inlineStr">
        <is>
          <t>0 / 4</t>
        </is>
      </c>
      <c r="M660" s="5" t="n">
        <v>0.07000000000000001</v>
      </c>
      <c r="N660" s="5" t="n">
        <v>0</v>
      </c>
    </row>
    <row r="661">
      <c r="A661" t="n">
        <v>660</v>
      </c>
      <c r="B661" t="n">
        <v>2012</v>
      </c>
      <c r="C661" t="inlineStr">
        <is>
          <t>Belen Aldana</t>
        </is>
      </c>
      <c r="D661">
        <f>HYPERLINK("https://ota.tournamentsoftware.com/player-profile/403664F3-E594-4FFF-BEC0-1AF63F2F73E4", "Link")</f>
        <v/>
      </c>
      <c r="E661" s="3" t="n">
        <v>31.724</v>
      </c>
      <c r="F661" s="4" t="n">
        <v>6</v>
      </c>
      <c r="G661" t="inlineStr">
        <is>
          <t>Tennis Québec</t>
        </is>
      </c>
      <c r="H661" t="inlineStr">
        <is>
          <t>SANI Sport</t>
        </is>
      </c>
      <c r="I661" t="n">
        <v>37.9</v>
      </c>
      <c r="J661" s="4" t="n">
        <v>11</v>
      </c>
      <c r="K661" t="inlineStr">
        <is>
          <t>1 / 10</t>
        </is>
      </c>
      <c r="L661" t="inlineStr">
        <is>
          <t>1 / 10</t>
        </is>
      </c>
      <c r="M661" s="5" t="n">
        <v>0.09</v>
      </c>
      <c r="N661" s="5" t="n">
        <v>0.09</v>
      </c>
    </row>
    <row r="662">
      <c r="A662" t="n">
        <v>661</v>
      </c>
      <c r="B662" t="n">
        <v>2012</v>
      </c>
      <c r="C662" t="inlineStr">
        <is>
          <t>Elise Landry</t>
        </is>
      </c>
      <c r="D662">
        <f>HYPERLINK("https://ota.tournamentsoftware.com/player-profile/E61A7837-F4EB-4DDA-B26F-2D7CE7910B80", "Link")</f>
        <v/>
      </c>
      <c r="E662" s="3" t="n">
        <v>31.456</v>
      </c>
      <c r="F662" s="4" t="n">
        <v>3</v>
      </c>
      <c r="G662" t="inlineStr">
        <is>
          <t>Ontario Tennis Association</t>
        </is>
      </c>
      <c r="H662" t="inlineStr">
        <is>
          <t>Toronto Tennis City</t>
        </is>
      </c>
      <c r="I662" t="inlineStr">
        <is>
          <t>unavailable</t>
        </is>
      </c>
      <c r="J662" s="4" t="n">
        <v>9</v>
      </c>
      <c r="K662" t="inlineStr">
        <is>
          <t>5 / 4</t>
        </is>
      </c>
      <c r="L662" t="inlineStr">
        <is>
          <t>5 / 4</t>
        </is>
      </c>
      <c r="M662" s="5" t="n">
        <v>0.5600000000000001</v>
      </c>
      <c r="N662" s="5" t="n">
        <v>0.5600000000000001</v>
      </c>
    </row>
    <row r="663">
      <c r="A663" t="n">
        <v>662</v>
      </c>
      <c r="B663" t="n">
        <v>2016</v>
      </c>
      <c r="C663" t="inlineStr">
        <is>
          <t>Talia Petrovski</t>
        </is>
      </c>
      <c r="D663">
        <f>HYPERLINK("https://ota.tournamentsoftware.com/player-profile/85787F1F-708B-4576-AEFA-F82C6105B16E", "Link")</f>
        <v/>
      </c>
      <c r="E663" s="3" t="n">
        <v>31.234</v>
      </c>
      <c r="F663" s="4" t="n">
        <v>19</v>
      </c>
      <c r="G663" t="inlineStr">
        <is>
          <t>Tennis Alberta</t>
        </is>
      </c>
      <c r="H663" t="inlineStr">
        <is>
          <t>IQ Tennis and Pickleball Centre</t>
        </is>
      </c>
      <c r="I663" t="n">
        <v>35.4</v>
      </c>
      <c r="J663" s="4" t="n">
        <v>146</v>
      </c>
      <c r="K663" t="inlineStr">
        <is>
          <t>83 / 63</t>
        </is>
      </c>
      <c r="L663" t="inlineStr">
        <is>
          <t>53 / 25</t>
        </is>
      </c>
      <c r="M663" s="5" t="n">
        <v>0.57</v>
      </c>
      <c r="N663" s="5" t="n">
        <v>0.68</v>
      </c>
    </row>
    <row r="664">
      <c r="A664" t="n">
        <v>663</v>
      </c>
      <c r="B664" t="n">
        <v>2012</v>
      </c>
      <c r="C664" t="inlineStr">
        <is>
          <t>Capri Metelitsa</t>
        </is>
      </c>
      <c r="D664">
        <f>HYPERLINK("https://ota.tournamentsoftware.com/player-profile/AD54A68E-D415-4925-B832-8287172FB727", "Link")</f>
        <v/>
      </c>
      <c r="E664" s="3" t="n">
        <v>31.075</v>
      </c>
      <c r="F664" s="4" t="n">
        <v>9</v>
      </c>
      <c r="G664" t="inlineStr">
        <is>
          <t>Tennis Alberta</t>
        </is>
      </c>
      <c r="H664" t="inlineStr">
        <is>
          <t>Aforza</t>
        </is>
      </c>
      <c r="I664" t="n">
        <v>36.4</v>
      </c>
      <c r="J664" s="4" t="n">
        <v>50</v>
      </c>
      <c r="K664" t="inlineStr">
        <is>
          <t>23 / 27</t>
        </is>
      </c>
      <c r="L664" t="inlineStr">
        <is>
          <t>2 / 8</t>
        </is>
      </c>
      <c r="M664" s="5" t="n">
        <v>0.46</v>
      </c>
      <c r="N664" s="5" t="n">
        <v>0.2</v>
      </c>
    </row>
    <row r="665">
      <c r="A665" t="n">
        <v>664</v>
      </c>
      <c r="B665" t="n">
        <v>2015</v>
      </c>
      <c r="C665" t="inlineStr">
        <is>
          <t>Léa Anténor</t>
        </is>
      </c>
      <c r="D665">
        <f>HYPERLINK("https://ota.tournamentsoftware.com/player-profile/C5888674-E1AF-487D-88CD-4864B4B9365E", "Link")</f>
        <v/>
      </c>
      <c r="E665" s="3" t="n">
        <v>30.818</v>
      </c>
      <c r="F665" s="4" t="n">
        <v>5</v>
      </c>
      <c r="G665" t="inlineStr">
        <is>
          <t>Tennis Québec</t>
        </is>
      </c>
      <c r="H665" t="inlineStr">
        <is>
          <t>No Club</t>
        </is>
      </c>
      <c r="I665" t="inlineStr">
        <is>
          <t>unavailable</t>
        </is>
      </c>
      <c r="J665" s="4" t="n">
        <v>8</v>
      </c>
      <c r="K665" t="inlineStr">
        <is>
          <t>3 / 5</t>
        </is>
      </c>
      <c r="L665" t="inlineStr">
        <is>
          <t>3 / 5</t>
        </is>
      </c>
      <c r="M665" s="5" t="n">
        <v>0.38</v>
      </c>
      <c r="N665" s="5" t="n">
        <v>0.38</v>
      </c>
    </row>
    <row r="666">
      <c r="A666" t="n">
        <v>665</v>
      </c>
      <c r="B666" t="n">
        <v>2015</v>
      </c>
      <c r="C666" t="inlineStr">
        <is>
          <t>Daisy Dai</t>
        </is>
      </c>
      <c r="D666">
        <f>HYPERLINK("https://ota.tournamentsoftware.com/player-profile/C64DEFB9-4BBC-4AA1-8CC8-9020440935AB", "Link")</f>
        <v/>
      </c>
      <c r="E666" s="3" t="n">
        <v>30.448</v>
      </c>
      <c r="F666" s="4" t="n">
        <v>2</v>
      </c>
      <c r="G666" t="inlineStr">
        <is>
          <t>Tennis Nova Scotia</t>
        </is>
      </c>
      <c r="H666" t="inlineStr">
        <is>
          <t>Atlantic Tennis Centre</t>
        </is>
      </c>
      <c r="I666" t="n">
        <v>33.3</v>
      </c>
      <c r="J666" s="4" t="n">
        <v>23</v>
      </c>
      <c r="K666" t="inlineStr">
        <is>
          <t>16 / 7</t>
        </is>
      </c>
      <c r="L666" t="inlineStr">
        <is>
          <t>4 / 2</t>
        </is>
      </c>
      <c r="M666" s="5" t="n">
        <v>0.7</v>
      </c>
      <c r="N666" s="5" t="n">
        <v>0.67</v>
      </c>
    </row>
    <row r="667">
      <c r="A667" t="n">
        <v>666</v>
      </c>
      <c r="B667" t="n">
        <v>2014</v>
      </c>
      <c r="C667" t="inlineStr">
        <is>
          <t>Bo Brisson</t>
        </is>
      </c>
      <c r="D667">
        <f>HYPERLINK("https://ota.tournamentsoftware.com/player-profile/836F9923-C4A5-42E1-8BF0-0788DAB02146", "Link")</f>
        <v/>
      </c>
      <c r="E667" s="3" t="n">
        <v>30.304</v>
      </c>
      <c r="F667" s="4" t="n">
        <v>3</v>
      </c>
      <c r="G667" t="inlineStr">
        <is>
          <t>Ontario Tennis Association</t>
        </is>
      </c>
      <c r="H667" t="inlineStr">
        <is>
          <t>GSM Tennis Club</t>
        </is>
      </c>
      <c r="I667" t="inlineStr">
        <is>
          <t>unavailable</t>
        </is>
      </c>
      <c r="J667" s="4" t="n">
        <v>117</v>
      </c>
      <c r="K667" t="inlineStr">
        <is>
          <t>38 / 79</t>
        </is>
      </c>
      <c r="L667" t="inlineStr">
        <is>
          <t>4 / 3</t>
        </is>
      </c>
      <c r="M667" s="5" t="n">
        <v>0.32</v>
      </c>
      <c r="N667" s="5" t="n">
        <v>0.57</v>
      </c>
    </row>
    <row r="668">
      <c r="A668" t="n">
        <v>667</v>
      </c>
      <c r="B668" t="n">
        <v>2015</v>
      </c>
      <c r="C668" t="inlineStr">
        <is>
          <t>Hannah Lewis</t>
        </is>
      </c>
      <c r="D668">
        <f>HYPERLINK("https://ota.tournamentsoftware.com/player-profile/B25290C5-DB82-4ED0-843D-33516AFF301F", "Link")</f>
        <v/>
      </c>
      <c r="E668" s="3" t="n">
        <v>30.058</v>
      </c>
      <c r="F668" s="4" t="n">
        <v>6</v>
      </c>
      <c r="G668" t="inlineStr">
        <is>
          <t>Ontario Tennis Association</t>
        </is>
      </c>
      <c r="H668" t="inlineStr">
        <is>
          <t>Tam Heather Tennis Club</t>
        </is>
      </c>
      <c r="I668" t="n">
        <v>38.7</v>
      </c>
      <c r="J668" s="4" t="n">
        <v>46</v>
      </c>
      <c r="K668" t="inlineStr">
        <is>
          <t>13 / 33</t>
        </is>
      </c>
      <c r="L668" t="inlineStr">
        <is>
          <t>12 / 16</t>
        </is>
      </c>
      <c r="M668" s="5" t="n">
        <v>0.28</v>
      </c>
      <c r="N668" s="5" t="n">
        <v>0.43</v>
      </c>
    </row>
    <row r="669">
      <c r="A669" t="n">
        <v>668</v>
      </c>
      <c r="B669" t="n">
        <v>2015</v>
      </c>
      <c r="C669" t="inlineStr">
        <is>
          <t>Diana Troitska</t>
        </is>
      </c>
      <c r="D669">
        <f>HYPERLINK("https://ota.tournamentsoftware.com/player-profile/6F22C01B-A1B6-4624-8606-C4D0FEB24026", "Link")</f>
        <v/>
      </c>
      <c r="E669" s="3" t="n">
        <v>29.666</v>
      </c>
      <c r="F669" s="4" t="n">
        <v>3</v>
      </c>
      <c r="G669" t="inlineStr">
        <is>
          <t>Tennis Québec</t>
        </is>
      </c>
      <c r="H669" t="inlineStr">
        <is>
          <t>No Club</t>
        </is>
      </c>
      <c r="I669" t="inlineStr">
        <is>
          <t>unavailable</t>
        </is>
      </c>
      <c r="J669" s="4" t="n">
        <v>16</v>
      </c>
      <c r="K669" t="inlineStr">
        <is>
          <t>3 / 13</t>
        </is>
      </c>
      <c r="L669" t="inlineStr">
        <is>
          <t>1 / 3</t>
        </is>
      </c>
      <c r="M669" s="5" t="n">
        <v>0.19</v>
      </c>
      <c r="N669" s="5" t="n">
        <v>0.25</v>
      </c>
    </row>
    <row r="670">
      <c r="A670" t="n">
        <v>669</v>
      </c>
      <c r="B670" t="n">
        <v>2012</v>
      </c>
      <c r="C670" t="inlineStr">
        <is>
          <t>Remy Quinn Durocher</t>
        </is>
      </c>
      <c r="D670">
        <f>HYPERLINK("https://ota.tournamentsoftware.com/player-profile/64BF8C80-3EDB-464A-896D-5D47CC387451", "Link")</f>
        <v/>
      </c>
      <c r="E670" s="3" t="n">
        <v>29.376</v>
      </c>
      <c r="F670" s="4" t="n">
        <v>1</v>
      </c>
      <c r="G670" t="inlineStr">
        <is>
          <t>Tennis Prince Edward Island</t>
        </is>
      </c>
      <c r="H670" t="inlineStr">
        <is>
          <t>Stratford Tennis Club</t>
        </is>
      </c>
      <c r="I670" t="n">
        <v>39.4</v>
      </c>
      <c r="J670" s="4" t="n">
        <v>13</v>
      </c>
      <c r="K670" t="inlineStr">
        <is>
          <t>2 / 11</t>
        </is>
      </c>
      <c r="L670" t="inlineStr">
        <is>
          <t>1 / 6</t>
        </is>
      </c>
      <c r="M670" s="5" t="n">
        <v>0.15</v>
      </c>
      <c r="N670" s="5" t="n">
        <v>0.14</v>
      </c>
    </row>
    <row r="671">
      <c r="A671" t="n">
        <v>670</v>
      </c>
      <c r="B671" t="n">
        <v>2014</v>
      </c>
      <c r="C671" t="inlineStr">
        <is>
          <t>Mila Levac</t>
        </is>
      </c>
      <c r="D671">
        <f>HYPERLINK("https://ota.tournamentsoftware.com/player-profile/7F793D8E-41D7-4B70-87B7-9D30B32ED35F", "Link")</f>
        <v/>
      </c>
      <c r="E671" s="3" t="n">
        <v>29.368</v>
      </c>
      <c r="F671" s="4" t="n">
        <v>4</v>
      </c>
      <c r="G671" t="inlineStr">
        <is>
          <t>Ontario Tennis Association</t>
        </is>
      </c>
      <c r="H671" t="inlineStr">
        <is>
          <t>Rideau Sports Centre</t>
        </is>
      </c>
      <c r="I671" t="n">
        <v>39.3</v>
      </c>
      <c r="J671" s="4" t="n">
        <v>79</v>
      </c>
      <c r="K671" t="inlineStr">
        <is>
          <t>15 / 64</t>
        </is>
      </c>
      <c r="L671" t="inlineStr">
        <is>
          <t>0 / 4</t>
        </is>
      </c>
      <c r="M671" s="5" t="n">
        <v>0.19</v>
      </c>
      <c r="N671" s="5" t="n">
        <v>0</v>
      </c>
    </row>
    <row r="672">
      <c r="A672" t="n">
        <v>671</v>
      </c>
      <c r="B672" t="n">
        <v>2015</v>
      </c>
      <c r="C672" t="inlineStr">
        <is>
          <t>Iris RuiYing Cen</t>
        </is>
      </c>
      <c r="D672">
        <f>HYPERLINK("https://ota.tournamentsoftware.com/player-profile/D53FD847-C5AE-41A6-BFB8-EE8B251EDFBF", "Link")</f>
        <v/>
      </c>
      <c r="E672" s="3" t="n">
        <v>29.111</v>
      </c>
      <c r="F672" s="4" t="n">
        <v>7</v>
      </c>
      <c r="G672" t="inlineStr">
        <is>
          <t>Ontario Tennis Association</t>
        </is>
      </c>
      <c r="H672" t="inlineStr">
        <is>
          <t>Meadowvale West Tennis Club</t>
        </is>
      </c>
      <c r="I672" t="n">
        <v>38.1</v>
      </c>
      <c r="J672" s="4" t="n">
        <v>77</v>
      </c>
      <c r="K672" t="inlineStr">
        <is>
          <t>20 / 57</t>
        </is>
      </c>
      <c r="L672" t="inlineStr">
        <is>
          <t>2 / 4</t>
        </is>
      </c>
      <c r="M672" s="5" t="n">
        <v>0.26</v>
      </c>
      <c r="N672" s="5" t="n">
        <v>0.33</v>
      </c>
    </row>
    <row r="673">
      <c r="A673" t="n">
        <v>672</v>
      </c>
      <c r="B673" t="n">
        <v>2015</v>
      </c>
      <c r="C673" t="inlineStr">
        <is>
          <t>Asena Kiamil</t>
        </is>
      </c>
      <c r="D673">
        <f>HYPERLINK("https://ota.tournamentsoftware.com/player-profile/E9A72281-6B76-4B36-9040-E802436447FA", "Link")</f>
        <v/>
      </c>
      <c r="E673" s="3" t="n">
        <v>28.824</v>
      </c>
      <c r="F673" s="4" t="n">
        <v>6</v>
      </c>
      <c r="G673" t="inlineStr">
        <is>
          <t>Ontario Tennis Association</t>
        </is>
      </c>
      <c r="H673" t="inlineStr">
        <is>
          <t>Royal City Tennis Club</t>
        </is>
      </c>
      <c r="I673" t="n">
        <v>37.8</v>
      </c>
      <c r="J673" s="4" t="n">
        <v>86</v>
      </c>
      <c r="K673" t="inlineStr">
        <is>
          <t>46 / 40</t>
        </is>
      </c>
      <c r="L673" t="inlineStr">
        <is>
          <t>4 / 6</t>
        </is>
      </c>
      <c r="M673" s="5" t="n">
        <v>0.53</v>
      </c>
      <c r="N673" s="5" t="n">
        <v>0.4</v>
      </c>
    </row>
    <row r="674">
      <c r="A674" t="n">
        <v>673</v>
      </c>
      <c r="B674" t="n">
        <v>2013</v>
      </c>
      <c r="C674" t="inlineStr">
        <is>
          <t>Nitya Myneni</t>
        </is>
      </c>
      <c r="D674">
        <f>HYPERLINK("https://ota.tournamentsoftware.com/player-profile/482EDD14-11AD-4221-B031-4CDB8348AC62", "Link")</f>
        <v/>
      </c>
      <c r="E674" s="3" t="n">
        <v>28.564</v>
      </c>
      <c r="F674" s="4" t="n">
        <v>4</v>
      </c>
      <c r="G674" t="inlineStr">
        <is>
          <t>British Columbia</t>
        </is>
      </c>
      <c r="H674" t="inlineStr">
        <is>
          <t>The Tennis Centre</t>
        </is>
      </c>
      <c r="I674" t="n">
        <v>39.7</v>
      </c>
      <c r="J674" s="4" t="n">
        <v>30</v>
      </c>
      <c r="K674" t="inlineStr">
        <is>
          <t>8 / 22</t>
        </is>
      </c>
      <c r="L674" t="inlineStr">
        <is>
          <t>0 / 8</t>
        </is>
      </c>
      <c r="M674" s="5" t="n">
        <v>0.27</v>
      </c>
      <c r="N674" s="5" t="n">
        <v>0</v>
      </c>
    </row>
    <row r="675">
      <c r="A675" t="n">
        <v>674</v>
      </c>
      <c r="B675" t="n">
        <v>2013</v>
      </c>
      <c r="C675" t="inlineStr">
        <is>
          <t>TIFFANY ZHENG</t>
        </is>
      </c>
      <c r="D675">
        <f>HYPERLINK("https://ota.tournamentsoftware.com/player-profile/59B34621-D499-450A-BDB3-B38C363BEAD1", "Link")</f>
        <v/>
      </c>
      <c r="E675" s="3" t="n">
        <v>28.481</v>
      </c>
      <c r="F675" s="4" t="n">
        <v>1</v>
      </c>
      <c r="G675" t="inlineStr">
        <is>
          <t>Ontario Tennis Association</t>
        </is>
      </c>
      <c r="H675" t="inlineStr">
        <is>
          <t>Carleton Tennis Centre</t>
        </is>
      </c>
      <c r="I675" t="n">
        <v>34</v>
      </c>
      <c r="J675" s="4" t="n">
        <v>1</v>
      </c>
      <c r="K675" t="inlineStr">
        <is>
          <t>1 / 0</t>
        </is>
      </c>
      <c r="L675" t="inlineStr">
        <is>
          <t>1 / 0</t>
        </is>
      </c>
      <c r="M675" s="5" t="n">
        <v>1</v>
      </c>
      <c r="N675" s="5" t="n">
        <v>1</v>
      </c>
    </row>
    <row r="676">
      <c r="A676" t="n">
        <v>675</v>
      </c>
      <c r="B676" t="n">
        <v>2013</v>
      </c>
      <c r="C676" t="inlineStr">
        <is>
          <t>Meryem Besri Besri</t>
        </is>
      </c>
      <c r="D676">
        <f>HYPERLINK("https://ota.tournamentsoftware.com/player-profile/24E638E5-93ED-46F3-95E6-F944EA4EAAE7", "Link")</f>
        <v/>
      </c>
      <c r="E676" s="3" t="n">
        <v>28.425</v>
      </c>
      <c r="F676" s="4" t="n">
        <v>3</v>
      </c>
      <c r="G676" t="inlineStr">
        <is>
          <t>Tennis Alberta</t>
        </is>
      </c>
      <c r="H676" t="inlineStr">
        <is>
          <t>Calgary - Public</t>
        </is>
      </c>
      <c r="I676" t="n">
        <v>32</v>
      </c>
      <c r="J676" s="4" t="n">
        <v>6</v>
      </c>
      <c r="K676" t="inlineStr">
        <is>
          <t>3 / 3</t>
        </is>
      </c>
      <c r="L676" t="inlineStr">
        <is>
          <t>3 / 3</t>
        </is>
      </c>
      <c r="M676" s="5" t="n">
        <v>0.5</v>
      </c>
      <c r="N676" s="5" t="n">
        <v>0.5</v>
      </c>
    </row>
    <row r="677">
      <c r="A677" t="n">
        <v>676</v>
      </c>
      <c r="B677" t="n">
        <v>2016</v>
      </c>
      <c r="C677" t="inlineStr">
        <is>
          <t>Flora Ziyue Wang</t>
        </is>
      </c>
      <c r="D677">
        <f>HYPERLINK("https://ota.tournamentsoftware.com/player-profile/65435931-BBD0-46BD-839E-4188787640BE", "Link")</f>
        <v/>
      </c>
      <c r="E677" s="3" t="n">
        <v>28.368</v>
      </c>
      <c r="F677" s="4" t="n">
        <v>7</v>
      </c>
      <c r="G677" t="inlineStr">
        <is>
          <t>Ontario Tennis Association</t>
        </is>
      </c>
      <c r="H677" t="inlineStr">
        <is>
          <t>Unionville Tennis Club</t>
        </is>
      </c>
      <c r="I677" t="n">
        <v>35.4</v>
      </c>
      <c r="J677" s="4" t="n">
        <v>82</v>
      </c>
      <c r="K677" t="inlineStr">
        <is>
          <t>42 / 40</t>
        </is>
      </c>
      <c r="L677" t="inlineStr">
        <is>
          <t>15 / 9</t>
        </is>
      </c>
      <c r="M677" s="5" t="n">
        <v>0.51</v>
      </c>
      <c r="N677" s="5" t="n">
        <v>0.62</v>
      </c>
    </row>
    <row r="678">
      <c r="A678" t="n">
        <v>677</v>
      </c>
      <c r="B678" t="n">
        <v>2014</v>
      </c>
      <c r="C678" t="inlineStr">
        <is>
          <t>Vira Beskupska</t>
        </is>
      </c>
      <c r="D678">
        <f>HYPERLINK("https://ota.tournamentsoftware.com/player-profile/116FA89C-68A6-4FE9-ADC6-34260809351C", "Link")</f>
        <v/>
      </c>
      <c r="E678" s="3" t="n">
        <v>28.08</v>
      </c>
      <c r="F678" s="4" t="n">
        <v>3</v>
      </c>
      <c r="G678" t="inlineStr">
        <is>
          <t>Ontario Tennis Association</t>
        </is>
      </c>
      <c r="H678" t="inlineStr">
        <is>
          <t>Tennis Centre West Ottawa</t>
        </is>
      </c>
      <c r="I678" t="n">
        <v>38.4</v>
      </c>
      <c r="J678" s="4" t="n">
        <v>7</v>
      </c>
      <c r="K678" t="inlineStr">
        <is>
          <t>2 / 5</t>
        </is>
      </c>
      <c r="L678" t="inlineStr">
        <is>
          <t>2 / 5</t>
        </is>
      </c>
      <c r="M678" s="5" t="n">
        <v>0.29</v>
      </c>
      <c r="N678" s="5" t="n">
        <v>0.29</v>
      </c>
    </row>
    <row r="679">
      <c r="A679" t="n">
        <v>678</v>
      </c>
      <c r="B679" t="n">
        <v>2013</v>
      </c>
      <c r="C679" t="inlineStr">
        <is>
          <t>Phoebe Xu</t>
        </is>
      </c>
      <c r="D679">
        <f>HYPERLINK("https://ota.tournamentsoftware.com/player-profile/278C7B40-F6F9-4402-A8BF-F8069FAF9612", "Link")</f>
        <v/>
      </c>
      <c r="E679" s="3" t="n">
        <v>27.864</v>
      </c>
      <c r="F679" s="4" t="n">
        <v>2</v>
      </c>
      <c r="G679" t="inlineStr">
        <is>
          <t>Ontario Tennis Association</t>
        </is>
      </c>
      <c r="H679" t="inlineStr">
        <is>
          <t>Sandy Beach Tennis Club</t>
        </is>
      </c>
      <c r="I679" t="n">
        <v>32</v>
      </c>
      <c r="J679" s="4" t="n">
        <v>89</v>
      </c>
      <c r="K679" t="inlineStr">
        <is>
          <t>50 / 39</t>
        </is>
      </c>
      <c r="L679" t="inlineStr">
        <is>
          <t>1 / 1</t>
        </is>
      </c>
      <c r="M679" s="5" t="n">
        <v>0.5600000000000001</v>
      </c>
      <c r="N679" s="5" t="n">
        <v>0.5</v>
      </c>
    </row>
    <row r="680">
      <c r="A680" t="n">
        <v>679</v>
      </c>
      <c r="B680" t="n">
        <v>2014</v>
      </c>
      <c r="C680" t="inlineStr">
        <is>
          <t>kunyou Guan</t>
        </is>
      </c>
      <c r="D680">
        <f>HYPERLINK("https://ota.tournamentsoftware.com/player-profile/1F3E9C6C-8AD9-4B0B-B88C-410B372DBAF5", "Link")</f>
        <v/>
      </c>
      <c r="E680" s="3" t="n">
        <v>27.859</v>
      </c>
      <c r="F680" s="4" t="n">
        <v>7</v>
      </c>
      <c r="G680" t="inlineStr">
        <is>
          <t>Ontario Tennis Association</t>
        </is>
      </c>
      <c r="H680" t="inlineStr">
        <is>
          <t>Mayfair West Fitness &amp; Racquet Club</t>
        </is>
      </c>
      <c r="I680" t="n">
        <v>37.5</v>
      </c>
      <c r="J680" s="4" t="n">
        <v>38</v>
      </c>
      <c r="K680" t="inlineStr">
        <is>
          <t>19 / 19</t>
        </is>
      </c>
      <c r="L680" t="inlineStr">
        <is>
          <t>6 / 8</t>
        </is>
      </c>
      <c r="M680" s="5" t="n">
        <v>0.5</v>
      </c>
      <c r="N680" s="5" t="n">
        <v>0.43</v>
      </c>
    </row>
    <row r="681">
      <c r="A681" t="n">
        <v>680</v>
      </c>
      <c r="B681" t="n">
        <v>2016</v>
      </c>
      <c r="C681" t="inlineStr">
        <is>
          <t>Madison Prsa</t>
        </is>
      </c>
      <c r="D681">
        <f>HYPERLINK("https://ota.tournamentsoftware.com/player-profile/E90BB9E9-F58B-415B-8202-1B024EFB9E36", "Link")</f>
        <v/>
      </c>
      <c r="E681" s="3" t="n">
        <v>27.648</v>
      </c>
      <c r="F681" s="4" t="n">
        <v>6</v>
      </c>
      <c r="G681" t="inlineStr">
        <is>
          <t>Ontario Tennis Association</t>
        </is>
      </c>
      <c r="H681" t="inlineStr">
        <is>
          <t>Advantage Tennis International at Veneto</t>
        </is>
      </c>
      <c r="I681" t="n">
        <v>36.3</v>
      </c>
      <c r="J681" s="4" t="n">
        <v>145</v>
      </c>
      <c r="K681" t="inlineStr">
        <is>
          <t>56 / 89</t>
        </is>
      </c>
      <c r="L681" t="inlineStr">
        <is>
          <t>15 / 21</t>
        </is>
      </c>
      <c r="M681" s="5" t="n">
        <v>0.39</v>
      </c>
      <c r="N681" s="5" t="n">
        <v>0.42</v>
      </c>
    </row>
    <row r="682">
      <c r="A682" t="n">
        <v>681</v>
      </c>
      <c r="B682" t="n">
        <v>2012</v>
      </c>
      <c r="C682" t="inlineStr">
        <is>
          <t>Tallulah Oakes</t>
        </is>
      </c>
      <c r="D682">
        <f>HYPERLINK("https://ota.tournamentsoftware.com/player-profile/B5372F0A-C15A-4DDD-A97C-9E3BACE4A05E", "Link")</f>
        <v/>
      </c>
      <c r="E682" s="3" t="n">
        <v>26.613</v>
      </c>
      <c r="F682" s="4" t="n">
        <v>2</v>
      </c>
      <c r="G682" t="inlineStr">
        <is>
          <t>British Columbia</t>
        </is>
      </c>
      <c r="H682" t="inlineStr">
        <is>
          <t>Hollyburn Country Club</t>
        </is>
      </c>
      <c r="I682" t="n">
        <v>35.4</v>
      </c>
      <c r="J682" s="4" t="n">
        <v>72</v>
      </c>
      <c r="K682" t="inlineStr">
        <is>
          <t>27 / 45</t>
        </is>
      </c>
      <c r="L682" t="inlineStr">
        <is>
          <t>1 / 2</t>
        </is>
      </c>
      <c r="M682" s="5" t="n">
        <v>0.38</v>
      </c>
      <c r="N682" s="5" t="n">
        <v>0.33</v>
      </c>
    </row>
    <row r="683">
      <c r="A683" t="n">
        <v>682</v>
      </c>
      <c r="B683" t="n">
        <v>2012</v>
      </c>
      <c r="C683" t="inlineStr">
        <is>
          <t>Kira Karstoff</t>
        </is>
      </c>
      <c r="D683">
        <f>HYPERLINK("https://ota.tournamentsoftware.com/player-profile/1755679B-A50B-4F8F-B603-0578043F7638", "Link")</f>
        <v/>
      </c>
      <c r="E683" s="3" t="n">
        <v>26.611</v>
      </c>
      <c r="F683" s="4" t="n">
        <v>2</v>
      </c>
      <c r="G683" t="inlineStr">
        <is>
          <t>Ontario Tennis Association</t>
        </is>
      </c>
      <c r="H683" t="inlineStr">
        <is>
          <t>Toronto Cricket Skating &amp; Curling</t>
        </is>
      </c>
      <c r="I683" t="inlineStr">
        <is>
          <t>unavailable</t>
        </is>
      </c>
      <c r="J683" s="4" t="n">
        <v>48</v>
      </c>
      <c r="K683" t="inlineStr">
        <is>
          <t>21 / 27</t>
        </is>
      </c>
      <c r="L683" t="inlineStr">
        <is>
          <t>2 / 4</t>
        </is>
      </c>
      <c r="M683" s="5" t="n">
        <v>0.44</v>
      </c>
      <c r="N683" s="5" t="n">
        <v>0.33</v>
      </c>
    </row>
    <row r="684">
      <c r="A684" t="n">
        <v>683</v>
      </c>
      <c r="B684" t="n">
        <v>2013</v>
      </c>
      <c r="C684" t="inlineStr">
        <is>
          <t>Soély Expérience</t>
        </is>
      </c>
      <c r="D684">
        <f>HYPERLINK("https://ota.tournamentsoftware.com/player-profile/91892DC4-7E0E-400F-96DB-9DFFCE855771", "Link")</f>
        <v/>
      </c>
      <c r="E684" s="3" t="n">
        <v>26.568</v>
      </c>
      <c r="F684" s="4" t="n">
        <v>1</v>
      </c>
      <c r="G684" t="inlineStr">
        <is>
          <t>Tennis Québec</t>
        </is>
      </c>
      <c r="H684" t="inlineStr">
        <is>
          <t>Tennis Montréal Excellence</t>
        </is>
      </c>
      <c r="I684" t="n">
        <v>32.8</v>
      </c>
      <c r="J684" s="4" t="n">
        <v>163</v>
      </c>
      <c r="K684" t="inlineStr">
        <is>
          <t>95 / 68</t>
        </is>
      </c>
      <c r="L684" t="inlineStr">
        <is>
          <t>0 / 1</t>
        </is>
      </c>
      <c r="M684" s="5" t="n">
        <v>0.58</v>
      </c>
      <c r="N684" s="5" t="n">
        <v>0</v>
      </c>
    </row>
    <row r="685">
      <c r="A685" t="n">
        <v>683</v>
      </c>
      <c r="B685" t="n">
        <v>2013</v>
      </c>
      <c r="C685" t="inlineStr">
        <is>
          <t>Mayssa Maddouri</t>
        </is>
      </c>
      <c r="D685">
        <f>HYPERLINK("https://ota.tournamentsoftware.com/player-profile/911D4DB6-C985-4A43-8264-359A0386F2C5", "Link")</f>
        <v/>
      </c>
      <c r="E685" s="3" t="n">
        <v>26.568</v>
      </c>
      <c r="F685" s="4" t="n">
        <v>2</v>
      </c>
      <c r="G685" t="inlineStr">
        <is>
          <t>Tennis Québec</t>
        </is>
      </c>
      <c r="H685" t="inlineStr">
        <is>
          <t>EB Tennis inc.</t>
        </is>
      </c>
      <c r="I685" t="inlineStr">
        <is>
          <t>unavailable</t>
        </is>
      </c>
      <c r="J685" s="4" t="n">
        <v>3</v>
      </c>
      <c r="K685" t="inlineStr">
        <is>
          <t>0 / 3</t>
        </is>
      </c>
      <c r="L685" t="inlineStr">
        <is>
          <t>0 / 3</t>
        </is>
      </c>
      <c r="M685" s="5" t="n">
        <v>0</v>
      </c>
      <c r="N685" s="5" t="n">
        <v>0</v>
      </c>
    </row>
    <row r="686">
      <c r="A686" t="n">
        <v>685</v>
      </c>
      <c r="B686" t="n">
        <v>2012</v>
      </c>
      <c r="C686" t="inlineStr">
        <is>
          <t>Erica Amy Els</t>
        </is>
      </c>
      <c r="D686">
        <f>HYPERLINK("https://ota.tournamentsoftware.com/player-profile/2D6CC49A-BAE5-4768-9244-8FB4F1D2CABC", "Link")</f>
        <v/>
      </c>
      <c r="E686" s="3" t="n">
        <v>26.417</v>
      </c>
      <c r="F686" s="4" t="n">
        <v>5</v>
      </c>
      <c r="G686" t="inlineStr">
        <is>
          <t>Tennis Alberta</t>
        </is>
      </c>
      <c r="H686" t="inlineStr">
        <is>
          <t>No Club</t>
        </is>
      </c>
      <c r="I686" t="n">
        <v>39.2</v>
      </c>
      <c r="J686" s="4" t="n">
        <v>9</v>
      </c>
      <c r="K686" t="inlineStr">
        <is>
          <t>1 / 8</t>
        </is>
      </c>
      <c r="L686" t="inlineStr">
        <is>
          <t>1 / 8</t>
        </is>
      </c>
      <c r="M686" s="5" t="n">
        <v>0.11</v>
      </c>
      <c r="N686" s="5" t="n">
        <v>0.11</v>
      </c>
    </row>
    <row r="687">
      <c r="A687" t="n">
        <v>686</v>
      </c>
      <c r="B687" t="n">
        <v>2013</v>
      </c>
      <c r="C687" t="inlineStr">
        <is>
          <t>Kate Lalli</t>
        </is>
      </c>
      <c r="D687">
        <f>HYPERLINK("https://ota.tournamentsoftware.com/player-profile/37A0CF8B-C4DF-49F1-946F-E349A3E42015", "Link")</f>
        <v/>
      </c>
      <c r="E687" s="3" t="n">
        <v>26.327</v>
      </c>
      <c r="F687" s="4" t="n">
        <v>3</v>
      </c>
      <c r="G687" t="inlineStr">
        <is>
          <t>Tennis Québec</t>
        </is>
      </c>
      <c r="H687" t="inlineStr">
        <is>
          <t>No Club</t>
        </is>
      </c>
      <c r="I687" t="n">
        <v>37.6</v>
      </c>
      <c r="J687" s="4" t="n">
        <v>15</v>
      </c>
      <c r="K687" t="inlineStr">
        <is>
          <t>4 / 11</t>
        </is>
      </c>
      <c r="L687" t="inlineStr">
        <is>
          <t>1 / 6</t>
        </is>
      </c>
      <c r="M687" s="5" t="n">
        <v>0.27</v>
      </c>
      <c r="N687" s="5" t="n">
        <v>0.14</v>
      </c>
    </row>
    <row r="688">
      <c r="A688" t="n">
        <v>687</v>
      </c>
      <c r="B688" t="n">
        <v>2014</v>
      </c>
      <c r="C688" t="inlineStr">
        <is>
          <t>Audrey Lu</t>
        </is>
      </c>
      <c r="D688">
        <f>HYPERLINK("https://ota.tournamentsoftware.com/player-profile/01588371-7322-467B-AA75-DDD8230D1899", "Link")</f>
        <v/>
      </c>
      <c r="E688" s="3" t="n">
        <v>26.154</v>
      </c>
      <c r="F688" s="4" t="n">
        <v>6</v>
      </c>
      <c r="G688" t="inlineStr">
        <is>
          <t>Ontario Tennis Association</t>
        </is>
      </c>
      <c r="H688" t="inlineStr">
        <is>
          <t>Toronto Cricket Skating &amp; Curling</t>
        </is>
      </c>
      <c r="I688" t="inlineStr">
        <is>
          <t>unavailable</t>
        </is>
      </c>
      <c r="J688" s="4" t="n">
        <v>24</v>
      </c>
      <c r="K688" t="inlineStr">
        <is>
          <t>10 / 14</t>
        </is>
      </c>
      <c r="L688" t="inlineStr">
        <is>
          <t>10 / 11</t>
        </is>
      </c>
      <c r="M688" s="5" t="n">
        <v>0.42</v>
      </c>
      <c r="N688" s="5" t="n">
        <v>0.48</v>
      </c>
    </row>
    <row r="689">
      <c r="A689" t="n">
        <v>688</v>
      </c>
      <c r="B689" t="n">
        <v>2012</v>
      </c>
      <c r="C689" t="inlineStr">
        <is>
          <t>Daniella Maria SAUCEDO</t>
        </is>
      </c>
      <c r="D689">
        <f>HYPERLINK("https://ota.tournamentsoftware.com/player-profile/45A852A0-99BB-4449-9FC4-8CAEBA4B404C", "Link")</f>
        <v/>
      </c>
      <c r="E689" s="3" t="n">
        <v>26.136</v>
      </c>
      <c r="F689" s="4" t="n">
        <v>2</v>
      </c>
      <c r="G689" t="inlineStr">
        <is>
          <t>Ontario Tennis Association</t>
        </is>
      </c>
      <c r="H689" t="inlineStr">
        <is>
          <t>City of Oakville</t>
        </is>
      </c>
      <c r="I689" t="inlineStr">
        <is>
          <t>unavailable</t>
        </is>
      </c>
      <c r="J689" s="4" t="n">
        <v>137</v>
      </c>
      <c r="K689" t="inlineStr">
        <is>
          <t>72 / 65</t>
        </is>
      </c>
      <c r="L689" t="inlineStr">
        <is>
          <t>0 / 0</t>
        </is>
      </c>
      <c r="M689" s="5" t="n">
        <v>0.53</v>
      </c>
      <c r="N689" s="5" t="n">
        <v>0</v>
      </c>
    </row>
    <row r="690">
      <c r="A690" t="n">
        <v>688</v>
      </c>
      <c r="B690" t="n">
        <v>2016</v>
      </c>
      <c r="C690" t="inlineStr">
        <is>
          <t>Harper Whitehead</t>
        </is>
      </c>
      <c r="D690">
        <f>HYPERLINK("https://ota.tournamentsoftware.com/player-profile/11F4D113-D7D4-48BC-9EC5-3040B116C96D", "Link")</f>
        <v/>
      </c>
      <c r="E690" s="3" t="n">
        <v>26.136</v>
      </c>
      <c r="F690" s="4" t="n">
        <v>10</v>
      </c>
      <c r="G690" t="inlineStr">
        <is>
          <t>Tennis Nova Scotia</t>
        </is>
      </c>
      <c r="H690" t="inlineStr">
        <is>
          <t>Atlantic Tennis Centre</t>
        </is>
      </c>
      <c r="I690" t="n">
        <v>38</v>
      </c>
      <c r="J690" s="4" t="n">
        <v>84</v>
      </c>
      <c r="K690" t="inlineStr">
        <is>
          <t>37 / 47</t>
        </is>
      </c>
      <c r="L690" t="inlineStr">
        <is>
          <t>12 / 17</t>
        </is>
      </c>
      <c r="M690" s="5" t="n">
        <v>0.44</v>
      </c>
      <c r="N690" s="5" t="n">
        <v>0.41</v>
      </c>
    </row>
    <row r="691">
      <c r="A691" t="n">
        <v>690</v>
      </c>
      <c r="B691" t="n">
        <v>2015</v>
      </c>
      <c r="C691" t="inlineStr">
        <is>
          <t>Isadora Xu</t>
        </is>
      </c>
      <c r="D691">
        <f>HYPERLINK("https://ota.tournamentsoftware.com/player-profile/78173253-32AB-4E0D-8618-AEF874C973EC", "Link")</f>
        <v/>
      </c>
      <c r="E691" s="3" t="n">
        <v>25.746</v>
      </c>
      <c r="F691" s="4" t="n">
        <v>11</v>
      </c>
      <c r="G691" t="inlineStr">
        <is>
          <t>British Columbia</t>
        </is>
      </c>
      <c r="H691" t="inlineStr">
        <is>
          <t>Arbutus Club</t>
        </is>
      </c>
      <c r="I691" t="n">
        <v>39.3</v>
      </c>
      <c r="J691" s="4" t="n">
        <v>46</v>
      </c>
      <c r="K691" t="inlineStr">
        <is>
          <t>19 / 27</t>
        </is>
      </c>
      <c r="L691" t="inlineStr">
        <is>
          <t>15 / 21</t>
        </is>
      </c>
      <c r="M691" s="5" t="n">
        <v>0.41</v>
      </c>
      <c r="N691" s="5" t="n">
        <v>0.42</v>
      </c>
    </row>
    <row r="692">
      <c r="A692" t="n">
        <v>691</v>
      </c>
      <c r="B692" t="n">
        <v>2012</v>
      </c>
      <c r="C692" t="inlineStr">
        <is>
          <t>Harper Van Beveren</t>
        </is>
      </c>
      <c r="D692">
        <f>HYPERLINK("https://ota.tournamentsoftware.com/player-profile/5981FBA6-1FF9-4CF8-8DE2-DDB8BFEA4094", "Link")</f>
        <v/>
      </c>
      <c r="E692" s="3" t="n">
        <v>25.531</v>
      </c>
      <c r="F692" s="4" t="n">
        <v>2</v>
      </c>
      <c r="G692" t="inlineStr">
        <is>
          <t>Ontario Tennis Association</t>
        </is>
      </c>
      <c r="H692" t="inlineStr">
        <is>
          <t>Rosedale Tennis Club (Hamilton)</t>
        </is>
      </c>
      <c r="I692" t="inlineStr">
        <is>
          <t>unavailable</t>
        </is>
      </c>
      <c r="J692" s="4" t="n">
        <v>16</v>
      </c>
      <c r="K692" t="inlineStr">
        <is>
          <t>5 / 11</t>
        </is>
      </c>
      <c r="L692" t="inlineStr">
        <is>
          <t>1 / 1</t>
        </is>
      </c>
      <c r="M692" s="5" t="n">
        <v>0.31</v>
      </c>
      <c r="N692" s="5" t="n">
        <v>0.5</v>
      </c>
    </row>
    <row r="693">
      <c r="A693" t="n">
        <v>692</v>
      </c>
      <c r="B693" t="n">
        <v>2014</v>
      </c>
      <c r="C693" t="inlineStr">
        <is>
          <t>Mia Krusarovski</t>
        </is>
      </c>
      <c r="D693">
        <f>HYPERLINK("https://ota.tournamentsoftware.com/player-profile/BE8F67EB-3C85-4EE8-8915-58C34DCD86C7", "Link")</f>
        <v/>
      </c>
      <c r="E693" s="3" t="n">
        <v>25.17</v>
      </c>
      <c r="F693" s="4" t="n">
        <v>3</v>
      </c>
      <c r="G693" t="inlineStr">
        <is>
          <t>Ontario Tennis Association</t>
        </is>
      </c>
      <c r="H693" t="inlineStr">
        <is>
          <t>Zekelman Tennis Centre</t>
        </is>
      </c>
      <c r="I693" t="n">
        <v>34.4</v>
      </c>
      <c r="J693" s="4" t="n">
        <v>16</v>
      </c>
      <c r="K693" t="inlineStr">
        <is>
          <t>5 / 11</t>
        </is>
      </c>
      <c r="L693" t="inlineStr">
        <is>
          <t>4 / 2</t>
        </is>
      </c>
      <c r="M693" s="5" t="n">
        <v>0.31</v>
      </c>
      <c r="N693" s="5" t="n">
        <v>0.67</v>
      </c>
    </row>
    <row r="694">
      <c r="A694" t="n">
        <v>693</v>
      </c>
      <c r="B694" t="n">
        <v>2013</v>
      </c>
      <c r="C694" t="inlineStr">
        <is>
          <t>Aylin Iskenderova</t>
        </is>
      </c>
      <c r="D694">
        <f>HYPERLINK("https://ota.tournamentsoftware.com/player-profile/07B240E6-A596-4F2A-90A6-63993B9F2568", "Link")</f>
        <v/>
      </c>
      <c r="E694" s="3" t="n">
        <v>24.575</v>
      </c>
      <c r="F694" s="4" t="n">
        <v>2</v>
      </c>
      <c r="G694" t="inlineStr">
        <is>
          <t>Ontario Tennis Association</t>
        </is>
      </c>
      <c r="H694" t="inlineStr">
        <is>
          <t>Concord Tennis Academy</t>
        </is>
      </c>
      <c r="I694" t="n">
        <v>40</v>
      </c>
      <c r="J694" s="4" t="n">
        <v>16</v>
      </c>
      <c r="K694" t="inlineStr">
        <is>
          <t>6 / 10</t>
        </is>
      </c>
      <c r="L694" t="inlineStr">
        <is>
          <t>0 / 4</t>
        </is>
      </c>
      <c r="M694" s="5" t="n">
        <v>0.38</v>
      </c>
      <c r="N694" s="5" t="n">
        <v>0</v>
      </c>
    </row>
    <row r="695">
      <c r="A695" t="n">
        <v>694</v>
      </c>
      <c r="B695" t="n">
        <v>2013</v>
      </c>
      <c r="C695" t="inlineStr">
        <is>
          <t>Seher Sharma</t>
        </is>
      </c>
      <c r="D695">
        <f>HYPERLINK("https://ota.tournamentsoftware.com/player-profile/383B0843-9E5F-4A01-8304-C01EA147B7A2", "Link")</f>
        <v/>
      </c>
      <c r="E695" s="3" t="n">
        <v>24.524</v>
      </c>
      <c r="F695" s="4" t="n">
        <v>2</v>
      </c>
      <c r="G695" t="inlineStr">
        <is>
          <t>Ontario Tennis Association</t>
        </is>
      </c>
      <c r="H695" t="inlineStr">
        <is>
          <t>Glendale Tennis Club</t>
        </is>
      </c>
      <c r="I695" t="inlineStr">
        <is>
          <t>unavailable</t>
        </is>
      </c>
      <c r="J695" s="4" t="n">
        <v>17</v>
      </c>
      <c r="K695" t="inlineStr">
        <is>
          <t>4 / 13</t>
        </is>
      </c>
      <c r="L695" t="inlineStr">
        <is>
          <t>0 / 4</t>
        </is>
      </c>
      <c r="M695" s="5" t="n">
        <v>0.24</v>
      </c>
      <c r="N695" s="5" t="n">
        <v>0</v>
      </c>
    </row>
    <row r="696">
      <c r="A696" t="n">
        <v>695</v>
      </c>
      <c r="B696" t="n">
        <v>2013</v>
      </c>
      <c r="C696" t="inlineStr">
        <is>
          <t>Yu Nohara</t>
        </is>
      </c>
      <c r="D696">
        <f>HYPERLINK("https://ota.tournamentsoftware.com/player-profile/4AB57DE3-C832-4B9F-8F8F-AECBF5EE5A81", "Link")</f>
        <v/>
      </c>
      <c r="E696" s="3" t="n">
        <v>24.176</v>
      </c>
      <c r="F696" s="4" t="n">
        <v>3</v>
      </c>
      <c r="G696" t="inlineStr">
        <is>
          <t>British Columbia</t>
        </is>
      </c>
      <c r="H696" t="inlineStr">
        <is>
          <t>Tennis for Life</t>
        </is>
      </c>
      <c r="I696" t="n">
        <v>36.6</v>
      </c>
      <c r="J696" s="4" t="n">
        <v>20</v>
      </c>
      <c r="K696" t="inlineStr">
        <is>
          <t>9 / 11</t>
        </is>
      </c>
      <c r="L696" t="inlineStr">
        <is>
          <t>1 / 3</t>
        </is>
      </c>
      <c r="M696" s="5" t="n">
        <v>0.45</v>
      </c>
      <c r="N696" s="5" t="n">
        <v>0.25</v>
      </c>
    </row>
    <row r="697">
      <c r="A697" t="n">
        <v>696</v>
      </c>
      <c r="B697" t="n">
        <v>2016</v>
      </c>
      <c r="C697" t="inlineStr">
        <is>
          <t>Ama Marie Elvira Kouadio</t>
        </is>
      </c>
      <c r="D697">
        <f>HYPERLINK("https://ota.tournamentsoftware.com/player-profile/25362040-6649-44FF-A97B-DDFA8FFF0B73", "Link")</f>
        <v/>
      </c>
      <c r="E697" s="3" t="n">
        <v>24.103</v>
      </c>
      <c r="F697" s="4" t="n">
        <v>2</v>
      </c>
      <c r="G697" t="inlineStr">
        <is>
          <t>Tennis Québec</t>
        </is>
      </c>
      <c r="H697" t="inlineStr">
        <is>
          <t>Carrefour Multisports</t>
        </is>
      </c>
      <c r="I697" t="n">
        <v>34.4</v>
      </c>
      <c r="J697" s="4" t="n">
        <v>65</v>
      </c>
      <c r="K697" t="inlineStr">
        <is>
          <t>41 / 24</t>
        </is>
      </c>
      <c r="L697" t="inlineStr">
        <is>
          <t>5 / 4</t>
        </is>
      </c>
      <c r="M697" s="5" t="n">
        <v>0.63</v>
      </c>
      <c r="N697" s="5" t="n">
        <v>0.5600000000000001</v>
      </c>
    </row>
    <row r="698">
      <c r="A698" t="n">
        <v>697</v>
      </c>
      <c r="B698" t="n">
        <v>2015</v>
      </c>
      <c r="C698" t="inlineStr">
        <is>
          <t>Tara Sepahsalari</t>
        </is>
      </c>
      <c r="D698">
        <f>HYPERLINK("https://ota.tournamentsoftware.com/player-profile/EB26731B-07C8-4C3E-8214-7DD265D4A843", "Link")</f>
        <v/>
      </c>
      <c r="E698" s="3" t="n">
        <v>23.95</v>
      </c>
      <c r="F698" s="4" t="n">
        <v>6</v>
      </c>
      <c r="G698" t="inlineStr">
        <is>
          <t>Tennis Québec</t>
        </is>
      </c>
      <c r="H698" t="inlineStr">
        <is>
          <t>EB Tennis inc.</t>
        </is>
      </c>
      <c r="I698" t="n">
        <v>40</v>
      </c>
      <c r="J698" s="4" t="n">
        <v>36</v>
      </c>
      <c r="K698" t="inlineStr">
        <is>
          <t>5 / 31</t>
        </is>
      </c>
      <c r="L698" t="inlineStr">
        <is>
          <t>1 / 11</t>
        </is>
      </c>
      <c r="M698" s="5" t="n">
        <v>0.14</v>
      </c>
      <c r="N698" s="5" t="n">
        <v>0.08</v>
      </c>
    </row>
    <row r="699">
      <c r="A699" t="n">
        <v>698</v>
      </c>
      <c r="B699" t="n">
        <v>2014</v>
      </c>
      <c r="C699" t="inlineStr">
        <is>
          <t>Rehmat Kaur Sandhar</t>
        </is>
      </c>
      <c r="D699">
        <f>HYPERLINK("https://ota.tournamentsoftware.com/player-profile/F8357E3D-210F-40E0-BA8A-8FFDBD0DC17E", "Link")</f>
        <v/>
      </c>
      <c r="E699" s="3" t="n">
        <v>23.76</v>
      </c>
      <c r="F699" s="4" t="n">
        <v>3</v>
      </c>
      <c r="G699" t="inlineStr">
        <is>
          <t>Ontario Tennis Association</t>
        </is>
      </c>
      <c r="H699" t="inlineStr">
        <is>
          <t>ON Tennis Toronto No Club</t>
        </is>
      </c>
      <c r="I699" t="n">
        <v>36.7</v>
      </c>
      <c r="J699" s="4" t="n">
        <v>36</v>
      </c>
      <c r="K699" t="inlineStr">
        <is>
          <t>18 / 18</t>
        </is>
      </c>
      <c r="L699" t="inlineStr">
        <is>
          <t>18 / 15</t>
        </is>
      </c>
      <c r="M699" s="5" t="n">
        <v>0.5</v>
      </c>
      <c r="N699" s="5" t="n">
        <v>0.55</v>
      </c>
    </row>
    <row r="700">
      <c r="A700" t="n">
        <v>699</v>
      </c>
      <c r="B700" t="n">
        <v>2014</v>
      </c>
      <c r="C700" t="inlineStr">
        <is>
          <t>Emma Jingya Xi</t>
        </is>
      </c>
      <c r="D700">
        <f>HYPERLINK("https://ota.tournamentsoftware.com/player-profile/540C86FB-2BC4-4357-8C94-AA0A3EEBDC22", "Link")</f>
        <v/>
      </c>
      <c r="E700" s="3" t="n">
        <v>23.597</v>
      </c>
      <c r="F700" s="4" t="n">
        <v>3</v>
      </c>
      <c r="G700" t="inlineStr">
        <is>
          <t>Ontario Tennis Association</t>
        </is>
      </c>
      <c r="H700" t="inlineStr">
        <is>
          <t>ACE Tennis - Burlington</t>
        </is>
      </c>
      <c r="I700" t="inlineStr">
        <is>
          <t>unavailable</t>
        </is>
      </c>
      <c r="J700" s="4" t="n">
        <v>41</v>
      </c>
      <c r="K700" t="inlineStr">
        <is>
          <t>14 / 27</t>
        </is>
      </c>
      <c r="L700" t="inlineStr">
        <is>
          <t>1 / 5</t>
        </is>
      </c>
      <c r="M700" s="5" t="n">
        <v>0.34</v>
      </c>
      <c r="N700" s="5" t="n">
        <v>0.17</v>
      </c>
    </row>
    <row r="701">
      <c r="A701" t="n">
        <v>700</v>
      </c>
      <c r="B701" t="n">
        <v>2012</v>
      </c>
      <c r="C701" t="inlineStr">
        <is>
          <t>Nika Yaghoubi</t>
        </is>
      </c>
      <c r="D701">
        <f>HYPERLINK("https://ota.tournamentsoftware.com/player-profile/D6970753-702D-4123-8798-708EAC6B7E32", "Link")</f>
        <v/>
      </c>
      <c r="E701" s="3" t="n">
        <v>23.448</v>
      </c>
      <c r="F701" s="4" t="n">
        <v>2</v>
      </c>
      <c r="G701" t="inlineStr">
        <is>
          <t>Tennis Alberta</t>
        </is>
      </c>
      <c r="H701" t="inlineStr">
        <is>
          <t>Saville Community Sports Centre</t>
        </is>
      </c>
      <c r="I701" t="n">
        <v>35.2</v>
      </c>
      <c r="J701" s="4" t="n">
        <v>12</v>
      </c>
      <c r="K701" t="inlineStr">
        <is>
          <t>6 / 6</t>
        </is>
      </c>
      <c r="L701" t="inlineStr">
        <is>
          <t>6 / 6</t>
        </is>
      </c>
      <c r="M701" s="5" t="n">
        <v>0.5</v>
      </c>
      <c r="N701" s="5" t="n">
        <v>0.5</v>
      </c>
    </row>
    <row r="702">
      <c r="A702" t="n">
        <v>701</v>
      </c>
      <c r="B702" t="n">
        <v>2015</v>
      </c>
      <c r="C702" t="inlineStr">
        <is>
          <t>Cassia Contreras</t>
        </is>
      </c>
      <c r="D702">
        <f>HYPERLINK("https://ota.tournamentsoftware.com/player-profile/84692E6B-274F-4FC9-9179-D4BC6F34FCEE", "Link")</f>
        <v/>
      </c>
      <c r="E702" s="3" t="n">
        <v>23.208</v>
      </c>
      <c r="F702" s="4" t="n">
        <v>4</v>
      </c>
      <c r="G702" t="inlineStr">
        <is>
          <t>Ontario Tennis Association</t>
        </is>
      </c>
      <c r="H702" t="inlineStr">
        <is>
          <t>Toronto Tennis Academy</t>
        </is>
      </c>
      <c r="I702" t="inlineStr">
        <is>
          <t>unavailable</t>
        </is>
      </c>
      <c r="J702" s="4" t="n">
        <v>50</v>
      </c>
      <c r="K702" t="inlineStr">
        <is>
          <t>18 / 32</t>
        </is>
      </c>
      <c r="L702" t="inlineStr">
        <is>
          <t>5 / 7</t>
        </is>
      </c>
      <c r="M702" s="5" t="n">
        <v>0.36</v>
      </c>
      <c r="N702" s="5" t="n">
        <v>0.42</v>
      </c>
    </row>
    <row r="703">
      <c r="A703" t="n">
        <v>702</v>
      </c>
      <c r="B703" t="n">
        <v>2015</v>
      </c>
      <c r="C703" t="inlineStr">
        <is>
          <t>Margot Couture</t>
        </is>
      </c>
      <c r="D703">
        <f>HYPERLINK("https://ota.tournamentsoftware.com/player-profile/7DE265DB-E3E6-4C4E-90BD-199DB99DCAEB", "Link")</f>
        <v/>
      </c>
      <c r="E703" s="3" t="n">
        <v>23.186</v>
      </c>
      <c r="F703" s="4" t="n">
        <v>5</v>
      </c>
      <c r="G703" t="inlineStr">
        <is>
          <t>Tennis Québec</t>
        </is>
      </c>
      <c r="H703" t="inlineStr">
        <is>
          <t>SANI Sport</t>
        </is>
      </c>
      <c r="I703" t="n">
        <v>38.1</v>
      </c>
      <c r="J703" s="4" t="n">
        <v>27</v>
      </c>
      <c r="K703" t="inlineStr">
        <is>
          <t>7 / 20</t>
        </is>
      </c>
      <c r="L703" t="inlineStr">
        <is>
          <t>2 / 5</t>
        </is>
      </c>
      <c r="M703" s="5" t="n">
        <v>0.26</v>
      </c>
      <c r="N703" s="5" t="n">
        <v>0.29</v>
      </c>
    </row>
    <row r="704">
      <c r="A704" t="n">
        <v>703</v>
      </c>
      <c r="B704" t="n">
        <v>2015</v>
      </c>
      <c r="C704" t="inlineStr">
        <is>
          <t>Eliana Green</t>
        </is>
      </c>
      <c r="D704">
        <f>HYPERLINK("https://ota.tournamentsoftware.com/player-profile/6AF8FC12-BD58-4E7C-B446-1CAAB9ADE85D", "Link")</f>
        <v/>
      </c>
      <c r="E704" s="3" t="n">
        <v>23.112</v>
      </c>
      <c r="F704" s="4" t="n">
        <v>1</v>
      </c>
      <c r="G704" t="inlineStr">
        <is>
          <t>Tennis Saskatchewan</t>
        </is>
      </c>
      <c r="H704" t="inlineStr">
        <is>
          <t>Lakeshore Tennis Club</t>
        </is>
      </c>
      <c r="I704" t="n">
        <v>38.1</v>
      </c>
      <c r="J704" s="4" t="n">
        <v>32</v>
      </c>
      <c r="K704" t="inlineStr">
        <is>
          <t>5 / 27</t>
        </is>
      </c>
      <c r="L704" t="inlineStr">
        <is>
          <t>2 / 4</t>
        </is>
      </c>
      <c r="M704" s="5" t="n">
        <v>0.16</v>
      </c>
      <c r="N704" s="5" t="n">
        <v>0.33</v>
      </c>
    </row>
    <row r="705">
      <c r="A705" t="n">
        <v>704</v>
      </c>
      <c r="B705" t="n">
        <v>2014</v>
      </c>
      <c r="C705" t="inlineStr">
        <is>
          <t>Dina Chakri</t>
        </is>
      </c>
      <c r="D705">
        <f>HYPERLINK("https://ota.tournamentsoftware.com/player-profile/8824FD85-93E3-4F7D-8968-FC836D77769D", "Link")</f>
        <v/>
      </c>
      <c r="E705" s="3" t="n">
        <v>22.953</v>
      </c>
      <c r="F705" s="4" t="n">
        <v>7</v>
      </c>
      <c r="G705" t="inlineStr">
        <is>
          <t>Tennis Québec</t>
        </is>
      </c>
      <c r="H705" t="inlineStr">
        <is>
          <t>Tennis 13</t>
        </is>
      </c>
      <c r="I705" t="n">
        <v>38.9</v>
      </c>
      <c r="J705" s="4" t="n">
        <v>10</v>
      </c>
      <c r="K705" t="inlineStr">
        <is>
          <t>2 / 8</t>
        </is>
      </c>
      <c r="L705" t="inlineStr">
        <is>
          <t>2 / 8</t>
        </is>
      </c>
      <c r="M705" s="5" t="n">
        <v>0.2</v>
      </c>
      <c r="N705" s="5" t="n">
        <v>0.2</v>
      </c>
    </row>
    <row r="706">
      <c r="A706" t="n">
        <v>705</v>
      </c>
      <c r="B706" t="n">
        <v>2014</v>
      </c>
      <c r="C706" t="inlineStr">
        <is>
          <t>Jasmine El Ouadi</t>
        </is>
      </c>
      <c r="D706">
        <f>HYPERLINK("https://ota.tournamentsoftware.com/player-profile/FBECFAB6-3ABF-4F1B-AD1C-230CB79A1119", "Link")</f>
        <v/>
      </c>
      <c r="E706" s="3" t="n">
        <v>22.903</v>
      </c>
      <c r="F706" s="4" t="n">
        <v>6</v>
      </c>
      <c r="G706" t="inlineStr">
        <is>
          <t>Tennis Alberta</t>
        </is>
      </c>
      <c r="H706" t="inlineStr">
        <is>
          <t>Calgary - Public</t>
        </is>
      </c>
      <c r="I706" t="n">
        <v>40</v>
      </c>
      <c r="J706" s="4" t="n">
        <v>11</v>
      </c>
      <c r="K706" t="inlineStr">
        <is>
          <t>0 / 11</t>
        </is>
      </c>
      <c r="L706" t="inlineStr">
        <is>
          <t>0 / 3</t>
        </is>
      </c>
      <c r="M706" s="5" t="n">
        <v>0</v>
      </c>
      <c r="N706" s="5" t="n">
        <v>0</v>
      </c>
    </row>
    <row r="707">
      <c r="A707" t="n">
        <v>706</v>
      </c>
      <c r="B707" t="n">
        <v>2015</v>
      </c>
      <c r="C707" t="inlineStr">
        <is>
          <t>Laila Hilmi</t>
        </is>
      </c>
      <c r="D707">
        <f>HYPERLINK("https://ota.tournamentsoftware.com/player-profile/73A707F1-78B1-45FE-A608-D2E6AA82EA8F", "Link")</f>
        <v/>
      </c>
      <c r="E707" s="3" t="n">
        <v>22.595</v>
      </c>
      <c r="F707" s="4" t="n">
        <v>3</v>
      </c>
      <c r="G707" t="inlineStr">
        <is>
          <t>Tennis Québec</t>
        </is>
      </c>
      <c r="H707" t="inlineStr">
        <is>
          <t>Tennis Montréal Excellence</t>
        </is>
      </c>
      <c r="I707" t="inlineStr">
        <is>
          <t>unavailable</t>
        </is>
      </c>
      <c r="J707" s="4" t="n">
        <v>46</v>
      </c>
      <c r="K707" t="inlineStr">
        <is>
          <t>13 / 33</t>
        </is>
      </c>
      <c r="L707" t="inlineStr">
        <is>
          <t>4 / 3</t>
        </is>
      </c>
      <c r="M707" s="5" t="n">
        <v>0.28</v>
      </c>
      <c r="N707" s="5" t="n">
        <v>0.57</v>
      </c>
    </row>
    <row r="708">
      <c r="A708" t="n">
        <v>707</v>
      </c>
      <c r="B708" t="n">
        <v>2015</v>
      </c>
      <c r="C708" t="inlineStr">
        <is>
          <t>Margaux Eile</t>
        </is>
      </c>
      <c r="D708">
        <f>HYPERLINK("https://ota.tournamentsoftware.com/player-profile/9023DCCB-FDAB-4759-A4C9-E99C2FD3C6AD", "Link")</f>
        <v/>
      </c>
      <c r="E708" s="3" t="n">
        <v>22.577</v>
      </c>
      <c r="F708" s="4" t="n">
        <v>7</v>
      </c>
      <c r="G708" t="inlineStr">
        <is>
          <t>Tennis Québec</t>
        </is>
      </c>
      <c r="H708" t="inlineStr">
        <is>
          <t>Midtown Le Sporting Club Sanctuaire</t>
        </is>
      </c>
      <c r="I708" t="n">
        <v>39.7</v>
      </c>
      <c r="J708" s="4" t="n">
        <v>26</v>
      </c>
      <c r="K708" t="inlineStr">
        <is>
          <t>2 / 24</t>
        </is>
      </c>
      <c r="L708" t="inlineStr">
        <is>
          <t>0 / 7</t>
        </is>
      </c>
      <c r="M708" s="5" t="n">
        <v>0.08</v>
      </c>
      <c r="N708" s="5" t="n">
        <v>0</v>
      </c>
    </row>
    <row r="709">
      <c r="A709" t="n">
        <v>708</v>
      </c>
      <c r="B709" t="n">
        <v>2014</v>
      </c>
      <c r="C709" t="inlineStr">
        <is>
          <t>Mila Khayretdinova</t>
        </is>
      </c>
      <c r="D709">
        <f>HYPERLINK("https://ota.tournamentsoftware.com/player-profile/04DE0A72-CDB6-4637-88E8-378348327654", "Link")</f>
        <v/>
      </c>
      <c r="E709" s="3" t="n">
        <v>22.375</v>
      </c>
      <c r="F709" s="4" t="n">
        <v>4</v>
      </c>
      <c r="G709" t="inlineStr">
        <is>
          <t>Tennis Québec</t>
        </is>
      </c>
      <c r="H709" t="inlineStr">
        <is>
          <t>No Club</t>
        </is>
      </c>
      <c r="I709" t="n">
        <v>39.1</v>
      </c>
      <c r="J709" s="4" t="n">
        <v>41</v>
      </c>
      <c r="K709" t="inlineStr">
        <is>
          <t>3 / 38</t>
        </is>
      </c>
      <c r="L709" t="inlineStr">
        <is>
          <t>3 / 6</t>
        </is>
      </c>
      <c r="M709" s="5" t="n">
        <v>0.07000000000000001</v>
      </c>
      <c r="N709" s="5" t="n">
        <v>0.33</v>
      </c>
    </row>
    <row r="710">
      <c r="A710" t="n">
        <v>709</v>
      </c>
      <c r="B710" t="n">
        <v>2012</v>
      </c>
      <c r="C710" t="inlineStr">
        <is>
          <t>Angel Wen</t>
        </is>
      </c>
      <c r="D710">
        <f>HYPERLINK("https://ota.tournamentsoftware.com/player-profile/2BF37F0F-B2BA-4533-859D-5AFB82154AAC", "Link")</f>
        <v/>
      </c>
      <c r="E710" s="3" t="n">
        <v>22.248</v>
      </c>
      <c r="F710" s="4" t="n">
        <v>2</v>
      </c>
      <c r="G710" t="inlineStr">
        <is>
          <t>Tennis Nova Scotia</t>
        </is>
      </c>
      <c r="H710" t="inlineStr">
        <is>
          <t>Atlantic Tennis Centre</t>
        </is>
      </c>
      <c r="I710" t="n">
        <v>37.2</v>
      </c>
      <c r="J710" s="4" t="n">
        <v>4</v>
      </c>
      <c r="K710" t="inlineStr">
        <is>
          <t>0 / 4</t>
        </is>
      </c>
      <c r="L710" t="inlineStr">
        <is>
          <t>0 / 2</t>
        </is>
      </c>
      <c r="M710" s="5" t="n">
        <v>0</v>
      </c>
      <c r="N710" s="5" t="n">
        <v>0</v>
      </c>
    </row>
    <row r="711">
      <c r="A711" t="n">
        <v>710</v>
      </c>
      <c r="B711" t="n">
        <v>2015</v>
      </c>
      <c r="C711" t="inlineStr">
        <is>
          <t>Nalla Isabella Lteif</t>
        </is>
      </c>
      <c r="D711">
        <f>HYPERLINK("https://ota.tournamentsoftware.com/player-profile/B0DC1A2D-B87B-4E66-A5EE-9C9F6EC668D4", "Link")</f>
        <v/>
      </c>
      <c r="E711" s="3" t="n">
        <v>21.849</v>
      </c>
      <c r="F711" s="4" t="n">
        <v>4</v>
      </c>
      <c r="G711" t="inlineStr">
        <is>
          <t>Tennis Québec</t>
        </is>
      </c>
      <c r="H711" t="inlineStr">
        <is>
          <t>Carrefour Multisports</t>
        </is>
      </c>
      <c r="I711" t="n">
        <v>37.9</v>
      </c>
      <c r="J711" s="4" t="n">
        <v>12</v>
      </c>
      <c r="K711" t="inlineStr">
        <is>
          <t>5 / 7</t>
        </is>
      </c>
      <c r="L711" t="inlineStr">
        <is>
          <t>3 / 4</t>
        </is>
      </c>
      <c r="M711" s="5" t="n">
        <v>0.42</v>
      </c>
      <c r="N711" s="5" t="n">
        <v>0.43</v>
      </c>
    </row>
    <row r="712">
      <c r="A712" t="n">
        <v>711</v>
      </c>
      <c r="B712" t="n">
        <v>2014</v>
      </c>
      <c r="C712" t="inlineStr">
        <is>
          <t>Cheryl Elizabeth Ong</t>
        </is>
      </c>
      <c r="D712">
        <f>HYPERLINK("https://ota.tournamentsoftware.com/player-profile/11AC4E6A-0B03-4BB4-ACB7-333E7FD9064F", "Link")</f>
        <v/>
      </c>
      <c r="E712" s="3" t="n">
        <v>21.848</v>
      </c>
      <c r="F712" s="4" t="n">
        <v>10</v>
      </c>
      <c r="G712" t="inlineStr">
        <is>
          <t>British Columbia</t>
        </is>
      </c>
      <c r="H712" t="inlineStr">
        <is>
          <t>Tennis for Life</t>
        </is>
      </c>
      <c r="I712" t="inlineStr">
        <is>
          <t>unavailable</t>
        </is>
      </c>
      <c r="J712" s="4" t="n">
        <v>44</v>
      </c>
      <c r="K712" t="inlineStr">
        <is>
          <t>14 / 30</t>
        </is>
      </c>
      <c r="L712" t="inlineStr">
        <is>
          <t>10 / 14</t>
        </is>
      </c>
      <c r="M712" s="5" t="n">
        <v>0.32</v>
      </c>
      <c r="N712" s="5" t="n">
        <v>0.42</v>
      </c>
    </row>
    <row r="713">
      <c r="A713" t="n">
        <v>712</v>
      </c>
      <c r="B713" t="n">
        <v>2016</v>
      </c>
      <c r="C713" t="inlineStr">
        <is>
          <t>Samantha Bronwyn Daniell</t>
        </is>
      </c>
      <c r="D713">
        <f>HYPERLINK("https://ota.tournamentsoftware.com/player-profile/7D796AB4-F8DD-43AD-8451-41C0A3E3949A", "Link")</f>
        <v/>
      </c>
      <c r="E713" s="3" t="n">
        <v>21.771</v>
      </c>
      <c r="F713" s="4" t="n">
        <v>10</v>
      </c>
      <c r="G713" t="inlineStr">
        <is>
          <t>British Columbia</t>
        </is>
      </c>
      <c r="H713" t="inlineStr">
        <is>
          <t>The Tennis Centre</t>
        </is>
      </c>
      <c r="I713" t="n">
        <v>37.5</v>
      </c>
      <c r="J713" s="4" t="n">
        <v>130</v>
      </c>
      <c r="K713" t="inlineStr">
        <is>
          <t>64 / 66</t>
        </is>
      </c>
      <c r="L713" t="inlineStr">
        <is>
          <t>32 / 28</t>
        </is>
      </c>
      <c r="M713" s="5" t="n">
        <v>0.49</v>
      </c>
      <c r="N713" s="5" t="n">
        <v>0.53</v>
      </c>
    </row>
    <row r="714">
      <c r="A714" t="n">
        <v>713</v>
      </c>
      <c r="B714" t="n">
        <v>2016</v>
      </c>
      <c r="C714" t="inlineStr">
        <is>
          <t>Brielle Han</t>
        </is>
      </c>
      <c r="D714">
        <f>HYPERLINK("https://ota.tournamentsoftware.com/player-profile/76F58D78-6F14-462B-9C79-943F718FD16A", "Link")</f>
        <v/>
      </c>
      <c r="E714" s="3" t="n">
        <v>21.501</v>
      </c>
      <c r="F714" s="4" t="n">
        <v>9</v>
      </c>
      <c r="G714" t="inlineStr">
        <is>
          <t>British Columbia</t>
        </is>
      </c>
      <c r="H714" t="inlineStr">
        <is>
          <t>North Vancouver Tennis Centre</t>
        </is>
      </c>
      <c r="I714" t="inlineStr">
        <is>
          <t>unavailable</t>
        </is>
      </c>
      <c r="J714" s="4" t="n">
        <v>200</v>
      </c>
      <c r="K714" t="inlineStr">
        <is>
          <t>69 / 131</t>
        </is>
      </c>
      <c r="L714" t="inlineStr">
        <is>
          <t>21 / 19</t>
        </is>
      </c>
      <c r="M714" s="5" t="n">
        <v>0.34</v>
      </c>
      <c r="N714" s="5" t="n">
        <v>0.53</v>
      </c>
    </row>
    <row r="715">
      <c r="A715" t="n">
        <v>714</v>
      </c>
      <c r="B715" t="n">
        <v>2015</v>
      </c>
      <c r="C715" t="inlineStr">
        <is>
          <t>Élisa Deschatelets</t>
        </is>
      </c>
      <c r="D715">
        <f>HYPERLINK("https://ota.tournamentsoftware.com/player-profile/C5ECD0AF-5510-44E4-897A-6A3A4D73CDEF", "Link")</f>
        <v/>
      </c>
      <c r="E715" s="3" t="n">
        <v>21.501</v>
      </c>
      <c r="F715" s="4" t="n">
        <v>4</v>
      </c>
      <c r="G715" t="inlineStr">
        <is>
          <t>Tennis Québec</t>
        </is>
      </c>
      <c r="H715" t="inlineStr">
        <is>
          <t>Centre Récréatif Rock Forest / École Tennestrie</t>
        </is>
      </c>
      <c r="I715" t="n">
        <v>40</v>
      </c>
      <c r="J715" s="4" t="n">
        <v>25</v>
      </c>
      <c r="K715" t="inlineStr">
        <is>
          <t>4 / 21</t>
        </is>
      </c>
      <c r="L715" t="inlineStr">
        <is>
          <t>0 / 7</t>
        </is>
      </c>
      <c r="M715" s="5" t="n">
        <v>0.16</v>
      </c>
      <c r="N715" s="5" t="n">
        <v>0</v>
      </c>
    </row>
    <row r="716">
      <c r="A716" t="n">
        <v>715</v>
      </c>
      <c r="B716" t="n">
        <v>2014</v>
      </c>
      <c r="C716" t="inlineStr">
        <is>
          <t>Yuxin Bella Cao</t>
        </is>
      </c>
      <c r="D716">
        <f>HYPERLINK("https://ota.tournamentsoftware.com/player-profile/ECABBEB5-67C3-48F1-8CC6-A7628D8721E8", "Link")</f>
        <v/>
      </c>
      <c r="E716" s="3" t="n">
        <v>21.487</v>
      </c>
      <c r="F716" s="4" t="n">
        <v>4</v>
      </c>
      <c r="G716" t="inlineStr">
        <is>
          <t>Ontario Tennis Association</t>
        </is>
      </c>
      <c r="H716" t="inlineStr">
        <is>
          <t>ACE Tennis - Burlington</t>
        </is>
      </c>
      <c r="I716" t="n">
        <v>38.8</v>
      </c>
      <c r="J716" s="4" t="n">
        <v>41</v>
      </c>
      <c r="K716" t="inlineStr">
        <is>
          <t>12 / 29</t>
        </is>
      </c>
      <c r="L716" t="inlineStr">
        <is>
          <t>2 / 3</t>
        </is>
      </c>
      <c r="M716" s="5" t="n">
        <v>0.29</v>
      </c>
      <c r="N716" s="5" t="n">
        <v>0.4</v>
      </c>
    </row>
    <row r="717">
      <c r="A717" t="n">
        <v>716</v>
      </c>
      <c r="B717" t="n">
        <v>2016</v>
      </c>
      <c r="C717" t="inlineStr">
        <is>
          <t>Elena Vukovic</t>
        </is>
      </c>
      <c r="D717">
        <f>HYPERLINK("https://ota.tournamentsoftware.com/player-profile/80B75DE2-D271-4234-BD86-FA7911D1C524", "Link")</f>
        <v/>
      </c>
      <c r="E717" s="3" t="n">
        <v>21.357</v>
      </c>
      <c r="F717" s="4" t="n">
        <v>3</v>
      </c>
      <c r="G717" t="inlineStr">
        <is>
          <t>Ontario Tennis Association</t>
        </is>
      </c>
      <c r="H717" t="inlineStr">
        <is>
          <t>Mayfair West Fitness &amp; Racquet Club</t>
        </is>
      </c>
      <c r="I717" t="n">
        <v>37.9</v>
      </c>
      <c r="J717" s="4" t="n">
        <v>63</v>
      </c>
      <c r="K717" t="inlineStr">
        <is>
          <t>22 / 41</t>
        </is>
      </c>
      <c r="L717" t="inlineStr">
        <is>
          <t>14 / 23</t>
        </is>
      </c>
      <c r="M717" s="5" t="n">
        <v>0.35</v>
      </c>
      <c r="N717" s="5" t="n">
        <v>0.38</v>
      </c>
    </row>
    <row r="718">
      <c r="A718" t="n">
        <v>717</v>
      </c>
      <c r="B718" t="n">
        <v>2014</v>
      </c>
      <c r="C718" t="inlineStr">
        <is>
          <t>Marie Renaud</t>
        </is>
      </c>
      <c r="D718">
        <f>HYPERLINK("https://ota.tournamentsoftware.com/player-profile/9538BC58-3E12-400B-B7A6-AA4E495D60F5", "Link")</f>
        <v/>
      </c>
      <c r="E718" s="3" t="n">
        <v>20.916</v>
      </c>
      <c r="F718" s="4" t="n">
        <v>2</v>
      </c>
      <c r="G718" t="inlineStr">
        <is>
          <t>Tennis Québec</t>
        </is>
      </c>
      <c r="H718" t="inlineStr">
        <is>
          <t>Les Tennis de Rimouski (intérieur)</t>
        </is>
      </c>
      <c r="I718" t="inlineStr">
        <is>
          <t>unavailable</t>
        </is>
      </c>
      <c r="J718" s="4" t="n">
        <v>6</v>
      </c>
      <c r="K718" t="inlineStr">
        <is>
          <t>2 / 4</t>
        </is>
      </c>
      <c r="L718" t="inlineStr">
        <is>
          <t>2 / 4</t>
        </is>
      </c>
      <c r="M718" s="5" t="n">
        <v>0.33</v>
      </c>
      <c r="N718" s="5" t="n">
        <v>0.33</v>
      </c>
    </row>
    <row r="719">
      <c r="A719" t="n">
        <v>718</v>
      </c>
      <c r="B719" t="n">
        <v>2013</v>
      </c>
      <c r="C719" t="inlineStr">
        <is>
          <t>Vedika P Sant</t>
        </is>
      </c>
      <c r="D719">
        <f>HYPERLINK("https://ota.tournamentsoftware.com/player-profile/37441797-5F95-4518-997F-3F1602AC6E85", "Link")</f>
        <v/>
      </c>
      <c r="E719" s="3" t="n">
        <v>20.667</v>
      </c>
      <c r="F719" s="4" t="n">
        <v>1</v>
      </c>
      <c r="G719" t="inlineStr">
        <is>
          <t>Ontario Tennis Association</t>
        </is>
      </c>
      <c r="H719" t="inlineStr">
        <is>
          <t>Martingrove Tennis Club</t>
        </is>
      </c>
      <c r="I719" t="inlineStr">
        <is>
          <t>unavailable</t>
        </is>
      </c>
      <c r="J719" s="4" t="n">
        <v>8</v>
      </c>
      <c r="K719" t="inlineStr">
        <is>
          <t>2 / 6</t>
        </is>
      </c>
      <c r="L719" t="inlineStr">
        <is>
          <t>0 / 1</t>
        </is>
      </c>
      <c r="M719" s="5" t="n">
        <v>0.25</v>
      </c>
      <c r="N719" s="5" t="n">
        <v>0</v>
      </c>
    </row>
    <row r="720">
      <c r="A720" t="n">
        <v>719</v>
      </c>
      <c r="B720" t="n">
        <v>2013</v>
      </c>
      <c r="C720" t="inlineStr">
        <is>
          <t>Aura Hayer</t>
        </is>
      </c>
      <c r="D720">
        <f>HYPERLINK("https://ota.tournamentsoftware.com/player-profile/969F22DA-6980-4E13-BAE2-6BD2D0C08F88", "Link")</f>
        <v/>
      </c>
      <c r="E720" s="3" t="n">
        <v>20.562</v>
      </c>
      <c r="F720" s="4" t="n">
        <v>3</v>
      </c>
      <c r="G720" t="inlineStr">
        <is>
          <t>British Columbia</t>
        </is>
      </c>
      <c r="H720" t="inlineStr">
        <is>
          <t>Sunshine Hills Tennis Club</t>
        </is>
      </c>
      <c r="I720" t="n">
        <v>38.4</v>
      </c>
      <c r="J720" s="4" t="n">
        <v>105</v>
      </c>
      <c r="K720" t="inlineStr">
        <is>
          <t>32 / 73</t>
        </is>
      </c>
      <c r="L720" t="inlineStr">
        <is>
          <t>2 / 7</t>
        </is>
      </c>
      <c r="M720" s="5" t="n">
        <v>0.3</v>
      </c>
      <c r="N720" s="5" t="n">
        <v>0.22</v>
      </c>
    </row>
    <row r="721">
      <c r="A721" t="n">
        <v>720</v>
      </c>
      <c r="B721" t="n">
        <v>2016</v>
      </c>
      <c r="C721" t="inlineStr">
        <is>
          <t>Hazel Geng</t>
        </is>
      </c>
      <c r="D721">
        <f>HYPERLINK("https://ota.tournamentsoftware.com/player-profile/00BB4A74-B4FB-4FAC-B874-79D9E778FAAE", "Link")</f>
        <v/>
      </c>
      <c r="E721" s="3" t="n">
        <v>20.417</v>
      </c>
      <c r="F721" s="4" t="n">
        <v>4</v>
      </c>
      <c r="G721" t="inlineStr">
        <is>
          <t>British Columbia</t>
        </is>
      </c>
      <c r="H721" t="inlineStr">
        <is>
          <t>Vancouver Lawn Tennis and Badminton Club</t>
        </is>
      </c>
      <c r="I721" t="n">
        <v>36.1</v>
      </c>
      <c r="J721" s="4" t="n">
        <v>48</v>
      </c>
      <c r="K721" t="inlineStr">
        <is>
          <t>15 / 33</t>
        </is>
      </c>
      <c r="L721" t="inlineStr">
        <is>
          <t>8 / 5</t>
        </is>
      </c>
      <c r="M721" s="5" t="n">
        <v>0.31</v>
      </c>
      <c r="N721" s="5" t="n">
        <v>0.62</v>
      </c>
    </row>
    <row r="722">
      <c r="A722" t="n">
        <v>721</v>
      </c>
      <c r="B722" t="n">
        <v>2013</v>
      </c>
      <c r="C722" t="inlineStr">
        <is>
          <t>Rebecca Maria Marcu</t>
        </is>
      </c>
      <c r="D722">
        <f>HYPERLINK("https://ota.tournamentsoftware.com/player-profile/1A9DB997-6193-4975-8534-F68D4F83BF32", "Link")</f>
        <v/>
      </c>
      <c r="E722" s="3" t="n">
        <v>20.131</v>
      </c>
      <c r="F722" s="4" t="n">
        <v>2</v>
      </c>
      <c r="G722" t="inlineStr">
        <is>
          <t>Ontario Tennis Association</t>
        </is>
      </c>
      <c r="H722" t="inlineStr">
        <is>
          <t>National Capital Tennis Association</t>
        </is>
      </c>
      <c r="I722" t="inlineStr">
        <is>
          <t>unavailable</t>
        </is>
      </c>
      <c r="J722" s="4" t="n">
        <v>4</v>
      </c>
      <c r="K722" t="inlineStr">
        <is>
          <t>1 / 3</t>
        </is>
      </c>
      <c r="L722" t="inlineStr">
        <is>
          <t>0 / 2</t>
        </is>
      </c>
      <c r="M722" s="5" t="n">
        <v>0.25</v>
      </c>
      <c r="N722" s="5" t="n">
        <v>0</v>
      </c>
    </row>
    <row r="723">
      <c r="A723" t="n">
        <v>722</v>
      </c>
      <c r="B723" t="n">
        <v>2017</v>
      </c>
      <c r="C723" t="inlineStr">
        <is>
          <t>Safiatou Ntentie Nchange</t>
        </is>
      </c>
      <c r="D723">
        <f>HYPERLINK("https://ota.tournamentsoftware.com/player-profile/5B1E15AE-3503-449A-B482-B98077F40A43", "Link")</f>
        <v/>
      </c>
      <c r="E723" s="3" t="n">
        <v>20.098</v>
      </c>
      <c r="F723" s="4" t="n">
        <v>8</v>
      </c>
      <c r="G723" t="inlineStr">
        <is>
          <t>Tennis Alberta</t>
        </is>
      </c>
      <c r="H723" t="inlineStr">
        <is>
          <t>No Club</t>
        </is>
      </c>
      <c r="I723" t="n">
        <v>35.3</v>
      </c>
      <c r="J723" s="4" t="n">
        <v>43</v>
      </c>
      <c r="K723" t="inlineStr">
        <is>
          <t>30 / 13</t>
        </is>
      </c>
      <c r="L723" t="inlineStr">
        <is>
          <t>26 / 12</t>
        </is>
      </c>
      <c r="M723" s="5" t="n">
        <v>0.7</v>
      </c>
      <c r="N723" s="5" t="n">
        <v>0.68</v>
      </c>
    </row>
    <row r="724">
      <c r="A724" t="n">
        <v>723</v>
      </c>
      <c r="B724" t="n">
        <v>2015</v>
      </c>
      <c r="C724" t="inlineStr">
        <is>
          <t>Isla Cowper</t>
        </is>
      </c>
      <c r="D724">
        <f>HYPERLINK("https://ota.tournamentsoftware.com/player-profile/B4F82BC2-5552-446F-89FC-C5F7C7A674B7", "Link")</f>
        <v/>
      </c>
      <c r="E724" s="3" t="n">
        <v>20.032</v>
      </c>
      <c r="F724" s="4" t="n">
        <v>7</v>
      </c>
      <c r="G724" t="inlineStr">
        <is>
          <t>Ontario Tennis Association</t>
        </is>
      </c>
      <c r="H724" t="inlineStr">
        <is>
          <t>Tam Heather Tennis Club</t>
        </is>
      </c>
      <c r="I724" t="n">
        <v>39</v>
      </c>
      <c r="J724" s="4" t="n">
        <v>76</v>
      </c>
      <c r="K724" t="inlineStr">
        <is>
          <t>35 / 41</t>
        </is>
      </c>
      <c r="L724" t="inlineStr">
        <is>
          <t>15 / 17</t>
        </is>
      </c>
      <c r="M724" s="5" t="n">
        <v>0.46</v>
      </c>
      <c r="N724" s="5" t="n">
        <v>0.47</v>
      </c>
    </row>
    <row r="725">
      <c r="A725" t="n">
        <v>724</v>
      </c>
      <c r="B725" t="n">
        <v>2012</v>
      </c>
      <c r="C725" t="inlineStr">
        <is>
          <t>Emily Chai</t>
        </is>
      </c>
      <c r="D725">
        <f>HYPERLINK("https://ota.tournamentsoftware.com/player-profile/0DE38792-F237-4087-A5C1-369B6A3E0088", "Link")</f>
        <v/>
      </c>
      <c r="E725" s="3" t="n">
        <v>19.958</v>
      </c>
      <c r="F725" s="4" t="n">
        <v>2</v>
      </c>
      <c r="G725" t="inlineStr">
        <is>
          <t>Ontario Tennis Association</t>
        </is>
      </c>
      <c r="H725" t="inlineStr">
        <is>
          <t>ON Tennis Toronto No Club</t>
        </is>
      </c>
      <c r="I725" t="n">
        <v>38.4</v>
      </c>
      <c r="J725" s="4" t="n">
        <v>7</v>
      </c>
      <c r="K725" t="inlineStr">
        <is>
          <t>1 / 6</t>
        </is>
      </c>
      <c r="L725" t="inlineStr">
        <is>
          <t>1 / 6</t>
        </is>
      </c>
      <c r="M725" s="5" t="n">
        <v>0.14</v>
      </c>
      <c r="N725" s="5" t="n">
        <v>0.14</v>
      </c>
    </row>
    <row r="726">
      <c r="A726" t="n">
        <v>725</v>
      </c>
      <c r="B726" t="n">
        <v>2014</v>
      </c>
      <c r="C726" t="inlineStr">
        <is>
          <t>Saisha Sharma</t>
        </is>
      </c>
      <c r="D726">
        <f>HYPERLINK("https://ota.tournamentsoftware.com/player-profile/4141EEE9-8372-4477-B6C4-DE0E9616249B", "Link")</f>
        <v/>
      </c>
      <c r="E726" s="3" t="n">
        <v>19.895</v>
      </c>
      <c r="F726" s="4" t="n">
        <v>6</v>
      </c>
      <c r="G726" t="inlineStr">
        <is>
          <t>Ontario Tennis Association</t>
        </is>
      </c>
      <c r="H726" t="inlineStr">
        <is>
          <t>Premier Racquet Clubs – Brampton</t>
        </is>
      </c>
      <c r="I726" t="n">
        <v>38.9</v>
      </c>
      <c r="J726" s="4" t="n">
        <v>20</v>
      </c>
      <c r="K726" t="inlineStr">
        <is>
          <t>11 / 9</t>
        </is>
      </c>
      <c r="L726" t="inlineStr">
        <is>
          <t>11 / 9</t>
        </is>
      </c>
      <c r="M726" s="5" t="n">
        <v>0.55</v>
      </c>
      <c r="N726" s="5" t="n">
        <v>0.55</v>
      </c>
    </row>
    <row r="727">
      <c r="A727" t="n">
        <v>726</v>
      </c>
      <c r="B727" t="n">
        <v>2012</v>
      </c>
      <c r="C727" t="inlineStr">
        <is>
          <t>Yulli Anne Tsang</t>
        </is>
      </c>
      <c r="D727">
        <f>HYPERLINK("https://ota.tournamentsoftware.com/player-profile/E8CCFA74-9017-45A2-B403-724A9977CD1E", "Link")</f>
        <v/>
      </c>
      <c r="E727" s="3" t="n">
        <v>19.768</v>
      </c>
      <c r="F727" s="4" t="n">
        <v>5</v>
      </c>
      <c r="G727" t="inlineStr">
        <is>
          <t>Tennis Alberta</t>
        </is>
      </c>
      <c r="H727" t="inlineStr">
        <is>
          <t>Derrick Golf &amp; Winter Club</t>
        </is>
      </c>
      <c r="I727" t="n">
        <v>35.9</v>
      </c>
      <c r="J727" s="4" t="n">
        <v>28</v>
      </c>
      <c r="K727" t="inlineStr">
        <is>
          <t>9 / 19</t>
        </is>
      </c>
      <c r="L727" t="inlineStr">
        <is>
          <t>4 / 8</t>
        </is>
      </c>
      <c r="M727" s="5" t="n">
        <v>0.32</v>
      </c>
      <c r="N727" s="5" t="n">
        <v>0.33</v>
      </c>
    </row>
    <row r="728">
      <c r="A728" t="n">
        <v>727</v>
      </c>
      <c r="B728" t="n">
        <v>2014</v>
      </c>
      <c r="C728" t="inlineStr">
        <is>
          <t>Mia Baker</t>
        </is>
      </c>
      <c r="D728">
        <f>HYPERLINK("https://ota.tournamentsoftware.com/player-profile/ABFF2DBE-5CD7-451A-B77E-526F2DB67DA2", "Link")</f>
        <v/>
      </c>
      <c r="E728" s="3" t="n">
        <v>19.695</v>
      </c>
      <c r="F728" s="4" t="n">
        <v>9</v>
      </c>
      <c r="G728" t="inlineStr">
        <is>
          <t>Tennis Québec</t>
        </is>
      </c>
      <c r="H728" t="inlineStr">
        <is>
          <t>SANI Sport</t>
        </is>
      </c>
      <c r="I728" t="n">
        <v>39.6</v>
      </c>
      <c r="J728" s="4" t="n">
        <v>62</v>
      </c>
      <c r="K728" t="inlineStr">
        <is>
          <t>3 / 59</t>
        </is>
      </c>
      <c r="L728" t="inlineStr">
        <is>
          <t>1 / 14</t>
        </is>
      </c>
      <c r="M728" s="5" t="n">
        <v>0.05</v>
      </c>
      <c r="N728" s="5" t="n">
        <v>0.07000000000000001</v>
      </c>
    </row>
    <row r="729">
      <c r="A729" t="n">
        <v>728</v>
      </c>
      <c r="B729" t="n">
        <v>2016</v>
      </c>
      <c r="C729" t="inlineStr">
        <is>
          <t>Heidi Liu</t>
        </is>
      </c>
      <c r="D729">
        <f>HYPERLINK("https://ota.tournamentsoftware.com/player-profile/E3F0466B-50E4-4105-A35A-1BB6B1C1C09C", "Link")</f>
        <v/>
      </c>
      <c r="E729" s="3" t="n">
        <v>19.65</v>
      </c>
      <c r="F729" s="4" t="n">
        <v>7</v>
      </c>
      <c r="G729" t="inlineStr">
        <is>
          <t>British Columbia</t>
        </is>
      </c>
      <c r="H729" t="inlineStr">
        <is>
          <t>UBC Tennis Centre</t>
        </is>
      </c>
      <c r="I729" t="n">
        <v>38</v>
      </c>
      <c r="J729" s="4" t="n">
        <v>79</v>
      </c>
      <c r="K729" t="inlineStr">
        <is>
          <t>45 / 34</t>
        </is>
      </c>
      <c r="L729" t="inlineStr">
        <is>
          <t>22 / 21</t>
        </is>
      </c>
      <c r="M729" s="5" t="n">
        <v>0.57</v>
      </c>
      <c r="N729" s="5" t="n">
        <v>0.51</v>
      </c>
    </row>
    <row r="730">
      <c r="A730" t="n">
        <v>729</v>
      </c>
      <c r="B730" t="n">
        <v>2017</v>
      </c>
      <c r="C730" t="inlineStr">
        <is>
          <t>Mackenzie Alexandra Greer</t>
        </is>
      </c>
      <c r="D730">
        <f>HYPERLINK("https://ota.tournamentsoftware.com/player-profile/E975EEBE-CD33-46CE-BFFF-1BB5A6FB8672", "Link")</f>
        <v/>
      </c>
      <c r="E730" s="3" t="n">
        <v>19.44</v>
      </c>
      <c r="F730" s="4" t="n">
        <v>3</v>
      </c>
      <c r="G730" t="inlineStr">
        <is>
          <t>Ontario Tennis Association</t>
        </is>
      </c>
      <c r="H730" t="inlineStr">
        <is>
          <t>Stefanovic Tennis Academy</t>
        </is>
      </c>
      <c r="I730" t="n">
        <v>37.2</v>
      </c>
      <c r="J730" s="4" t="n">
        <v>168</v>
      </c>
      <c r="K730" t="inlineStr">
        <is>
          <t>138 / 30</t>
        </is>
      </c>
      <c r="L730" t="inlineStr">
        <is>
          <t>94 / 12</t>
        </is>
      </c>
      <c r="M730" s="5" t="n">
        <v>0.82</v>
      </c>
      <c r="N730" s="5" t="n">
        <v>0.89</v>
      </c>
    </row>
    <row r="731">
      <c r="A731" t="n">
        <v>730</v>
      </c>
      <c r="B731" t="n">
        <v>2012</v>
      </c>
      <c r="C731" t="inlineStr">
        <is>
          <t>Rachael Qing Xu</t>
        </is>
      </c>
      <c r="D731">
        <f>HYPERLINK("https://ota.tournamentsoftware.com/player-profile/EF0FB6C4-F27A-45FB-BD75-3C3F4D9EF188", "Link")</f>
        <v/>
      </c>
      <c r="E731" s="3" t="n">
        <v>19.385</v>
      </c>
      <c r="F731" s="4" t="n">
        <v>1</v>
      </c>
      <c r="G731" t="inlineStr">
        <is>
          <t>Ontario Tennis Association</t>
        </is>
      </c>
      <c r="H731" t="inlineStr">
        <is>
          <t>Rosedale Tennis Club (Hamilton)</t>
        </is>
      </c>
      <c r="I731" t="n">
        <v>37.3</v>
      </c>
      <c r="J731" s="4" t="n">
        <v>55</v>
      </c>
      <c r="K731" t="inlineStr">
        <is>
          <t>20 / 35</t>
        </is>
      </c>
      <c r="L731" t="inlineStr">
        <is>
          <t>0 / 0</t>
        </is>
      </c>
      <c r="M731" s="5" t="n">
        <v>0.36</v>
      </c>
      <c r="N731" s="5" t="n">
        <v>0</v>
      </c>
    </row>
    <row r="732">
      <c r="A732" t="n">
        <v>731</v>
      </c>
      <c r="B732" t="n">
        <v>2014</v>
      </c>
      <c r="C732" t="inlineStr">
        <is>
          <t>Adele Cui</t>
        </is>
      </c>
      <c r="D732">
        <f>HYPERLINK("https://ota.tournamentsoftware.com/player-profile/E096F094-0386-4439-807E-E147F97C754F", "Link")</f>
        <v/>
      </c>
      <c r="E732" s="3" t="n">
        <v>19.024</v>
      </c>
      <c r="F732" s="4" t="n">
        <v>5</v>
      </c>
      <c r="G732" t="inlineStr">
        <is>
          <t>British Columbia</t>
        </is>
      </c>
      <c r="H732" t="inlineStr">
        <is>
          <t>UBC Tennis Centre</t>
        </is>
      </c>
      <c r="I732" t="n">
        <v>35.8</v>
      </c>
      <c r="J732" s="4" t="n">
        <v>80</v>
      </c>
      <c r="K732" t="inlineStr">
        <is>
          <t>46 / 34</t>
        </is>
      </c>
      <c r="L732" t="inlineStr">
        <is>
          <t>1 / 4</t>
        </is>
      </c>
      <c r="M732" s="5" t="n">
        <v>0.57</v>
      </c>
      <c r="N732" s="5" t="n">
        <v>0.2</v>
      </c>
    </row>
    <row r="733">
      <c r="A733" t="n">
        <v>732</v>
      </c>
      <c r="B733" t="n">
        <v>2014</v>
      </c>
      <c r="C733" t="inlineStr">
        <is>
          <t>Camilia Aroub</t>
        </is>
      </c>
      <c r="D733">
        <f>HYPERLINK("https://ota.tournamentsoftware.com/player-profile/7CE0472D-53F2-438D-B060-8BB037C14F01", "Link")</f>
        <v/>
      </c>
      <c r="E733" s="3" t="n">
        <v>18.866</v>
      </c>
      <c r="F733" s="4" t="n">
        <v>8</v>
      </c>
      <c r="G733" t="inlineStr">
        <is>
          <t>Tennis Québec</t>
        </is>
      </c>
      <c r="H733" t="inlineStr">
        <is>
          <t>Club Sportif Côte-de-Liesse</t>
        </is>
      </c>
      <c r="I733" t="n">
        <v>40</v>
      </c>
      <c r="J733" s="4" t="n">
        <v>16</v>
      </c>
      <c r="K733" t="inlineStr">
        <is>
          <t>2 / 14</t>
        </is>
      </c>
      <c r="L733" t="inlineStr">
        <is>
          <t>2 / 11</t>
        </is>
      </c>
      <c r="M733" s="5" t="n">
        <v>0.12</v>
      </c>
      <c r="N733" s="5" t="n">
        <v>0.15</v>
      </c>
    </row>
    <row r="734">
      <c r="A734" t="n">
        <v>733</v>
      </c>
      <c r="B734" t="n">
        <v>2012</v>
      </c>
      <c r="C734" t="inlineStr">
        <is>
          <t>Maddy Frances Hughes</t>
        </is>
      </c>
      <c r="D734">
        <f>HYPERLINK("https://ota.tournamentsoftware.com/player-profile/78566C46-653E-4667-ADCE-638FA56C318F", "Link")</f>
        <v/>
      </c>
      <c r="E734" s="3" t="n">
        <v>18.771</v>
      </c>
      <c r="F734" s="4" t="n">
        <v>2</v>
      </c>
      <c r="G734" t="inlineStr">
        <is>
          <t>Ontario Tennis Association</t>
        </is>
      </c>
      <c r="H734" t="inlineStr">
        <is>
          <t>Boulevard Club</t>
        </is>
      </c>
      <c r="I734" t="n">
        <v>37.7</v>
      </c>
      <c r="J734" s="4" t="n">
        <v>41</v>
      </c>
      <c r="K734" t="inlineStr">
        <is>
          <t>16 / 25</t>
        </is>
      </c>
      <c r="L734" t="inlineStr">
        <is>
          <t>4 / 7</t>
        </is>
      </c>
      <c r="M734" s="5" t="n">
        <v>0.39</v>
      </c>
      <c r="N734" s="5" t="n">
        <v>0.36</v>
      </c>
    </row>
    <row r="735">
      <c r="A735" t="n">
        <v>734</v>
      </c>
      <c r="B735" t="n">
        <v>2012</v>
      </c>
      <c r="C735" t="inlineStr">
        <is>
          <t>Diya Parkash</t>
        </is>
      </c>
      <c r="D735">
        <f>HYPERLINK("https://ota.tournamentsoftware.com/player-profile/73A3C93B-23D0-4FC2-9B92-CA5DFE4335FD", "Link")</f>
        <v/>
      </c>
      <c r="E735" s="3" t="n">
        <v>18.484</v>
      </c>
      <c r="F735" s="4" t="n">
        <v>1</v>
      </c>
      <c r="G735" t="inlineStr">
        <is>
          <t>Tennis Nova Scotia</t>
        </is>
      </c>
      <c r="H735" t="inlineStr">
        <is>
          <t>HEADSTART</t>
        </is>
      </c>
      <c r="I735" t="n">
        <v>36.8</v>
      </c>
      <c r="J735" s="4" t="n">
        <v>6</v>
      </c>
      <c r="K735" t="inlineStr">
        <is>
          <t>3 / 3</t>
        </is>
      </c>
      <c r="L735" t="inlineStr">
        <is>
          <t>3 / 3</t>
        </is>
      </c>
      <c r="M735" s="5" t="n">
        <v>0.5</v>
      </c>
      <c r="N735" s="5" t="n">
        <v>0.5</v>
      </c>
    </row>
    <row r="736">
      <c r="A736" t="n">
        <v>735</v>
      </c>
      <c r="B736" t="n">
        <v>2013</v>
      </c>
      <c r="C736" t="inlineStr">
        <is>
          <t>Eve Fuemana</t>
        </is>
      </c>
      <c r="D736">
        <f>HYPERLINK("https://ota.tournamentsoftware.com/player-profile/C6B89948-0347-4A82-9588-926B794A08CE", "Link")</f>
        <v/>
      </c>
      <c r="E736" s="3" t="n">
        <v>18.447</v>
      </c>
      <c r="F736" s="4" t="n">
        <v>1</v>
      </c>
      <c r="G736" t="inlineStr">
        <is>
          <t>Ontario Tennis Association</t>
        </is>
      </c>
      <c r="H736" t="inlineStr">
        <is>
          <t>Toronto Tennis City</t>
        </is>
      </c>
      <c r="I736" t="n">
        <v>28.2</v>
      </c>
      <c r="J736" s="4" t="n">
        <v>3</v>
      </c>
      <c r="K736" t="inlineStr">
        <is>
          <t>0 / 3</t>
        </is>
      </c>
      <c r="L736" t="inlineStr">
        <is>
          <t>0 / 1</t>
        </is>
      </c>
      <c r="M736" s="5" t="n">
        <v>0</v>
      </c>
      <c r="N736" s="5" t="n">
        <v>0</v>
      </c>
    </row>
    <row r="737">
      <c r="A737" t="n">
        <v>736</v>
      </c>
      <c r="B737" t="n">
        <v>2014</v>
      </c>
      <c r="C737" t="inlineStr">
        <is>
          <t>Éloïse Renaud</t>
        </is>
      </c>
      <c r="D737">
        <f>HYPERLINK("https://ota.tournamentsoftware.com/player-profile/B18DE2B4-0E8A-4263-8136-FCC7F7A61D01", "Link")</f>
        <v/>
      </c>
      <c r="E737" s="3" t="n">
        <v>18.36</v>
      </c>
      <c r="F737" s="4" t="n">
        <v>4</v>
      </c>
      <c r="G737" t="inlineStr">
        <is>
          <t>Tennis Québec</t>
        </is>
      </c>
      <c r="H737" t="inlineStr">
        <is>
          <t>Tennis 13</t>
        </is>
      </c>
      <c r="I737" t="inlineStr">
        <is>
          <t>unavailable</t>
        </is>
      </c>
      <c r="J737" s="4" t="n">
        <v>8</v>
      </c>
      <c r="K737" t="inlineStr">
        <is>
          <t>4 / 4</t>
        </is>
      </c>
      <c r="L737" t="inlineStr">
        <is>
          <t>1 / 2</t>
        </is>
      </c>
      <c r="M737" s="5" t="n">
        <v>0.5</v>
      </c>
      <c r="N737" s="5" t="n">
        <v>0.33</v>
      </c>
    </row>
    <row r="738">
      <c r="A738" t="n">
        <v>737</v>
      </c>
      <c r="B738" t="n">
        <v>2015</v>
      </c>
      <c r="C738" t="inlineStr">
        <is>
          <t>Simone Tremblay-Roy</t>
        </is>
      </c>
      <c r="D738">
        <f>HYPERLINK("https://ota.tournamentsoftware.com/player-profile/E7E1A20D-ED12-47F1-913D-3022C4BE6070", "Link")</f>
        <v/>
      </c>
      <c r="E738" s="3" t="n">
        <v>18.332</v>
      </c>
      <c r="F738" s="4" t="n">
        <v>2</v>
      </c>
      <c r="G738" t="inlineStr">
        <is>
          <t>Tennis Québec</t>
        </is>
      </c>
      <c r="H738" t="inlineStr">
        <is>
          <t>Club de tennis intérieur Saguenay</t>
        </is>
      </c>
      <c r="I738" t="n">
        <v>37.4</v>
      </c>
      <c r="J738" s="4" t="n">
        <v>7</v>
      </c>
      <c r="K738" t="inlineStr">
        <is>
          <t>4 / 3</t>
        </is>
      </c>
      <c r="L738" t="inlineStr">
        <is>
          <t>1 / 3</t>
        </is>
      </c>
      <c r="M738" s="5" t="n">
        <v>0.57</v>
      </c>
      <c r="N738" s="5" t="n">
        <v>0.25</v>
      </c>
    </row>
    <row r="739">
      <c r="A739" t="n">
        <v>738</v>
      </c>
      <c r="B739" t="n">
        <v>2012</v>
      </c>
      <c r="C739" t="inlineStr">
        <is>
          <t>Emma Gao</t>
        </is>
      </c>
      <c r="D739">
        <f>HYPERLINK("https://ota.tournamentsoftware.com/player-profile/C88BC343-3DFB-493C-85F2-14F8A90F6D68", "Link")</f>
        <v/>
      </c>
      <c r="E739" s="3" t="n">
        <v>18.144</v>
      </c>
      <c r="F739" s="4" t="n">
        <v>2</v>
      </c>
      <c r="G739" t="inlineStr">
        <is>
          <t>British Columbia</t>
        </is>
      </c>
      <c r="H739" t="inlineStr">
        <is>
          <t>Tennis for Life</t>
        </is>
      </c>
      <c r="I739" t="inlineStr">
        <is>
          <t>unavailable</t>
        </is>
      </c>
      <c r="J739" s="4" t="n">
        <v>33</v>
      </c>
      <c r="K739" t="inlineStr">
        <is>
          <t>9 / 24</t>
        </is>
      </c>
      <c r="L739" t="inlineStr">
        <is>
          <t>0 / 5</t>
        </is>
      </c>
      <c r="M739" s="5" t="n">
        <v>0.27</v>
      </c>
      <c r="N739" s="5" t="n">
        <v>0</v>
      </c>
    </row>
    <row r="740">
      <c r="A740" t="n">
        <v>739</v>
      </c>
      <c r="B740" t="n">
        <v>2015</v>
      </c>
      <c r="C740" t="inlineStr">
        <is>
          <t>Valentina Barrera Salazar</t>
        </is>
      </c>
      <c r="D740">
        <f>HYPERLINK("https://ota.tournamentsoftware.com/player-profile/8BE2D3BB-B3F1-4BC1-82A2-EBFE82844920", "Link")</f>
        <v/>
      </c>
      <c r="E740" s="3" t="n">
        <v>18</v>
      </c>
      <c r="F740" s="4" t="n">
        <v>1</v>
      </c>
      <c r="G740" t="inlineStr">
        <is>
          <t>Tennis Québec</t>
        </is>
      </c>
      <c r="H740" t="inlineStr">
        <is>
          <t>No Club</t>
        </is>
      </c>
      <c r="I740" t="inlineStr">
        <is>
          <t>unavailable</t>
        </is>
      </c>
      <c r="J740" s="4" t="n">
        <v>3</v>
      </c>
      <c r="K740" t="inlineStr">
        <is>
          <t>0 / 3</t>
        </is>
      </c>
      <c r="L740" t="inlineStr">
        <is>
          <t>0 / 3</t>
        </is>
      </c>
      <c r="M740" s="5" t="n">
        <v>0</v>
      </c>
      <c r="N740" s="5" t="n">
        <v>0</v>
      </c>
    </row>
    <row r="741">
      <c r="A741" t="n">
        <v>740</v>
      </c>
      <c r="B741" t="n">
        <v>2014</v>
      </c>
      <c r="C741" t="inlineStr">
        <is>
          <t>Sophia Marietta Dee</t>
        </is>
      </c>
      <c r="D741">
        <f>HYPERLINK("https://ota.tournamentsoftware.com/player-profile/C69F5ADB-3749-4D97-A809-250A73BB30C1", "Link")</f>
        <v/>
      </c>
      <c r="E741" s="3" t="n">
        <v>17.903</v>
      </c>
      <c r="F741" s="4" t="n">
        <v>6</v>
      </c>
      <c r="G741" t="inlineStr">
        <is>
          <t>British Columbia</t>
        </is>
      </c>
      <c r="H741" t="inlineStr">
        <is>
          <t>Arbutus Club</t>
        </is>
      </c>
      <c r="I741" t="n">
        <v>36.8</v>
      </c>
      <c r="J741" s="4" t="n">
        <v>40</v>
      </c>
      <c r="K741" t="inlineStr">
        <is>
          <t>14 / 26</t>
        </is>
      </c>
      <c r="L741" t="inlineStr">
        <is>
          <t>5 / 7</t>
        </is>
      </c>
      <c r="M741" s="5" t="n">
        <v>0.35</v>
      </c>
      <c r="N741" s="5" t="n">
        <v>0.42</v>
      </c>
    </row>
    <row r="742">
      <c r="A742" t="n">
        <v>741</v>
      </c>
      <c r="B742" t="n">
        <v>2014</v>
      </c>
      <c r="C742" t="inlineStr">
        <is>
          <t>Olivia V. Jin</t>
        </is>
      </c>
      <c r="D742">
        <f>HYPERLINK("https://ota.tournamentsoftware.com/player-profile/88713252-C9AF-4DC4-B40D-11479A26EE47", "Link")</f>
        <v/>
      </c>
      <c r="E742" s="3" t="n">
        <v>17.821</v>
      </c>
      <c r="F742" s="4" t="n">
        <v>7</v>
      </c>
      <c r="G742" t="inlineStr">
        <is>
          <t>British Columbia</t>
        </is>
      </c>
      <c r="H742" t="inlineStr">
        <is>
          <t>Hollyburn Country Club</t>
        </is>
      </c>
      <c r="I742" t="n">
        <v>36</v>
      </c>
      <c r="J742" s="4" t="n">
        <v>88</v>
      </c>
      <c r="K742" t="inlineStr">
        <is>
          <t>27 / 61</t>
        </is>
      </c>
      <c r="L742" t="inlineStr">
        <is>
          <t>7 / 4</t>
        </is>
      </c>
      <c r="M742" s="5" t="n">
        <v>0.31</v>
      </c>
      <c r="N742" s="5" t="n">
        <v>0.64</v>
      </c>
    </row>
    <row r="743">
      <c r="A743" t="n">
        <v>742</v>
      </c>
      <c r="B743" t="n">
        <v>2014</v>
      </c>
      <c r="C743" t="inlineStr">
        <is>
          <t>Neiva George</t>
        </is>
      </c>
      <c r="D743">
        <f>HYPERLINK("https://ota.tournamentsoftware.com/player-profile/1A9BA311-0F1E-40A7-9341-ECED97AEEBBD", "Link")</f>
        <v/>
      </c>
      <c r="E743" s="3" t="n">
        <v>17.766</v>
      </c>
      <c r="F743" s="4" t="n">
        <v>3</v>
      </c>
      <c r="G743" t="inlineStr">
        <is>
          <t>Ontario Tennis Association</t>
        </is>
      </c>
      <c r="H743" t="inlineStr">
        <is>
          <t>Headwaters Racquet Club</t>
        </is>
      </c>
      <c r="I743" t="n">
        <v>38.2</v>
      </c>
      <c r="J743" s="4" t="n">
        <v>47</v>
      </c>
      <c r="K743" t="inlineStr">
        <is>
          <t>23 / 24</t>
        </is>
      </c>
      <c r="L743" t="inlineStr">
        <is>
          <t>7 / 6</t>
        </is>
      </c>
      <c r="M743" s="5" t="n">
        <v>0.49</v>
      </c>
      <c r="N743" s="5" t="n">
        <v>0.54</v>
      </c>
    </row>
    <row r="744">
      <c r="A744" t="n">
        <v>743</v>
      </c>
      <c r="B744" t="n">
        <v>2015</v>
      </c>
      <c r="C744" t="inlineStr">
        <is>
          <t>Juliette Merino</t>
        </is>
      </c>
      <c r="D744">
        <f>HYPERLINK("https://ota.tournamentsoftware.com/player-profile/E3FBD49F-6297-464B-AD97-8C82D2E93FB7", "Link")</f>
        <v/>
      </c>
      <c r="E744" s="3" t="n">
        <v>17.623</v>
      </c>
      <c r="F744" s="4" t="n">
        <v>3</v>
      </c>
      <c r="G744" t="inlineStr">
        <is>
          <t>Ontario Tennis Association</t>
        </is>
      </c>
      <c r="H744" t="inlineStr">
        <is>
          <t>Ontario Racquet Club</t>
        </is>
      </c>
      <c r="I744" t="inlineStr">
        <is>
          <t>unavailable</t>
        </is>
      </c>
      <c r="J744" s="4" t="n">
        <v>35</v>
      </c>
      <c r="K744" t="inlineStr">
        <is>
          <t>12 / 23</t>
        </is>
      </c>
      <c r="L744" t="inlineStr">
        <is>
          <t>3 / 9</t>
        </is>
      </c>
      <c r="M744" s="5" t="n">
        <v>0.34</v>
      </c>
      <c r="N744" s="5" t="n">
        <v>0.25</v>
      </c>
    </row>
    <row r="745">
      <c r="A745" t="n">
        <v>744</v>
      </c>
      <c r="B745" t="n">
        <v>2014</v>
      </c>
      <c r="C745" t="inlineStr">
        <is>
          <t>Camila Danielle Arias</t>
        </is>
      </c>
      <c r="D745">
        <f>HYPERLINK("https://ota.tournamentsoftware.com/player-profile/7E2B5B8F-95C7-4374-8F7F-D60E81CAB657", "Link")</f>
        <v/>
      </c>
      <c r="E745" s="3" t="n">
        <v>17.39</v>
      </c>
      <c r="F745" s="4" t="n">
        <v>5</v>
      </c>
      <c r="G745" t="inlineStr">
        <is>
          <t>Tennis Québec</t>
        </is>
      </c>
      <c r="H745" t="inlineStr">
        <is>
          <t>SANI Sport</t>
        </is>
      </c>
      <c r="I745" t="inlineStr">
        <is>
          <t>unavailable</t>
        </is>
      </c>
      <c r="J745" s="4" t="n">
        <v>40</v>
      </c>
      <c r="K745" t="inlineStr">
        <is>
          <t>13 / 27</t>
        </is>
      </c>
      <c r="L745" t="inlineStr">
        <is>
          <t>4 / 4</t>
        </is>
      </c>
      <c r="M745" s="5" t="n">
        <v>0.33</v>
      </c>
      <c r="N745" s="5" t="n">
        <v>0.5</v>
      </c>
    </row>
    <row r="746">
      <c r="A746" t="n">
        <v>745</v>
      </c>
      <c r="B746" t="n">
        <v>2016</v>
      </c>
      <c r="C746" t="inlineStr">
        <is>
          <t>Yanya Zhao</t>
        </is>
      </c>
      <c r="D746">
        <f>HYPERLINK("https://ota.tournamentsoftware.com/player-profile/60E4C9B4-B466-467C-B9D3-335A318BE74C", "Link")</f>
        <v/>
      </c>
      <c r="E746" s="3" t="n">
        <v>17.28</v>
      </c>
      <c r="F746" s="4" t="n">
        <v>3</v>
      </c>
      <c r="G746" t="inlineStr">
        <is>
          <t>Ontario Tennis Association</t>
        </is>
      </c>
      <c r="H746" t="inlineStr">
        <is>
          <t>Valan Tennis Academy</t>
        </is>
      </c>
      <c r="I746" t="n">
        <v>36.5</v>
      </c>
      <c r="J746" s="4" t="n">
        <v>89</v>
      </c>
      <c r="K746" t="inlineStr">
        <is>
          <t>56 / 33</t>
        </is>
      </c>
      <c r="L746" t="inlineStr">
        <is>
          <t>56 / 33</t>
        </is>
      </c>
      <c r="M746" s="5" t="n">
        <v>0.63</v>
      </c>
      <c r="N746" s="5" t="n">
        <v>0.63</v>
      </c>
    </row>
    <row r="747">
      <c r="A747" t="n">
        <v>745</v>
      </c>
      <c r="B747" t="n">
        <v>2016</v>
      </c>
      <c r="C747" t="inlineStr">
        <is>
          <t>Liv Evangeline Bulfon</t>
        </is>
      </c>
      <c r="D747">
        <f>HYPERLINK("https://ota.tournamentsoftware.com/player-profile/237E5FDF-8DB1-4A71-A617-6A9246A16101", "Link")</f>
        <v/>
      </c>
      <c r="E747" s="3" t="n">
        <v>17.28</v>
      </c>
      <c r="F747" s="4" t="n">
        <v>2</v>
      </c>
      <c r="G747" t="inlineStr">
        <is>
          <t>Ontario Tennis Association</t>
        </is>
      </c>
      <c r="H747" t="inlineStr">
        <is>
          <t>Joshua Creek Golf &amp; Tennis</t>
        </is>
      </c>
      <c r="I747" t="n">
        <v>38.3</v>
      </c>
      <c r="J747" s="4" t="n">
        <v>34</v>
      </c>
      <c r="K747" t="inlineStr">
        <is>
          <t>19 / 15</t>
        </is>
      </c>
      <c r="L747" t="inlineStr">
        <is>
          <t>11 / 8</t>
        </is>
      </c>
      <c r="M747" s="5" t="n">
        <v>0.5600000000000001</v>
      </c>
      <c r="N747" s="5" t="n">
        <v>0.58</v>
      </c>
    </row>
    <row r="748">
      <c r="A748" t="n">
        <v>745</v>
      </c>
      <c r="B748" t="n">
        <v>2016</v>
      </c>
      <c r="C748" t="inlineStr">
        <is>
          <t>Nourine Chebitou</t>
        </is>
      </c>
      <c r="D748">
        <f>HYPERLINK("https://ota.tournamentsoftware.com/player-profile/7B847012-F77E-40EE-A816-39ABE1031DA9", "Link")</f>
        <v/>
      </c>
      <c r="E748" s="3" t="n">
        <v>17.28</v>
      </c>
      <c r="F748" s="4" t="n">
        <v>1</v>
      </c>
      <c r="G748" t="inlineStr">
        <is>
          <t>Tennis Québec</t>
        </is>
      </c>
      <c r="H748" t="inlineStr">
        <is>
          <t>SANI Sport</t>
        </is>
      </c>
      <c r="I748" t="n">
        <v>37.3</v>
      </c>
      <c r="J748" s="4" t="n">
        <v>5</v>
      </c>
      <c r="K748" t="inlineStr">
        <is>
          <t>1 / 4</t>
        </is>
      </c>
      <c r="L748" t="inlineStr">
        <is>
          <t>1 / 1</t>
        </is>
      </c>
      <c r="M748" s="5" t="n">
        <v>0.2</v>
      </c>
      <c r="N748" s="5" t="n">
        <v>0.5</v>
      </c>
    </row>
    <row r="749">
      <c r="A749" t="n">
        <v>748</v>
      </c>
      <c r="B749" t="n">
        <v>2012</v>
      </c>
      <c r="C749" t="inlineStr">
        <is>
          <t>Emily Solc</t>
        </is>
      </c>
      <c r="D749">
        <f>HYPERLINK("https://ota.tournamentsoftware.com/player-profile/0117F9E7-8DFA-459F-859A-F7CFC440388D", "Link")</f>
        <v/>
      </c>
      <c r="E749" s="3" t="n">
        <v>17.16</v>
      </c>
      <c r="F749" s="4" t="n">
        <v>1</v>
      </c>
      <c r="G749" t="inlineStr">
        <is>
          <t>Ontario Tennis Association</t>
        </is>
      </c>
      <c r="H749" t="inlineStr">
        <is>
          <t>Ajax Tennis Club</t>
        </is>
      </c>
      <c r="I749" t="n">
        <v>35.7</v>
      </c>
      <c r="J749" s="4" t="n">
        <v>15</v>
      </c>
      <c r="K749" t="inlineStr">
        <is>
          <t>6 / 9</t>
        </is>
      </c>
      <c r="L749" t="inlineStr">
        <is>
          <t>0 / 0</t>
        </is>
      </c>
      <c r="M749" s="5" t="n">
        <v>0.4</v>
      </c>
      <c r="N749" s="5" t="n">
        <v>0</v>
      </c>
    </row>
    <row r="750">
      <c r="A750" t="n">
        <v>749</v>
      </c>
      <c r="B750" t="n">
        <v>2015</v>
      </c>
      <c r="C750" t="inlineStr">
        <is>
          <t>Maggie Yang</t>
        </is>
      </c>
      <c r="D750">
        <f>HYPERLINK("https://ota.tournamentsoftware.com/player-profile/1188855E-2EBD-473C-B3CD-74B3CDDF9042", "Link")</f>
        <v/>
      </c>
      <c r="E750" s="3" t="n">
        <v>17.037</v>
      </c>
      <c r="F750" s="4" t="n">
        <v>3</v>
      </c>
      <c r="G750" t="inlineStr">
        <is>
          <t>Ontario Tennis Association</t>
        </is>
      </c>
      <c r="H750" t="inlineStr">
        <is>
          <t>Royal City Tennis Club</t>
        </is>
      </c>
      <c r="I750" t="n">
        <v>35.7</v>
      </c>
      <c r="J750" s="4" t="n">
        <v>29</v>
      </c>
      <c r="K750" t="inlineStr">
        <is>
          <t>11 / 18</t>
        </is>
      </c>
      <c r="L750" t="inlineStr">
        <is>
          <t>2 / 3</t>
        </is>
      </c>
      <c r="M750" s="5" t="n">
        <v>0.38</v>
      </c>
      <c r="N750" s="5" t="n">
        <v>0.4</v>
      </c>
    </row>
    <row r="751">
      <c r="A751" t="n">
        <v>750</v>
      </c>
      <c r="B751" t="n">
        <v>2013</v>
      </c>
      <c r="C751" t="inlineStr">
        <is>
          <t>Zean Whyte Omayan Gerongco</t>
        </is>
      </c>
      <c r="D751">
        <f>HYPERLINK("https://ota.tournamentsoftware.com/player-profile/95E8FC8D-AC41-4C9F-8192-23788254309B", "Link")</f>
        <v/>
      </c>
      <c r="E751" s="3" t="n">
        <v>17</v>
      </c>
      <c r="F751" s="4" t="n">
        <v>2</v>
      </c>
      <c r="G751" t="inlineStr">
        <is>
          <t>Ontario Tennis Association</t>
        </is>
      </c>
      <c r="H751" t="inlineStr">
        <is>
          <t>Fountainhead Tennis Club</t>
        </is>
      </c>
      <c r="I751" t="n">
        <v>32.8</v>
      </c>
      <c r="J751" s="4" t="n">
        <v>167</v>
      </c>
      <c r="K751" t="inlineStr">
        <is>
          <t>95 / 72</t>
        </is>
      </c>
      <c r="L751" t="inlineStr">
        <is>
          <t>0 / 0</t>
        </is>
      </c>
      <c r="M751" s="5" t="n">
        <v>0.57</v>
      </c>
      <c r="N751" s="5" t="n">
        <v>0</v>
      </c>
    </row>
    <row r="752">
      <c r="A752" t="n">
        <v>751</v>
      </c>
      <c r="B752" t="n">
        <v>2015</v>
      </c>
      <c r="C752" t="inlineStr">
        <is>
          <t>Mirra Tverskaia</t>
        </is>
      </c>
      <c r="D752">
        <f>HYPERLINK("https://ota.tournamentsoftware.com/player-profile/A09D283B-5C23-4F54-A304-0C0125F7637B", "Link")</f>
        <v/>
      </c>
      <c r="E752" s="3" t="n">
        <v>16.736</v>
      </c>
      <c r="F752" s="4" t="n">
        <v>4</v>
      </c>
      <c r="G752" t="inlineStr">
        <is>
          <t>Tennis Prince Edward Island</t>
        </is>
      </c>
      <c r="H752" t="inlineStr">
        <is>
          <t>Royalty Racquet Centre</t>
        </is>
      </c>
      <c r="I752" t="inlineStr">
        <is>
          <t>unavailable</t>
        </is>
      </c>
      <c r="J752" s="4" t="n">
        <v>41</v>
      </c>
      <c r="K752" t="inlineStr">
        <is>
          <t>14 / 27</t>
        </is>
      </c>
      <c r="L752" t="inlineStr">
        <is>
          <t>0 / 3</t>
        </is>
      </c>
      <c r="M752" s="5" t="n">
        <v>0.34</v>
      </c>
      <c r="N752" s="5" t="n">
        <v>0</v>
      </c>
    </row>
    <row r="753">
      <c r="A753" t="n">
        <v>752</v>
      </c>
      <c r="B753" t="n">
        <v>2012</v>
      </c>
      <c r="C753" t="inlineStr">
        <is>
          <t>Alexandria Leah Fernandez</t>
        </is>
      </c>
      <c r="D753">
        <f>HYPERLINK("https://ota.tournamentsoftware.com/player-profile/42CC074A-F7BC-474A-AD80-389A35EF85E7", "Link")</f>
        <v/>
      </c>
      <c r="E753" s="3" t="n">
        <v>16.632</v>
      </c>
      <c r="F753" s="4" t="n">
        <v>1</v>
      </c>
      <c r="G753" t="inlineStr">
        <is>
          <t>Ontario Tennis Association</t>
        </is>
      </c>
      <c r="H753" t="inlineStr">
        <is>
          <t>Cambridge Tennis Club</t>
        </is>
      </c>
      <c r="I753" t="n">
        <v>35.2</v>
      </c>
      <c r="J753" s="4" t="n">
        <v>14</v>
      </c>
      <c r="K753" t="inlineStr">
        <is>
          <t>7 / 7</t>
        </is>
      </c>
      <c r="L753" t="inlineStr">
        <is>
          <t>7 / 1</t>
        </is>
      </c>
      <c r="M753" s="5" t="n">
        <v>0.5</v>
      </c>
      <c r="N753" s="5" t="n">
        <v>0.88</v>
      </c>
    </row>
    <row r="754">
      <c r="A754" t="n">
        <v>753</v>
      </c>
      <c r="B754" t="n">
        <v>2013</v>
      </c>
      <c r="C754" t="inlineStr">
        <is>
          <t>Vasta Keshavarz</t>
        </is>
      </c>
      <c r="D754">
        <f>HYPERLINK("https://ota.tournamentsoftware.com/player-profile/601A80FC-EABC-4AF6-9B13-BEBCF22814BA", "Link")</f>
        <v/>
      </c>
      <c r="E754" s="3" t="n">
        <v>16.603</v>
      </c>
      <c r="F754" s="4" t="n">
        <v>4</v>
      </c>
      <c r="G754" t="inlineStr">
        <is>
          <t>British Columbia</t>
        </is>
      </c>
      <c r="H754" t="inlineStr">
        <is>
          <t>North Vancouver Tennis Centre</t>
        </is>
      </c>
      <c r="I754" t="inlineStr">
        <is>
          <t>unavailable</t>
        </is>
      </c>
      <c r="J754" s="4" t="n">
        <v>43</v>
      </c>
      <c r="K754" t="inlineStr">
        <is>
          <t>16 / 27</t>
        </is>
      </c>
      <c r="L754" t="inlineStr">
        <is>
          <t>8 / 20</t>
        </is>
      </c>
      <c r="M754" s="5" t="n">
        <v>0.37</v>
      </c>
      <c r="N754" s="5" t="n">
        <v>0.29</v>
      </c>
    </row>
    <row r="755">
      <c r="A755" t="n">
        <v>754</v>
      </c>
      <c r="B755" t="n">
        <v>2016</v>
      </c>
      <c r="C755" t="inlineStr">
        <is>
          <t>Delia Stoian</t>
        </is>
      </c>
      <c r="D755">
        <f>HYPERLINK("https://ota.tournamentsoftware.com/player-profile/97BF71BC-EF3B-40A8-B2A8-4211E6570024", "Link")</f>
        <v/>
      </c>
      <c r="E755" s="3" t="n">
        <v>16.543</v>
      </c>
      <c r="F755" s="4" t="n">
        <v>3</v>
      </c>
      <c r="G755" t="inlineStr">
        <is>
          <t>Tennis Québec</t>
        </is>
      </c>
      <c r="H755" t="inlineStr">
        <is>
          <t>SANI Sport</t>
        </is>
      </c>
      <c r="I755" t="n">
        <v>37</v>
      </c>
      <c r="J755" s="4" t="n">
        <v>87</v>
      </c>
      <c r="K755" t="inlineStr">
        <is>
          <t>49 / 38</t>
        </is>
      </c>
      <c r="L755" t="inlineStr">
        <is>
          <t>21 / 17</t>
        </is>
      </c>
      <c r="M755" s="5" t="n">
        <v>0.5600000000000001</v>
      </c>
      <c r="N755" s="5" t="n">
        <v>0.55</v>
      </c>
    </row>
    <row r="756">
      <c r="A756" t="n">
        <v>755</v>
      </c>
      <c r="B756" t="n">
        <v>2015</v>
      </c>
      <c r="C756" t="inlineStr">
        <is>
          <t>Charlotte Huiyan Li</t>
        </is>
      </c>
      <c r="D756">
        <f>HYPERLINK("https://ota.tournamentsoftware.com/player-profile/150EC5E4-980E-4649-9619-E10B11D9BA5E", "Link")</f>
        <v/>
      </c>
      <c r="E756" s="3" t="n">
        <v>16.528</v>
      </c>
      <c r="F756" s="4" t="n">
        <v>4</v>
      </c>
      <c r="G756" t="inlineStr">
        <is>
          <t>British Columbia</t>
        </is>
      </c>
      <c r="H756" t="inlineStr">
        <is>
          <t>Tennis for Life</t>
        </is>
      </c>
      <c r="I756" t="n">
        <v>37.7</v>
      </c>
      <c r="J756" s="4" t="n">
        <v>42</v>
      </c>
      <c r="K756" t="inlineStr">
        <is>
          <t>15 / 27</t>
        </is>
      </c>
      <c r="L756" t="inlineStr">
        <is>
          <t>2 / 5</t>
        </is>
      </c>
      <c r="M756" s="5" t="n">
        <v>0.36</v>
      </c>
      <c r="N756" s="5" t="n">
        <v>0.29</v>
      </c>
    </row>
    <row r="757">
      <c r="A757" t="n">
        <v>756</v>
      </c>
      <c r="B757" t="n">
        <v>2014</v>
      </c>
      <c r="C757" t="inlineStr">
        <is>
          <t>Livia Hu</t>
        </is>
      </c>
      <c r="D757">
        <f>HYPERLINK("https://ota.tournamentsoftware.com/player-profile/F0626954-59DE-45D2-AE30-FCA903A00699", "Link")</f>
        <v/>
      </c>
      <c r="E757" s="3" t="n">
        <v>16.459</v>
      </c>
      <c r="F757" s="4" t="n">
        <v>2</v>
      </c>
      <c r="G757" t="inlineStr">
        <is>
          <t>Tennis Saskatchewan</t>
        </is>
      </c>
      <c r="H757" t="inlineStr">
        <is>
          <t>No Club</t>
        </is>
      </c>
      <c r="I757" t="n">
        <v>29.5</v>
      </c>
      <c r="J757" s="4" t="n">
        <v>41</v>
      </c>
      <c r="K757" t="inlineStr">
        <is>
          <t>25 / 16</t>
        </is>
      </c>
      <c r="L757" t="inlineStr">
        <is>
          <t>7 / 4</t>
        </is>
      </c>
      <c r="M757" s="5" t="n">
        <v>0.61</v>
      </c>
      <c r="N757" s="5" t="n">
        <v>0.64</v>
      </c>
    </row>
    <row r="758">
      <c r="A758" t="n">
        <v>757</v>
      </c>
      <c r="B758" t="n">
        <v>2012</v>
      </c>
      <c r="C758" t="inlineStr">
        <is>
          <t>Allison Wu</t>
        </is>
      </c>
      <c r="D758">
        <f>HYPERLINK("https://ota.tournamentsoftware.com/player-profile/5B6A5CCB-4E85-427C-99E0-E2078ED2493C", "Link")</f>
        <v/>
      </c>
      <c r="E758" s="3" t="n">
        <v>15.968</v>
      </c>
      <c r="F758" s="4" t="n">
        <v>3</v>
      </c>
      <c r="G758" t="inlineStr">
        <is>
          <t>British Columbia</t>
        </is>
      </c>
      <c r="H758" t="inlineStr">
        <is>
          <t>Coquitlam Tennis Club</t>
        </is>
      </c>
      <c r="I758" t="n">
        <v>39.4</v>
      </c>
      <c r="J758" s="4" t="n">
        <v>54</v>
      </c>
      <c r="K758" t="inlineStr">
        <is>
          <t>9 / 45</t>
        </is>
      </c>
      <c r="L758" t="inlineStr">
        <is>
          <t>0 / 4</t>
        </is>
      </c>
      <c r="M758" s="5" t="n">
        <v>0.17</v>
      </c>
      <c r="N758" s="5" t="n">
        <v>0</v>
      </c>
    </row>
    <row r="759">
      <c r="A759" t="n">
        <v>758</v>
      </c>
      <c r="B759" t="n">
        <v>2014</v>
      </c>
      <c r="C759" t="inlineStr">
        <is>
          <t>Anabelle Duchesne</t>
        </is>
      </c>
      <c r="D759">
        <f>HYPERLINK("https://ota.tournamentsoftware.com/player-profile/3D9B7A28-72A0-4133-925D-142C95DC7FA9", "Link")</f>
        <v/>
      </c>
      <c r="E759" s="3" t="n">
        <v>15.937</v>
      </c>
      <c r="F759" s="4" t="n">
        <v>2</v>
      </c>
      <c r="G759" t="inlineStr">
        <is>
          <t>Tennis Québec</t>
        </is>
      </c>
      <c r="H759" t="inlineStr">
        <is>
          <t>Les Tennis de Rimouski (intérieur)</t>
        </is>
      </c>
      <c r="I759" t="inlineStr">
        <is>
          <t>unavailable</t>
        </is>
      </c>
      <c r="J759" s="4" t="inlineStr"/>
      <c r="K759" t="inlineStr">
        <is>
          <t>unavailable</t>
        </is>
      </c>
      <c r="L759" t="inlineStr">
        <is>
          <t>unavailable</t>
        </is>
      </c>
      <c r="M759" s="5" t="inlineStr"/>
      <c r="N759" s="5" t="inlineStr"/>
    </row>
    <row r="760">
      <c r="A760" t="n">
        <v>759</v>
      </c>
      <c r="B760" t="n">
        <v>2013</v>
      </c>
      <c r="C760" t="inlineStr">
        <is>
          <t>Amy Duo</t>
        </is>
      </c>
      <c r="D760">
        <f>HYPERLINK("https://ota.tournamentsoftware.com/player-profile/71495656-F9AD-402C-B368-62609F5D70B9", "Link")</f>
        <v/>
      </c>
      <c r="E760" s="3" t="n">
        <v>15.799</v>
      </c>
      <c r="F760" s="4" t="n">
        <v>2</v>
      </c>
      <c r="G760" t="inlineStr">
        <is>
          <t>British Columbia</t>
        </is>
      </c>
      <c r="H760" t="inlineStr">
        <is>
          <t>North Shore Winter Club</t>
        </is>
      </c>
      <c r="I760" t="inlineStr">
        <is>
          <t>unavailable</t>
        </is>
      </c>
      <c r="J760" s="4" t="n">
        <v>31</v>
      </c>
      <c r="K760" t="inlineStr">
        <is>
          <t>11 / 20</t>
        </is>
      </c>
      <c r="L760" t="inlineStr">
        <is>
          <t>3 / 3</t>
        </is>
      </c>
      <c r="M760" s="5" t="n">
        <v>0.35</v>
      </c>
      <c r="N760" s="5" t="n">
        <v>0.5</v>
      </c>
    </row>
    <row r="761">
      <c r="A761" t="n">
        <v>760</v>
      </c>
      <c r="B761" t="n">
        <v>2013</v>
      </c>
      <c r="C761" t="inlineStr">
        <is>
          <t>Lily Pilipowicz</t>
        </is>
      </c>
      <c r="D761">
        <f>HYPERLINK("https://ota.tournamentsoftware.com/player-profile/B42CFB1E-4A07-4108-A904-8512C36C48D8", "Link")</f>
        <v/>
      </c>
      <c r="E761" s="3" t="n">
        <v>15.153</v>
      </c>
      <c r="F761" s="4" t="n">
        <v>3</v>
      </c>
      <c r="G761" t="inlineStr">
        <is>
          <t>Tennis Alberta</t>
        </is>
      </c>
      <c r="H761" t="inlineStr">
        <is>
          <t>Aforza</t>
        </is>
      </c>
      <c r="I761" t="n">
        <v>34</v>
      </c>
      <c r="J761" s="4" t="n">
        <v>40</v>
      </c>
      <c r="K761" t="inlineStr">
        <is>
          <t>19 / 21</t>
        </is>
      </c>
      <c r="L761" t="inlineStr">
        <is>
          <t>0 / 1</t>
        </is>
      </c>
      <c r="M761" s="5" t="n">
        <v>0.47</v>
      </c>
      <c r="N761" s="5" t="n">
        <v>0</v>
      </c>
    </row>
    <row r="762">
      <c r="A762" t="n">
        <v>761</v>
      </c>
      <c r="B762" t="n">
        <v>2014</v>
      </c>
      <c r="C762" t="inlineStr">
        <is>
          <t>Precious J. Mutiku</t>
        </is>
      </c>
      <c r="D762">
        <f>HYPERLINK("https://ota.tournamentsoftware.com/player-profile/60A61325-C72A-4622-B3AF-5291E7A5657A", "Link")</f>
        <v/>
      </c>
      <c r="E762" s="3" t="n">
        <v>15.059</v>
      </c>
      <c r="F762" s="4" t="n">
        <v>1</v>
      </c>
      <c r="G762" t="inlineStr">
        <is>
          <t>Tennis Manitoba</t>
        </is>
      </c>
      <c r="H762" t="inlineStr">
        <is>
          <t>Taylor Tennis</t>
        </is>
      </c>
      <c r="I762" t="n">
        <v>37</v>
      </c>
      <c r="J762" s="4" t="n">
        <v>3</v>
      </c>
      <c r="K762" t="inlineStr">
        <is>
          <t>1 / 2</t>
        </is>
      </c>
      <c r="L762" t="inlineStr">
        <is>
          <t>0 / 1</t>
        </is>
      </c>
      <c r="M762" s="5" t="n">
        <v>0.33</v>
      </c>
      <c r="N762" s="5" t="n">
        <v>0</v>
      </c>
    </row>
    <row r="763">
      <c r="A763" t="n">
        <v>762</v>
      </c>
      <c r="B763" t="n">
        <v>2016</v>
      </c>
      <c r="C763" t="inlineStr">
        <is>
          <t>Keira El-Kettaneh</t>
        </is>
      </c>
      <c r="D763">
        <f>HYPERLINK("https://ota.tournamentsoftware.com/player-profile/A820994B-A350-4155-A437-EF3139C3E02A", "Link")</f>
        <v/>
      </c>
      <c r="E763" s="3" t="n">
        <v>14.877</v>
      </c>
      <c r="F763" s="4" t="n">
        <v>5</v>
      </c>
      <c r="G763" t="inlineStr">
        <is>
          <t>Ontario Tennis Association</t>
        </is>
      </c>
      <c r="H763" t="inlineStr">
        <is>
          <t>Toronto Tennis City</t>
        </is>
      </c>
      <c r="I763" t="n">
        <v>38.1</v>
      </c>
      <c r="J763" s="4" t="n">
        <v>79</v>
      </c>
      <c r="K763" t="inlineStr">
        <is>
          <t>33 / 46</t>
        </is>
      </c>
      <c r="L763" t="inlineStr">
        <is>
          <t>15 / 23</t>
        </is>
      </c>
      <c r="M763" s="5" t="n">
        <v>0.42</v>
      </c>
      <c r="N763" s="5" t="n">
        <v>0.39</v>
      </c>
    </row>
    <row r="764">
      <c r="A764" t="n">
        <v>763</v>
      </c>
      <c r="B764" t="n">
        <v>2012</v>
      </c>
      <c r="C764" t="inlineStr">
        <is>
          <t>Saaya Isabella Thompson</t>
        </is>
      </c>
      <c r="D764">
        <f>HYPERLINK("https://ota.tournamentsoftware.com/player-profile/E9B78A0F-EA3C-42B6-B795-AA591E989391", "Link")</f>
        <v/>
      </c>
      <c r="E764" s="3" t="n">
        <v>14.686</v>
      </c>
      <c r="F764" s="4" t="n">
        <v>2</v>
      </c>
      <c r="G764" t="inlineStr">
        <is>
          <t>British Columbia</t>
        </is>
      </c>
      <c r="H764" t="inlineStr">
        <is>
          <t>UBC Tennis Centre</t>
        </is>
      </c>
      <c r="I764" t="n">
        <v>38.8</v>
      </c>
      <c r="J764" s="4" t="n">
        <v>7</v>
      </c>
      <c r="K764" t="inlineStr">
        <is>
          <t>1 / 6</t>
        </is>
      </c>
      <c r="L764" t="inlineStr">
        <is>
          <t>0 / 3</t>
        </is>
      </c>
      <c r="M764" s="5" t="n">
        <v>0.14</v>
      </c>
      <c r="N764" s="5" t="n">
        <v>0</v>
      </c>
    </row>
    <row r="765">
      <c r="A765" t="n">
        <v>764</v>
      </c>
      <c r="B765" t="n">
        <v>2015</v>
      </c>
      <c r="C765" t="inlineStr">
        <is>
          <t>ALYSSA MA</t>
        </is>
      </c>
      <c r="D765">
        <f>HYPERLINK("https://ota.tournamentsoftware.com/player-profile/7C80CDC4-31A2-4667-A2A3-AE7AD2699300", "Link")</f>
        <v/>
      </c>
      <c r="E765" s="3" t="n">
        <v>14.658</v>
      </c>
      <c r="F765" s="4" t="n">
        <v>3</v>
      </c>
      <c r="G765" t="inlineStr">
        <is>
          <t>Ontario Tennis Association</t>
        </is>
      </c>
      <c r="H765" t="inlineStr">
        <is>
          <t>Blackmore Tennis Club</t>
        </is>
      </c>
      <c r="I765" t="n">
        <v>37.4</v>
      </c>
      <c r="J765" s="4" t="n">
        <v>15</v>
      </c>
      <c r="K765" t="inlineStr">
        <is>
          <t>7 / 8</t>
        </is>
      </c>
      <c r="L765" t="inlineStr">
        <is>
          <t>1 / 5</t>
        </is>
      </c>
      <c r="M765" s="5" t="n">
        <v>0.47</v>
      </c>
      <c r="N765" s="5" t="n">
        <v>0.17</v>
      </c>
    </row>
    <row r="766">
      <c r="A766" t="n">
        <v>765</v>
      </c>
      <c r="B766" t="n">
        <v>2012</v>
      </c>
      <c r="C766" t="inlineStr">
        <is>
          <t>Navia Kaylynn Barlow</t>
        </is>
      </c>
      <c r="D766">
        <f>HYPERLINK("https://ota.tournamentsoftware.com/player-profile/44A25362-E73B-4E09-954B-7A375954482B", "Link")</f>
        <v/>
      </c>
      <c r="E766" s="3" t="n">
        <v>14.647</v>
      </c>
      <c r="F766" s="4" t="n">
        <v>3</v>
      </c>
      <c r="G766" t="inlineStr">
        <is>
          <t>Tennis Alberta</t>
        </is>
      </c>
      <c r="H766" t="inlineStr">
        <is>
          <t>Derrick Golf &amp; Winter Club</t>
        </is>
      </c>
      <c r="I766" t="inlineStr">
        <is>
          <t>unavailable</t>
        </is>
      </c>
      <c r="J766" s="4" t="n">
        <v>6</v>
      </c>
      <c r="K766" t="inlineStr">
        <is>
          <t>2 / 4</t>
        </is>
      </c>
      <c r="L766" t="inlineStr">
        <is>
          <t>2 / 4</t>
        </is>
      </c>
      <c r="M766" s="5" t="n">
        <v>0.33</v>
      </c>
      <c r="N766" s="5" t="n">
        <v>0.33</v>
      </c>
    </row>
    <row r="767">
      <c r="A767" t="n">
        <v>766</v>
      </c>
      <c r="B767" t="n">
        <v>2015</v>
      </c>
      <c r="C767" t="inlineStr">
        <is>
          <t>Mira Akhoundova</t>
        </is>
      </c>
      <c r="D767">
        <f>HYPERLINK("https://ota.tournamentsoftware.com/player-profile/DFAA2C12-ED04-42F9-9711-F91A6745B43A", "Link")</f>
        <v/>
      </c>
      <c r="E767" s="3" t="n">
        <v>14.585</v>
      </c>
      <c r="F767" s="4" t="n">
        <v>3</v>
      </c>
      <c r="G767" t="inlineStr">
        <is>
          <t>Ontario Tennis Association</t>
        </is>
      </c>
      <c r="H767" t="inlineStr">
        <is>
          <t>Marilyn Redvers Tennis Club</t>
        </is>
      </c>
      <c r="I767" t="n">
        <v>40</v>
      </c>
      <c r="J767" s="4" t="n">
        <v>28</v>
      </c>
      <c r="K767" t="inlineStr">
        <is>
          <t>14 / 14</t>
        </is>
      </c>
      <c r="L767" t="inlineStr">
        <is>
          <t>5 / 9</t>
        </is>
      </c>
      <c r="M767" s="5" t="n">
        <v>0.5</v>
      </c>
      <c r="N767" s="5" t="n">
        <v>0.36</v>
      </c>
    </row>
    <row r="768">
      <c r="A768" t="n">
        <v>767</v>
      </c>
      <c r="B768" t="n">
        <v>2017</v>
      </c>
      <c r="C768" t="inlineStr">
        <is>
          <t>Erika ko</t>
        </is>
      </c>
      <c r="D768">
        <f>HYPERLINK("https://ota.tournamentsoftware.com/player-profile/63E3DB95-CFC7-47F5-8461-E32C50FD6342", "Link")</f>
        <v/>
      </c>
      <c r="E768" s="3" t="n">
        <v>14.4</v>
      </c>
      <c r="F768" s="4" t="n">
        <v>6</v>
      </c>
      <c r="G768" t="inlineStr">
        <is>
          <t>British Columbia</t>
        </is>
      </c>
      <c r="H768" t="inlineStr">
        <is>
          <t>Richmond Country Club</t>
        </is>
      </c>
      <c r="I768" t="n">
        <v>38</v>
      </c>
      <c r="J768" s="4" t="n">
        <v>135</v>
      </c>
      <c r="K768" t="inlineStr">
        <is>
          <t>61 / 74</t>
        </is>
      </c>
      <c r="L768" t="inlineStr">
        <is>
          <t>4 / 8</t>
        </is>
      </c>
      <c r="M768" s="5" t="n">
        <v>0.45</v>
      </c>
      <c r="N768" s="5" t="n">
        <v>0.33</v>
      </c>
    </row>
    <row r="769">
      <c r="A769" t="n">
        <v>768</v>
      </c>
      <c r="B769" t="n">
        <v>2015</v>
      </c>
      <c r="C769" t="inlineStr">
        <is>
          <t>Nadia Mnyusiwalla</t>
        </is>
      </c>
      <c r="D769">
        <f>HYPERLINK("https://ota.tournamentsoftware.com/player-profile/0DB52458-FB00-472A-BE89-03A77FEBF08E", "Link")</f>
        <v/>
      </c>
      <c r="E769" s="3" t="n">
        <v>14.381</v>
      </c>
      <c r="F769" s="4" t="n">
        <v>3</v>
      </c>
      <c r="G769" t="inlineStr">
        <is>
          <t>Ontario Tennis Association</t>
        </is>
      </c>
      <c r="H769" t="inlineStr">
        <is>
          <t>Waterloo Tennis Club</t>
        </is>
      </c>
      <c r="I769" t="inlineStr">
        <is>
          <t>unavailable</t>
        </is>
      </c>
      <c r="J769" s="4" t="n">
        <v>54</v>
      </c>
      <c r="K769" t="inlineStr">
        <is>
          <t>15 / 39</t>
        </is>
      </c>
      <c r="L769" t="inlineStr">
        <is>
          <t>2 / 14</t>
        </is>
      </c>
      <c r="M769" s="5" t="n">
        <v>0.28</v>
      </c>
      <c r="N769" s="5" t="n">
        <v>0.12</v>
      </c>
    </row>
    <row r="770">
      <c r="A770" t="n">
        <v>769</v>
      </c>
      <c r="B770" t="n">
        <v>2014</v>
      </c>
      <c r="C770" t="inlineStr">
        <is>
          <t>Elise Hiu-Wing Lin</t>
        </is>
      </c>
      <c r="D770">
        <f>HYPERLINK("https://ota.tournamentsoftware.com/player-profile/6079C290-F004-492F-BD70-120B06A08264", "Link")</f>
        <v/>
      </c>
      <c r="E770" s="3" t="n">
        <v>14.283</v>
      </c>
      <c r="F770" s="4" t="n">
        <v>4</v>
      </c>
      <c r="G770" t="inlineStr">
        <is>
          <t>British Columbia</t>
        </is>
      </c>
      <c r="H770" t="inlineStr">
        <is>
          <t>No Club</t>
        </is>
      </c>
      <c r="I770" t="n">
        <v>36.3</v>
      </c>
      <c r="J770" s="4" t="n">
        <v>47</v>
      </c>
      <c r="K770" t="inlineStr">
        <is>
          <t>17 / 30</t>
        </is>
      </c>
      <c r="L770" t="inlineStr">
        <is>
          <t>4 / 5</t>
        </is>
      </c>
      <c r="M770" s="5" t="n">
        <v>0.36</v>
      </c>
      <c r="N770" s="5" t="n">
        <v>0.44</v>
      </c>
    </row>
    <row r="771">
      <c r="A771" t="n">
        <v>770</v>
      </c>
      <c r="B771" t="n">
        <v>2012</v>
      </c>
      <c r="C771" t="inlineStr">
        <is>
          <t>Nora Skogen</t>
        </is>
      </c>
      <c r="D771">
        <f>HYPERLINK("https://ota.tournamentsoftware.com/player-profile/84E488EE-ABCE-4936-AC77-DCF33DA7BE52", "Link")</f>
        <v/>
      </c>
      <c r="E771" s="3" t="n">
        <v>14.256</v>
      </c>
      <c r="F771" s="4" t="n">
        <v>1</v>
      </c>
      <c r="G771" t="inlineStr">
        <is>
          <t>British Columbia</t>
        </is>
      </c>
      <c r="H771" t="inlineStr">
        <is>
          <t>Hollyburn Country Club</t>
        </is>
      </c>
      <c r="I771" t="n">
        <v>32.4</v>
      </c>
      <c r="J771" s="4" t="n">
        <v>164</v>
      </c>
      <c r="K771" t="inlineStr">
        <is>
          <t>79 / 85</t>
        </is>
      </c>
      <c r="L771" t="inlineStr">
        <is>
          <t>1 / 1</t>
        </is>
      </c>
      <c r="M771" s="5" t="n">
        <v>0.48</v>
      </c>
      <c r="N771" s="5" t="n">
        <v>0.5</v>
      </c>
    </row>
    <row r="772">
      <c r="A772" t="n">
        <v>771</v>
      </c>
      <c r="B772" t="n">
        <v>2012</v>
      </c>
      <c r="C772" t="inlineStr">
        <is>
          <t>Renee Burton</t>
        </is>
      </c>
      <c r="D772">
        <f>HYPERLINK("https://ota.tournamentsoftware.com/player-profile/88D51E75-4EAF-4390-8A85-9E01D5A7B97C", "Link")</f>
        <v/>
      </c>
      <c r="E772" s="3" t="n">
        <v>14.11</v>
      </c>
      <c r="F772" s="4" t="n">
        <v>1</v>
      </c>
      <c r="G772" t="inlineStr">
        <is>
          <t>Ontario Tennis Association</t>
        </is>
      </c>
      <c r="H772" t="inlineStr">
        <is>
          <t>ACE Tennis - Burlington</t>
        </is>
      </c>
      <c r="I772" t="n">
        <v>35.9</v>
      </c>
      <c r="J772" s="4" t="n">
        <v>13</v>
      </c>
      <c r="K772" t="inlineStr">
        <is>
          <t>9 / 4</t>
        </is>
      </c>
      <c r="L772" t="inlineStr">
        <is>
          <t>9 / 4</t>
        </is>
      </c>
      <c r="M772" s="5" t="n">
        <v>0.6899999999999999</v>
      </c>
      <c r="N772" s="5" t="n">
        <v>0.6899999999999999</v>
      </c>
    </row>
    <row r="773">
      <c r="A773" t="n">
        <v>772</v>
      </c>
      <c r="B773" t="n">
        <v>2012</v>
      </c>
      <c r="C773" t="inlineStr">
        <is>
          <t>Julia Michelle Cipriano</t>
        </is>
      </c>
      <c r="D773">
        <f>HYPERLINK("https://ota.tournamentsoftware.com/player-profile/EC29FADF-ECEA-4CC3-AE9B-2987D1E47266", "Link")</f>
        <v/>
      </c>
      <c r="E773" s="3" t="n">
        <v>13.725</v>
      </c>
      <c r="F773" s="4" t="n">
        <v>2</v>
      </c>
      <c r="G773" t="inlineStr">
        <is>
          <t>British Columbia</t>
        </is>
      </c>
      <c r="H773" t="inlineStr">
        <is>
          <t>West Vancouver Tennis Club</t>
        </is>
      </c>
      <c r="I773" t="n">
        <v>37</v>
      </c>
      <c r="J773" s="4" t="n">
        <v>18</v>
      </c>
      <c r="K773" t="inlineStr">
        <is>
          <t>8 / 10</t>
        </is>
      </c>
      <c r="L773" t="inlineStr">
        <is>
          <t>6 / 6</t>
        </is>
      </c>
      <c r="M773" s="5" t="n">
        <v>0.44</v>
      </c>
      <c r="N773" s="5" t="n">
        <v>0.5</v>
      </c>
    </row>
    <row r="774">
      <c r="A774" t="n">
        <v>773</v>
      </c>
      <c r="B774" t="n">
        <v>2016</v>
      </c>
      <c r="C774" t="inlineStr">
        <is>
          <t>Joud Marmash</t>
        </is>
      </c>
      <c r="D774">
        <f>HYPERLINK("https://ota.tournamentsoftware.com/player-profile/7F8FB01C-3EB1-48B9-B051-119BB01F4118", "Link")</f>
        <v/>
      </c>
      <c r="E774" s="3" t="n">
        <v>13.68</v>
      </c>
      <c r="F774" s="4" t="n">
        <v>6</v>
      </c>
      <c r="G774" t="inlineStr">
        <is>
          <t>Ontario Tennis Association</t>
        </is>
      </c>
      <c r="H774" t="inlineStr">
        <is>
          <t>Zekelman Tennis Centre</t>
        </is>
      </c>
      <c r="I774" t="n">
        <v>37.7</v>
      </c>
      <c r="J774" s="4" t="n">
        <v>18</v>
      </c>
      <c r="K774" t="inlineStr">
        <is>
          <t>5 / 13</t>
        </is>
      </c>
      <c r="L774" t="inlineStr">
        <is>
          <t>5 / 13</t>
        </is>
      </c>
      <c r="M774" s="5" t="n">
        <v>0.28</v>
      </c>
      <c r="N774" s="5" t="n">
        <v>0.28</v>
      </c>
    </row>
    <row r="775">
      <c r="A775" t="n">
        <v>774</v>
      </c>
      <c r="B775" t="n">
        <v>2014</v>
      </c>
      <c r="C775" t="inlineStr">
        <is>
          <t>Mia Mengchen Sun</t>
        </is>
      </c>
      <c r="D775">
        <f>HYPERLINK("https://ota.tournamentsoftware.com/player-profile/BFD3D157-D2B6-45BF-BE92-CACB69CCC59C", "Link")</f>
        <v/>
      </c>
      <c r="E775" s="3" t="n">
        <v>13.578</v>
      </c>
      <c r="F775" s="4" t="n">
        <v>4</v>
      </c>
      <c r="G775" t="inlineStr">
        <is>
          <t>Ontario Tennis Association</t>
        </is>
      </c>
      <c r="H775" t="inlineStr">
        <is>
          <t>Markham Tennis Club</t>
        </is>
      </c>
      <c r="I775" t="n">
        <v>37.9</v>
      </c>
      <c r="J775" s="4" t="n">
        <v>51</v>
      </c>
      <c r="K775" t="inlineStr">
        <is>
          <t>32 / 19</t>
        </is>
      </c>
      <c r="L775" t="inlineStr">
        <is>
          <t>0 / 0</t>
        </is>
      </c>
      <c r="M775" s="5" t="n">
        <v>0.63</v>
      </c>
      <c r="N775" s="5" t="n">
        <v>0</v>
      </c>
    </row>
    <row r="776">
      <c r="A776" t="n">
        <v>775</v>
      </c>
      <c r="B776" t="n">
        <v>2013</v>
      </c>
      <c r="C776" t="inlineStr">
        <is>
          <t>Hailey Johnson</t>
        </is>
      </c>
      <c r="D776">
        <f>HYPERLINK("https://ota.tournamentsoftware.com/player-profile/D4247C6C-DBD8-41D1-867E-D35290341BA8", "Link")</f>
        <v/>
      </c>
      <c r="E776" s="3" t="n">
        <v>13.23</v>
      </c>
      <c r="F776" s="4" t="n">
        <v>2</v>
      </c>
      <c r="G776" t="inlineStr">
        <is>
          <t>British Columbia</t>
        </is>
      </c>
      <c r="H776" t="inlineStr">
        <is>
          <t>Tennis for Life</t>
        </is>
      </c>
      <c r="I776" t="inlineStr">
        <is>
          <t>unavailable</t>
        </is>
      </c>
      <c r="J776" s="4" t="n">
        <v>49</v>
      </c>
      <c r="K776" t="inlineStr">
        <is>
          <t>28 / 21</t>
        </is>
      </c>
      <c r="L776" t="inlineStr">
        <is>
          <t>1 / 1</t>
        </is>
      </c>
      <c r="M776" s="5" t="n">
        <v>0.57</v>
      </c>
      <c r="N776" s="5" t="n">
        <v>0.5</v>
      </c>
    </row>
    <row r="777">
      <c r="A777" t="n">
        <v>776</v>
      </c>
      <c r="B777" t="n">
        <v>2013</v>
      </c>
      <c r="C777" t="inlineStr">
        <is>
          <t>caitlin wong</t>
        </is>
      </c>
      <c r="D777">
        <f>HYPERLINK("https://ota.tournamentsoftware.com/player-profile/A6697051-116D-4981-AA23-11E1BF963FD3", "Link")</f>
        <v/>
      </c>
      <c r="E777" s="3" t="n">
        <v>13</v>
      </c>
      <c r="F777" s="4" t="n">
        <v>1</v>
      </c>
      <c r="G777" t="inlineStr">
        <is>
          <t>Ontario Tennis Association</t>
        </is>
      </c>
      <c r="H777" t="inlineStr">
        <is>
          <t>Blackmore Tennis Club</t>
        </is>
      </c>
      <c r="I777" t="n">
        <v>37.2</v>
      </c>
      <c r="J777" s="4" t="n">
        <v>56</v>
      </c>
      <c r="K777" t="inlineStr">
        <is>
          <t>29 / 27</t>
        </is>
      </c>
      <c r="L777" t="inlineStr">
        <is>
          <t>0 / 0</t>
        </is>
      </c>
      <c r="M777" s="5" t="n">
        <v>0.52</v>
      </c>
      <c r="N777" s="5" t="n">
        <v>0</v>
      </c>
    </row>
    <row r="778">
      <c r="A778" t="n">
        <v>777</v>
      </c>
      <c r="B778" t="n">
        <v>2016</v>
      </c>
      <c r="C778" t="inlineStr">
        <is>
          <t>Scarlett Prsa</t>
        </is>
      </c>
      <c r="D778">
        <f>HYPERLINK("https://ota.tournamentsoftware.com/player-profile/CDBDFDF5-0DDE-4F1C-B33B-F163CF134B52", "Link")</f>
        <v/>
      </c>
      <c r="E778" s="3" t="n">
        <v>12.911</v>
      </c>
      <c r="F778" s="4" t="n">
        <v>6</v>
      </c>
      <c r="G778" t="inlineStr">
        <is>
          <t>Ontario Tennis Association</t>
        </is>
      </c>
      <c r="H778" t="inlineStr">
        <is>
          <t>Advantage Tennis International at Veneto</t>
        </is>
      </c>
      <c r="I778" t="n">
        <v>38.4</v>
      </c>
      <c r="J778" s="4" t="n">
        <v>140</v>
      </c>
      <c r="K778" t="inlineStr">
        <is>
          <t>53 / 87</t>
        </is>
      </c>
      <c r="L778" t="inlineStr">
        <is>
          <t>17 / 21</t>
        </is>
      </c>
      <c r="M778" s="5" t="n">
        <v>0.38</v>
      </c>
      <c r="N778" s="5" t="n">
        <v>0.45</v>
      </c>
    </row>
    <row r="779">
      <c r="A779" t="n">
        <v>778</v>
      </c>
      <c r="B779" t="n">
        <v>2012</v>
      </c>
      <c r="C779" t="inlineStr">
        <is>
          <t>Ai-Ni Amelia Cheng</t>
        </is>
      </c>
      <c r="D779">
        <f>HYPERLINK("https://ota.tournamentsoftware.com/player-profile/040F8D36-CAF3-4E90-85FB-8F17F2F92E8F", "Link")</f>
        <v/>
      </c>
      <c r="E779" s="3" t="n">
        <v>12.906</v>
      </c>
      <c r="F779" s="4" t="n">
        <v>1</v>
      </c>
      <c r="G779" t="inlineStr">
        <is>
          <t>Ontario Tennis Association</t>
        </is>
      </c>
      <c r="H779" t="inlineStr">
        <is>
          <t>ON West Central No Club</t>
        </is>
      </c>
      <c r="I779" t="n">
        <v>38.5</v>
      </c>
      <c r="J779" s="4" t="n">
        <v>7</v>
      </c>
      <c r="K779" t="inlineStr">
        <is>
          <t>4 / 3</t>
        </is>
      </c>
      <c r="L779" t="inlineStr">
        <is>
          <t>0 / 2</t>
        </is>
      </c>
      <c r="M779" s="5" t="n">
        <v>0.57</v>
      </c>
      <c r="N779" s="5" t="n">
        <v>0</v>
      </c>
    </row>
    <row r="780">
      <c r="A780" t="n">
        <v>779</v>
      </c>
      <c r="B780" t="n">
        <v>2015</v>
      </c>
      <c r="C780" t="inlineStr">
        <is>
          <t>Olive Allen</t>
        </is>
      </c>
      <c r="D780">
        <f>HYPERLINK("https://ota.tournamentsoftware.com/player-profile/B0709DF4-F657-4BE5-870B-1467DB919D18", "Link")</f>
        <v/>
      </c>
      <c r="E780" s="3" t="n">
        <v>12.745</v>
      </c>
      <c r="F780" s="4" t="n">
        <v>4</v>
      </c>
      <c r="G780" t="inlineStr">
        <is>
          <t>British Columbia</t>
        </is>
      </c>
      <c r="H780" t="inlineStr">
        <is>
          <t>Hollyburn Country Club</t>
        </is>
      </c>
      <c r="I780" t="n">
        <v>39.6</v>
      </c>
      <c r="J780" s="4" t="n">
        <v>41</v>
      </c>
      <c r="K780" t="inlineStr">
        <is>
          <t>13 / 28</t>
        </is>
      </c>
      <c r="L780" t="inlineStr">
        <is>
          <t>4 / 12</t>
        </is>
      </c>
      <c r="M780" s="5" t="n">
        <v>0.32</v>
      </c>
      <c r="N780" s="5" t="n">
        <v>0.25</v>
      </c>
    </row>
    <row r="781">
      <c r="A781" t="n">
        <v>780</v>
      </c>
      <c r="B781" t="n">
        <v>2013</v>
      </c>
      <c r="C781" t="inlineStr">
        <is>
          <t>Felicia Mingfei Li</t>
        </is>
      </c>
      <c r="D781">
        <f>HYPERLINK("https://ota.tournamentsoftware.com/player-profile/32F60D7D-3E57-4800-9C5C-282147021863", "Link")</f>
        <v/>
      </c>
      <c r="E781" s="3" t="n">
        <v>12.378</v>
      </c>
      <c r="F781" s="4" t="n">
        <v>2</v>
      </c>
      <c r="G781" t="inlineStr">
        <is>
          <t>Ontario Tennis Association</t>
        </is>
      </c>
      <c r="H781" t="inlineStr">
        <is>
          <t>Marilyn Redvers Tennis Club</t>
        </is>
      </c>
      <c r="I781" t="n">
        <v>39.7</v>
      </c>
      <c r="J781" s="4" t="n">
        <v>31</v>
      </c>
      <c r="K781" t="inlineStr">
        <is>
          <t>9 / 22</t>
        </is>
      </c>
      <c r="L781" t="inlineStr">
        <is>
          <t>0 / 2</t>
        </is>
      </c>
      <c r="M781" s="5" t="n">
        <v>0.29</v>
      </c>
      <c r="N781" s="5" t="n">
        <v>0</v>
      </c>
    </row>
    <row r="782">
      <c r="A782" t="n">
        <v>781</v>
      </c>
      <c r="B782" t="n">
        <v>2012</v>
      </c>
      <c r="C782" t="inlineStr">
        <is>
          <t>Erika Vanessa Petko</t>
        </is>
      </c>
      <c r="D782">
        <f>HYPERLINK("https://ota.tournamentsoftware.com/player-profile/F03891C3-70EF-4EDD-962E-3C87823000BE", "Link")</f>
        <v/>
      </c>
      <c r="E782" s="3" t="n">
        <v>12.336</v>
      </c>
      <c r="F782" s="4" t="n">
        <v>1</v>
      </c>
      <c r="G782" t="inlineStr">
        <is>
          <t>Ontario Tennis Association</t>
        </is>
      </c>
      <c r="H782" t="inlineStr">
        <is>
          <t>Applewood Tennis Club</t>
        </is>
      </c>
      <c r="I782" t="n">
        <v>37</v>
      </c>
      <c r="J782" s="4" t="n">
        <v>11</v>
      </c>
      <c r="K782" t="inlineStr">
        <is>
          <t>3 / 8</t>
        </is>
      </c>
      <c r="L782" t="inlineStr">
        <is>
          <t>0 / 3</t>
        </is>
      </c>
      <c r="M782" s="5" t="n">
        <v>0.27</v>
      </c>
      <c r="N782" s="5" t="n">
        <v>0</v>
      </c>
    </row>
    <row r="783">
      <c r="A783" t="n">
        <v>781</v>
      </c>
      <c r="B783" t="n">
        <v>2012</v>
      </c>
      <c r="C783" t="inlineStr">
        <is>
          <t>Anzhuo Yi</t>
        </is>
      </c>
      <c r="D783">
        <f>HYPERLINK("https://ota.tournamentsoftware.com/player-profile/60444867-D5FF-4226-8841-4058D520099B", "Link")</f>
        <v/>
      </c>
      <c r="E783" s="3" t="n">
        <v>12.336</v>
      </c>
      <c r="F783" s="4" t="n">
        <v>1</v>
      </c>
      <c r="G783" t="inlineStr">
        <is>
          <t>Ontario Tennis Association</t>
        </is>
      </c>
      <c r="H783" t="inlineStr">
        <is>
          <t>Premier Racquet Clubs – Mississauga</t>
        </is>
      </c>
      <c r="I783" t="n">
        <v>37.7</v>
      </c>
      <c r="J783" s="4" t="n">
        <v>8</v>
      </c>
      <c r="K783" t="inlineStr">
        <is>
          <t>2 / 6</t>
        </is>
      </c>
      <c r="L783" t="inlineStr">
        <is>
          <t>2 / 6</t>
        </is>
      </c>
      <c r="M783" s="5" t="n">
        <v>0.25</v>
      </c>
      <c r="N783" s="5" t="n">
        <v>0.25</v>
      </c>
    </row>
    <row r="784">
      <c r="A784" t="n">
        <v>783</v>
      </c>
      <c r="B784" t="n">
        <v>2016</v>
      </c>
      <c r="C784" t="inlineStr">
        <is>
          <t>Eiman Javaid Khan</t>
        </is>
      </c>
      <c r="D784">
        <f>HYPERLINK("https://ota.tournamentsoftware.com/player-profile/417EBA88-24AB-42AB-9421-1764C4FCA777", "Link")</f>
        <v/>
      </c>
      <c r="E784" s="3" t="n">
        <v>12</v>
      </c>
      <c r="F784" s="4" t="n">
        <v>2</v>
      </c>
      <c r="G784" t="inlineStr">
        <is>
          <t>Tennis Newfoundland &amp; Labrador</t>
        </is>
      </c>
      <c r="H784" t="inlineStr">
        <is>
          <t>Greenbelt Tennis Club</t>
        </is>
      </c>
      <c r="I784" t="inlineStr">
        <is>
          <t>unavailable</t>
        </is>
      </c>
      <c r="J784" s="4" t="n">
        <v>16</v>
      </c>
      <c r="K784" t="inlineStr">
        <is>
          <t>5 / 11</t>
        </is>
      </c>
      <c r="L784" t="inlineStr">
        <is>
          <t>4 / 7</t>
        </is>
      </c>
      <c r="M784" s="5" t="n">
        <v>0.31</v>
      </c>
      <c r="N784" s="5" t="n">
        <v>0.36</v>
      </c>
    </row>
    <row r="785">
      <c r="A785" t="n">
        <v>784</v>
      </c>
      <c r="B785" t="n">
        <v>2013</v>
      </c>
      <c r="C785" t="inlineStr">
        <is>
          <t>Addison Gilbertson</t>
        </is>
      </c>
      <c r="D785">
        <f>HYPERLINK("https://ota.tournamentsoftware.com/player-profile/C50AF072-EF16-4516-9D5D-42DF1D345F44", "Link")</f>
        <v/>
      </c>
      <c r="E785" s="3" t="n">
        <v>11.909</v>
      </c>
      <c r="F785" s="4" t="n">
        <v>4</v>
      </c>
      <c r="G785" t="inlineStr">
        <is>
          <t>Tennis Alberta</t>
        </is>
      </c>
      <c r="H785" t="inlineStr">
        <is>
          <t>IQ Tennis and Pickleball Centre</t>
        </is>
      </c>
      <c r="I785" t="n">
        <v>38.1</v>
      </c>
      <c r="J785" s="4" t="n">
        <v>48</v>
      </c>
      <c r="K785" t="inlineStr">
        <is>
          <t>18 / 30</t>
        </is>
      </c>
      <c r="L785" t="inlineStr">
        <is>
          <t>1 / 4</t>
        </is>
      </c>
      <c r="M785" s="5" t="n">
        <v>0.38</v>
      </c>
      <c r="N785" s="5" t="n">
        <v>0.2</v>
      </c>
    </row>
    <row r="786">
      <c r="A786" t="n">
        <v>785</v>
      </c>
      <c r="B786" t="n">
        <v>2014</v>
      </c>
      <c r="C786" t="inlineStr">
        <is>
          <t>Kayla Caden</t>
        </is>
      </c>
      <c r="D786">
        <f>HYPERLINK("https://ota.tournamentsoftware.com/player-profile/EB31E71A-90E6-4B10-9538-33BC7B66EA6E", "Link")</f>
        <v/>
      </c>
      <c r="E786" s="3" t="n">
        <v>11.809</v>
      </c>
      <c r="F786" s="4" t="n">
        <v>3</v>
      </c>
      <c r="G786" t="inlineStr">
        <is>
          <t>Tennis Québec</t>
        </is>
      </c>
      <c r="H786" t="inlineStr">
        <is>
          <t>Club de tennis St-Lambert</t>
        </is>
      </c>
      <c r="I786" t="n">
        <v>38.1</v>
      </c>
      <c r="J786" s="4" t="n">
        <v>11</v>
      </c>
      <c r="K786" t="inlineStr">
        <is>
          <t>4 / 7</t>
        </is>
      </c>
      <c r="L786" t="inlineStr">
        <is>
          <t>2 / 3</t>
        </is>
      </c>
      <c r="M786" s="5" t="n">
        <v>0.36</v>
      </c>
      <c r="N786" s="5" t="n">
        <v>0.4</v>
      </c>
    </row>
    <row r="787">
      <c r="A787" t="n">
        <v>786</v>
      </c>
      <c r="B787" t="n">
        <v>2013</v>
      </c>
      <c r="C787" t="inlineStr">
        <is>
          <t>Robin Lee</t>
        </is>
      </c>
      <c r="D787">
        <f>HYPERLINK("https://ota.tournamentsoftware.com/player-profile/0DB12770-F2FF-469C-87ED-5B5A242C6A08", "Link")</f>
        <v/>
      </c>
      <c r="E787" s="3" t="n">
        <v>11.657</v>
      </c>
      <c r="F787" s="4" t="n">
        <v>2</v>
      </c>
      <c r="G787" t="inlineStr">
        <is>
          <t>Ontario Tennis Association</t>
        </is>
      </c>
      <c r="H787" t="inlineStr">
        <is>
          <t>No Club</t>
        </is>
      </c>
      <c r="I787" t="n">
        <v>39.3</v>
      </c>
      <c r="J787" s="4" t="n">
        <v>58</v>
      </c>
      <c r="K787" t="inlineStr">
        <is>
          <t>11 / 47</t>
        </is>
      </c>
      <c r="L787" t="inlineStr">
        <is>
          <t>0 / 0</t>
        </is>
      </c>
      <c r="M787" s="5" t="n">
        <v>0.19</v>
      </c>
      <c r="N787" s="5" t="n">
        <v>0</v>
      </c>
    </row>
    <row r="788">
      <c r="A788" t="n">
        <v>787</v>
      </c>
      <c r="B788" t="n">
        <v>2015</v>
      </c>
      <c r="C788" t="inlineStr">
        <is>
          <t>Cléony Le</t>
        </is>
      </c>
      <c r="D788">
        <f>HYPERLINK("https://ota.tournamentsoftware.com/player-profile/D1C4971B-CB54-436E-9303-C69424DC84AC", "Link")</f>
        <v/>
      </c>
      <c r="E788" s="3" t="n">
        <v>11.429</v>
      </c>
      <c r="F788" s="4" t="n">
        <v>1</v>
      </c>
      <c r="G788" t="inlineStr">
        <is>
          <t>Tennis Québec</t>
        </is>
      </c>
      <c r="H788" t="inlineStr">
        <is>
          <t>Centre récréatif de Repentigny / Académie Tennis Momentum</t>
        </is>
      </c>
      <c r="I788" t="n">
        <v>37</v>
      </c>
      <c r="J788" s="4" t="n">
        <v>32</v>
      </c>
      <c r="K788" t="inlineStr">
        <is>
          <t>15 / 17</t>
        </is>
      </c>
      <c r="L788" t="inlineStr">
        <is>
          <t>0 / 1</t>
        </is>
      </c>
      <c r="M788" s="5" t="n">
        <v>0.47</v>
      </c>
      <c r="N788" s="5" t="n">
        <v>0</v>
      </c>
    </row>
    <row r="789">
      <c r="A789" t="n">
        <v>788</v>
      </c>
      <c r="B789" t="n">
        <v>2016</v>
      </c>
      <c r="C789" t="inlineStr">
        <is>
          <t>Emma Hao</t>
        </is>
      </c>
      <c r="D789">
        <f>HYPERLINK("https://ota.tournamentsoftware.com/player-profile/144D222A-CD06-4355-817D-B27D5DB62B85", "Link")</f>
        <v/>
      </c>
      <c r="E789" s="3" t="n">
        <v>11.141</v>
      </c>
      <c r="F789" s="4" t="n">
        <v>5</v>
      </c>
      <c r="G789" t="inlineStr">
        <is>
          <t>Ontario Tennis Association</t>
        </is>
      </c>
      <c r="H789" t="inlineStr">
        <is>
          <t>Toronto Tennis City</t>
        </is>
      </c>
      <c r="I789" t="n">
        <v>38.1</v>
      </c>
      <c r="J789" s="4" t="n">
        <v>76</v>
      </c>
      <c r="K789" t="inlineStr">
        <is>
          <t>40 / 36</t>
        </is>
      </c>
      <c r="L789" t="inlineStr">
        <is>
          <t>20 / 12</t>
        </is>
      </c>
      <c r="M789" s="5" t="n">
        <v>0.53</v>
      </c>
      <c r="N789" s="5" t="n">
        <v>0.62</v>
      </c>
    </row>
    <row r="790">
      <c r="A790" t="n">
        <v>789</v>
      </c>
      <c r="B790" t="n">
        <v>2015</v>
      </c>
      <c r="C790" t="inlineStr">
        <is>
          <t>Marissa Grisedale</t>
        </is>
      </c>
      <c r="D790">
        <f>HYPERLINK("https://ota.tournamentsoftware.com/player-profile/FACB5C24-4DB7-463B-A373-69C70E1AC8E4", "Link")</f>
        <v/>
      </c>
      <c r="E790" s="3" t="n">
        <v>11.043</v>
      </c>
      <c r="F790" s="4" t="n">
        <v>3</v>
      </c>
      <c r="G790" t="inlineStr">
        <is>
          <t>British Columbia</t>
        </is>
      </c>
      <c r="H790" t="inlineStr">
        <is>
          <t>Commons Racquet Club at Predator Ridge</t>
        </is>
      </c>
      <c r="I790" t="n">
        <v>37.2</v>
      </c>
      <c r="J790" s="4" t="n">
        <v>40</v>
      </c>
      <c r="K790" t="inlineStr">
        <is>
          <t>20 / 20</t>
        </is>
      </c>
      <c r="L790" t="inlineStr">
        <is>
          <t>3 / 5</t>
        </is>
      </c>
      <c r="M790" s="5" t="n">
        <v>0.5</v>
      </c>
      <c r="N790" s="5" t="n">
        <v>0.38</v>
      </c>
    </row>
    <row r="791">
      <c r="A791" t="n">
        <v>790</v>
      </c>
      <c r="B791" t="n">
        <v>2012</v>
      </c>
      <c r="C791" t="inlineStr">
        <is>
          <t>Maya Chow</t>
        </is>
      </c>
      <c r="D791">
        <f>HYPERLINK("https://ota.tournamentsoftware.com/player-profile/FE33DD51-BEAF-4E17-BDBB-2558B4A2AFE6", "Link")</f>
        <v/>
      </c>
      <c r="E791" s="3" t="n">
        <v>11.011</v>
      </c>
      <c r="F791" s="4" t="n">
        <v>1</v>
      </c>
      <c r="G791" t="inlineStr">
        <is>
          <t>Ontario Tennis Association</t>
        </is>
      </c>
      <c r="H791" t="inlineStr">
        <is>
          <t>ACE Tennis - Toronto Tennis City</t>
        </is>
      </c>
      <c r="I791" t="n">
        <v>34.6</v>
      </c>
      <c r="J791" s="4" t="n">
        <v>16</v>
      </c>
      <c r="K791" t="inlineStr">
        <is>
          <t>10 / 6</t>
        </is>
      </c>
      <c r="L791" t="inlineStr">
        <is>
          <t>10 / 6</t>
        </is>
      </c>
      <c r="M791" s="5" t="n">
        <v>0.62</v>
      </c>
      <c r="N791" s="5" t="n">
        <v>0.62</v>
      </c>
    </row>
    <row r="792">
      <c r="A792" t="n">
        <v>791</v>
      </c>
      <c r="B792" t="n">
        <v>2015</v>
      </c>
      <c r="C792" t="inlineStr">
        <is>
          <t>Fabiola Antonella Sanchez Ferreyra</t>
        </is>
      </c>
      <c r="D792">
        <f>HYPERLINK("https://ota.tournamentsoftware.com/player-profile/B37A6388-D965-4303-A37E-1111875A98DF", "Link")</f>
        <v/>
      </c>
      <c r="E792" s="3" t="n">
        <v>10.873</v>
      </c>
      <c r="F792" s="4" t="n">
        <v>1</v>
      </c>
      <c r="G792" t="inlineStr">
        <is>
          <t>Tennis Québec</t>
        </is>
      </c>
      <c r="H792" t="inlineStr">
        <is>
          <t>SANI Sport</t>
        </is>
      </c>
      <c r="I792" t="n">
        <v>39.4</v>
      </c>
      <c r="J792" s="4" t="n">
        <v>12</v>
      </c>
      <c r="K792" t="inlineStr">
        <is>
          <t>7 / 5</t>
        </is>
      </c>
      <c r="L792" t="inlineStr">
        <is>
          <t>0 / 1</t>
        </is>
      </c>
      <c r="M792" s="5" t="n">
        <v>0.58</v>
      </c>
      <c r="N792" s="5" t="n">
        <v>0</v>
      </c>
    </row>
    <row r="793">
      <c r="A793" t="n">
        <v>792</v>
      </c>
      <c r="B793" t="n">
        <v>2016</v>
      </c>
      <c r="C793" t="inlineStr">
        <is>
          <t>Christina Chen</t>
        </is>
      </c>
      <c r="D793">
        <f>HYPERLINK("https://ota.tournamentsoftware.com/player-profile/77F19A45-EF05-4CCE-896B-44A6BEF594C7", "Link")</f>
        <v/>
      </c>
      <c r="E793" s="3" t="n">
        <v>10.8</v>
      </c>
      <c r="F793" s="4" t="n">
        <v>3</v>
      </c>
      <c r="G793" t="inlineStr">
        <is>
          <t>Ontario Tennis Association</t>
        </is>
      </c>
      <c r="H793" t="inlineStr">
        <is>
          <t>No Club</t>
        </is>
      </c>
      <c r="I793" t="n">
        <v>39.9</v>
      </c>
      <c r="J793" s="4" t="n">
        <v>74</v>
      </c>
      <c r="K793" t="inlineStr">
        <is>
          <t>7 / 67</t>
        </is>
      </c>
      <c r="L793" t="inlineStr">
        <is>
          <t>3 / 14</t>
        </is>
      </c>
      <c r="M793" s="5" t="n">
        <v>0.09</v>
      </c>
      <c r="N793" s="5" t="n">
        <v>0.18</v>
      </c>
    </row>
    <row r="794">
      <c r="A794" t="n">
        <v>792</v>
      </c>
      <c r="B794" t="n">
        <v>2016</v>
      </c>
      <c r="C794" t="inlineStr">
        <is>
          <t>Archini Bera</t>
        </is>
      </c>
      <c r="D794">
        <f>HYPERLINK("https://ota.tournamentsoftware.com/player-profile/6FA68B83-6E0E-4A78-81A0-6004576A8E6E", "Link")</f>
        <v/>
      </c>
      <c r="E794" s="3" t="n">
        <v>10.8</v>
      </c>
      <c r="F794" s="4" t="n">
        <v>3</v>
      </c>
      <c r="G794" t="inlineStr">
        <is>
          <t>Ontario Tennis Association</t>
        </is>
      </c>
      <c r="H794" t="inlineStr">
        <is>
          <t>Rideau Sports Centre</t>
        </is>
      </c>
      <c r="I794" t="inlineStr">
        <is>
          <t>unavailable</t>
        </is>
      </c>
      <c r="J794" s="4" t="n">
        <v>50</v>
      </c>
      <c r="K794" t="inlineStr">
        <is>
          <t>30 / 20</t>
        </is>
      </c>
      <c r="L794" t="inlineStr">
        <is>
          <t>27 / 11</t>
        </is>
      </c>
      <c r="M794" s="5" t="n">
        <v>0.6</v>
      </c>
      <c r="N794" s="5" t="n">
        <v>0.71</v>
      </c>
    </row>
    <row r="795">
      <c r="A795" t="n">
        <v>792</v>
      </c>
      <c r="B795" t="n">
        <v>2012</v>
      </c>
      <c r="C795" t="inlineStr">
        <is>
          <t>Jiayi Emma Wang</t>
        </is>
      </c>
      <c r="D795">
        <f>HYPERLINK("https://ota.tournamentsoftware.com/player-profile/C6ED9D5C-83AD-4AC9-9DCE-1D21A2304573", "Link")</f>
        <v/>
      </c>
      <c r="E795" s="3" t="n">
        <v>10.8</v>
      </c>
      <c r="F795" s="4" t="n">
        <v>1</v>
      </c>
      <c r="G795" t="inlineStr">
        <is>
          <t>British Columbia</t>
        </is>
      </c>
      <c r="H795" t="inlineStr">
        <is>
          <t>No Club</t>
        </is>
      </c>
      <c r="I795" t="inlineStr">
        <is>
          <t>unavailable</t>
        </is>
      </c>
      <c r="J795" s="4" t="n">
        <v>12</v>
      </c>
      <c r="K795" t="inlineStr">
        <is>
          <t>2 / 10</t>
        </is>
      </c>
      <c r="L795" t="inlineStr">
        <is>
          <t>1 / 1</t>
        </is>
      </c>
      <c r="M795" s="5" t="n">
        <v>0.17</v>
      </c>
      <c r="N795" s="5" t="n">
        <v>0.5</v>
      </c>
    </row>
    <row r="796">
      <c r="A796" t="n">
        <v>792</v>
      </c>
      <c r="B796" t="n">
        <v>2013</v>
      </c>
      <c r="C796" t="inlineStr">
        <is>
          <t>Lingxi Sun</t>
        </is>
      </c>
      <c r="D796">
        <f>HYPERLINK("https://ota.tournamentsoftware.com/player-profile/09E8E557-02B1-46EF-87E8-A28C42A56E9D", "Link")</f>
        <v/>
      </c>
      <c r="E796" s="3" t="n">
        <v>10.8</v>
      </c>
      <c r="F796" s="4" t="n">
        <v>1</v>
      </c>
      <c r="G796" t="inlineStr">
        <is>
          <t>British Columbia</t>
        </is>
      </c>
      <c r="H796" t="inlineStr">
        <is>
          <t>UBC Tennis Centre</t>
        </is>
      </c>
      <c r="I796" t="n">
        <v>32.5</v>
      </c>
      <c r="J796" s="4" t="n">
        <v>39</v>
      </c>
      <c r="K796" t="inlineStr">
        <is>
          <t>23 / 16</t>
        </is>
      </c>
      <c r="L796" t="inlineStr">
        <is>
          <t>0 / 0</t>
        </is>
      </c>
      <c r="M796" s="5" t="n">
        <v>0.59</v>
      </c>
      <c r="N796" s="5" t="n">
        <v>0</v>
      </c>
    </row>
    <row r="797">
      <c r="A797" t="n">
        <v>796</v>
      </c>
      <c r="B797" t="n">
        <v>2016</v>
      </c>
      <c r="C797" t="inlineStr">
        <is>
          <t>Jaclyn Zhang</t>
        </is>
      </c>
      <c r="D797">
        <f>HYPERLINK("https://ota.tournamentsoftware.com/player-profile/E6E9780C-ACDE-4CFD-B134-4984C266BCEB", "Link")</f>
        <v/>
      </c>
      <c r="E797" s="3" t="n">
        <v>10.48</v>
      </c>
      <c r="F797" s="4" t="n">
        <v>6</v>
      </c>
      <c r="G797" t="inlineStr">
        <is>
          <t>British Columbia</t>
        </is>
      </c>
      <c r="H797" t="inlineStr">
        <is>
          <t>UBC Tennis Centre</t>
        </is>
      </c>
      <c r="I797" t="n">
        <v>39.1</v>
      </c>
      <c r="J797" s="4" t="n">
        <v>79</v>
      </c>
      <c r="K797" t="inlineStr">
        <is>
          <t>44 / 35</t>
        </is>
      </c>
      <c r="L797" t="inlineStr">
        <is>
          <t>18 / 23</t>
        </is>
      </c>
      <c r="M797" s="5" t="n">
        <v>0.5600000000000001</v>
      </c>
      <c r="N797" s="5" t="n">
        <v>0.44</v>
      </c>
    </row>
    <row r="798">
      <c r="A798" t="n">
        <v>797</v>
      </c>
      <c r="B798" t="n">
        <v>2014</v>
      </c>
      <c r="C798" t="inlineStr">
        <is>
          <t>Madelyn Palsat</t>
        </is>
      </c>
      <c r="D798">
        <f>HYPERLINK("https://ota.tournamentsoftware.com/player-profile/B7A28D92-CC5D-460E-A752-75C63DAB2E9F", "Link")</f>
        <v/>
      </c>
      <c r="E798" s="3" t="n">
        <v>10.44</v>
      </c>
      <c r="F798" s="4" t="n">
        <v>8</v>
      </c>
      <c r="G798" t="inlineStr">
        <is>
          <t>Tennis Alberta</t>
        </is>
      </c>
      <c r="H798" t="inlineStr">
        <is>
          <t>Royal Glenora Club</t>
        </is>
      </c>
      <c r="I798" t="n">
        <v>37</v>
      </c>
      <c r="J798" s="4" t="n">
        <v>21</v>
      </c>
      <c r="K798" t="inlineStr">
        <is>
          <t>10 / 11</t>
        </is>
      </c>
      <c r="L798" t="inlineStr">
        <is>
          <t>10 / 11</t>
        </is>
      </c>
      <c r="M798" s="5" t="n">
        <v>0.48</v>
      </c>
      <c r="N798" s="5" t="n">
        <v>0.48</v>
      </c>
    </row>
    <row r="799">
      <c r="A799" t="n">
        <v>798</v>
      </c>
      <c r="B799" t="n">
        <v>2013</v>
      </c>
      <c r="C799" t="inlineStr">
        <is>
          <t>Lingxi Li</t>
        </is>
      </c>
      <c r="D799">
        <f>HYPERLINK("https://ota.tournamentsoftware.com/player-profile/5F3C2697-7DC3-404F-86B1-B1440B580069", "Link")</f>
        <v/>
      </c>
      <c r="E799" s="3" t="n">
        <v>10.413</v>
      </c>
      <c r="F799" s="4" t="n">
        <v>2</v>
      </c>
      <c r="G799" t="inlineStr">
        <is>
          <t>British Columbia</t>
        </is>
      </c>
      <c r="H799" t="inlineStr">
        <is>
          <t>No Club</t>
        </is>
      </c>
      <c r="I799" t="n">
        <v>38.5</v>
      </c>
      <c r="J799" s="4" t="n">
        <v>3</v>
      </c>
      <c r="K799" t="inlineStr">
        <is>
          <t>1 / 2</t>
        </is>
      </c>
      <c r="L799" t="inlineStr">
        <is>
          <t>1 / 2</t>
        </is>
      </c>
      <c r="M799" s="5" t="n">
        <v>0.33</v>
      </c>
      <c r="N799" s="5" t="n">
        <v>0.33</v>
      </c>
    </row>
    <row r="800">
      <c r="A800" t="n">
        <v>799</v>
      </c>
      <c r="B800" t="n">
        <v>2015</v>
      </c>
      <c r="C800" t="inlineStr">
        <is>
          <t>Emmanuelle Farah Kwin Onana</t>
        </is>
      </c>
      <c r="D800">
        <f>HYPERLINK("https://ota.tournamentsoftware.com/player-profile/7931DDBA-D7CA-40E8-97CF-DF1CA8113B24", "Link")</f>
        <v/>
      </c>
      <c r="E800" s="3" t="n">
        <v>10.368</v>
      </c>
      <c r="F800" s="4" t="n">
        <v>1</v>
      </c>
      <c r="G800" t="inlineStr">
        <is>
          <t>Tennis Québec</t>
        </is>
      </c>
      <c r="H800" t="inlineStr">
        <is>
          <t>Tennis Outaouais Performance (TOP)</t>
        </is>
      </c>
      <c r="I800" t="inlineStr">
        <is>
          <t>unavailable</t>
        </is>
      </c>
      <c r="J800" s="4" t="n">
        <v>13</v>
      </c>
      <c r="K800" t="inlineStr">
        <is>
          <t>6 / 7</t>
        </is>
      </c>
      <c r="L800" t="inlineStr">
        <is>
          <t>0 / 1</t>
        </is>
      </c>
      <c r="M800" s="5" t="n">
        <v>0.46</v>
      </c>
      <c r="N800" s="5" t="n">
        <v>0</v>
      </c>
    </row>
    <row r="801">
      <c r="A801" t="n">
        <v>799</v>
      </c>
      <c r="B801" t="n">
        <v>2016</v>
      </c>
      <c r="C801" t="inlineStr">
        <is>
          <t>Alice Trépanier</t>
        </is>
      </c>
      <c r="D801">
        <f>HYPERLINK("https://ota.tournamentsoftware.com/player-profile/005FD3B5-057F-4BFE-B6D1-1D3CC87FBA27", "Link")</f>
        <v/>
      </c>
      <c r="E801" s="3" t="n">
        <v>10.368</v>
      </c>
      <c r="F801" s="4" t="n">
        <v>1</v>
      </c>
      <c r="G801" t="inlineStr">
        <is>
          <t>Tennis Québec</t>
        </is>
      </c>
      <c r="H801" t="inlineStr">
        <is>
          <t>Centre Récréatif Rock Forest</t>
        </is>
      </c>
      <c r="I801" t="inlineStr">
        <is>
          <t>unavailable</t>
        </is>
      </c>
      <c r="J801" s="4" t="n">
        <v>33</v>
      </c>
      <c r="K801" t="inlineStr">
        <is>
          <t>14 / 19</t>
        </is>
      </c>
      <c r="L801" t="inlineStr">
        <is>
          <t>10 / 11</t>
        </is>
      </c>
      <c r="M801" s="5" t="n">
        <v>0.42</v>
      </c>
      <c r="N801" s="5" t="n">
        <v>0.48</v>
      </c>
    </row>
    <row r="802">
      <c r="A802" t="n">
        <v>801</v>
      </c>
      <c r="B802" t="n">
        <v>2016</v>
      </c>
      <c r="C802" t="inlineStr">
        <is>
          <t>Lexie Lapierre</t>
        </is>
      </c>
      <c r="D802">
        <f>HYPERLINK("https://ota.tournamentsoftware.com/player-profile/06ECEE5E-F58C-4E2A-9649-F258137798CC", "Link")</f>
        <v/>
      </c>
      <c r="E802" s="3" t="n">
        <v>10.2</v>
      </c>
      <c r="F802" s="4" t="n">
        <v>1</v>
      </c>
      <c r="G802" t="inlineStr">
        <is>
          <t>Tennis Québec</t>
        </is>
      </c>
      <c r="H802" t="inlineStr">
        <is>
          <t>Tennis Ile- des- Soeurs</t>
        </is>
      </c>
      <c r="I802" t="n">
        <v>35.2</v>
      </c>
      <c r="J802" s="4" t="n">
        <v>114</v>
      </c>
      <c r="K802" t="inlineStr">
        <is>
          <t>66 / 48</t>
        </is>
      </c>
      <c r="L802" t="inlineStr">
        <is>
          <t>29 / 17</t>
        </is>
      </c>
      <c r="M802" s="5" t="n">
        <v>0.58</v>
      </c>
      <c r="N802" s="5" t="n">
        <v>0.63</v>
      </c>
    </row>
    <row r="803">
      <c r="A803" t="n">
        <v>802</v>
      </c>
      <c r="B803" t="n">
        <v>2014</v>
      </c>
      <c r="C803" t="inlineStr">
        <is>
          <t>Flore Laferrière</t>
        </is>
      </c>
      <c r="D803">
        <f>HYPERLINK("https://ota.tournamentsoftware.com/player-profile/14AB607F-E600-4113-85A8-3FA78DC9A248", "Link")</f>
        <v/>
      </c>
      <c r="E803" s="3" t="n">
        <v>10.149</v>
      </c>
      <c r="F803" s="4" t="n">
        <v>3</v>
      </c>
      <c r="G803" t="inlineStr">
        <is>
          <t>Tennis Québec</t>
        </is>
      </c>
      <c r="H803" t="inlineStr">
        <is>
          <t>Tennis 3R- l’Academie l’échange</t>
        </is>
      </c>
      <c r="I803" t="n">
        <v>39.6</v>
      </c>
      <c r="J803" s="4" t="n">
        <v>8</v>
      </c>
      <c r="K803" t="inlineStr">
        <is>
          <t>1 / 7</t>
        </is>
      </c>
      <c r="L803" t="inlineStr">
        <is>
          <t>0 / 3</t>
        </is>
      </c>
      <c r="M803" s="5" t="n">
        <v>0.12</v>
      </c>
      <c r="N803" s="5" t="n">
        <v>0</v>
      </c>
    </row>
    <row r="804">
      <c r="A804" t="n">
        <v>803</v>
      </c>
      <c r="B804" t="n">
        <v>2015</v>
      </c>
      <c r="C804" t="inlineStr">
        <is>
          <t>Autumn VandeCoevering</t>
        </is>
      </c>
      <c r="D804">
        <f>HYPERLINK("https://ota.tournamentsoftware.com/player-profile/1CD9DDAD-A036-4365-A97E-F88D56D4B94B", "Link")</f>
        <v/>
      </c>
      <c r="E804" s="3" t="n">
        <v>10.146</v>
      </c>
      <c r="F804" s="4" t="n">
        <v>2</v>
      </c>
      <c r="G804" t="inlineStr">
        <is>
          <t>Ontario Tennis Association</t>
        </is>
      </c>
      <c r="H804" t="inlineStr">
        <is>
          <t>Greenhills Golf Club</t>
        </is>
      </c>
      <c r="I804" t="inlineStr">
        <is>
          <t>unavailable</t>
        </is>
      </c>
      <c r="J804" s="4" t="n">
        <v>6</v>
      </c>
      <c r="K804" t="inlineStr">
        <is>
          <t>2 / 4</t>
        </is>
      </c>
      <c r="L804" t="inlineStr">
        <is>
          <t>2 / 4</t>
        </is>
      </c>
      <c r="M804" s="5" t="n">
        <v>0.33</v>
      </c>
      <c r="N804" s="5" t="n">
        <v>0.33</v>
      </c>
    </row>
    <row r="805">
      <c r="A805" t="n">
        <v>804</v>
      </c>
      <c r="B805" t="n">
        <v>2015</v>
      </c>
      <c r="C805" t="inlineStr">
        <is>
          <t>Jaelynn Lumandas</t>
        </is>
      </c>
      <c r="D805">
        <f>HYPERLINK("https://ota.tournamentsoftware.com/player-profile/586CE1E5-E974-4A42-B919-DE1FC94F6144", "Link")</f>
        <v/>
      </c>
      <c r="E805" s="3" t="n">
        <v>10.137</v>
      </c>
      <c r="F805" s="4" t="n">
        <v>3</v>
      </c>
      <c r="G805" t="inlineStr">
        <is>
          <t>Tennis Alberta</t>
        </is>
      </c>
      <c r="H805" t="inlineStr">
        <is>
          <t>Saville Community Sports Centre</t>
        </is>
      </c>
      <c r="I805" t="n">
        <v>40</v>
      </c>
      <c r="J805" s="4" t="n">
        <v>25</v>
      </c>
      <c r="K805" t="inlineStr">
        <is>
          <t>1 / 24</t>
        </is>
      </c>
      <c r="L805" t="inlineStr">
        <is>
          <t>0 / 4</t>
        </is>
      </c>
      <c r="M805" s="5" t="n">
        <v>0.04</v>
      </c>
      <c r="N805" s="5" t="n">
        <v>0</v>
      </c>
    </row>
    <row r="806">
      <c r="A806" t="n">
        <v>805</v>
      </c>
      <c r="B806" t="n">
        <v>2013</v>
      </c>
      <c r="C806" t="inlineStr">
        <is>
          <t>Kate Sumner</t>
        </is>
      </c>
      <c r="D806">
        <f>HYPERLINK("https://ota.tournamentsoftware.com/player-profile/42BF9410-8926-4C81-9B50-F1262CEF0360", "Link")</f>
        <v/>
      </c>
      <c r="E806" s="3" t="n">
        <v>9.978999999999999</v>
      </c>
      <c r="F806" s="4" t="n">
        <v>2</v>
      </c>
      <c r="G806" t="inlineStr">
        <is>
          <t>Ontario Tennis Association</t>
        </is>
      </c>
      <c r="H806" t="inlineStr">
        <is>
          <t>Toronto Cricket Skating &amp; Curling</t>
        </is>
      </c>
      <c r="I806" t="inlineStr">
        <is>
          <t>unavailable</t>
        </is>
      </c>
      <c r="J806" s="4" t="n">
        <v>33</v>
      </c>
      <c r="K806" t="inlineStr">
        <is>
          <t>11 / 22</t>
        </is>
      </c>
      <c r="L806" t="inlineStr">
        <is>
          <t>1 / 1</t>
        </is>
      </c>
      <c r="M806" s="5" t="n">
        <v>0.33</v>
      </c>
      <c r="N806" s="5" t="n">
        <v>0.5</v>
      </c>
    </row>
    <row r="807">
      <c r="A807" t="n">
        <v>806</v>
      </c>
      <c r="B807" t="n">
        <v>2013</v>
      </c>
      <c r="C807" t="inlineStr">
        <is>
          <t>Anastasia Gorceac</t>
        </is>
      </c>
      <c r="D807">
        <f>HYPERLINK("https://ota.tournamentsoftware.com/player-profile/34DB6E68-DC2D-46A3-9FCF-82A58A1EDBE3", "Link")</f>
        <v/>
      </c>
      <c r="E807" s="3" t="n">
        <v>9.612</v>
      </c>
      <c r="F807" s="4" t="n">
        <v>2</v>
      </c>
      <c r="G807" t="inlineStr">
        <is>
          <t>Tennis Québec</t>
        </is>
      </c>
      <c r="H807" t="inlineStr">
        <is>
          <t>No Club</t>
        </is>
      </c>
      <c r="I807" t="n">
        <v>37.9</v>
      </c>
      <c r="J807" s="4" t="n">
        <v>8</v>
      </c>
      <c r="K807" t="inlineStr">
        <is>
          <t>4 / 4</t>
        </is>
      </c>
      <c r="L807" t="inlineStr">
        <is>
          <t>0 / 0</t>
        </is>
      </c>
      <c r="M807" s="5" t="n">
        <v>0.5</v>
      </c>
      <c r="N807" s="5" t="n">
        <v>0</v>
      </c>
    </row>
    <row r="808">
      <c r="A808" t="n">
        <v>807</v>
      </c>
      <c r="B808" t="n">
        <v>2015</v>
      </c>
      <c r="C808" t="inlineStr">
        <is>
          <t>Violet Rose Divell</t>
        </is>
      </c>
      <c r="D808">
        <f>HYPERLINK("https://ota.tournamentsoftware.com/player-profile/264EFCE5-2D5B-4014-A1E4-CF0F958237B9", "Link")</f>
        <v/>
      </c>
      <c r="E808" s="3" t="n">
        <v>9.598000000000001</v>
      </c>
      <c r="F808" s="4" t="n">
        <v>3</v>
      </c>
      <c r="G808" t="inlineStr">
        <is>
          <t>Tennis Québec</t>
        </is>
      </c>
      <c r="H808" t="inlineStr">
        <is>
          <t>Académie de tennis UNI(T)</t>
        </is>
      </c>
      <c r="I808" t="n">
        <v>39.4</v>
      </c>
      <c r="J808" s="4" t="n">
        <v>6</v>
      </c>
      <c r="K808" t="inlineStr">
        <is>
          <t>1 / 5</t>
        </is>
      </c>
      <c r="L808" t="inlineStr">
        <is>
          <t>1 / 5</t>
        </is>
      </c>
      <c r="M808" s="5" t="n">
        <v>0.17</v>
      </c>
      <c r="N808" s="5" t="n">
        <v>0.17</v>
      </c>
    </row>
    <row r="809">
      <c r="A809" t="n">
        <v>808</v>
      </c>
      <c r="B809" t="n">
        <v>2013</v>
      </c>
      <c r="C809" t="inlineStr">
        <is>
          <t>Yujin Cao</t>
        </is>
      </c>
      <c r="D809">
        <f>HYPERLINK("https://ota.tournamentsoftware.com/player-profile/8260D181-2742-4015-AD52-73D66B6FD70A", "Link")</f>
        <v/>
      </c>
      <c r="E809" s="3" t="n">
        <v>9.59</v>
      </c>
      <c r="F809" s="4" t="n">
        <v>2</v>
      </c>
      <c r="G809" t="inlineStr">
        <is>
          <t>Tennis Québec</t>
        </is>
      </c>
      <c r="H809" t="inlineStr">
        <is>
          <t>Tennis 13</t>
        </is>
      </c>
      <c r="I809" t="inlineStr">
        <is>
          <t>unavailable</t>
        </is>
      </c>
      <c r="J809" s="4" t="n">
        <v>5</v>
      </c>
      <c r="K809" t="inlineStr">
        <is>
          <t>2 / 3</t>
        </is>
      </c>
      <c r="L809" t="inlineStr">
        <is>
          <t>0 / 1</t>
        </is>
      </c>
      <c r="M809" s="5" t="n">
        <v>0.4</v>
      </c>
      <c r="N809" s="5" t="n">
        <v>0</v>
      </c>
    </row>
    <row r="810">
      <c r="A810" t="n">
        <v>809</v>
      </c>
      <c r="B810" t="n">
        <v>2012</v>
      </c>
      <c r="C810" t="inlineStr">
        <is>
          <t>Eya Louati</t>
        </is>
      </c>
      <c r="D810">
        <f>HYPERLINK("https://ota.tournamentsoftware.com/player-profile/679317D4-2CCC-4345-A8E0-4E4AB637C148", "Link")</f>
        <v/>
      </c>
      <c r="E810" s="3" t="n">
        <v>9.504</v>
      </c>
      <c r="F810" s="4" t="n">
        <v>1</v>
      </c>
      <c r="G810" t="inlineStr">
        <is>
          <t>Tennis Québec</t>
        </is>
      </c>
      <c r="H810" t="inlineStr">
        <is>
          <t>SANI Sport</t>
        </is>
      </c>
      <c r="I810" t="inlineStr">
        <is>
          <t>unavailable</t>
        </is>
      </c>
      <c r="J810" s="4" t="n">
        <v>90</v>
      </c>
      <c r="K810" t="inlineStr">
        <is>
          <t>28 / 62</t>
        </is>
      </c>
      <c r="L810" t="inlineStr">
        <is>
          <t>1 / 2</t>
        </is>
      </c>
      <c r="M810" s="5" t="n">
        <v>0.31</v>
      </c>
      <c r="N810" s="5" t="n">
        <v>0.33</v>
      </c>
    </row>
    <row r="811">
      <c r="A811" t="n">
        <v>810</v>
      </c>
      <c r="B811" t="n">
        <v>2014</v>
      </c>
      <c r="C811" t="inlineStr">
        <is>
          <t>Yingshan Zoey Chen</t>
        </is>
      </c>
      <c r="D811">
        <f>HYPERLINK("https://ota.tournamentsoftware.com/player-profile/A4F9AF2C-7FB4-474F-BA3A-0E1AB32672E3", "Link")</f>
        <v/>
      </c>
      <c r="E811" s="3" t="n">
        <v>9.414999999999999</v>
      </c>
      <c r="F811" s="4" t="n">
        <v>3</v>
      </c>
      <c r="G811" t="inlineStr">
        <is>
          <t>Ontario Tennis Association</t>
        </is>
      </c>
      <c r="H811" t="inlineStr">
        <is>
          <t>Thornhill Country Club</t>
        </is>
      </c>
      <c r="I811" t="n">
        <v>38.5</v>
      </c>
      <c r="J811" s="4" t="n">
        <v>24</v>
      </c>
      <c r="K811" t="inlineStr">
        <is>
          <t>5 / 19</t>
        </is>
      </c>
      <c r="L811" t="inlineStr">
        <is>
          <t>2 / 4</t>
        </is>
      </c>
      <c r="M811" s="5" t="n">
        <v>0.21</v>
      </c>
      <c r="N811" s="5" t="n">
        <v>0.33</v>
      </c>
    </row>
    <row r="812">
      <c r="A812" t="n">
        <v>811</v>
      </c>
      <c r="B812" t="n">
        <v>2012</v>
      </c>
      <c r="C812" t="inlineStr">
        <is>
          <t>Charley Burgess</t>
        </is>
      </c>
      <c r="D812">
        <f>HYPERLINK("https://ota.tournamentsoftware.com/player-profile/F7818ED5-A370-4D5D-9CAE-03309F03D5FD", "Link")</f>
        <v/>
      </c>
      <c r="E812" s="3" t="n">
        <v>9.228</v>
      </c>
      <c r="F812" s="4" t="n">
        <v>2</v>
      </c>
      <c r="G812" t="inlineStr">
        <is>
          <t>Tennis Alberta</t>
        </is>
      </c>
      <c r="H812" t="inlineStr">
        <is>
          <t>The Glencoe Club</t>
        </is>
      </c>
      <c r="I812" t="inlineStr">
        <is>
          <t>unavailable</t>
        </is>
      </c>
      <c r="J812" s="4" t="n">
        <v>52</v>
      </c>
      <c r="K812" t="inlineStr">
        <is>
          <t>23 / 29</t>
        </is>
      </c>
      <c r="L812" t="inlineStr">
        <is>
          <t>0 / 0</t>
        </is>
      </c>
      <c r="M812" s="5" t="n">
        <v>0.44</v>
      </c>
      <c r="N812" s="5" t="n">
        <v>0</v>
      </c>
    </row>
    <row r="813">
      <c r="A813" t="n">
        <v>812</v>
      </c>
      <c r="B813" t="n">
        <v>2013</v>
      </c>
      <c r="C813" t="inlineStr">
        <is>
          <t>Harper Thompson</t>
        </is>
      </c>
      <c r="D813">
        <f>HYPERLINK("https://ota.tournamentsoftware.com/player-profile/D930EA05-6917-4BB8-9AD8-DE7F29C99324", "Link")</f>
        <v/>
      </c>
      <c r="E813" s="3" t="n">
        <v>8.938000000000001</v>
      </c>
      <c r="F813" s="4" t="n">
        <v>3</v>
      </c>
      <c r="G813" t="inlineStr">
        <is>
          <t>Tennis Alberta</t>
        </is>
      </c>
      <c r="H813" t="inlineStr">
        <is>
          <t>The Glencoe Club</t>
        </is>
      </c>
      <c r="I813" t="inlineStr">
        <is>
          <t>unavailable</t>
        </is>
      </c>
      <c r="J813" s="4" t="n">
        <v>44</v>
      </c>
      <c r="K813" t="inlineStr">
        <is>
          <t>2 / 42</t>
        </is>
      </c>
      <c r="L813" t="inlineStr">
        <is>
          <t>0 / 2</t>
        </is>
      </c>
      <c r="M813" s="5" t="n">
        <v>0.05</v>
      </c>
      <c r="N813" s="5" t="n">
        <v>0</v>
      </c>
    </row>
    <row r="814">
      <c r="A814" t="n">
        <v>813</v>
      </c>
      <c r="B814" t="n">
        <v>2014</v>
      </c>
      <c r="C814" t="inlineStr">
        <is>
          <t>Avery Rose Kon</t>
        </is>
      </c>
      <c r="D814">
        <f>HYPERLINK("https://ota.tournamentsoftware.com/player-profile/3F621439-578C-4BDD-A8A2-880ECC795615", "Link")</f>
        <v/>
      </c>
      <c r="E814" s="3" t="n">
        <v>8.888</v>
      </c>
      <c r="F814" s="4" t="n">
        <v>2</v>
      </c>
      <c r="G814" t="inlineStr">
        <is>
          <t>Ontario Tennis Association</t>
        </is>
      </c>
      <c r="H814" t="inlineStr">
        <is>
          <t>Toronto Lawn Tennis Club</t>
        </is>
      </c>
      <c r="I814" t="n">
        <v>36.6</v>
      </c>
      <c r="J814" s="4" t="n">
        <v>8</v>
      </c>
      <c r="K814" t="inlineStr">
        <is>
          <t>1 / 7</t>
        </is>
      </c>
      <c r="L814" t="inlineStr">
        <is>
          <t>0 / 2</t>
        </is>
      </c>
      <c r="M814" s="5" t="n">
        <v>0.12</v>
      </c>
      <c r="N814" s="5" t="n">
        <v>0</v>
      </c>
    </row>
    <row r="815">
      <c r="A815" t="n">
        <v>814</v>
      </c>
      <c r="B815" t="n">
        <v>2014</v>
      </c>
      <c r="C815" t="inlineStr">
        <is>
          <t>Annabelle Zhao</t>
        </is>
      </c>
      <c r="D815">
        <f>HYPERLINK("https://ota.tournamentsoftware.com/player-profile/F9367D16-E3B7-41BB-810F-85E4C6371542", "Link")</f>
        <v/>
      </c>
      <c r="E815" s="3" t="n">
        <v>8.882999999999999</v>
      </c>
      <c r="F815" s="4" t="n">
        <v>3</v>
      </c>
      <c r="G815" t="inlineStr">
        <is>
          <t>British Columbia</t>
        </is>
      </c>
      <c r="H815" t="inlineStr">
        <is>
          <t>The Tennis Centre</t>
        </is>
      </c>
      <c r="I815" t="n">
        <v>39</v>
      </c>
      <c r="J815" s="4" t="n">
        <v>61</v>
      </c>
      <c r="K815" t="inlineStr">
        <is>
          <t>30 / 31</t>
        </is>
      </c>
      <c r="L815" t="inlineStr">
        <is>
          <t>10 / 8</t>
        </is>
      </c>
      <c r="M815" s="5" t="n">
        <v>0.49</v>
      </c>
      <c r="N815" s="5" t="n">
        <v>0.5600000000000001</v>
      </c>
    </row>
    <row r="816">
      <c r="A816" t="n">
        <v>815</v>
      </c>
      <c r="B816" t="n">
        <v>2014</v>
      </c>
      <c r="C816" t="inlineStr">
        <is>
          <t>Jylian May II Mauricio Luces</t>
        </is>
      </c>
      <c r="D816">
        <f>HYPERLINK("https://ota.tournamentsoftware.com/player-profile/EE4C1547-2DEF-4E96-BA65-F8069863F09D", "Link")</f>
        <v/>
      </c>
      <c r="E816" s="3" t="n">
        <v>8.698</v>
      </c>
      <c r="F816" s="4" t="n">
        <v>6</v>
      </c>
      <c r="G816" t="inlineStr">
        <is>
          <t>Tennis Alberta</t>
        </is>
      </c>
      <c r="H816" t="inlineStr">
        <is>
          <t>Osten &amp; Victor Alberta Tennis Centre</t>
        </is>
      </c>
      <c r="I816" t="inlineStr">
        <is>
          <t>unavailable</t>
        </is>
      </c>
      <c r="J816" s="4" t="n">
        <v>33</v>
      </c>
      <c r="K816" t="inlineStr">
        <is>
          <t>6 / 27</t>
        </is>
      </c>
      <c r="L816" t="inlineStr">
        <is>
          <t>2 / 8</t>
        </is>
      </c>
      <c r="M816" s="5" t="n">
        <v>0.18</v>
      </c>
      <c r="N816" s="5" t="n">
        <v>0.2</v>
      </c>
    </row>
    <row r="817">
      <c r="A817" t="n">
        <v>816</v>
      </c>
      <c r="B817" t="n">
        <v>2015</v>
      </c>
      <c r="C817" t="inlineStr">
        <is>
          <t>Isabella Maria Galati</t>
        </is>
      </c>
      <c r="D817">
        <f>HYPERLINK("https://ota.tournamentsoftware.com/player-profile/401ED85D-9EDD-4DED-B064-33902C7F4DF4", "Link")</f>
        <v/>
      </c>
      <c r="E817" s="3" t="n">
        <v>8.694000000000001</v>
      </c>
      <c r="F817" s="4" t="n">
        <v>2</v>
      </c>
      <c r="G817" t="inlineStr">
        <is>
          <t>Ontario Tennis Association</t>
        </is>
      </c>
      <c r="H817" t="inlineStr">
        <is>
          <t>Pickering Tennis Academy</t>
        </is>
      </c>
      <c r="I817" t="n">
        <v>37.7</v>
      </c>
      <c r="J817" s="4" t="n">
        <v>24</v>
      </c>
      <c r="K817" t="inlineStr">
        <is>
          <t>11 / 13</t>
        </is>
      </c>
      <c r="L817" t="inlineStr">
        <is>
          <t>5 / 2</t>
        </is>
      </c>
      <c r="M817" s="5" t="n">
        <v>0.46</v>
      </c>
      <c r="N817" s="5" t="n">
        <v>0.71</v>
      </c>
    </row>
    <row r="818">
      <c r="A818" t="n">
        <v>817</v>
      </c>
      <c r="B818" t="n">
        <v>2015</v>
      </c>
      <c r="C818" t="inlineStr">
        <is>
          <t>Chloe Brown</t>
        </is>
      </c>
      <c r="D818">
        <f>HYPERLINK("https://ota.tournamentsoftware.com/player-profile/E3B2C995-F41E-4C95-81DE-7B219EF03CBD", "Link")</f>
        <v/>
      </c>
      <c r="E818" s="3" t="n">
        <v>8.640000000000001</v>
      </c>
      <c r="F818" s="4" t="n">
        <v>3</v>
      </c>
      <c r="G818" t="inlineStr">
        <is>
          <t>British Columbia</t>
        </is>
      </c>
      <c r="H818" t="inlineStr">
        <is>
          <t>Commons Racquet Club at Predator Ridge</t>
        </is>
      </c>
      <c r="I818" t="n">
        <v>38.5</v>
      </c>
      <c r="J818" s="4" t="n">
        <v>25</v>
      </c>
      <c r="K818" t="inlineStr">
        <is>
          <t>10 / 15</t>
        </is>
      </c>
      <c r="L818" t="inlineStr">
        <is>
          <t>7 / 5</t>
        </is>
      </c>
      <c r="M818" s="5" t="n">
        <v>0.4</v>
      </c>
      <c r="N818" s="5" t="n">
        <v>0.58</v>
      </c>
    </row>
    <row r="819">
      <c r="A819" t="n">
        <v>817</v>
      </c>
      <c r="B819" t="n">
        <v>2014</v>
      </c>
      <c r="C819" t="inlineStr">
        <is>
          <t>Candice Cui</t>
        </is>
      </c>
      <c r="D819">
        <f>HYPERLINK("https://ota.tournamentsoftware.com/player-profile/389A79F0-4AEE-4BAD-A33E-98A21CD35738", "Link")</f>
        <v/>
      </c>
      <c r="E819" s="3" t="n">
        <v>8.640000000000001</v>
      </c>
      <c r="F819" s="4" t="n">
        <v>2</v>
      </c>
      <c r="G819" t="inlineStr">
        <is>
          <t>British Columbia</t>
        </is>
      </c>
      <c r="H819" t="inlineStr">
        <is>
          <t>Okanagan Mission Tennis Club Kelowna</t>
        </is>
      </c>
      <c r="I819" t="inlineStr">
        <is>
          <t>unavailable</t>
        </is>
      </c>
      <c r="J819" s="4" t="n">
        <v>30</v>
      </c>
      <c r="K819" t="inlineStr">
        <is>
          <t>11 / 19</t>
        </is>
      </c>
      <c r="L819" t="inlineStr">
        <is>
          <t>2 / 2</t>
        </is>
      </c>
      <c r="M819" s="5" t="n">
        <v>0.37</v>
      </c>
      <c r="N819" s="5" t="n">
        <v>0.5</v>
      </c>
    </row>
    <row r="820">
      <c r="A820" t="n">
        <v>819</v>
      </c>
      <c r="B820" t="n">
        <v>2012</v>
      </c>
      <c r="C820" t="inlineStr">
        <is>
          <t>LUCY HA</t>
        </is>
      </c>
      <c r="D820">
        <f>HYPERLINK("https://ota.tournamentsoftware.com/player-profile/5289FB1D-8B94-446A-83C5-187068CE2F5D", "Link")</f>
        <v/>
      </c>
      <c r="E820" s="3" t="n">
        <v>8.423999999999999</v>
      </c>
      <c r="F820" s="4" t="n">
        <v>2</v>
      </c>
      <c r="G820" t="inlineStr">
        <is>
          <t>British Columbia</t>
        </is>
      </c>
      <c r="H820" t="inlineStr">
        <is>
          <t>Tennis BC Hub @ Richmond</t>
        </is>
      </c>
      <c r="I820" t="n">
        <v>37.7</v>
      </c>
      <c r="J820" s="4" t="n">
        <v>28</v>
      </c>
      <c r="K820" t="inlineStr">
        <is>
          <t>4 / 24</t>
        </is>
      </c>
      <c r="L820" t="inlineStr">
        <is>
          <t>0 / 2</t>
        </is>
      </c>
      <c r="M820" s="5" t="n">
        <v>0.14</v>
      </c>
      <c r="N820" s="5" t="n">
        <v>0</v>
      </c>
    </row>
    <row r="821">
      <c r="A821" t="n">
        <v>819</v>
      </c>
      <c r="B821" t="n">
        <v>2013</v>
      </c>
      <c r="C821" t="inlineStr">
        <is>
          <t>KIanna Jia Christianson</t>
        </is>
      </c>
      <c r="D821">
        <f>HYPERLINK("https://ota.tournamentsoftware.com/player-profile/A76E75A0-5CAF-4017-8B3C-2D69366CF0FB", "Link")</f>
        <v/>
      </c>
      <c r="E821" s="3" t="n">
        <v>8.423999999999999</v>
      </c>
      <c r="F821" s="4" t="n">
        <v>1</v>
      </c>
      <c r="G821" t="inlineStr">
        <is>
          <t>British Columbia</t>
        </is>
      </c>
      <c r="H821" t="inlineStr">
        <is>
          <t>City of Burnaby</t>
        </is>
      </c>
      <c r="I821" t="n">
        <v>40</v>
      </c>
      <c r="J821" s="4" t="n">
        <v>10</v>
      </c>
      <c r="K821" t="inlineStr">
        <is>
          <t>5 / 5</t>
        </is>
      </c>
      <c r="L821" t="inlineStr">
        <is>
          <t>2 / 3</t>
        </is>
      </c>
      <c r="M821" s="5" t="n">
        <v>0.5</v>
      </c>
      <c r="N821" s="5" t="n">
        <v>0.4</v>
      </c>
    </row>
    <row r="822">
      <c r="A822" t="n">
        <v>819</v>
      </c>
      <c r="B822" t="n">
        <v>2012</v>
      </c>
      <c r="C822" t="inlineStr">
        <is>
          <t>Elisha Lee</t>
        </is>
      </c>
      <c r="D822">
        <f>HYPERLINK("https://ota.tournamentsoftware.com/player-profile/0D8F1552-F5AE-4BBB-B462-7DFD495EA5D1", "Link")</f>
        <v/>
      </c>
      <c r="E822" s="3" t="n">
        <v>8.423999999999999</v>
      </c>
      <c r="F822" s="4" t="n">
        <v>1</v>
      </c>
      <c r="G822" t="inlineStr">
        <is>
          <t>British Columbia</t>
        </is>
      </c>
      <c r="H822" t="inlineStr">
        <is>
          <t>Great West Fitness and Racquets Club</t>
        </is>
      </c>
      <c r="I822" t="n">
        <v>37.9</v>
      </c>
      <c r="J822" s="4" t="n">
        <v>52</v>
      </c>
      <c r="K822" t="inlineStr">
        <is>
          <t>21 / 31</t>
        </is>
      </c>
      <c r="L822" t="inlineStr">
        <is>
          <t>11 / 14</t>
        </is>
      </c>
      <c r="M822" s="5" t="n">
        <v>0.4</v>
      </c>
      <c r="N822" s="5" t="n">
        <v>0.44</v>
      </c>
    </row>
    <row r="823">
      <c r="A823" t="n">
        <v>819</v>
      </c>
      <c r="B823" t="n">
        <v>2012</v>
      </c>
      <c r="C823" t="inlineStr">
        <is>
          <t>Ruike Ni</t>
        </is>
      </c>
      <c r="D823">
        <f>HYPERLINK("https://ota.tournamentsoftware.com/player-profile/862000EB-CE8E-4CA2-BA1E-5441407CA2E5", "Link")</f>
        <v/>
      </c>
      <c r="E823" s="3" t="n">
        <v>8.423999999999999</v>
      </c>
      <c r="F823" s="4" t="n">
        <v>1</v>
      </c>
      <c r="G823" t="inlineStr">
        <is>
          <t>British Columbia</t>
        </is>
      </c>
      <c r="H823" t="inlineStr">
        <is>
          <t>Tennis for Life</t>
        </is>
      </c>
      <c r="I823" t="n">
        <v>38.5</v>
      </c>
      <c r="J823" s="4" t="n">
        <v>7</v>
      </c>
      <c r="K823" t="inlineStr">
        <is>
          <t>2 / 5</t>
        </is>
      </c>
      <c r="L823" t="inlineStr">
        <is>
          <t>0 / 2</t>
        </is>
      </c>
      <c r="M823" s="5" t="n">
        <v>0.29</v>
      </c>
      <c r="N823" s="5" t="n">
        <v>0</v>
      </c>
    </row>
    <row r="824">
      <c r="A824" t="n">
        <v>823</v>
      </c>
      <c r="B824" t="n">
        <v>2015</v>
      </c>
      <c r="C824" t="inlineStr">
        <is>
          <t>Mila Sofia Galvez Bourgeois-Charbonneau</t>
        </is>
      </c>
      <c r="D824">
        <f>HYPERLINK("https://ota.tournamentsoftware.com/player-profile/4F9CCD8C-A7BD-4FA0-B17A-3689BD230A0C", "Link")</f>
        <v/>
      </c>
      <c r="E824" s="3" t="n">
        <v>8.298</v>
      </c>
      <c r="F824" s="4" t="n">
        <v>2</v>
      </c>
      <c r="G824" t="inlineStr">
        <is>
          <t>Tennis Québec</t>
        </is>
      </c>
      <c r="H824" t="inlineStr">
        <is>
          <t>AA Autre club</t>
        </is>
      </c>
      <c r="I824" t="n">
        <v>37.3</v>
      </c>
      <c r="J824" s="4" t="n">
        <v>10</v>
      </c>
      <c r="K824" t="inlineStr">
        <is>
          <t>5 / 5</t>
        </is>
      </c>
      <c r="L824" t="inlineStr">
        <is>
          <t>5 / 2</t>
        </is>
      </c>
      <c r="M824" s="5" t="n">
        <v>0.5</v>
      </c>
      <c r="N824" s="5" t="n">
        <v>0.71</v>
      </c>
    </row>
    <row r="825">
      <c r="A825" t="n">
        <v>824</v>
      </c>
      <c r="B825" t="n">
        <v>2016</v>
      </c>
      <c r="C825" t="inlineStr">
        <is>
          <t>Peiyu(Cici) Li</t>
        </is>
      </c>
      <c r="D825">
        <f>HYPERLINK("https://ota.tournamentsoftware.com/player-profile/C4571297-B444-4579-A011-D24753628021", "Link")</f>
        <v/>
      </c>
      <c r="E825" s="3" t="n">
        <v>8.156000000000001</v>
      </c>
      <c r="F825" s="4" t="n">
        <v>8</v>
      </c>
      <c r="G825" t="inlineStr">
        <is>
          <t>Tennis Nova Scotia</t>
        </is>
      </c>
      <c r="H825" t="inlineStr">
        <is>
          <t>Atlantic Tennis Centre</t>
        </is>
      </c>
      <c r="I825" t="n">
        <v>39.3</v>
      </c>
      <c r="J825" s="4" t="n">
        <v>51</v>
      </c>
      <c r="K825" t="inlineStr">
        <is>
          <t>18 / 33</t>
        </is>
      </c>
      <c r="L825" t="inlineStr">
        <is>
          <t>10 / 23</t>
        </is>
      </c>
      <c r="M825" s="5" t="n">
        <v>0.35</v>
      </c>
      <c r="N825" s="5" t="n">
        <v>0.3</v>
      </c>
    </row>
    <row r="826">
      <c r="A826" t="n">
        <v>825</v>
      </c>
      <c r="B826" t="n">
        <v>2015</v>
      </c>
      <c r="C826" t="inlineStr">
        <is>
          <t>Sofia Belyavskaya</t>
        </is>
      </c>
      <c r="D826">
        <f>HYPERLINK("https://ota.tournamentsoftware.com/player-profile/103C1284-54D3-4E14-8B3B-D860AD353A8C", "Link")</f>
        <v/>
      </c>
      <c r="E826" s="3" t="n">
        <v>8.045999999999999</v>
      </c>
      <c r="F826" s="4" t="n">
        <v>3</v>
      </c>
      <c r="G826" t="inlineStr">
        <is>
          <t>British Columbia</t>
        </is>
      </c>
      <c r="H826" t="inlineStr">
        <is>
          <t>The Tennis Centre</t>
        </is>
      </c>
      <c r="I826" t="n">
        <v>37.2</v>
      </c>
      <c r="J826" s="4" t="n">
        <v>88</v>
      </c>
      <c r="K826" t="inlineStr">
        <is>
          <t>35 / 53</t>
        </is>
      </c>
      <c r="L826" t="inlineStr">
        <is>
          <t>2 / 5</t>
        </is>
      </c>
      <c r="M826" s="5" t="n">
        <v>0.4</v>
      </c>
      <c r="N826" s="5" t="n">
        <v>0.29</v>
      </c>
    </row>
    <row r="827">
      <c r="A827" t="n">
        <v>826</v>
      </c>
      <c r="B827" t="n">
        <v>2013</v>
      </c>
      <c r="C827" t="inlineStr">
        <is>
          <t>Anaya Mohammed Shurrab</t>
        </is>
      </c>
      <c r="D827">
        <f>HYPERLINK("https://ota.tournamentsoftware.com/player-profile/A4BA7F79-3B20-4355-B83D-7B81774D6C97", "Link")</f>
        <v/>
      </c>
      <c r="E827" s="3" t="n">
        <v>8.01</v>
      </c>
      <c r="F827" s="4" t="n">
        <v>1</v>
      </c>
      <c r="G827" t="inlineStr">
        <is>
          <t>Ontario Tennis Association</t>
        </is>
      </c>
      <c r="H827" t="inlineStr">
        <is>
          <t>Sudbury Indoor Tennis Centre</t>
        </is>
      </c>
      <c r="I827" t="n">
        <v>38.8</v>
      </c>
      <c r="J827" s="4" t="n">
        <v>2</v>
      </c>
      <c r="K827" t="inlineStr">
        <is>
          <t>0 / 2</t>
        </is>
      </c>
      <c r="L827" t="inlineStr">
        <is>
          <t>0 / 0</t>
        </is>
      </c>
      <c r="M827" s="5" t="n">
        <v>0</v>
      </c>
      <c r="N827" s="5" t="n">
        <v>0</v>
      </c>
    </row>
    <row r="828">
      <c r="A828" t="n">
        <v>827</v>
      </c>
      <c r="B828" t="n">
        <v>2015</v>
      </c>
      <c r="C828" t="inlineStr">
        <is>
          <t>Lyskha Ann Louis</t>
        </is>
      </c>
      <c r="D828">
        <f>HYPERLINK("https://ota.tournamentsoftware.com/player-profile/E63460EF-56D0-4F3C-845C-D047E7B9C366", "Link")</f>
        <v/>
      </c>
      <c r="E828" s="3" t="n">
        <v>7.906</v>
      </c>
      <c r="F828" s="4" t="n">
        <v>2</v>
      </c>
      <c r="G828" t="inlineStr">
        <is>
          <t>Tennis Québec</t>
        </is>
      </c>
      <c r="H828" t="inlineStr">
        <is>
          <t>Tennis 13</t>
        </is>
      </c>
      <c r="I828" t="n">
        <v>36.4</v>
      </c>
      <c r="J828" s="4" t="n">
        <v>9</v>
      </c>
      <c r="K828" t="inlineStr">
        <is>
          <t>4 / 5</t>
        </is>
      </c>
      <c r="L828" t="inlineStr">
        <is>
          <t>4 / 2</t>
        </is>
      </c>
      <c r="M828" s="5" t="n">
        <v>0.44</v>
      </c>
      <c r="N828" s="5" t="n">
        <v>0.67</v>
      </c>
    </row>
    <row r="829">
      <c r="A829" t="n">
        <v>828</v>
      </c>
      <c r="B829" t="n">
        <v>2014</v>
      </c>
      <c r="C829" t="inlineStr">
        <is>
          <t>Abigale Julia Dioszeghy Beatty</t>
        </is>
      </c>
      <c r="D829">
        <f>HYPERLINK("https://ota.tournamentsoftware.com/player-profile/3376BA08-B4B7-40B5-A81E-8F995772526B", "Link")</f>
        <v/>
      </c>
      <c r="E829" s="3" t="n">
        <v>7.827</v>
      </c>
      <c r="F829" s="4" t="n">
        <v>7</v>
      </c>
      <c r="G829" t="inlineStr">
        <is>
          <t>Tennis Alberta</t>
        </is>
      </c>
      <c r="H829" t="inlineStr">
        <is>
          <t>Royal Glenora Club</t>
        </is>
      </c>
      <c r="I829" t="n">
        <v>37.2</v>
      </c>
      <c r="J829" s="4" t="n">
        <v>18</v>
      </c>
      <c r="K829" t="inlineStr">
        <is>
          <t>9 / 9</t>
        </is>
      </c>
      <c r="L829" t="inlineStr">
        <is>
          <t>9 / 9</t>
        </is>
      </c>
      <c r="M829" s="5" t="n">
        <v>0.5</v>
      </c>
      <c r="N829" s="5" t="n">
        <v>0.5</v>
      </c>
    </row>
    <row r="830">
      <c r="A830" t="n">
        <v>829</v>
      </c>
      <c r="B830" t="n">
        <v>2014</v>
      </c>
      <c r="C830" t="inlineStr">
        <is>
          <t>Gloriana Shiqi Zhang</t>
        </is>
      </c>
      <c r="D830">
        <f>HYPERLINK("https://ota.tournamentsoftware.com/player-profile/2717E828-0882-43B7-ADDB-D078FFA580CF", "Link")</f>
        <v/>
      </c>
      <c r="E830" s="3" t="n">
        <v>7.776</v>
      </c>
      <c r="F830" s="4" t="n">
        <v>2</v>
      </c>
      <c r="G830" t="inlineStr">
        <is>
          <t>British Columbia</t>
        </is>
      </c>
      <c r="H830" t="inlineStr">
        <is>
          <t>Hollyburn Country Club</t>
        </is>
      </c>
      <c r="I830" t="inlineStr">
        <is>
          <t>unavailable</t>
        </is>
      </c>
      <c r="J830" s="4" t="n">
        <v>32</v>
      </c>
      <c r="K830" t="inlineStr">
        <is>
          <t>5 / 27</t>
        </is>
      </c>
      <c r="L830" t="inlineStr">
        <is>
          <t>0 / 0</t>
        </is>
      </c>
      <c r="M830" s="5" t="n">
        <v>0.16</v>
      </c>
      <c r="N830" s="5" t="n">
        <v>0</v>
      </c>
    </row>
    <row r="831">
      <c r="A831" t="n">
        <v>830</v>
      </c>
      <c r="B831" t="n">
        <v>2013</v>
      </c>
      <c r="C831" t="inlineStr">
        <is>
          <t>Nya Robinson</t>
        </is>
      </c>
      <c r="D831">
        <f>HYPERLINK("https://ota.tournamentsoftware.com/player-profile/FCE45E04-6DF1-4A68-89D1-ACB65286BF31", "Link")</f>
        <v/>
      </c>
      <c r="E831" s="3" t="n">
        <v>7.672</v>
      </c>
      <c r="F831" s="4" t="n">
        <v>4</v>
      </c>
      <c r="G831" t="inlineStr">
        <is>
          <t>Tennis Alberta</t>
        </is>
      </c>
      <c r="H831" t="inlineStr">
        <is>
          <t>Osten &amp; Victor Alberta Tennis Centre</t>
        </is>
      </c>
      <c r="I831" t="n">
        <v>38.1</v>
      </c>
      <c r="J831" s="4" t="n">
        <v>17</v>
      </c>
      <c r="K831" t="inlineStr">
        <is>
          <t>7 / 10</t>
        </is>
      </c>
      <c r="L831" t="inlineStr">
        <is>
          <t>2 / 1</t>
        </is>
      </c>
      <c r="M831" s="5" t="n">
        <v>0.41</v>
      </c>
      <c r="N831" s="5" t="n">
        <v>0.67</v>
      </c>
    </row>
    <row r="832">
      <c r="A832" t="n">
        <v>831</v>
      </c>
      <c r="B832" t="n">
        <v>2015</v>
      </c>
      <c r="C832" t="inlineStr">
        <is>
          <t>Dani Banquicio</t>
        </is>
      </c>
      <c r="D832">
        <f>HYPERLINK("https://ota.tournamentsoftware.com/player-profile/46430071-90F3-4471-A44B-9BE4F31E2D72", "Link")</f>
        <v/>
      </c>
      <c r="E832" s="3" t="n">
        <v>7.652</v>
      </c>
      <c r="F832" s="4" t="n">
        <v>2</v>
      </c>
      <c r="G832" t="inlineStr">
        <is>
          <t>Tennis New Brunswick</t>
        </is>
      </c>
      <c r="H832" t="inlineStr">
        <is>
          <t>Abony Family Tennis Center</t>
        </is>
      </c>
      <c r="I832" t="n">
        <v>40</v>
      </c>
      <c r="J832" s="4" t="n">
        <v>54</v>
      </c>
      <c r="K832" t="inlineStr">
        <is>
          <t>17 / 37</t>
        </is>
      </c>
      <c r="L832" t="inlineStr">
        <is>
          <t>3 / 7</t>
        </is>
      </c>
      <c r="M832" s="5" t="n">
        <v>0.31</v>
      </c>
      <c r="N832" s="5" t="n">
        <v>0.3</v>
      </c>
    </row>
    <row r="833">
      <c r="A833" t="n">
        <v>832</v>
      </c>
      <c r="B833" t="n">
        <v>2014</v>
      </c>
      <c r="C833" t="inlineStr">
        <is>
          <t>Audrey Dionne-Chen</t>
        </is>
      </c>
      <c r="D833">
        <f>HYPERLINK("https://ota.tournamentsoftware.com/player-profile/7AE565BD-506E-4133-AA69-F89B361E38C0", "Link")</f>
        <v/>
      </c>
      <c r="E833" s="3" t="n">
        <v>7.552</v>
      </c>
      <c r="F833" s="4" t="n">
        <v>1</v>
      </c>
      <c r="G833" t="inlineStr">
        <is>
          <t>Ontario Tennis Association</t>
        </is>
      </c>
      <c r="H833" t="inlineStr">
        <is>
          <t>Rideau Sports Centre</t>
        </is>
      </c>
      <c r="I833" t="n">
        <v>39.4</v>
      </c>
      <c r="J833" s="4" t="n">
        <v>14</v>
      </c>
      <c r="K833" t="inlineStr">
        <is>
          <t>4 / 10</t>
        </is>
      </c>
      <c r="L833" t="inlineStr">
        <is>
          <t>0 / 1</t>
        </is>
      </c>
      <c r="M833" s="5" t="n">
        <v>0.29</v>
      </c>
      <c r="N833" s="5" t="n">
        <v>0</v>
      </c>
    </row>
    <row r="834">
      <c r="A834" t="n">
        <v>833</v>
      </c>
      <c r="B834" t="n">
        <v>2015</v>
      </c>
      <c r="C834" t="inlineStr">
        <is>
          <t>Ivana Novatus Nguma</t>
        </is>
      </c>
      <c r="D834">
        <f>HYPERLINK("https://ota.tournamentsoftware.com/player-profile/152EACD1-B447-4FFD-B45D-419526079F6E", "Link")</f>
        <v/>
      </c>
      <c r="E834" s="3" t="n">
        <v>7.507</v>
      </c>
      <c r="F834" s="4" t="n">
        <v>2</v>
      </c>
      <c r="G834" t="inlineStr">
        <is>
          <t>Tennis Alberta</t>
        </is>
      </c>
      <c r="H834" t="inlineStr">
        <is>
          <t>Calgary Tennis Society</t>
        </is>
      </c>
      <c r="I834" t="n">
        <v>37.7</v>
      </c>
      <c r="J834" s="4" t="n">
        <v>24</v>
      </c>
      <c r="K834" t="inlineStr">
        <is>
          <t>12 / 12</t>
        </is>
      </c>
      <c r="L834" t="inlineStr">
        <is>
          <t>8 / 4</t>
        </is>
      </c>
      <c r="M834" s="5" t="n">
        <v>0.5</v>
      </c>
      <c r="N834" s="5" t="n">
        <v>0.67</v>
      </c>
    </row>
    <row r="835">
      <c r="A835" t="n">
        <v>834</v>
      </c>
      <c r="B835" t="n">
        <v>2012</v>
      </c>
      <c r="C835" t="inlineStr">
        <is>
          <t>Sofia Kalchenko</t>
        </is>
      </c>
      <c r="D835">
        <f>HYPERLINK("https://ota.tournamentsoftware.com/player-profile/95371403-EC89-475C-B20A-60F935026FFA", "Link")</f>
        <v/>
      </c>
      <c r="E835" s="3" t="n">
        <v>7.171</v>
      </c>
      <c r="F835" s="4" t="n">
        <v>3</v>
      </c>
      <c r="G835" t="inlineStr">
        <is>
          <t>Tennis Alberta</t>
        </is>
      </c>
      <c r="H835" t="inlineStr">
        <is>
          <t>Aforza</t>
        </is>
      </c>
      <c r="I835" t="inlineStr">
        <is>
          <t>unavailable</t>
        </is>
      </c>
      <c r="J835" s="4" t="n">
        <v>41</v>
      </c>
      <c r="K835" t="inlineStr">
        <is>
          <t>20 / 21</t>
        </is>
      </c>
      <c r="L835" t="inlineStr">
        <is>
          <t>3 / 1</t>
        </is>
      </c>
      <c r="M835" s="5" t="n">
        <v>0.49</v>
      </c>
      <c r="N835" s="5" t="n">
        <v>0.75</v>
      </c>
    </row>
    <row r="836">
      <c r="A836" t="n">
        <v>835</v>
      </c>
      <c r="B836" t="n">
        <v>2017</v>
      </c>
      <c r="C836" t="inlineStr">
        <is>
          <t>Kaja Gacanin</t>
        </is>
      </c>
      <c r="D836">
        <f>HYPERLINK("https://ota.tournamentsoftware.com/player-profile/51158AF8-F463-4974-AE1F-B1924D114B2F", "Link")</f>
        <v/>
      </c>
      <c r="E836" s="3" t="n">
        <v>6.84</v>
      </c>
      <c r="F836" s="4" t="n">
        <v>2</v>
      </c>
      <c r="G836" t="inlineStr">
        <is>
          <t>Ontario Tennis Association</t>
        </is>
      </c>
      <c r="H836" t="inlineStr">
        <is>
          <t>Zekelman Tennis Centre</t>
        </is>
      </c>
      <c r="I836" t="n">
        <v>38.6</v>
      </c>
      <c r="J836" s="4" t="n">
        <v>7</v>
      </c>
      <c r="K836" t="inlineStr">
        <is>
          <t>2 / 5</t>
        </is>
      </c>
      <c r="L836" t="inlineStr">
        <is>
          <t>2 / 5</t>
        </is>
      </c>
      <c r="M836" s="5" t="n">
        <v>0.29</v>
      </c>
      <c r="N836" s="5" t="n">
        <v>0.29</v>
      </c>
    </row>
    <row r="837">
      <c r="A837" t="n">
        <v>836</v>
      </c>
      <c r="B837" t="n">
        <v>2014</v>
      </c>
      <c r="C837" t="inlineStr">
        <is>
          <t>Mantian Ellie Ni</t>
        </is>
      </c>
      <c r="D837">
        <f>HYPERLINK("https://ota.tournamentsoftware.com/player-profile/7FD8D72E-3679-4613-A482-A282508BEA32", "Link")</f>
        <v/>
      </c>
      <c r="E837" s="3" t="n">
        <v>6.607</v>
      </c>
      <c r="F837" s="4" t="n">
        <v>2</v>
      </c>
      <c r="G837" t="inlineStr">
        <is>
          <t>Ontario Tennis Association</t>
        </is>
      </c>
      <c r="H837" t="inlineStr">
        <is>
          <t>Premier Racquet Club - Markham</t>
        </is>
      </c>
      <c r="I837" t="n">
        <v>39.5</v>
      </c>
      <c r="J837" s="4" t="n">
        <v>23</v>
      </c>
      <c r="K837" t="inlineStr">
        <is>
          <t>7 / 16</t>
        </is>
      </c>
      <c r="L837" t="inlineStr">
        <is>
          <t>3 / 4</t>
        </is>
      </c>
      <c r="M837" s="5" t="n">
        <v>0.3</v>
      </c>
      <c r="N837" s="5" t="n">
        <v>0.43</v>
      </c>
    </row>
    <row r="838">
      <c r="A838" t="n">
        <v>836</v>
      </c>
      <c r="B838" t="n">
        <v>2015</v>
      </c>
      <c r="C838" t="inlineStr">
        <is>
          <t>Ruby Mika Szakacs</t>
        </is>
      </c>
      <c r="D838">
        <f>HYPERLINK("https://ota.tournamentsoftware.com/player-profile/200B8C95-20A4-4F60-90C6-7E30A84EAEA7", "Link")</f>
        <v/>
      </c>
      <c r="E838" s="3" t="n">
        <v>6.607</v>
      </c>
      <c r="F838" s="4" t="n">
        <v>2</v>
      </c>
      <c r="G838" t="inlineStr">
        <is>
          <t>Ontario Tennis Association</t>
        </is>
      </c>
      <c r="H838" t="inlineStr">
        <is>
          <t>No Club</t>
        </is>
      </c>
      <c r="I838" t="n">
        <v>39.4</v>
      </c>
      <c r="J838" s="4" t="n">
        <v>55</v>
      </c>
      <c r="K838" t="inlineStr">
        <is>
          <t>28 / 27</t>
        </is>
      </c>
      <c r="L838" t="inlineStr">
        <is>
          <t>0 / 4</t>
        </is>
      </c>
      <c r="M838" s="5" t="n">
        <v>0.51</v>
      </c>
      <c r="N838" s="5" t="n">
        <v>0</v>
      </c>
    </row>
    <row r="839">
      <c r="A839" t="n">
        <v>838</v>
      </c>
      <c r="B839" t="n">
        <v>2014</v>
      </c>
      <c r="C839" t="inlineStr">
        <is>
          <t>Mila Isaeva</t>
        </is>
      </c>
      <c r="D839">
        <f>HYPERLINK("https://ota.tournamentsoftware.com/player-profile/318B72C3-8E32-46E5-B532-524E3B59755C", "Link")</f>
        <v/>
      </c>
      <c r="E839" s="3" t="n">
        <v>6.48</v>
      </c>
      <c r="F839" s="4" t="n">
        <v>1</v>
      </c>
      <c r="G839" t="inlineStr">
        <is>
          <t>Ontario Tennis Association</t>
        </is>
      </c>
      <c r="H839" t="inlineStr">
        <is>
          <t>Tam Heather Tennis Club</t>
        </is>
      </c>
      <c r="I839" t="n">
        <v>38.3</v>
      </c>
      <c r="J839" s="4" t="n">
        <v>18</v>
      </c>
      <c r="K839" t="inlineStr">
        <is>
          <t>10 / 8</t>
        </is>
      </c>
      <c r="L839" t="inlineStr">
        <is>
          <t>8 / 5</t>
        </is>
      </c>
      <c r="M839" s="5" t="n">
        <v>0.5600000000000001</v>
      </c>
      <c r="N839" s="5" t="n">
        <v>0.62</v>
      </c>
    </row>
    <row r="840">
      <c r="A840" t="n">
        <v>838</v>
      </c>
      <c r="B840" t="n">
        <v>2016</v>
      </c>
      <c r="C840" t="inlineStr">
        <is>
          <t>Charlotte Gordovin</t>
        </is>
      </c>
      <c r="D840">
        <f>HYPERLINK("https://ota.tournamentsoftware.com/player-profile/961D5F8B-09E8-477B-A5D4-F4815570D913", "Link")</f>
        <v/>
      </c>
      <c r="E840" s="3" t="n">
        <v>6.48</v>
      </c>
      <c r="F840" s="4" t="n">
        <v>3</v>
      </c>
      <c r="G840" t="inlineStr">
        <is>
          <t>Ontario Tennis Association</t>
        </is>
      </c>
      <c r="H840" t="inlineStr">
        <is>
          <t>ON Tennis Toronto No Club</t>
        </is>
      </c>
      <c r="I840" t="inlineStr">
        <is>
          <t>unavailable</t>
        </is>
      </c>
      <c r="J840" s="4" t="n">
        <v>84</v>
      </c>
      <c r="K840" t="inlineStr">
        <is>
          <t>41 / 43</t>
        </is>
      </c>
      <c r="L840" t="inlineStr">
        <is>
          <t>14 / 16</t>
        </is>
      </c>
      <c r="M840" s="5" t="n">
        <v>0.49</v>
      </c>
      <c r="N840" s="5" t="n">
        <v>0.47</v>
      </c>
    </row>
    <row r="841">
      <c r="A841" t="n">
        <v>838</v>
      </c>
      <c r="B841" t="n">
        <v>2013</v>
      </c>
      <c r="C841" t="inlineStr">
        <is>
          <t>Juliana Pena</t>
        </is>
      </c>
      <c r="D841">
        <f>HYPERLINK("https://ota.tournamentsoftware.com/player-profile/8F1CA811-953C-4FAC-980B-55D7FE7A6E50", "Link")</f>
        <v/>
      </c>
      <c r="E841" s="3" t="n">
        <v>6.48</v>
      </c>
      <c r="F841" s="4" t="n">
        <v>1</v>
      </c>
      <c r="G841" t="inlineStr">
        <is>
          <t>Tennis Québec</t>
        </is>
      </c>
      <c r="H841" t="inlineStr">
        <is>
          <t>Tennis Québec (région Montréal Ouest)</t>
        </is>
      </c>
      <c r="I841" t="inlineStr">
        <is>
          <t>unavailable</t>
        </is>
      </c>
      <c r="J841" s="4" t="n">
        <v>10</v>
      </c>
      <c r="K841" t="inlineStr">
        <is>
          <t>3 / 7</t>
        </is>
      </c>
      <c r="L841" t="inlineStr">
        <is>
          <t>0 / 0</t>
        </is>
      </c>
      <c r="M841" s="5" t="n">
        <v>0.3</v>
      </c>
      <c r="N841" s="5" t="n">
        <v>0</v>
      </c>
    </row>
    <row r="842">
      <c r="A842" t="n">
        <v>838</v>
      </c>
      <c r="B842" t="n">
        <v>2014</v>
      </c>
      <c r="C842" t="inlineStr">
        <is>
          <t>Elina Chai</t>
        </is>
      </c>
      <c r="D842">
        <f>HYPERLINK("https://ota.tournamentsoftware.com/player-profile/93EB3F3A-118C-460C-AB18-42D8F042E5A9", "Link")</f>
        <v/>
      </c>
      <c r="E842" s="3" t="n">
        <v>6.48</v>
      </c>
      <c r="F842" s="4" t="n">
        <v>1</v>
      </c>
      <c r="G842" t="inlineStr">
        <is>
          <t>Ontario Tennis Association</t>
        </is>
      </c>
      <c r="H842" t="inlineStr">
        <is>
          <t>ACE Tennis - Toronto Tennis City</t>
        </is>
      </c>
      <c r="I842" t="n">
        <v>38.5</v>
      </c>
      <c r="J842" s="4" t="n">
        <v>6</v>
      </c>
      <c r="K842" t="inlineStr">
        <is>
          <t>4 / 2</t>
        </is>
      </c>
      <c r="L842" t="inlineStr">
        <is>
          <t>4 / 2</t>
        </is>
      </c>
      <c r="M842" s="5" t="n">
        <v>0.67</v>
      </c>
      <c r="N842" s="5" t="n">
        <v>0.67</v>
      </c>
    </row>
    <row r="843">
      <c r="A843" t="n">
        <v>838</v>
      </c>
      <c r="B843" t="n">
        <v>2017</v>
      </c>
      <c r="C843" t="inlineStr">
        <is>
          <t>Riley Yang</t>
        </is>
      </c>
      <c r="D843">
        <f>HYPERLINK("https://ota.tournamentsoftware.com/player-profile/26AD4F6A-B4DE-4D98-85C5-1F82427AD36B", "Link")</f>
        <v/>
      </c>
      <c r="E843" s="3" t="n">
        <v>6.48</v>
      </c>
      <c r="F843" s="4" t="n">
        <v>1</v>
      </c>
      <c r="G843" t="inlineStr">
        <is>
          <t>Ontario Tennis Association</t>
        </is>
      </c>
      <c r="H843" t="inlineStr">
        <is>
          <t>Mayfair West Fitness &amp; Racquet Club</t>
        </is>
      </c>
      <c r="I843" t="inlineStr">
        <is>
          <t>unavailable</t>
        </is>
      </c>
      <c r="J843" s="4" t="n">
        <v>181</v>
      </c>
      <c r="K843" t="inlineStr">
        <is>
          <t>95 / 86</t>
        </is>
      </c>
      <c r="L843" t="inlineStr">
        <is>
          <t>59 / 42</t>
        </is>
      </c>
      <c r="M843" s="5" t="n">
        <v>0.52</v>
      </c>
      <c r="N843" s="5" t="n">
        <v>0.58</v>
      </c>
    </row>
    <row r="844">
      <c r="A844" t="n">
        <v>838</v>
      </c>
      <c r="B844" t="n">
        <v>2013</v>
      </c>
      <c r="C844" t="inlineStr">
        <is>
          <t>Giselle Christine Lambert</t>
        </is>
      </c>
      <c r="D844">
        <f>HYPERLINK("https://ota.tournamentsoftware.com/player-profile/2E2CA1C3-86CC-418F-BF1B-9B9E4D99F292", "Link")</f>
        <v/>
      </c>
      <c r="E844" s="3" t="n">
        <v>6.48</v>
      </c>
      <c r="F844" s="4" t="n">
        <v>1</v>
      </c>
      <c r="G844" t="inlineStr">
        <is>
          <t>British Columbia</t>
        </is>
      </c>
      <c r="H844" t="inlineStr">
        <is>
          <t>Hollyburn Country Club</t>
        </is>
      </c>
      <c r="I844" t="n">
        <v>37</v>
      </c>
      <c r="J844" s="4" t="n">
        <v>44</v>
      </c>
      <c r="K844" t="inlineStr">
        <is>
          <t>10 / 34</t>
        </is>
      </c>
      <c r="L844" t="inlineStr">
        <is>
          <t>0 / 0</t>
        </is>
      </c>
      <c r="M844" s="5" t="n">
        <v>0.23</v>
      </c>
      <c r="N844" s="5" t="n">
        <v>0</v>
      </c>
    </row>
    <row r="845">
      <c r="A845" t="n">
        <v>838</v>
      </c>
      <c r="B845" t="n">
        <v>2015</v>
      </c>
      <c r="C845" t="inlineStr">
        <is>
          <t>Catherine Qu</t>
        </is>
      </c>
      <c r="D845">
        <f>HYPERLINK("https://ota.tournamentsoftware.com/player-profile/6BFBAA24-1779-441C-B7FC-7EF81219D270", "Link")</f>
        <v/>
      </c>
      <c r="E845" s="3" t="n">
        <v>6.48</v>
      </c>
      <c r="F845" s="4" t="n">
        <v>1</v>
      </c>
      <c r="G845" t="inlineStr">
        <is>
          <t>Ontario Tennis Association</t>
        </is>
      </c>
      <c r="H845" t="inlineStr">
        <is>
          <t>Royal City Tennis Club</t>
        </is>
      </c>
      <c r="I845" t="n">
        <v>36.4</v>
      </c>
      <c r="J845" s="4" t="n">
        <v>19</v>
      </c>
      <c r="K845" t="inlineStr">
        <is>
          <t>3 / 16</t>
        </is>
      </c>
      <c r="L845" t="inlineStr">
        <is>
          <t>1 / 1</t>
        </is>
      </c>
      <c r="M845" s="5" t="n">
        <v>0.16</v>
      </c>
      <c r="N845" s="5" t="n">
        <v>0.5</v>
      </c>
    </row>
    <row r="846">
      <c r="A846" t="n">
        <v>845</v>
      </c>
      <c r="B846" t="n">
        <v>2015</v>
      </c>
      <c r="C846" t="inlineStr">
        <is>
          <t>Rowan Ferris</t>
        </is>
      </c>
      <c r="D846">
        <f>HYPERLINK("https://ota.tournamentsoftware.com/player-profile/48292DD6-1A8C-41C7-997E-9A5C5BD68EFF", "Link")</f>
        <v/>
      </c>
      <c r="E846" s="3" t="n">
        <v>6.478</v>
      </c>
      <c r="F846" s="4" t="n">
        <v>2</v>
      </c>
      <c r="G846" t="inlineStr">
        <is>
          <t>Tennis Alberta</t>
        </is>
      </c>
      <c r="H846" t="inlineStr">
        <is>
          <t>Medicine Hat Tennis Club</t>
        </is>
      </c>
      <c r="I846" t="n">
        <v>39.3</v>
      </c>
      <c r="J846" s="4" t="n">
        <v>10</v>
      </c>
      <c r="K846" t="inlineStr">
        <is>
          <t>3 / 7</t>
        </is>
      </c>
      <c r="L846" t="inlineStr">
        <is>
          <t>1 / 3</t>
        </is>
      </c>
      <c r="M846" s="5" t="n">
        <v>0.3</v>
      </c>
      <c r="N846" s="5" t="n">
        <v>0.25</v>
      </c>
    </row>
    <row r="847">
      <c r="A847" t="n">
        <v>846</v>
      </c>
      <c r="B847" t="n">
        <v>2015</v>
      </c>
      <c r="C847" t="inlineStr">
        <is>
          <t>Niveah Watt-Shelton</t>
        </is>
      </c>
      <c r="D847">
        <f>HYPERLINK("https://ota.tournamentsoftware.com/player-profile/2142B288-43FF-46B4-8037-BD18E957E823", "Link")</f>
        <v/>
      </c>
      <c r="E847" s="3" t="n">
        <v>6.33</v>
      </c>
      <c r="F847" s="4" t="n">
        <v>2</v>
      </c>
      <c r="G847" t="inlineStr">
        <is>
          <t>British Columbia</t>
        </is>
      </c>
      <c r="H847" t="inlineStr">
        <is>
          <t>UBC Tennis Centre</t>
        </is>
      </c>
      <c r="I847" t="inlineStr">
        <is>
          <t>unavailable</t>
        </is>
      </c>
      <c r="J847" s="4" t="n">
        <v>58</v>
      </c>
      <c r="K847" t="inlineStr">
        <is>
          <t>28 / 30</t>
        </is>
      </c>
      <c r="L847" t="inlineStr">
        <is>
          <t>8 / 8</t>
        </is>
      </c>
      <c r="M847" s="5" t="n">
        <v>0.48</v>
      </c>
      <c r="N847" s="5" t="n">
        <v>0.5</v>
      </c>
    </row>
    <row r="848">
      <c r="A848" t="n">
        <v>847</v>
      </c>
      <c r="B848" t="n">
        <v>2016</v>
      </c>
      <c r="C848" t="inlineStr">
        <is>
          <t>Victoire Gayet</t>
        </is>
      </c>
      <c r="D848">
        <f>HYPERLINK("https://ota.tournamentsoftware.com/player-profile/DBBAA257-D054-46DF-AD87-43BF983BBD0C", "Link")</f>
        <v/>
      </c>
      <c r="E848" s="3" t="n">
        <v>6.264</v>
      </c>
      <c r="F848" s="4" t="n">
        <v>1</v>
      </c>
      <c r="G848" t="inlineStr">
        <is>
          <t>Tennis Québec</t>
        </is>
      </c>
      <c r="H848" t="inlineStr">
        <is>
          <t>Tennis Montréal Excellence</t>
        </is>
      </c>
      <c r="I848" t="n">
        <v>34.2</v>
      </c>
      <c r="J848" s="4" t="n">
        <v>47</v>
      </c>
      <c r="K848" t="inlineStr">
        <is>
          <t>27 / 20</t>
        </is>
      </c>
      <c r="L848" t="inlineStr">
        <is>
          <t>21 / 9</t>
        </is>
      </c>
      <c r="M848" s="5" t="n">
        <v>0.57</v>
      </c>
      <c r="N848" s="5" t="n">
        <v>0.7</v>
      </c>
    </row>
    <row r="849">
      <c r="A849" t="n">
        <v>848</v>
      </c>
      <c r="B849" t="n">
        <v>2012</v>
      </c>
      <c r="C849" t="inlineStr">
        <is>
          <t>Feiran Zhang</t>
        </is>
      </c>
      <c r="D849">
        <f>HYPERLINK("https://ota.tournamentsoftware.com/player-profile/8FFC114F-FEF3-40BF-AF97-E338D1EA4209", "Link")</f>
        <v/>
      </c>
      <c r="E849" s="3" t="n">
        <v>6.248</v>
      </c>
      <c r="F849" s="4" t="n">
        <v>1</v>
      </c>
      <c r="G849" t="inlineStr">
        <is>
          <t>British Columbia</t>
        </is>
      </c>
      <c r="H849" t="inlineStr">
        <is>
          <t>No Club</t>
        </is>
      </c>
      <c r="I849" t="n">
        <v>38.2</v>
      </c>
      <c r="J849" s="4" t="n">
        <v>14</v>
      </c>
      <c r="K849" t="inlineStr">
        <is>
          <t>5 / 9</t>
        </is>
      </c>
      <c r="L849" t="inlineStr">
        <is>
          <t>2 / 3</t>
        </is>
      </c>
      <c r="M849" s="5" t="n">
        <v>0.36</v>
      </c>
      <c r="N849" s="5" t="n">
        <v>0.4</v>
      </c>
    </row>
    <row r="850">
      <c r="A850" t="n">
        <v>848</v>
      </c>
      <c r="B850" t="n">
        <v>2012</v>
      </c>
      <c r="C850" t="inlineStr">
        <is>
          <t>Huiran Zhang</t>
        </is>
      </c>
      <c r="D850">
        <f>HYPERLINK("https://ota.tournamentsoftware.com/player-profile/1E917C5C-2B33-48E2-908B-A812DD532CD4", "Link")</f>
        <v/>
      </c>
      <c r="E850" s="3" t="n">
        <v>6.248</v>
      </c>
      <c r="F850" s="4" t="n">
        <v>1</v>
      </c>
      <c r="G850" t="inlineStr">
        <is>
          <t>British Columbia</t>
        </is>
      </c>
      <c r="H850" t="inlineStr">
        <is>
          <t>No Club</t>
        </is>
      </c>
      <c r="I850" t="n">
        <v>37.6</v>
      </c>
      <c r="J850" s="4" t="n">
        <v>13</v>
      </c>
      <c r="K850" t="inlineStr">
        <is>
          <t>2 / 11</t>
        </is>
      </c>
      <c r="L850" t="inlineStr">
        <is>
          <t>1 / 4</t>
        </is>
      </c>
      <c r="M850" s="5" t="n">
        <v>0.15</v>
      </c>
      <c r="N850" s="5" t="n">
        <v>0.2</v>
      </c>
    </row>
    <row r="851">
      <c r="A851" t="n">
        <v>850</v>
      </c>
      <c r="B851" t="n">
        <v>2016</v>
      </c>
      <c r="C851" t="inlineStr">
        <is>
          <t>Michelle Hiu Tung Law</t>
        </is>
      </c>
      <c r="D851">
        <f>HYPERLINK("https://ota.tournamentsoftware.com/player-profile/6B7246D7-C656-43B4-A93A-54E15E04D73D", "Link")</f>
        <v/>
      </c>
      <c r="E851" s="3" t="n">
        <v>6.048</v>
      </c>
      <c r="F851" s="4" t="n">
        <v>10</v>
      </c>
      <c r="G851" t="inlineStr">
        <is>
          <t>Tennis Alberta</t>
        </is>
      </c>
      <c r="H851" t="inlineStr">
        <is>
          <t>Saville Community Sports Centre</t>
        </is>
      </c>
      <c r="I851" t="n">
        <v>37.9</v>
      </c>
      <c r="J851" s="4" t="n">
        <v>79</v>
      </c>
      <c r="K851" t="inlineStr">
        <is>
          <t>32 / 47</t>
        </is>
      </c>
      <c r="L851" t="inlineStr">
        <is>
          <t>13 / 19</t>
        </is>
      </c>
      <c r="M851" s="5" t="n">
        <v>0.41</v>
      </c>
      <c r="N851" s="5" t="n">
        <v>0.41</v>
      </c>
    </row>
    <row r="852">
      <c r="A852" t="n">
        <v>851</v>
      </c>
      <c r="B852" t="n">
        <v>2015</v>
      </c>
      <c r="C852" t="inlineStr">
        <is>
          <t>Allison Zhang</t>
        </is>
      </c>
      <c r="D852">
        <f>HYPERLINK("https://ota.tournamentsoftware.com/player-profile/7EED065B-4139-4D18-B6C0-4800BB20D171", "Link")</f>
        <v/>
      </c>
      <c r="E852" s="3" t="n">
        <v>6</v>
      </c>
      <c r="F852" s="4" t="n">
        <v>1</v>
      </c>
      <c r="G852" t="inlineStr">
        <is>
          <t>Ontario Tennis Association</t>
        </is>
      </c>
      <c r="H852" t="inlineStr">
        <is>
          <t>No Club</t>
        </is>
      </c>
      <c r="I852" t="inlineStr">
        <is>
          <t>unavailable</t>
        </is>
      </c>
      <c r="J852" s="4" t="n">
        <v>23</v>
      </c>
      <c r="K852" t="inlineStr">
        <is>
          <t>4 / 19</t>
        </is>
      </c>
      <c r="L852" t="inlineStr">
        <is>
          <t>0 / 0</t>
        </is>
      </c>
      <c r="M852" s="5" t="n">
        <v>0.17</v>
      </c>
      <c r="N852" s="5" t="n">
        <v>0</v>
      </c>
    </row>
    <row r="853">
      <c r="A853" t="n">
        <v>851</v>
      </c>
      <c r="B853" t="n">
        <v>2014</v>
      </c>
      <c r="C853" t="inlineStr">
        <is>
          <t>Dina Karahotzitis</t>
        </is>
      </c>
      <c r="D853">
        <f>HYPERLINK("https://ota.tournamentsoftware.com/player-profile/741C9055-B842-4064-A339-E591B8FD72C4", "Link")</f>
        <v/>
      </c>
      <c r="E853" s="3" t="n">
        <v>6</v>
      </c>
      <c r="F853" s="4" t="n">
        <v>1</v>
      </c>
      <c r="G853" t="inlineStr">
        <is>
          <t>Ontario Tennis Association</t>
        </is>
      </c>
      <c r="H853" t="inlineStr">
        <is>
          <t>Mayfair West Fitness &amp; Racquet Club</t>
        </is>
      </c>
      <c r="I853" t="n">
        <v>34.9</v>
      </c>
      <c r="J853" s="4" t="n">
        <v>19</v>
      </c>
      <c r="K853" t="inlineStr">
        <is>
          <t>0 / 19</t>
        </is>
      </c>
      <c r="L853" t="inlineStr">
        <is>
          <t>0 / 0</t>
        </is>
      </c>
      <c r="M853" s="5" t="n">
        <v>0</v>
      </c>
      <c r="N853" s="5" t="n">
        <v>0</v>
      </c>
    </row>
    <row r="854">
      <c r="A854" t="n">
        <v>853</v>
      </c>
      <c r="B854" t="n">
        <v>2015</v>
      </c>
      <c r="C854" t="inlineStr">
        <is>
          <t>Vera Nino</t>
        </is>
      </c>
      <c r="D854">
        <f>HYPERLINK("https://ota.tournamentsoftware.com/player-profile/081EF9A9-B991-431D-B2FC-AC8426BD2711", "Link")</f>
        <v/>
      </c>
      <c r="E854" s="3" t="n">
        <v>5.803</v>
      </c>
      <c r="F854" s="4" t="n">
        <v>1</v>
      </c>
      <c r="G854" t="inlineStr">
        <is>
          <t>Ontario Tennis Association</t>
        </is>
      </c>
      <c r="H854" t="inlineStr">
        <is>
          <t>Zekelman Tennis Centre</t>
        </is>
      </c>
      <c r="I854" t="inlineStr">
        <is>
          <t>unavailable</t>
        </is>
      </c>
      <c r="J854" s="4" t="n">
        <v>8</v>
      </c>
      <c r="K854" t="inlineStr">
        <is>
          <t>1 / 7</t>
        </is>
      </c>
      <c r="L854" t="inlineStr">
        <is>
          <t>1 / 7</t>
        </is>
      </c>
      <c r="M854" s="5" t="n">
        <v>0.12</v>
      </c>
      <c r="N854" s="5" t="n">
        <v>0.12</v>
      </c>
    </row>
    <row r="855">
      <c r="A855" t="n">
        <v>854</v>
      </c>
      <c r="B855" t="n">
        <v>2015</v>
      </c>
      <c r="C855" t="inlineStr">
        <is>
          <t>Eleonore Dufour-McIver</t>
        </is>
      </c>
      <c r="D855">
        <f>HYPERLINK("https://ota.tournamentsoftware.com/player-profile/FF50EDFA-9603-4690-8980-1D1C475C4752", "Link")</f>
        <v/>
      </c>
      <c r="E855" s="3" t="n">
        <v>5.743</v>
      </c>
      <c r="F855" s="4" t="n">
        <v>1</v>
      </c>
      <c r="G855" t="inlineStr">
        <is>
          <t>Tennis Québec</t>
        </is>
      </c>
      <c r="H855" t="inlineStr">
        <is>
          <t>GRINDTENNIS</t>
        </is>
      </c>
      <c r="I855" t="n">
        <v>35.5</v>
      </c>
      <c r="J855" s="4" t="n">
        <v>11</v>
      </c>
      <c r="K855" t="inlineStr">
        <is>
          <t>9 / 2</t>
        </is>
      </c>
      <c r="L855" t="inlineStr">
        <is>
          <t>0 / 1</t>
        </is>
      </c>
      <c r="M855" s="5" t="n">
        <v>0.82</v>
      </c>
      <c r="N855" s="5" t="n">
        <v>0</v>
      </c>
    </row>
    <row r="856">
      <c r="A856" t="n">
        <v>855</v>
      </c>
      <c r="B856" t="n">
        <v>2016</v>
      </c>
      <c r="C856" t="inlineStr">
        <is>
          <t>Marusya Bakaeva</t>
        </is>
      </c>
      <c r="D856">
        <f>HYPERLINK("https://ota.tournamentsoftware.com/player-profile/B7C51186-F387-4E99-B849-E8275BB7C0E9", "Link")</f>
        <v/>
      </c>
      <c r="E856" s="3" t="n">
        <v>5.125</v>
      </c>
      <c r="F856" s="4" t="n">
        <v>2</v>
      </c>
      <c r="G856" t="inlineStr">
        <is>
          <t>Ontario Tennis Association</t>
        </is>
      </c>
      <c r="H856" t="inlineStr">
        <is>
          <t>Toronto Tennis City</t>
        </is>
      </c>
      <c r="I856" t="n">
        <v>37.2</v>
      </c>
      <c r="J856" s="4" t="n">
        <v>20</v>
      </c>
      <c r="K856" t="inlineStr">
        <is>
          <t>9 / 11</t>
        </is>
      </c>
      <c r="L856" t="inlineStr">
        <is>
          <t>6 / 7</t>
        </is>
      </c>
      <c r="M856" s="5" t="n">
        <v>0.45</v>
      </c>
      <c r="N856" s="5" t="n">
        <v>0.46</v>
      </c>
    </row>
    <row r="857">
      <c r="A857" t="n">
        <v>855</v>
      </c>
      <c r="B857" t="n">
        <v>2014</v>
      </c>
      <c r="C857" t="inlineStr">
        <is>
          <t>Alexandra Ciacoi-Pop</t>
        </is>
      </c>
      <c r="D857">
        <f>HYPERLINK("https://ota.tournamentsoftware.com/player-profile/4F87B1A1-F52A-4C8C-8C6B-776A59CC6D03", "Link")</f>
        <v/>
      </c>
      <c r="E857" s="3" t="n">
        <v>5.125</v>
      </c>
      <c r="F857" s="4" t="n">
        <v>1</v>
      </c>
      <c r="G857" t="inlineStr">
        <is>
          <t>Ontario Tennis Association</t>
        </is>
      </c>
      <c r="H857" t="inlineStr">
        <is>
          <t>Parkway Valley Tennis Club</t>
        </is>
      </c>
      <c r="I857" t="n">
        <v>38.8</v>
      </c>
      <c r="J857" s="4" t="n">
        <v>28</v>
      </c>
      <c r="K857" t="inlineStr">
        <is>
          <t>11 / 17</t>
        </is>
      </c>
      <c r="L857" t="inlineStr">
        <is>
          <t>7 / 12</t>
        </is>
      </c>
      <c r="M857" s="5" t="n">
        <v>0.39</v>
      </c>
      <c r="N857" s="5" t="n">
        <v>0.37</v>
      </c>
    </row>
    <row r="858">
      <c r="A858" t="n">
        <v>857</v>
      </c>
      <c r="B858" t="n">
        <v>2015</v>
      </c>
      <c r="C858" t="inlineStr">
        <is>
          <t>Ruhi Juneja</t>
        </is>
      </c>
      <c r="D858">
        <f>HYPERLINK("https://ota.tournamentsoftware.com/player-profile/E7A03006-4960-4A35-8B80-22CB122EB413", "Link")</f>
        <v/>
      </c>
      <c r="E858" s="3" t="n">
        <v>5.073</v>
      </c>
      <c r="F858" s="4" t="n">
        <v>6</v>
      </c>
      <c r="G858" t="inlineStr">
        <is>
          <t>Tennis Alberta</t>
        </is>
      </c>
      <c r="H858" t="inlineStr">
        <is>
          <t>IQ Tennis and Pickleball Centre</t>
        </is>
      </c>
      <c r="I858" t="n">
        <v>39.7</v>
      </c>
      <c r="J858" s="4" t="n">
        <v>10</v>
      </c>
      <c r="K858" t="inlineStr">
        <is>
          <t>1 / 9</t>
        </is>
      </c>
      <c r="L858" t="inlineStr">
        <is>
          <t>1 / 9</t>
        </is>
      </c>
      <c r="M858" s="5" t="n">
        <v>0.1</v>
      </c>
      <c r="N858" s="5" t="n">
        <v>0.1</v>
      </c>
    </row>
    <row r="859">
      <c r="A859" t="n">
        <v>858</v>
      </c>
      <c r="B859" t="n">
        <v>2012</v>
      </c>
      <c r="C859" t="inlineStr">
        <is>
          <t>Frankie Hunsberger</t>
        </is>
      </c>
      <c r="D859">
        <f>HYPERLINK("https://ota.tournamentsoftware.com/player-profile/288F03A3-20CB-46BE-B35D-7428B5B7FA35", "Link")</f>
        <v/>
      </c>
      <c r="E859" s="3" t="n">
        <v>5.054</v>
      </c>
      <c r="F859" s="4" t="n">
        <v>2</v>
      </c>
      <c r="G859" t="inlineStr">
        <is>
          <t>British Columbia</t>
        </is>
      </c>
      <c r="H859" t="inlineStr">
        <is>
          <t>North Shore Winter Club</t>
        </is>
      </c>
      <c r="I859" t="n">
        <v>38.6</v>
      </c>
      <c r="J859" s="4" t="n">
        <v>18</v>
      </c>
      <c r="K859" t="inlineStr">
        <is>
          <t>10 / 8</t>
        </is>
      </c>
      <c r="L859" t="inlineStr">
        <is>
          <t>3 / 2</t>
        </is>
      </c>
      <c r="M859" s="5" t="n">
        <v>0.5600000000000001</v>
      </c>
      <c r="N859" s="5" t="n">
        <v>0.6</v>
      </c>
    </row>
    <row r="860">
      <c r="A860" t="n">
        <v>859</v>
      </c>
      <c r="B860" t="n">
        <v>2014</v>
      </c>
      <c r="C860" t="inlineStr">
        <is>
          <t>Mackenzie Lee</t>
        </is>
      </c>
      <c r="D860">
        <f>HYPERLINK("https://ota.tournamentsoftware.com/player-profile/7734E749-B5B7-4067-9AE1-B5CB58EFDC1A", "Link")</f>
        <v/>
      </c>
      <c r="E860" s="3" t="n">
        <v>5</v>
      </c>
      <c r="F860" s="4" t="n">
        <v>1</v>
      </c>
      <c r="G860" t="inlineStr">
        <is>
          <t>Ontario Tennis Association</t>
        </is>
      </c>
      <c r="H860" t="inlineStr">
        <is>
          <t>Toronto Lawn Tennis Club</t>
        </is>
      </c>
      <c r="I860" t="inlineStr">
        <is>
          <t>unavailable</t>
        </is>
      </c>
      <c r="J860" s="4" t="n">
        <v>13</v>
      </c>
      <c r="K860" t="inlineStr">
        <is>
          <t>5 / 8</t>
        </is>
      </c>
      <c r="L860" t="inlineStr">
        <is>
          <t>4 / 3</t>
        </is>
      </c>
      <c r="M860" s="5" t="n">
        <v>0.38</v>
      </c>
      <c r="N860" s="5" t="n">
        <v>0.57</v>
      </c>
    </row>
    <row r="861">
      <c r="A861" t="n">
        <v>859</v>
      </c>
      <c r="B861" t="n">
        <v>2014</v>
      </c>
      <c r="C861" t="inlineStr">
        <is>
          <t>Freya Run Rutledge</t>
        </is>
      </c>
      <c r="D861">
        <f>HYPERLINK("https://ota.tournamentsoftware.com/player-profile/76B60137-7272-4F42-A455-109E20840062", "Link")</f>
        <v/>
      </c>
      <c r="E861" s="3" t="n">
        <v>5</v>
      </c>
      <c r="F861" s="4" t="n">
        <v>1</v>
      </c>
      <c r="G861" t="inlineStr">
        <is>
          <t>Ontario Tennis Association</t>
        </is>
      </c>
      <c r="H861" t="inlineStr">
        <is>
          <t>Boulevard Club</t>
        </is>
      </c>
      <c r="I861" t="n">
        <v>34.9</v>
      </c>
      <c r="J861" s="4" t="n">
        <v>14</v>
      </c>
      <c r="K861" t="inlineStr">
        <is>
          <t>0 / 14</t>
        </is>
      </c>
      <c r="L861" t="inlineStr">
        <is>
          <t>0 / 1</t>
        </is>
      </c>
      <c r="M861" s="5" t="n">
        <v>0</v>
      </c>
      <c r="N861" s="5" t="n">
        <v>0</v>
      </c>
    </row>
    <row r="862">
      <c r="A862" t="n">
        <v>859</v>
      </c>
      <c r="B862" t="n">
        <v>2015</v>
      </c>
      <c r="C862" t="inlineStr">
        <is>
          <t>Cynthia Wang</t>
        </is>
      </c>
      <c r="D862">
        <f>HYPERLINK("https://ota.tournamentsoftware.com/player-profile/C8736B80-1071-4F4F-86B0-CA7FB630F618", "Link")</f>
        <v/>
      </c>
      <c r="E862" s="3" t="n">
        <v>5</v>
      </c>
      <c r="F862" s="4" t="n">
        <v>1</v>
      </c>
      <c r="G862" t="inlineStr">
        <is>
          <t>Ontario Tennis Association</t>
        </is>
      </c>
      <c r="H862" t="inlineStr">
        <is>
          <t>SmartVMC Racquetsports by ACE</t>
        </is>
      </c>
      <c r="I862" t="inlineStr">
        <is>
          <t>unavailable</t>
        </is>
      </c>
      <c r="J862" s="4" t="inlineStr"/>
      <c r="K862" t="inlineStr">
        <is>
          <t>unavailable</t>
        </is>
      </c>
      <c r="L862" t="inlineStr">
        <is>
          <t>unavailable</t>
        </is>
      </c>
      <c r="M862" s="5" t="inlineStr"/>
      <c r="N862" s="5" t="inlineStr"/>
    </row>
    <row r="863">
      <c r="A863" t="n">
        <v>862</v>
      </c>
      <c r="B863" t="n">
        <v>2014</v>
      </c>
      <c r="C863" t="inlineStr">
        <is>
          <t>Alicia Januario</t>
        </is>
      </c>
      <c r="D863">
        <f>HYPERLINK("https://ota.tournamentsoftware.com/player-profile/C042725A-21A9-463F-848F-04CEA3B56FE5", "Link")</f>
        <v/>
      </c>
      <c r="E863" s="3" t="n">
        <v>4.927</v>
      </c>
      <c r="F863" s="4" t="n">
        <v>2</v>
      </c>
      <c r="G863" t="inlineStr">
        <is>
          <t>Tennis Québec</t>
        </is>
      </c>
      <c r="H863" t="inlineStr">
        <is>
          <t>No Club</t>
        </is>
      </c>
      <c r="I863" t="n">
        <v>37.7</v>
      </c>
      <c r="J863" s="4" t="n">
        <v>6</v>
      </c>
      <c r="K863" t="inlineStr">
        <is>
          <t>1 / 5</t>
        </is>
      </c>
      <c r="L863" t="inlineStr">
        <is>
          <t>1 / 5</t>
        </is>
      </c>
      <c r="M863" s="5" t="n">
        <v>0.17</v>
      </c>
      <c r="N863" s="5" t="n">
        <v>0.17</v>
      </c>
    </row>
    <row r="864">
      <c r="A864" t="n">
        <v>863</v>
      </c>
      <c r="B864" t="n">
        <v>2016</v>
      </c>
      <c r="C864" t="inlineStr">
        <is>
          <t>Ella Luo</t>
        </is>
      </c>
      <c r="D864">
        <f>HYPERLINK("https://ota.tournamentsoftware.com/player-profile/3031CAE1-D7FD-42C8-B04F-2247B30476FE", "Link")</f>
        <v/>
      </c>
      <c r="E864" s="3" t="n">
        <v>4.838</v>
      </c>
      <c r="F864" s="4" t="n">
        <v>4</v>
      </c>
      <c r="G864" t="inlineStr">
        <is>
          <t>Tennis Alberta</t>
        </is>
      </c>
      <c r="H864" t="inlineStr">
        <is>
          <t>Saville Community Sports Centre</t>
        </is>
      </c>
      <c r="I864" t="n">
        <v>37.9</v>
      </c>
      <c r="J864" s="4" t="n">
        <v>32</v>
      </c>
      <c r="K864" t="inlineStr">
        <is>
          <t>13 / 19</t>
        </is>
      </c>
      <c r="L864" t="inlineStr">
        <is>
          <t>13 / 15</t>
        </is>
      </c>
      <c r="M864" s="5" t="n">
        <v>0.41</v>
      </c>
      <c r="N864" s="5" t="n">
        <v>0.46</v>
      </c>
    </row>
    <row r="865">
      <c r="A865" t="n">
        <v>864</v>
      </c>
      <c r="B865" t="n">
        <v>2013</v>
      </c>
      <c r="C865" t="inlineStr">
        <is>
          <t>Grâce-David Adzo TRAORÉ</t>
        </is>
      </c>
      <c r="D865">
        <f>HYPERLINK("https://ota.tournamentsoftware.com/player-profile/2A96F5BB-709B-450E-A0CA-0442985A8D03", "Link")</f>
        <v/>
      </c>
      <c r="E865" s="3" t="n">
        <v>4.806</v>
      </c>
      <c r="F865" s="4" t="n">
        <v>1</v>
      </c>
      <c r="G865" t="inlineStr">
        <is>
          <t>Tennis Québec</t>
        </is>
      </c>
      <c r="H865" t="inlineStr">
        <is>
          <t>QC AutreClub</t>
        </is>
      </c>
      <c r="I865" t="inlineStr">
        <is>
          <t>unavailable</t>
        </is>
      </c>
      <c r="J865" s="4" t="n">
        <v>1</v>
      </c>
      <c r="K865" t="inlineStr">
        <is>
          <t>0 / 1</t>
        </is>
      </c>
      <c r="L865" t="inlineStr">
        <is>
          <t>0 / 0</t>
        </is>
      </c>
      <c r="M865" s="5" t="n">
        <v>0</v>
      </c>
      <c r="N865" s="5" t="n">
        <v>0</v>
      </c>
    </row>
    <row r="866">
      <c r="A866" t="n">
        <v>864</v>
      </c>
      <c r="B866" t="n">
        <v>2014</v>
      </c>
      <c r="C866" t="inlineStr">
        <is>
          <t>Iris Li</t>
        </is>
      </c>
      <c r="D866">
        <f>HYPERLINK("https://ota.tournamentsoftware.com/player-profile/CC36F5CC-203F-4A28-B27C-068A0E15610C", "Link")</f>
        <v/>
      </c>
      <c r="E866" s="3" t="n">
        <v>4.806</v>
      </c>
      <c r="F866" s="4" t="n">
        <v>2</v>
      </c>
      <c r="G866" t="inlineStr">
        <is>
          <t>British Columbia</t>
        </is>
      </c>
      <c r="H866" t="inlineStr">
        <is>
          <t>Tennis for Life</t>
        </is>
      </c>
      <c r="I866" t="n">
        <v>39.6</v>
      </c>
      <c r="J866" s="4" t="n">
        <v>43</v>
      </c>
      <c r="K866" t="inlineStr">
        <is>
          <t>17 / 26</t>
        </is>
      </c>
      <c r="L866" t="inlineStr">
        <is>
          <t>8 / 4</t>
        </is>
      </c>
      <c r="M866" s="5" t="n">
        <v>0.4</v>
      </c>
      <c r="N866" s="5" t="n">
        <v>0.67</v>
      </c>
    </row>
    <row r="867">
      <c r="A867" t="n">
        <v>864</v>
      </c>
      <c r="B867" t="n">
        <v>2014</v>
      </c>
      <c r="C867" t="inlineStr">
        <is>
          <t>Emma Sun</t>
        </is>
      </c>
      <c r="D867">
        <f>HYPERLINK("https://ota.tournamentsoftware.com/player-profile/872E410F-742F-4F80-9387-6C15C73FE92E", "Link")</f>
        <v/>
      </c>
      <c r="E867" s="3" t="n">
        <v>4.806</v>
      </c>
      <c r="F867" s="4" t="n">
        <v>1</v>
      </c>
      <c r="G867" t="inlineStr">
        <is>
          <t>Ontario Tennis Association</t>
        </is>
      </c>
      <c r="H867" t="inlineStr">
        <is>
          <t>Valan Tennis Academy</t>
        </is>
      </c>
      <c r="I867" t="n">
        <v>38.5</v>
      </c>
      <c r="J867" s="4" t="n">
        <v>18</v>
      </c>
      <c r="K867" t="inlineStr">
        <is>
          <t>10 / 8</t>
        </is>
      </c>
      <c r="L867" t="inlineStr">
        <is>
          <t>1 / 1</t>
        </is>
      </c>
      <c r="M867" s="5" t="n">
        <v>0.5600000000000001</v>
      </c>
      <c r="N867" s="5" t="n">
        <v>0.5</v>
      </c>
    </row>
    <row r="868">
      <c r="A868" t="n">
        <v>864</v>
      </c>
      <c r="B868" t="n">
        <v>2014</v>
      </c>
      <c r="C868" t="inlineStr">
        <is>
          <t>Hannah Kucherawy</t>
        </is>
      </c>
      <c r="D868">
        <f>HYPERLINK("https://ota.tournamentsoftware.com/player-profile/E2ACD595-E7E5-40E3-935D-57DCECB8E04C", "Link")</f>
        <v/>
      </c>
      <c r="E868" s="3" t="n">
        <v>4.806</v>
      </c>
      <c r="F868" s="4" t="n">
        <v>1</v>
      </c>
      <c r="G868" t="inlineStr">
        <is>
          <t>Ontario Tennis Association</t>
        </is>
      </c>
      <c r="H868" t="inlineStr">
        <is>
          <t>Simcoe Tennis</t>
        </is>
      </c>
      <c r="I868" t="n">
        <v>35.6</v>
      </c>
      <c r="J868" s="4" t="n">
        <v>23</v>
      </c>
      <c r="K868" t="inlineStr">
        <is>
          <t>3 / 20</t>
        </is>
      </c>
      <c r="L868" t="inlineStr">
        <is>
          <t>1 / 1</t>
        </is>
      </c>
      <c r="M868" s="5" t="n">
        <v>0.13</v>
      </c>
      <c r="N868" s="5" t="n">
        <v>0.5</v>
      </c>
    </row>
    <row r="869">
      <c r="A869" t="n">
        <v>868</v>
      </c>
      <c r="B869" t="n">
        <v>2014</v>
      </c>
      <c r="C869" t="inlineStr">
        <is>
          <t>Tillya Villeneuve</t>
        </is>
      </c>
      <c r="D869">
        <f>HYPERLINK("https://ota.tournamentsoftware.com/player-profile/B96926BC-0825-4914-B6C7-E7906E4AC960", "Link")</f>
        <v/>
      </c>
      <c r="E869" s="3" t="n">
        <v>4.752</v>
      </c>
      <c r="F869" s="4" t="n">
        <v>6</v>
      </c>
      <c r="G869" t="inlineStr">
        <is>
          <t>Tennis Alberta</t>
        </is>
      </c>
      <c r="H869" t="inlineStr">
        <is>
          <t>Aforza</t>
        </is>
      </c>
      <c r="I869" t="inlineStr">
        <is>
          <t>unavailable</t>
        </is>
      </c>
      <c r="J869" s="4" t="n">
        <v>13</v>
      </c>
      <c r="K869" t="inlineStr">
        <is>
          <t>5 / 8</t>
        </is>
      </c>
      <c r="L869" t="inlineStr">
        <is>
          <t>5 / 8</t>
        </is>
      </c>
      <c r="M869" s="5" t="n">
        <v>0.38</v>
      </c>
      <c r="N869" s="5" t="n">
        <v>0.38</v>
      </c>
    </row>
    <row r="870">
      <c r="A870" t="n">
        <v>869</v>
      </c>
      <c r="B870" t="n">
        <v>2013</v>
      </c>
      <c r="C870" t="inlineStr">
        <is>
          <t>rafaela pena</t>
        </is>
      </c>
      <c r="D870">
        <f>HYPERLINK("https://ota.tournamentsoftware.com/player-profile/A4EAF82E-5402-4B2B-B03B-0E790D9A9F99", "Link")</f>
        <v/>
      </c>
      <c r="E870" s="3" t="n">
        <v>4.29</v>
      </c>
      <c r="F870" s="4" t="n">
        <v>1</v>
      </c>
      <c r="G870" t="inlineStr">
        <is>
          <t>Tennis Québec</t>
        </is>
      </c>
      <c r="H870" t="inlineStr">
        <is>
          <t>Tennis Québec (région Montréal Ouest)</t>
        </is>
      </c>
      <c r="I870" t="inlineStr">
        <is>
          <t>unavailable</t>
        </is>
      </c>
      <c r="J870" s="4" t="inlineStr"/>
      <c r="K870" t="inlineStr">
        <is>
          <t>unavailable</t>
        </is>
      </c>
      <c r="L870" t="inlineStr">
        <is>
          <t>unavailable</t>
        </is>
      </c>
      <c r="M870" s="5" t="inlineStr"/>
      <c r="N870" s="5" t="inlineStr"/>
    </row>
    <row r="871">
      <c r="A871" t="n">
        <v>870</v>
      </c>
      <c r="B871" t="n">
        <v>2014</v>
      </c>
      <c r="C871" t="inlineStr">
        <is>
          <t>Leonor Carolina Villarroel</t>
        </is>
      </c>
      <c r="D871">
        <f>HYPERLINK("https://ota.tournamentsoftware.com/player-profile/EC7FA318-1E25-4F5B-B01E-8B6C88C02638", "Link")</f>
        <v/>
      </c>
      <c r="E871" s="3" t="n">
        <v>4.104</v>
      </c>
      <c r="F871" s="4" t="n">
        <v>1</v>
      </c>
      <c r="G871" t="inlineStr">
        <is>
          <t>Tennis Nova Scotia</t>
        </is>
      </c>
      <c r="H871" t="inlineStr">
        <is>
          <t>The Cougar Dome</t>
        </is>
      </c>
      <c r="I871" t="n">
        <v>37</v>
      </c>
      <c r="J871" s="4" t="n">
        <v>1</v>
      </c>
      <c r="K871" t="inlineStr">
        <is>
          <t>0 / 1</t>
        </is>
      </c>
      <c r="L871" t="inlineStr">
        <is>
          <t>0 / 1</t>
        </is>
      </c>
      <c r="M871" s="5" t="n">
        <v>0</v>
      </c>
      <c r="N871" s="5" t="n">
        <v>0</v>
      </c>
    </row>
    <row r="872">
      <c r="A872" t="n">
        <v>871</v>
      </c>
      <c r="B872" t="n">
        <v>2015</v>
      </c>
      <c r="C872" t="inlineStr">
        <is>
          <t>Emmy Judge</t>
        </is>
      </c>
      <c r="D872">
        <f>HYPERLINK("https://ota.tournamentsoftware.com/player-profile/553284DE-2D65-4837-B86A-2230DB300AC5", "Link")</f>
        <v/>
      </c>
      <c r="E872" s="3" t="n">
        <v>4.077</v>
      </c>
      <c r="F872" s="4" t="n">
        <v>1</v>
      </c>
      <c r="G872" t="inlineStr">
        <is>
          <t>Ontario Tennis Association</t>
        </is>
      </c>
      <c r="H872" t="inlineStr">
        <is>
          <t>No Club</t>
        </is>
      </c>
      <c r="I872" t="inlineStr">
        <is>
          <t>unavailable</t>
        </is>
      </c>
      <c r="J872" s="4" t="n">
        <v>4</v>
      </c>
      <c r="K872" t="inlineStr">
        <is>
          <t>0 / 4</t>
        </is>
      </c>
      <c r="L872" t="inlineStr">
        <is>
          <t>0 / 4</t>
        </is>
      </c>
      <c r="M872" s="5" t="n">
        <v>0</v>
      </c>
      <c r="N872" s="5" t="n">
        <v>0</v>
      </c>
    </row>
    <row r="873">
      <c r="A873" t="n">
        <v>872</v>
      </c>
      <c r="B873" t="n">
        <v>2013</v>
      </c>
      <c r="C873" t="inlineStr">
        <is>
          <t>Vittoria Veronica Noce</t>
        </is>
      </c>
      <c r="D873">
        <f>HYPERLINK("https://ota.tournamentsoftware.com/player-profile/00D388D4-0B24-4339-9B51-BDB96207A30D", "Link")</f>
        <v/>
      </c>
      <c r="E873" s="3" t="n">
        <v>3.889</v>
      </c>
      <c r="F873" s="4" t="n">
        <v>3</v>
      </c>
      <c r="G873" t="inlineStr">
        <is>
          <t>Tennis Alberta</t>
        </is>
      </c>
      <c r="H873" t="inlineStr">
        <is>
          <t>Saville Community Sports Centre</t>
        </is>
      </c>
      <c r="I873" t="n">
        <v>37.1</v>
      </c>
      <c r="J873" s="4" t="n">
        <v>51</v>
      </c>
      <c r="K873" t="inlineStr">
        <is>
          <t>13 / 38</t>
        </is>
      </c>
      <c r="L873" t="inlineStr">
        <is>
          <t>3 / 5</t>
        </is>
      </c>
      <c r="M873" s="5" t="n">
        <v>0.25</v>
      </c>
      <c r="N873" s="5" t="n">
        <v>0.38</v>
      </c>
    </row>
    <row r="874">
      <c r="A874" t="n">
        <v>873</v>
      </c>
      <c r="B874" t="n">
        <v>2014</v>
      </c>
      <c r="C874" t="inlineStr">
        <is>
          <t>Yanxi Chen</t>
        </is>
      </c>
      <c r="D874">
        <f>HYPERLINK("https://ota.tournamentsoftware.com/player-profile/E6571B14-6651-4CD3-A420-8263947DBA1E", "Link")</f>
        <v/>
      </c>
      <c r="E874" s="3" t="n">
        <v>3.888</v>
      </c>
      <c r="F874" s="4" t="n">
        <v>1</v>
      </c>
      <c r="G874" t="inlineStr">
        <is>
          <t>British Columbia</t>
        </is>
      </c>
      <c r="H874" t="inlineStr">
        <is>
          <t>West Vancouver Tennis Club</t>
        </is>
      </c>
      <c r="I874" t="n">
        <v>38.6</v>
      </c>
      <c r="J874" s="4" t="n">
        <v>10</v>
      </c>
      <c r="K874" t="inlineStr">
        <is>
          <t>5 / 5</t>
        </is>
      </c>
      <c r="L874" t="inlineStr">
        <is>
          <t>3 / 3</t>
        </is>
      </c>
      <c r="M874" s="5" t="n">
        <v>0.5</v>
      </c>
      <c r="N874" s="5" t="n">
        <v>0.5</v>
      </c>
    </row>
    <row r="875">
      <c r="A875" t="n">
        <v>873</v>
      </c>
      <c r="B875" t="n">
        <v>2015</v>
      </c>
      <c r="C875" t="inlineStr">
        <is>
          <t>Olivia Franchi</t>
        </is>
      </c>
      <c r="D875">
        <f>HYPERLINK("https://ota.tournamentsoftware.com/player-profile/71DEE53D-92D1-4C5D-A9AE-0F02860DD189", "Link")</f>
        <v/>
      </c>
      <c r="E875" s="3" t="n">
        <v>3.888</v>
      </c>
      <c r="F875" s="4" t="n">
        <v>1</v>
      </c>
      <c r="G875" t="inlineStr">
        <is>
          <t>Ontario Tennis Association</t>
        </is>
      </c>
      <c r="H875" t="inlineStr">
        <is>
          <t>Barrie North Winter Tennis</t>
        </is>
      </c>
      <c r="I875" t="n">
        <v>37.6</v>
      </c>
      <c r="J875" s="4" t="n">
        <v>14</v>
      </c>
      <c r="K875" t="inlineStr">
        <is>
          <t>0 / 14</t>
        </is>
      </c>
      <c r="L875" t="inlineStr">
        <is>
          <t>0 / 2</t>
        </is>
      </c>
      <c r="M875" s="5" t="n">
        <v>0</v>
      </c>
      <c r="N875" s="5" t="n">
        <v>0</v>
      </c>
    </row>
    <row r="876">
      <c r="A876" t="n">
        <v>873</v>
      </c>
      <c r="B876" t="n">
        <v>2017</v>
      </c>
      <c r="C876" t="inlineStr">
        <is>
          <t>Nysa Iyer</t>
        </is>
      </c>
      <c r="D876">
        <f>HYPERLINK("https://ota.tournamentsoftware.com/player-profile/7133F3A1-6724-4B35-BBF9-2DFB20E0D933", "Link")</f>
        <v/>
      </c>
      <c r="E876" s="3" t="n">
        <v>3.888</v>
      </c>
      <c r="F876" s="4" t="n">
        <v>3</v>
      </c>
      <c r="G876" t="inlineStr">
        <is>
          <t>Tennis Alberta</t>
        </is>
      </c>
      <c r="H876" t="inlineStr">
        <is>
          <t>No Club</t>
        </is>
      </c>
      <c r="I876" t="n">
        <v>38.1</v>
      </c>
      <c r="J876" s="4" t="n">
        <v>65</v>
      </c>
      <c r="K876" t="inlineStr">
        <is>
          <t>32 / 33</t>
        </is>
      </c>
      <c r="L876" t="inlineStr">
        <is>
          <t>15 / 12</t>
        </is>
      </c>
      <c r="M876" s="5" t="n">
        <v>0.49</v>
      </c>
      <c r="N876" s="5" t="n">
        <v>0.5600000000000001</v>
      </c>
    </row>
    <row r="877">
      <c r="A877" t="n">
        <v>873</v>
      </c>
      <c r="B877" t="n">
        <v>2015</v>
      </c>
      <c r="C877" t="inlineStr">
        <is>
          <t>Maya Clara Shakra</t>
        </is>
      </c>
      <c r="D877">
        <f>HYPERLINK("https://ota.tournamentsoftware.com/player-profile/50FA5A17-1808-42C0-B8C3-34766E9151A2", "Link")</f>
        <v/>
      </c>
      <c r="E877" s="3" t="n">
        <v>3.888</v>
      </c>
      <c r="F877" s="4" t="n">
        <v>1</v>
      </c>
      <c r="G877" t="inlineStr">
        <is>
          <t>Ontario Tennis Association</t>
        </is>
      </c>
      <c r="H877" t="inlineStr">
        <is>
          <t>Toronto Tennis Academy</t>
        </is>
      </c>
      <c r="I877" t="inlineStr">
        <is>
          <t>unavailable</t>
        </is>
      </c>
      <c r="J877" s="4" t="n">
        <v>44</v>
      </c>
      <c r="K877" t="inlineStr">
        <is>
          <t>14 / 30</t>
        </is>
      </c>
      <c r="L877" t="inlineStr">
        <is>
          <t>3 / 6</t>
        </is>
      </c>
      <c r="M877" s="5" t="n">
        <v>0.32</v>
      </c>
      <c r="N877" s="5" t="n">
        <v>0.33</v>
      </c>
    </row>
    <row r="878">
      <c r="A878" t="n">
        <v>873</v>
      </c>
      <c r="B878" t="n">
        <v>2015</v>
      </c>
      <c r="C878" t="inlineStr">
        <is>
          <t>JIAYI LIN</t>
        </is>
      </c>
      <c r="D878">
        <f>HYPERLINK("https://ota.tournamentsoftware.com/player-profile/9025A036-DFDA-4A69-B03F-EEE43D14A3C3", "Link")</f>
        <v/>
      </c>
      <c r="E878" s="3" t="n">
        <v>3.888</v>
      </c>
      <c r="F878" s="4" t="n">
        <v>1</v>
      </c>
      <c r="G878" t="inlineStr">
        <is>
          <t>Ontario Tennis Association</t>
        </is>
      </c>
      <c r="H878" t="inlineStr">
        <is>
          <t>Mayfair Parkway Racquet Club</t>
        </is>
      </c>
      <c r="I878" t="n">
        <v>38.6</v>
      </c>
      <c r="J878" s="4" t="n">
        <v>2</v>
      </c>
      <c r="K878" t="inlineStr">
        <is>
          <t>0 / 2</t>
        </is>
      </c>
      <c r="L878" t="inlineStr">
        <is>
          <t>0 / 2</t>
        </is>
      </c>
      <c r="M878" s="5" t="n">
        <v>0</v>
      </c>
      <c r="N878" s="5" t="n">
        <v>0</v>
      </c>
    </row>
    <row r="879">
      <c r="A879" t="n">
        <v>873</v>
      </c>
      <c r="B879" t="n">
        <v>2013</v>
      </c>
      <c r="C879" t="inlineStr">
        <is>
          <t>Brooklyn Desjardins</t>
        </is>
      </c>
      <c r="D879">
        <f>HYPERLINK("https://ota.tournamentsoftware.com/player-profile/EDCAF363-81B5-4378-83DC-E36CD3ACC539", "Link")</f>
        <v/>
      </c>
      <c r="E879" s="3" t="n">
        <v>3.888</v>
      </c>
      <c r="F879" s="4" t="n">
        <v>1</v>
      </c>
      <c r="G879" t="inlineStr">
        <is>
          <t>Tennis Québec</t>
        </is>
      </c>
      <c r="H879" t="inlineStr">
        <is>
          <t>Club Sportif Côte-de-Liesse</t>
        </is>
      </c>
      <c r="I879" t="n">
        <v>37.7</v>
      </c>
      <c r="J879" s="4" t="n">
        <v>49</v>
      </c>
      <c r="K879" t="inlineStr">
        <is>
          <t>19 / 30</t>
        </is>
      </c>
      <c r="L879" t="inlineStr">
        <is>
          <t>0 / 0</t>
        </is>
      </c>
      <c r="M879" s="5" t="n">
        <v>0.39</v>
      </c>
      <c r="N879" s="5" t="n">
        <v>0</v>
      </c>
    </row>
    <row r="880">
      <c r="A880" t="n">
        <v>873</v>
      </c>
      <c r="B880" t="n">
        <v>2016</v>
      </c>
      <c r="C880" t="inlineStr">
        <is>
          <t>Yuxuan Niu</t>
        </is>
      </c>
      <c r="D880">
        <f>HYPERLINK("https://ota.tournamentsoftware.com/player-profile/49C2723D-DBBA-48CA-B20D-69A550E45FB4", "Link")</f>
        <v/>
      </c>
      <c r="E880" s="3" t="n">
        <v>3.888</v>
      </c>
      <c r="F880" s="4" t="n">
        <v>2</v>
      </c>
      <c r="G880" t="inlineStr">
        <is>
          <t>Ontario Tennis Association</t>
        </is>
      </c>
      <c r="H880" t="inlineStr">
        <is>
          <t>Premier Racquet Clubs – Mississauga</t>
        </is>
      </c>
      <c r="I880" t="inlineStr">
        <is>
          <t>unavailable</t>
        </is>
      </c>
      <c r="J880" s="4" t="n">
        <v>19</v>
      </c>
      <c r="K880" t="inlineStr">
        <is>
          <t>13 / 6</t>
        </is>
      </c>
      <c r="L880" t="inlineStr">
        <is>
          <t>13 / 6</t>
        </is>
      </c>
      <c r="M880" s="5" t="n">
        <v>0.68</v>
      </c>
      <c r="N880" s="5" t="n">
        <v>0.68</v>
      </c>
    </row>
    <row r="881">
      <c r="A881" t="n">
        <v>880</v>
      </c>
      <c r="B881" t="n">
        <v>2014</v>
      </c>
      <c r="C881" t="inlineStr">
        <is>
          <t>Baani Kaur Saini</t>
        </is>
      </c>
      <c r="D881">
        <f>HYPERLINK("https://ota.tournamentsoftware.com/player-profile/F8A85050-87CB-4D78-BB4D-4D11F0D18229", "Link")</f>
        <v/>
      </c>
      <c r="E881" s="3" t="n">
        <v>3.806</v>
      </c>
      <c r="F881" s="4" t="n">
        <v>1</v>
      </c>
      <c r="G881" t="inlineStr">
        <is>
          <t>Ontario Tennis Association</t>
        </is>
      </c>
      <c r="H881" t="inlineStr">
        <is>
          <t>Bramalea Tennis Club</t>
        </is>
      </c>
      <c r="I881" t="n">
        <v>39.3</v>
      </c>
      <c r="J881" s="4" t="n">
        <v>5</v>
      </c>
      <c r="K881" t="inlineStr">
        <is>
          <t>0 / 5</t>
        </is>
      </c>
      <c r="L881" t="inlineStr">
        <is>
          <t>0 / 0</t>
        </is>
      </c>
      <c r="M881" s="5" t="n">
        <v>0</v>
      </c>
      <c r="N881" s="5" t="n">
        <v>0</v>
      </c>
    </row>
    <row r="882">
      <c r="A882" t="n">
        <v>881</v>
      </c>
      <c r="B882" t="n">
        <v>2014</v>
      </c>
      <c r="C882" t="inlineStr">
        <is>
          <t>Della Lynn Bulmer</t>
        </is>
      </c>
      <c r="D882">
        <f>HYPERLINK("https://ota.tournamentsoftware.com/player-profile/6487BDBD-D547-439D-A14A-BDB7B38FD35A", "Link")</f>
        <v/>
      </c>
      <c r="E882" s="3" t="n">
        <v>3.763</v>
      </c>
      <c r="F882" s="4" t="n">
        <v>1</v>
      </c>
      <c r="G882" t="inlineStr">
        <is>
          <t>British Columbia</t>
        </is>
      </c>
      <c r="H882" t="inlineStr">
        <is>
          <t>Nelson Tennis Club</t>
        </is>
      </c>
      <c r="I882" t="n">
        <v>39.5</v>
      </c>
      <c r="J882" s="4" t="n">
        <v>2</v>
      </c>
      <c r="K882" t="inlineStr">
        <is>
          <t>0 / 2</t>
        </is>
      </c>
      <c r="L882" t="inlineStr">
        <is>
          <t>0 / 2</t>
        </is>
      </c>
      <c r="M882" s="5" t="n">
        <v>0</v>
      </c>
      <c r="N882" s="5" t="n">
        <v>0</v>
      </c>
    </row>
    <row r="883">
      <c r="A883" t="n">
        <v>882</v>
      </c>
      <c r="B883" t="n">
        <v>2014</v>
      </c>
      <c r="C883" t="inlineStr">
        <is>
          <t>Charlotte Lanthier</t>
        </is>
      </c>
      <c r="D883">
        <f>HYPERLINK("https://ota.tournamentsoftware.com/player-profile/930A92EC-BBE2-40FD-8684-CB6F18EAD19A", "Link")</f>
        <v/>
      </c>
      <c r="E883" s="3" t="n">
        <v>3.758</v>
      </c>
      <c r="F883" s="4" t="n">
        <v>5</v>
      </c>
      <c r="G883" t="inlineStr">
        <is>
          <t>Tennis Québec</t>
        </is>
      </c>
      <c r="H883" t="inlineStr">
        <is>
          <t>EB Tennis inc.</t>
        </is>
      </c>
      <c r="I883" t="n">
        <v>39.6</v>
      </c>
      <c r="J883" s="4" t="n">
        <v>6</v>
      </c>
      <c r="K883" t="inlineStr">
        <is>
          <t>0 / 6</t>
        </is>
      </c>
      <c r="L883" t="inlineStr">
        <is>
          <t>0 / 4</t>
        </is>
      </c>
      <c r="M883" s="5" t="n">
        <v>0</v>
      </c>
      <c r="N883" s="5" t="n">
        <v>0</v>
      </c>
    </row>
    <row r="884">
      <c r="A884" t="n">
        <v>882</v>
      </c>
      <c r="B884" t="n">
        <v>2015</v>
      </c>
      <c r="C884" t="inlineStr">
        <is>
          <t>Tamara Skayem</t>
        </is>
      </c>
      <c r="D884">
        <f>HYPERLINK("https://ota.tournamentsoftware.com/player-profile/C90206C3-DC6E-4BE3-938F-C8608F20CDD6", "Link")</f>
        <v/>
      </c>
      <c r="E884" s="3" t="n">
        <v>3.758</v>
      </c>
      <c r="F884" s="4" t="n">
        <v>1</v>
      </c>
      <c r="G884" t="inlineStr">
        <is>
          <t>Tennis Québec</t>
        </is>
      </c>
      <c r="H884" t="inlineStr">
        <is>
          <t>Club Sportif Côte-de-Liesse</t>
        </is>
      </c>
      <c r="I884" t="inlineStr">
        <is>
          <t>unavailable</t>
        </is>
      </c>
      <c r="J884" s="4" t="n">
        <v>3</v>
      </c>
      <c r="K884" t="inlineStr">
        <is>
          <t>1 / 2</t>
        </is>
      </c>
      <c r="L884" t="inlineStr">
        <is>
          <t>1 / 2</t>
        </is>
      </c>
      <c r="M884" s="5" t="n">
        <v>0.33</v>
      </c>
      <c r="N884" s="5" t="n">
        <v>0.33</v>
      </c>
    </row>
    <row r="885">
      <c r="A885" t="n">
        <v>884</v>
      </c>
      <c r="B885" t="n">
        <v>2014</v>
      </c>
      <c r="C885" t="inlineStr">
        <is>
          <t>Kaira Ankit Arora</t>
        </is>
      </c>
      <c r="D885">
        <f>HYPERLINK("https://ota.tournamentsoftware.com/player-profile/48CDC473-6B50-4781-BB3F-2B72F12C6320", "Link")</f>
        <v/>
      </c>
      <c r="E885" s="3" t="n">
        <v>3.629</v>
      </c>
      <c r="F885" s="4" t="n">
        <v>1</v>
      </c>
      <c r="G885" t="inlineStr">
        <is>
          <t>Ontario Tennis Association</t>
        </is>
      </c>
      <c r="H885" t="inlineStr">
        <is>
          <t>Mohawk Tennis Club</t>
        </is>
      </c>
      <c r="I885" t="n">
        <v>39.1</v>
      </c>
      <c r="J885" s="4" t="n">
        <v>29</v>
      </c>
      <c r="K885" t="inlineStr">
        <is>
          <t>3 / 26</t>
        </is>
      </c>
      <c r="L885" t="inlineStr">
        <is>
          <t>1 / 5</t>
        </is>
      </c>
      <c r="M885" s="5" t="n">
        <v>0.1</v>
      </c>
      <c r="N885" s="5" t="n">
        <v>0.17</v>
      </c>
    </row>
    <row r="886">
      <c r="A886" t="n">
        <v>884</v>
      </c>
      <c r="B886" t="n">
        <v>2013</v>
      </c>
      <c r="C886" t="inlineStr">
        <is>
          <t>Apphia Anderson</t>
        </is>
      </c>
      <c r="D886">
        <f>HYPERLINK("https://ota.tournamentsoftware.com/player-profile/557E4D67-D9E9-47B3-800F-DB2194C8FCA3", "Link")</f>
        <v/>
      </c>
      <c r="E886" s="3" t="n">
        <v>3.629</v>
      </c>
      <c r="F886" s="4" t="n">
        <v>2</v>
      </c>
      <c r="G886" t="inlineStr">
        <is>
          <t>Tennis Alberta</t>
        </is>
      </c>
      <c r="H886" t="inlineStr">
        <is>
          <t>No Club</t>
        </is>
      </c>
      <c r="I886" t="inlineStr">
        <is>
          <t>unavailable</t>
        </is>
      </c>
      <c r="J886" s="4" t="n">
        <v>3</v>
      </c>
      <c r="K886" t="inlineStr">
        <is>
          <t>0 / 3</t>
        </is>
      </c>
      <c r="L886" t="inlineStr">
        <is>
          <t>0 / 3</t>
        </is>
      </c>
      <c r="M886" s="5" t="n">
        <v>0</v>
      </c>
      <c r="N886" s="5" t="n">
        <v>0</v>
      </c>
    </row>
    <row r="887">
      <c r="A887" t="n">
        <v>886</v>
      </c>
      <c r="B887" t="n">
        <v>2015</v>
      </c>
      <c r="C887" t="inlineStr">
        <is>
          <t>Lea Youssef</t>
        </is>
      </c>
      <c r="D887">
        <f>HYPERLINK("https://ota.tournamentsoftware.com/player-profile/DC3DBF03-8EF5-4959-B08E-EE226DB25DE6", "Link")</f>
        <v/>
      </c>
      <c r="E887" s="3" t="n">
        <v>3.471</v>
      </c>
      <c r="F887" s="4" t="n">
        <v>1</v>
      </c>
      <c r="G887" t="inlineStr">
        <is>
          <t>Tennis Québec</t>
        </is>
      </c>
      <c r="H887" t="inlineStr">
        <is>
          <t>Tennis 13</t>
        </is>
      </c>
      <c r="I887" t="inlineStr">
        <is>
          <t>unavailable</t>
        </is>
      </c>
      <c r="J887" s="4" t="n">
        <v>2</v>
      </c>
      <c r="K887" t="inlineStr">
        <is>
          <t>0 / 2</t>
        </is>
      </c>
      <c r="L887" t="inlineStr">
        <is>
          <t>0 / 2</t>
        </is>
      </c>
      <c r="M887" s="5" t="n">
        <v>0</v>
      </c>
      <c r="N887" s="5" t="n">
        <v>0</v>
      </c>
    </row>
    <row r="888">
      <c r="A888" t="n">
        <v>887</v>
      </c>
      <c r="B888" t="n">
        <v>2012</v>
      </c>
      <c r="C888" t="inlineStr">
        <is>
          <t>Emma Thomson</t>
        </is>
      </c>
      <c r="D888">
        <f>HYPERLINK("https://ota.tournamentsoftware.com/player-profile/EE28DE8E-EE8A-4FBB-885B-733BCB8A08C4", "Link")</f>
        <v/>
      </c>
      <c r="E888" s="3" t="n">
        <v>3.421</v>
      </c>
      <c r="F888" s="4" t="n">
        <v>2</v>
      </c>
      <c r="G888" t="inlineStr">
        <is>
          <t>Tennis Alberta</t>
        </is>
      </c>
      <c r="H888" t="inlineStr">
        <is>
          <t>Osten &amp; Victor Alberta Tennis Centre</t>
        </is>
      </c>
      <c r="I888" t="inlineStr">
        <is>
          <t>unavailable</t>
        </is>
      </c>
      <c r="J888" s="4" t="n">
        <v>6</v>
      </c>
      <c r="K888" t="inlineStr">
        <is>
          <t>1 / 5</t>
        </is>
      </c>
      <c r="L888" t="inlineStr">
        <is>
          <t>1 / 1</t>
        </is>
      </c>
      <c r="M888" s="5" t="n">
        <v>0.17</v>
      </c>
      <c r="N888" s="5" t="n">
        <v>0.5</v>
      </c>
    </row>
    <row r="889">
      <c r="A889" t="n">
        <v>887</v>
      </c>
      <c r="B889" t="n">
        <v>2012</v>
      </c>
      <c r="C889" t="inlineStr">
        <is>
          <t>Hannah Grace Burrows</t>
        </is>
      </c>
      <c r="D889">
        <f>HYPERLINK("https://ota.tournamentsoftware.com/player-profile/A4FFA0A4-EAE7-43E6-AF92-E22114BE5D8B", "Link")</f>
        <v/>
      </c>
      <c r="E889" s="3" t="n">
        <v>3.421</v>
      </c>
      <c r="F889" s="4" t="n">
        <v>2</v>
      </c>
      <c r="G889" t="inlineStr">
        <is>
          <t>Tennis Alberta</t>
        </is>
      </c>
      <c r="H889" t="inlineStr">
        <is>
          <t>The Glencoe Club</t>
        </is>
      </c>
      <c r="I889" t="n">
        <v>38.8</v>
      </c>
      <c r="J889" s="4" t="n">
        <v>28</v>
      </c>
      <c r="K889" t="inlineStr">
        <is>
          <t>6 / 22</t>
        </is>
      </c>
      <c r="L889" t="inlineStr">
        <is>
          <t>0 / 2</t>
        </is>
      </c>
      <c r="M889" s="5" t="n">
        <v>0.21</v>
      </c>
      <c r="N889" s="5" t="n">
        <v>0</v>
      </c>
    </row>
    <row r="890">
      <c r="A890" t="n">
        <v>889</v>
      </c>
      <c r="B890" t="n">
        <v>2016</v>
      </c>
      <c r="C890" t="inlineStr">
        <is>
          <t>Adele Birry</t>
        </is>
      </c>
      <c r="D890">
        <f>HYPERLINK("https://ota.tournamentsoftware.com/player-profile/0BCEA3D0-AE8B-4246-BED0-94C9920C9B7E", "Link")</f>
        <v/>
      </c>
      <c r="E890" s="3" t="n">
        <v>3.367</v>
      </c>
      <c r="F890" s="4" t="n">
        <v>1</v>
      </c>
      <c r="G890" t="inlineStr">
        <is>
          <t>Tennis Québec</t>
        </is>
      </c>
      <c r="H890" t="inlineStr">
        <is>
          <t>Club de tennis intérieur Saguenay</t>
        </is>
      </c>
      <c r="I890" t="inlineStr">
        <is>
          <t>unavailable</t>
        </is>
      </c>
      <c r="J890" s="4" t="n">
        <v>20</v>
      </c>
      <c r="K890" t="inlineStr">
        <is>
          <t>7 / 13</t>
        </is>
      </c>
      <c r="L890" t="inlineStr">
        <is>
          <t>5 / 12</t>
        </is>
      </c>
      <c r="M890" s="5" t="n">
        <v>0.35</v>
      </c>
      <c r="N890" s="5" t="n">
        <v>0.29</v>
      </c>
    </row>
    <row r="891">
      <c r="A891" t="n">
        <v>890</v>
      </c>
      <c r="B891" t="n">
        <v>2015</v>
      </c>
      <c r="C891" t="inlineStr">
        <is>
          <t>Jade Adepetu</t>
        </is>
      </c>
      <c r="D891">
        <f>HYPERLINK("https://ota.tournamentsoftware.com/player-profile/44B25337-8306-4D62-BB4F-8BAB0C726BA7", "Link")</f>
        <v/>
      </c>
      <c r="E891" s="3" t="n">
        <v>3.326</v>
      </c>
      <c r="F891" s="4" t="n">
        <v>3</v>
      </c>
      <c r="G891" t="inlineStr">
        <is>
          <t>Tennis Alberta</t>
        </is>
      </c>
      <c r="H891" t="inlineStr">
        <is>
          <t>Osten &amp; Victor Alberta Tennis Centre</t>
        </is>
      </c>
      <c r="I891" t="inlineStr">
        <is>
          <t>unavailable</t>
        </is>
      </c>
      <c r="J891" s="4" t="n">
        <v>25</v>
      </c>
      <c r="K891" t="inlineStr">
        <is>
          <t>6 / 19</t>
        </is>
      </c>
      <c r="L891" t="inlineStr">
        <is>
          <t>5 / 9</t>
        </is>
      </c>
      <c r="M891" s="5" t="n">
        <v>0.24</v>
      </c>
      <c r="N891" s="5" t="n">
        <v>0.36</v>
      </c>
    </row>
    <row r="892">
      <c r="A892" t="n">
        <v>891</v>
      </c>
      <c r="B892" t="n">
        <v>2016</v>
      </c>
      <c r="C892" t="inlineStr">
        <is>
          <t>Bella Huang</t>
        </is>
      </c>
      <c r="D892">
        <f>HYPERLINK("https://ota.tournamentsoftware.com/player-profile/468B6432-F842-48F8-9A02-3A80761D962B", "Link")</f>
        <v/>
      </c>
      <c r="E892" s="3" t="n">
        <v>3.24</v>
      </c>
      <c r="F892" s="4" t="n">
        <v>1</v>
      </c>
      <c r="G892" t="inlineStr">
        <is>
          <t>British Columbia</t>
        </is>
      </c>
      <c r="H892" t="inlineStr">
        <is>
          <t>Richmond Country Club</t>
        </is>
      </c>
      <c r="I892" t="n">
        <v>38.1</v>
      </c>
      <c r="J892" s="4" t="n">
        <v>33</v>
      </c>
      <c r="K892" t="inlineStr">
        <is>
          <t>10 / 23</t>
        </is>
      </c>
      <c r="L892" t="inlineStr">
        <is>
          <t>2 / 3</t>
        </is>
      </c>
      <c r="M892" s="5" t="n">
        <v>0.3</v>
      </c>
      <c r="N892" s="5" t="n">
        <v>0.4</v>
      </c>
    </row>
    <row r="893">
      <c r="A893" t="n">
        <v>891</v>
      </c>
      <c r="B893" t="n">
        <v>2014</v>
      </c>
      <c r="C893" t="inlineStr">
        <is>
          <t>Evelyn Foley</t>
        </is>
      </c>
      <c r="D893">
        <f>HYPERLINK("https://ota.tournamentsoftware.com/player-profile/1F8F4FE3-682A-4202-963D-8D61AA21A323", "Link")</f>
        <v/>
      </c>
      <c r="E893" s="3" t="n">
        <v>3.24</v>
      </c>
      <c r="F893" s="4" t="n">
        <v>1</v>
      </c>
      <c r="G893" t="inlineStr">
        <is>
          <t>British Columbia</t>
        </is>
      </c>
      <c r="H893" t="inlineStr">
        <is>
          <t>North Shore Winter Club</t>
        </is>
      </c>
      <c r="I893" t="n">
        <v>35.8</v>
      </c>
      <c r="J893" s="4" t="n">
        <v>3</v>
      </c>
      <c r="K893" t="inlineStr">
        <is>
          <t>2 / 1</t>
        </is>
      </c>
      <c r="L893" t="inlineStr">
        <is>
          <t>2 / 1</t>
        </is>
      </c>
      <c r="M893" s="5" t="n">
        <v>0.67</v>
      </c>
      <c r="N893" s="5" t="n">
        <v>0.67</v>
      </c>
    </row>
    <row r="894">
      <c r="A894" t="n">
        <v>891</v>
      </c>
      <c r="B894" t="n">
        <v>2015</v>
      </c>
      <c r="C894" t="inlineStr">
        <is>
          <t>Alison Kao</t>
        </is>
      </c>
      <c r="D894">
        <f>HYPERLINK("https://ota.tournamentsoftware.com/player-profile/BAEC89E7-F54C-49F7-AA56-227606797D02", "Link")</f>
        <v/>
      </c>
      <c r="E894" s="3" t="n">
        <v>3.24</v>
      </c>
      <c r="F894" s="4" t="n">
        <v>3</v>
      </c>
      <c r="G894" t="inlineStr">
        <is>
          <t>Tennis Alberta</t>
        </is>
      </c>
      <c r="H894" t="inlineStr">
        <is>
          <t>Osten &amp; Victor Alberta Tennis Centre</t>
        </is>
      </c>
      <c r="I894" t="n">
        <v>40</v>
      </c>
      <c r="J894" s="4" t="n">
        <v>40</v>
      </c>
      <c r="K894" t="inlineStr">
        <is>
          <t>18 / 22</t>
        </is>
      </c>
      <c r="L894" t="inlineStr">
        <is>
          <t>8 / 7</t>
        </is>
      </c>
      <c r="M894" s="5" t="n">
        <v>0.45</v>
      </c>
      <c r="N894" s="5" t="n">
        <v>0.53</v>
      </c>
    </row>
    <row r="895">
      <c r="A895" t="n">
        <v>894</v>
      </c>
      <c r="B895" t="n">
        <v>2016</v>
      </c>
      <c r="C895" t="inlineStr">
        <is>
          <t>Mila Shahrour</t>
        </is>
      </c>
      <c r="D895">
        <f>HYPERLINK("https://ota.tournamentsoftware.com/player-profile/B20AD597-78CD-4058-B58D-5EBFF3DEA7FF", "Link")</f>
        <v/>
      </c>
      <c r="E895" s="3" t="n">
        <v>3.115</v>
      </c>
      <c r="F895" s="4" t="n">
        <v>1</v>
      </c>
      <c r="G895" t="inlineStr">
        <is>
          <t>Tennis Québec</t>
        </is>
      </c>
      <c r="H895" t="inlineStr">
        <is>
          <t>Tennis 13 / Académie Ménard et associé</t>
        </is>
      </c>
      <c r="I895" t="n">
        <v>36</v>
      </c>
      <c r="J895" s="4" t="n">
        <v>43</v>
      </c>
      <c r="K895" t="inlineStr">
        <is>
          <t>20 / 23</t>
        </is>
      </c>
      <c r="L895" t="inlineStr">
        <is>
          <t>13 / 15</t>
        </is>
      </c>
      <c r="M895" s="5" t="n">
        <v>0.47</v>
      </c>
      <c r="N895" s="5" t="n">
        <v>0.46</v>
      </c>
    </row>
    <row r="896">
      <c r="A896" t="n">
        <v>895</v>
      </c>
      <c r="B896" t="n">
        <v>2014</v>
      </c>
      <c r="C896" t="inlineStr">
        <is>
          <t>Arya Thompson</t>
        </is>
      </c>
      <c r="D896">
        <f>HYPERLINK("https://ota.tournamentsoftware.com/player-profile/89293F3A-9DD8-44F1-B165-EB1978E7BEF9", "Link")</f>
        <v/>
      </c>
      <c r="E896" s="3" t="n">
        <v>3.098</v>
      </c>
      <c r="F896" s="4" t="n">
        <v>2</v>
      </c>
      <c r="G896" t="inlineStr">
        <is>
          <t>British Columbia</t>
        </is>
      </c>
      <c r="H896" t="inlineStr">
        <is>
          <t>UBC Tennis Centre</t>
        </is>
      </c>
      <c r="I896" t="n">
        <v>39.6</v>
      </c>
      <c r="J896" s="4" t="n">
        <v>10</v>
      </c>
      <c r="K896" t="inlineStr">
        <is>
          <t>1 / 9</t>
        </is>
      </c>
      <c r="L896" t="inlineStr">
        <is>
          <t>0 / 4</t>
        </is>
      </c>
      <c r="M896" s="5" t="n">
        <v>0.1</v>
      </c>
      <c r="N896" s="5" t="n">
        <v>0</v>
      </c>
    </row>
    <row r="897">
      <c r="A897" t="n">
        <v>895</v>
      </c>
      <c r="B897" t="n">
        <v>2014</v>
      </c>
      <c r="C897" t="inlineStr">
        <is>
          <t>Amaara Bhardwaj</t>
        </is>
      </c>
      <c r="D897">
        <f>HYPERLINK("https://ota.tournamentsoftware.com/player-profile/5E30A7A6-4E75-4094-9C50-E36BC2D57510", "Link")</f>
        <v/>
      </c>
      <c r="E897" s="3" t="n">
        <v>3.098</v>
      </c>
      <c r="F897" s="4" t="n">
        <v>1</v>
      </c>
      <c r="G897" t="inlineStr">
        <is>
          <t>British Columbia</t>
        </is>
      </c>
      <c r="H897" t="inlineStr">
        <is>
          <t>No Club</t>
        </is>
      </c>
      <c r="I897" t="n">
        <v>39.7</v>
      </c>
      <c r="J897" s="4" t="n">
        <v>15</v>
      </c>
      <c r="K897" t="inlineStr">
        <is>
          <t>7 / 8</t>
        </is>
      </c>
      <c r="L897" t="inlineStr">
        <is>
          <t>0 / 2</t>
        </is>
      </c>
      <c r="M897" s="5" t="n">
        <v>0.47</v>
      </c>
      <c r="N897" s="5" t="n">
        <v>0</v>
      </c>
    </row>
    <row r="898">
      <c r="A898" t="n">
        <v>897</v>
      </c>
      <c r="B898" t="n">
        <v>2014</v>
      </c>
      <c r="C898" t="inlineStr">
        <is>
          <t>Arianna Shiyong Zhang</t>
        </is>
      </c>
      <c r="D898">
        <f>HYPERLINK("https://ota.tournamentsoftware.com/player-profile/534D64C5-0604-4070-B56D-0E5A49B9F850", "Link")</f>
        <v/>
      </c>
      <c r="E898" s="3" t="n">
        <v>3.075</v>
      </c>
      <c r="F898" s="4" t="n">
        <v>1</v>
      </c>
      <c r="G898" t="inlineStr">
        <is>
          <t>British Columbia</t>
        </is>
      </c>
      <c r="H898" t="inlineStr">
        <is>
          <t>Hollyburn Country Club</t>
        </is>
      </c>
      <c r="I898" t="inlineStr">
        <is>
          <t>unavailable</t>
        </is>
      </c>
      <c r="J898" s="4" t="n">
        <v>34</v>
      </c>
      <c r="K898" t="inlineStr">
        <is>
          <t>13 / 21</t>
        </is>
      </c>
      <c r="L898" t="inlineStr">
        <is>
          <t>0 / 0</t>
        </is>
      </c>
      <c r="M898" s="5" t="n">
        <v>0.38</v>
      </c>
      <c r="N898" s="5" t="n">
        <v>0</v>
      </c>
    </row>
    <row r="899">
      <c r="A899" t="n">
        <v>897</v>
      </c>
      <c r="B899" t="n">
        <v>2013</v>
      </c>
      <c r="C899" t="inlineStr">
        <is>
          <t>Eve Bussière</t>
        </is>
      </c>
      <c r="D899">
        <f>HYPERLINK("https://ota.tournamentsoftware.com/player-profile/01D291A9-D1EC-4A34-907D-E221D9B25023", "Link")</f>
        <v/>
      </c>
      <c r="E899" s="3" t="n">
        <v>3.075</v>
      </c>
      <c r="F899" s="4" t="n">
        <v>1</v>
      </c>
      <c r="G899" t="inlineStr">
        <is>
          <t>Tennis Québec</t>
        </is>
      </c>
      <c r="H899" t="inlineStr">
        <is>
          <t>No Club</t>
        </is>
      </c>
      <c r="I899" t="inlineStr">
        <is>
          <t>unavailable</t>
        </is>
      </c>
      <c r="J899" s="4" t="n">
        <v>10</v>
      </c>
      <c r="K899" t="inlineStr">
        <is>
          <t>2 / 8</t>
        </is>
      </c>
      <c r="L899" t="inlineStr">
        <is>
          <t>0 / 0</t>
        </is>
      </c>
      <c r="M899" s="5" t="n">
        <v>0.2</v>
      </c>
      <c r="N899" s="5" t="n">
        <v>0</v>
      </c>
    </row>
    <row r="900">
      <c r="A900" t="n">
        <v>899</v>
      </c>
      <c r="B900" t="n">
        <v>2015</v>
      </c>
      <c r="C900" t="inlineStr">
        <is>
          <t>marguerite yuruk</t>
        </is>
      </c>
      <c r="D900">
        <f>HYPERLINK("https://ota.tournamentsoftware.com/player-profile/9999A3D6-24BE-4317-B958-895DE1DECB34", "Link")</f>
        <v/>
      </c>
      <c r="E900" s="3" t="n">
        <v>2.904</v>
      </c>
      <c r="F900" s="4" t="n">
        <v>1</v>
      </c>
      <c r="G900" t="inlineStr">
        <is>
          <t>Tennis Québec</t>
        </is>
      </c>
      <c r="H900" t="inlineStr">
        <is>
          <t>Tennis 13</t>
        </is>
      </c>
      <c r="I900" t="inlineStr">
        <is>
          <t>unavailable</t>
        </is>
      </c>
      <c r="J900" s="4" t="n">
        <v>3</v>
      </c>
      <c r="K900" t="inlineStr">
        <is>
          <t>1 / 2</t>
        </is>
      </c>
      <c r="L900" t="inlineStr">
        <is>
          <t>1 / 2</t>
        </is>
      </c>
      <c r="M900" s="5" t="n">
        <v>0.33</v>
      </c>
      <c r="N900" s="5" t="n">
        <v>0.33</v>
      </c>
    </row>
    <row r="901">
      <c r="A901" t="n">
        <v>900</v>
      </c>
      <c r="B901" t="n">
        <v>2014</v>
      </c>
      <c r="C901" t="inlineStr">
        <is>
          <t>Evelyn Jewell Rautenbach</t>
        </is>
      </c>
      <c r="D901">
        <f>HYPERLINK("https://ota.tournamentsoftware.com/player-profile/867F5D6A-BB9A-4FEB-A95E-565609563C13", "Link")</f>
        <v/>
      </c>
      <c r="E901" s="3" t="n">
        <v>2.618</v>
      </c>
      <c r="F901" s="4" t="n">
        <v>2</v>
      </c>
      <c r="G901" t="inlineStr">
        <is>
          <t>Tennis Alberta</t>
        </is>
      </c>
      <c r="H901" t="inlineStr">
        <is>
          <t>The Glencoe Club</t>
        </is>
      </c>
      <c r="I901" t="n">
        <v>36.6</v>
      </c>
      <c r="J901" s="4" t="n">
        <v>34</v>
      </c>
      <c r="K901" t="inlineStr">
        <is>
          <t>14 / 20</t>
        </is>
      </c>
      <c r="L901" t="inlineStr">
        <is>
          <t>1 / 1</t>
        </is>
      </c>
      <c r="M901" s="5" t="n">
        <v>0.41</v>
      </c>
      <c r="N901" s="5" t="n">
        <v>0.5</v>
      </c>
    </row>
  </sheetData>
  <autoFilter ref="A1:N9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3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19.8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12800</v>
      </c>
      <c r="F3" s="4" t="n">
        <v>22</v>
      </c>
      <c r="G3" t="inlineStr">
        <is>
          <t>Ontario Tennis Association</t>
        </is>
      </c>
      <c r="H3" t="inlineStr">
        <is>
          <t>Valan Tennis Academy</t>
        </is>
      </c>
      <c r="I3" t="n">
        <v>20.6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kendra zhang</t>
        </is>
      </c>
      <c r="D4">
        <f>HYPERLINK("https://ota.tournamentsoftware.com/player-profile/23508257-17E1-4A1F-A208-90A41A8C5BC8", "Link")</f>
        <v/>
      </c>
      <c r="E4" s="3" t="n">
        <v>12761.107</v>
      </c>
      <c r="F4" s="4" t="n">
        <v>18</v>
      </c>
      <c r="G4" t="inlineStr">
        <is>
          <t>Tennis Alberta</t>
        </is>
      </c>
      <c r="H4" t="inlineStr">
        <is>
          <t>Osten &amp; Victor Alberta Tennis Centre</t>
        </is>
      </c>
      <c r="I4" t="n">
        <v>18.6</v>
      </c>
      <c r="J4" s="4" t="n">
        <v>315</v>
      </c>
      <c r="K4" t="inlineStr">
        <is>
          <t>248 / 67</t>
        </is>
      </c>
      <c r="L4" t="inlineStr">
        <is>
          <t>39 / 5</t>
        </is>
      </c>
      <c r="M4" s="5" t="n">
        <v>0.79</v>
      </c>
      <c r="N4" s="5" t="n">
        <v>0.89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10198.4</v>
      </c>
      <c r="F5" s="4" t="n">
        <v>11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Emma Cuirassier</t>
        </is>
      </c>
      <c r="D6">
        <f>HYPERLINK("https://ota.tournamentsoftware.com/player-profile/88442A27-D4CA-4614-86BE-89F6BAFA4C36", "Link")</f>
        <v/>
      </c>
      <c r="E6" s="3" t="n">
        <v>9585.811</v>
      </c>
      <c r="F6" s="4" t="n">
        <v>10</v>
      </c>
      <c r="G6" t="inlineStr">
        <is>
          <t>Tennis Québec</t>
        </is>
      </c>
      <c r="H6" t="inlineStr">
        <is>
          <t>Tennis Montréal Excellence</t>
        </is>
      </c>
      <c r="I6" t="n">
        <v>19.1</v>
      </c>
      <c r="J6" s="4" t="n">
        <v>304</v>
      </c>
      <c r="K6" t="inlineStr">
        <is>
          <t>198 / 106</t>
        </is>
      </c>
      <c r="L6" t="inlineStr">
        <is>
          <t>10 / 4</t>
        </is>
      </c>
      <c r="M6" s="5" t="n">
        <v>0.65</v>
      </c>
      <c r="N6" s="5" t="n">
        <v>0.71</v>
      </c>
    </row>
    <row r="7">
      <c r="A7" t="n">
        <v>6</v>
      </c>
      <c r="B7" t="n">
        <v>2012</v>
      </c>
      <c r="C7" t="inlineStr">
        <is>
          <t>Zimo Xiang</t>
        </is>
      </c>
      <c r="D7">
        <f>HYPERLINK("https://ota.tournamentsoftware.com/player-profile/16758178-BB4B-49F9-847E-3024E74D5A86", "Link")</f>
        <v/>
      </c>
      <c r="E7" s="3" t="n">
        <v>9097.876</v>
      </c>
      <c r="F7" s="4" t="n">
        <v>21</v>
      </c>
      <c r="G7" t="inlineStr">
        <is>
          <t>Tennis Alberta</t>
        </is>
      </c>
      <c r="H7" t="inlineStr">
        <is>
          <t>Osten &amp; Victor Alberta Tennis Centre</t>
        </is>
      </c>
      <c r="I7" t="n">
        <v>17.8</v>
      </c>
      <c r="J7" s="4" t="n">
        <v>348</v>
      </c>
      <c r="K7" t="inlineStr">
        <is>
          <t>266 / 82</t>
        </is>
      </c>
      <c r="L7" t="inlineStr">
        <is>
          <t>52 / 9</t>
        </is>
      </c>
      <c r="M7" s="5" t="n">
        <v>0.76</v>
      </c>
      <c r="N7" s="5" t="n">
        <v>0.85</v>
      </c>
    </row>
    <row r="8">
      <c r="A8" t="n">
        <v>7</v>
      </c>
      <c r="B8" t="n">
        <v>2012</v>
      </c>
      <c r="C8" t="inlineStr">
        <is>
          <t>Emma Ciobanu</t>
        </is>
      </c>
      <c r="D8">
        <f>HYPERLINK("https://ota.tournamentsoftware.com/player-profile/3FF64A25-D930-4C5E-8E36-3F04D7602157", "Link")</f>
        <v/>
      </c>
      <c r="E8" s="3" t="n">
        <v>8554.24</v>
      </c>
      <c r="F8" s="4" t="n">
        <v>17</v>
      </c>
      <c r="G8" t="inlineStr">
        <is>
          <t>Tennis Québec</t>
        </is>
      </c>
      <c r="H8" t="inlineStr">
        <is>
          <t>No Club</t>
        </is>
      </c>
      <c r="I8" t="n">
        <v>21.5</v>
      </c>
      <c r="J8" s="4" t="n">
        <v>445</v>
      </c>
      <c r="K8" t="inlineStr">
        <is>
          <t>254 / 191</t>
        </is>
      </c>
      <c r="L8" t="inlineStr">
        <is>
          <t>12 / 9</t>
        </is>
      </c>
      <c r="M8" s="5" t="n">
        <v>0.57</v>
      </c>
      <c r="N8" s="5" t="n">
        <v>0.57</v>
      </c>
    </row>
    <row r="9">
      <c r="A9" t="n">
        <v>8</v>
      </c>
      <c r="B9" t="n">
        <v>2012</v>
      </c>
      <c r="C9" t="inlineStr">
        <is>
          <t>Victoria Koniouchine</t>
        </is>
      </c>
      <c r="D9">
        <f>HYPERLINK("https://ota.tournamentsoftware.com/player-profile/4F2575CB-84B4-4072-ABEF-7652A7E74DBA", "Link")</f>
        <v/>
      </c>
      <c r="E9" s="3" t="n">
        <v>8177</v>
      </c>
      <c r="F9" s="4" t="n">
        <v>13</v>
      </c>
      <c r="G9" t="inlineStr">
        <is>
          <t>Tennis Québec</t>
        </is>
      </c>
      <c r="H9" t="inlineStr">
        <is>
          <t>Tennis Montréal Excellence</t>
        </is>
      </c>
      <c r="I9" t="n">
        <v>20.7</v>
      </c>
      <c r="J9" s="4" t="n">
        <v>380</v>
      </c>
      <c r="K9" t="inlineStr">
        <is>
          <t>244 / 136</t>
        </is>
      </c>
      <c r="L9" t="inlineStr">
        <is>
          <t>22 / 6</t>
        </is>
      </c>
      <c r="M9" s="5" t="n">
        <v>0.64</v>
      </c>
      <c r="N9" s="5" t="n">
        <v>0.79</v>
      </c>
    </row>
    <row r="10">
      <c r="A10" t="n">
        <v>9</v>
      </c>
      <c r="B10" t="n">
        <v>2012</v>
      </c>
      <c r="C10" t="inlineStr">
        <is>
          <t>Ruijing Chen</t>
        </is>
      </c>
      <c r="D10">
        <f>HYPERLINK("https://ota.tournamentsoftware.com/player-profile/CF3F9020-5B8A-4448-8412-B206DFD70D34", "Link")</f>
        <v/>
      </c>
      <c r="E10" s="3" t="n">
        <v>8026.067</v>
      </c>
      <c r="F10" s="4" t="n">
        <v>20</v>
      </c>
      <c r="G10" t="inlineStr">
        <is>
          <t>British Columbia</t>
        </is>
      </c>
      <c r="H10" t="inlineStr">
        <is>
          <t>North Vancouver Tennis Centre</t>
        </is>
      </c>
      <c r="I10" t="n">
        <v>20.4</v>
      </c>
      <c r="J10" s="4" t="n">
        <v>272</v>
      </c>
      <c r="K10" t="inlineStr">
        <is>
          <t>158 / 114</t>
        </is>
      </c>
      <c r="L10" t="inlineStr">
        <is>
          <t>40 / 19</t>
        </is>
      </c>
      <c r="M10" s="5" t="n">
        <v>0.58</v>
      </c>
      <c r="N10" s="5" t="n">
        <v>0.68</v>
      </c>
    </row>
    <row r="11">
      <c r="A11" t="n">
        <v>10</v>
      </c>
      <c r="B11" t="n">
        <v>2012</v>
      </c>
      <c r="C11" t="inlineStr">
        <is>
          <t>Karina Swaminath</t>
        </is>
      </c>
      <c r="D11">
        <f>HYPERLINK("https://ota.tournamentsoftware.com/player-profile/4DB9D061-D74F-4482-87A3-9C7480D14EFD", "Link")</f>
        <v/>
      </c>
      <c r="E11" s="3" t="n">
        <v>7284.4</v>
      </c>
      <c r="F11" s="4" t="n">
        <v>19</v>
      </c>
      <c r="G11" t="inlineStr">
        <is>
          <t>Ontario Tennis Association</t>
        </is>
      </c>
      <c r="H11" t="inlineStr">
        <is>
          <t>Premier Racquet Clubs – Mississauga</t>
        </is>
      </c>
      <c r="I11" t="n">
        <v>20.6</v>
      </c>
      <c r="J11" s="4" t="n">
        <v>318</v>
      </c>
      <c r="K11" t="inlineStr">
        <is>
          <t>206 / 112</t>
        </is>
      </c>
      <c r="L11" t="inlineStr">
        <is>
          <t>43 / 19</t>
        </is>
      </c>
      <c r="M11" s="5" t="n">
        <v>0.65</v>
      </c>
      <c r="N11" s="5" t="n">
        <v>0.6899999999999999</v>
      </c>
    </row>
    <row r="12">
      <c r="A12" t="n">
        <v>11</v>
      </c>
      <c r="B12" t="n">
        <v>2013</v>
      </c>
      <c r="C12" t="inlineStr">
        <is>
          <t>Callie Raharinosy</t>
        </is>
      </c>
      <c r="D12">
        <f>HYPERLINK("https://ota.tournamentsoftware.com/player-profile/C3BB19C9-39F8-4DF4-A576-AAB3D92B85C3", "Link")</f>
        <v/>
      </c>
      <c r="E12" s="3" t="n">
        <v>7178.294</v>
      </c>
      <c r="F12" s="4" t="n">
        <v>14</v>
      </c>
      <c r="G12" t="inlineStr">
        <is>
          <t>Ontario Tennis Association</t>
        </is>
      </c>
      <c r="H12" t="inlineStr">
        <is>
          <t>Richmondhill Golf &amp; Country Club</t>
        </is>
      </c>
      <c r="I12" t="n">
        <v>20.6</v>
      </c>
      <c r="J12" s="4" t="n">
        <v>243</v>
      </c>
      <c r="K12" t="inlineStr">
        <is>
          <t>157 / 86</t>
        </is>
      </c>
      <c r="L12" t="inlineStr">
        <is>
          <t>26 / 11</t>
        </is>
      </c>
      <c r="M12" s="5" t="n">
        <v>0.65</v>
      </c>
      <c r="N12" s="5" t="n">
        <v>0.7</v>
      </c>
    </row>
    <row r="13">
      <c r="A13" t="n">
        <v>12</v>
      </c>
      <c r="B13" t="n">
        <v>2013</v>
      </c>
      <c r="C13" t="inlineStr">
        <is>
          <t>Olivia Ma</t>
        </is>
      </c>
      <c r="D13">
        <f>HYPERLINK("https://ota.tournamentsoftware.com/player-profile/8DB93BEF-9FF1-4A58-A4CC-C5E09482F693", "Link")</f>
        <v/>
      </c>
      <c r="E13" s="3" t="n">
        <v>6870.005</v>
      </c>
      <c r="F13" s="4" t="n">
        <v>23</v>
      </c>
      <c r="G13" t="inlineStr">
        <is>
          <t>British Columbia</t>
        </is>
      </c>
      <c r="H13" t="inlineStr">
        <is>
          <t>Kamloops Tennis Centre</t>
        </is>
      </c>
      <c r="I13" t="n">
        <v>20.4</v>
      </c>
      <c r="J13" s="4" t="n">
        <v>240</v>
      </c>
      <c r="K13" t="inlineStr">
        <is>
          <t>161 / 79</t>
        </is>
      </c>
      <c r="L13" t="inlineStr">
        <is>
          <t>40 / 17</t>
        </is>
      </c>
      <c r="M13" s="5" t="n">
        <v>0.67</v>
      </c>
      <c r="N13" s="5" t="n">
        <v>0.7</v>
      </c>
    </row>
    <row r="14">
      <c r="A14" t="n">
        <v>13</v>
      </c>
      <c r="B14" t="n">
        <v>2012</v>
      </c>
      <c r="C14" t="inlineStr">
        <is>
          <t>Elise Chen</t>
        </is>
      </c>
      <c r="D14">
        <f>HYPERLINK("https://ota.tournamentsoftware.com/player-profile/8E8A2CD5-37E0-4690-A780-846D1895BB0A", "Link")</f>
        <v/>
      </c>
      <c r="E14" s="3" t="n">
        <v>6210.149</v>
      </c>
      <c r="F14" s="4" t="n">
        <v>18</v>
      </c>
      <c r="G14" t="inlineStr">
        <is>
          <t>Tennis Québec</t>
        </is>
      </c>
      <c r="H14" t="inlineStr">
        <is>
          <t>AA Autre club</t>
        </is>
      </c>
      <c r="I14" t="n">
        <v>21.5</v>
      </c>
      <c r="J14" s="4" t="n">
        <v>345</v>
      </c>
      <c r="K14" t="inlineStr">
        <is>
          <t>227 / 118</t>
        </is>
      </c>
      <c r="L14" t="inlineStr">
        <is>
          <t>46 / 16</t>
        </is>
      </c>
      <c r="M14" s="5" t="n">
        <v>0.66</v>
      </c>
      <c r="N14" s="5" t="n">
        <v>0.74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14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20.2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5954.96</v>
      </c>
      <c r="F16" s="4" t="n">
        <v>16</v>
      </c>
      <c r="G16" t="inlineStr">
        <is>
          <t>Ontario Tennis Association</t>
        </is>
      </c>
      <c r="H16" t="inlineStr">
        <is>
          <t>Guildwood Tennis Club</t>
        </is>
      </c>
      <c r="I16" t="n">
        <v>19.2</v>
      </c>
      <c r="J16" s="4" t="n">
        <v>265</v>
      </c>
      <c r="K16" t="inlineStr">
        <is>
          <t>167 / 98</t>
        </is>
      </c>
      <c r="L16" t="inlineStr">
        <is>
          <t>39 / 16</t>
        </is>
      </c>
      <c r="M16" s="5" t="n">
        <v>0.63</v>
      </c>
      <c r="N16" s="5" t="n">
        <v>0.71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24</v>
      </c>
      <c r="G17" t="inlineStr">
        <is>
          <t>British Columbia</t>
        </is>
      </c>
      <c r="H17" t="inlineStr">
        <is>
          <t>North Vancouver Tennis Centre</t>
        </is>
      </c>
      <c r="I17" t="n">
        <v>20.8</v>
      </c>
      <c r="J17" s="4" t="n">
        <v>352</v>
      </c>
      <c r="K17" t="inlineStr">
        <is>
          <t>202 / 150</t>
        </is>
      </c>
      <c r="L17" t="inlineStr">
        <is>
          <t>45 / 23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22</v>
      </c>
      <c r="G18" t="inlineStr">
        <is>
          <t>Ontario Tennis Association</t>
        </is>
      </c>
      <c r="H18" t="inlineStr">
        <is>
          <t>North Toronto Tennis Club</t>
        </is>
      </c>
      <c r="I18" t="n">
        <v>20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23</v>
      </c>
      <c r="G19" t="inlineStr">
        <is>
          <t>Tennis Alberta</t>
        </is>
      </c>
      <c r="H19" t="inlineStr">
        <is>
          <t>No Club</t>
        </is>
      </c>
      <c r="I19" t="n">
        <v>23.3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18</v>
      </c>
      <c r="G20" t="inlineStr">
        <is>
          <t>Ontario Tennis Association</t>
        </is>
      </c>
      <c r="H20" t="inlineStr">
        <is>
          <t>10XTO</t>
        </is>
      </c>
      <c r="I20" t="n">
        <v>20.9</v>
      </c>
      <c r="J20" s="4" t="n">
        <v>343</v>
      </c>
      <c r="K20" t="inlineStr">
        <is>
          <t>237 / 106</t>
        </is>
      </c>
      <c r="L20" t="inlineStr">
        <is>
          <t>45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13</v>
      </c>
      <c r="G21" t="inlineStr">
        <is>
          <t>British Columbia</t>
        </is>
      </c>
      <c r="H21" t="inlineStr">
        <is>
          <t>Jericho Tennis Club</t>
        </is>
      </c>
      <c r="I21" t="n">
        <v>21.2</v>
      </c>
      <c r="J21" s="4" t="n">
        <v>402</v>
      </c>
      <c r="K21" t="inlineStr">
        <is>
          <t>248 / 154</t>
        </is>
      </c>
      <c r="L21" t="inlineStr">
        <is>
          <t>16 / 6</t>
        </is>
      </c>
      <c r="M21" s="5" t="n">
        <v>0.62</v>
      </c>
      <c r="N21" s="5" t="n">
        <v>0.73</v>
      </c>
    </row>
    <row r="22">
      <c r="A22" t="n">
        <v>21</v>
      </c>
      <c r="B22" t="n">
        <v>2013</v>
      </c>
      <c r="C22" t="inlineStr">
        <is>
          <t>Bishop Yonna Grossutti</t>
        </is>
      </c>
      <c r="D22">
        <f>HYPERLINK("https://ota.tournamentsoftware.com/player-profile/3FE8248C-2DBE-46EB-8C24-0AC82A0EC942", "Link")</f>
        <v/>
      </c>
      <c r="E22" s="3" t="n">
        <v>4342.587</v>
      </c>
      <c r="F22" s="4" t="n">
        <v>15</v>
      </c>
      <c r="G22" t="inlineStr">
        <is>
          <t>British Columbia</t>
        </is>
      </c>
      <c r="H22" t="inlineStr">
        <is>
          <t>No Club</t>
        </is>
      </c>
      <c r="I22" t="n">
        <v>21.8</v>
      </c>
      <c r="J22" s="4" t="n">
        <v>221</v>
      </c>
      <c r="K22" t="inlineStr">
        <is>
          <t>149 / 72</t>
        </is>
      </c>
      <c r="L22" t="inlineStr">
        <is>
          <t>39 / 14</t>
        </is>
      </c>
      <c r="M22" s="5" t="n">
        <v>0.67</v>
      </c>
      <c r="N22" s="5" t="n">
        <v>0.74</v>
      </c>
    </row>
    <row r="23">
      <c r="A23" t="n">
        <v>22</v>
      </c>
      <c r="B23" t="n">
        <v>2012</v>
      </c>
      <c r="C23" t="inlineStr">
        <is>
          <t>Olivia Laberge</t>
        </is>
      </c>
      <c r="D23">
        <f>HYPERLINK("https://ota.tournamentsoftware.com/player-profile/A7EF36D6-49FF-4272-A982-22FEC5F0ECCD", "Link")</f>
        <v/>
      </c>
      <c r="E23" s="3" t="n">
        <v>4104.731</v>
      </c>
      <c r="F23" s="4" t="n">
        <v>21</v>
      </c>
      <c r="G23" t="inlineStr">
        <is>
          <t>Tennis Québec</t>
        </is>
      </c>
      <c r="H23" t="inlineStr">
        <is>
          <t>Tennis 13</t>
        </is>
      </c>
      <c r="I23" t="n">
        <v>22.3</v>
      </c>
      <c r="J23" s="4" t="n">
        <v>312</v>
      </c>
      <c r="K23" t="inlineStr">
        <is>
          <t>196 / 116</t>
        </is>
      </c>
      <c r="L23" t="inlineStr">
        <is>
          <t>51 / 22</t>
        </is>
      </c>
      <c r="M23" s="5" t="n">
        <v>0.63</v>
      </c>
      <c r="N23" s="5" t="n">
        <v>0.7</v>
      </c>
    </row>
    <row r="24">
      <c r="A24" t="n">
        <v>23</v>
      </c>
      <c r="B24" t="n">
        <v>2012</v>
      </c>
      <c r="C24" t="inlineStr">
        <is>
          <t>Tabitha Olivia Morisette</t>
        </is>
      </c>
      <c r="D24">
        <f>HYPERLINK("https://ota.tournamentsoftware.com/player-profile/805BE387-8522-4C5E-A95F-857E21DC38E1", "Link")</f>
        <v/>
      </c>
      <c r="E24" s="3" t="n">
        <v>3960.808</v>
      </c>
      <c r="F24" s="4" t="n">
        <v>13</v>
      </c>
      <c r="G24" t="inlineStr">
        <is>
          <t>British Columbia</t>
        </is>
      </c>
      <c r="H24" t="inlineStr">
        <is>
          <t>Burnaby Tennis Club</t>
        </is>
      </c>
      <c r="I24" t="n">
        <v>22.2</v>
      </c>
      <c r="J24" s="4" t="n">
        <v>300</v>
      </c>
      <c r="K24" t="inlineStr">
        <is>
          <t>175 / 125</t>
        </is>
      </c>
      <c r="L24" t="inlineStr">
        <is>
          <t>17 / 11</t>
        </is>
      </c>
      <c r="M24" s="5" t="n">
        <v>0.58</v>
      </c>
      <c r="N24" s="5" t="n">
        <v>0.61</v>
      </c>
    </row>
    <row r="25">
      <c r="A25" t="n">
        <v>24</v>
      </c>
      <c r="B25" t="n">
        <v>2012</v>
      </c>
      <c r="C25" t="inlineStr">
        <is>
          <t>Victoria Cui</t>
        </is>
      </c>
      <c r="D25">
        <f>HYPERLINK("https://ota.tournamentsoftware.com/player-profile/0645977B-E01D-437B-A80F-04D3BC7B5871", "Link")</f>
        <v/>
      </c>
      <c r="E25" s="3" t="n">
        <v>3958</v>
      </c>
      <c r="F25" s="4" t="n">
        <v>22</v>
      </c>
      <c r="G25" t="inlineStr">
        <is>
          <t>Ontario Tennis Association</t>
        </is>
      </c>
      <c r="H25" t="inlineStr">
        <is>
          <t>Mayfair East Racquet Club</t>
        </is>
      </c>
      <c r="I25" t="n">
        <v>23.6</v>
      </c>
      <c r="J25" s="4" t="n">
        <v>259</v>
      </c>
      <c r="K25" t="inlineStr">
        <is>
          <t>167 / 92</t>
        </is>
      </c>
      <c r="L25" t="inlineStr">
        <is>
          <t>39 / 19</t>
        </is>
      </c>
      <c r="M25" s="5" t="n">
        <v>0.64</v>
      </c>
      <c r="N25" s="5" t="n">
        <v>0.67</v>
      </c>
    </row>
    <row r="26">
      <c r="A26" t="n">
        <v>25</v>
      </c>
      <c r="B26" t="n">
        <v>2012</v>
      </c>
      <c r="C26" t="inlineStr">
        <is>
          <t>mackenzie zeidel</t>
        </is>
      </c>
      <c r="D26">
        <f>HYPERLINK("https://ota.tournamentsoftware.com/player-profile/3BADD9C6-CD9A-4858-8E91-EA11AA267135", "Link")</f>
        <v/>
      </c>
      <c r="E26" s="3" t="n">
        <v>3810.447</v>
      </c>
      <c r="F26" s="4" t="n">
        <v>10</v>
      </c>
      <c r="G26" t="inlineStr">
        <is>
          <t>Ontario Tennis Association</t>
        </is>
      </c>
      <c r="H26" t="inlineStr">
        <is>
          <t>Toronto Cricket Skating &amp; Curling</t>
        </is>
      </c>
      <c r="I26" t="n">
        <v>21.2</v>
      </c>
      <c r="J26" s="4" t="n">
        <v>258</v>
      </c>
      <c r="K26" t="inlineStr">
        <is>
          <t>172 / 86</t>
        </is>
      </c>
      <c r="L26" t="inlineStr">
        <is>
          <t>25 / 13</t>
        </is>
      </c>
      <c r="M26" s="5" t="n">
        <v>0.67</v>
      </c>
      <c r="N26" s="5" t="n">
        <v>0.66</v>
      </c>
    </row>
    <row r="27">
      <c r="A27" t="n">
        <v>26</v>
      </c>
      <c r="B27" t="n">
        <v>2013</v>
      </c>
      <c r="C27" t="inlineStr">
        <is>
          <t>Nadine Belmabrouk</t>
        </is>
      </c>
      <c r="D27">
        <f>HYPERLINK("https://ota.tournamentsoftware.com/player-profile/D855A2D9-8E65-4961-858B-62D00F053DDA", "Link")</f>
        <v/>
      </c>
      <c r="E27" s="3" t="n">
        <v>3620.089</v>
      </c>
      <c r="F27" s="4" t="n">
        <v>15</v>
      </c>
      <c r="G27" t="inlineStr">
        <is>
          <t>Tennis Québec</t>
        </is>
      </c>
      <c r="H27" t="inlineStr">
        <is>
          <t>Tennis Ile- des- Soeurs</t>
        </is>
      </c>
      <c r="I27" t="n">
        <v>22.3</v>
      </c>
      <c r="J27" s="4" t="n">
        <v>273</v>
      </c>
      <c r="K27" t="inlineStr">
        <is>
          <t>186 / 87</t>
        </is>
      </c>
      <c r="L27" t="inlineStr">
        <is>
          <t>46 / 16</t>
        </is>
      </c>
      <c r="M27" s="5" t="n">
        <v>0.68</v>
      </c>
      <c r="N27" s="5" t="n">
        <v>0.74</v>
      </c>
    </row>
    <row r="28">
      <c r="A28" t="n">
        <v>27</v>
      </c>
      <c r="B28" t="n">
        <v>2014</v>
      </c>
      <c r="C28" t="inlineStr">
        <is>
          <t>Yoyo Siyi Li</t>
        </is>
      </c>
      <c r="D28">
        <f>HYPERLINK("https://ota.tournamentsoftware.com/player-profile/E0E18831-EA34-4F88-BD1F-E79079687846", "Link")</f>
        <v/>
      </c>
      <c r="E28" s="3" t="n">
        <v>3589.518</v>
      </c>
      <c r="F28" s="4" t="n">
        <v>12</v>
      </c>
      <c r="G28" t="inlineStr">
        <is>
          <t>Tennis Saskatchewan</t>
        </is>
      </c>
      <c r="H28" t="inlineStr">
        <is>
          <t>Lakeshore Tennis Club</t>
        </is>
      </c>
      <c r="I28" t="inlineStr">
        <is>
          <t>unavailable</t>
        </is>
      </c>
      <c r="J28" s="4" t="n">
        <v>250</v>
      </c>
      <c r="K28" t="inlineStr">
        <is>
          <t>175 / 75</t>
        </is>
      </c>
      <c r="L28" t="inlineStr">
        <is>
          <t>57 / 12</t>
        </is>
      </c>
      <c r="M28" s="5" t="n">
        <v>0.7</v>
      </c>
      <c r="N28" s="5" t="n">
        <v>0.83</v>
      </c>
    </row>
    <row r="29">
      <c r="A29" t="n">
        <v>28</v>
      </c>
      <c r="B29" t="n">
        <v>2012</v>
      </c>
      <c r="C29" t="inlineStr">
        <is>
          <t>Hailey MacDonald</t>
        </is>
      </c>
      <c r="D29">
        <f>HYPERLINK("https://ota.tournamentsoftware.com/player-profile/7B752A16-6837-4A5A-AFD8-83F950F37834", "Link")</f>
        <v/>
      </c>
      <c r="E29" s="3" t="n">
        <v>3466.484</v>
      </c>
      <c r="F29" s="4" t="n">
        <v>14</v>
      </c>
      <c r="G29" t="inlineStr">
        <is>
          <t>Ontario Tennis Association</t>
        </is>
      </c>
      <c r="H29" t="inlineStr">
        <is>
          <t>Advantage Tennis International at Veneto</t>
        </is>
      </c>
      <c r="I29" t="n">
        <v>23.8</v>
      </c>
      <c r="J29" s="4" t="n">
        <v>331</v>
      </c>
      <c r="K29" t="inlineStr">
        <is>
          <t>227 / 104</t>
        </is>
      </c>
      <c r="L29" t="inlineStr">
        <is>
          <t>23 / 9</t>
        </is>
      </c>
      <c r="M29" s="5" t="n">
        <v>0.6899999999999999</v>
      </c>
      <c r="N29" s="5" t="n">
        <v>0.72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22</v>
      </c>
      <c r="G30" t="inlineStr">
        <is>
          <t>Tennis Alberta</t>
        </is>
      </c>
      <c r="H30" t="inlineStr">
        <is>
          <t>Aforza</t>
        </is>
      </c>
      <c r="I30" t="n">
        <v>21.8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Ariel Desbiens</t>
        </is>
      </c>
      <c r="D31">
        <f>HYPERLINK("https://ota.tournamentsoftware.com/player-profile/7381CFF5-5BA3-457C-9F6C-499D0F36D2DD", "Link")</f>
        <v/>
      </c>
      <c r="E31" s="3" t="n">
        <v>3288</v>
      </c>
      <c r="F31" s="4" t="n">
        <v>28</v>
      </c>
      <c r="G31" t="inlineStr">
        <is>
          <t>Tennis Québec</t>
        </is>
      </c>
      <c r="H31" t="inlineStr">
        <is>
          <t>SANI Sport</t>
        </is>
      </c>
      <c r="I31" t="n">
        <v>24.4</v>
      </c>
      <c r="J31" s="4" t="n">
        <v>389</v>
      </c>
      <c r="K31" t="inlineStr">
        <is>
          <t>240 / 149</t>
        </is>
      </c>
      <c r="L31" t="inlineStr">
        <is>
          <t>49 / 30</t>
        </is>
      </c>
      <c r="M31" s="5" t="n">
        <v>0.62</v>
      </c>
      <c r="N31" s="5" t="n">
        <v>0.62</v>
      </c>
    </row>
    <row r="32">
      <c r="A32" t="n">
        <v>31</v>
      </c>
      <c r="B32" t="n">
        <v>2013</v>
      </c>
      <c r="C32" t="inlineStr">
        <is>
          <t>Valesca Calabrese</t>
        </is>
      </c>
      <c r="D32">
        <f>HYPERLINK("https://ota.tournamentsoftware.com/player-profile/B0833DD4-B006-4DA5-A204-F5A1B4F3FABB", "Link")</f>
        <v/>
      </c>
      <c r="E32" s="3" t="n">
        <v>3053.02</v>
      </c>
      <c r="F32" s="4" t="n">
        <v>22</v>
      </c>
      <c r="G32" t="inlineStr">
        <is>
          <t>Ontario Tennis Association</t>
        </is>
      </c>
      <c r="H32" t="inlineStr">
        <is>
          <t>Kingston Racquet Centre</t>
        </is>
      </c>
      <c r="I32" t="n">
        <v>24</v>
      </c>
      <c r="J32" s="4" t="n">
        <v>272</v>
      </c>
      <c r="K32" t="inlineStr">
        <is>
          <t>182 / 90</t>
        </is>
      </c>
      <c r="L32" t="inlineStr">
        <is>
          <t>33 / 14</t>
        </is>
      </c>
      <c r="M32" s="5" t="n">
        <v>0.67</v>
      </c>
      <c r="N32" s="5" t="n">
        <v>0.7</v>
      </c>
    </row>
    <row r="33">
      <c r="A33" t="n">
        <v>32</v>
      </c>
      <c r="B33" t="n">
        <v>2012</v>
      </c>
      <c r="C33" t="inlineStr">
        <is>
          <t>Joni Faye Colburne</t>
        </is>
      </c>
      <c r="D33">
        <f>HYPERLINK("https://ota.tournamentsoftware.com/player-profile/497EB335-7B19-4354-A8BD-7D257EE2CBEF", "Link")</f>
        <v/>
      </c>
      <c r="E33" s="3" t="n">
        <v>2889.702</v>
      </c>
      <c r="F33" s="4" t="n">
        <v>9</v>
      </c>
      <c r="G33" t="inlineStr">
        <is>
          <t>Tennis Québec</t>
        </is>
      </c>
      <c r="H33" t="inlineStr">
        <is>
          <t>Stade IGA</t>
        </is>
      </c>
      <c r="I33" t="n">
        <v>19.7</v>
      </c>
      <c r="J33" s="4" t="n">
        <v>320</v>
      </c>
      <c r="K33" t="inlineStr">
        <is>
          <t>198 / 122</t>
        </is>
      </c>
      <c r="L33" t="inlineStr">
        <is>
          <t>4 / 1</t>
        </is>
      </c>
      <c r="M33" s="5" t="n">
        <v>0.62</v>
      </c>
      <c r="N33" s="5" t="n">
        <v>0.8</v>
      </c>
    </row>
    <row r="34">
      <c r="A34" t="n">
        <v>33</v>
      </c>
      <c r="B34" t="n">
        <v>2012</v>
      </c>
      <c r="C34" t="inlineStr">
        <is>
          <t>Misaki Rukovanjski</t>
        </is>
      </c>
      <c r="D34">
        <f>HYPERLINK("https://ota.tournamentsoftware.com/player-profile/CECDBF80-C74F-40ED-B426-04CA75BF14C1", "Link")</f>
        <v/>
      </c>
      <c r="E34" s="3" t="n">
        <v>2886.118</v>
      </c>
      <c r="F34" s="4" t="n">
        <v>22</v>
      </c>
      <c r="G34" t="inlineStr">
        <is>
          <t>Ontario Tennis Association</t>
        </is>
      </c>
      <c r="H34" t="inlineStr">
        <is>
          <t>No Club</t>
        </is>
      </c>
      <c r="I34" t="n">
        <v>23.8</v>
      </c>
      <c r="J34" s="4" t="n">
        <v>281</v>
      </c>
      <c r="K34" t="inlineStr">
        <is>
          <t>179 / 102</t>
        </is>
      </c>
      <c r="L34" t="inlineStr">
        <is>
          <t>35 / 22</t>
        </is>
      </c>
      <c r="M34" s="5" t="n">
        <v>0.64</v>
      </c>
      <c r="N34" s="5" t="n">
        <v>0.61</v>
      </c>
    </row>
    <row r="35">
      <c r="A35" t="n">
        <v>34</v>
      </c>
      <c r="B35" t="n">
        <v>2012</v>
      </c>
      <c r="C35" t="inlineStr">
        <is>
          <t>Sophie Rachel Murray</t>
        </is>
      </c>
      <c r="D35">
        <f>HYPERLINK("https://ota.tournamentsoftware.com/player-profile/ADAA4094-7084-435C-80A6-9DA79EB19D3F", "Link")</f>
        <v/>
      </c>
      <c r="E35" s="3" t="n">
        <v>2878.56</v>
      </c>
      <c r="F35" s="4" t="n">
        <v>17</v>
      </c>
      <c r="G35" t="inlineStr">
        <is>
          <t>Tennis Alberta</t>
        </is>
      </c>
      <c r="H35" t="inlineStr">
        <is>
          <t>Osten &amp; Victor Alberta Tennis Centre</t>
        </is>
      </c>
      <c r="I35" t="n">
        <v>21</v>
      </c>
      <c r="J35" s="4" t="n">
        <v>322</v>
      </c>
      <c r="K35" t="inlineStr">
        <is>
          <t>194 / 128</t>
        </is>
      </c>
      <c r="L35" t="inlineStr">
        <is>
          <t>20 / 6</t>
        </is>
      </c>
      <c r="M35" s="5" t="n">
        <v>0.6</v>
      </c>
      <c r="N35" s="5" t="n">
        <v>0.77</v>
      </c>
    </row>
    <row r="36">
      <c r="A36" t="n">
        <v>35</v>
      </c>
      <c r="B36" t="n">
        <v>2013</v>
      </c>
      <c r="C36" t="inlineStr">
        <is>
          <t>Mia Zhou</t>
        </is>
      </c>
      <c r="D36">
        <f>HYPERLINK("https://ota.tournamentsoftware.com/player-profile/88191DA6-771E-497F-B932-CBADA674D329", "Link")</f>
        <v/>
      </c>
      <c r="E36" s="3" t="n">
        <v>2807.223</v>
      </c>
      <c r="F36" s="4" t="n">
        <v>24</v>
      </c>
      <c r="G36" t="inlineStr">
        <is>
          <t>Ontario Tennis Association</t>
        </is>
      </c>
      <c r="H36" t="inlineStr">
        <is>
          <t>Richmondhill Golf &amp; Country Club</t>
        </is>
      </c>
      <c r="I36" t="n">
        <v>23.5</v>
      </c>
      <c r="J36" s="4" t="n">
        <v>264</v>
      </c>
      <c r="K36" t="inlineStr">
        <is>
          <t>147 / 117</t>
        </is>
      </c>
      <c r="L36" t="inlineStr">
        <is>
          <t>46 / 29</t>
        </is>
      </c>
      <c r="M36" s="5" t="n">
        <v>0.5600000000000001</v>
      </c>
      <c r="N36" s="5" t="n">
        <v>0.61</v>
      </c>
    </row>
    <row r="37">
      <c r="A37" t="n">
        <v>36</v>
      </c>
      <c r="B37" t="n">
        <v>2012</v>
      </c>
      <c r="C37" t="inlineStr">
        <is>
          <t>Allyson Experience</t>
        </is>
      </c>
      <c r="D37">
        <f>HYPERLINK("https://ota.tournamentsoftware.com/player-profile/9A5D0B4A-A8C7-47DA-8CAD-CA25D28C69CE", "Link")</f>
        <v/>
      </c>
      <c r="E37" s="3" t="n">
        <v>2513.283</v>
      </c>
      <c r="F37" s="4" t="n">
        <v>23</v>
      </c>
      <c r="G37" t="inlineStr">
        <is>
          <t>Tennis Québec</t>
        </is>
      </c>
      <c r="H37" t="inlineStr">
        <is>
          <t>Tennis Montréal Excellence</t>
        </is>
      </c>
      <c r="I37" t="n">
        <v>24.2</v>
      </c>
      <c r="J37" s="4" t="n">
        <v>268</v>
      </c>
      <c r="K37" t="inlineStr">
        <is>
          <t>126 / 142</t>
        </is>
      </c>
      <c r="L37" t="inlineStr">
        <is>
          <t>25 / 23</t>
        </is>
      </c>
      <c r="M37" s="5" t="n">
        <v>0.47</v>
      </c>
      <c r="N37" s="5" t="n">
        <v>0.52</v>
      </c>
    </row>
    <row r="38">
      <c r="A38" t="n">
        <v>37</v>
      </c>
      <c r="B38" t="n">
        <v>2013</v>
      </c>
      <c r="C38" t="inlineStr">
        <is>
          <t>xiayue(Cecelia) Bi</t>
        </is>
      </c>
      <c r="D38">
        <f>HYPERLINK("https://ota.tournamentsoftware.com/player-profile/081CD41C-A9E4-4340-A239-2D92F6639919", "Link")</f>
        <v/>
      </c>
      <c r="E38" s="3" t="n">
        <v>2498.399</v>
      </c>
      <c r="F38" s="4" t="n">
        <v>14</v>
      </c>
      <c r="G38" t="inlineStr">
        <is>
          <t>British Columbia</t>
        </is>
      </c>
      <c r="H38" t="inlineStr">
        <is>
          <t>North Vancouver Tennis Centre</t>
        </is>
      </c>
      <c r="I38" t="n">
        <v>22.8</v>
      </c>
      <c r="J38" s="4" t="n">
        <v>248</v>
      </c>
      <c r="K38" t="inlineStr">
        <is>
          <t>158 / 90</t>
        </is>
      </c>
      <c r="L38" t="inlineStr">
        <is>
          <t>19 / 22</t>
        </is>
      </c>
      <c r="M38" s="5" t="n">
        <v>0.64</v>
      </c>
      <c r="N38" s="5" t="n">
        <v>0.46</v>
      </c>
    </row>
    <row r="39">
      <c r="A39" t="n">
        <v>38</v>
      </c>
      <c r="B39" t="n">
        <v>2012</v>
      </c>
      <c r="C39" t="inlineStr">
        <is>
          <t>Hannah Yiwei Wang</t>
        </is>
      </c>
      <c r="D39">
        <f>HYPERLINK("https://ota.tournamentsoftware.com/player-profile/CEB4A334-7BA1-4478-96B0-66580448520A", "Link")</f>
        <v/>
      </c>
      <c r="E39" s="3" t="n">
        <v>2456.863</v>
      </c>
      <c r="F39" s="4" t="n">
        <v>16</v>
      </c>
      <c r="G39" t="inlineStr">
        <is>
          <t>Ontario Tennis Association</t>
        </is>
      </c>
      <c r="H39" t="inlineStr">
        <is>
          <t>Richmondhill Golf &amp; Country Club</t>
        </is>
      </c>
      <c r="I39" t="n">
        <v>24.5</v>
      </c>
      <c r="J39" s="4" t="n">
        <v>181</v>
      </c>
      <c r="K39" t="inlineStr">
        <is>
          <t>96 / 85</t>
        </is>
      </c>
      <c r="L39" t="inlineStr">
        <is>
          <t>26 / 19</t>
        </is>
      </c>
      <c r="M39" s="5" t="n">
        <v>0.53</v>
      </c>
      <c r="N39" s="5" t="n">
        <v>0.58</v>
      </c>
    </row>
    <row r="40">
      <c r="A40" t="n">
        <v>39</v>
      </c>
      <c r="B40" t="n">
        <v>2013</v>
      </c>
      <c r="C40" t="inlineStr">
        <is>
          <t>Janelle Mao</t>
        </is>
      </c>
      <c r="D40">
        <f>HYPERLINK("https://ota.tournamentsoftware.com/player-profile/25605052-7047-4B82-9C15-5D4C8CE7946D", "Link")</f>
        <v/>
      </c>
      <c r="E40" s="3" t="n">
        <v>2442.361</v>
      </c>
      <c r="F40" s="4" t="n">
        <v>15</v>
      </c>
      <c r="G40" t="inlineStr">
        <is>
          <t>Ontario Tennis Association</t>
        </is>
      </c>
      <c r="H40" t="inlineStr">
        <is>
          <t>London Hunt &amp; Country Club</t>
        </is>
      </c>
      <c r="I40" t="n">
        <v>24.4</v>
      </c>
      <c r="J40" s="4" t="n">
        <v>213</v>
      </c>
      <c r="K40" t="inlineStr">
        <is>
          <t>125 / 88</t>
        </is>
      </c>
      <c r="L40" t="inlineStr">
        <is>
          <t>20 / 20</t>
        </is>
      </c>
      <c r="M40" s="5" t="n">
        <v>0.59</v>
      </c>
      <c r="N40" s="5" t="n">
        <v>0.5</v>
      </c>
    </row>
    <row r="41">
      <c r="A41" t="n">
        <v>40</v>
      </c>
      <c r="B41" t="n">
        <v>2012</v>
      </c>
      <c r="C41" t="inlineStr">
        <is>
          <t>Daisy Okechukwu</t>
        </is>
      </c>
      <c r="D41">
        <f>HYPERLINK("https://ota.tournamentsoftware.com/player-profile/9909D668-CC24-45D1-AD61-DE790BE62029", "Link")</f>
        <v/>
      </c>
      <c r="E41" s="3" t="n">
        <v>2400</v>
      </c>
      <c r="F41" s="4" t="n">
        <v>10</v>
      </c>
      <c r="G41" t="inlineStr">
        <is>
          <t>Ontario Tennis Association</t>
        </is>
      </c>
      <c r="H41" t="inlineStr">
        <is>
          <t>Carleton Tennis Centre</t>
        </is>
      </c>
      <c r="I41" t="n">
        <v>26.8</v>
      </c>
      <c r="J41" s="4" t="n">
        <v>129</v>
      </c>
      <c r="K41" t="inlineStr">
        <is>
          <t>36 / 93</t>
        </is>
      </c>
      <c r="L41" t="inlineStr">
        <is>
          <t>0 / 0</t>
        </is>
      </c>
      <c r="M41" s="5" t="n">
        <v>0.28</v>
      </c>
      <c r="N41" s="5" t="n">
        <v>0</v>
      </c>
    </row>
    <row r="42">
      <c r="A42" t="n">
        <v>41</v>
      </c>
      <c r="B42" t="n">
        <v>2012</v>
      </c>
      <c r="C42" t="inlineStr">
        <is>
          <t>scarlett Ai</t>
        </is>
      </c>
      <c r="D42">
        <f>HYPERLINK("https://ota.tournamentsoftware.com/player-profile/99B381B6-120A-4EAE-A001-756292C53927", "Link")</f>
        <v/>
      </c>
      <c r="E42" s="3" t="n">
        <v>2328.047</v>
      </c>
      <c r="F42" s="4" t="n">
        <v>15</v>
      </c>
      <c r="G42" t="inlineStr">
        <is>
          <t>Ontario Tennis Association</t>
        </is>
      </c>
      <c r="H42" t="inlineStr">
        <is>
          <t>Toronto Tennis Academy</t>
        </is>
      </c>
      <c r="I42" t="n">
        <v>25.1</v>
      </c>
      <c r="J42" s="4" t="n">
        <v>222</v>
      </c>
      <c r="K42" t="inlineStr">
        <is>
          <t>120 / 102</t>
        </is>
      </c>
      <c r="L42" t="inlineStr">
        <is>
          <t>23 / 17</t>
        </is>
      </c>
      <c r="M42" s="5" t="n">
        <v>0.54</v>
      </c>
      <c r="N42" s="5" t="n">
        <v>0.57</v>
      </c>
    </row>
    <row r="43">
      <c r="A43" t="n">
        <v>42</v>
      </c>
      <c r="B43" t="n">
        <v>2014</v>
      </c>
      <c r="C43" t="inlineStr">
        <is>
          <t>Wilma Wai Bo Yue</t>
        </is>
      </c>
      <c r="D43">
        <f>HYPERLINK("https://ota.tournamentsoftware.com/player-profile/6CAEB488-574A-45E0-B597-01F96FA5C987", "Link")</f>
        <v/>
      </c>
      <c r="E43" s="3" t="n">
        <v>2309.912</v>
      </c>
      <c r="F43" s="4" t="n">
        <v>13</v>
      </c>
      <c r="G43" t="inlineStr">
        <is>
          <t>Ontario Tennis Association</t>
        </is>
      </c>
      <c r="H43" t="inlineStr">
        <is>
          <t>No Club</t>
        </is>
      </c>
      <c r="I43" t="n">
        <v>24.8</v>
      </c>
      <c r="J43" s="4" t="n">
        <v>212</v>
      </c>
      <c r="K43" t="inlineStr">
        <is>
          <t>153 / 59</t>
        </is>
      </c>
      <c r="L43" t="inlineStr">
        <is>
          <t>38 / 13</t>
        </is>
      </c>
      <c r="M43" s="5" t="n">
        <v>0.72</v>
      </c>
      <c r="N43" s="5" t="n">
        <v>0.75</v>
      </c>
    </row>
    <row r="44">
      <c r="A44" t="n">
        <v>43</v>
      </c>
      <c r="B44" t="n">
        <v>2012</v>
      </c>
      <c r="C44" t="inlineStr">
        <is>
          <t>Xinyi Kwan</t>
        </is>
      </c>
      <c r="D44">
        <f>HYPERLINK("https://ota.tournamentsoftware.com/player-profile/5146AC8F-EF0E-4E7A-A6A0-D65D12E5BF6E", "Link")</f>
        <v/>
      </c>
      <c r="E44" s="3" t="n">
        <v>2308.904</v>
      </c>
      <c r="F44" s="4" t="n">
        <v>19</v>
      </c>
      <c r="G44" t="inlineStr">
        <is>
          <t>Ontario Tennis Association</t>
        </is>
      </c>
      <c r="H44" t="inlineStr">
        <is>
          <t>Burlington Hall Sporting Club</t>
        </is>
      </c>
      <c r="I44" t="n">
        <v>21.9</v>
      </c>
      <c r="J44" s="4" t="n">
        <v>214</v>
      </c>
      <c r="K44" t="inlineStr">
        <is>
          <t>105 / 109</t>
        </is>
      </c>
      <c r="L44" t="inlineStr">
        <is>
          <t>28 / 20</t>
        </is>
      </c>
      <c r="M44" s="5" t="n">
        <v>0.49</v>
      </c>
      <c r="N44" s="5" t="n">
        <v>0.58</v>
      </c>
    </row>
    <row r="45">
      <c r="A45" t="n">
        <v>44</v>
      </c>
      <c r="B45" t="n">
        <v>2013</v>
      </c>
      <c r="C45" t="inlineStr">
        <is>
          <t>YASMINE SOUISSI</t>
        </is>
      </c>
      <c r="D45">
        <f>HYPERLINK("https://ota.tournamentsoftware.com/player-profile/1B8E66F9-8E72-48A5-A280-1ADD14488B21", "Link")</f>
        <v/>
      </c>
      <c r="E45" s="3" t="n">
        <v>2224.521</v>
      </c>
      <c r="F45" s="4" t="n">
        <v>9</v>
      </c>
      <c r="G45" t="inlineStr">
        <is>
          <t>Tennis Québec</t>
        </is>
      </c>
      <c r="H45" t="inlineStr">
        <is>
          <t>Tennis 13</t>
        </is>
      </c>
      <c r="I45" t="n">
        <v>22.2</v>
      </c>
      <c r="J45" s="4" t="n">
        <v>248</v>
      </c>
      <c r="K45" t="inlineStr">
        <is>
          <t>167 / 81</t>
        </is>
      </c>
      <c r="L45" t="inlineStr">
        <is>
          <t>24 / 13</t>
        </is>
      </c>
      <c r="M45" s="5" t="n">
        <v>0.67</v>
      </c>
      <c r="N45" s="5" t="n">
        <v>0.65</v>
      </c>
    </row>
    <row r="46">
      <c r="A46" t="n">
        <v>45</v>
      </c>
      <c r="B46" t="n">
        <v>2014</v>
      </c>
      <c r="C46" t="inlineStr">
        <is>
          <t>Adelina Tanashikova</t>
        </is>
      </c>
      <c r="D46">
        <f>HYPERLINK("https://ota.tournamentsoftware.com/player-profile/AD7F41D2-B208-4518-963D-851BBA4276F4", "Link")</f>
        <v/>
      </c>
      <c r="E46" s="3" t="n">
        <v>2209.809</v>
      </c>
      <c r="F46" s="4" t="n">
        <v>14</v>
      </c>
      <c r="G46" t="inlineStr">
        <is>
          <t>Ontario Tennis Association</t>
        </is>
      </c>
      <c r="H46" t="inlineStr">
        <is>
          <t>No Club</t>
        </is>
      </c>
      <c r="I46" t="n">
        <v>23.9</v>
      </c>
      <c r="J46" s="4" t="n">
        <v>275</v>
      </c>
      <c r="K46" t="inlineStr">
        <is>
          <t>148 / 127</t>
        </is>
      </c>
      <c r="L46" t="inlineStr">
        <is>
          <t>31 / 10</t>
        </is>
      </c>
      <c r="M46" s="5" t="n">
        <v>0.54</v>
      </c>
      <c r="N46" s="5" t="n">
        <v>0.76</v>
      </c>
    </row>
    <row r="47">
      <c r="A47" t="n">
        <v>46</v>
      </c>
      <c r="B47" t="n">
        <v>2012</v>
      </c>
      <c r="C47" t="inlineStr">
        <is>
          <t>Marilyn deBruin-Sawutz</t>
        </is>
      </c>
      <c r="D47">
        <f>HYPERLINK("https://ota.tournamentsoftware.com/player-profile/3DC26724-8571-4345-A75C-D904297288CB", "Link")</f>
        <v/>
      </c>
      <c r="E47" s="3" t="n">
        <v>2134.817</v>
      </c>
      <c r="F47" s="4" t="n">
        <v>26</v>
      </c>
      <c r="G47" t="inlineStr">
        <is>
          <t>Ontario Tennis Association</t>
        </is>
      </c>
      <c r="H47" t="inlineStr">
        <is>
          <t>Advantage Tennis International at Veneto</t>
        </is>
      </c>
      <c r="I47" t="n">
        <v>23.5</v>
      </c>
      <c r="J47" s="4" t="n">
        <v>296</v>
      </c>
      <c r="K47" t="inlineStr">
        <is>
          <t>155 / 141</t>
        </is>
      </c>
      <c r="L47" t="inlineStr">
        <is>
          <t>34 / 22</t>
        </is>
      </c>
      <c r="M47" s="5" t="n">
        <v>0.52</v>
      </c>
      <c r="N47" s="5" t="n">
        <v>0.61</v>
      </c>
    </row>
    <row r="48">
      <c r="A48" t="n">
        <v>47</v>
      </c>
      <c r="B48" t="n">
        <v>2014</v>
      </c>
      <c r="C48" t="inlineStr">
        <is>
          <t>SOPHIA JIAJIA DENG</t>
        </is>
      </c>
      <c r="D48">
        <f>HYPERLINK("https://ota.tournamentsoftware.com/player-profile/FE6DD2AD-9E29-4128-BE09-D1E88B84D2C8", "Link")</f>
        <v/>
      </c>
      <c r="E48" s="3" t="n">
        <v>2125.702</v>
      </c>
      <c r="F48" s="4" t="n">
        <v>15</v>
      </c>
      <c r="G48" t="inlineStr">
        <is>
          <t>Ontario Tennis Association</t>
        </is>
      </c>
      <c r="H48" t="inlineStr">
        <is>
          <t>Peak Performance Tennis Academy</t>
        </is>
      </c>
      <c r="I48" t="n">
        <v>25.6</v>
      </c>
      <c r="J48" s="4" t="n">
        <v>186</v>
      </c>
      <c r="K48" t="inlineStr">
        <is>
          <t>137 / 49</t>
        </is>
      </c>
      <c r="L48" t="inlineStr">
        <is>
          <t>37 / 15</t>
        </is>
      </c>
      <c r="M48" s="5" t="n">
        <v>0.74</v>
      </c>
      <c r="N48" s="5" t="n">
        <v>0.71</v>
      </c>
    </row>
    <row r="49">
      <c r="A49" t="n">
        <v>48</v>
      </c>
      <c r="B49" t="n">
        <v>2014</v>
      </c>
      <c r="C49" t="inlineStr">
        <is>
          <t>Fiona Huang</t>
        </is>
      </c>
      <c r="D49">
        <f>HYPERLINK("https://ota.tournamentsoftware.com/player-profile/701ADA13-714A-48E5-B54F-4DB9E25DBDB3", "Link")</f>
        <v/>
      </c>
      <c r="E49" s="3" t="n">
        <v>2111.25</v>
      </c>
      <c r="F49" s="4" t="n">
        <v>14</v>
      </c>
      <c r="G49" t="inlineStr">
        <is>
          <t>British Columbia</t>
        </is>
      </c>
      <c r="H49" t="inlineStr">
        <is>
          <t>No Club</t>
        </is>
      </c>
      <c r="I49" t="n">
        <v>25.1</v>
      </c>
      <c r="J49" s="4" t="n">
        <v>223</v>
      </c>
      <c r="K49" t="inlineStr">
        <is>
          <t>142 / 81</t>
        </is>
      </c>
      <c r="L49" t="inlineStr">
        <is>
          <t>34 / 14</t>
        </is>
      </c>
      <c r="M49" s="5" t="n">
        <v>0.64</v>
      </c>
      <c r="N49" s="5" t="n">
        <v>0.71</v>
      </c>
    </row>
    <row r="50">
      <c r="A50" t="n">
        <v>49</v>
      </c>
      <c r="B50" t="n">
        <v>2014</v>
      </c>
      <c r="C50" t="inlineStr">
        <is>
          <t>Roseline Nana</t>
        </is>
      </c>
      <c r="D50">
        <f>HYPERLINK("https://ota.tournamentsoftware.com/player-profile/B0A425C4-2F23-4C29-8447-4FFBF9D90967", "Link")</f>
        <v/>
      </c>
      <c r="E50" s="3" t="n">
        <v>1993.2</v>
      </c>
      <c r="F50" s="4" t="n">
        <v>25</v>
      </c>
      <c r="G50" t="inlineStr">
        <is>
          <t>Tennis Québec</t>
        </is>
      </c>
      <c r="H50" t="inlineStr">
        <is>
          <t>Tennis Montréal Excellence</t>
        </is>
      </c>
      <c r="I50" t="n">
        <v>25</v>
      </c>
      <c r="J50" s="4" t="n">
        <v>193</v>
      </c>
      <c r="K50" t="inlineStr">
        <is>
          <t>137 / 56</t>
        </is>
      </c>
      <c r="L50" t="inlineStr">
        <is>
          <t>50 / 17</t>
        </is>
      </c>
      <c r="M50" s="5" t="n">
        <v>0.71</v>
      </c>
      <c r="N50" s="5" t="n">
        <v>0.75</v>
      </c>
    </row>
    <row r="51">
      <c r="A51" t="n">
        <v>50</v>
      </c>
      <c r="B51" t="n">
        <v>2012</v>
      </c>
      <c r="C51" t="inlineStr">
        <is>
          <t>Amaliia Bakumenko</t>
        </is>
      </c>
      <c r="D51">
        <f>HYPERLINK("https://ota.tournamentsoftware.com/player-profile/E789F167-880C-4307-840C-31D5E72C32F0", "Link")</f>
        <v/>
      </c>
      <c r="E51" s="3" t="n">
        <v>1923.936</v>
      </c>
      <c r="F51" s="4" t="n">
        <v>2</v>
      </c>
      <c r="G51" t="inlineStr">
        <is>
          <t>Tennis Québec</t>
        </is>
      </c>
      <c r="H51" t="inlineStr">
        <is>
          <t>Tennis 13 / Académie Ménard et associé</t>
        </is>
      </c>
      <c r="I51" t="n">
        <v>17.6</v>
      </c>
      <c r="J51" s="4" t="n">
        <v>81</v>
      </c>
      <c r="K51" t="inlineStr">
        <is>
          <t>60 / 21</t>
        </is>
      </c>
      <c r="L51" t="inlineStr">
        <is>
          <t>0 / 1</t>
        </is>
      </c>
      <c r="M51" s="5" t="n">
        <v>0.74</v>
      </c>
      <c r="N51" s="5" t="n">
        <v>0</v>
      </c>
    </row>
    <row r="52">
      <c r="A52" t="n">
        <v>51</v>
      </c>
      <c r="B52" t="n">
        <v>2013</v>
      </c>
      <c r="C52" t="inlineStr">
        <is>
          <t>Anvitha Mahadevaswamy</t>
        </is>
      </c>
      <c r="D52">
        <f>HYPERLINK("https://ota.tournamentsoftware.com/player-profile/09DB8B30-6DCB-4B0E-9241-CA7456F2AD6D", "Link")</f>
        <v/>
      </c>
      <c r="E52" s="3" t="n">
        <v>1922.906</v>
      </c>
      <c r="F52" s="4" t="n">
        <v>14</v>
      </c>
      <c r="G52" t="inlineStr">
        <is>
          <t>Tennis New Brunswick</t>
        </is>
      </c>
      <c r="H52" t="inlineStr">
        <is>
          <t>Abony Family Tennis Center</t>
        </is>
      </c>
      <c r="I52" t="n">
        <v>25.4</v>
      </c>
      <c r="J52" s="4" t="n">
        <v>240</v>
      </c>
      <c r="K52" t="inlineStr">
        <is>
          <t>140 / 100</t>
        </is>
      </c>
      <c r="L52" t="inlineStr">
        <is>
          <t>40 / 26</t>
        </is>
      </c>
      <c r="M52" s="5" t="n">
        <v>0.58</v>
      </c>
      <c r="N52" s="5" t="n">
        <v>0.61</v>
      </c>
    </row>
    <row r="53">
      <c r="A53" t="n">
        <v>52</v>
      </c>
      <c r="B53" t="n">
        <v>2013</v>
      </c>
      <c r="C53" t="inlineStr">
        <is>
          <t>Aida Idrissi Serghini</t>
        </is>
      </c>
      <c r="D53">
        <f>HYPERLINK("https://ota.tournamentsoftware.com/player-profile/F5E49767-E427-41A0-B6F2-79E8AC4CB7AE", "Link")</f>
        <v/>
      </c>
      <c r="E53" s="3" t="n">
        <v>1836.281</v>
      </c>
      <c r="F53" s="4" t="n">
        <v>16</v>
      </c>
      <c r="G53" t="inlineStr">
        <is>
          <t>Tennis Québec</t>
        </is>
      </c>
      <c r="H53" t="inlineStr">
        <is>
          <t>Centre récréatif de Repentigny / Académie Tennis Momentum</t>
        </is>
      </c>
      <c r="I53" t="n">
        <v>25.1</v>
      </c>
      <c r="J53" s="4" t="n">
        <v>228</v>
      </c>
      <c r="K53" t="inlineStr">
        <is>
          <t>157 / 71</t>
        </is>
      </c>
      <c r="L53" t="inlineStr">
        <is>
          <t>31 / 18</t>
        </is>
      </c>
      <c r="M53" s="5" t="n">
        <v>0.6899999999999999</v>
      </c>
      <c r="N53" s="5" t="n">
        <v>0.63</v>
      </c>
    </row>
    <row r="54">
      <c r="A54" t="n">
        <v>53</v>
      </c>
      <c r="B54" t="n">
        <v>2014</v>
      </c>
      <c r="C54" t="inlineStr">
        <is>
          <t>Aleksandra Alymov</t>
        </is>
      </c>
      <c r="D54">
        <f>HYPERLINK("https://ota.tournamentsoftware.com/player-profile/3ED01243-78C8-4179-A634-27E1B1E8443A", "Link")</f>
        <v/>
      </c>
      <c r="E54" s="3" t="n">
        <v>1804.283</v>
      </c>
      <c r="F54" s="4" t="n">
        <v>13</v>
      </c>
      <c r="G54" t="inlineStr">
        <is>
          <t>Ontario Tennis Association</t>
        </is>
      </c>
      <c r="H54" t="inlineStr">
        <is>
          <t>Rexall Centre</t>
        </is>
      </c>
      <c r="I54" t="n">
        <v>24.8</v>
      </c>
      <c r="J54" s="4" t="n">
        <v>222</v>
      </c>
      <c r="K54" t="inlineStr">
        <is>
          <t>138 / 84</t>
        </is>
      </c>
      <c r="L54" t="inlineStr">
        <is>
          <t>37 / 15</t>
        </is>
      </c>
      <c r="M54" s="5" t="n">
        <v>0.62</v>
      </c>
      <c r="N54" s="5" t="n">
        <v>0.71</v>
      </c>
    </row>
    <row r="55">
      <c r="A55" t="n">
        <v>54</v>
      </c>
      <c r="B55" t="n">
        <v>2013</v>
      </c>
      <c r="C55" t="inlineStr">
        <is>
          <t>Etooluwa Michelle Bammeke</t>
        </is>
      </c>
      <c r="D55">
        <f>HYPERLINK("https://ota.tournamentsoftware.com/player-profile/7C02D882-BDA0-4F5A-9586-AF17737417F7", "Link")</f>
        <v/>
      </c>
      <c r="E55" s="3" t="n">
        <v>1799.704</v>
      </c>
      <c r="F55" s="4" t="n">
        <v>26</v>
      </c>
      <c r="G55" t="inlineStr">
        <is>
          <t>Ontario Tennis Association</t>
        </is>
      </c>
      <c r="H55" t="inlineStr">
        <is>
          <t>Joshua Creek Golf &amp; Tennis</t>
        </is>
      </c>
      <c r="I55" t="n">
        <v>27.5</v>
      </c>
      <c r="J55" s="4" t="n">
        <v>277</v>
      </c>
      <c r="K55" t="inlineStr">
        <is>
          <t>170 / 107</t>
        </is>
      </c>
      <c r="L55" t="inlineStr">
        <is>
          <t>26 / 17</t>
        </is>
      </c>
      <c r="M55" s="5" t="n">
        <v>0.61</v>
      </c>
      <c r="N55" s="5" t="n">
        <v>0.6</v>
      </c>
    </row>
    <row r="56">
      <c r="A56" t="n">
        <v>55</v>
      </c>
      <c r="B56" t="n">
        <v>2012</v>
      </c>
      <c r="C56" t="inlineStr">
        <is>
          <t>Daria Glinna</t>
        </is>
      </c>
      <c r="D56">
        <f>HYPERLINK("https://ota.tournamentsoftware.com/player-profile/75F31A41-BD9F-46AC-A064-06ECE54741E7", "Link")</f>
        <v/>
      </c>
      <c r="E56" s="3" t="n">
        <v>1760.552</v>
      </c>
      <c r="F56" s="4" t="n">
        <v>12</v>
      </c>
      <c r="G56" t="inlineStr">
        <is>
          <t>Ontario Tennis Association</t>
        </is>
      </c>
      <c r="H56" t="inlineStr">
        <is>
          <t>Premier Racquet Clubs – Mississauga</t>
        </is>
      </c>
      <c r="I56" t="n">
        <v>28.1</v>
      </c>
      <c r="J56" s="4" t="n">
        <v>158</v>
      </c>
      <c r="K56" t="inlineStr">
        <is>
          <t>59 / 99</t>
        </is>
      </c>
      <c r="L56" t="inlineStr">
        <is>
          <t>4 / 8</t>
        </is>
      </c>
      <c r="M56" s="5" t="n">
        <v>0.37</v>
      </c>
      <c r="N56" s="5" t="n">
        <v>0.33</v>
      </c>
    </row>
    <row r="57">
      <c r="A57" t="n">
        <v>56</v>
      </c>
      <c r="B57" t="n">
        <v>2012</v>
      </c>
      <c r="C57" t="inlineStr">
        <is>
          <t>Kelly L Zhang</t>
        </is>
      </c>
      <c r="D57">
        <f>HYPERLINK("https://ota.tournamentsoftware.com/player-profile/2504E03B-B05C-4307-B90E-F3F72DD94827", "Link")</f>
        <v/>
      </c>
      <c r="E57" s="3" t="n">
        <v>1758.835</v>
      </c>
      <c r="F57" s="4" t="n">
        <v>22</v>
      </c>
      <c r="G57" t="inlineStr">
        <is>
          <t>Ontario Tennis Association</t>
        </is>
      </c>
      <c r="H57" t="inlineStr">
        <is>
          <t>NYTA Winter Tennis Club</t>
        </is>
      </c>
      <c r="I57" t="n">
        <v>27.5</v>
      </c>
      <c r="J57" s="4" t="n">
        <v>191</v>
      </c>
      <c r="K57" t="inlineStr">
        <is>
          <t>94 / 97</t>
        </is>
      </c>
      <c r="L57" t="inlineStr">
        <is>
          <t>27 / 19</t>
        </is>
      </c>
      <c r="M57" s="5" t="n">
        <v>0.49</v>
      </c>
      <c r="N57" s="5" t="n">
        <v>0.59</v>
      </c>
    </row>
    <row r="58">
      <c r="A58" t="n">
        <v>57</v>
      </c>
      <c r="B58" t="n">
        <v>2012</v>
      </c>
      <c r="C58" t="inlineStr">
        <is>
          <t>Katelyn Pasula</t>
        </is>
      </c>
      <c r="D58">
        <f>HYPERLINK("https://ota.tournamentsoftware.com/player-profile/2F075CB1-8090-4588-823C-59BF58DDDA64", "Link")</f>
        <v/>
      </c>
      <c r="E58" s="3" t="n">
        <v>1747.487</v>
      </c>
      <c r="F58" s="4" t="n">
        <v>7</v>
      </c>
      <c r="G58" t="inlineStr">
        <is>
          <t>British Columbia</t>
        </is>
      </c>
      <c r="H58" t="inlineStr">
        <is>
          <t>BC NI No Club</t>
        </is>
      </c>
      <c r="I58" t="inlineStr">
        <is>
          <t>unavailable</t>
        </is>
      </c>
      <c r="J58" s="4" t="n">
        <v>35</v>
      </c>
      <c r="K58" t="inlineStr">
        <is>
          <t>21 / 14</t>
        </is>
      </c>
      <c r="L58" t="inlineStr">
        <is>
          <t>8 / 5</t>
        </is>
      </c>
      <c r="M58" s="5" t="n">
        <v>0.6</v>
      </c>
      <c r="N58" s="5" t="n">
        <v>0.62</v>
      </c>
    </row>
    <row r="59">
      <c r="A59" t="n">
        <v>58</v>
      </c>
      <c r="B59" t="n">
        <v>2013</v>
      </c>
      <c r="C59" t="inlineStr">
        <is>
          <t>Haeun (Emily) Jo</t>
        </is>
      </c>
      <c r="D59">
        <f>HYPERLINK("https://ota.tournamentsoftware.com/player-profile/BBD49A71-6CAE-4AC7-908B-9DB5263DA715", "Link")</f>
        <v/>
      </c>
      <c r="E59" s="3" t="n">
        <v>1714.8</v>
      </c>
      <c r="F59" s="4" t="n">
        <v>13</v>
      </c>
      <c r="G59" t="inlineStr">
        <is>
          <t>Tennis Nova Scotia</t>
        </is>
      </c>
      <c r="H59" t="inlineStr">
        <is>
          <t>Atlantic Tennis Centre</t>
        </is>
      </c>
      <c r="I59" t="n">
        <v>25.4</v>
      </c>
      <c r="J59" s="4" t="n">
        <v>288</v>
      </c>
      <c r="K59" t="inlineStr">
        <is>
          <t>192 / 96</t>
        </is>
      </c>
      <c r="L59" t="inlineStr">
        <is>
          <t>43 / 17</t>
        </is>
      </c>
      <c r="M59" s="5" t="n">
        <v>0.67</v>
      </c>
      <c r="N59" s="5" t="n">
        <v>0.72</v>
      </c>
    </row>
    <row r="60">
      <c r="A60" t="n">
        <v>59</v>
      </c>
      <c r="B60" t="n">
        <v>2014</v>
      </c>
      <c r="C60" t="inlineStr">
        <is>
          <t>Naomi Danyod</t>
        </is>
      </c>
      <c r="D60">
        <f>HYPERLINK("https://ota.tournamentsoftware.com/player-profile/2037E4D8-F8CE-4A2B-858E-7FBBA84F2BC7", "Link")</f>
        <v/>
      </c>
      <c r="E60" s="3" t="n">
        <v>1697.744</v>
      </c>
      <c r="F60" s="4" t="n">
        <v>18</v>
      </c>
      <c r="G60" t="inlineStr">
        <is>
          <t>Tennis Québec</t>
        </is>
      </c>
      <c r="H60" t="inlineStr">
        <is>
          <t>Rouge et Or - Université Laval</t>
        </is>
      </c>
      <c r="I60" t="n">
        <v>25.1</v>
      </c>
      <c r="J60" s="4" t="n">
        <v>168</v>
      </c>
      <c r="K60" t="inlineStr">
        <is>
          <t>108 / 60</t>
        </is>
      </c>
      <c r="L60" t="inlineStr">
        <is>
          <t>38 / 21</t>
        </is>
      </c>
      <c r="M60" s="5" t="n">
        <v>0.64</v>
      </c>
      <c r="N60" s="5" t="n">
        <v>0.64</v>
      </c>
    </row>
    <row r="61">
      <c r="A61" t="n">
        <v>60</v>
      </c>
      <c r="B61" t="n">
        <v>2013</v>
      </c>
      <c r="C61" t="inlineStr">
        <is>
          <t>Adèle Juneau</t>
        </is>
      </c>
      <c r="D61">
        <f>HYPERLINK("https://ota.tournamentsoftware.com/player-profile/3A8C3EB0-444C-4108-A91E-FC74701A660D", "Link")</f>
        <v/>
      </c>
      <c r="E61" s="3" t="n">
        <v>1669.437</v>
      </c>
      <c r="F61" s="4" t="n">
        <v>16</v>
      </c>
      <c r="G61" t="inlineStr">
        <is>
          <t>Tennis Québec</t>
        </is>
      </c>
      <c r="H61" t="inlineStr">
        <is>
          <t>Tennis 13 / Académie Ménard et associé</t>
        </is>
      </c>
      <c r="I61" t="n">
        <v>24.4</v>
      </c>
      <c r="J61" s="4" t="n">
        <v>337</v>
      </c>
      <c r="K61" t="inlineStr">
        <is>
          <t>189 / 148</t>
        </is>
      </c>
      <c r="L61" t="inlineStr">
        <is>
          <t>20 / 23</t>
        </is>
      </c>
      <c r="M61" s="5" t="n">
        <v>0.5600000000000001</v>
      </c>
      <c r="N61" s="5" t="n">
        <v>0.47</v>
      </c>
    </row>
    <row r="62">
      <c r="A62" t="n">
        <v>61</v>
      </c>
      <c r="B62" t="n">
        <v>2012</v>
      </c>
      <c r="C62" t="inlineStr">
        <is>
          <t>Annika Richards</t>
        </is>
      </c>
      <c r="D62">
        <f>HYPERLINK("https://ota.tournamentsoftware.com/player-profile/CFED81F9-9EA3-48DF-84C4-507456D5D68B", "Link")</f>
        <v/>
      </c>
      <c r="E62" s="3" t="n">
        <v>1646.693</v>
      </c>
      <c r="F62" s="4" t="n">
        <v>16</v>
      </c>
      <c r="G62" t="inlineStr">
        <is>
          <t>Ontario Tennis Association</t>
        </is>
      </c>
      <c r="H62" t="inlineStr">
        <is>
          <t>Toronto Cricket Skating &amp; Curling</t>
        </is>
      </c>
      <c r="I62" t="n">
        <v>27</v>
      </c>
      <c r="J62" s="4" t="n">
        <v>192</v>
      </c>
      <c r="K62" t="inlineStr">
        <is>
          <t>82 / 110</t>
        </is>
      </c>
      <c r="L62" t="inlineStr">
        <is>
          <t>9 / 19</t>
        </is>
      </c>
      <c r="M62" s="5" t="n">
        <v>0.43</v>
      </c>
      <c r="N62" s="5" t="n">
        <v>0.32</v>
      </c>
    </row>
    <row r="63">
      <c r="A63" t="n">
        <v>62</v>
      </c>
      <c r="B63" t="n">
        <v>2014</v>
      </c>
      <c r="C63" t="inlineStr">
        <is>
          <t>Amelia Grace Balasuriya</t>
        </is>
      </c>
      <c r="D63">
        <f>HYPERLINK("https://ota.tournamentsoftware.com/player-profile/741A3060-1EA3-4E29-A0BE-1717DEF32CEA", "Link")</f>
        <v/>
      </c>
      <c r="E63" s="3" t="n">
        <v>1640.801</v>
      </c>
      <c r="F63" s="4" t="n">
        <v>25</v>
      </c>
      <c r="G63" t="inlineStr">
        <is>
          <t>Ontario Tennis Association</t>
        </is>
      </c>
      <c r="H63" t="inlineStr">
        <is>
          <t>The Supreme Court Tennis Club</t>
        </is>
      </c>
      <c r="I63" t="n">
        <v>26.8</v>
      </c>
      <c r="J63" s="4" t="n">
        <v>272</v>
      </c>
      <c r="K63" t="inlineStr">
        <is>
          <t>175 / 97</t>
        </is>
      </c>
      <c r="L63" t="inlineStr">
        <is>
          <t>52 / 27</t>
        </is>
      </c>
      <c r="M63" s="5" t="n">
        <v>0.64</v>
      </c>
      <c r="N63" s="5" t="n">
        <v>0.66</v>
      </c>
    </row>
    <row r="64">
      <c r="A64" t="n">
        <v>63</v>
      </c>
      <c r="B64" t="n">
        <v>2014</v>
      </c>
      <c r="C64" t="inlineStr">
        <is>
          <t>Naella Sehic</t>
        </is>
      </c>
      <c r="D64">
        <f>HYPERLINK("https://ota.tournamentsoftware.com/player-profile/C86BA5BA-97F0-463B-BBE7-6A41452E0D47", "Link")</f>
        <v/>
      </c>
      <c r="E64" s="3" t="n">
        <v>1547.584</v>
      </c>
      <c r="F64" s="4" t="n">
        <v>22</v>
      </c>
      <c r="G64" t="inlineStr">
        <is>
          <t>Tennis Québec</t>
        </is>
      </c>
      <c r="H64" t="inlineStr">
        <is>
          <t>Tennis Ile- des- Soeurs</t>
        </is>
      </c>
      <c r="I64" t="n">
        <v>25.3</v>
      </c>
      <c r="J64" s="4" t="n">
        <v>306</v>
      </c>
      <c r="K64" t="inlineStr">
        <is>
          <t>190 / 116</t>
        </is>
      </c>
      <c r="L64" t="inlineStr">
        <is>
          <t>53 / 17</t>
        </is>
      </c>
      <c r="M64" s="5" t="n">
        <v>0.62</v>
      </c>
      <c r="N64" s="5" t="n">
        <v>0.76</v>
      </c>
    </row>
    <row r="65">
      <c r="A65" t="n">
        <v>64</v>
      </c>
      <c r="B65" t="n">
        <v>2013</v>
      </c>
      <c r="C65" t="inlineStr">
        <is>
          <t>Alexane Deschênes</t>
        </is>
      </c>
      <c r="D65">
        <f>HYPERLINK("https://ota.tournamentsoftware.com/player-profile/124D1E6B-E463-4461-A5D1-9C844DE2C6D9", "Link")</f>
        <v/>
      </c>
      <c r="E65" s="3" t="n">
        <v>1534.592</v>
      </c>
      <c r="F65" s="4" t="n">
        <v>22</v>
      </c>
      <c r="G65" t="inlineStr">
        <is>
          <t>Tennis Québec</t>
        </is>
      </c>
      <c r="H65" t="inlineStr">
        <is>
          <t>Centre récréatif de Repentigny / Académie Tennis Momentum</t>
        </is>
      </c>
      <c r="I65" t="n">
        <v>24.9</v>
      </c>
      <c r="J65" s="4" t="n">
        <v>294</v>
      </c>
      <c r="K65" t="inlineStr">
        <is>
          <t>157 / 137</t>
        </is>
      </c>
      <c r="L65" t="inlineStr">
        <is>
          <t>37 / 35</t>
        </is>
      </c>
      <c r="M65" s="5" t="n">
        <v>0.53</v>
      </c>
      <c r="N65" s="5" t="n">
        <v>0.51</v>
      </c>
    </row>
    <row r="66">
      <c r="A66" t="n">
        <v>65</v>
      </c>
      <c r="B66" t="n">
        <v>2012</v>
      </c>
      <c r="C66" t="inlineStr">
        <is>
          <t>Karina Zhang</t>
        </is>
      </c>
      <c r="D66">
        <f>HYPERLINK("https://ota.tournamentsoftware.com/player-profile/7BB53E38-BBB9-4E1E-B8A2-8EFC2E762653", "Link")</f>
        <v/>
      </c>
      <c r="E66" s="3" t="n">
        <v>1493.367</v>
      </c>
      <c r="F66" s="4" t="n">
        <v>26</v>
      </c>
      <c r="G66" t="inlineStr">
        <is>
          <t>Ontario Tennis Association</t>
        </is>
      </c>
      <c r="H66" t="inlineStr">
        <is>
          <t>Richmondhill Golf &amp; Country Club</t>
        </is>
      </c>
      <c r="I66" t="n">
        <v>24.8</v>
      </c>
      <c r="J66" s="4" t="n">
        <v>215</v>
      </c>
      <c r="K66" t="inlineStr">
        <is>
          <t>135 / 80</t>
        </is>
      </c>
      <c r="L66" t="inlineStr">
        <is>
          <t>35 / 24</t>
        </is>
      </c>
      <c r="M66" s="5" t="n">
        <v>0.63</v>
      </c>
      <c r="N66" s="5" t="n">
        <v>0.59</v>
      </c>
    </row>
    <row r="67">
      <c r="A67" t="n">
        <v>66</v>
      </c>
      <c r="B67" t="n">
        <v>2013</v>
      </c>
      <c r="C67" t="inlineStr">
        <is>
          <t>Varvara Lutsyk</t>
        </is>
      </c>
      <c r="D67">
        <f>HYPERLINK("https://ota.tournamentsoftware.com/player-profile/5197490D-6996-4375-892E-2696E508FF34", "Link")</f>
        <v/>
      </c>
      <c r="E67" s="3" t="n">
        <v>1491.991</v>
      </c>
      <c r="F67" s="4" t="n">
        <v>18</v>
      </c>
      <c r="G67" t="inlineStr">
        <is>
          <t>Tennis Québec</t>
        </is>
      </c>
      <c r="H67" t="inlineStr">
        <is>
          <t>Club Sportif Côte-de-Liesse</t>
        </is>
      </c>
      <c r="I67" t="n">
        <v>24.7</v>
      </c>
      <c r="J67" s="4" t="n">
        <v>214</v>
      </c>
      <c r="K67" t="inlineStr">
        <is>
          <t>141 / 73</t>
        </is>
      </c>
      <c r="L67" t="inlineStr">
        <is>
          <t>35 / 17</t>
        </is>
      </c>
      <c r="M67" s="5" t="n">
        <v>0.66</v>
      </c>
      <c r="N67" s="5" t="n">
        <v>0.67</v>
      </c>
    </row>
    <row r="68">
      <c r="A68" t="n">
        <v>67</v>
      </c>
      <c r="B68" t="n">
        <v>2012</v>
      </c>
      <c r="C68" t="inlineStr">
        <is>
          <t>Natalie Le'er Sang</t>
        </is>
      </c>
      <c r="D68">
        <f>HYPERLINK("https://ota.tournamentsoftware.com/player-profile/993E5845-6FAB-4557-A6F0-C3D60CD8BB97", "Link")</f>
        <v/>
      </c>
      <c r="E68" s="3" t="n">
        <v>1488.96</v>
      </c>
      <c r="F68" s="4" t="n">
        <v>16</v>
      </c>
      <c r="G68" t="inlineStr">
        <is>
          <t>British Columbia</t>
        </is>
      </c>
      <c r="H68" t="inlineStr">
        <is>
          <t>No Club</t>
        </is>
      </c>
      <c r="I68" t="n">
        <v>25.3</v>
      </c>
      <c r="J68" s="4" t="n">
        <v>111</v>
      </c>
      <c r="K68" t="inlineStr">
        <is>
          <t>78 / 33</t>
        </is>
      </c>
      <c r="L68" t="inlineStr">
        <is>
          <t>21 / 19</t>
        </is>
      </c>
      <c r="M68" s="5" t="n">
        <v>0.7</v>
      </c>
      <c r="N68" s="5" t="n">
        <v>0.53</v>
      </c>
    </row>
    <row r="69">
      <c r="A69" t="n">
        <v>68</v>
      </c>
      <c r="B69" t="n">
        <v>2013</v>
      </c>
      <c r="C69" t="inlineStr">
        <is>
          <t>Avery Badyal</t>
        </is>
      </c>
      <c r="D69">
        <f>HYPERLINK("https://ota.tournamentsoftware.com/player-profile/9486479F-C8FD-48FB-BCCD-0246C53A632C", "Link")</f>
        <v/>
      </c>
      <c r="E69" s="3" t="n">
        <v>1469.906</v>
      </c>
      <c r="F69" s="4" t="n">
        <v>11</v>
      </c>
      <c r="G69" t="inlineStr">
        <is>
          <t>British Columbia</t>
        </is>
      </c>
      <c r="H69" t="inlineStr">
        <is>
          <t>The Tennis Centre</t>
        </is>
      </c>
      <c r="I69" t="n">
        <v>25.2</v>
      </c>
      <c r="J69" s="4" t="n">
        <v>239</v>
      </c>
      <c r="K69" t="inlineStr">
        <is>
          <t>145 / 94</t>
        </is>
      </c>
      <c r="L69" t="inlineStr">
        <is>
          <t>17 / 19</t>
        </is>
      </c>
      <c r="M69" s="5" t="n">
        <v>0.61</v>
      </c>
      <c r="N69" s="5" t="n">
        <v>0.47</v>
      </c>
    </row>
    <row r="70">
      <c r="A70" t="n">
        <v>69</v>
      </c>
      <c r="B70" t="n">
        <v>2013</v>
      </c>
      <c r="C70" t="inlineStr">
        <is>
          <t>Iris Fu</t>
        </is>
      </c>
      <c r="D70">
        <f>HYPERLINK("https://ota.tournamentsoftware.com/player-profile/0A3A4B5A-8950-4E67-BAA9-3F132754A3FD", "Link")</f>
        <v/>
      </c>
      <c r="E70" s="3" t="n">
        <v>1460.76</v>
      </c>
      <c r="F70" s="4" t="n">
        <v>19</v>
      </c>
      <c r="G70" t="inlineStr">
        <is>
          <t>Ontario Tennis Association</t>
        </is>
      </c>
      <c r="H70" t="inlineStr">
        <is>
          <t>Premier Racquet Clubs – Mississauga</t>
        </is>
      </c>
      <c r="I70" t="inlineStr">
        <is>
          <t>unavailable</t>
        </is>
      </c>
      <c r="J70" s="4" t="n">
        <v>250</v>
      </c>
      <c r="K70" t="inlineStr">
        <is>
          <t>147 / 103</t>
        </is>
      </c>
      <c r="L70" t="inlineStr">
        <is>
          <t>32 / 13</t>
        </is>
      </c>
      <c r="M70" s="5" t="n">
        <v>0.59</v>
      </c>
      <c r="N70" s="5" t="n">
        <v>0.71</v>
      </c>
    </row>
    <row r="71">
      <c r="A71" t="n">
        <v>70</v>
      </c>
      <c r="B71" t="n">
        <v>2013</v>
      </c>
      <c r="C71" t="inlineStr">
        <is>
          <t>Dewa Ayu Devin Sum</t>
        </is>
      </c>
      <c r="D71">
        <f>HYPERLINK("https://ota.tournamentsoftware.com/player-profile/9DB24D5C-3B5C-4B40-BE7E-B331240C1B21", "Link")</f>
        <v/>
      </c>
      <c r="E71" s="3" t="n">
        <v>1459.052</v>
      </c>
      <c r="F71" s="4" t="n">
        <v>29</v>
      </c>
      <c r="G71" t="inlineStr">
        <is>
          <t>Ontario Tennis Association</t>
        </is>
      </c>
      <c r="H71" t="inlineStr">
        <is>
          <t>Premier Racquet Clubs – Mississauga</t>
        </is>
      </c>
      <c r="I71" t="n">
        <v>27.9</v>
      </c>
      <c r="J71" s="4" t="n">
        <v>184</v>
      </c>
      <c r="K71" t="inlineStr">
        <is>
          <t>94 / 90</t>
        </is>
      </c>
      <c r="L71" t="inlineStr">
        <is>
          <t>28 / 25</t>
        </is>
      </c>
      <c r="M71" s="5" t="n">
        <v>0.51</v>
      </c>
      <c r="N71" s="5" t="n">
        <v>0.53</v>
      </c>
    </row>
    <row r="72">
      <c r="A72" t="n">
        <v>71</v>
      </c>
      <c r="B72" t="n">
        <v>2014</v>
      </c>
      <c r="C72" t="inlineStr">
        <is>
          <t>jocelyn ai</t>
        </is>
      </c>
      <c r="D72">
        <f>HYPERLINK("https://ota.tournamentsoftware.com/player-profile/EADED953-942B-4335-BE21-C0DE8F31626D", "Link")</f>
        <v/>
      </c>
      <c r="E72" s="3" t="n">
        <v>1450.912</v>
      </c>
      <c r="F72" s="4" t="n">
        <v>19</v>
      </c>
      <c r="G72" t="inlineStr">
        <is>
          <t>Ontario Tennis Association</t>
        </is>
      </c>
      <c r="H72" t="inlineStr">
        <is>
          <t>No Club</t>
        </is>
      </c>
      <c r="I72" t="n">
        <v>26.4</v>
      </c>
      <c r="J72" s="4" t="n">
        <v>223</v>
      </c>
      <c r="K72" t="inlineStr">
        <is>
          <t>135 / 88</t>
        </is>
      </c>
      <c r="L72" t="inlineStr">
        <is>
          <t>41 / 25</t>
        </is>
      </c>
      <c r="M72" s="5" t="n">
        <v>0.61</v>
      </c>
      <c r="N72" s="5" t="n">
        <v>0.62</v>
      </c>
    </row>
    <row r="73">
      <c r="A73" t="n">
        <v>72</v>
      </c>
      <c r="B73" t="n">
        <v>2013</v>
      </c>
      <c r="C73" t="inlineStr">
        <is>
          <t>Elena Rusic</t>
        </is>
      </c>
      <c r="D73">
        <f>HYPERLINK("https://ota.tournamentsoftware.com/player-profile/C202F0BA-61C5-459D-993A-2D56C17C2B04", "Link")</f>
        <v/>
      </c>
      <c r="E73" s="3" t="n">
        <v>1449.81</v>
      </c>
      <c r="F73" s="4" t="n">
        <v>22</v>
      </c>
      <c r="G73" t="inlineStr">
        <is>
          <t>Ontario Tennis Association</t>
        </is>
      </c>
      <c r="H73" t="inlineStr">
        <is>
          <t>Joshua Creek Golf &amp; Tennis</t>
        </is>
      </c>
      <c r="I73" t="n">
        <v>26.1</v>
      </c>
      <c r="J73" s="4" t="n">
        <v>260</v>
      </c>
      <c r="K73" t="inlineStr">
        <is>
          <t>184 / 76</t>
        </is>
      </c>
      <c r="L73" t="inlineStr">
        <is>
          <t>25 / 21</t>
        </is>
      </c>
      <c r="M73" s="5" t="n">
        <v>0.71</v>
      </c>
      <c r="N73" s="5" t="n">
        <v>0.54</v>
      </c>
    </row>
    <row r="74">
      <c r="A74" t="n">
        <v>73</v>
      </c>
      <c r="B74" t="n">
        <v>2014</v>
      </c>
      <c r="C74" t="inlineStr">
        <is>
          <t>Emma Allen</t>
        </is>
      </c>
      <c r="D74">
        <f>HYPERLINK("https://ota.tournamentsoftware.com/player-profile/5640B61E-0EE7-4BB3-ABC3-AD9CB508E4E9", "Link")</f>
        <v/>
      </c>
      <c r="E74" s="3" t="n">
        <v>1427.491</v>
      </c>
      <c r="F74" s="4" t="n">
        <v>21</v>
      </c>
      <c r="G74" t="inlineStr">
        <is>
          <t>Ontario Tennis Association</t>
        </is>
      </c>
      <c r="H74" t="inlineStr">
        <is>
          <t>Joshua Creek Golf &amp; Tennis</t>
        </is>
      </c>
      <c r="I74" t="n">
        <v>26.2</v>
      </c>
      <c r="J74" s="4" t="n">
        <v>264</v>
      </c>
      <c r="K74" t="inlineStr">
        <is>
          <t>190 / 74</t>
        </is>
      </c>
      <c r="L74" t="inlineStr">
        <is>
          <t>42 / 22</t>
        </is>
      </c>
      <c r="M74" s="5" t="n">
        <v>0.72</v>
      </c>
      <c r="N74" s="5" t="n">
        <v>0.66</v>
      </c>
    </row>
    <row r="75">
      <c r="A75" t="n">
        <v>74</v>
      </c>
      <c r="B75" t="n">
        <v>2012</v>
      </c>
      <c r="C75" t="inlineStr">
        <is>
          <t>Olivia Escobar</t>
        </is>
      </c>
      <c r="D75">
        <f>HYPERLINK("https://ota.tournamentsoftware.com/player-profile/9E3A15EA-D947-4048-B7A7-6C2437D34132", "Link")</f>
        <v/>
      </c>
      <c r="E75" s="3" t="n">
        <v>1405</v>
      </c>
      <c r="F75" s="4" t="n">
        <v>37</v>
      </c>
      <c r="G75" t="inlineStr">
        <is>
          <t>Tennis Québec</t>
        </is>
      </c>
      <c r="H75" t="inlineStr">
        <is>
          <t>Tennis Ile- des- Soeurs</t>
        </is>
      </c>
      <c r="I75" t="n">
        <v>27</v>
      </c>
      <c r="J75" s="4" t="n">
        <v>351</v>
      </c>
      <c r="K75" t="inlineStr">
        <is>
          <t>132 / 219</t>
        </is>
      </c>
      <c r="L75" t="inlineStr">
        <is>
          <t>19 / 26</t>
        </is>
      </c>
      <c r="M75" s="5" t="n">
        <v>0.38</v>
      </c>
      <c r="N75" s="5" t="n">
        <v>0.42</v>
      </c>
    </row>
    <row r="76">
      <c r="A76" t="n">
        <v>75</v>
      </c>
      <c r="B76" t="n">
        <v>2012</v>
      </c>
      <c r="C76" t="inlineStr">
        <is>
          <t>Zahava Olszynko</t>
        </is>
      </c>
      <c r="D76">
        <f>HYPERLINK("https://ota.tournamentsoftware.com/player-profile/B6F84042-B29D-4CD8-984E-787094BFA8A4", "Link")</f>
        <v/>
      </c>
      <c r="E76" s="3" t="n">
        <v>1396.116</v>
      </c>
      <c r="F76" s="4" t="n">
        <v>30</v>
      </c>
      <c r="G76" t="inlineStr">
        <is>
          <t>Ontario Tennis Association</t>
        </is>
      </c>
      <c r="H76" t="inlineStr">
        <is>
          <t>Rideau Sports Centre</t>
        </is>
      </c>
      <c r="I76" t="n">
        <v>26.1</v>
      </c>
      <c r="J76" s="4" t="n">
        <v>231</v>
      </c>
      <c r="K76" t="inlineStr">
        <is>
          <t>127 / 104</t>
        </is>
      </c>
      <c r="L76" t="inlineStr">
        <is>
          <t>35 / 24</t>
        </is>
      </c>
      <c r="M76" s="5" t="n">
        <v>0.55</v>
      </c>
      <c r="N76" s="5" t="n">
        <v>0.59</v>
      </c>
    </row>
    <row r="77">
      <c r="A77" t="n">
        <v>76</v>
      </c>
      <c r="B77" t="n">
        <v>2013</v>
      </c>
      <c r="C77" t="inlineStr">
        <is>
          <t>Eleanor Victoria Paura</t>
        </is>
      </c>
      <c r="D77">
        <f>HYPERLINK("https://ota.tournamentsoftware.com/player-profile/4D9EBB83-94D7-44A3-BD6F-1D98EF9559DF", "Link")</f>
        <v/>
      </c>
      <c r="E77" s="3" t="n">
        <v>1376.144</v>
      </c>
      <c r="F77" s="4" t="n">
        <v>11</v>
      </c>
      <c r="G77" t="inlineStr">
        <is>
          <t>Tennis Saskatchewan</t>
        </is>
      </c>
      <c r="H77" t="inlineStr">
        <is>
          <t>Lakeshore Tennis Club</t>
        </is>
      </c>
      <c r="I77" t="n">
        <v>29.7</v>
      </c>
      <c r="J77" s="4" t="n">
        <v>196</v>
      </c>
      <c r="K77" t="inlineStr">
        <is>
          <t>85 / 111</t>
        </is>
      </c>
      <c r="L77" t="inlineStr">
        <is>
          <t>27 / 22</t>
        </is>
      </c>
      <c r="M77" s="5" t="n">
        <v>0.43</v>
      </c>
      <c r="N77" s="5" t="n">
        <v>0.55</v>
      </c>
    </row>
    <row r="78">
      <c r="A78" t="n">
        <v>77</v>
      </c>
      <c r="B78" t="n">
        <v>2014</v>
      </c>
      <c r="C78" t="inlineStr">
        <is>
          <t>Nanette Du</t>
        </is>
      </c>
      <c r="D78">
        <f>HYPERLINK("https://ota.tournamentsoftware.com/player-profile/53190390-CC68-4E5E-8079-A41733ADF41A", "Link")</f>
        <v/>
      </c>
      <c r="E78" s="3" t="n">
        <v>1337.773</v>
      </c>
      <c r="F78" s="4" t="n">
        <v>16</v>
      </c>
      <c r="G78" t="inlineStr">
        <is>
          <t>Ontario Tennis Association</t>
        </is>
      </c>
      <c r="H78" t="inlineStr">
        <is>
          <t>Advantage Tennis International at Veneto</t>
        </is>
      </c>
      <c r="I78" t="n">
        <v>28</v>
      </c>
      <c r="J78" s="4" t="n">
        <v>151</v>
      </c>
      <c r="K78" t="inlineStr">
        <is>
          <t>94 / 57</t>
        </is>
      </c>
      <c r="L78" t="inlineStr">
        <is>
          <t>28 / 13</t>
        </is>
      </c>
      <c r="M78" s="5" t="n">
        <v>0.62</v>
      </c>
      <c r="N78" s="5" t="n">
        <v>0.68</v>
      </c>
    </row>
    <row r="79">
      <c r="A79" t="n">
        <v>78</v>
      </c>
      <c r="B79" t="n">
        <v>2013</v>
      </c>
      <c r="C79" t="inlineStr">
        <is>
          <t>Charlotte Dawes</t>
        </is>
      </c>
      <c r="D79">
        <f>HYPERLINK("https://ota.tournamentsoftware.com/player-profile/F2AC6B3A-37CF-4522-9228-9A614DED4E6F", "Link")</f>
        <v/>
      </c>
      <c r="E79" s="3" t="n">
        <v>1333.136</v>
      </c>
      <c r="F79" s="4" t="n">
        <v>14</v>
      </c>
      <c r="G79" t="inlineStr">
        <is>
          <t>Tennis Alberta</t>
        </is>
      </c>
      <c r="H79" t="inlineStr">
        <is>
          <t>Osten &amp; Victor Alberta Tennis Centre</t>
        </is>
      </c>
      <c r="I79" t="n">
        <v>25.4</v>
      </c>
      <c r="J79" s="4" t="n">
        <v>225</v>
      </c>
      <c r="K79" t="inlineStr">
        <is>
          <t>112 / 113</t>
        </is>
      </c>
      <c r="L79" t="inlineStr">
        <is>
          <t>25 / 18</t>
        </is>
      </c>
      <c r="M79" s="5" t="n">
        <v>0.5</v>
      </c>
      <c r="N79" s="5" t="n">
        <v>0.58</v>
      </c>
    </row>
    <row r="80">
      <c r="A80" t="n">
        <v>79</v>
      </c>
      <c r="B80" t="n">
        <v>2012</v>
      </c>
      <c r="C80" t="inlineStr">
        <is>
          <t>Emilie Chen</t>
        </is>
      </c>
      <c r="D80">
        <f>HYPERLINK("https://ota.tournamentsoftware.com/player-profile/829AD033-5D37-4AE8-9F34-8C50F25B20C3", "Link")</f>
        <v/>
      </c>
      <c r="E80" s="3" t="n">
        <v>1230.688</v>
      </c>
      <c r="F80" s="4" t="n">
        <v>12</v>
      </c>
      <c r="G80" t="inlineStr">
        <is>
          <t>Ontario Tennis Association</t>
        </is>
      </c>
      <c r="H80" t="inlineStr">
        <is>
          <t>Toronto Cricket Skating &amp; Curling</t>
        </is>
      </c>
      <c r="I80" t="n">
        <v>26.4</v>
      </c>
      <c r="J80" s="4" t="n">
        <v>219</v>
      </c>
      <c r="K80" t="inlineStr">
        <is>
          <t>91 / 128</t>
        </is>
      </c>
      <c r="L80" t="inlineStr">
        <is>
          <t>14 / 16</t>
        </is>
      </c>
      <c r="M80" s="5" t="n">
        <v>0.42</v>
      </c>
      <c r="N80" s="5" t="n">
        <v>0.47</v>
      </c>
    </row>
    <row r="81">
      <c r="A81" t="n">
        <v>80</v>
      </c>
      <c r="B81" t="n">
        <v>2012</v>
      </c>
      <c r="C81" t="inlineStr">
        <is>
          <t>Maia-Alexandra Popa</t>
        </is>
      </c>
      <c r="D81">
        <f>HYPERLINK("https://ota.tournamentsoftware.com/player-profile/1D5E0C32-9DDE-4B44-ADF9-FDB75BF638BC", "Link")</f>
        <v/>
      </c>
      <c r="E81" s="3" t="n">
        <v>1213.546</v>
      </c>
      <c r="F81" s="4" t="n">
        <v>20</v>
      </c>
      <c r="G81" t="inlineStr">
        <is>
          <t>Ontario Tennis Association</t>
        </is>
      </c>
      <c r="H81" t="inlineStr">
        <is>
          <t>No Club</t>
        </is>
      </c>
      <c r="I81" t="n">
        <v>25.2</v>
      </c>
      <c r="J81" s="4" t="n">
        <v>213</v>
      </c>
      <c r="K81" t="inlineStr">
        <is>
          <t>113 / 100</t>
        </is>
      </c>
      <c r="L81" t="inlineStr">
        <is>
          <t>31 / 15</t>
        </is>
      </c>
      <c r="M81" s="5" t="n">
        <v>0.53</v>
      </c>
      <c r="N81" s="5" t="n">
        <v>0.67</v>
      </c>
    </row>
    <row r="82">
      <c r="A82" t="n">
        <v>81</v>
      </c>
      <c r="B82" t="n">
        <v>2014</v>
      </c>
      <c r="C82" t="inlineStr">
        <is>
          <t>Ruoran Hou</t>
        </is>
      </c>
      <c r="D82">
        <f>HYPERLINK("https://ota.tournamentsoftware.com/player-profile/01D9A845-667C-4EDB-ABF5-CFE1C5418675", "Link")</f>
        <v/>
      </c>
      <c r="E82" s="3" t="n">
        <v>1181.094</v>
      </c>
      <c r="F82" s="4" t="n">
        <v>16</v>
      </c>
      <c r="G82" t="inlineStr">
        <is>
          <t>Tennis Nova Scotia</t>
        </is>
      </c>
      <c r="H82" t="inlineStr">
        <is>
          <t>Atlantic Tennis Centre</t>
        </is>
      </c>
      <c r="I82" t="n">
        <v>29.1</v>
      </c>
      <c r="J82" s="4" t="n">
        <v>239</v>
      </c>
      <c r="K82" t="inlineStr">
        <is>
          <t>139 / 100</t>
        </is>
      </c>
      <c r="L82" t="inlineStr">
        <is>
          <t>41 / 27</t>
        </is>
      </c>
      <c r="M82" s="5" t="n">
        <v>0.58</v>
      </c>
      <c r="N82" s="5" t="n">
        <v>0.6</v>
      </c>
    </row>
    <row r="83">
      <c r="A83" t="n">
        <v>82</v>
      </c>
      <c r="B83" t="n">
        <v>2012</v>
      </c>
      <c r="C83" t="inlineStr">
        <is>
          <t>Alessia Lungu</t>
        </is>
      </c>
      <c r="D83">
        <f>HYPERLINK("https://ota.tournamentsoftware.com/player-profile/99FF719F-9C8F-4394-BE76-5455D457977A", "Link")</f>
        <v/>
      </c>
      <c r="E83" s="3" t="n">
        <v>1170.891</v>
      </c>
      <c r="F83" s="4" t="n">
        <v>8</v>
      </c>
      <c r="G83" t="inlineStr">
        <is>
          <t>Ontario Tennis Association</t>
        </is>
      </c>
      <c r="H83" t="inlineStr">
        <is>
          <t>Joshua Creek Golf &amp; Tennis</t>
        </is>
      </c>
      <c r="I83" t="n">
        <v>23.1</v>
      </c>
      <c r="J83" s="4" t="n">
        <v>181</v>
      </c>
      <c r="K83" t="inlineStr">
        <is>
          <t>116 / 65</t>
        </is>
      </c>
      <c r="L83" t="inlineStr">
        <is>
          <t>5 / 3</t>
        </is>
      </c>
      <c r="M83" s="5" t="n">
        <v>0.64</v>
      </c>
      <c r="N83" s="5" t="n">
        <v>0.62</v>
      </c>
    </row>
    <row r="84">
      <c r="A84" t="n">
        <v>83</v>
      </c>
      <c r="B84" t="n">
        <v>2012</v>
      </c>
      <c r="C84" t="inlineStr">
        <is>
          <t>Ashlee Hanul Yoo</t>
        </is>
      </c>
      <c r="D84">
        <f>HYPERLINK("https://ota.tournamentsoftware.com/player-profile/BA09F220-C66B-4A96-9C0C-1BEE71ADDA56", "Link")</f>
        <v/>
      </c>
      <c r="E84" s="3" t="n">
        <v>1170.503</v>
      </c>
      <c r="F84" s="4" t="n">
        <v>11</v>
      </c>
      <c r="G84" t="inlineStr">
        <is>
          <t>British Columbia</t>
        </is>
      </c>
      <c r="H84" t="inlineStr">
        <is>
          <t>No Club</t>
        </is>
      </c>
      <c r="I84" t="inlineStr">
        <is>
          <t>unavailable</t>
        </is>
      </c>
      <c r="J84" s="4" t="n">
        <v>205</v>
      </c>
      <c r="K84" t="inlineStr">
        <is>
          <t>109 / 96</t>
        </is>
      </c>
      <c r="L84" t="inlineStr">
        <is>
          <t>18 / 18</t>
        </is>
      </c>
      <c r="M84" s="5" t="n">
        <v>0.53</v>
      </c>
      <c r="N84" s="5" t="n">
        <v>0.5</v>
      </c>
    </row>
    <row r="85">
      <c r="A85" t="n">
        <v>84</v>
      </c>
      <c r="B85" t="n">
        <v>2013</v>
      </c>
      <c r="C85" t="inlineStr">
        <is>
          <t>Halo Boyu Li</t>
        </is>
      </c>
      <c r="D85">
        <f>HYPERLINK("https://ota.tournamentsoftware.com/player-profile/42371346-12B9-439B-B9EB-FB5DD0ABCB73", "Link")</f>
        <v/>
      </c>
      <c r="E85" s="3" t="n">
        <v>1165.149</v>
      </c>
      <c r="F85" s="4" t="n">
        <v>11</v>
      </c>
      <c r="G85" t="inlineStr">
        <is>
          <t>Tennis Saskatchewan</t>
        </is>
      </c>
      <c r="H85" t="inlineStr">
        <is>
          <t>No Club</t>
        </is>
      </c>
      <c r="I85" t="n">
        <v>30.9</v>
      </c>
      <c r="J85" s="4" t="n">
        <v>181</v>
      </c>
      <c r="K85" t="inlineStr">
        <is>
          <t>79 / 102</t>
        </is>
      </c>
      <c r="L85" t="inlineStr">
        <is>
          <t>29 / 27</t>
        </is>
      </c>
      <c r="M85" s="5" t="n">
        <v>0.44</v>
      </c>
      <c r="N85" s="5" t="n">
        <v>0.52</v>
      </c>
    </row>
    <row r="86">
      <c r="A86" t="n">
        <v>85</v>
      </c>
      <c r="B86" t="n">
        <v>2012</v>
      </c>
      <c r="C86" t="inlineStr">
        <is>
          <t>Alexsandra Stanislavksy</t>
        </is>
      </c>
      <c r="D86">
        <f>HYPERLINK("https://ota.tournamentsoftware.com/player-profile/A067EDC1-6B71-4023-8C13-88CA87AA808B", "Link")</f>
        <v/>
      </c>
      <c r="E86" s="3" t="n">
        <v>1142.629</v>
      </c>
      <c r="F86" s="4" t="n">
        <v>30</v>
      </c>
      <c r="G86" t="inlineStr">
        <is>
          <t>Ontario Tennis Association</t>
        </is>
      </c>
      <c r="H86" t="inlineStr">
        <is>
          <t>No Club</t>
        </is>
      </c>
      <c r="I86" t="n">
        <v>28.8</v>
      </c>
      <c r="J86" s="4" t="n">
        <v>200</v>
      </c>
      <c r="K86" t="inlineStr">
        <is>
          <t>90 / 110</t>
        </is>
      </c>
      <c r="L86" t="inlineStr">
        <is>
          <t>27 / 29</t>
        </is>
      </c>
      <c r="M86" s="5" t="n">
        <v>0.45</v>
      </c>
      <c r="N86" s="5" t="n">
        <v>0.48</v>
      </c>
    </row>
    <row r="87">
      <c r="A87" t="n">
        <v>86</v>
      </c>
      <c r="B87" t="n">
        <v>2013</v>
      </c>
      <c r="C87" t="inlineStr">
        <is>
          <t>Chloé Normandin</t>
        </is>
      </c>
      <c r="D87">
        <f>HYPERLINK("https://ota.tournamentsoftware.com/player-profile/A22608C6-6D99-476C-9EC7-9A31F3CACB0A", "Link")</f>
        <v/>
      </c>
      <c r="E87" s="3" t="n">
        <v>1139.46</v>
      </c>
      <c r="F87" s="4" t="n">
        <v>22</v>
      </c>
      <c r="G87" t="inlineStr">
        <is>
          <t>Tennis Québec</t>
        </is>
      </c>
      <c r="H87" t="inlineStr">
        <is>
          <t>Tennis Ile- des- Soeurs</t>
        </is>
      </c>
      <c r="I87" t="n">
        <v>25.7</v>
      </c>
      <c r="J87" s="4" t="n">
        <v>272</v>
      </c>
      <c r="K87" t="inlineStr">
        <is>
          <t>149 / 123</t>
        </is>
      </c>
      <c r="L87" t="inlineStr">
        <is>
          <t>38 / 23</t>
        </is>
      </c>
      <c r="M87" s="5" t="n">
        <v>0.55</v>
      </c>
      <c r="N87" s="5" t="n">
        <v>0.62</v>
      </c>
    </row>
    <row r="88">
      <c r="A88" t="n">
        <v>87</v>
      </c>
      <c r="B88" t="n">
        <v>2012</v>
      </c>
      <c r="C88" t="inlineStr">
        <is>
          <t>Kate Louise Violet Dee</t>
        </is>
      </c>
      <c r="D88">
        <f>HYPERLINK("https://ota.tournamentsoftware.com/player-profile/807F7468-99D8-4717-B3DF-3F2ED69EFA0A", "Link")</f>
        <v/>
      </c>
      <c r="E88" s="3" t="n">
        <v>1135.533</v>
      </c>
      <c r="F88" s="4" t="n">
        <v>11</v>
      </c>
      <c r="G88" t="inlineStr">
        <is>
          <t>British Columbia</t>
        </is>
      </c>
      <c r="H88" t="inlineStr">
        <is>
          <t>North Vancouver Tennis Centre</t>
        </is>
      </c>
      <c r="I88" t="n">
        <v>25.7</v>
      </c>
      <c r="J88" s="4" t="n">
        <v>244</v>
      </c>
      <c r="K88" t="inlineStr">
        <is>
          <t>136 / 108</t>
        </is>
      </c>
      <c r="L88" t="inlineStr">
        <is>
          <t>14 / 16</t>
        </is>
      </c>
      <c r="M88" s="5" t="n">
        <v>0.5600000000000001</v>
      </c>
      <c r="N88" s="5" t="n">
        <v>0.47</v>
      </c>
    </row>
    <row r="89">
      <c r="A89" t="n">
        <v>88</v>
      </c>
      <c r="B89" t="n">
        <v>2015</v>
      </c>
      <c r="C89" t="inlineStr">
        <is>
          <t>Sofia Tabunshchyk</t>
        </is>
      </c>
      <c r="D89">
        <f>HYPERLINK("https://ota.tournamentsoftware.com/player-profile/3714FE82-9045-425F-937B-7104A43D57F9", "Link")</f>
        <v/>
      </c>
      <c r="E89" s="3" t="n">
        <v>1122.606</v>
      </c>
      <c r="F89" s="4" t="n">
        <v>38</v>
      </c>
      <c r="G89" t="inlineStr">
        <is>
          <t>Ontario Tennis Association</t>
        </is>
      </c>
      <c r="H89" t="inlineStr">
        <is>
          <t>ACE Tennis - Burlington</t>
        </is>
      </c>
      <c r="I89" t="n">
        <v>27.5</v>
      </c>
      <c r="J89" s="4" t="n">
        <v>333</v>
      </c>
      <c r="K89" t="inlineStr">
        <is>
          <t>167 / 166</t>
        </is>
      </c>
      <c r="L89" t="inlineStr">
        <is>
          <t>57 / 30</t>
        </is>
      </c>
      <c r="M89" s="5" t="n">
        <v>0.5</v>
      </c>
      <c r="N89" s="5" t="n">
        <v>0.66</v>
      </c>
    </row>
    <row r="90">
      <c r="A90" t="n">
        <v>89</v>
      </c>
      <c r="B90" t="n">
        <v>2012</v>
      </c>
      <c r="C90" t="inlineStr">
        <is>
          <t>Adrienne Keaton Nelson</t>
        </is>
      </c>
      <c r="D90">
        <f>HYPERLINK("https://ota.tournamentsoftware.com/player-profile/1D977DD3-331D-4977-B4D6-E3202A6C56BD", "Link")</f>
        <v/>
      </c>
      <c r="E90" s="3" t="n">
        <v>1117.411</v>
      </c>
      <c r="F90" s="4" t="n">
        <v>42</v>
      </c>
      <c r="G90" t="inlineStr">
        <is>
          <t>Ontario Tennis Association</t>
        </is>
      </c>
      <c r="H90" t="inlineStr">
        <is>
          <t>Blackmore Tennis Club</t>
        </is>
      </c>
      <c r="I90" t="n">
        <v>26.9</v>
      </c>
      <c r="J90" s="4" t="n">
        <v>236</v>
      </c>
      <c r="K90" t="inlineStr">
        <is>
          <t>114 / 122</t>
        </is>
      </c>
      <c r="L90" t="inlineStr">
        <is>
          <t>28 / 27</t>
        </is>
      </c>
      <c r="M90" s="5" t="n">
        <v>0.48</v>
      </c>
      <c r="N90" s="5" t="n">
        <v>0.51</v>
      </c>
    </row>
    <row r="91">
      <c r="A91" t="n">
        <v>90</v>
      </c>
      <c r="B91" t="n">
        <v>2013</v>
      </c>
      <c r="C91" t="inlineStr">
        <is>
          <t>Cindy Liu</t>
        </is>
      </c>
      <c r="D91">
        <f>HYPERLINK("https://ota.tournamentsoftware.com/player-profile/89018759-835F-4CE0-A297-3449F2A42D00", "Link")</f>
        <v/>
      </c>
      <c r="E91" s="3" t="n">
        <v>1113.273</v>
      </c>
      <c r="F91" s="4" t="n">
        <v>22</v>
      </c>
      <c r="G91" t="inlineStr">
        <is>
          <t>British Columbia</t>
        </is>
      </c>
      <c r="H91" t="inlineStr">
        <is>
          <t>The Tennis Centre</t>
        </is>
      </c>
      <c r="I91" t="n">
        <v>25.7</v>
      </c>
      <c r="J91" s="4" t="n">
        <v>197</v>
      </c>
      <c r="K91" t="inlineStr">
        <is>
          <t>104 / 93</t>
        </is>
      </c>
      <c r="L91" t="inlineStr">
        <is>
          <t>34 / 20</t>
        </is>
      </c>
      <c r="M91" s="5" t="n">
        <v>0.53</v>
      </c>
      <c r="N91" s="5" t="n">
        <v>0.63</v>
      </c>
    </row>
    <row r="92">
      <c r="A92" t="n">
        <v>91</v>
      </c>
      <c r="B92" t="n">
        <v>2012</v>
      </c>
      <c r="C92" t="inlineStr">
        <is>
          <t>Alecia Yahan Liu</t>
        </is>
      </c>
      <c r="D92">
        <f>HYPERLINK("https://ota.tournamentsoftware.com/player-profile/3FBB1729-DE66-45FA-864E-C010DC83E5AD", "Link")</f>
        <v/>
      </c>
      <c r="E92" s="3" t="n">
        <v>1097.866</v>
      </c>
      <c r="F92" s="4" t="n">
        <v>20</v>
      </c>
      <c r="G92" t="inlineStr">
        <is>
          <t>Tennis Alberta</t>
        </is>
      </c>
      <c r="H92" t="inlineStr">
        <is>
          <t>Saville Community Sports Centre</t>
        </is>
      </c>
      <c r="I92" t="n">
        <v>26.2</v>
      </c>
      <c r="J92" s="4" t="n">
        <v>242</v>
      </c>
      <c r="K92" t="inlineStr">
        <is>
          <t>125 / 117</t>
        </is>
      </c>
      <c r="L92" t="inlineStr">
        <is>
          <t>23 / 22</t>
        </is>
      </c>
      <c r="M92" s="5" t="n">
        <v>0.52</v>
      </c>
      <c r="N92" s="5" t="n">
        <v>0.51</v>
      </c>
    </row>
    <row r="93">
      <c r="A93" t="n">
        <v>92</v>
      </c>
      <c r="B93" t="n">
        <v>2013</v>
      </c>
      <c r="C93" t="inlineStr">
        <is>
          <t>Charlotte Ng</t>
        </is>
      </c>
      <c r="D93">
        <f>HYPERLINK("https://ota.tournamentsoftware.com/player-profile/1FAB3C52-8224-4122-A705-ED95AC2AE538", "Link")</f>
        <v/>
      </c>
      <c r="E93" s="3" t="n">
        <v>1096.863</v>
      </c>
      <c r="F93" s="4" t="n">
        <v>28</v>
      </c>
      <c r="G93" t="inlineStr">
        <is>
          <t>Ontario Tennis Association</t>
        </is>
      </c>
      <c r="H93" t="inlineStr">
        <is>
          <t>Blackmore Tennis Club</t>
        </is>
      </c>
      <c r="I93" t="n">
        <v>30.5</v>
      </c>
      <c r="J93" s="4" t="n">
        <v>220</v>
      </c>
      <c r="K93" t="inlineStr">
        <is>
          <t>124 / 96</t>
        </is>
      </c>
      <c r="L93" t="inlineStr">
        <is>
          <t>33 / 22</t>
        </is>
      </c>
      <c r="M93" s="5" t="n">
        <v>0.5600000000000001</v>
      </c>
      <c r="N93" s="5" t="n">
        <v>0.6</v>
      </c>
    </row>
    <row r="94">
      <c r="A94" t="n">
        <v>93</v>
      </c>
      <c r="B94" t="n">
        <v>2012</v>
      </c>
      <c r="C94" t="inlineStr">
        <is>
          <t>Emilia Klimek</t>
        </is>
      </c>
      <c r="D94">
        <f>HYPERLINK("https://ota.tournamentsoftware.com/player-profile/B65F75BD-7091-433B-817C-EC3472CCA6E3", "Link")</f>
        <v/>
      </c>
      <c r="E94" s="3" t="n">
        <v>1074.821</v>
      </c>
      <c r="F94" s="4" t="n">
        <v>19</v>
      </c>
      <c r="G94" t="inlineStr">
        <is>
          <t>British Columbia</t>
        </is>
      </c>
      <c r="H94" t="inlineStr">
        <is>
          <t>No Club</t>
        </is>
      </c>
      <c r="I94" t="n">
        <v>25.9</v>
      </c>
      <c r="J94" s="4" t="n">
        <v>223</v>
      </c>
      <c r="K94" t="inlineStr">
        <is>
          <t>119 / 104</t>
        </is>
      </c>
      <c r="L94" t="inlineStr">
        <is>
          <t>31 / 19</t>
        </is>
      </c>
      <c r="M94" s="5" t="n">
        <v>0.53</v>
      </c>
      <c r="N94" s="5" t="n">
        <v>0.62</v>
      </c>
    </row>
    <row r="95">
      <c r="A95" t="n">
        <v>94</v>
      </c>
      <c r="B95" t="n">
        <v>2013</v>
      </c>
      <c r="C95" t="inlineStr">
        <is>
          <t>Sophia Gettle</t>
        </is>
      </c>
      <c r="D95">
        <f>HYPERLINK("https://ota.tournamentsoftware.com/player-profile/5CC0A57F-C369-42D6-B845-B30A38F24F56", "Link")</f>
        <v/>
      </c>
      <c r="E95" s="3" t="n">
        <v>1060.252</v>
      </c>
      <c r="F95" s="4" t="n">
        <v>13</v>
      </c>
      <c r="G95" t="inlineStr">
        <is>
          <t>Tennis Saskatchewan</t>
        </is>
      </c>
      <c r="H95" t="inlineStr">
        <is>
          <t>Lakeshore Tennis Club</t>
        </is>
      </c>
      <c r="I95" t="inlineStr">
        <is>
          <t>unavailable</t>
        </is>
      </c>
      <c r="J95" s="4" t="n">
        <v>209</v>
      </c>
      <c r="K95" t="inlineStr">
        <is>
          <t>92 / 117</t>
        </is>
      </c>
      <c r="L95" t="inlineStr">
        <is>
          <t>23 / 31</t>
        </is>
      </c>
      <c r="M95" s="5" t="n">
        <v>0.44</v>
      </c>
      <c r="N95" s="5" t="n">
        <v>0.43</v>
      </c>
    </row>
    <row r="96">
      <c r="A96" t="n">
        <v>95</v>
      </c>
      <c r="B96" t="n">
        <v>2012</v>
      </c>
      <c r="C96" t="inlineStr">
        <is>
          <t>Laura Patsynka</t>
        </is>
      </c>
      <c r="D96">
        <f>HYPERLINK("https://ota.tournamentsoftware.com/player-profile/49340E93-6E30-4683-9E0F-4D50A1C584F1", "Link")</f>
        <v/>
      </c>
      <c r="E96" s="3" t="n">
        <v>1060.104</v>
      </c>
      <c r="F96" s="4" t="n">
        <v>28</v>
      </c>
      <c r="G96" t="inlineStr">
        <is>
          <t>Ontario Tennis Association</t>
        </is>
      </c>
      <c r="H96" t="inlineStr">
        <is>
          <t>SmartVMC Racquetsports by ACE</t>
        </is>
      </c>
      <c r="I96" t="inlineStr">
        <is>
          <t>unavailable</t>
        </is>
      </c>
      <c r="J96" s="4" t="n">
        <v>205</v>
      </c>
      <c r="K96" t="inlineStr">
        <is>
          <t>81 / 124</t>
        </is>
      </c>
      <c r="L96" t="inlineStr">
        <is>
          <t>12 / 25</t>
        </is>
      </c>
      <c r="M96" s="5" t="n">
        <v>0.4</v>
      </c>
      <c r="N96" s="5" t="n">
        <v>0.32</v>
      </c>
    </row>
    <row r="97">
      <c r="A97" t="n">
        <v>96</v>
      </c>
      <c r="B97" t="n">
        <v>2014</v>
      </c>
      <c r="C97" t="inlineStr">
        <is>
          <t>Victoria Markova</t>
        </is>
      </c>
      <c r="D97">
        <f>HYPERLINK("https://ota.tournamentsoftware.com/player-profile/DE909631-ADF4-4157-ABE4-0097B95C4307", "Link")</f>
        <v/>
      </c>
      <c r="E97" s="3" t="n">
        <v>1059.342</v>
      </c>
      <c r="F97" s="4" t="n">
        <v>24</v>
      </c>
      <c r="G97" t="inlineStr">
        <is>
          <t>Tennis Québec</t>
        </is>
      </c>
      <c r="H97" t="inlineStr">
        <is>
          <t>Carrefour Multisports</t>
        </is>
      </c>
      <c r="I97" t="n">
        <v>29</v>
      </c>
      <c r="J97" s="4" t="n">
        <v>239</v>
      </c>
      <c r="K97" t="inlineStr">
        <is>
          <t>132 / 107</t>
        </is>
      </c>
      <c r="L97" t="inlineStr">
        <is>
          <t>44 / 28</t>
        </is>
      </c>
      <c r="M97" s="5" t="n">
        <v>0.55</v>
      </c>
      <c r="N97" s="5" t="n">
        <v>0.61</v>
      </c>
    </row>
    <row r="98">
      <c r="A98" t="n">
        <v>97</v>
      </c>
      <c r="B98" t="n">
        <v>2014</v>
      </c>
      <c r="C98" t="inlineStr">
        <is>
          <t>JOANNA QIHENG FEI</t>
        </is>
      </c>
      <c r="D98">
        <f>HYPERLINK("https://ota.tournamentsoftware.com/player-profile/1DD48A17-96B6-42F9-8D67-EE4CBF6DFA95", "Link")</f>
        <v/>
      </c>
      <c r="E98" s="3" t="n">
        <v>1051.658</v>
      </c>
      <c r="F98" s="4" t="n">
        <v>19</v>
      </c>
      <c r="G98" t="inlineStr">
        <is>
          <t>British Columbia</t>
        </is>
      </c>
      <c r="H98" t="inlineStr">
        <is>
          <t>Richmond Country Club</t>
        </is>
      </c>
      <c r="I98" t="n">
        <v>25.9</v>
      </c>
      <c r="J98" s="4" t="n">
        <v>271</v>
      </c>
      <c r="K98" t="inlineStr">
        <is>
          <t>135 / 136</t>
        </is>
      </c>
      <c r="L98" t="inlineStr">
        <is>
          <t>42 / 20</t>
        </is>
      </c>
      <c r="M98" s="5" t="n">
        <v>0.5</v>
      </c>
      <c r="N98" s="5" t="n">
        <v>0.68</v>
      </c>
    </row>
    <row r="99">
      <c r="A99" t="n">
        <v>98</v>
      </c>
      <c r="B99" t="n">
        <v>2012</v>
      </c>
      <c r="C99" t="inlineStr">
        <is>
          <t>Margarita Ter-Grigoryan</t>
        </is>
      </c>
      <c r="D99">
        <f>HYPERLINK("https://ota.tournamentsoftware.com/player-profile/A86B3E87-30AA-4D57-86CF-572CF663421E", "Link")</f>
        <v/>
      </c>
      <c r="E99" s="3" t="n">
        <v>1020.42</v>
      </c>
      <c r="F99" s="4" t="n">
        <v>14</v>
      </c>
      <c r="G99" t="inlineStr">
        <is>
          <t>Tennis Saskatchewan</t>
        </is>
      </c>
      <c r="H99" t="inlineStr">
        <is>
          <t>No Club</t>
        </is>
      </c>
      <c r="I99" t="n">
        <v>29.9</v>
      </c>
      <c r="J99" s="4" t="n">
        <v>130</v>
      </c>
      <c r="K99" t="inlineStr">
        <is>
          <t>70 / 60</t>
        </is>
      </c>
      <c r="L99" t="inlineStr">
        <is>
          <t>30 / 30</t>
        </is>
      </c>
      <c r="M99" s="5" t="n">
        <v>0.54</v>
      </c>
      <c r="N99" s="5" t="n">
        <v>0.5</v>
      </c>
    </row>
    <row r="100">
      <c r="A100" t="n">
        <v>99</v>
      </c>
      <c r="B100" t="n">
        <v>2013</v>
      </c>
      <c r="C100" t="inlineStr">
        <is>
          <t>Amelia Karapalevski</t>
        </is>
      </c>
      <c r="D100">
        <f>HYPERLINK("https://ota.tournamentsoftware.com/player-profile/FA2D2790-6EBD-4928-94F7-17F54621E2B4", "Link")</f>
        <v/>
      </c>
      <c r="E100" s="3" t="n">
        <v>1010.258</v>
      </c>
      <c r="F100" s="4" t="n">
        <v>31</v>
      </c>
      <c r="G100" t="inlineStr">
        <is>
          <t>Ontario Tennis Association</t>
        </is>
      </c>
      <c r="H100" t="inlineStr">
        <is>
          <t>SmartVMC Racquetsports by ACE</t>
        </is>
      </c>
      <c r="I100" t="n">
        <v>27.6</v>
      </c>
      <c r="J100" s="4" t="n">
        <v>225</v>
      </c>
      <c r="K100" t="inlineStr">
        <is>
          <t>130 / 95</t>
        </is>
      </c>
      <c r="L100" t="inlineStr">
        <is>
          <t>36 / 24</t>
        </is>
      </c>
      <c r="M100" s="5" t="n">
        <v>0.58</v>
      </c>
      <c r="N100" s="5" t="n">
        <v>0.6</v>
      </c>
    </row>
    <row r="101">
      <c r="A101" t="n">
        <v>100</v>
      </c>
      <c r="B101" t="n">
        <v>2012</v>
      </c>
      <c r="C101" t="inlineStr">
        <is>
          <t>Estelle Kroupetski</t>
        </is>
      </c>
      <c r="D101">
        <f>HYPERLINK("https://ota.tournamentsoftware.com/player-profile/7A8D0D40-A77C-429C-81D6-05DC21DB8D28", "Link")</f>
        <v/>
      </c>
      <c r="E101" s="3" t="n">
        <v>982.264</v>
      </c>
      <c r="F101" s="4" t="n">
        <v>20</v>
      </c>
      <c r="G101" t="inlineStr">
        <is>
          <t>Ontario Tennis Association</t>
        </is>
      </c>
      <c r="H101" t="inlineStr">
        <is>
          <t>Ontario Racquet Club</t>
        </is>
      </c>
      <c r="I101" t="n">
        <v>27.2</v>
      </c>
      <c r="J101" s="4" t="n">
        <v>151</v>
      </c>
      <c r="K101" t="inlineStr">
        <is>
          <t>77 / 74</t>
        </is>
      </c>
      <c r="L101" t="inlineStr">
        <is>
          <t>33 / 12</t>
        </is>
      </c>
      <c r="M101" s="5" t="n">
        <v>0.51</v>
      </c>
      <c r="N101" s="5" t="n">
        <v>0.73</v>
      </c>
    </row>
    <row r="102">
      <c r="A102" t="n">
        <v>101</v>
      </c>
      <c r="B102" t="n">
        <v>2013</v>
      </c>
      <c r="C102" t="inlineStr">
        <is>
          <t>Aubrianna Ellen York</t>
        </is>
      </c>
      <c r="D102">
        <f>HYPERLINK("https://ota.tournamentsoftware.com/player-profile/FDFD6FEF-AD8B-4B1E-ADE3-15417E1BCF05", "Link")</f>
        <v/>
      </c>
      <c r="E102" s="3" t="n">
        <v>970.944</v>
      </c>
      <c r="F102" s="4" t="n">
        <v>18</v>
      </c>
      <c r="G102" t="inlineStr">
        <is>
          <t>Tennis Alberta</t>
        </is>
      </c>
      <c r="H102" t="inlineStr">
        <is>
          <t>Aforza</t>
        </is>
      </c>
      <c r="I102" t="n">
        <v>27.1</v>
      </c>
      <c r="J102" s="4" t="n">
        <v>218</v>
      </c>
      <c r="K102" t="inlineStr">
        <is>
          <t>116 / 102</t>
        </is>
      </c>
      <c r="L102" t="inlineStr">
        <is>
          <t>31 / 20</t>
        </is>
      </c>
      <c r="M102" s="5" t="n">
        <v>0.53</v>
      </c>
      <c r="N102" s="5" t="n">
        <v>0.61</v>
      </c>
    </row>
    <row r="103">
      <c r="A103" t="n">
        <v>102</v>
      </c>
      <c r="B103" t="n">
        <v>2014</v>
      </c>
      <c r="C103" t="inlineStr">
        <is>
          <t>Qiuyue Li</t>
        </is>
      </c>
      <c r="D103">
        <f>HYPERLINK("https://ota.tournamentsoftware.com/player-profile/20DDEF60-3700-4387-8C53-C32DB7F857D4", "Link")</f>
        <v/>
      </c>
      <c r="E103" s="3" t="n">
        <v>961.8</v>
      </c>
      <c r="F103" s="4" t="n">
        <v>5</v>
      </c>
      <c r="G103" t="inlineStr">
        <is>
          <t>Ontario Tennis Association</t>
        </is>
      </c>
      <c r="H103" t="inlineStr">
        <is>
          <t>No Club</t>
        </is>
      </c>
      <c r="I103" t="n">
        <v>26.6</v>
      </c>
      <c r="J103" s="4" t="n">
        <v>26</v>
      </c>
      <c r="K103" t="inlineStr">
        <is>
          <t>24 / 2</t>
        </is>
      </c>
      <c r="L103" t="inlineStr">
        <is>
          <t>14 / 1</t>
        </is>
      </c>
      <c r="M103" s="5" t="n">
        <v>0.92</v>
      </c>
      <c r="N103" s="5" t="n">
        <v>0.93</v>
      </c>
    </row>
    <row r="104">
      <c r="A104" t="n">
        <v>103</v>
      </c>
      <c r="B104" t="n">
        <v>2012</v>
      </c>
      <c r="C104" t="inlineStr">
        <is>
          <t>Chloe Lou Friesen</t>
        </is>
      </c>
      <c r="D104">
        <f>HYPERLINK("https://ota.tournamentsoftware.com/player-profile/A0A11672-F1E8-4BD3-A43A-BB82984EDDA5", "Link")</f>
        <v/>
      </c>
      <c r="E104" s="3" t="n">
        <v>959.691</v>
      </c>
      <c r="F104" s="4" t="n">
        <v>17</v>
      </c>
      <c r="G104" t="inlineStr">
        <is>
          <t>British Columbia</t>
        </is>
      </c>
      <c r="H104" t="inlineStr">
        <is>
          <t>Vancouver Lawn Tennis and Badminton Club</t>
        </is>
      </c>
      <c r="I104" t="n">
        <v>25.9</v>
      </c>
      <c r="J104" s="4" t="n">
        <v>235</v>
      </c>
      <c r="K104" t="inlineStr">
        <is>
          <t>129 / 106</t>
        </is>
      </c>
      <c r="L104" t="inlineStr">
        <is>
          <t>24 / 16</t>
        </is>
      </c>
      <c r="M104" s="5" t="n">
        <v>0.55</v>
      </c>
      <c r="N104" s="5" t="n">
        <v>0.6</v>
      </c>
    </row>
    <row r="105">
      <c r="A105" t="n">
        <v>104</v>
      </c>
      <c r="B105" t="n">
        <v>2015</v>
      </c>
      <c r="C105" t="inlineStr">
        <is>
          <t>Evelyn J.C. Liu</t>
        </is>
      </c>
      <c r="D105">
        <f>HYPERLINK("https://ota.tournamentsoftware.com/player-profile/193F9EEB-1528-48A2-A0D8-C6448E62254A", "Link")</f>
        <v/>
      </c>
      <c r="E105" s="3" t="n">
        <v>945.349</v>
      </c>
      <c r="F105" s="4" t="n">
        <v>16</v>
      </c>
      <c r="G105" t="inlineStr">
        <is>
          <t>British Columbia</t>
        </is>
      </c>
      <c r="H105" t="inlineStr">
        <is>
          <t>Vancouver Lawn Tennis and Badminton Club</t>
        </is>
      </c>
      <c r="I105" t="n">
        <v>26.9</v>
      </c>
      <c r="J105" s="4" t="n">
        <v>271</v>
      </c>
      <c r="K105" t="inlineStr">
        <is>
          <t>152 / 119</t>
        </is>
      </c>
      <c r="L105" t="inlineStr">
        <is>
          <t>41 / 22</t>
        </is>
      </c>
      <c r="M105" s="5" t="n">
        <v>0.5600000000000001</v>
      </c>
      <c r="N105" s="5" t="n">
        <v>0.65</v>
      </c>
    </row>
    <row r="106">
      <c r="A106" t="n">
        <v>105</v>
      </c>
      <c r="B106" t="n">
        <v>2015</v>
      </c>
      <c r="C106" t="inlineStr">
        <is>
          <t>Aahana Guha</t>
        </is>
      </c>
      <c r="D106">
        <f>HYPERLINK("https://ota.tournamentsoftware.com/player-profile/B6BFAEC0-924F-4635-B45C-E700061D4B03", "Link")</f>
        <v/>
      </c>
      <c r="E106" s="3" t="n">
        <v>944.747</v>
      </c>
      <c r="F106" s="4" t="n">
        <v>12</v>
      </c>
      <c r="G106" t="inlineStr">
        <is>
          <t>Tennis Saskatchewan</t>
        </is>
      </c>
      <c r="H106" t="inlineStr">
        <is>
          <t>Lakeshore Tennis Club</t>
        </is>
      </c>
      <c r="I106" t="n">
        <v>30.8</v>
      </c>
      <c r="J106" s="4" t="n">
        <v>171</v>
      </c>
      <c r="K106" t="inlineStr">
        <is>
          <t>90 / 81</t>
        </is>
      </c>
      <c r="L106" t="inlineStr">
        <is>
          <t>34 / 23</t>
        </is>
      </c>
      <c r="M106" s="5" t="n">
        <v>0.53</v>
      </c>
      <c r="N106" s="5" t="n">
        <v>0.6</v>
      </c>
    </row>
    <row r="107">
      <c r="A107" t="n">
        <v>106</v>
      </c>
      <c r="B107" t="n">
        <v>2012</v>
      </c>
      <c r="C107" t="inlineStr">
        <is>
          <t>Emma Abdou</t>
        </is>
      </c>
      <c r="D107">
        <f>HYPERLINK("https://ota.tournamentsoftware.com/player-profile/FD6387AB-774D-491E-8A68-CE4DD20FAEF7", "Link")</f>
        <v/>
      </c>
      <c r="E107" s="3" t="n">
        <v>933.24</v>
      </c>
      <c r="F107" s="4" t="n">
        <v>35</v>
      </c>
      <c r="G107" t="inlineStr">
        <is>
          <t>Ontario Tennis Association</t>
        </is>
      </c>
      <c r="H107" t="inlineStr">
        <is>
          <t>Granite Club</t>
        </is>
      </c>
      <c r="I107" t="n">
        <v>30</v>
      </c>
      <c r="J107" s="4" t="n">
        <v>218</v>
      </c>
      <c r="K107" t="inlineStr">
        <is>
          <t>103 / 115</t>
        </is>
      </c>
      <c r="L107" t="inlineStr">
        <is>
          <t>35 / 32</t>
        </is>
      </c>
      <c r="M107" s="5" t="n">
        <v>0.47</v>
      </c>
      <c r="N107" s="5" t="n">
        <v>0.52</v>
      </c>
    </row>
    <row r="108">
      <c r="A108" t="n">
        <v>107</v>
      </c>
      <c r="B108" t="n">
        <v>2013</v>
      </c>
      <c r="C108" t="inlineStr">
        <is>
          <t>Akshara Bavanaka</t>
        </is>
      </c>
      <c r="D108">
        <f>HYPERLINK("https://ota.tournamentsoftware.com/player-profile/DB56F65D-8A18-4169-BE31-18F89B25E14B", "Link")</f>
        <v/>
      </c>
      <c r="E108" s="3" t="n">
        <v>923.843</v>
      </c>
      <c r="F108" s="4" t="n">
        <v>37</v>
      </c>
      <c r="G108" t="inlineStr">
        <is>
          <t>Ontario Tennis Association</t>
        </is>
      </c>
      <c r="H108" t="inlineStr">
        <is>
          <t>Advantage Tennis International at Veneto</t>
        </is>
      </c>
      <c r="I108" t="n">
        <v>30.3</v>
      </c>
      <c r="J108" s="4" t="n">
        <v>241</v>
      </c>
      <c r="K108" t="inlineStr">
        <is>
          <t>123 / 118</t>
        </is>
      </c>
      <c r="L108" t="inlineStr">
        <is>
          <t>22 / 27</t>
        </is>
      </c>
      <c r="M108" s="5" t="n">
        <v>0.51</v>
      </c>
      <c r="N108" s="5" t="n">
        <v>0.45</v>
      </c>
    </row>
    <row r="109">
      <c r="A109" t="n">
        <v>108</v>
      </c>
      <c r="B109" t="n">
        <v>2014</v>
      </c>
      <c r="C109" t="inlineStr">
        <is>
          <t>Nyah Morgan</t>
        </is>
      </c>
      <c r="D109">
        <f>HYPERLINK("https://ota.tournamentsoftware.com/player-profile/D9CA028A-3366-4954-9B65-F9840B84F93D", "Link")</f>
        <v/>
      </c>
      <c r="E109" s="3" t="n">
        <v>920.136</v>
      </c>
      <c r="F109" s="4" t="n">
        <v>23</v>
      </c>
      <c r="G109" t="inlineStr">
        <is>
          <t>Ontario Tennis Association</t>
        </is>
      </c>
      <c r="H109" t="inlineStr">
        <is>
          <t>Premier Racquet Clubs – Mississauga</t>
        </is>
      </c>
      <c r="I109" t="n">
        <v>28</v>
      </c>
      <c r="J109" s="4" t="n">
        <v>214</v>
      </c>
      <c r="K109" t="inlineStr">
        <is>
          <t>138 / 76</t>
        </is>
      </c>
      <c r="L109" t="inlineStr">
        <is>
          <t>36 / 20</t>
        </is>
      </c>
      <c r="M109" s="5" t="n">
        <v>0.64</v>
      </c>
      <c r="N109" s="5" t="n">
        <v>0.64</v>
      </c>
    </row>
    <row r="110">
      <c r="A110" t="n">
        <v>109</v>
      </c>
      <c r="B110" t="n">
        <v>2013</v>
      </c>
      <c r="C110" t="inlineStr">
        <is>
          <t>Mia Nikolovska</t>
        </is>
      </c>
      <c r="D110">
        <f>HYPERLINK("https://ota.tournamentsoftware.com/player-profile/52158395-8ADB-4430-ABAA-C56A79756D09", "Link")</f>
        <v/>
      </c>
      <c r="E110" s="3" t="n">
        <v>895.96</v>
      </c>
      <c r="F110" s="4" t="n">
        <v>33</v>
      </c>
      <c r="G110" t="inlineStr">
        <is>
          <t>Ontario Tennis Association</t>
        </is>
      </c>
      <c r="H110" t="inlineStr">
        <is>
          <t>No Club</t>
        </is>
      </c>
      <c r="I110" t="inlineStr">
        <is>
          <t>unavailable</t>
        </is>
      </c>
      <c r="J110" s="4" t="n">
        <v>366</v>
      </c>
      <c r="K110" t="inlineStr">
        <is>
          <t>223 / 143</t>
        </is>
      </c>
      <c r="L110" t="inlineStr">
        <is>
          <t>33 / 22</t>
        </is>
      </c>
      <c r="M110" s="5" t="n">
        <v>0.61</v>
      </c>
      <c r="N110" s="5" t="n">
        <v>0.6</v>
      </c>
    </row>
    <row r="111">
      <c r="A111" t="n">
        <v>110</v>
      </c>
      <c r="B111" t="n">
        <v>2013</v>
      </c>
      <c r="C111" t="inlineStr">
        <is>
          <t>Jeanne Lampron</t>
        </is>
      </c>
      <c r="D111">
        <f>HYPERLINK("https://ota.tournamentsoftware.com/player-profile/DBA36429-C15E-4F24-9832-7D6BA94887C6", "Link")</f>
        <v/>
      </c>
      <c r="E111" s="3" t="n">
        <v>875.76</v>
      </c>
      <c r="F111" s="4" t="n">
        <v>23</v>
      </c>
      <c r="G111" t="inlineStr">
        <is>
          <t>Tennis Québec</t>
        </is>
      </c>
      <c r="H111" t="inlineStr">
        <is>
          <t>Tennis Montréal Excellence</t>
        </is>
      </c>
      <c r="I111" t="n">
        <v>26.4</v>
      </c>
      <c r="J111" s="4" t="n">
        <v>137</v>
      </c>
      <c r="K111" t="inlineStr">
        <is>
          <t>65 / 72</t>
        </is>
      </c>
      <c r="L111" t="inlineStr">
        <is>
          <t>30 / 25</t>
        </is>
      </c>
      <c r="M111" s="5" t="n">
        <v>0.47</v>
      </c>
      <c r="N111" s="5" t="n">
        <v>0.55</v>
      </c>
    </row>
    <row r="112">
      <c r="A112" t="n">
        <v>111</v>
      </c>
      <c r="B112" t="n">
        <v>2015</v>
      </c>
      <c r="C112" t="inlineStr">
        <is>
          <t>Emilie Joly</t>
        </is>
      </c>
      <c r="D112">
        <f>HYPERLINK("https://ota.tournamentsoftware.com/player-profile/57736008-B9CA-4FCE-BEF6-90222787F336", "Link")</f>
        <v/>
      </c>
      <c r="E112" s="3" t="n">
        <v>865.3150000000001</v>
      </c>
      <c r="F112" s="4" t="n">
        <v>16</v>
      </c>
      <c r="G112" t="inlineStr">
        <is>
          <t>Ontario Tennis Association</t>
        </is>
      </c>
      <c r="H112" t="inlineStr">
        <is>
          <t>Kingston Racquet Centre</t>
        </is>
      </c>
      <c r="I112" t="n">
        <v>27.5</v>
      </c>
      <c r="J112" s="4" t="n">
        <v>224</v>
      </c>
      <c r="K112" t="inlineStr">
        <is>
          <t>156 / 68</t>
        </is>
      </c>
      <c r="L112" t="inlineStr">
        <is>
          <t>33 / 8</t>
        </is>
      </c>
      <c r="M112" s="5" t="n">
        <v>0.7</v>
      </c>
      <c r="N112" s="5" t="n">
        <v>0.8</v>
      </c>
    </row>
    <row r="113">
      <c r="A113" t="n">
        <v>112</v>
      </c>
      <c r="B113" t="n">
        <v>2013</v>
      </c>
      <c r="C113" t="inlineStr">
        <is>
          <t>Natalia Sena</t>
        </is>
      </c>
      <c r="D113">
        <f>HYPERLINK("https://ota.tournamentsoftware.com/player-profile/D89592D5-D2EA-499E-9A9C-8B20B391C761", "Link")</f>
        <v/>
      </c>
      <c r="E113" s="3" t="n">
        <v>864.5</v>
      </c>
      <c r="F113" s="4" t="n">
        <v>29</v>
      </c>
      <c r="G113" t="inlineStr">
        <is>
          <t>Tennis Québec</t>
        </is>
      </c>
      <c r="H113" t="inlineStr">
        <is>
          <t>No Club</t>
        </is>
      </c>
      <c r="I113" t="n">
        <v>28.8</v>
      </c>
      <c r="J113" s="4" t="n">
        <v>96</v>
      </c>
      <c r="K113" t="inlineStr">
        <is>
          <t>50 / 46</t>
        </is>
      </c>
      <c r="L113" t="inlineStr">
        <is>
          <t>31 / 17</t>
        </is>
      </c>
      <c r="M113" s="5" t="n">
        <v>0.52</v>
      </c>
      <c r="N113" s="5" t="n">
        <v>0.65</v>
      </c>
    </row>
    <row r="114">
      <c r="A114" t="n">
        <v>113</v>
      </c>
      <c r="B114" t="n">
        <v>2012</v>
      </c>
      <c r="C114" t="inlineStr">
        <is>
          <t>Jaydalie Isaac</t>
        </is>
      </c>
      <c r="D114">
        <f>HYPERLINK("https://ota.tournamentsoftware.com/player-profile/A56DDC7B-03D0-424A-907D-63A363906F9A", "Link")</f>
        <v/>
      </c>
      <c r="E114" s="3" t="n">
        <v>851.111</v>
      </c>
      <c r="F114" s="4" t="n">
        <v>13</v>
      </c>
      <c r="G114" t="inlineStr">
        <is>
          <t>Tennis Québec</t>
        </is>
      </c>
      <c r="H114" t="inlineStr">
        <is>
          <t>No Club</t>
        </is>
      </c>
      <c r="I114" t="n">
        <v>27.9</v>
      </c>
      <c r="J114" s="4" t="n">
        <v>235</v>
      </c>
      <c r="K114" t="inlineStr">
        <is>
          <t>111 / 124</t>
        </is>
      </c>
      <c r="L114" t="inlineStr">
        <is>
          <t>21 / 12</t>
        </is>
      </c>
      <c r="M114" s="5" t="n">
        <v>0.47</v>
      </c>
      <c r="N114" s="5" t="n">
        <v>0.64</v>
      </c>
    </row>
    <row r="115">
      <c r="A115" t="n">
        <v>114</v>
      </c>
      <c r="B115" t="n">
        <v>2014</v>
      </c>
      <c r="C115" t="inlineStr">
        <is>
          <t>Thanida (Belle) Shaipanich</t>
        </is>
      </c>
      <c r="D115">
        <f>HYPERLINK("https://ota.tournamentsoftware.com/player-profile/98546C72-5CCA-44E8-AFB9-20B9D560E5E3", "Link")</f>
        <v/>
      </c>
      <c r="E115" s="3" t="n">
        <v>835.515</v>
      </c>
      <c r="F115" s="4" t="n">
        <v>14</v>
      </c>
      <c r="G115" t="inlineStr">
        <is>
          <t>British Columbia</t>
        </is>
      </c>
      <c r="H115" t="inlineStr">
        <is>
          <t>UBC Tennis Centre</t>
        </is>
      </c>
      <c r="I115" t="n">
        <v>27.6</v>
      </c>
      <c r="J115" s="4" t="n">
        <v>206</v>
      </c>
      <c r="K115" t="inlineStr">
        <is>
          <t>148 / 58</t>
        </is>
      </c>
      <c r="L115" t="inlineStr">
        <is>
          <t>31 / 21</t>
        </is>
      </c>
      <c r="M115" s="5" t="n">
        <v>0.72</v>
      </c>
      <c r="N115" s="5" t="n">
        <v>0.6</v>
      </c>
    </row>
    <row r="116">
      <c r="A116" t="n">
        <v>115</v>
      </c>
      <c r="B116" t="n">
        <v>2012</v>
      </c>
      <c r="C116" t="inlineStr">
        <is>
          <t>Zenaida May Kolesnikov</t>
        </is>
      </c>
      <c r="D116">
        <f>HYPERLINK("https://ota.tournamentsoftware.com/player-profile/0D20CA06-CC79-483F-87DD-AD6F5FC76972", "Link")</f>
        <v/>
      </c>
      <c r="E116" s="3" t="n">
        <v>834.88</v>
      </c>
      <c r="F116" s="4" t="n">
        <v>5</v>
      </c>
      <c r="G116" t="inlineStr">
        <is>
          <t>Ontario Tennis Association</t>
        </is>
      </c>
      <c r="H116" t="inlineStr">
        <is>
          <t>Kew Gardens Tennis Club</t>
        </is>
      </c>
      <c r="I116" t="n">
        <v>24.2</v>
      </c>
      <c r="J116" s="4" t="n">
        <v>87</v>
      </c>
      <c r="K116" t="inlineStr">
        <is>
          <t>67 / 20</t>
        </is>
      </c>
      <c r="L116" t="inlineStr">
        <is>
          <t>13 / 3</t>
        </is>
      </c>
      <c r="M116" s="5" t="n">
        <v>0.77</v>
      </c>
      <c r="N116" s="5" t="n">
        <v>0.8100000000000001</v>
      </c>
    </row>
    <row r="117">
      <c r="A117" t="n">
        <v>116</v>
      </c>
      <c r="B117" t="n">
        <v>2014</v>
      </c>
      <c r="C117" t="inlineStr">
        <is>
          <t>Edwina Ed Xue</t>
        </is>
      </c>
      <c r="D117">
        <f>HYPERLINK("https://ota.tournamentsoftware.com/player-profile/16F3FDF7-F098-4A63-9D5F-87B196D248B5", "Link")</f>
        <v/>
      </c>
      <c r="E117" s="3" t="n">
        <v>821.777</v>
      </c>
      <c r="F117" s="4" t="n">
        <v>19</v>
      </c>
      <c r="G117" t="inlineStr">
        <is>
          <t>Ontario Tennis Association</t>
        </is>
      </c>
      <c r="H117" t="inlineStr">
        <is>
          <t>Granite Club</t>
        </is>
      </c>
      <c r="I117" t="n">
        <v>28.5</v>
      </c>
      <c r="J117" s="4" t="n">
        <v>288</v>
      </c>
      <c r="K117" t="inlineStr">
        <is>
          <t>169 / 119</t>
        </is>
      </c>
      <c r="L117" t="inlineStr">
        <is>
          <t>29 / 23</t>
        </is>
      </c>
      <c r="M117" s="5" t="n">
        <v>0.59</v>
      </c>
      <c r="N117" s="5" t="n">
        <v>0.5600000000000001</v>
      </c>
    </row>
    <row r="118">
      <c r="A118" t="n">
        <v>117</v>
      </c>
      <c r="B118" t="n">
        <v>2015</v>
      </c>
      <c r="C118" t="inlineStr">
        <is>
          <t>Olivia Lu</t>
        </is>
      </c>
      <c r="D118">
        <f>HYPERLINK("https://ota.tournamentsoftware.com/player-profile/807CAE71-A1FD-4ED2-952F-E0EDBF0E66E6", "Link")</f>
        <v/>
      </c>
      <c r="E118" s="3" t="n">
        <v>814.568</v>
      </c>
      <c r="F118" s="4" t="n">
        <v>22</v>
      </c>
      <c r="G118" t="inlineStr">
        <is>
          <t>Ontario Tennis Association</t>
        </is>
      </c>
      <c r="H118" t="inlineStr">
        <is>
          <t>Advantage Tennis International at Veneto</t>
        </is>
      </c>
      <c r="I118" t="n">
        <v>30.8</v>
      </c>
      <c r="J118" s="4" t="n">
        <v>165</v>
      </c>
      <c r="K118" t="inlineStr">
        <is>
          <t>95 / 70</t>
        </is>
      </c>
      <c r="L118" t="inlineStr">
        <is>
          <t>28 / 18</t>
        </is>
      </c>
      <c r="M118" s="5" t="n">
        <v>0.58</v>
      </c>
      <c r="N118" s="5" t="n">
        <v>0.61</v>
      </c>
    </row>
    <row r="119">
      <c r="A119" t="n">
        <v>118</v>
      </c>
      <c r="B119" t="n">
        <v>2014</v>
      </c>
      <c r="C119" t="inlineStr">
        <is>
          <t>Fengfei ZHANG</t>
        </is>
      </c>
      <c r="D119">
        <f>HYPERLINK("https://ota.tournamentsoftware.com/player-profile/AB18AFB2-DEDF-42AF-BFB1-458553AF250C", "Link")</f>
        <v/>
      </c>
      <c r="E119" s="3" t="n">
        <v>806.838</v>
      </c>
      <c r="F119" s="4" t="n">
        <v>30</v>
      </c>
      <c r="G119" t="inlineStr">
        <is>
          <t>Tennis Québec</t>
        </is>
      </c>
      <c r="H119" t="inlineStr">
        <is>
          <t>Tennis Ile- des- Soeurs</t>
        </is>
      </c>
      <c r="I119" t="n">
        <v>28.3</v>
      </c>
      <c r="J119" s="4" t="n">
        <v>246</v>
      </c>
      <c r="K119" t="inlineStr">
        <is>
          <t>113 / 133</t>
        </is>
      </c>
      <c r="L119" t="inlineStr">
        <is>
          <t>44 / 33</t>
        </is>
      </c>
      <c r="M119" s="5" t="n">
        <v>0.46</v>
      </c>
      <c r="N119" s="5" t="n">
        <v>0.57</v>
      </c>
    </row>
    <row r="120">
      <c r="A120" t="n">
        <v>119</v>
      </c>
      <c r="B120" t="n">
        <v>2012</v>
      </c>
      <c r="C120" t="inlineStr">
        <is>
          <t>Penelope Brandt</t>
        </is>
      </c>
      <c r="D120">
        <f>HYPERLINK("https://ota.tournamentsoftware.com/player-profile/AA2E46A9-EC33-4492-A527-0C8E0CA405B0", "Link")</f>
        <v/>
      </c>
      <c r="E120" s="3" t="n">
        <v>793.876</v>
      </c>
      <c r="F120" s="4" t="n">
        <v>24</v>
      </c>
      <c r="G120" t="inlineStr">
        <is>
          <t>Tennis Québec</t>
        </is>
      </c>
      <c r="H120" t="inlineStr">
        <is>
          <t>SANI Sport</t>
        </is>
      </c>
      <c r="I120" t="n">
        <v>27.8</v>
      </c>
      <c r="J120" s="4" t="n">
        <v>249</v>
      </c>
      <c r="K120" t="inlineStr">
        <is>
          <t>125 / 124</t>
        </is>
      </c>
      <c r="L120" t="inlineStr">
        <is>
          <t>34 / 23</t>
        </is>
      </c>
      <c r="M120" s="5" t="n">
        <v>0.5</v>
      </c>
      <c r="N120" s="5" t="n">
        <v>0.6</v>
      </c>
    </row>
    <row r="121">
      <c r="A121" t="n">
        <v>120</v>
      </c>
      <c r="B121" t="n">
        <v>2012</v>
      </c>
      <c r="C121" t="inlineStr">
        <is>
          <t>Joanna Pananchickal</t>
        </is>
      </c>
      <c r="D121">
        <f>HYPERLINK("https://ota.tournamentsoftware.com/player-profile/6487D297-D67D-4189-9D3C-05A8EA398E60", "Link")</f>
        <v/>
      </c>
      <c r="E121" s="3" t="n">
        <v>788.022</v>
      </c>
      <c r="F121" s="4" t="n">
        <v>14</v>
      </c>
      <c r="G121" t="inlineStr">
        <is>
          <t>Ontario Tennis Association</t>
        </is>
      </c>
      <c r="H121" t="inlineStr">
        <is>
          <t>No Club</t>
        </is>
      </c>
      <c r="I121" t="n">
        <v>29.5</v>
      </c>
      <c r="J121" s="4" t="n">
        <v>73</v>
      </c>
      <c r="K121" t="inlineStr">
        <is>
          <t>36 / 37</t>
        </is>
      </c>
      <c r="L121" t="inlineStr">
        <is>
          <t>18 / 9</t>
        </is>
      </c>
      <c r="M121" s="5" t="n">
        <v>0.49</v>
      </c>
      <c r="N121" s="5" t="n">
        <v>0.67</v>
      </c>
    </row>
    <row r="122">
      <c r="A122" t="n">
        <v>121</v>
      </c>
      <c r="B122" t="n">
        <v>2013</v>
      </c>
      <c r="C122" t="inlineStr">
        <is>
          <t>Melanie Moon</t>
        </is>
      </c>
      <c r="D122">
        <f>HYPERLINK("https://ota.tournamentsoftware.com/player-profile/90FC60A1-D48C-4A9A-97D8-A17B60CF6D4A", "Link")</f>
        <v/>
      </c>
      <c r="E122" s="3" t="n">
        <v>784.8390000000001</v>
      </c>
      <c r="F122" s="4" t="n">
        <v>15</v>
      </c>
      <c r="G122" t="inlineStr">
        <is>
          <t>British Columbia</t>
        </is>
      </c>
      <c r="H122" t="inlineStr">
        <is>
          <t>Vancouver Lawn Tennis and Badminton Club</t>
        </is>
      </c>
      <c r="I122" t="n">
        <v>28.1</v>
      </c>
      <c r="J122" s="4" t="n">
        <v>236</v>
      </c>
      <c r="K122" t="inlineStr">
        <is>
          <t>119 / 117</t>
        </is>
      </c>
      <c r="L122" t="inlineStr">
        <is>
          <t>10 / 17</t>
        </is>
      </c>
      <c r="M122" s="5" t="n">
        <v>0.5</v>
      </c>
      <c r="N122" s="5" t="n">
        <v>0.37</v>
      </c>
    </row>
    <row r="123">
      <c r="A123" t="n">
        <v>122</v>
      </c>
      <c r="B123" t="n">
        <v>2013</v>
      </c>
      <c r="C123" t="inlineStr">
        <is>
          <t>Élianne Bouchard</t>
        </is>
      </c>
      <c r="D123">
        <f>HYPERLINK("https://ota.tournamentsoftware.com/player-profile/44233F45-64EC-49B2-AA72-859E176C2987", "Link")</f>
        <v/>
      </c>
      <c r="E123" s="3" t="n">
        <v>784.313</v>
      </c>
      <c r="F123" s="4" t="n">
        <v>31</v>
      </c>
      <c r="G123" t="inlineStr">
        <is>
          <t>Tennis Québec</t>
        </is>
      </c>
      <c r="H123" t="inlineStr">
        <is>
          <t>Tennis Interclub Piedmont</t>
        </is>
      </c>
      <c r="I123" t="n">
        <v>29.5</v>
      </c>
      <c r="J123" s="4" t="n">
        <v>255</v>
      </c>
      <c r="K123" t="inlineStr">
        <is>
          <t>121 / 134</t>
        </is>
      </c>
      <c r="L123" t="inlineStr">
        <is>
          <t>35 / 26</t>
        </is>
      </c>
      <c r="M123" s="5" t="n">
        <v>0.47</v>
      </c>
      <c r="N123" s="5" t="n">
        <v>0.57</v>
      </c>
    </row>
    <row r="124">
      <c r="A124" t="n">
        <v>123</v>
      </c>
      <c r="B124" t="n">
        <v>2013</v>
      </c>
      <c r="C124" t="inlineStr">
        <is>
          <t>Navya Chawla</t>
        </is>
      </c>
      <c r="D124">
        <f>HYPERLINK("https://ota.tournamentsoftware.com/player-profile/26838C23-66D4-4CAD-825B-C69620EB242D", "Link")</f>
        <v/>
      </c>
      <c r="E124" s="3" t="n">
        <v>777.96</v>
      </c>
      <c r="F124" s="4" t="n">
        <v>18</v>
      </c>
      <c r="G124" t="inlineStr">
        <is>
          <t>Tennis Alberta</t>
        </is>
      </c>
      <c r="H124" t="inlineStr">
        <is>
          <t>Osten &amp; Victor Alberta Tennis Centre</t>
        </is>
      </c>
      <c r="I124" t="n">
        <v>24.5</v>
      </c>
      <c r="J124" s="4" t="n">
        <v>281</v>
      </c>
      <c r="K124" t="inlineStr">
        <is>
          <t>178 / 103</t>
        </is>
      </c>
      <c r="L124" t="inlineStr">
        <is>
          <t>14 / 13</t>
        </is>
      </c>
      <c r="M124" s="5" t="n">
        <v>0.63</v>
      </c>
      <c r="N124" s="5" t="n">
        <v>0.52</v>
      </c>
    </row>
    <row r="125">
      <c r="A125" t="n">
        <v>124</v>
      </c>
      <c r="B125" t="n">
        <v>2012</v>
      </c>
      <c r="C125" t="inlineStr">
        <is>
          <t>Anna Lucenti</t>
        </is>
      </c>
      <c r="D125">
        <f>HYPERLINK("https://ota.tournamentsoftware.com/player-profile/332E40CD-AB90-41CE-81C3-858501B2FAD3", "Link")</f>
        <v/>
      </c>
      <c r="E125" s="3" t="n">
        <v>766.526</v>
      </c>
      <c r="F125" s="4" t="n">
        <v>27</v>
      </c>
      <c r="G125" t="inlineStr">
        <is>
          <t>Ontario Tennis Association</t>
        </is>
      </c>
      <c r="H125" t="inlineStr">
        <is>
          <t>SmartVMC Racquetsports by ACE</t>
        </is>
      </c>
      <c r="I125" t="n">
        <v>29.2</v>
      </c>
      <c r="J125" s="4" t="n">
        <v>138</v>
      </c>
      <c r="K125" t="inlineStr">
        <is>
          <t>59 / 79</t>
        </is>
      </c>
      <c r="L125" t="inlineStr">
        <is>
          <t>26 / 16</t>
        </is>
      </c>
      <c r="M125" s="5" t="n">
        <v>0.43</v>
      </c>
      <c r="N125" s="5" t="n">
        <v>0.62</v>
      </c>
    </row>
    <row r="126">
      <c r="A126" t="n">
        <v>125</v>
      </c>
      <c r="B126" t="n">
        <v>2012</v>
      </c>
      <c r="C126" t="inlineStr">
        <is>
          <t>Lourdes Valentina Haun</t>
        </is>
      </c>
      <c r="D126">
        <f>HYPERLINK("https://ota.tournamentsoftware.com/player-profile/97D1640C-AAFD-43B2-8C9A-BAA1649A3937", "Link")</f>
        <v/>
      </c>
      <c r="E126" s="3" t="n">
        <v>761.729</v>
      </c>
      <c r="F126" s="4" t="n">
        <v>14</v>
      </c>
      <c r="G126" t="inlineStr">
        <is>
          <t>Tennis Alberta</t>
        </is>
      </c>
      <c r="H126" t="inlineStr">
        <is>
          <t>Osten &amp; Victor Alberta Tennis Centre</t>
        </is>
      </c>
      <c r="I126" t="n">
        <v>26.1</v>
      </c>
      <c r="J126" s="4" t="n">
        <v>292</v>
      </c>
      <c r="K126" t="inlineStr">
        <is>
          <t>170 / 122</t>
        </is>
      </c>
      <c r="L126" t="inlineStr">
        <is>
          <t>21 / 16</t>
        </is>
      </c>
      <c r="M126" s="5" t="n">
        <v>0.58</v>
      </c>
      <c r="N126" s="5" t="n">
        <v>0.57</v>
      </c>
    </row>
    <row r="127">
      <c r="A127" t="n">
        <v>126</v>
      </c>
      <c r="B127" t="n">
        <v>2012</v>
      </c>
      <c r="C127" t="inlineStr">
        <is>
          <t>Victoria Chow</t>
        </is>
      </c>
      <c r="D127">
        <f>HYPERLINK("https://ota.tournamentsoftware.com/player-profile/7A966C5F-11C4-49ED-9F9D-2B1D18AB7E3B", "Link")</f>
        <v/>
      </c>
      <c r="E127" s="3" t="n">
        <v>743.375</v>
      </c>
      <c r="F127" s="4" t="n">
        <v>20</v>
      </c>
      <c r="G127" t="inlineStr">
        <is>
          <t>Ontario Tennis Association</t>
        </is>
      </c>
      <c r="H127" t="inlineStr">
        <is>
          <t>No Club</t>
        </is>
      </c>
      <c r="I127" t="inlineStr">
        <is>
          <t>unavailable</t>
        </is>
      </c>
      <c r="J127" s="4" t="n">
        <v>280</v>
      </c>
      <c r="K127" t="inlineStr">
        <is>
          <t>142 / 138</t>
        </is>
      </c>
      <c r="L127" t="inlineStr">
        <is>
          <t>16 / 24</t>
        </is>
      </c>
      <c r="M127" s="5" t="n">
        <v>0.51</v>
      </c>
      <c r="N127" s="5" t="n">
        <v>0.4</v>
      </c>
    </row>
    <row r="128">
      <c r="A128" t="n">
        <v>127</v>
      </c>
      <c r="B128" t="n">
        <v>2014</v>
      </c>
      <c r="C128" t="inlineStr">
        <is>
          <t>Michelle Zhang</t>
        </is>
      </c>
      <c r="D128">
        <f>HYPERLINK("https://ota.tournamentsoftware.com/player-profile/9912697B-2876-4A36-8F98-3B7F524694E1", "Link")</f>
        <v/>
      </c>
      <c r="E128" s="3" t="n">
        <v>738.6799999999999</v>
      </c>
      <c r="F128" s="4" t="n">
        <v>13</v>
      </c>
      <c r="G128" t="inlineStr">
        <is>
          <t>Tennis Nova Scotia</t>
        </is>
      </c>
      <c r="H128" t="inlineStr">
        <is>
          <t>Atlantic Tennis Centre</t>
        </is>
      </c>
      <c r="I128" t="n">
        <v>29.3</v>
      </c>
      <c r="J128" s="4" t="n">
        <v>159</v>
      </c>
      <c r="K128" t="inlineStr">
        <is>
          <t>89 / 70</t>
        </is>
      </c>
      <c r="L128" t="inlineStr">
        <is>
          <t>27 / 29</t>
        </is>
      </c>
      <c r="M128" s="5" t="n">
        <v>0.5600000000000001</v>
      </c>
      <c r="N128" s="5" t="n">
        <v>0.48</v>
      </c>
    </row>
    <row r="129">
      <c r="A129" t="n">
        <v>128</v>
      </c>
      <c r="B129" t="n">
        <v>2014</v>
      </c>
      <c r="C129" t="inlineStr">
        <is>
          <t>Nuanyi Li</t>
        </is>
      </c>
      <c r="D129">
        <f>HYPERLINK("https://ota.tournamentsoftware.com/player-profile/341DA394-9039-4254-B369-B8C52872A168", "Link")</f>
        <v/>
      </c>
      <c r="E129" s="3" t="n">
        <v>728.697</v>
      </c>
      <c r="F129" s="4" t="n">
        <v>28</v>
      </c>
      <c r="G129" t="inlineStr">
        <is>
          <t>Ontario Tennis Association</t>
        </is>
      </c>
      <c r="H129" t="inlineStr">
        <is>
          <t>Fainblum Tennis Academy</t>
        </is>
      </c>
      <c r="I129" t="n">
        <v>28.4</v>
      </c>
      <c r="J129" s="4" t="n">
        <v>294</v>
      </c>
      <c r="K129" t="inlineStr">
        <is>
          <t>183 / 111</t>
        </is>
      </c>
      <c r="L129" t="inlineStr">
        <is>
          <t>32 / 28</t>
        </is>
      </c>
      <c r="M129" s="5" t="n">
        <v>0.62</v>
      </c>
      <c r="N129" s="5" t="n">
        <v>0.53</v>
      </c>
    </row>
    <row r="130">
      <c r="A130" t="n">
        <v>129</v>
      </c>
      <c r="B130" t="n">
        <v>2012</v>
      </c>
      <c r="C130" t="inlineStr">
        <is>
          <t>Dina Yijia Zhang</t>
        </is>
      </c>
      <c r="D130">
        <f>HYPERLINK("https://ota.tournamentsoftware.com/player-profile/CF7261D5-5723-40A9-853D-2B21D7A35985", "Link")</f>
        <v/>
      </c>
      <c r="E130" s="3" t="n">
        <v>714.651</v>
      </c>
      <c r="F130" s="4" t="n">
        <v>10</v>
      </c>
      <c r="G130" t="inlineStr">
        <is>
          <t>Tennis Nova Scotia</t>
        </is>
      </c>
      <c r="H130" t="inlineStr">
        <is>
          <t>HEADSTART</t>
        </is>
      </c>
      <c r="I130" t="n">
        <v>30.1</v>
      </c>
      <c r="J130" s="4" t="n">
        <v>163</v>
      </c>
      <c r="K130" t="inlineStr">
        <is>
          <t>67 / 96</t>
        </is>
      </c>
      <c r="L130" t="inlineStr">
        <is>
          <t>11 / 17</t>
        </is>
      </c>
      <c r="M130" s="5" t="n">
        <v>0.41</v>
      </c>
      <c r="N130" s="5" t="n">
        <v>0.39</v>
      </c>
    </row>
    <row r="131">
      <c r="A131" t="n">
        <v>130</v>
      </c>
      <c r="B131" t="n">
        <v>2013</v>
      </c>
      <c r="C131" t="inlineStr">
        <is>
          <t>Elena Vamoser</t>
        </is>
      </c>
      <c r="D131">
        <f>HYPERLINK("https://ota.tournamentsoftware.com/player-profile/F839ADA6-2875-4712-9FE7-C958E075D669", "Link")</f>
        <v/>
      </c>
      <c r="E131" s="3" t="n">
        <v>697.77</v>
      </c>
      <c r="F131" s="4" t="n">
        <v>25</v>
      </c>
      <c r="G131" t="inlineStr">
        <is>
          <t>Ontario Tennis Association</t>
        </is>
      </c>
      <c r="H131" t="inlineStr">
        <is>
          <t>ACE Tennis - Burlington</t>
        </is>
      </c>
      <c r="I131" t="n">
        <v>30.8</v>
      </c>
      <c r="J131" s="4" t="n">
        <v>132</v>
      </c>
      <c r="K131" t="inlineStr">
        <is>
          <t>75 / 57</t>
        </is>
      </c>
      <c r="L131" t="inlineStr">
        <is>
          <t>16 / 20</t>
        </is>
      </c>
      <c r="M131" s="5" t="n">
        <v>0.57</v>
      </c>
      <c r="N131" s="5" t="n">
        <v>0.44</v>
      </c>
    </row>
    <row r="132">
      <c r="A132" t="n">
        <v>131</v>
      </c>
      <c r="B132" t="n">
        <v>2015</v>
      </c>
      <c r="C132" t="inlineStr">
        <is>
          <t>Sofia Chan</t>
        </is>
      </c>
      <c r="D132">
        <f>HYPERLINK("https://ota.tournamentsoftware.com/player-profile/62C41ADF-8A1D-416E-AAF9-4C80ECB74645", "Link")</f>
        <v/>
      </c>
      <c r="E132" s="3" t="n">
        <v>695.928</v>
      </c>
      <c r="F132" s="4" t="n">
        <v>33</v>
      </c>
      <c r="G132" t="inlineStr">
        <is>
          <t>Ontario Tennis Association</t>
        </is>
      </c>
      <c r="H132" t="inlineStr">
        <is>
          <t>No Club</t>
        </is>
      </c>
      <c r="I132" t="n">
        <v>30.2</v>
      </c>
      <c r="J132" s="4" t="n">
        <v>162</v>
      </c>
      <c r="K132" t="inlineStr">
        <is>
          <t>103 / 59</t>
        </is>
      </c>
      <c r="L132" t="inlineStr">
        <is>
          <t>46 / 28</t>
        </is>
      </c>
      <c r="M132" s="5" t="n">
        <v>0.64</v>
      </c>
      <c r="N132" s="5" t="n">
        <v>0.62</v>
      </c>
    </row>
    <row r="133">
      <c r="A133" t="n">
        <v>132</v>
      </c>
      <c r="B133" t="n">
        <v>2016</v>
      </c>
      <c r="C133" t="inlineStr">
        <is>
          <t>Kaili Ear Gui</t>
        </is>
      </c>
      <c r="D133">
        <f>HYPERLINK("https://ota.tournamentsoftware.com/player-profile/6E1FCBA7-1BA6-4DCA-9440-D121E3710638", "Link")</f>
        <v/>
      </c>
      <c r="E133" s="3" t="n">
        <v>695.772</v>
      </c>
      <c r="F133" s="4" t="n">
        <v>13</v>
      </c>
      <c r="G133" t="inlineStr">
        <is>
          <t>Tennis Saskatchewan</t>
        </is>
      </c>
      <c r="H133" t="inlineStr">
        <is>
          <t>Lakeshore Tennis Club</t>
        </is>
      </c>
      <c r="I133" t="n">
        <v>31.6</v>
      </c>
      <c r="J133" s="4" t="n">
        <v>147</v>
      </c>
      <c r="K133" t="inlineStr">
        <is>
          <t>84 / 63</t>
        </is>
      </c>
      <c r="L133" t="inlineStr">
        <is>
          <t>35 / 30</t>
        </is>
      </c>
      <c r="M133" s="5" t="n">
        <v>0.57</v>
      </c>
      <c r="N133" s="5" t="n">
        <v>0.54</v>
      </c>
    </row>
    <row r="134">
      <c r="A134" t="n">
        <v>133</v>
      </c>
      <c r="B134" t="n">
        <v>2012</v>
      </c>
      <c r="C134" t="inlineStr">
        <is>
          <t>Avea Ungureanu Pinto</t>
        </is>
      </c>
      <c r="D134">
        <f>HYPERLINK("https://ota.tournamentsoftware.com/player-profile/527FEC9E-D920-4439-9E01-51A3CFDED939", "Link")</f>
        <v/>
      </c>
      <c r="E134" s="3" t="n">
        <v>681.7809999999999</v>
      </c>
      <c r="F134" s="4" t="n">
        <v>26</v>
      </c>
      <c r="G134" t="inlineStr">
        <is>
          <t>Ontario Tennis Association</t>
        </is>
      </c>
      <c r="H134" t="inlineStr">
        <is>
          <t>Mayfair East Racquet Club</t>
        </is>
      </c>
      <c r="I134" t="n">
        <v>28.2</v>
      </c>
      <c r="J134" s="4" t="n">
        <v>146</v>
      </c>
      <c r="K134" t="inlineStr">
        <is>
          <t>79 / 67</t>
        </is>
      </c>
      <c r="L134" t="inlineStr">
        <is>
          <t>24 / 18</t>
        </is>
      </c>
      <c r="M134" s="5" t="n">
        <v>0.54</v>
      </c>
      <c r="N134" s="5" t="n">
        <v>0.57</v>
      </c>
    </row>
    <row r="135">
      <c r="A135" t="n">
        <v>134</v>
      </c>
      <c r="B135" t="n">
        <v>2013</v>
      </c>
      <c r="C135" t="inlineStr">
        <is>
          <t>Bianca Nestor</t>
        </is>
      </c>
      <c r="D135">
        <f>HYPERLINK("https://ota.tournamentsoftware.com/player-profile/8BAE5D37-8145-43F6-9016-30DDC5E4E994", "Link")</f>
        <v/>
      </c>
      <c r="E135" s="3" t="n">
        <v>674.752</v>
      </c>
      <c r="F135" s="4" t="n">
        <v>20</v>
      </c>
      <c r="G135" t="inlineStr">
        <is>
          <t>Ontario Tennis Association</t>
        </is>
      </c>
      <c r="H135" t="inlineStr">
        <is>
          <t>Toronto Lawn Tennis Club</t>
        </is>
      </c>
      <c r="I135" t="n">
        <v>30.2</v>
      </c>
      <c r="J135" s="4" t="n">
        <v>203</v>
      </c>
      <c r="K135" t="inlineStr">
        <is>
          <t>98 / 105</t>
        </is>
      </c>
      <c r="L135" t="inlineStr">
        <is>
          <t>17 / 19</t>
        </is>
      </c>
      <c r="M135" s="5" t="n">
        <v>0.48</v>
      </c>
      <c r="N135" s="5" t="n">
        <v>0.47</v>
      </c>
    </row>
    <row r="136">
      <c r="A136" t="n">
        <v>135</v>
      </c>
      <c r="B136" t="n">
        <v>2013</v>
      </c>
      <c r="C136" t="inlineStr">
        <is>
          <t>Maliah Morgan</t>
        </is>
      </c>
      <c r="D136">
        <f>HYPERLINK("https://ota.tournamentsoftware.com/player-profile/9A3C1326-AE04-42FE-BCE6-AF95D32715F8", "Link")</f>
        <v/>
      </c>
      <c r="E136" s="3" t="n">
        <v>669.437</v>
      </c>
      <c r="F136" s="4" t="n">
        <v>20</v>
      </c>
      <c r="G136" t="inlineStr">
        <is>
          <t>Ontario Tennis Association</t>
        </is>
      </c>
      <c r="H136" t="inlineStr">
        <is>
          <t>Joshua Creek Golf &amp; Tennis</t>
        </is>
      </c>
      <c r="I136" t="n">
        <v>27.7</v>
      </c>
      <c r="J136" s="4" t="n">
        <v>201</v>
      </c>
      <c r="K136" t="inlineStr">
        <is>
          <t>122 / 79</t>
        </is>
      </c>
      <c r="L136" t="inlineStr">
        <is>
          <t>22 / 16</t>
        </is>
      </c>
      <c r="M136" s="5" t="n">
        <v>0.61</v>
      </c>
      <c r="N136" s="5" t="n">
        <v>0.58</v>
      </c>
    </row>
    <row r="137">
      <c r="A137" t="n">
        <v>136</v>
      </c>
      <c r="B137" t="n">
        <v>2013</v>
      </c>
      <c r="C137" t="inlineStr">
        <is>
          <t>Leyan Isabella Yik Sum Leung</t>
        </is>
      </c>
      <c r="D137">
        <f>HYPERLINK("https://ota.tournamentsoftware.com/player-profile/7FB2D792-ABB2-4F05-B9D4-757321E9FA35", "Link")</f>
        <v/>
      </c>
      <c r="E137" s="3" t="n">
        <v>663.989</v>
      </c>
      <c r="F137" s="4" t="n">
        <v>20</v>
      </c>
      <c r="G137" t="inlineStr">
        <is>
          <t>British Columbia</t>
        </is>
      </c>
      <c r="H137" t="inlineStr">
        <is>
          <t>Vanguard Tennis Academy</t>
        </is>
      </c>
      <c r="I137" t="n">
        <v>27.1</v>
      </c>
      <c r="J137" s="4" t="n">
        <v>127</v>
      </c>
      <c r="K137" t="inlineStr">
        <is>
          <t>82 / 45</t>
        </is>
      </c>
      <c r="L137" t="inlineStr">
        <is>
          <t>32 / 17</t>
        </is>
      </c>
      <c r="M137" s="5" t="n">
        <v>0.65</v>
      </c>
      <c r="N137" s="5" t="n">
        <v>0.65</v>
      </c>
    </row>
    <row r="138">
      <c r="A138" t="n">
        <v>137</v>
      </c>
      <c r="B138" t="n">
        <v>2012</v>
      </c>
      <c r="C138" t="inlineStr">
        <is>
          <t>Cindy Zixuan Li</t>
        </is>
      </c>
      <c r="D138">
        <f>HYPERLINK("https://ota.tournamentsoftware.com/player-profile/23E61DC5-74BF-4612-8E7F-7DA0B013D911", "Link")</f>
        <v/>
      </c>
      <c r="E138" s="3" t="n">
        <v>661.299</v>
      </c>
      <c r="F138" s="4" t="n">
        <v>11</v>
      </c>
      <c r="G138" t="inlineStr">
        <is>
          <t>British Columbia</t>
        </is>
      </c>
      <c r="H138" t="inlineStr">
        <is>
          <t>Vanguard Tennis Academy</t>
        </is>
      </c>
      <c r="I138" t="n">
        <v>25.8</v>
      </c>
      <c r="J138" s="4" t="n">
        <v>137</v>
      </c>
      <c r="K138" t="inlineStr">
        <is>
          <t>69 / 68</t>
        </is>
      </c>
      <c r="L138" t="inlineStr">
        <is>
          <t>8 / 7</t>
        </is>
      </c>
      <c r="M138" s="5" t="n">
        <v>0.5</v>
      </c>
      <c r="N138" s="5" t="n">
        <v>0.53</v>
      </c>
    </row>
    <row r="139">
      <c r="A139" t="n">
        <v>138</v>
      </c>
      <c r="B139" t="n">
        <v>2012</v>
      </c>
      <c r="C139" t="inlineStr">
        <is>
          <t>Luisa Victoria Davis</t>
        </is>
      </c>
      <c r="D139">
        <f>HYPERLINK("https://ota.tournamentsoftware.com/player-profile/F5AE6D4A-50BA-4E57-AD34-589189161D57", "Link")</f>
        <v/>
      </c>
      <c r="E139" s="3" t="n">
        <v>656.047</v>
      </c>
      <c r="F139" s="4" t="n">
        <v>12</v>
      </c>
      <c r="G139" t="inlineStr">
        <is>
          <t>Ontario Tennis Association</t>
        </is>
      </c>
      <c r="H139" t="inlineStr">
        <is>
          <t>Mayfair West Fitness &amp; Racquet Club</t>
        </is>
      </c>
      <c r="I139" t="inlineStr">
        <is>
          <t>unavailable</t>
        </is>
      </c>
      <c r="J139" s="4" t="n">
        <v>200</v>
      </c>
      <c r="K139" t="inlineStr">
        <is>
          <t>128 / 72</t>
        </is>
      </c>
      <c r="L139" t="inlineStr">
        <is>
          <t>6 / 10</t>
        </is>
      </c>
      <c r="M139" s="5" t="n">
        <v>0.64</v>
      </c>
      <c r="N139" s="5" t="n">
        <v>0.38</v>
      </c>
    </row>
    <row r="140">
      <c r="A140" t="n">
        <v>139</v>
      </c>
      <c r="B140" t="n">
        <v>2012</v>
      </c>
      <c r="C140" t="inlineStr">
        <is>
          <t>Margot de Candé</t>
        </is>
      </c>
      <c r="D140">
        <f>HYPERLINK("https://ota.tournamentsoftware.com/player-profile/695315EE-6360-44B7-9352-E2A867A09DAD", "Link")</f>
        <v/>
      </c>
      <c r="E140" s="3" t="n">
        <v>647.8</v>
      </c>
      <c r="F140" s="4" t="n">
        <v>14</v>
      </c>
      <c r="G140" t="inlineStr">
        <is>
          <t>Tennis Québec</t>
        </is>
      </c>
      <c r="H140" t="inlineStr">
        <is>
          <t>Tennis Ile- des- Soeurs</t>
        </is>
      </c>
      <c r="I140" t="n">
        <v>29.8</v>
      </c>
      <c r="J140" s="4" t="n">
        <v>123</v>
      </c>
      <c r="K140" t="inlineStr">
        <is>
          <t>59 / 64</t>
        </is>
      </c>
      <c r="L140" t="inlineStr">
        <is>
          <t>18 / 7</t>
        </is>
      </c>
      <c r="M140" s="5" t="n">
        <v>0.48</v>
      </c>
      <c r="N140" s="5" t="n">
        <v>0.72</v>
      </c>
    </row>
    <row r="141">
      <c r="A141" t="n">
        <v>140</v>
      </c>
      <c r="B141" t="n">
        <v>2012</v>
      </c>
      <c r="C141" t="inlineStr">
        <is>
          <t>Chloe Fischer</t>
        </is>
      </c>
      <c r="D141">
        <f>HYPERLINK("https://ota.tournamentsoftware.com/player-profile/4F19921D-D25C-4DFA-8A7D-90DE48FEB722", "Link")</f>
        <v/>
      </c>
      <c r="E141" s="3" t="n">
        <v>646.653</v>
      </c>
      <c r="F141" s="4" t="n">
        <v>21</v>
      </c>
      <c r="G141" t="inlineStr">
        <is>
          <t>Ontario Tennis Association</t>
        </is>
      </c>
      <c r="H141" t="inlineStr">
        <is>
          <t>No Club</t>
        </is>
      </c>
      <c r="I141" t="n">
        <v>32.6</v>
      </c>
      <c r="J141" s="4" t="n">
        <v>221</v>
      </c>
      <c r="K141" t="inlineStr">
        <is>
          <t>102 / 119</t>
        </is>
      </c>
      <c r="L141" t="inlineStr">
        <is>
          <t>6 / 24</t>
        </is>
      </c>
      <c r="M141" s="5" t="n">
        <v>0.46</v>
      </c>
      <c r="N141" s="5" t="n">
        <v>0.2</v>
      </c>
    </row>
    <row r="142">
      <c r="A142" t="n">
        <v>141</v>
      </c>
      <c r="B142" t="n">
        <v>2013</v>
      </c>
      <c r="C142" t="inlineStr">
        <is>
          <t>Chloe Elizabeth Kotorobai</t>
        </is>
      </c>
      <c r="D142">
        <f>HYPERLINK("https://ota.tournamentsoftware.com/player-profile/FA516D57-03A4-4F2E-810D-864F5732F5CE", "Link")</f>
        <v/>
      </c>
      <c r="E142" s="3" t="n">
        <v>644.04</v>
      </c>
      <c r="F142" s="4" t="n">
        <v>23</v>
      </c>
      <c r="G142" t="inlineStr">
        <is>
          <t>Ontario Tennis Association</t>
        </is>
      </c>
      <c r="H142" t="inlineStr">
        <is>
          <t>City of Stoney Creek</t>
        </is>
      </c>
      <c r="I142" t="n">
        <v>31.1</v>
      </c>
      <c r="J142" s="4" t="n">
        <v>101</v>
      </c>
      <c r="K142" t="inlineStr">
        <is>
          <t>39 / 62</t>
        </is>
      </c>
      <c r="L142" t="inlineStr">
        <is>
          <t>11 / 21</t>
        </is>
      </c>
      <c r="M142" s="5" t="n">
        <v>0.39</v>
      </c>
      <c r="N142" s="5" t="n">
        <v>0.34</v>
      </c>
    </row>
    <row r="143">
      <c r="A143" t="n">
        <v>142</v>
      </c>
      <c r="B143" t="n">
        <v>2015</v>
      </c>
      <c r="C143" t="inlineStr">
        <is>
          <t>Amy Jiao</t>
        </is>
      </c>
      <c r="D143">
        <f>HYPERLINK("https://ota.tournamentsoftware.com/player-profile/5977984B-8EC9-4812-BCFA-CD93C4FFD7AF", "Link")</f>
        <v/>
      </c>
      <c r="E143" s="3" t="n">
        <v>641.838</v>
      </c>
      <c r="F143" s="4" t="n">
        <v>25</v>
      </c>
      <c r="G143" t="inlineStr">
        <is>
          <t>Ontario Tennis Association</t>
        </is>
      </c>
      <c r="H143" t="inlineStr">
        <is>
          <t>Rideau Sports Centre</t>
        </is>
      </c>
      <c r="I143" t="n">
        <v>30</v>
      </c>
      <c r="J143" s="4" t="n">
        <v>302</v>
      </c>
      <c r="K143" t="inlineStr">
        <is>
          <t>171 / 131</t>
        </is>
      </c>
      <c r="L143" t="inlineStr">
        <is>
          <t>52 / 29</t>
        </is>
      </c>
      <c r="M143" s="5" t="n">
        <v>0.57</v>
      </c>
      <c r="N143" s="5" t="n">
        <v>0.64</v>
      </c>
    </row>
    <row r="144">
      <c r="A144" t="n">
        <v>143</v>
      </c>
      <c r="B144" t="n">
        <v>2013</v>
      </c>
      <c r="C144" t="inlineStr">
        <is>
          <t>Sonya Resnikova</t>
        </is>
      </c>
      <c r="D144">
        <f>HYPERLINK("https://ota.tournamentsoftware.com/player-profile/083F5EEA-6E2D-488B-B778-27E4248C2F0D", "Link")</f>
        <v/>
      </c>
      <c r="E144" s="3" t="n">
        <v>632.702</v>
      </c>
      <c r="F144" s="4" t="n">
        <v>29</v>
      </c>
      <c r="G144" t="inlineStr">
        <is>
          <t>Ontario Tennis Association</t>
        </is>
      </c>
      <c r="H144" t="inlineStr">
        <is>
          <t>SmartVMC Racquetsports by ACE</t>
        </is>
      </c>
      <c r="I144" t="n">
        <v>30</v>
      </c>
      <c r="J144" s="4" t="n">
        <v>95</v>
      </c>
      <c r="K144" t="inlineStr">
        <is>
          <t>60 / 35</t>
        </is>
      </c>
      <c r="L144" t="inlineStr">
        <is>
          <t>28 / 21</t>
        </is>
      </c>
      <c r="M144" s="5" t="n">
        <v>0.63</v>
      </c>
      <c r="N144" s="5" t="n">
        <v>0.57</v>
      </c>
    </row>
    <row r="145">
      <c r="A145" t="n">
        <v>144</v>
      </c>
      <c r="B145" t="n">
        <v>2014</v>
      </c>
      <c r="C145" t="inlineStr">
        <is>
          <t>Emmanuella Ibrahim</t>
        </is>
      </c>
      <c r="D145">
        <f>HYPERLINK("https://ota.tournamentsoftware.com/player-profile/8CFFE2B1-9508-4CB2-8E6A-6761AA8394EA", "Link")</f>
        <v/>
      </c>
      <c r="E145" s="3" t="n">
        <v>628.717</v>
      </c>
      <c r="F145" s="4" t="n">
        <v>16</v>
      </c>
      <c r="G145" t="inlineStr">
        <is>
          <t>Tennis Alberta</t>
        </is>
      </c>
      <c r="H145" t="inlineStr">
        <is>
          <t>Aforza</t>
        </is>
      </c>
      <c r="I145" t="inlineStr">
        <is>
          <t>unavailable</t>
        </is>
      </c>
      <c r="J145" s="4" t="n">
        <v>190</v>
      </c>
      <c r="K145" t="inlineStr">
        <is>
          <t>137 / 53</t>
        </is>
      </c>
      <c r="L145" t="inlineStr">
        <is>
          <t>39 / 16</t>
        </is>
      </c>
      <c r="M145" s="5" t="n">
        <v>0.72</v>
      </c>
      <c r="N145" s="5" t="n">
        <v>0.71</v>
      </c>
    </row>
    <row r="146">
      <c r="A146" t="n">
        <v>145</v>
      </c>
      <c r="B146" t="n">
        <v>2012</v>
      </c>
      <c r="C146" t="inlineStr">
        <is>
          <t>Yutong (Olivia) Ha</t>
        </is>
      </c>
      <c r="D146">
        <f>HYPERLINK("https://ota.tournamentsoftware.com/player-profile/53AE0DB5-1F76-4FB8-9870-3B236A9DAA97", "Link")</f>
        <v/>
      </c>
      <c r="E146" s="3" t="n">
        <v>624.7430000000001</v>
      </c>
      <c r="F146" s="4" t="n">
        <v>14</v>
      </c>
      <c r="G146" t="inlineStr">
        <is>
          <t>Ontario Tennis Association</t>
        </is>
      </c>
      <c r="H146" t="inlineStr">
        <is>
          <t>Richmondhill Golf &amp; Country Club</t>
        </is>
      </c>
      <c r="I146" t="inlineStr">
        <is>
          <t>unavailable</t>
        </is>
      </c>
      <c r="J146" s="4" t="n">
        <v>195</v>
      </c>
      <c r="K146" t="inlineStr">
        <is>
          <t>84 / 111</t>
        </is>
      </c>
      <c r="L146" t="inlineStr">
        <is>
          <t>6 / 16</t>
        </is>
      </c>
      <c r="M146" s="5" t="n">
        <v>0.43</v>
      </c>
      <c r="N146" s="5" t="n">
        <v>0.27</v>
      </c>
    </row>
    <row r="147">
      <c r="A147" t="n">
        <v>146</v>
      </c>
      <c r="B147" t="n">
        <v>2012</v>
      </c>
      <c r="C147" t="inlineStr">
        <is>
          <t>Marisol Hilal</t>
        </is>
      </c>
      <c r="D147">
        <f>HYPERLINK("https://ota.tournamentsoftware.com/player-profile/A59841ED-F3F4-4773-A197-5502453988FE", "Link")</f>
        <v/>
      </c>
      <c r="E147" s="3" t="n">
        <v>621.989</v>
      </c>
      <c r="F147" s="4" t="n">
        <v>33</v>
      </c>
      <c r="G147" t="inlineStr">
        <is>
          <t>Tennis Québec</t>
        </is>
      </c>
      <c r="H147" t="inlineStr">
        <is>
          <t>Carrefour Multisports</t>
        </is>
      </c>
      <c r="I147" t="n">
        <v>29.8</v>
      </c>
      <c r="J147" s="4" t="n">
        <v>294</v>
      </c>
      <c r="K147" t="inlineStr">
        <is>
          <t>117 / 177</t>
        </is>
      </c>
      <c r="L147" t="inlineStr">
        <is>
          <t>18 / 29</t>
        </is>
      </c>
      <c r="M147" s="5" t="n">
        <v>0.4</v>
      </c>
      <c r="N147" s="5" t="n">
        <v>0.38</v>
      </c>
    </row>
    <row r="148">
      <c r="A148" t="n">
        <v>147</v>
      </c>
      <c r="B148" t="n">
        <v>2014</v>
      </c>
      <c r="C148" t="inlineStr">
        <is>
          <t>Evelyn Wang</t>
        </is>
      </c>
      <c r="D148">
        <f>HYPERLINK("https://ota.tournamentsoftware.com/player-profile/3A43E7FB-647C-4296-8E8D-106421DC2080", "Link")</f>
        <v/>
      </c>
      <c r="E148" s="3" t="n">
        <v>615.356</v>
      </c>
      <c r="F148" s="4" t="n">
        <v>16</v>
      </c>
      <c r="G148" t="inlineStr">
        <is>
          <t>British Columbia</t>
        </is>
      </c>
      <c r="H148" t="inlineStr">
        <is>
          <t>UBC Tennis Centre</t>
        </is>
      </c>
      <c r="I148" t="n">
        <v>28.7</v>
      </c>
      <c r="J148" s="4" t="n">
        <v>251</v>
      </c>
      <c r="K148" t="inlineStr">
        <is>
          <t>126 / 125</t>
        </is>
      </c>
      <c r="L148" t="inlineStr">
        <is>
          <t>30 / 26</t>
        </is>
      </c>
      <c r="M148" s="5" t="n">
        <v>0.5</v>
      </c>
      <c r="N148" s="5" t="n">
        <v>0.54</v>
      </c>
    </row>
    <row r="149">
      <c r="A149" t="n">
        <v>148</v>
      </c>
      <c r="B149" t="n">
        <v>2015</v>
      </c>
      <c r="C149" t="inlineStr">
        <is>
          <t>Emma Yin</t>
        </is>
      </c>
      <c r="D149">
        <f>HYPERLINK("https://ota.tournamentsoftware.com/player-profile/F90E2576-5989-4051-9E1F-45C789378967", "Link")</f>
        <v/>
      </c>
      <c r="E149" s="3" t="n">
        <v>613.705</v>
      </c>
      <c r="F149" s="4" t="n">
        <v>11</v>
      </c>
      <c r="G149" t="inlineStr">
        <is>
          <t>Tennis Saskatchewan</t>
        </is>
      </c>
      <c r="H149" t="inlineStr">
        <is>
          <t>Lakeshore Tennis Club</t>
        </is>
      </c>
      <c r="I149" t="n">
        <v>30.1</v>
      </c>
      <c r="J149" s="4" t="n">
        <v>157</v>
      </c>
      <c r="K149" t="inlineStr">
        <is>
          <t>80 / 77</t>
        </is>
      </c>
      <c r="L149" t="inlineStr">
        <is>
          <t>34 / 22</t>
        </is>
      </c>
      <c r="M149" s="5" t="n">
        <v>0.51</v>
      </c>
      <c r="N149" s="5" t="n">
        <v>0.61</v>
      </c>
    </row>
    <row r="150">
      <c r="A150" t="n">
        <v>149</v>
      </c>
      <c r="B150" t="n">
        <v>2013</v>
      </c>
      <c r="C150" t="inlineStr">
        <is>
          <t>Blaire Ming min kaminski</t>
        </is>
      </c>
      <c r="D150">
        <f>HYPERLINK("https://ota.tournamentsoftware.com/player-profile/F1255585-993D-4DBF-ADE9-E5818DCBA131", "Link")</f>
        <v/>
      </c>
      <c r="E150" s="3" t="n">
        <v>612.015</v>
      </c>
      <c r="F150" s="4" t="n">
        <v>16</v>
      </c>
      <c r="G150" t="inlineStr">
        <is>
          <t>Tennis Alberta</t>
        </is>
      </c>
      <c r="H150" t="inlineStr">
        <is>
          <t>Osten &amp; Victor Alberta Tennis Centre</t>
        </is>
      </c>
      <c r="I150" t="inlineStr">
        <is>
          <t>unavailable</t>
        </is>
      </c>
      <c r="J150" s="4" t="n">
        <v>128</v>
      </c>
      <c r="K150" t="inlineStr">
        <is>
          <t>64 / 64</t>
        </is>
      </c>
      <c r="L150" t="inlineStr">
        <is>
          <t>19 / 13</t>
        </is>
      </c>
      <c r="M150" s="5" t="n">
        <v>0.5</v>
      </c>
      <c r="N150" s="5" t="n">
        <v>0.59</v>
      </c>
    </row>
    <row r="151">
      <c r="A151" t="n">
        <v>150</v>
      </c>
      <c r="B151" t="n">
        <v>2014</v>
      </c>
      <c r="C151" t="inlineStr">
        <is>
          <t>Alice Yu-Qi Ren</t>
        </is>
      </c>
      <c r="D151">
        <f>HYPERLINK("https://ota.tournamentsoftware.com/player-profile/FE127D3B-825E-4C4F-9666-BA4529348FE4", "Link")</f>
        <v/>
      </c>
      <c r="E151" s="3" t="n">
        <v>610.301</v>
      </c>
      <c r="F151" s="4" t="n">
        <v>18</v>
      </c>
      <c r="G151" t="inlineStr">
        <is>
          <t>Tennis Alberta</t>
        </is>
      </c>
      <c r="H151" t="inlineStr">
        <is>
          <t>Saville Community Sports Centre</t>
        </is>
      </c>
      <c r="I151" t="n">
        <v>28.2</v>
      </c>
      <c r="J151" s="4" t="n">
        <v>208</v>
      </c>
      <c r="K151" t="inlineStr">
        <is>
          <t>142 / 66</t>
        </is>
      </c>
      <c r="L151" t="inlineStr">
        <is>
          <t>39 / 17</t>
        </is>
      </c>
      <c r="M151" s="5" t="n">
        <v>0.68</v>
      </c>
      <c r="N151" s="5" t="n">
        <v>0.7</v>
      </c>
    </row>
    <row r="152">
      <c r="A152" t="n">
        <v>151</v>
      </c>
      <c r="B152" t="n">
        <v>2012</v>
      </c>
      <c r="C152" t="inlineStr">
        <is>
          <t>OLIVIA JUNHAN CAO</t>
        </is>
      </c>
      <c r="D152">
        <f>HYPERLINK("https://ota.tournamentsoftware.com/player-profile/3D68BE77-5DE2-40D9-BCC3-C836A764F3EF", "Link")</f>
        <v/>
      </c>
      <c r="E152" s="3" t="n">
        <v>608.6</v>
      </c>
      <c r="F152" s="4" t="n">
        <v>20</v>
      </c>
      <c r="G152" t="inlineStr">
        <is>
          <t>British Columbia</t>
        </is>
      </c>
      <c r="H152" t="inlineStr">
        <is>
          <t>Richmond Country Club</t>
        </is>
      </c>
      <c r="I152" t="n">
        <v>27.2</v>
      </c>
      <c r="J152" s="4" t="n">
        <v>150</v>
      </c>
      <c r="K152" t="inlineStr">
        <is>
          <t>102 / 48</t>
        </is>
      </c>
      <c r="L152" t="inlineStr">
        <is>
          <t>39 / 17</t>
        </is>
      </c>
      <c r="M152" s="5" t="n">
        <v>0.68</v>
      </c>
      <c r="N152" s="5" t="n">
        <v>0.7</v>
      </c>
    </row>
    <row r="153">
      <c r="A153" t="n">
        <v>152</v>
      </c>
      <c r="B153" t="n">
        <v>2012</v>
      </c>
      <c r="C153" t="inlineStr">
        <is>
          <t>Madison Tam</t>
        </is>
      </c>
      <c r="D153">
        <f>HYPERLINK("https://ota.tournamentsoftware.com/player-profile/827C7FCD-2D7D-406E-B5C0-29D0720096DC", "Link")</f>
        <v/>
      </c>
      <c r="E153" s="3" t="n">
        <v>603.4</v>
      </c>
      <c r="F153" s="4" t="n">
        <v>16</v>
      </c>
      <c r="G153" t="inlineStr">
        <is>
          <t>Ontario Tennis Association</t>
        </is>
      </c>
      <c r="H153" t="inlineStr">
        <is>
          <t>Sir Winston Churchill Tennis Club</t>
        </is>
      </c>
      <c r="I153" t="n">
        <v>29.1</v>
      </c>
      <c r="J153" s="4" t="n">
        <v>441</v>
      </c>
      <c r="K153" t="inlineStr">
        <is>
          <t>316 / 125</t>
        </is>
      </c>
      <c r="L153" t="inlineStr">
        <is>
          <t>19 / 10</t>
        </is>
      </c>
      <c r="M153" s="5" t="n">
        <v>0.72</v>
      </c>
      <c r="N153" s="5" t="n">
        <v>0.66</v>
      </c>
    </row>
    <row r="154">
      <c r="A154" t="n">
        <v>153</v>
      </c>
      <c r="B154" t="n">
        <v>2014</v>
      </c>
      <c r="C154" t="inlineStr">
        <is>
          <t>Veronica Mourlatov</t>
        </is>
      </c>
      <c r="D154">
        <f>HYPERLINK("https://ota.tournamentsoftware.com/player-profile/B6154A4C-BA94-41F6-A39C-E106D7116C1A", "Link")</f>
        <v/>
      </c>
      <c r="E154" s="3" t="n">
        <v>589.4</v>
      </c>
      <c r="F154" s="4" t="n">
        <v>34</v>
      </c>
      <c r="G154" t="inlineStr">
        <is>
          <t>Ontario Tennis Association</t>
        </is>
      </c>
      <c r="H154" t="inlineStr">
        <is>
          <t>SmartVMC Racquetsports by ACE</t>
        </is>
      </c>
      <c r="I154" t="n">
        <v>30.2</v>
      </c>
      <c r="J154" s="4" t="n">
        <v>224</v>
      </c>
      <c r="K154" t="inlineStr">
        <is>
          <t>142 / 82</t>
        </is>
      </c>
      <c r="L154" t="inlineStr">
        <is>
          <t>45 / 19</t>
        </is>
      </c>
      <c r="M154" s="5" t="n">
        <v>0.63</v>
      </c>
      <c r="N154" s="5" t="n">
        <v>0.7</v>
      </c>
    </row>
    <row r="155">
      <c r="A155" t="n">
        <v>154</v>
      </c>
      <c r="B155" t="n">
        <v>2013</v>
      </c>
      <c r="C155" t="inlineStr">
        <is>
          <t>Zoe Yeung</t>
        </is>
      </c>
      <c r="D155">
        <f>HYPERLINK("https://ota.tournamentsoftware.com/player-profile/69712725-5DA5-49A3-9C42-5A05BBB6B230", "Link")</f>
        <v/>
      </c>
      <c r="E155" s="3" t="n">
        <v>583.942</v>
      </c>
      <c r="F155" s="4" t="n">
        <v>16</v>
      </c>
      <c r="G155" t="inlineStr">
        <is>
          <t>Tennis Alberta</t>
        </is>
      </c>
      <c r="H155" t="inlineStr">
        <is>
          <t>Osten &amp; Victor Alberta Tennis Centre</t>
        </is>
      </c>
      <c r="I155" t="n">
        <v>29.1</v>
      </c>
      <c r="J155" s="4" t="n">
        <v>186</v>
      </c>
      <c r="K155" t="inlineStr">
        <is>
          <t>88 / 98</t>
        </is>
      </c>
      <c r="L155" t="inlineStr">
        <is>
          <t>14 / 17</t>
        </is>
      </c>
      <c r="M155" s="5" t="n">
        <v>0.47</v>
      </c>
      <c r="N155" s="5" t="n">
        <v>0.45</v>
      </c>
    </row>
    <row r="156">
      <c r="A156" t="n">
        <v>155</v>
      </c>
      <c r="B156" t="n">
        <v>2012</v>
      </c>
      <c r="C156" t="inlineStr">
        <is>
          <t>Malia Lee Datta</t>
        </is>
      </c>
      <c r="D156">
        <f>HYPERLINK("https://ota.tournamentsoftware.com/player-profile/0FC1E5E7-0316-49C4-95C5-C429E3032398", "Link")</f>
        <v/>
      </c>
      <c r="E156" s="3" t="n">
        <v>583.375</v>
      </c>
      <c r="F156" s="4" t="n">
        <v>17</v>
      </c>
      <c r="G156" t="inlineStr">
        <is>
          <t>Tennis Alberta</t>
        </is>
      </c>
      <c r="H156" t="inlineStr">
        <is>
          <t>Osten &amp; Victor Alberta Tennis Centre</t>
        </is>
      </c>
      <c r="I156" t="n">
        <v>28.1</v>
      </c>
      <c r="J156" s="4" t="n">
        <v>149</v>
      </c>
      <c r="K156" t="inlineStr">
        <is>
          <t>64 / 85</t>
        </is>
      </c>
      <c r="L156" t="inlineStr">
        <is>
          <t>13 / 18</t>
        </is>
      </c>
      <c r="M156" s="5" t="n">
        <v>0.43</v>
      </c>
      <c r="N156" s="5" t="n">
        <v>0.42</v>
      </c>
    </row>
    <row r="157">
      <c r="A157" t="n">
        <v>156</v>
      </c>
      <c r="B157" t="n">
        <v>2014</v>
      </c>
      <c r="C157" t="inlineStr">
        <is>
          <t>Naomi Iamandi</t>
        </is>
      </c>
      <c r="D157">
        <f>HYPERLINK("https://ota.tournamentsoftware.com/player-profile/5653599F-FFB6-46FA-B574-E53D7FBC278E", "Link")</f>
        <v/>
      </c>
      <c r="E157" s="3" t="n">
        <v>582.021</v>
      </c>
      <c r="F157" s="4" t="n">
        <v>21</v>
      </c>
      <c r="G157" t="inlineStr">
        <is>
          <t>Ontario Tennis Association</t>
        </is>
      </c>
      <c r="H157" t="inlineStr">
        <is>
          <t>Joshua Creek Golf &amp; Tennis</t>
        </is>
      </c>
      <c r="I157" t="n">
        <v>30.2</v>
      </c>
      <c r="J157" s="4" t="n">
        <v>234</v>
      </c>
      <c r="K157" t="inlineStr">
        <is>
          <t>125 / 109</t>
        </is>
      </c>
      <c r="L157" t="inlineStr">
        <is>
          <t>16 / 28</t>
        </is>
      </c>
      <c r="M157" s="5" t="n">
        <v>0.53</v>
      </c>
      <c r="N157" s="5" t="n">
        <v>0.36</v>
      </c>
    </row>
    <row r="158">
      <c r="A158" t="n">
        <v>157</v>
      </c>
      <c r="B158" t="n">
        <v>2014</v>
      </c>
      <c r="C158" t="inlineStr">
        <is>
          <t>Adrianna Gianvito</t>
        </is>
      </c>
      <c r="D158">
        <f>HYPERLINK("https://ota.tournamentsoftware.com/player-profile/1412F0F4-82D3-410D-980E-969EFE386B01", "Link")</f>
        <v/>
      </c>
      <c r="E158" s="3" t="n">
        <v>579.152</v>
      </c>
      <c r="F158" s="4" t="n">
        <v>22</v>
      </c>
      <c r="G158" t="inlineStr">
        <is>
          <t>Tennis Québec</t>
        </is>
      </c>
      <c r="H158" t="inlineStr">
        <is>
          <t>No Club</t>
        </is>
      </c>
      <c r="I158" t="inlineStr">
        <is>
          <t>unavailable</t>
        </is>
      </c>
      <c r="J158" s="4" t="n">
        <v>150</v>
      </c>
      <c r="K158" t="inlineStr">
        <is>
          <t>79 / 71</t>
        </is>
      </c>
      <c r="L158" t="inlineStr">
        <is>
          <t>29 / 19</t>
        </is>
      </c>
      <c r="M158" s="5" t="n">
        <v>0.53</v>
      </c>
      <c r="N158" s="5" t="n">
        <v>0.6</v>
      </c>
    </row>
    <row r="159">
      <c r="A159" t="n">
        <v>158</v>
      </c>
      <c r="B159" t="n">
        <v>2012</v>
      </c>
      <c r="C159" t="inlineStr">
        <is>
          <t>Eliana Cantin</t>
        </is>
      </c>
      <c r="D159">
        <f>HYPERLINK("https://ota.tournamentsoftware.com/player-profile/D4DBD3FF-74D7-4D84-BB8F-104CA729E69E", "Link")</f>
        <v/>
      </c>
      <c r="E159" s="3" t="n">
        <v>579.148</v>
      </c>
      <c r="F159" s="4" t="n">
        <v>14</v>
      </c>
      <c r="G159" t="inlineStr">
        <is>
          <t>Tennis Québec</t>
        </is>
      </c>
      <c r="H159" t="inlineStr">
        <is>
          <t>Centre récréatif de Repentigny / Académie Tennis Momentum</t>
        </is>
      </c>
      <c r="I159" t="n">
        <v>28.9</v>
      </c>
      <c r="J159" s="4" t="n">
        <v>186</v>
      </c>
      <c r="K159" t="inlineStr">
        <is>
          <t>91 / 95</t>
        </is>
      </c>
      <c r="L159" t="inlineStr">
        <is>
          <t>9 / 16</t>
        </is>
      </c>
      <c r="M159" s="5" t="n">
        <v>0.49</v>
      </c>
      <c r="N159" s="5" t="n">
        <v>0.36</v>
      </c>
    </row>
    <row r="160">
      <c r="A160" t="n">
        <v>159</v>
      </c>
      <c r="B160" t="n">
        <v>2013</v>
      </c>
      <c r="C160" t="inlineStr">
        <is>
          <t>Mathilde Labeeuw</t>
        </is>
      </c>
      <c r="D160">
        <f>HYPERLINK("https://ota.tournamentsoftware.com/player-profile/ACCBCF37-0334-4ED1-B564-DFD6E35F3445", "Link")</f>
        <v/>
      </c>
      <c r="E160" s="3" t="n">
        <v>578.7809999999999</v>
      </c>
      <c r="F160" s="4" t="n">
        <v>21</v>
      </c>
      <c r="G160" t="inlineStr">
        <is>
          <t>Tennis Québec</t>
        </is>
      </c>
      <c r="H160" t="inlineStr">
        <is>
          <t>SANI Sport</t>
        </is>
      </c>
      <c r="I160" t="n">
        <v>30.3</v>
      </c>
      <c r="J160" s="4" t="n">
        <v>195</v>
      </c>
      <c r="K160" t="inlineStr">
        <is>
          <t>93 / 102</t>
        </is>
      </c>
      <c r="L160" t="inlineStr">
        <is>
          <t>15 / 16</t>
        </is>
      </c>
      <c r="M160" s="5" t="n">
        <v>0.48</v>
      </c>
      <c r="N160" s="5" t="n">
        <v>0.48</v>
      </c>
    </row>
    <row r="161">
      <c r="A161" t="n">
        <v>160</v>
      </c>
      <c r="B161" t="n">
        <v>2012</v>
      </c>
      <c r="C161" t="inlineStr">
        <is>
          <t>Caroline ChuYun Yang</t>
        </is>
      </c>
      <c r="D161">
        <f>HYPERLINK("https://ota.tournamentsoftware.com/player-profile/973A8D96-42F5-42BC-9DF2-0A195E1A983F", "Link")</f>
        <v/>
      </c>
      <c r="E161" s="3" t="n">
        <v>574.0700000000001</v>
      </c>
      <c r="F161" s="4" t="n">
        <v>20</v>
      </c>
      <c r="G161" t="inlineStr">
        <is>
          <t>British Columbia</t>
        </is>
      </c>
      <c r="H161" t="inlineStr">
        <is>
          <t>The Tennis Centre</t>
        </is>
      </c>
      <c r="I161" t="n">
        <v>28.4</v>
      </c>
      <c r="J161" s="4" t="n">
        <v>265</v>
      </c>
      <c r="K161" t="inlineStr">
        <is>
          <t>159 / 106</t>
        </is>
      </c>
      <c r="L161" t="inlineStr">
        <is>
          <t>27 / 20</t>
        </is>
      </c>
      <c r="M161" s="5" t="n">
        <v>0.6</v>
      </c>
      <c r="N161" s="5" t="n">
        <v>0.57</v>
      </c>
    </row>
    <row r="162">
      <c r="A162" t="n">
        <v>161</v>
      </c>
      <c r="B162" t="n">
        <v>2014</v>
      </c>
      <c r="C162" t="inlineStr">
        <is>
          <t>Sophie Lu</t>
        </is>
      </c>
      <c r="D162">
        <f>HYPERLINK("https://ota.tournamentsoftware.com/player-profile/5C3C8ABA-3BF6-4232-B65C-B26C16207D0A", "Link")</f>
        <v/>
      </c>
      <c r="E162" s="3" t="n">
        <v>569.085</v>
      </c>
      <c r="F162" s="4" t="n">
        <v>19</v>
      </c>
      <c r="G162" t="inlineStr">
        <is>
          <t>Tennis Québec</t>
        </is>
      </c>
      <c r="H162" t="inlineStr">
        <is>
          <t>Tennis Ile- des- Soeurs</t>
        </is>
      </c>
      <c r="I162" t="inlineStr">
        <is>
          <t>unavailable</t>
        </is>
      </c>
      <c r="J162" s="4" t="n">
        <v>211</v>
      </c>
      <c r="K162" t="inlineStr">
        <is>
          <t>107 / 104</t>
        </is>
      </c>
      <c r="L162" t="inlineStr">
        <is>
          <t>36 / 25</t>
        </is>
      </c>
      <c r="M162" s="5" t="n">
        <v>0.51</v>
      </c>
      <c r="N162" s="5" t="n">
        <v>0.59</v>
      </c>
    </row>
    <row r="163">
      <c r="A163" t="n">
        <v>162</v>
      </c>
      <c r="B163" t="n">
        <v>2012</v>
      </c>
      <c r="C163" t="inlineStr">
        <is>
          <t>Alexandra Dorobantu</t>
        </is>
      </c>
      <c r="D163">
        <f>HYPERLINK("https://ota.tournamentsoftware.com/player-profile/CE7FB59F-F5CB-4CA3-A3EB-27DC05EB2B7D", "Link")</f>
        <v/>
      </c>
      <c r="E163" s="3" t="n">
        <v>568.771</v>
      </c>
      <c r="F163" s="4" t="n">
        <v>13</v>
      </c>
      <c r="G163" t="inlineStr">
        <is>
          <t>Tennis Alberta</t>
        </is>
      </c>
      <c r="H163" t="inlineStr">
        <is>
          <t>Saville Community Sports Centre</t>
        </is>
      </c>
      <c r="I163" t="inlineStr">
        <is>
          <t>unavailable</t>
        </is>
      </c>
      <c r="J163" s="4" t="n">
        <v>156</v>
      </c>
      <c r="K163" t="inlineStr">
        <is>
          <t>76 / 80</t>
        </is>
      </c>
      <c r="L163" t="inlineStr">
        <is>
          <t>14 / 17</t>
        </is>
      </c>
      <c r="M163" s="5" t="n">
        <v>0.49</v>
      </c>
      <c r="N163" s="5" t="n">
        <v>0.45</v>
      </c>
    </row>
    <row r="164">
      <c r="A164" t="n">
        <v>163</v>
      </c>
      <c r="B164" t="n">
        <v>2015</v>
      </c>
      <c r="C164" t="inlineStr">
        <is>
          <t>Alexia Djomo</t>
        </is>
      </c>
      <c r="D164">
        <f>HYPERLINK("https://ota.tournamentsoftware.com/player-profile/DCE433A3-22C1-4484-BA5B-62931094794E", "Link")</f>
        <v/>
      </c>
      <c r="E164" s="3" t="n">
        <v>559.021</v>
      </c>
      <c r="F164" s="4" t="n">
        <v>13</v>
      </c>
      <c r="G164" t="inlineStr">
        <is>
          <t>Tennis Manitoba</t>
        </is>
      </c>
      <c r="H164" t="inlineStr">
        <is>
          <t>Winnipeg Winter Club</t>
        </is>
      </c>
      <c r="I164" t="n">
        <v>33</v>
      </c>
      <c r="J164" s="4" t="n">
        <v>78</v>
      </c>
      <c r="K164" t="inlineStr">
        <is>
          <t>31 / 47</t>
        </is>
      </c>
      <c r="L164" t="inlineStr">
        <is>
          <t>24 / 28</t>
        </is>
      </c>
      <c r="M164" s="5" t="n">
        <v>0.4</v>
      </c>
      <c r="N164" s="5" t="n">
        <v>0.46</v>
      </c>
    </row>
    <row r="165">
      <c r="A165" t="n">
        <v>164</v>
      </c>
      <c r="B165" t="n">
        <v>2012</v>
      </c>
      <c r="C165" t="inlineStr">
        <is>
          <t>Riddhi Jha</t>
        </is>
      </c>
      <c r="D165">
        <f>HYPERLINK("https://ota.tournamentsoftware.com/player-profile/3B4B01BB-2AAD-49DD-B186-312576B12DC9", "Link")</f>
        <v/>
      </c>
      <c r="E165" s="3" t="n">
        <v>558.928</v>
      </c>
      <c r="F165" s="4" t="n">
        <v>16</v>
      </c>
      <c r="G165" t="inlineStr">
        <is>
          <t>Ontario Tennis Association</t>
        </is>
      </c>
      <c r="H165" t="inlineStr">
        <is>
          <t>Bramalea Tennis Club</t>
        </is>
      </c>
      <c r="I165" t="n">
        <v>30.6</v>
      </c>
      <c r="J165" s="4" t="n">
        <v>246</v>
      </c>
      <c r="K165" t="inlineStr">
        <is>
          <t>90 / 156</t>
        </is>
      </c>
      <c r="L165" t="inlineStr">
        <is>
          <t>19 / 15</t>
        </is>
      </c>
      <c r="M165" s="5" t="n">
        <v>0.37</v>
      </c>
      <c r="N165" s="5" t="n">
        <v>0.5600000000000001</v>
      </c>
    </row>
    <row r="166">
      <c r="A166" t="n">
        <v>165</v>
      </c>
      <c r="B166" t="n">
        <v>2015</v>
      </c>
      <c r="C166" t="inlineStr">
        <is>
          <t>NELIA BERKOUD</t>
        </is>
      </c>
      <c r="D166">
        <f>HYPERLINK("https://ota.tournamentsoftware.com/player-profile/2E73021E-DEDD-484B-95FC-00429D223FB2", "Link")</f>
        <v/>
      </c>
      <c r="E166" s="3" t="n">
        <v>554.133</v>
      </c>
      <c r="F166" s="4" t="n">
        <v>23</v>
      </c>
      <c r="G166" t="inlineStr">
        <is>
          <t>Tennis Québec</t>
        </is>
      </c>
      <c r="H166" t="inlineStr">
        <is>
          <t>Carrefour Multisports</t>
        </is>
      </c>
      <c r="I166" t="n">
        <v>30.9</v>
      </c>
      <c r="J166" s="4" t="n">
        <v>145</v>
      </c>
      <c r="K166" t="inlineStr">
        <is>
          <t>87 / 58</t>
        </is>
      </c>
      <c r="L166" t="inlineStr">
        <is>
          <t>31 / 30</t>
        </is>
      </c>
      <c r="M166" s="5" t="n">
        <v>0.6</v>
      </c>
      <c r="N166" s="5" t="n">
        <v>0.51</v>
      </c>
    </row>
    <row r="167">
      <c r="A167" t="n">
        <v>166</v>
      </c>
      <c r="B167" t="n">
        <v>2015</v>
      </c>
      <c r="C167" t="inlineStr">
        <is>
          <t>Grace Wang</t>
        </is>
      </c>
      <c r="D167">
        <f>HYPERLINK("https://ota.tournamentsoftware.com/player-profile/2F68C1DC-1A19-4E3A-AF58-6DC4541843F2", "Link")</f>
        <v/>
      </c>
      <c r="E167" s="3" t="n">
        <v>553.759</v>
      </c>
      <c r="F167" s="4" t="n">
        <v>24</v>
      </c>
      <c r="G167" t="inlineStr">
        <is>
          <t>British Columbia</t>
        </is>
      </c>
      <c r="H167" t="inlineStr">
        <is>
          <t>No Club</t>
        </is>
      </c>
      <c r="I167" t="n">
        <v>28.9</v>
      </c>
      <c r="J167" s="4" t="n">
        <v>245</v>
      </c>
      <c r="K167" t="inlineStr">
        <is>
          <t>146 / 99</t>
        </is>
      </c>
      <c r="L167" t="inlineStr">
        <is>
          <t>45 / 26</t>
        </is>
      </c>
      <c r="M167" s="5" t="n">
        <v>0.6</v>
      </c>
      <c r="N167" s="5" t="n">
        <v>0.63</v>
      </c>
    </row>
    <row r="168">
      <c r="A168" t="n">
        <v>167</v>
      </c>
      <c r="B168" t="n">
        <v>2015</v>
      </c>
      <c r="C168" t="inlineStr">
        <is>
          <t>Sunandita Pal</t>
        </is>
      </c>
      <c r="D168">
        <f>HYPERLINK("https://ota.tournamentsoftware.com/player-profile/10185E41-C6E2-4C6A-9A47-A3AF6C77F2A4", "Link")</f>
        <v/>
      </c>
      <c r="E168" s="3" t="n">
        <v>551.15</v>
      </c>
      <c r="F168" s="4" t="n">
        <v>29</v>
      </c>
      <c r="G168" t="inlineStr">
        <is>
          <t>Ontario Tennis Association</t>
        </is>
      </c>
      <c r="H168" t="inlineStr">
        <is>
          <t>No Club</t>
        </is>
      </c>
      <c r="I168" t="n">
        <v>31.7</v>
      </c>
      <c r="J168" s="4" t="n">
        <v>242</v>
      </c>
      <c r="K168" t="inlineStr">
        <is>
          <t>117 / 125</t>
        </is>
      </c>
      <c r="L168" t="inlineStr">
        <is>
          <t>33 / 24</t>
        </is>
      </c>
      <c r="M168" s="5" t="n">
        <v>0.48</v>
      </c>
      <c r="N168" s="5" t="n">
        <v>0.58</v>
      </c>
    </row>
    <row r="169">
      <c r="A169" t="n">
        <v>168</v>
      </c>
      <c r="B169" t="n">
        <v>2014</v>
      </c>
      <c r="C169" t="inlineStr">
        <is>
          <t>Charlie Thomas-Simard</t>
        </is>
      </c>
      <c r="D169">
        <f>HYPERLINK("https://ota.tournamentsoftware.com/player-profile/E101E3D0-39D8-4861-AB44-D9BE1C346E1E", "Link")</f>
        <v/>
      </c>
      <c r="E169" s="3" t="n">
        <v>550.771</v>
      </c>
      <c r="F169" s="4" t="n">
        <v>21</v>
      </c>
      <c r="G169" t="inlineStr">
        <is>
          <t>Tennis Québec</t>
        </is>
      </c>
      <c r="H169" t="inlineStr">
        <is>
          <t>Club Avantage Multi-sports / Académie de tennis Hérisset Bordeleau</t>
        </is>
      </c>
      <c r="I169" t="n">
        <v>31.7</v>
      </c>
      <c r="J169" s="4" t="n">
        <v>122</v>
      </c>
      <c r="K169" t="inlineStr">
        <is>
          <t>65 / 57</t>
        </is>
      </c>
      <c r="L169" t="inlineStr">
        <is>
          <t>29 / 29</t>
        </is>
      </c>
      <c r="M169" s="5" t="n">
        <v>0.53</v>
      </c>
      <c r="N169" s="5" t="n">
        <v>0.5</v>
      </c>
    </row>
    <row r="170">
      <c r="A170" t="n">
        <v>169</v>
      </c>
      <c r="B170" t="n">
        <v>2015</v>
      </c>
      <c r="C170" t="inlineStr">
        <is>
          <t>Alyanna Jane Principe</t>
        </is>
      </c>
      <c r="D170">
        <f>HYPERLINK("https://ota.tournamentsoftware.com/player-profile/DF18434B-FE2E-4647-9481-0DA91B5C9B92", "Link")</f>
        <v/>
      </c>
      <c r="E170" s="3" t="n">
        <v>532.043</v>
      </c>
      <c r="F170" s="4" t="n">
        <v>20</v>
      </c>
      <c r="G170" t="inlineStr">
        <is>
          <t>British Columbia</t>
        </is>
      </c>
      <c r="H170" t="inlineStr">
        <is>
          <t>The Tennis Centre</t>
        </is>
      </c>
      <c r="I170" t="n">
        <v>28.6</v>
      </c>
      <c r="J170" s="4" t="n">
        <v>242</v>
      </c>
      <c r="K170" t="inlineStr">
        <is>
          <t>159 / 83</t>
        </is>
      </c>
      <c r="L170" t="inlineStr">
        <is>
          <t>37 / 24</t>
        </is>
      </c>
      <c r="M170" s="5" t="n">
        <v>0.66</v>
      </c>
      <c r="N170" s="5" t="n">
        <v>0.61</v>
      </c>
    </row>
    <row r="171">
      <c r="A171" t="n">
        <v>170</v>
      </c>
      <c r="B171" t="n">
        <v>2014</v>
      </c>
      <c r="C171" t="inlineStr">
        <is>
          <t>Laetitia Thuy Van Nguyen</t>
        </is>
      </c>
      <c r="D171">
        <f>HYPERLINK("https://ota.tournamentsoftware.com/player-profile/B151CB64-D12D-48B2-8087-4EABB50157E8", "Link")</f>
        <v/>
      </c>
      <c r="E171" s="3" t="n">
        <v>530.667</v>
      </c>
      <c r="F171" s="4" t="n">
        <v>24</v>
      </c>
      <c r="G171" t="inlineStr">
        <is>
          <t>Tennis Québec</t>
        </is>
      </c>
      <c r="H171" t="inlineStr">
        <is>
          <t>Tennis Montréal Excellence</t>
        </is>
      </c>
      <c r="I171" t="n">
        <v>29.2</v>
      </c>
      <c r="J171" s="4" t="n">
        <v>224</v>
      </c>
      <c r="K171" t="inlineStr">
        <is>
          <t>123 / 101</t>
        </is>
      </c>
      <c r="L171" t="inlineStr">
        <is>
          <t>37 / 26</t>
        </is>
      </c>
      <c r="M171" s="5" t="n">
        <v>0.55</v>
      </c>
      <c r="N171" s="5" t="n">
        <v>0.59</v>
      </c>
    </row>
    <row r="172">
      <c r="A172" t="n">
        <v>171</v>
      </c>
      <c r="B172" t="n">
        <v>2013</v>
      </c>
      <c r="C172" t="inlineStr">
        <is>
          <t>Sonya Notta</t>
        </is>
      </c>
      <c r="D172">
        <f>HYPERLINK("https://ota.tournamentsoftware.com/player-profile/6AF626BE-D8F1-4939-AF03-813D0A17EE25", "Link")</f>
        <v/>
      </c>
      <c r="E172" s="3" t="n">
        <v>530.568</v>
      </c>
      <c r="F172" s="4" t="n">
        <v>8</v>
      </c>
      <c r="G172" t="inlineStr">
        <is>
          <t>Ontario Tennis Association</t>
        </is>
      </c>
      <c r="H172" t="inlineStr">
        <is>
          <t>Mayfair East Racquet Club</t>
        </is>
      </c>
      <c r="I172" t="inlineStr">
        <is>
          <t>unavailable</t>
        </is>
      </c>
      <c r="J172" s="4" t="n">
        <v>78</v>
      </c>
      <c r="K172" t="inlineStr">
        <is>
          <t>53 / 25</t>
        </is>
      </c>
      <c r="L172" t="inlineStr">
        <is>
          <t>10 / 3</t>
        </is>
      </c>
      <c r="M172" s="5" t="n">
        <v>0.68</v>
      </c>
      <c r="N172" s="5" t="n">
        <v>0.77</v>
      </c>
    </row>
    <row r="173">
      <c r="A173" t="n">
        <v>172</v>
      </c>
      <c r="B173" t="n">
        <v>2013</v>
      </c>
      <c r="C173" t="inlineStr">
        <is>
          <t>Bianca Bordogna</t>
        </is>
      </c>
      <c r="D173">
        <f>HYPERLINK("https://ota.tournamentsoftware.com/player-profile/71A0B4E7-3A92-4F64-82D6-42A032600DC7", "Link")</f>
        <v/>
      </c>
      <c r="E173" s="3" t="n">
        <v>529.64</v>
      </c>
      <c r="F173" s="4" t="n">
        <v>17</v>
      </c>
      <c r="G173" t="inlineStr">
        <is>
          <t>Ontario Tennis Association</t>
        </is>
      </c>
      <c r="H173" t="inlineStr">
        <is>
          <t>Carleton Tennis Centre</t>
        </is>
      </c>
      <c r="I173" t="n">
        <v>30.4</v>
      </c>
      <c r="J173" s="4" t="n">
        <v>114</v>
      </c>
      <c r="K173" t="inlineStr">
        <is>
          <t>60 / 54</t>
        </is>
      </c>
      <c r="L173" t="inlineStr">
        <is>
          <t>17 / 14</t>
        </is>
      </c>
      <c r="M173" s="5" t="n">
        <v>0.53</v>
      </c>
      <c r="N173" s="5" t="n">
        <v>0.55</v>
      </c>
    </row>
    <row r="174">
      <c r="A174" t="n">
        <v>173</v>
      </c>
      <c r="B174" t="n">
        <v>2012</v>
      </c>
      <c r="C174" t="inlineStr">
        <is>
          <t>Meeth Kaur Rai</t>
        </is>
      </c>
      <c r="D174">
        <f>HYPERLINK("https://ota.tournamentsoftware.com/player-profile/3C191393-570A-4DF7-80D4-0613143CE54B", "Link")</f>
        <v/>
      </c>
      <c r="E174" s="3" t="n">
        <v>517.12</v>
      </c>
      <c r="F174" s="4" t="n">
        <v>18</v>
      </c>
      <c r="G174" t="inlineStr">
        <is>
          <t>British Columbia</t>
        </is>
      </c>
      <c r="H174" t="inlineStr">
        <is>
          <t>No Club</t>
        </is>
      </c>
      <c r="I174" t="n">
        <v>28.3</v>
      </c>
      <c r="J174" s="4" t="n">
        <v>230</v>
      </c>
      <c r="K174" t="inlineStr">
        <is>
          <t>126 / 104</t>
        </is>
      </c>
      <c r="L174" t="inlineStr">
        <is>
          <t>16 / 27</t>
        </is>
      </c>
      <c r="M174" s="5" t="n">
        <v>0.55</v>
      </c>
      <c r="N174" s="5" t="n">
        <v>0.37</v>
      </c>
    </row>
    <row r="175">
      <c r="A175" t="n">
        <v>174</v>
      </c>
      <c r="B175" t="n">
        <v>2012</v>
      </c>
      <c r="C175" t="inlineStr">
        <is>
          <t>Daniella Kulemin</t>
        </is>
      </c>
      <c r="D175">
        <f>HYPERLINK("https://ota.tournamentsoftware.com/player-profile/665847C2-A172-4164-B9E1-C1030269B793", "Link")</f>
        <v/>
      </c>
      <c r="E175" s="3" t="n">
        <v>515.465</v>
      </c>
      <c r="F175" s="4" t="n">
        <v>20</v>
      </c>
      <c r="G175" t="inlineStr">
        <is>
          <t>Ontario Tennis Association</t>
        </is>
      </c>
      <c r="H175" t="inlineStr">
        <is>
          <t>Concord Tennis Academy</t>
        </is>
      </c>
      <c r="I175" t="n">
        <v>30.4</v>
      </c>
      <c r="J175" s="4" t="n">
        <v>59</v>
      </c>
      <c r="K175" t="inlineStr">
        <is>
          <t>27 / 32</t>
        </is>
      </c>
      <c r="L175" t="inlineStr">
        <is>
          <t>17 / 18</t>
        </is>
      </c>
      <c r="M175" s="5" t="n">
        <v>0.46</v>
      </c>
      <c r="N175" s="5" t="n">
        <v>0.49</v>
      </c>
    </row>
    <row r="176">
      <c r="A176" t="n">
        <v>175</v>
      </c>
      <c r="B176" t="n">
        <v>2013</v>
      </c>
      <c r="C176" t="inlineStr">
        <is>
          <t>Nelly Campagna</t>
        </is>
      </c>
      <c r="D176">
        <f>HYPERLINK("https://ota.tournamentsoftware.com/player-profile/57A742FF-F88B-4C14-A895-DA6559972095", "Link")</f>
        <v/>
      </c>
      <c r="E176" s="3" t="n">
        <v>514.603</v>
      </c>
      <c r="F176" s="4" t="n">
        <v>20</v>
      </c>
      <c r="G176" t="inlineStr">
        <is>
          <t>Tennis Québec</t>
        </is>
      </c>
      <c r="H176" t="inlineStr">
        <is>
          <t>Centre récréatif de Repentigny / Académie Tennis Momentum</t>
        </is>
      </c>
      <c r="I176" t="n">
        <v>29.5</v>
      </c>
      <c r="J176" s="4" t="n">
        <v>172</v>
      </c>
      <c r="K176" t="inlineStr">
        <is>
          <t>91 / 81</t>
        </is>
      </c>
      <c r="L176" t="inlineStr">
        <is>
          <t>23 / 19</t>
        </is>
      </c>
      <c r="M176" s="5" t="n">
        <v>0.53</v>
      </c>
      <c r="N176" s="5" t="n">
        <v>0.55</v>
      </c>
    </row>
    <row r="177">
      <c r="A177" t="n">
        <v>176</v>
      </c>
      <c r="B177" t="n">
        <v>2012</v>
      </c>
      <c r="C177" t="inlineStr">
        <is>
          <t>Ira Karthi</t>
        </is>
      </c>
      <c r="D177">
        <f>HYPERLINK("https://ota.tournamentsoftware.com/player-profile/87DFD688-7475-43FD-B605-7E13CDDC471C", "Link")</f>
        <v/>
      </c>
      <c r="E177" s="3" t="n">
        <v>508.605</v>
      </c>
      <c r="F177" s="4" t="n">
        <v>19</v>
      </c>
      <c r="G177" t="inlineStr">
        <is>
          <t>Ontario Tennis Association</t>
        </is>
      </c>
      <c r="H177" t="inlineStr">
        <is>
          <t>Sandy Beach Tennis Club</t>
        </is>
      </c>
      <c r="I177" t="n">
        <v>31.7</v>
      </c>
      <c r="J177" s="4" t="n">
        <v>77</v>
      </c>
      <c r="K177" t="inlineStr">
        <is>
          <t>23 / 54</t>
        </is>
      </c>
      <c r="L177" t="inlineStr">
        <is>
          <t>12 / 16</t>
        </is>
      </c>
      <c r="M177" s="5" t="n">
        <v>0.3</v>
      </c>
      <c r="N177" s="5" t="n">
        <v>0.43</v>
      </c>
    </row>
    <row r="178">
      <c r="A178" t="n">
        <v>177</v>
      </c>
      <c r="B178" t="n">
        <v>2012</v>
      </c>
      <c r="C178" t="inlineStr">
        <is>
          <t>Emma Sun</t>
        </is>
      </c>
      <c r="D178">
        <f>HYPERLINK("https://ota.tournamentsoftware.com/player-profile/00B8EFA4-17DF-49B4-90DE-B5A577BC8620", "Link")</f>
        <v/>
      </c>
      <c r="E178" s="3" t="n">
        <v>503.724</v>
      </c>
      <c r="F178" s="4" t="n">
        <v>15</v>
      </c>
      <c r="G178" t="inlineStr">
        <is>
          <t>British Columbia</t>
        </is>
      </c>
      <c r="H178" t="inlineStr">
        <is>
          <t>The Tennis Centre</t>
        </is>
      </c>
      <c r="I178" t="n">
        <v>27.5</v>
      </c>
      <c r="J178" s="4" t="n">
        <v>260</v>
      </c>
      <c r="K178" t="inlineStr">
        <is>
          <t>124 / 136</t>
        </is>
      </c>
      <c r="L178" t="inlineStr">
        <is>
          <t>15 / 15</t>
        </is>
      </c>
      <c r="M178" s="5" t="n">
        <v>0.48</v>
      </c>
      <c r="N178" s="5" t="n">
        <v>0.5</v>
      </c>
    </row>
    <row r="179">
      <c r="A179" t="n">
        <v>178</v>
      </c>
      <c r="B179" t="n">
        <v>2014</v>
      </c>
      <c r="C179" t="inlineStr">
        <is>
          <t>Hanna Julia Barta</t>
        </is>
      </c>
      <c r="D179">
        <f>HYPERLINK("https://ota.tournamentsoftware.com/player-profile/BAF4D69B-39E5-4A7E-BB04-5AF0EDC7734B", "Link")</f>
        <v/>
      </c>
      <c r="E179" s="3" t="n">
        <v>500.277</v>
      </c>
      <c r="F179" s="4" t="n">
        <v>25</v>
      </c>
      <c r="G179" t="inlineStr">
        <is>
          <t>Ontario Tennis Association</t>
        </is>
      </c>
      <c r="H179" t="inlineStr">
        <is>
          <t>Advantage Tennis International at Veneto</t>
        </is>
      </c>
      <c r="I179" t="n">
        <v>31.8</v>
      </c>
      <c r="J179" s="4" t="n">
        <v>211</v>
      </c>
      <c r="K179" t="inlineStr">
        <is>
          <t>105 / 106</t>
        </is>
      </c>
      <c r="L179" t="inlineStr">
        <is>
          <t>25 / 20</t>
        </is>
      </c>
      <c r="M179" s="5" t="n">
        <v>0.5</v>
      </c>
      <c r="N179" s="5" t="n">
        <v>0.5600000000000001</v>
      </c>
    </row>
    <row r="180">
      <c r="A180" t="n">
        <v>179</v>
      </c>
      <c r="B180" t="n">
        <v>2013</v>
      </c>
      <c r="C180" t="inlineStr">
        <is>
          <t>Mariela Ibrahim</t>
        </is>
      </c>
      <c r="D180">
        <f>HYPERLINK("https://ota.tournamentsoftware.com/player-profile/D80C965C-4117-4C2C-9F46-F371E9E47454", "Link")</f>
        <v/>
      </c>
      <c r="E180" s="3" t="n">
        <v>499.042</v>
      </c>
      <c r="F180" s="4" t="n">
        <v>32</v>
      </c>
      <c r="G180" t="inlineStr">
        <is>
          <t>Ontario Tennis Association</t>
        </is>
      </c>
      <c r="H180" t="inlineStr">
        <is>
          <t>Concord Tennis Academy</t>
        </is>
      </c>
      <c r="I180" t="inlineStr">
        <is>
          <t>unavailable</t>
        </is>
      </c>
      <c r="J180" s="4" t="n">
        <v>114</v>
      </c>
      <c r="K180" t="inlineStr">
        <is>
          <t>66 / 48</t>
        </is>
      </c>
      <c r="L180" t="inlineStr">
        <is>
          <t>32 / 22</t>
        </is>
      </c>
      <c r="M180" s="5" t="n">
        <v>0.58</v>
      </c>
      <c r="N180" s="5" t="n">
        <v>0.59</v>
      </c>
    </row>
    <row r="181">
      <c r="A181" t="n">
        <v>180</v>
      </c>
      <c r="B181" t="n">
        <v>2012</v>
      </c>
      <c r="C181" t="inlineStr">
        <is>
          <t>Alexandra Bayentin</t>
        </is>
      </c>
      <c r="D181">
        <f>HYPERLINK("https://ota.tournamentsoftware.com/player-profile/EFF894D9-35F7-45C9-9C57-06584708D213", "Link")</f>
        <v/>
      </c>
      <c r="E181" s="3" t="n">
        <v>499.016</v>
      </c>
      <c r="F181" s="4" t="n">
        <v>14</v>
      </c>
      <c r="G181" t="inlineStr">
        <is>
          <t>Tennis Alberta</t>
        </is>
      </c>
      <c r="H181" t="inlineStr">
        <is>
          <t>Osten &amp; Victor Alberta Tennis Centre</t>
        </is>
      </c>
      <c r="I181" t="n">
        <v>28.3</v>
      </c>
      <c r="J181" s="4" t="n">
        <v>167</v>
      </c>
      <c r="K181" t="inlineStr">
        <is>
          <t>81 / 86</t>
        </is>
      </c>
      <c r="L181" t="inlineStr">
        <is>
          <t>11 / 12</t>
        </is>
      </c>
      <c r="M181" s="5" t="n">
        <v>0.49</v>
      </c>
      <c r="N181" s="5" t="n">
        <v>0.48</v>
      </c>
    </row>
    <row r="182">
      <c r="A182" t="n">
        <v>181</v>
      </c>
      <c r="B182" t="n">
        <v>2015</v>
      </c>
      <c r="C182" t="inlineStr">
        <is>
          <t>Abbey Crump</t>
        </is>
      </c>
      <c r="D182">
        <f>HYPERLINK("https://ota.tournamentsoftware.com/player-profile/92F0423F-2B57-40B1-A6AA-5C7DC6477800", "Link")</f>
        <v/>
      </c>
      <c r="E182" s="3" t="n">
        <v>493.889</v>
      </c>
      <c r="F182" s="4" t="n">
        <v>16</v>
      </c>
      <c r="G182" t="inlineStr">
        <is>
          <t>Ontario Tennis Association</t>
        </is>
      </c>
      <c r="H182" t="inlineStr">
        <is>
          <t>Joshua Creek Golf &amp; Tennis</t>
        </is>
      </c>
      <c r="I182" t="n">
        <v>30.7</v>
      </c>
      <c r="J182" s="4" t="n">
        <v>146</v>
      </c>
      <c r="K182" t="inlineStr">
        <is>
          <t>120 / 26</t>
        </is>
      </c>
      <c r="L182" t="inlineStr">
        <is>
          <t>28 / 15</t>
        </is>
      </c>
      <c r="M182" s="5" t="n">
        <v>0.82</v>
      </c>
      <c r="N182" s="5" t="n">
        <v>0.65</v>
      </c>
    </row>
    <row r="183">
      <c r="A183" t="n">
        <v>182</v>
      </c>
      <c r="B183" t="n">
        <v>2013</v>
      </c>
      <c r="C183" t="inlineStr">
        <is>
          <t>Livia Seguin</t>
        </is>
      </c>
      <c r="D183">
        <f>HYPERLINK("https://ota.tournamentsoftware.com/player-profile/2B987274-8A56-4EE6-B85D-948871231CC0", "Link")</f>
        <v/>
      </c>
      <c r="E183" s="3" t="n">
        <v>493.701</v>
      </c>
      <c r="F183" s="4" t="n">
        <v>38</v>
      </c>
      <c r="G183" t="inlineStr">
        <is>
          <t>Tennis Québec</t>
        </is>
      </c>
      <c r="H183" t="inlineStr">
        <is>
          <t>Tennis Interclub Piedmont</t>
        </is>
      </c>
      <c r="I183" t="n">
        <v>32.8</v>
      </c>
      <c r="J183" s="4" t="n">
        <v>138</v>
      </c>
      <c r="K183" t="inlineStr">
        <is>
          <t>43 / 95</t>
        </is>
      </c>
      <c r="L183" t="inlineStr">
        <is>
          <t>19 / 34</t>
        </is>
      </c>
      <c r="M183" s="5" t="n">
        <v>0.31</v>
      </c>
      <c r="N183" s="5" t="n">
        <v>0.36</v>
      </c>
    </row>
    <row r="184">
      <c r="A184" t="n">
        <v>183</v>
      </c>
      <c r="B184" t="n">
        <v>2012</v>
      </c>
      <c r="C184" t="inlineStr">
        <is>
          <t>Yuehan DONG</t>
        </is>
      </c>
      <c r="D184">
        <f>HYPERLINK("https://ota.tournamentsoftware.com/player-profile/F5996998-771E-46C9-A222-1C90911DD4C3", "Link")</f>
        <v/>
      </c>
      <c r="E184" s="3" t="n">
        <v>491.405</v>
      </c>
      <c r="F184" s="4" t="n">
        <v>23</v>
      </c>
      <c r="G184" t="inlineStr">
        <is>
          <t>Ontario Tennis Association</t>
        </is>
      </c>
      <c r="H184" t="inlineStr">
        <is>
          <t>Fainblum Tennis Academy</t>
        </is>
      </c>
      <c r="I184" t="n">
        <v>31.7</v>
      </c>
      <c r="J184" s="4" t="n">
        <v>125</v>
      </c>
      <c r="K184" t="inlineStr">
        <is>
          <t>56 / 69</t>
        </is>
      </c>
      <c r="L184" t="inlineStr">
        <is>
          <t>8 / 18</t>
        </is>
      </c>
      <c r="M184" s="5" t="n">
        <v>0.45</v>
      </c>
      <c r="N184" s="5" t="n">
        <v>0.31</v>
      </c>
    </row>
    <row r="185">
      <c r="A185" t="n">
        <v>184</v>
      </c>
      <c r="B185" t="n">
        <v>2013</v>
      </c>
      <c r="C185" t="inlineStr">
        <is>
          <t>Mila Anna Kodjian</t>
        </is>
      </c>
      <c r="D185">
        <f>HYPERLINK("https://ota.tournamentsoftware.com/player-profile/CE1F1BC7-04CB-4652-A947-AF91FA03ECD5", "Link")</f>
        <v/>
      </c>
      <c r="E185" s="3" t="n">
        <v>491.4</v>
      </c>
      <c r="F185" s="4" t="n">
        <v>17</v>
      </c>
      <c r="G185" t="inlineStr">
        <is>
          <t>Ontario Tennis Association</t>
        </is>
      </c>
      <c r="H185" t="inlineStr">
        <is>
          <t>Rosethorn Tennis Club</t>
        </is>
      </c>
      <c r="I185" t="n">
        <v>31.9</v>
      </c>
      <c r="J185" s="4" t="n">
        <v>115</v>
      </c>
      <c r="K185" t="inlineStr">
        <is>
          <t>66 / 49</t>
        </is>
      </c>
      <c r="L185" t="inlineStr">
        <is>
          <t>25 / 11</t>
        </is>
      </c>
      <c r="M185" s="5" t="n">
        <v>0.57</v>
      </c>
      <c r="N185" s="5" t="n">
        <v>0.6899999999999999</v>
      </c>
    </row>
    <row r="186">
      <c r="A186" t="n">
        <v>185</v>
      </c>
      <c r="B186" t="n">
        <v>2012</v>
      </c>
      <c r="C186" t="inlineStr">
        <is>
          <t>MISHIKA SURESH BALAJI</t>
        </is>
      </c>
      <c r="D186">
        <f>HYPERLINK("https://ota.tournamentsoftware.com/player-profile/B11C615C-6BB8-4655-BCAA-370D01C186B1", "Link")</f>
        <v/>
      </c>
      <c r="E186" s="3" t="n">
        <v>488.52</v>
      </c>
      <c r="F186" s="4" t="n">
        <v>18</v>
      </c>
      <c r="G186" t="inlineStr">
        <is>
          <t>Tennis Nova Scotia</t>
        </is>
      </c>
      <c r="H186" t="inlineStr">
        <is>
          <t>Atlantic Tennis Centre</t>
        </is>
      </c>
      <c r="I186" t="n">
        <v>27.8</v>
      </c>
      <c r="J186" s="4" t="n">
        <v>173</v>
      </c>
      <c r="K186" t="inlineStr">
        <is>
          <t>91 / 82</t>
        </is>
      </c>
      <c r="L186" t="inlineStr">
        <is>
          <t>26 / 14</t>
        </is>
      </c>
      <c r="M186" s="5" t="n">
        <v>0.53</v>
      </c>
      <c r="N186" s="5" t="n">
        <v>0.65</v>
      </c>
    </row>
    <row r="187">
      <c r="A187" t="n">
        <v>186</v>
      </c>
      <c r="B187" t="n">
        <v>2012</v>
      </c>
      <c r="C187" t="inlineStr">
        <is>
          <t>Maya Sophia Abdullah</t>
        </is>
      </c>
      <c r="D187">
        <f>HYPERLINK("https://ota.tournamentsoftware.com/player-profile/6169AD2A-5AC2-4220-8B87-C5D54BAF6AD4", "Link")</f>
        <v/>
      </c>
      <c r="E187" s="3" t="n">
        <v>485.934</v>
      </c>
      <c r="F187" s="4" t="n">
        <v>20</v>
      </c>
      <c r="G187" t="inlineStr">
        <is>
          <t>Tennis Alberta</t>
        </is>
      </c>
      <c r="H187" t="inlineStr">
        <is>
          <t>Aforza</t>
        </is>
      </c>
      <c r="I187" t="n">
        <v>30.6</v>
      </c>
      <c r="J187" s="4" t="n">
        <v>64</v>
      </c>
      <c r="K187" t="inlineStr">
        <is>
          <t>32 / 32</t>
        </is>
      </c>
      <c r="L187" t="inlineStr">
        <is>
          <t>20 / 20</t>
        </is>
      </c>
      <c r="M187" s="5" t="n">
        <v>0.5</v>
      </c>
      <c r="N187" s="5" t="n">
        <v>0.5</v>
      </c>
    </row>
    <row r="188">
      <c r="A188" t="n">
        <v>187</v>
      </c>
      <c r="B188" t="n">
        <v>2014</v>
      </c>
      <c r="C188" t="inlineStr">
        <is>
          <t>Naima Majumdar-Moreau</t>
        </is>
      </c>
      <c r="D188">
        <f>HYPERLINK("https://ota.tournamentsoftware.com/player-profile/DCA02929-B08F-46CE-9CFE-852A987CEBF8", "Link")</f>
        <v/>
      </c>
      <c r="E188" s="3" t="n">
        <v>485.9</v>
      </c>
      <c r="F188" s="4" t="n">
        <v>31</v>
      </c>
      <c r="G188" t="inlineStr">
        <is>
          <t>Tennis Québec</t>
        </is>
      </c>
      <c r="H188" t="inlineStr">
        <is>
          <t>Tennis Ile- des- Soeurs</t>
        </is>
      </c>
      <c r="I188" t="inlineStr">
        <is>
          <t>unavailable</t>
        </is>
      </c>
      <c r="J188" s="4" t="n">
        <v>164</v>
      </c>
      <c r="K188" t="inlineStr">
        <is>
          <t>77 / 87</t>
        </is>
      </c>
      <c r="L188" t="inlineStr">
        <is>
          <t>31 / 30</t>
        </is>
      </c>
      <c r="M188" s="5" t="n">
        <v>0.47</v>
      </c>
      <c r="N188" s="5" t="n">
        <v>0.51</v>
      </c>
    </row>
    <row r="189">
      <c r="A189" t="n">
        <v>188</v>
      </c>
      <c r="B189" t="n">
        <v>2015</v>
      </c>
      <c r="C189" t="inlineStr">
        <is>
          <t>Elina Wang</t>
        </is>
      </c>
      <c r="D189">
        <f>HYPERLINK("https://ota.tournamentsoftware.com/player-profile/D1A88E02-8A26-413B-866E-8A72948B268F", "Link")</f>
        <v/>
      </c>
      <c r="E189" s="3" t="n">
        <v>482.596</v>
      </c>
      <c r="F189" s="4" t="n">
        <v>21</v>
      </c>
      <c r="G189" t="inlineStr">
        <is>
          <t>Ontario Tennis Association</t>
        </is>
      </c>
      <c r="H189" t="inlineStr">
        <is>
          <t>Richmondhill Golf &amp; Country Club</t>
        </is>
      </c>
      <c r="I189" t="n">
        <v>30.6</v>
      </c>
      <c r="J189" s="4" t="n">
        <v>237</v>
      </c>
      <c r="K189" t="inlineStr">
        <is>
          <t>156 / 81</t>
        </is>
      </c>
      <c r="L189" t="inlineStr">
        <is>
          <t>39 / 16</t>
        </is>
      </c>
      <c r="M189" s="5" t="n">
        <v>0.66</v>
      </c>
      <c r="N189" s="5" t="n">
        <v>0.71</v>
      </c>
    </row>
    <row r="190">
      <c r="A190" t="n">
        <v>189</v>
      </c>
      <c r="B190" t="n">
        <v>2014</v>
      </c>
      <c r="C190" t="inlineStr">
        <is>
          <t>Anica Yachun Liu</t>
        </is>
      </c>
      <c r="D190">
        <f>HYPERLINK("https://ota.tournamentsoftware.com/player-profile/B58148E6-4895-4918-B4B6-ADFAA5FEE0D2", "Link")</f>
        <v/>
      </c>
      <c r="E190" s="3" t="n">
        <v>479.105</v>
      </c>
      <c r="F190" s="4" t="n">
        <v>22</v>
      </c>
      <c r="G190" t="inlineStr">
        <is>
          <t>Tennis Alberta</t>
        </is>
      </c>
      <c r="H190" t="inlineStr">
        <is>
          <t>Saville Community Sports Centre</t>
        </is>
      </c>
      <c r="I190" t="n">
        <v>29.3</v>
      </c>
      <c r="J190" s="4" t="n">
        <v>224</v>
      </c>
      <c r="K190" t="inlineStr">
        <is>
          <t>111 / 113</t>
        </is>
      </c>
      <c r="L190" t="inlineStr">
        <is>
          <t>30 / 35</t>
        </is>
      </c>
      <c r="M190" s="5" t="n">
        <v>0.5</v>
      </c>
      <c r="N190" s="5" t="n">
        <v>0.46</v>
      </c>
    </row>
    <row r="191">
      <c r="A191" t="n">
        <v>190</v>
      </c>
      <c r="B191" t="n">
        <v>2013</v>
      </c>
      <c r="C191" t="inlineStr">
        <is>
          <t>Juliana Sophie Ho</t>
        </is>
      </c>
      <c r="D191">
        <f>HYPERLINK("https://ota.tournamentsoftware.com/player-profile/D79AC720-EA55-42CC-ACCB-558E5C86D00C", "Link")</f>
        <v/>
      </c>
      <c r="E191" s="3" t="n">
        <v>468.722</v>
      </c>
      <c r="F191" s="4" t="n">
        <v>28</v>
      </c>
      <c r="G191" t="inlineStr">
        <is>
          <t>Ontario Tennis Association</t>
        </is>
      </c>
      <c r="H191" t="inlineStr">
        <is>
          <t>Ontario Racquet Club</t>
        </is>
      </c>
      <c r="I191" t="n">
        <v>32.1</v>
      </c>
      <c r="J191" s="4" t="n">
        <v>144</v>
      </c>
      <c r="K191" t="inlineStr">
        <is>
          <t>73 / 71</t>
        </is>
      </c>
      <c r="L191" t="inlineStr">
        <is>
          <t>21 / 20</t>
        </is>
      </c>
      <c r="M191" s="5" t="n">
        <v>0.51</v>
      </c>
      <c r="N191" s="5" t="n">
        <v>0.51</v>
      </c>
    </row>
    <row r="192">
      <c r="A192" t="n">
        <v>191</v>
      </c>
      <c r="B192" t="n">
        <v>2012</v>
      </c>
      <c r="C192" t="inlineStr">
        <is>
          <t>Izibeyle Bhopal</t>
        </is>
      </c>
      <c r="D192">
        <f>HYPERLINK("https://ota.tournamentsoftware.com/player-profile/E9C7A60A-D097-4925-9456-764C57DCF01A", "Link")</f>
        <v/>
      </c>
      <c r="E192" s="3" t="n">
        <v>468.448</v>
      </c>
      <c r="F192" s="4" t="n">
        <v>2</v>
      </c>
      <c r="G192" t="inlineStr">
        <is>
          <t>British Columbia</t>
        </is>
      </c>
      <c r="H192" t="inlineStr">
        <is>
          <t>Bear Mountain Golf and Tennis Club</t>
        </is>
      </c>
      <c r="I192" t="n">
        <v>24.3</v>
      </c>
      <c r="J192" s="4" t="n">
        <v>64</v>
      </c>
      <c r="K192" t="inlineStr">
        <is>
          <t>39 / 25</t>
        </is>
      </c>
      <c r="L192" t="inlineStr">
        <is>
          <t>4 / 0</t>
        </is>
      </c>
      <c r="M192" s="5" t="n">
        <v>0.61</v>
      </c>
      <c r="N192" s="5" t="n">
        <v>1</v>
      </c>
    </row>
    <row r="193">
      <c r="A193" t="n">
        <v>192</v>
      </c>
      <c r="B193" t="n">
        <v>2014</v>
      </c>
      <c r="C193" t="inlineStr">
        <is>
          <t>Eva Larose</t>
        </is>
      </c>
      <c r="D193">
        <f>HYPERLINK("https://ota.tournamentsoftware.com/player-profile/BC2D4F14-515B-4F2A-AD3B-8DA03F3E5E5B", "Link")</f>
        <v/>
      </c>
      <c r="E193" s="3" t="n">
        <v>466.782</v>
      </c>
      <c r="F193" s="4" t="n">
        <v>23</v>
      </c>
      <c r="G193" t="inlineStr">
        <is>
          <t>Tennis Québec</t>
        </is>
      </c>
      <c r="H193" t="inlineStr">
        <is>
          <t>Tennis Ile- des- Soeurs</t>
        </is>
      </c>
      <c r="I193" t="inlineStr">
        <is>
          <t>unavailable</t>
        </is>
      </c>
      <c r="J193" s="4" t="n">
        <v>167</v>
      </c>
      <c r="K193" t="inlineStr">
        <is>
          <t>96 / 71</t>
        </is>
      </c>
      <c r="L193" t="inlineStr">
        <is>
          <t>43 / 20</t>
        </is>
      </c>
      <c r="M193" s="5" t="n">
        <v>0.57</v>
      </c>
      <c r="N193" s="5" t="n">
        <v>0.68</v>
      </c>
    </row>
    <row r="194">
      <c r="A194" t="n">
        <v>193</v>
      </c>
      <c r="B194" t="n">
        <v>2016</v>
      </c>
      <c r="C194" t="inlineStr">
        <is>
          <t>Alisha Goel</t>
        </is>
      </c>
      <c r="D194">
        <f>HYPERLINK("https://ota.tournamentsoftware.com/player-profile/7F9E9DD0-77A1-4F40-B2B5-C4B89592B089", "Link")</f>
        <v/>
      </c>
      <c r="E194" s="3" t="n">
        <v>459.47</v>
      </c>
      <c r="F194" s="4" t="n">
        <v>27</v>
      </c>
      <c r="G194" t="inlineStr">
        <is>
          <t>Ontario Tennis Association</t>
        </is>
      </c>
      <c r="H194" t="inlineStr">
        <is>
          <t>The Supreme Court Tennis Club</t>
        </is>
      </c>
      <c r="I194" t="n">
        <v>32.5</v>
      </c>
      <c r="J194" s="4" t="n">
        <v>185</v>
      </c>
      <c r="K194" t="inlineStr">
        <is>
          <t>124 / 61</t>
        </is>
      </c>
      <c r="L194" t="inlineStr">
        <is>
          <t>37 / 23</t>
        </is>
      </c>
      <c r="M194" s="5" t="n">
        <v>0.67</v>
      </c>
      <c r="N194" s="5" t="n">
        <v>0.62</v>
      </c>
    </row>
    <row r="195">
      <c r="A195" t="n">
        <v>194</v>
      </c>
      <c r="B195" t="n">
        <v>2013</v>
      </c>
      <c r="C195" t="inlineStr">
        <is>
          <t>Audrey Yiyi Xu</t>
        </is>
      </c>
      <c r="D195">
        <f>HYPERLINK("https://ota.tournamentsoftware.com/player-profile/25D8C643-E3DC-418B-948B-22520C94F8E3", "Link")</f>
        <v/>
      </c>
      <c r="E195" s="3" t="n">
        <v>458.022</v>
      </c>
      <c r="F195" s="4" t="n">
        <v>24</v>
      </c>
      <c r="G195" t="inlineStr">
        <is>
          <t>Ontario Tennis Association</t>
        </is>
      </c>
      <c r="H195" t="inlineStr">
        <is>
          <t>Joshua Creek Golf &amp; Tennis</t>
        </is>
      </c>
      <c r="I195" t="n">
        <v>31.3</v>
      </c>
      <c r="J195" s="4" t="n">
        <v>151</v>
      </c>
      <c r="K195" t="inlineStr">
        <is>
          <t>68 / 83</t>
        </is>
      </c>
      <c r="L195" t="inlineStr">
        <is>
          <t>29 / 19</t>
        </is>
      </c>
      <c r="M195" s="5" t="n">
        <v>0.45</v>
      </c>
      <c r="N195" s="5" t="n">
        <v>0.6</v>
      </c>
    </row>
    <row r="196">
      <c r="A196" t="n">
        <v>195</v>
      </c>
      <c r="B196" t="n">
        <v>2013</v>
      </c>
      <c r="C196" t="inlineStr">
        <is>
          <t>Rosemarie Gagnon</t>
        </is>
      </c>
      <c r="D196">
        <f>HYPERLINK("https://ota.tournamentsoftware.com/player-profile/55A370D6-4FAD-414D-9E3D-2889C644855A", "Link")</f>
        <v/>
      </c>
      <c r="E196" s="3" t="n">
        <v>449.918</v>
      </c>
      <c r="F196" s="4" t="n">
        <v>22</v>
      </c>
      <c r="G196" t="inlineStr">
        <is>
          <t>Tennis Québec</t>
        </is>
      </c>
      <c r="H196" t="inlineStr">
        <is>
          <t>Club de tennis intérieur Saguenay / École de tennis Delisle-Poirel</t>
        </is>
      </c>
      <c r="I196" t="n">
        <v>31.7</v>
      </c>
      <c r="J196" s="4" t="n">
        <v>116</v>
      </c>
      <c r="K196" t="inlineStr">
        <is>
          <t>51 / 65</t>
        </is>
      </c>
      <c r="L196" t="inlineStr">
        <is>
          <t>13 / 20</t>
        </is>
      </c>
      <c r="M196" s="5" t="n">
        <v>0.44</v>
      </c>
      <c r="N196" s="5" t="n">
        <v>0.39</v>
      </c>
    </row>
    <row r="197">
      <c r="A197" t="n">
        <v>196</v>
      </c>
      <c r="B197" t="n">
        <v>2013</v>
      </c>
      <c r="C197" t="inlineStr">
        <is>
          <t>Alexandra Choe</t>
        </is>
      </c>
      <c r="D197">
        <f>HYPERLINK("https://ota.tournamentsoftware.com/player-profile/0BFF8F09-A612-40D9-B491-E305A472672B", "Link")</f>
        <v/>
      </c>
      <c r="E197" s="3" t="n">
        <v>449.276</v>
      </c>
      <c r="F197" s="4" t="n">
        <v>11</v>
      </c>
      <c r="G197" t="inlineStr">
        <is>
          <t>Ontario Tennis Association</t>
        </is>
      </c>
      <c r="H197" t="inlineStr">
        <is>
          <t>Joshua Creek Golf &amp; Tennis</t>
        </is>
      </c>
      <c r="I197" t="n">
        <v>29.9</v>
      </c>
      <c r="J197" s="4" t="n">
        <v>221</v>
      </c>
      <c r="K197" t="inlineStr">
        <is>
          <t>135 / 86</t>
        </is>
      </c>
      <c r="L197" t="inlineStr">
        <is>
          <t>8 / 4</t>
        </is>
      </c>
      <c r="M197" s="5" t="n">
        <v>0.61</v>
      </c>
      <c r="N197" s="5" t="n">
        <v>0.67</v>
      </c>
    </row>
    <row r="198">
      <c r="A198" t="n">
        <v>197</v>
      </c>
      <c r="B198" t="n">
        <v>2014</v>
      </c>
      <c r="C198" t="inlineStr">
        <is>
          <t>Katelyn Li</t>
        </is>
      </c>
      <c r="D198">
        <f>HYPERLINK("https://ota.tournamentsoftware.com/player-profile/4A74B151-256A-40ED-9F9D-F00036EDD0A5", "Link")</f>
        <v/>
      </c>
      <c r="E198" s="3" t="n">
        <v>449.064</v>
      </c>
      <c r="F198" s="4" t="n">
        <v>26</v>
      </c>
      <c r="G198" t="inlineStr">
        <is>
          <t>Ontario Tennis Association</t>
        </is>
      </c>
      <c r="H198" t="inlineStr">
        <is>
          <t>Burlington Hall Sporting Club</t>
        </is>
      </c>
      <c r="I198" t="inlineStr">
        <is>
          <t>unavailable</t>
        </is>
      </c>
      <c r="J198" s="4" t="n">
        <v>139</v>
      </c>
      <c r="K198" t="inlineStr">
        <is>
          <t>66 / 73</t>
        </is>
      </c>
      <c r="L198" t="inlineStr">
        <is>
          <t>25 / 23</t>
        </is>
      </c>
      <c r="M198" s="5" t="n">
        <v>0.47</v>
      </c>
      <c r="N198" s="5" t="n">
        <v>0.52</v>
      </c>
    </row>
    <row r="199">
      <c r="A199" t="n">
        <v>198</v>
      </c>
      <c r="B199" t="n">
        <v>2013</v>
      </c>
      <c r="C199" t="inlineStr">
        <is>
          <t>Tia Patel</t>
        </is>
      </c>
      <c r="D199">
        <f>HYPERLINK("https://ota.tournamentsoftware.com/player-profile/5C480574-FD9C-4816-B1CF-F51441726B25", "Link")</f>
        <v/>
      </c>
      <c r="E199" s="3" t="n">
        <v>448.154</v>
      </c>
      <c r="F199" s="4" t="n">
        <v>16</v>
      </c>
      <c r="G199" t="inlineStr">
        <is>
          <t>Ontario Tennis Association</t>
        </is>
      </c>
      <c r="H199" t="inlineStr">
        <is>
          <t>Waterloo Tennis Club</t>
        </is>
      </c>
      <c r="I199" t="n">
        <v>33.1</v>
      </c>
      <c r="J199" s="4" t="n">
        <v>84</v>
      </c>
      <c r="K199" t="inlineStr">
        <is>
          <t>31 / 53</t>
        </is>
      </c>
      <c r="L199" t="inlineStr">
        <is>
          <t>9 / 13</t>
        </is>
      </c>
      <c r="M199" s="5" t="n">
        <v>0.37</v>
      </c>
      <c r="N199" s="5" t="n">
        <v>0.41</v>
      </c>
    </row>
    <row r="200">
      <c r="A200" t="n">
        <v>199</v>
      </c>
      <c r="B200" t="n">
        <v>2013</v>
      </c>
      <c r="C200" t="inlineStr">
        <is>
          <t>Rihanna Kulyk</t>
        </is>
      </c>
      <c r="D200">
        <f>HYPERLINK("https://ota.tournamentsoftware.com/player-profile/6E1703BA-DB25-4B47-9BB7-314BDDCFDBAC", "Link")</f>
        <v/>
      </c>
      <c r="E200" s="3" t="n">
        <v>444.665</v>
      </c>
      <c r="F200" s="4" t="n">
        <v>24</v>
      </c>
      <c r="G200" t="inlineStr">
        <is>
          <t>Tennis Québec</t>
        </is>
      </c>
      <c r="H200" t="inlineStr">
        <is>
          <t>Tennis Ile- des- Soeurs</t>
        </is>
      </c>
      <c r="I200" t="inlineStr">
        <is>
          <t>unavailable</t>
        </is>
      </c>
      <c r="J200" s="4" t="n">
        <v>242</v>
      </c>
      <c r="K200" t="inlineStr">
        <is>
          <t>106 / 136</t>
        </is>
      </c>
      <c r="L200" t="inlineStr">
        <is>
          <t>13 / 21</t>
        </is>
      </c>
      <c r="M200" s="5" t="n">
        <v>0.44</v>
      </c>
      <c r="N200" s="5" t="n">
        <v>0.38</v>
      </c>
    </row>
    <row r="201">
      <c r="A201" t="n">
        <v>200</v>
      </c>
      <c r="B201" t="n">
        <v>2014</v>
      </c>
      <c r="C201" t="inlineStr">
        <is>
          <t>Sara Liao</t>
        </is>
      </c>
      <c r="D201">
        <f>HYPERLINK("https://ota.tournamentsoftware.com/player-profile/A86A9BCB-375D-415C-BD04-3D7638B2F6E8", "Link")</f>
        <v/>
      </c>
      <c r="E201" s="3" t="n">
        <v>443.842</v>
      </c>
      <c r="F201" s="4" t="n">
        <v>35</v>
      </c>
      <c r="G201" t="inlineStr">
        <is>
          <t>Ontario Tennis Association</t>
        </is>
      </c>
      <c r="H201" t="inlineStr">
        <is>
          <t>Ontario Racquet Club</t>
        </is>
      </c>
      <c r="I201" t="n">
        <v>32</v>
      </c>
      <c r="J201" s="4" t="n">
        <v>124</v>
      </c>
      <c r="K201" t="inlineStr">
        <is>
          <t>61 / 63</t>
        </is>
      </c>
      <c r="L201" t="inlineStr">
        <is>
          <t>34 / 30</t>
        </is>
      </c>
      <c r="M201" s="5" t="n">
        <v>0.49</v>
      </c>
      <c r="N201" s="5" t="n">
        <v>0.53</v>
      </c>
    </row>
    <row r="202">
      <c r="A202" t="n">
        <v>201</v>
      </c>
      <c r="B202" t="n">
        <v>2012</v>
      </c>
      <c r="C202" t="inlineStr">
        <is>
          <t>Ella Zhao</t>
        </is>
      </c>
      <c r="D202">
        <f>HYPERLINK("https://ota.tournamentsoftware.com/player-profile/4CFC4B61-0F67-4AD7-8CC6-03CC7A224737", "Link")</f>
        <v/>
      </c>
      <c r="E202" s="3" t="n">
        <v>442.478</v>
      </c>
      <c r="F202" s="4" t="n">
        <v>9</v>
      </c>
      <c r="G202" t="inlineStr">
        <is>
          <t>British Columbia</t>
        </is>
      </c>
      <c r="H202" t="inlineStr">
        <is>
          <t>North Shore Winter Club</t>
        </is>
      </c>
      <c r="I202" t="n">
        <v>26.8</v>
      </c>
      <c r="J202" s="4" t="n">
        <v>121</v>
      </c>
      <c r="K202" t="inlineStr">
        <is>
          <t>89 / 32</t>
        </is>
      </c>
      <c r="L202" t="inlineStr">
        <is>
          <t>9 / 7</t>
        </is>
      </c>
      <c r="M202" s="5" t="n">
        <v>0.74</v>
      </c>
      <c r="N202" s="5" t="n">
        <v>0.5600000000000001</v>
      </c>
    </row>
    <row r="203">
      <c r="A203" t="n">
        <v>202</v>
      </c>
      <c r="B203" t="n">
        <v>2015</v>
      </c>
      <c r="C203" t="inlineStr">
        <is>
          <t>Tina liu</t>
        </is>
      </c>
      <c r="D203">
        <f>HYPERLINK("https://ota.tournamentsoftware.com/player-profile/E7D1FBAC-8033-480E-A688-28CBCEF6D907", "Link")</f>
        <v/>
      </c>
      <c r="E203" s="3" t="n">
        <v>436.506</v>
      </c>
      <c r="F203" s="4" t="n">
        <v>28</v>
      </c>
      <c r="G203" t="inlineStr">
        <is>
          <t>Ontario Tennis Association</t>
        </is>
      </c>
      <c r="H203" t="inlineStr">
        <is>
          <t>Advantage Tennis International at Veneto</t>
        </is>
      </c>
      <c r="I203" t="n">
        <v>32.1</v>
      </c>
      <c r="J203" s="4" t="n">
        <v>205</v>
      </c>
      <c r="K203" t="inlineStr">
        <is>
          <t>131 / 74</t>
        </is>
      </c>
      <c r="L203" t="inlineStr">
        <is>
          <t>35 / 21</t>
        </is>
      </c>
      <c r="M203" s="5" t="n">
        <v>0.64</v>
      </c>
      <c r="N203" s="5" t="n">
        <v>0.62</v>
      </c>
    </row>
    <row r="204">
      <c r="A204" t="n">
        <v>203</v>
      </c>
      <c r="B204" t="n">
        <v>2014</v>
      </c>
      <c r="C204" t="inlineStr">
        <is>
          <t>Maeva Cantin</t>
        </is>
      </c>
      <c r="D204">
        <f>HYPERLINK("https://ota.tournamentsoftware.com/player-profile/B46D6374-4A68-4FB0-8516-4056AFA1047A", "Link")</f>
        <v/>
      </c>
      <c r="E204" s="3" t="n">
        <v>433.008</v>
      </c>
      <c r="F204" s="4" t="n">
        <v>16</v>
      </c>
      <c r="G204" t="inlineStr">
        <is>
          <t>Tennis Québec</t>
        </is>
      </c>
      <c r="H204" t="inlineStr">
        <is>
          <t>Centre récréatif de Repentigny / Académie Tennis Momentum</t>
        </is>
      </c>
      <c r="I204" t="n">
        <v>30.7</v>
      </c>
      <c r="J204" s="4" t="n">
        <v>152</v>
      </c>
      <c r="K204" t="inlineStr">
        <is>
          <t>82 / 70</t>
        </is>
      </c>
      <c r="L204" t="inlineStr">
        <is>
          <t>29 / 17</t>
        </is>
      </c>
      <c r="M204" s="5" t="n">
        <v>0.54</v>
      </c>
      <c r="N204" s="5" t="n">
        <v>0.63</v>
      </c>
    </row>
    <row r="205">
      <c r="A205" t="n">
        <v>204</v>
      </c>
      <c r="B205" t="n">
        <v>2014</v>
      </c>
      <c r="C205" t="inlineStr">
        <is>
          <t>Olivia Zhang</t>
        </is>
      </c>
      <c r="D205">
        <f>HYPERLINK("https://ota.tournamentsoftware.com/player-profile/8A1E61A8-3535-4F88-8C90-68A511D75AC2", "Link")</f>
        <v/>
      </c>
      <c r="E205" s="3" t="n">
        <v>428.8</v>
      </c>
      <c r="F205" s="4" t="n">
        <v>23</v>
      </c>
      <c r="G205" t="inlineStr">
        <is>
          <t>Ontario Tennis Association</t>
        </is>
      </c>
      <c r="H205" t="inlineStr">
        <is>
          <t>Richmondhill Golf &amp; Country Club</t>
        </is>
      </c>
      <c r="I205" t="n">
        <v>29.8</v>
      </c>
      <c r="J205" s="4" t="n">
        <v>109</v>
      </c>
      <c r="K205" t="inlineStr">
        <is>
          <t>66 / 43</t>
        </is>
      </c>
      <c r="L205" t="inlineStr">
        <is>
          <t>35 / 20</t>
        </is>
      </c>
      <c r="M205" s="5" t="n">
        <v>0.61</v>
      </c>
      <c r="N205" s="5" t="n">
        <v>0.64</v>
      </c>
    </row>
    <row r="206">
      <c r="A206" t="n">
        <v>205</v>
      </c>
      <c r="B206" t="n">
        <v>2012</v>
      </c>
      <c r="C206" t="inlineStr">
        <is>
          <t>Milena Mavrin</t>
        </is>
      </c>
      <c r="D206">
        <f>HYPERLINK("https://ota.tournamentsoftware.com/player-profile/E6DED1E8-57C3-4627-8D59-94A636610A6B", "Link")</f>
        <v/>
      </c>
      <c r="E206" s="3" t="n">
        <v>428.128</v>
      </c>
      <c r="F206" s="4" t="n">
        <v>27</v>
      </c>
      <c r="G206" t="inlineStr">
        <is>
          <t>Ontario Tennis Association</t>
        </is>
      </c>
      <c r="H206" t="inlineStr">
        <is>
          <t>Blackmore Tennis Club</t>
        </is>
      </c>
      <c r="I206" t="n">
        <v>31.7</v>
      </c>
      <c r="J206" s="4" t="n">
        <v>83</v>
      </c>
      <c r="K206" t="inlineStr">
        <is>
          <t>38 / 45</t>
        </is>
      </c>
      <c r="L206" t="inlineStr">
        <is>
          <t>30 / 25</t>
        </is>
      </c>
      <c r="M206" s="5" t="n">
        <v>0.46</v>
      </c>
      <c r="N206" s="5" t="n">
        <v>0.55</v>
      </c>
    </row>
    <row r="207">
      <c r="A207" t="n">
        <v>206</v>
      </c>
      <c r="B207" t="n">
        <v>2014</v>
      </c>
      <c r="C207" t="inlineStr">
        <is>
          <t>Ema Zonjic</t>
        </is>
      </c>
      <c r="D207">
        <f>HYPERLINK("https://ota.tournamentsoftware.com/player-profile/42A43C76-E08F-4134-B876-2E9D05859D92", "Link")</f>
        <v/>
      </c>
      <c r="E207" s="3" t="n">
        <v>427.7</v>
      </c>
      <c r="F207" s="4" t="n">
        <v>28</v>
      </c>
      <c r="G207" t="inlineStr">
        <is>
          <t>Ontario Tennis Association</t>
        </is>
      </c>
      <c r="H207" t="inlineStr">
        <is>
          <t>Rideau Sports Centre</t>
        </is>
      </c>
      <c r="I207" t="n">
        <v>30.5</v>
      </c>
      <c r="J207" s="4" t="n">
        <v>193</v>
      </c>
      <c r="K207" t="inlineStr">
        <is>
          <t>111 / 82</t>
        </is>
      </c>
      <c r="L207" t="inlineStr">
        <is>
          <t>43 / 25</t>
        </is>
      </c>
      <c r="M207" s="5" t="n">
        <v>0.58</v>
      </c>
      <c r="N207" s="5" t="n">
        <v>0.63</v>
      </c>
    </row>
    <row r="208">
      <c r="A208" t="n">
        <v>207</v>
      </c>
      <c r="B208" t="n">
        <v>2012</v>
      </c>
      <c r="C208" t="inlineStr">
        <is>
          <t>Tiffany Ren Jun Cao</t>
        </is>
      </c>
      <c r="D208">
        <f>HYPERLINK("https://ota.tournamentsoftware.com/player-profile/07B17DA5-DD47-4C90-B575-478C58AD7465", "Link")</f>
        <v/>
      </c>
      <c r="E208" s="3" t="n">
        <v>426.413</v>
      </c>
      <c r="F208" s="4" t="n">
        <v>21</v>
      </c>
      <c r="G208" t="inlineStr">
        <is>
          <t>British Columbia</t>
        </is>
      </c>
      <c r="H208" t="inlineStr">
        <is>
          <t>Richmond Country Club</t>
        </is>
      </c>
      <c r="I208" t="n">
        <v>29.7</v>
      </c>
      <c r="J208" s="4" t="n">
        <v>207</v>
      </c>
      <c r="K208" t="inlineStr">
        <is>
          <t>105 / 102</t>
        </is>
      </c>
      <c r="L208" t="inlineStr">
        <is>
          <t>18 / 22</t>
        </is>
      </c>
      <c r="M208" s="5" t="n">
        <v>0.51</v>
      </c>
      <c r="N208" s="5" t="n">
        <v>0.45</v>
      </c>
    </row>
    <row r="209">
      <c r="A209" t="n">
        <v>208</v>
      </c>
      <c r="B209" t="n">
        <v>2013</v>
      </c>
      <c r="C209" t="inlineStr">
        <is>
          <t>Ria Tamber</t>
        </is>
      </c>
      <c r="D209">
        <f>HYPERLINK("https://ota.tournamentsoftware.com/player-profile/4A086BBB-EEC2-48A4-BDDA-142D9D4A3534", "Link")</f>
        <v/>
      </c>
      <c r="E209" s="3" t="n">
        <v>422.515</v>
      </c>
      <c r="F209" s="4" t="n">
        <v>24</v>
      </c>
      <c r="G209" t="inlineStr">
        <is>
          <t>Ontario Tennis Association</t>
        </is>
      </c>
      <c r="H209" t="inlineStr">
        <is>
          <t>Premier Racquet Clubs – Mississauga</t>
        </is>
      </c>
      <c r="I209" t="inlineStr">
        <is>
          <t>unavailable</t>
        </is>
      </c>
      <c r="J209" s="4" t="n">
        <v>104</v>
      </c>
      <c r="K209" t="inlineStr">
        <is>
          <t>46 / 58</t>
        </is>
      </c>
      <c r="L209" t="inlineStr">
        <is>
          <t>19 / 18</t>
        </is>
      </c>
      <c r="M209" s="5" t="n">
        <v>0.44</v>
      </c>
      <c r="N209" s="5" t="n">
        <v>0.51</v>
      </c>
    </row>
    <row r="210">
      <c r="A210" t="n">
        <v>209</v>
      </c>
      <c r="B210" t="n">
        <v>2014</v>
      </c>
      <c r="C210" t="inlineStr">
        <is>
          <t>Erin Yida Li</t>
        </is>
      </c>
      <c r="D210">
        <f>HYPERLINK("https://ota.tournamentsoftware.com/player-profile/48592A27-18BE-4C04-BE24-73F536B6D5D5", "Link")</f>
        <v/>
      </c>
      <c r="E210" s="3" t="n">
        <v>416.184</v>
      </c>
      <c r="F210" s="4" t="n">
        <v>23</v>
      </c>
      <c r="G210" t="inlineStr">
        <is>
          <t>Ontario Tennis Association</t>
        </is>
      </c>
      <c r="H210" t="inlineStr">
        <is>
          <t>Richmondhill Golf &amp; Country Club</t>
        </is>
      </c>
      <c r="I210" t="n">
        <v>32.2</v>
      </c>
      <c r="J210" s="4" t="n">
        <v>89</v>
      </c>
      <c r="K210" t="inlineStr">
        <is>
          <t>44 / 45</t>
        </is>
      </c>
      <c r="L210" t="inlineStr">
        <is>
          <t>21 / 20</t>
        </is>
      </c>
      <c r="M210" s="5" t="n">
        <v>0.49</v>
      </c>
      <c r="N210" s="5" t="n">
        <v>0.51</v>
      </c>
    </row>
    <row r="211">
      <c r="A211" t="n">
        <v>210</v>
      </c>
      <c r="B211" t="n">
        <v>2014</v>
      </c>
      <c r="C211" t="inlineStr">
        <is>
          <t>Sophia Pavlovska</t>
        </is>
      </c>
      <c r="D211">
        <f>HYPERLINK("https://ota.tournamentsoftware.com/player-profile/5C58F1EE-F291-431D-AC00-FB9096274E0A", "Link")</f>
        <v/>
      </c>
      <c r="E211" s="3" t="n">
        <v>413.785</v>
      </c>
      <c r="F211" s="4" t="n">
        <v>14</v>
      </c>
      <c r="G211" t="inlineStr">
        <is>
          <t>Tennis New Brunswick</t>
        </is>
      </c>
      <c r="H211" t="inlineStr">
        <is>
          <t>Dieppe</t>
        </is>
      </c>
      <c r="I211" t="n">
        <v>33.3</v>
      </c>
      <c r="J211" s="4" t="n">
        <v>178</v>
      </c>
      <c r="K211" t="inlineStr">
        <is>
          <t>66 / 112</t>
        </is>
      </c>
      <c r="L211" t="inlineStr">
        <is>
          <t>18 / 17</t>
        </is>
      </c>
      <c r="M211" s="5" t="n">
        <v>0.37</v>
      </c>
      <c r="N211" s="5" t="n">
        <v>0.51</v>
      </c>
    </row>
    <row r="212">
      <c r="A212" t="n">
        <v>211</v>
      </c>
      <c r="B212" t="n">
        <v>2013</v>
      </c>
      <c r="C212" t="inlineStr">
        <is>
          <t>Élisabeth Circé</t>
        </is>
      </c>
      <c r="D212">
        <f>HYPERLINK("https://ota.tournamentsoftware.com/player-profile/6616439A-F3CD-4D57-876F-DCE4AC4B88C9", "Link")</f>
        <v/>
      </c>
      <c r="E212" s="3" t="n">
        <v>413.547</v>
      </c>
      <c r="F212" s="4" t="n">
        <v>28</v>
      </c>
      <c r="G212" t="inlineStr">
        <is>
          <t>Tennis Québec</t>
        </is>
      </c>
      <c r="H212" t="inlineStr">
        <is>
          <t>Tennis Interclub Piedmont</t>
        </is>
      </c>
      <c r="I212" t="inlineStr">
        <is>
          <t>unavailable</t>
        </is>
      </c>
      <c r="J212" s="4" t="n">
        <v>152</v>
      </c>
      <c r="K212" t="inlineStr">
        <is>
          <t>51 / 101</t>
        </is>
      </c>
      <c r="L212" t="inlineStr">
        <is>
          <t>17 / 25</t>
        </is>
      </c>
      <c r="M212" s="5" t="n">
        <v>0.34</v>
      </c>
      <c r="N212" s="5" t="n">
        <v>0.4</v>
      </c>
    </row>
    <row r="213">
      <c r="A213" t="n">
        <v>212</v>
      </c>
      <c r="B213" t="n">
        <v>2012</v>
      </c>
      <c r="C213" t="inlineStr">
        <is>
          <t>Trisha Singh</t>
        </is>
      </c>
      <c r="D213">
        <f>HYPERLINK("https://ota.tournamentsoftware.com/player-profile/CA831513-6963-4556-B8FD-4D148748EB19", "Link")</f>
        <v/>
      </c>
      <c r="E213" s="3" t="n">
        <v>409.352</v>
      </c>
      <c r="F213" s="4" t="n">
        <v>17</v>
      </c>
      <c r="G213" t="inlineStr">
        <is>
          <t>Ontario Tennis Association</t>
        </is>
      </c>
      <c r="H213" t="inlineStr">
        <is>
          <t>Rideau Sports Centre</t>
        </is>
      </c>
      <c r="I213" t="n">
        <v>31.3</v>
      </c>
      <c r="J213" s="4" t="n">
        <v>100</v>
      </c>
      <c r="K213" t="inlineStr">
        <is>
          <t>46 / 54</t>
        </is>
      </c>
      <c r="L213" t="inlineStr">
        <is>
          <t>13 / 19</t>
        </is>
      </c>
      <c r="M213" s="5" t="n">
        <v>0.46</v>
      </c>
      <c r="N213" s="5" t="n">
        <v>0.41</v>
      </c>
    </row>
    <row r="214">
      <c r="A214" t="n">
        <v>213</v>
      </c>
      <c r="B214" t="n">
        <v>2013</v>
      </c>
      <c r="C214" t="inlineStr">
        <is>
          <t>Coralie D'Amours</t>
        </is>
      </c>
      <c r="D214">
        <f>HYPERLINK("https://ota.tournamentsoftware.com/player-profile/35A6230C-9F9D-4861-B1DB-6367FB38A039", "Link")</f>
        <v/>
      </c>
      <c r="E214" s="3" t="n">
        <v>408.39</v>
      </c>
      <c r="F214" s="4" t="n">
        <v>18</v>
      </c>
      <c r="G214" t="inlineStr">
        <is>
          <t>Ontario Tennis Association</t>
        </is>
      </c>
      <c r="H214" t="inlineStr">
        <is>
          <t>Rideau Sports Centre</t>
        </is>
      </c>
      <c r="I214" t="n">
        <v>33.1</v>
      </c>
      <c r="J214" s="4" t="n">
        <v>66</v>
      </c>
      <c r="K214" t="inlineStr">
        <is>
          <t>24 / 42</t>
        </is>
      </c>
      <c r="L214" t="inlineStr">
        <is>
          <t>16 / 20</t>
        </is>
      </c>
      <c r="M214" s="5" t="n">
        <v>0.36</v>
      </c>
      <c r="N214" s="5" t="n">
        <v>0.44</v>
      </c>
    </row>
    <row r="215">
      <c r="A215" t="n">
        <v>214</v>
      </c>
      <c r="B215" t="n">
        <v>2013</v>
      </c>
      <c r="C215" t="inlineStr">
        <is>
          <t>Isidora Trkulja</t>
        </is>
      </c>
      <c r="D215">
        <f>HYPERLINK("https://ota.tournamentsoftware.com/player-profile/1A3F3EE8-FB93-483C-A52C-E761E6FA42CE", "Link")</f>
        <v/>
      </c>
      <c r="E215" s="3" t="n">
        <v>406.915</v>
      </c>
      <c r="F215" s="4" t="n">
        <v>7</v>
      </c>
      <c r="G215" t="inlineStr">
        <is>
          <t>Tennis Alberta</t>
        </is>
      </c>
      <c r="H215" t="inlineStr">
        <is>
          <t>Saville Community Sports Centre</t>
        </is>
      </c>
      <c r="I215" t="n">
        <v>26.1</v>
      </c>
      <c r="J215" s="4" t="n">
        <v>194</v>
      </c>
      <c r="K215" t="inlineStr">
        <is>
          <t>125 / 69</t>
        </is>
      </c>
      <c r="L215" t="inlineStr">
        <is>
          <t>8 / 6</t>
        </is>
      </c>
      <c r="M215" s="5" t="n">
        <v>0.64</v>
      </c>
      <c r="N215" s="5" t="n">
        <v>0.57</v>
      </c>
    </row>
    <row r="216">
      <c r="A216" t="n">
        <v>215</v>
      </c>
      <c r="B216" t="n">
        <v>2013</v>
      </c>
      <c r="C216" t="inlineStr">
        <is>
          <t>Arya Kaur Dhillon</t>
        </is>
      </c>
      <c r="D216">
        <f>HYPERLINK("https://ota.tournamentsoftware.com/player-profile/3DBC0BDE-C3D6-40A5-992E-F7274098EF5D", "Link")</f>
        <v/>
      </c>
      <c r="E216" s="3" t="n">
        <v>405.446</v>
      </c>
      <c r="F216" s="4" t="n">
        <v>18</v>
      </c>
      <c r="G216" t="inlineStr">
        <is>
          <t>Tennis Alberta</t>
        </is>
      </c>
      <c r="H216" t="inlineStr">
        <is>
          <t>Saville Community Sports Centre</t>
        </is>
      </c>
      <c r="I216" t="n">
        <v>29.3</v>
      </c>
      <c r="J216" s="4" t="n">
        <v>175</v>
      </c>
      <c r="K216" t="inlineStr">
        <is>
          <t>86 / 89</t>
        </is>
      </c>
      <c r="L216" t="inlineStr">
        <is>
          <t>24 / 21</t>
        </is>
      </c>
      <c r="M216" s="5" t="n">
        <v>0.49</v>
      </c>
      <c r="N216" s="5" t="n">
        <v>0.53</v>
      </c>
    </row>
    <row r="217">
      <c r="A217" t="n">
        <v>216</v>
      </c>
      <c r="B217" t="n">
        <v>2013</v>
      </c>
      <c r="C217" t="inlineStr">
        <is>
          <t>Alina Luo</t>
        </is>
      </c>
      <c r="D217">
        <f>HYPERLINK("https://ota.tournamentsoftware.com/player-profile/848C25E0-4CBB-4051-8AB5-C8460313D4A3", "Link")</f>
        <v/>
      </c>
      <c r="E217" s="3" t="n">
        <v>399.293</v>
      </c>
      <c r="F217" s="4" t="n">
        <v>21</v>
      </c>
      <c r="G217" t="inlineStr">
        <is>
          <t>Tennis Québec</t>
        </is>
      </c>
      <c r="H217" t="inlineStr">
        <is>
          <t>SANI Sport</t>
        </is>
      </c>
      <c r="I217" t="n">
        <v>29.9</v>
      </c>
      <c r="J217" s="4" t="n">
        <v>223</v>
      </c>
      <c r="K217" t="inlineStr">
        <is>
          <t>107 / 116</t>
        </is>
      </c>
      <c r="L217" t="inlineStr">
        <is>
          <t>7 / 19</t>
        </is>
      </c>
      <c r="M217" s="5" t="n">
        <v>0.48</v>
      </c>
      <c r="N217" s="5" t="n">
        <v>0.27</v>
      </c>
    </row>
    <row r="218">
      <c r="A218" t="n">
        <v>217</v>
      </c>
      <c r="B218" t="n">
        <v>2013</v>
      </c>
      <c r="C218" t="inlineStr">
        <is>
          <t>Rachel Daniel</t>
        </is>
      </c>
      <c r="D218">
        <f>HYPERLINK("https://ota.tournamentsoftware.com/player-profile/C70279D5-586C-4A9D-94CC-EB9551085FF4", "Link")</f>
        <v/>
      </c>
      <c r="E218" s="3" t="n">
        <v>398.854</v>
      </c>
      <c r="F218" s="4" t="n">
        <v>18</v>
      </c>
      <c r="G218" t="inlineStr">
        <is>
          <t>Ontario Tennis Association</t>
        </is>
      </c>
      <c r="H218" t="inlineStr">
        <is>
          <t>Advantage Tennis International at Veneto</t>
        </is>
      </c>
      <c r="I218" t="n">
        <v>32.7</v>
      </c>
      <c r="J218" s="4" t="n">
        <v>102</v>
      </c>
      <c r="K218" t="inlineStr">
        <is>
          <t>40 / 62</t>
        </is>
      </c>
      <c r="L218" t="inlineStr">
        <is>
          <t>10 / 13</t>
        </is>
      </c>
      <c r="M218" s="5" t="n">
        <v>0.39</v>
      </c>
      <c r="N218" s="5" t="n">
        <v>0.43</v>
      </c>
    </row>
    <row r="219">
      <c r="A219" t="n">
        <v>218</v>
      </c>
      <c r="B219" t="n">
        <v>2012</v>
      </c>
      <c r="C219" t="inlineStr">
        <is>
          <t>Victoria Perez Vargas</t>
        </is>
      </c>
      <c r="D219">
        <f>HYPERLINK("https://ota.tournamentsoftware.com/player-profile/6649B15F-628D-4ED7-81D6-AEB9036DF19A", "Link")</f>
        <v/>
      </c>
      <c r="E219" s="3" t="n">
        <v>396.088</v>
      </c>
      <c r="F219" s="4" t="n">
        <v>25</v>
      </c>
      <c r="G219" t="inlineStr">
        <is>
          <t>Tennis Québec</t>
        </is>
      </c>
      <c r="H219" t="inlineStr">
        <is>
          <t>Centre récréatif de Repentigny / Académie Tennis Momentum</t>
        </is>
      </c>
      <c r="I219" t="n">
        <v>32.3</v>
      </c>
      <c r="J219" s="4" t="n">
        <v>110</v>
      </c>
      <c r="K219" t="inlineStr">
        <is>
          <t>55 / 55</t>
        </is>
      </c>
      <c r="L219" t="inlineStr">
        <is>
          <t>30 / 18</t>
        </is>
      </c>
      <c r="M219" s="5" t="n">
        <v>0.5</v>
      </c>
      <c r="N219" s="5" t="n">
        <v>0.62</v>
      </c>
    </row>
    <row r="220">
      <c r="A220" t="n">
        <v>219</v>
      </c>
      <c r="B220" t="n">
        <v>2015</v>
      </c>
      <c r="C220" t="inlineStr">
        <is>
          <t>Danica Stamatovic</t>
        </is>
      </c>
      <c r="D220">
        <f>HYPERLINK("https://ota.tournamentsoftware.com/player-profile/3D976EDA-1737-4852-A9BF-C67ED47C73C1", "Link")</f>
        <v/>
      </c>
      <c r="E220" s="3" t="n">
        <v>395.232</v>
      </c>
      <c r="F220" s="4" t="n">
        <v>25</v>
      </c>
      <c r="G220" t="inlineStr">
        <is>
          <t>Ontario Tennis Association</t>
        </is>
      </c>
      <c r="H220" t="inlineStr">
        <is>
          <t>SmartVMC Racquetsports by ACE</t>
        </is>
      </c>
      <c r="I220" t="n">
        <v>31.2</v>
      </c>
      <c r="J220" s="4" t="n">
        <v>206</v>
      </c>
      <c r="K220" t="inlineStr">
        <is>
          <t>108 / 98</t>
        </is>
      </c>
      <c r="L220" t="inlineStr">
        <is>
          <t>41 / 19</t>
        </is>
      </c>
      <c r="M220" s="5" t="n">
        <v>0.52</v>
      </c>
      <c r="N220" s="5" t="n">
        <v>0.68</v>
      </c>
    </row>
    <row r="221">
      <c r="A221" t="n">
        <v>220</v>
      </c>
      <c r="B221" t="n">
        <v>2014</v>
      </c>
      <c r="C221" t="inlineStr">
        <is>
          <t>Isabella Quintero-Gonzalez</t>
        </is>
      </c>
      <c r="D221">
        <f>HYPERLINK("https://ota.tournamentsoftware.com/player-profile/7215E114-BC9E-4292-9B97-03B766DB64EA", "Link")</f>
        <v/>
      </c>
      <c r="E221" s="3" t="n">
        <v>392.276</v>
      </c>
      <c r="F221" s="4" t="n">
        <v>14</v>
      </c>
      <c r="G221" t="inlineStr">
        <is>
          <t>Tennis Nova Scotia</t>
        </is>
      </c>
      <c r="H221" t="inlineStr">
        <is>
          <t>Atlantic Tennis Centre</t>
        </is>
      </c>
      <c r="I221" t="n">
        <v>31.4</v>
      </c>
      <c r="J221" s="4" t="n">
        <v>133</v>
      </c>
      <c r="K221" t="inlineStr">
        <is>
          <t>69 / 64</t>
        </is>
      </c>
      <c r="L221" t="inlineStr">
        <is>
          <t>33 / 24</t>
        </is>
      </c>
      <c r="M221" s="5" t="n">
        <v>0.52</v>
      </c>
      <c r="N221" s="5" t="n">
        <v>0.58</v>
      </c>
    </row>
    <row r="222">
      <c r="A222" t="n">
        <v>221</v>
      </c>
      <c r="B222" t="n">
        <v>2015</v>
      </c>
      <c r="C222" t="inlineStr">
        <is>
          <t>Mila Caporusso</t>
        </is>
      </c>
      <c r="D222">
        <f>HYPERLINK("https://ota.tournamentsoftware.com/player-profile/71A1C940-3E73-49DA-929B-3B90328FC4BC", "Link")</f>
        <v/>
      </c>
      <c r="E222" s="3" t="n">
        <v>392.138</v>
      </c>
      <c r="F222" s="4" t="n">
        <v>8</v>
      </c>
      <c r="G222" t="inlineStr">
        <is>
          <t>Tennis Québec</t>
        </is>
      </c>
      <c r="H222" t="inlineStr">
        <is>
          <t>Tennis 13 / Académie Ménard et associé</t>
        </is>
      </c>
      <c r="I222" t="n">
        <v>30.6</v>
      </c>
      <c r="J222" s="4" t="n">
        <v>112</v>
      </c>
      <c r="K222" t="inlineStr">
        <is>
          <t>73 / 39</t>
        </is>
      </c>
      <c r="L222" t="inlineStr">
        <is>
          <t>11 / 11</t>
        </is>
      </c>
      <c r="M222" s="5" t="n">
        <v>0.65</v>
      </c>
      <c r="N222" s="5" t="n">
        <v>0.5</v>
      </c>
    </row>
    <row r="223">
      <c r="A223" t="n">
        <v>222</v>
      </c>
      <c r="B223" t="n">
        <v>2013</v>
      </c>
      <c r="C223" t="inlineStr">
        <is>
          <t>EMMA ANTONIA DOBREAN</t>
        </is>
      </c>
      <c r="D223">
        <f>HYPERLINK("https://ota.tournamentsoftware.com/player-profile/A556E1FC-8159-42C1-A5DB-35375535B6F4", "Link")</f>
        <v/>
      </c>
      <c r="E223" s="3" t="n">
        <v>386.415</v>
      </c>
      <c r="F223" s="4" t="n">
        <v>3</v>
      </c>
      <c r="G223" t="inlineStr">
        <is>
          <t>Ontario Tennis Association</t>
        </is>
      </c>
      <c r="H223" t="inlineStr">
        <is>
          <t>No Club</t>
        </is>
      </c>
      <c r="I223" t="inlineStr">
        <is>
          <t>unavailable</t>
        </is>
      </c>
      <c r="J223" s="4" t="n">
        <v>137</v>
      </c>
      <c r="K223" t="inlineStr">
        <is>
          <t>98 / 39</t>
        </is>
      </c>
      <c r="L223" t="inlineStr">
        <is>
          <t>2 / 3</t>
        </is>
      </c>
      <c r="M223" s="5" t="n">
        <v>0.72</v>
      </c>
      <c r="N223" s="5" t="n">
        <v>0.4</v>
      </c>
    </row>
    <row r="224">
      <c r="A224" t="n">
        <v>223</v>
      </c>
      <c r="B224" t="n">
        <v>2012</v>
      </c>
      <c r="C224" t="inlineStr">
        <is>
          <t>Naomi Brown</t>
        </is>
      </c>
      <c r="D224">
        <f>HYPERLINK("https://ota.tournamentsoftware.com/player-profile/3302BB60-F05F-49BC-8E90-BE5B9A063576", "Link")</f>
        <v/>
      </c>
      <c r="E224" s="3" t="n">
        <v>385.235</v>
      </c>
      <c r="F224" s="4" t="n">
        <v>12</v>
      </c>
      <c r="G224" t="inlineStr">
        <is>
          <t>Ontario Tennis Association</t>
        </is>
      </c>
      <c r="H224" t="inlineStr">
        <is>
          <t>No Club</t>
        </is>
      </c>
      <c r="I224" t="inlineStr">
        <is>
          <t>unavailable</t>
        </is>
      </c>
      <c r="J224" s="4" t="n">
        <v>88</v>
      </c>
      <c r="K224" t="inlineStr">
        <is>
          <t>39 / 49</t>
        </is>
      </c>
      <c r="L224" t="inlineStr">
        <is>
          <t>11 / 11</t>
        </is>
      </c>
      <c r="M224" s="5" t="n">
        <v>0.44</v>
      </c>
      <c r="N224" s="5" t="n">
        <v>0.5</v>
      </c>
    </row>
    <row r="225">
      <c r="A225" t="n">
        <v>224</v>
      </c>
      <c r="B225" t="n">
        <v>2012</v>
      </c>
      <c r="C225" t="inlineStr">
        <is>
          <t>Meika Sebastian</t>
        </is>
      </c>
      <c r="D225">
        <f>HYPERLINK("https://ota.tournamentsoftware.com/player-profile/0CA7407B-419A-43BA-82FB-32200AA68BA2", "Link")</f>
        <v/>
      </c>
      <c r="E225" s="3" t="n">
        <v>383.951</v>
      </c>
      <c r="F225" s="4" t="n">
        <v>6</v>
      </c>
      <c r="G225" t="inlineStr">
        <is>
          <t>Ontario Tennis Association</t>
        </is>
      </c>
      <c r="H225" t="inlineStr">
        <is>
          <t>City of Kingston</t>
        </is>
      </c>
      <c r="I225" t="n">
        <v>24.7</v>
      </c>
      <c r="J225" s="4" t="n">
        <v>287</v>
      </c>
      <c r="K225" t="inlineStr">
        <is>
          <t>147 / 140</t>
        </is>
      </c>
      <c r="L225" t="inlineStr">
        <is>
          <t>0 / 4</t>
        </is>
      </c>
      <c r="M225" s="5" t="n">
        <v>0.51</v>
      </c>
      <c r="N225" s="5" t="n">
        <v>0</v>
      </c>
    </row>
    <row r="226">
      <c r="A226" t="n">
        <v>225</v>
      </c>
      <c r="B226" t="n">
        <v>2012</v>
      </c>
      <c r="C226" t="inlineStr">
        <is>
          <t>Ariyana Usharah Mahanandan</t>
        </is>
      </c>
      <c r="D226">
        <f>HYPERLINK("https://ota.tournamentsoftware.com/player-profile/FE0B9224-EA2B-4B60-AB52-7A0A2ACA90DA", "Link")</f>
        <v/>
      </c>
      <c r="E226" s="3" t="n">
        <v>378.822</v>
      </c>
      <c r="F226" s="4" t="n">
        <v>24</v>
      </c>
      <c r="G226" t="inlineStr">
        <is>
          <t>Ontario Tennis Association</t>
        </is>
      </c>
      <c r="H226" t="inlineStr">
        <is>
          <t>Premier Racquet Clubs – Mississauga</t>
        </is>
      </c>
      <c r="I226" t="inlineStr">
        <is>
          <t>unavailable</t>
        </is>
      </c>
      <c r="J226" s="4" t="n">
        <v>144</v>
      </c>
      <c r="K226" t="inlineStr">
        <is>
          <t>63 / 81</t>
        </is>
      </c>
      <c r="L226" t="inlineStr">
        <is>
          <t>17 / 23</t>
        </is>
      </c>
      <c r="M226" s="5" t="n">
        <v>0.44</v>
      </c>
      <c r="N226" s="5" t="n">
        <v>0.42</v>
      </c>
    </row>
    <row r="227">
      <c r="A227" t="n">
        <v>226</v>
      </c>
      <c r="B227" t="n">
        <v>2014</v>
      </c>
      <c r="C227" t="inlineStr">
        <is>
          <t>anne xie</t>
        </is>
      </c>
      <c r="D227">
        <f>HYPERLINK("https://ota.tournamentsoftware.com/player-profile/FA9126B9-8D97-4D5E-9E34-8893BB836AE1", "Link")</f>
        <v/>
      </c>
      <c r="E227" s="3" t="n">
        <v>378.598</v>
      </c>
      <c r="F227" s="4" t="n">
        <v>24</v>
      </c>
      <c r="G227" t="inlineStr">
        <is>
          <t>British Columbia</t>
        </is>
      </c>
      <c r="H227" t="inlineStr">
        <is>
          <t>North Vancouver Tennis Centre</t>
        </is>
      </c>
      <c r="I227" t="n">
        <v>29.3</v>
      </c>
      <c r="J227" s="4" t="n">
        <v>264</v>
      </c>
      <c r="K227" t="inlineStr">
        <is>
          <t>128 / 136</t>
        </is>
      </c>
      <c r="L227" t="inlineStr">
        <is>
          <t>31 / 28</t>
        </is>
      </c>
      <c r="M227" s="5" t="n">
        <v>0.48</v>
      </c>
      <c r="N227" s="5" t="n">
        <v>0.53</v>
      </c>
    </row>
    <row r="228">
      <c r="A228" t="n">
        <v>227</v>
      </c>
      <c r="B228" t="n">
        <v>2014</v>
      </c>
      <c r="C228" t="inlineStr">
        <is>
          <t>KENZA JERBI</t>
        </is>
      </c>
      <c r="D228">
        <f>HYPERLINK("https://ota.tournamentsoftware.com/player-profile/C6A8B859-96DA-46D9-A270-B08DA27DDE5C", "Link")</f>
        <v/>
      </c>
      <c r="E228" s="3" t="n">
        <v>375.155</v>
      </c>
      <c r="F228" s="4" t="n">
        <v>13</v>
      </c>
      <c r="G228" t="inlineStr">
        <is>
          <t>Tennis Québec</t>
        </is>
      </c>
      <c r="H228" t="inlineStr">
        <is>
          <t>Tennis Montréal Excellence</t>
        </is>
      </c>
      <c r="I228" t="n">
        <v>31.8</v>
      </c>
      <c r="J228" s="4" t="n">
        <v>108</v>
      </c>
      <c r="K228" t="inlineStr">
        <is>
          <t>65 / 43</t>
        </is>
      </c>
      <c r="L228" t="inlineStr">
        <is>
          <t>7 / 11</t>
        </is>
      </c>
      <c r="M228" s="5" t="n">
        <v>0.6</v>
      </c>
      <c r="N228" s="5" t="n">
        <v>0.39</v>
      </c>
    </row>
    <row r="229">
      <c r="A229" t="n">
        <v>228</v>
      </c>
      <c r="B229" t="n">
        <v>2015</v>
      </c>
      <c r="C229" t="inlineStr">
        <is>
          <t>Clara Fanoos</t>
        </is>
      </c>
      <c r="D229">
        <f>HYPERLINK("https://ota.tournamentsoftware.com/player-profile/4AE431B3-C9E6-49D8-8003-48666B13F94B", "Link")</f>
        <v/>
      </c>
      <c r="E229" s="3" t="n">
        <v>374.35</v>
      </c>
      <c r="F229" s="4" t="n">
        <v>22</v>
      </c>
      <c r="G229" t="inlineStr">
        <is>
          <t>Tennis Québec</t>
        </is>
      </c>
      <c r="H229" t="inlineStr">
        <is>
          <t>Rouge et Or - Université Laval</t>
        </is>
      </c>
      <c r="I229" t="n">
        <v>30.7</v>
      </c>
      <c r="J229" s="4" t="n">
        <v>200</v>
      </c>
      <c r="K229" t="inlineStr">
        <is>
          <t>122 / 78</t>
        </is>
      </c>
      <c r="L229" t="inlineStr">
        <is>
          <t>34 / 22</t>
        </is>
      </c>
      <c r="M229" s="5" t="n">
        <v>0.61</v>
      </c>
      <c r="N229" s="5" t="n">
        <v>0.61</v>
      </c>
    </row>
    <row r="230">
      <c r="A230" t="n">
        <v>229</v>
      </c>
      <c r="B230" t="n">
        <v>2013</v>
      </c>
      <c r="C230" t="inlineStr">
        <is>
          <t>Noelle Coyne</t>
        </is>
      </c>
      <c r="D230">
        <f>HYPERLINK("https://ota.tournamentsoftware.com/player-profile/F9F10EB5-F22D-4997-85F1-78377170C70A", "Link")</f>
        <v/>
      </c>
      <c r="E230" s="3" t="n">
        <v>367.853</v>
      </c>
      <c r="F230" s="4" t="n">
        <v>25</v>
      </c>
      <c r="G230" t="inlineStr">
        <is>
          <t>Tennis Alberta</t>
        </is>
      </c>
      <c r="H230" t="inlineStr">
        <is>
          <t>Osten &amp; Victor Alberta Tennis Centre</t>
        </is>
      </c>
      <c r="I230" t="n">
        <v>31.8</v>
      </c>
      <c r="J230" s="4" t="n">
        <v>124</v>
      </c>
      <c r="K230" t="inlineStr">
        <is>
          <t>52 / 72</t>
        </is>
      </c>
      <c r="L230" t="inlineStr">
        <is>
          <t>24 / 33</t>
        </is>
      </c>
      <c r="M230" s="5" t="n">
        <v>0.42</v>
      </c>
      <c r="N230" s="5" t="n">
        <v>0.42</v>
      </c>
    </row>
    <row r="231">
      <c r="A231" t="n">
        <v>230</v>
      </c>
      <c r="B231" t="n">
        <v>2013</v>
      </c>
      <c r="C231" t="inlineStr">
        <is>
          <t>Mary Grace MacDonnell Doak</t>
        </is>
      </c>
      <c r="D231">
        <f>HYPERLINK("https://ota.tournamentsoftware.com/player-profile/7E3C3388-CB92-4FE9-B0C8-FE6415D966E4", "Link")</f>
        <v/>
      </c>
      <c r="E231" s="3" t="n">
        <v>366.079</v>
      </c>
      <c r="F231" s="4" t="n">
        <v>17</v>
      </c>
      <c r="G231" t="inlineStr">
        <is>
          <t>Ontario Tennis Association</t>
        </is>
      </c>
      <c r="H231" t="inlineStr">
        <is>
          <t>St. James Tennis Club</t>
        </is>
      </c>
      <c r="I231" t="n">
        <v>36.5</v>
      </c>
      <c r="J231" s="4" t="n">
        <v>147</v>
      </c>
      <c r="K231" t="inlineStr">
        <is>
          <t>69 / 78</t>
        </is>
      </c>
      <c r="L231" t="inlineStr">
        <is>
          <t>5 / 16</t>
        </is>
      </c>
      <c r="M231" s="5" t="n">
        <v>0.47</v>
      </c>
      <c r="N231" s="5" t="n">
        <v>0.24</v>
      </c>
    </row>
    <row r="232">
      <c r="A232" t="n">
        <v>231</v>
      </c>
      <c r="B232" t="n">
        <v>2014</v>
      </c>
      <c r="C232" t="inlineStr">
        <is>
          <t>Eva Paquette</t>
        </is>
      </c>
      <c r="D232">
        <f>HYPERLINK("https://ota.tournamentsoftware.com/player-profile/631BF8EC-5FD6-41F7-A4BC-1B4980693D40", "Link")</f>
        <v/>
      </c>
      <c r="E232" s="3" t="n">
        <v>358.451</v>
      </c>
      <c r="F232" s="4" t="n">
        <v>33</v>
      </c>
      <c r="G232" t="inlineStr">
        <is>
          <t>Tennis Québec</t>
        </is>
      </c>
      <c r="H232" t="inlineStr">
        <is>
          <t>Club Sportif Côte-de-Liesse</t>
        </is>
      </c>
      <c r="I232" t="n">
        <v>31.1</v>
      </c>
      <c r="J232" s="4" t="n">
        <v>212</v>
      </c>
      <c r="K232" t="inlineStr">
        <is>
          <t>108 / 104</t>
        </is>
      </c>
      <c r="L232" t="inlineStr">
        <is>
          <t>44 / 29</t>
        </is>
      </c>
      <c r="M232" s="5" t="n">
        <v>0.51</v>
      </c>
      <c r="N232" s="5" t="n">
        <v>0.6</v>
      </c>
    </row>
    <row r="233">
      <c r="A233" t="n">
        <v>232</v>
      </c>
      <c r="B233" t="n">
        <v>2014</v>
      </c>
      <c r="C233" t="inlineStr">
        <is>
          <t>Hailey Zhou</t>
        </is>
      </c>
      <c r="D233">
        <f>HYPERLINK("https://ota.tournamentsoftware.com/player-profile/3046278B-E91E-4DE6-B598-5CD7D202AA49", "Link")</f>
        <v/>
      </c>
      <c r="E233" s="3" t="n">
        <v>344.77</v>
      </c>
      <c r="F233" s="4" t="n">
        <v>39</v>
      </c>
      <c r="G233" t="inlineStr">
        <is>
          <t>Ontario Tennis Association</t>
        </is>
      </c>
      <c r="H233" t="inlineStr">
        <is>
          <t>Advantage Tennis International at Veneto</t>
        </is>
      </c>
      <c r="I233" t="n">
        <v>33.4</v>
      </c>
      <c r="J233" s="4" t="n">
        <v>92</v>
      </c>
      <c r="K233" t="inlineStr">
        <is>
          <t>45 / 47</t>
        </is>
      </c>
      <c r="L233" t="inlineStr">
        <is>
          <t>35 / 35</t>
        </is>
      </c>
      <c r="M233" s="5" t="n">
        <v>0.49</v>
      </c>
      <c r="N233" s="5" t="n">
        <v>0.5</v>
      </c>
    </row>
    <row r="234">
      <c r="A234" t="n">
        <v>233</v>
      </c>
      <c r="B234" t="n">
        <v>2012</v>
      </c>
      <c r="C234" t="inlineStr">
        <is>
          <t>Sneha Sahiba Bhatti</t>
        </is>
      </c>
      <c r="D234">
        <f>HYPERLINK("https://ota.tournamentsoftware.com/player-profile/16EA0E7B-0025-4333-9A2A-28395C436A40", "Link")</f>
        <v/>
      </c>
      <c r="E234" s="3" t="n">
        <v>343.767</v>
      </c>
      <c r="F234" s="4" t="n">
        <v>17</v>
      </c>
      <c r="G234" t="inlineStr">
        <is>
          <t>British Columbia</t>
        </is>
      </c>
      <c r="H234" t="inlineStr">
        <is>
          <t>Coquitlam Tennis Club</t>
        </is>
      </c>
      <c r="I234" t="n">
        <v>30.2</v>
      </c>
      <c r="J234" s="4" t="n">
        <v>188</v>
      </c>
      <c r="K234" t="inlineStr">
        <is>
          <t>93 / 95</t>
        </is>
      </c>
      <c r="L234" t="inlineStr">
        <is>
          <t>15 / 21</t>
        </is>
      </c>
      <c r="M234" s="5" t="n">
        <v>0.49</v>
      </c>
      <c r="N234" s="5" t="n">
        <v>0.42</v>
      </c>
    </row>
    <row r="235">
      <c r="A235" t="n">
        <v>234</v>
      </c>
      <c r="B235" t="n">
        <v>2014</v>
      </c>
      <c r="C235" t="inlineStr">
        <is>
          <t>Isabelle Prusinkiewicz</t>
        </is>
      </c>
      <c r="D235">
        <f>HYPERLINK("https://ota.tournamentsoftware.com/player-profile/15F8CE0F-EF62-4029-B13B-F131581B8B29", "Link")</f>
        <v/>
      </c>
      <c r="E235" s="3" t="n">
        <v>338.545</v>
      </c>
      <c r="F235" s="4" t="n">
        <v>22</v>
      </c>
      <c r="G235" t="inlineStr">
        <is>
          <t>Tennis Alberta</t>
        </is>
      </c>
      <c r="H235" t="inlineStr">
        <is>
          <t>Aforza</t>
        </is>
      </c>
      <c r="I235" t="n">
        <v>32</v>
      </c>
      <c r="J235" s="4" t="n">
        <v>178</v>
      </c>
      <c r="K235" t="inlineStr">
        <is>
          <t>102 / 76</t>
        </is>
      </c>
      <c r="L235" t="inlineStr">
        <is>
          <t>30 / 20</t>
        </is>
      </c>
      <c r="M235" s="5" t="n">
        <v>0.57</v>
      </c>
      <c r="N235" s="5" t="n">
        <v>0.6</v>
      </c>
    </row>
    <row r="236">
      <c r="A236" t="n">
        <v>235</v>
      </c>
      <c r="B236" t="n">
        <v>2015</v>
      </c>
      <c r="C236" t="inlineStr">
        <is>
          <t>Mia Louise LADEWIG</t>
        </is>
      </c>
      <c r="D236">
        <f>HYPERLINK("https://ota.tournamentsoftware.com/player-profile/25055713-74C7-482D-8A9B-00D94FB7068B", "Link")</f>
        <v/>
      </c>
      <c r="E236" s="3" t="n">
        <v>337.743</v>
      </c>
      <c r="F236" s="4" t="n">
        <v>23</v>
      </c>
      <c r="G236" t="inlineStr">
        <is>
          <t>British Columbia</t>
        </is>
      </c>
      <c r="H236" t="inlineStr">
        <is>
          <t>North Vancouver Tennis Centre</t>
        </is>
      </c>
      <c r="I236" t="inlineStr">
        <is>
          <t>unavailable</t>
        </is>
      </c>
      <c r="J236" s="4" t="inlineStr"/>
      <c r="K236" t="inlineStr">
        <is>
          <t>unavailable</t>
        </is>
      </c>
      <c r="L236" t="inlineStr">
        <is>
          <t>unavailable</t>
        </is>
      </c>
      <c r="M236" s="5" t="inlineStr"/>
      <c r="N236" s="5" t="inlineStr"/>
    </row>
    <row r="237">
      <c r="A237" t="n">
        <v>236</v>
      </c>
      <c r="B237" t="n">
        <v>2012</v>
      </c>
      <c r="C237" t="inlineStr">
        <is>
          <t>Anne-Frédérique Jacob</t>
        </is>
      </c>
      <c r="D237">
        <f>HYPERLINK("https://ota.tournamentsoftware.com/player-profile/6FDF9E24-9EF2-40B8-AA29-4E8DB70822F9", "Link")</f>
        <v/>
      </c>
      <c r="E237" s="3" t="n">
        <v>337.251</v>
      </c>
      <c r="F237" s="4" t="n">
        <v>14</v>
      </c>
      <c r="G237" t="inlineStr">
        <is>
          <t>Tennis Québec</t>
        </is>
      </c>
      <c r="H237" t="inlineStr">
        <is>
          <t>SANI Sport</t>
        </is>
      </c>
      <c r="I237" t="n">
        <v>30.3</v>
      </c>
      <c r="J237" s="4" t="n">
        <v>149</v>
      </c>
      <c r="K237" t="inlineStr">
        <is>
          <t>73 / 76</t>
        </is>
      </c>
      <c r="L237" t="inlineStr">
        <is>
          <t>5 / 13</t>
        </is>
      </c>
      <c r="M237" s="5" t="n">
        <v>0.49</v>
      </c>
      <c r="N237" s="5" t="n">
        <v>0.28</v>
      </c>
    </row>
    <row r="238">
      <c r="A238" t="n">
        <v>237</v>
      </c>
      <c r="B238" t="n">
        <v>2013</v>
      </c>
      <c r="C238" t="inlineStr">
        <is>
          <t>Jessica Rosemary Hill</t>
        </is>
      </c>
      <c r="D238">
        <f>HYPERLINK("https://ota.tournamentsoftware.com/player-profile/9F68BF9A-4FFA-4754-8023-C9F4ABCF0003", "Link")</f>
        <v/>
      </c>
      <c r="E238" s="3" t="n">
        <v>336.999</v>
      </c>
      <c r="F238" s="4" t="n">
        <v>20</v>
      </c>
      <c r="G238" t="inlineStr">
        <is>
          <t>British Columbia</t>
        </is>
      </c>
      <c r="H238" t="inlineStr">
        <is>
          <t>Vancouver International Tennis Academy</t>
        </is>
      </c>
      <c r="I238" t="n">
        <v>30.5</v>
      </c>
      <c r="J238" s="4" t="n">
        <v>167</v>
      </c>
      <c r="K238" t="inlineStr">
        <is>
          <t>93 / 74</t>
        </is>
      </c>
      <c r="L238" t="inlineStr">
        <is>
          <t>23 / 19</t>
        </is>
      </c>
      <c r="M238" s="5" t="n">
        <v>0.5600000000000001</v>
      </c>
      <c r="N238" s="5" t="n">
        <v>0.55</v>
      </c>
    </row>
    <row r="239">
      <c r="A239" t="n">
        <v>238</v>
      </c>
      <c r="B239" t="n">
        <v>2012</v>
      </c>
      <c r="C239" t="inlineStr">
        <is>
          <t>Yunia Bartha</t>
        </is>
      </c>
      <c r="D239">
        <f>HYPERLINK("https://ota.tournamentsoftware.com/player-profile/3A2980C0-C922-4870-A2B4-18E74AC903C2", "Link")</f>
        <v/>
      </c>
      <c r="E239" s="3" t="n">
        <v>336.32</v>
      </c>
      <c r="F239" s="4" t="n">
        <v>26</v>
      </c>
      <c r="G239" t="inlineStr">
        <is>
          <t>Tennis Québec</t>
        </is>
      </c>
      <c r="H239" t="inlineStr">
        <is>
          <t>Club Sportif Côte-de-Liesse</t>
        </is>
      </c>
      <c r="I239" t="n">
        <v>31.8</v>
      </c>
      <c r="J239" s="4" t="n">
        <v>144</v>
      </c>
      <c r="K239" t="inlineStr">
        <is>
          <t>57 / 87</t>
        </is>
      </c>
      <c r="L239" t="inlineStr">
        <is>
          <t>13 / 23</t>
        </is>
      </c>
      <c r="M239" s="5" t="n">
        <v>0.4</v>
      </c>
      <c r="N239" s="5" t="n">
        <v>0.36</v>
      </c>
    </row>
    <row r="240">
      <c r="A240" t="n">
        <v>239</v>
      </c>
      <c r="B240" t="n">
        <v>2013</v>
      </c>
      <c r="C240" t="inlineStr">
        <is>
          <t>Anastazia De Lain</t>
        </is>
      </c>
      <c r="D240">
        <f>HYPERLINK("https://ota.tournamentsoftware.com/player-profile/BEE8D838-8464-4CCF-9268-D0D58F108999", "Link")</f>
        <v/>
      </c>
      <c r="E240" s="3" t="n">
        <v>335.359</v>
      </c>
      <c r="F240" s="4" t="n">
        <v>20</v>
      </c>
      <c r="G240" t="inlineStr">
        <is>
          <t>Tennis Québec</t>
        </is>
      </c>
      <c r="H240" t="inlineStr">
        <is>
          <t>EB Tennis inc.</t>
        </is>
      </c>
      <c r="I240" t="n">
        <v>36.6</v>
      </c>
      <c r="J240" s="4" t="n">
        <v>174</v>
      </c>
      <c r="K240" t="inlineStr">
        <is>
          <t>37 / 137</t>
        </is>
      </c>
      <c r="L240" t="inlineStr">
        <is>
          <t>4 / 23</t>
        </is>
      </c>
      <c r="M240" s="5" t="n">
        <v>0.21</v>
      </c>
      <c r="N240" s="5" t="n">
        <v>0.15</v>
      </c>
    </row>
    <row r="241">
      <c r="A241" t="n">
        <v>240</v>
      </c>
      <c r="B241" t="n">
        <v>2013</v>
      </c>
      <c r="C241" t="inlineStr">
        <is>
          <t>Kmar ELHOUIJ</t>
        </is>
      </c>
      <c r="D241">
        <f>HYPERLINK("https://ota.tournamentsoftware.com/player-profile/D690466C-B3D9-45B2-B453-BA40F436A5C1", "Link")</f>
        <v/>
      </c>
      <c r="E241" s="3" t="n">
        <v>335.176</v>
      </c>
      <c r="F241" s="4" t="n">
        <v>4</v>
      </c>
      <c r="G241" t="inlineStr">
        <is>
          <t>Tennis New Brunswick</t>
        </is>
      </c>
      <c r="H241" t="inlineStr">
        <is>
          <t>No Club</t>
        </is>
      </c>
      <c r="I241" t="n">
        <v>28.3</v>
      </c>
      <c r="J241" s="4" t="n">
        <v>42</v>
      </c>
      <c r="K241" t="inlineStr">
        <is>
          <t>30 / 12</t>
        </is>
      </c>
      <c r="L241" t="inlineStr">
        <is>
          <t>19 / 9</t>
        </is>
      </c>
      <c r="M241" s="5" t="n">
        <v>0.71</v>
      </c>
      <c r="N241" s="5" t="n">
        <v>0.68</v>
      </c>
    </row>
    <row r="242">
      <c r="A242" t="n">
        <v>241</v>
      </c>
      <c r="B242" t="n">
        <v>2014</v>
      </c>
      <c r="C242" t="inlineStr">
        <is>
          <t>Alaia Grace Serravalle</t>
        </is>
      </c>
      <c r="D242">
        <f>HYPERLINK("https://ota.tournamentsoftware.com/player-profile/EDBCEC0C-45DE-4DFD-B17A-C176B306FC97", "Link")</f>
        <v/>
      </c>
      <c r="E242" s="3" t="n">
        <v>333.24</v>
      </c>
      <c r="F242" s="4" t="n">
        <v>24</v>
      </c>
      <c r="G242" t="inlineStr">
        <is>
          <t>Ontario Tennis Association</t>
        </is>
      </c>
      <c r="H242" t="inlineStr">
        <is>
          <t>Youngs Sportsplex</t>
        </is>
      </c>
      <c r="I242" t="n">
        <v>32.6</v>
      </c>
      <c r="J242" s="4" t="n">
        <v>64</v>
      </c>
      <c r="K242" t="inlineStr">
        <is>
          <t>35 / 29</t>
        </is>
      </c>
      <c r="L242" t="inlineStr">
        <is>
          <t>23 / 20</t>
        </is>
      </c>
      <c r="M242" s="5" t="n">
        <v>0.55</v>
      </c>
      <c r="N242" s="5" t="n">
        <v>0.53</v>
      </c>
    </row>
    <row r="243">
      <c r="A243" t="n">
        <v>242</v>
      </c>
      <c r="B243" t="n">
        <v>2013</v>
      </c>
      <c r="C243" t="inlineStr">
        <is>
          <t>Aicha Ben Ali</t>
        </is>
      </c>
      <c r="D243">
        <f>HYPERLINK("https://ota.tournamentsoftware.com/player-profile/87F8F2BE-10FE-41D7-8382-85524C1D5D23", "Link")</f>
        <v/>
      </c>
      <c r="E243" s="3" t="n">
        <v>330.988</v>
      </c>
      <c r="F243" s="4" t="n">
        <v>9</v>
      </c>
      <c r="G243" t="inlineStr">
        <is>
          <t>Tennis Saskatchewan</t>
        </is>
      </c>
      <c r="H243" t="inlineStr">
        <is>
          <t>Lakeshore Tennis Club</t>
        </is>
      </c>
      <c r="I243" t="inlineStr">
        <is>
          <t>unavailable</t>
        </is>
      </c>
      <c r="J243" s="4" t="n">
        <v>31</v>
      </c>
      <c r="K243" t="inlineStr">
        <is>
          <t>4 / 27</t>
        </is>
      </c>
      <c r="L243" t="inlineStr">
        <is>
          <t>4 / 23</t>
        </is>
      </c>
      <c r="M243" s="5" t="n">
        <v>0.13</v>
      </c>
      <c r="N243" s="5" t="n">
        <v>0.15</v>
      </c>
    </row>
    <row r="244">
      <c r="A244" t="n">
        <v>243</v>
      </c>
      <c r="B244" t="n">
        <v>2012</v>
      </c>
      <c r="C244" t="inlineStr">
        <is>
          <t>Jessica Li</t>
        </is>
      </c>
      <c r="D244">
        <f>HYPERLINK("https://ota.tournamentsoftware.com/player-profile/9F51CCE2-07F1-48BF-B635-CE7622769243", "Link")</f>
        <v/>
      </c>
      <c r="E244" s="3" t="n">
        <v>330.979</v>
      </c>
      <c r="F244" s="4" t="n">
        <v>15</v>
      </c>
      <c r="G244" t="inlineStr">
        <is>
          <t>Ontario Tennis Association</t>
        </is>
      </c>
      <c r="H244" t="inlineStr">
        <is>
          <t>Markham Tennis Club</t>
        </is>
      </c>
      <c r="I244" t="inlineStr">
        <is>
          <t>unavailable</t>
        </is>
      </c>
      <c r="J244" s="4" t="n">
        <v>66</v>
      </c>
      <c r="K244" t="inlineStr">
        <is>
          <t>32 / 34</t>
        </is>
      </c>
      <c r="L244" t="inlineStr">
        <is>
          <t>14 / 12</t>
        </is>
      </c>
      <c r="M244" s="5" t="n">
        <v>0.48</v>
      </c>
      <c r="N244" s="5" t="n">
        <v>0.54</v>
      </c>
    </row>
    <row r="245">
      <c r="A245" t="n">
        <v>244</v>
      </c>
      <c r="B245" t="n">
        <v>2012</v>
      </c>
      <c r="C245" t="inlineStr">
        <is>
          <t>Eva Brisson</t>
        </is>
      </c>
      <c r="D245">
        <f>HYPERLINK("https://ota.tournamentsoftware.com/player-profile/BC349487-CEB9-4CB8-ABCF-1006DD0F69AA", "Link")</f>
        <v/>
      </c>
      <c r="E245" s="3" t="n">
        <v>327.956</v>
      </c>
      <c r="F245" s="4" t="n">
        <v>23</v>
      </c>
      <c r="G245" t="inlineStr">
        <is>
          <t>Tennis Québec</t>
        </is>
      </c>
      <c r="H245" t="inlineStr">
        <is>
          <t>Club Sportif Côte-de-Liesse</t>
        </is>
      </c>
      <c r="I245" t="n">
        <v>31</v>
      </c>
      <c r="J245" s="4" t="n">
        <v>150</v>
      </c>
      <c r="K245" t="inlineStr">
        <is>
          <t>63 / 87</t>
        </is>
      </c>
      <c r="L245" t="inlineStr">
        <is>
          <t>17 / 19</t>
        </is>
      </c>
      <c r="M245" s="5" t="n">
        <v>0.42</v>
      </c>
      <c r="N245" s="5" t="n">
        <v>0.47</v>
      </c>
    </row>
    <row r="246">
      <c r="A246" t="n">
        <v>245</v>
      </c>
      <c r="B246" t="n">
        <v>2013</v>
      </c>
      <c r="C246" t="inlineStr">
        <is>
          <t>Kany Kaba</t>
        </is>
      </c>
      <c r="D246">
        <f>HYPERLINK("https://ota.tournamentsoftware.com/player-profile/7816DF47-252D-402D-BF26-B906A8AB6ED7", "Link")</f>
        <v/>
      </c>
      <c r="E246" s="3" t="n">
        <v>322.765</v>
      </c>
      <c r="F246" s="4" t="n">
        <v>12</v>
      </c>
      <c r="G246" t="inlineStr">
        <is>
          <t>Tennis Québec</t>
        </is>
      </c>
      <c r="H246" t="inlineStr">
        <is>
          <t>EB Tennis inc.</t>
        </is>
      </c>
      <c r="I246" t="n">
        <v>32.7</v>
      </c>
      <c r="J246" s="4" t="n">
        <v>140</v>
      </c>
      <c r="K246" t="inlineStr">
        <is>
          <t>84 / 56</t>
        </is>
      </c>
      <c r="L246" t="inlineStr">
        <is>
          <t>6 / 13</t>
        </is>
      </c>
      <c r="M246" s="5" t="n">
        <v>0.6</v>
      </c>
      <c r="N246" s="5" t="n">
        <v>0.32</v>
      </c>
    </row>
    <row r="247">
      <c r="A247" t="n">
        <v>246</v>
      </c>
      <c r="B247" t="n">
        <v>2014</v>
      </c>
      <c r="C247" t="inlineStr">
        <is>
          <t>Vrishti Gehlot</t>
        </is>
      </c>
      <c r="D247">
        <f>HYPERLINK("https://ota.tournamentsoftware.com/player-profile/8D59FB71-FC68-41E0-B69F-920C29B60AD3", "Link")</f>
        <v/>
      </c>
      <c r="E247" s="3" t="n">
        <v>322.528</v>
      </c>
      <c r="F247" s="4" t="n">
        <v>25</v>
      </c>
      <c r="G247" t="inlineStr">
        <is>
          <t>Ontario Tennis Association</t>
        </is>
      </c>
      <c r="H247" t="inlineStr">
        <is>
          <t>Premier Racquet Clubs – Mississauga</t>
        </is>
      </c>
      <c r="I247" t="n">
        <v>33</v>
      </c>
      <c r="J247" s="4" t="n">
        <v>161</v>
      </c>
      <c r="K247" t="inlineStr">
        <is>
          <t>81 / 80</t>
        </is>
      </c>
      <c r="L247" t="inlineStr">
        <is>
          <t>33 / 21</t>
        </is>
      </c>
      <c r="M247" s="5" t="n">
        <v>0.5</v>
      </c>
      <c r="N247" s="5" t="n">
        <v>0.61</v>
      </c>
    </row>
    <row r="248">
      <c r="A248" t="n">
        <v>247</v>
      </c>
      <c r="B248" t="n">
        <v>2015</v>
      </c>
      <c r="C248" t="inlineStr">
        <is>
          <t>Josephine Yitong Wu</t>
        </is>
      </c>
      <c r="D248">
        <f>HYPERLINK("https://ota.tournamentsoftware.com/player-profile/1DF0BC06-9057-4469-9CEF-A9B5D864D9C9", "Link")</f>
        <v/>
      </c>
      <c r="E248" s="3" t="n">
        <v>321.68</v>
      </c>
      <c r="F248" s="4" t="n">
        <v>17</v>
      </c>
      <c r="G248" t="inlineStr">
        <is>
          <t>British Columbia</t>
        </is>
      </c>
      <c r="H248" t="inlineStr">
        <is>
          <t>North Vancouver Tennis Centre</t>
        </is>
      </c>
      <c r="I248" t="n">
        <v>29</v>
      </c>
      <c r="J248" s="4" t="n">
        <v>169</v>
      </c>
      <c r="K248" t="inlineStr">
        <is>
          <t>100 / 69</t>
        </is>
      </c>
      <c r="L248" t="inlineStr">
        <is>
          <t>23 / 13</t>
        </is>
      </c>
      <c r="M248" s="5" t="n">
        <v>0.59</v>
      </c>
      <c r="N248" s="5" t="n">
        <v>0.64</v>
      </c>
    </row>
    <row r="249">
      <c r="A249" t="n">
        <v>248</v>
      </c>
      <c r="B249" t="n">
        <v>2014</v>
      </c>
      <c r="C249" t="inlineStr">
        <is>
          <t>Isabella Huang</t>
        </is>
      </c>
      <c r="D249">
        <f>HYPERLINK("https://ota.tournamentsoftware.com/player-profile/DB8FA904-8DE1-4D99-951F-F44CD792291A", "Link")</f>
        <v/>
      </c>
      <c r="E249" s="3" t="n">
        <v>320.94</v>
      </c>
      <c r="F249" s="4" t="n">
        <v>17</v>
      </c>
      <c r="G249" t="inlineStr">
        <is>
          <t>British Columbia</t>
        </is>
      </c>
      <c r="H249" t="inlineStr">
        <is>
          <t>Burnaby Tennis Club</t>
        </is>
      </c>
      <c r="I249" t="inlineStr">
        <is>
          <t>unavailable</t>
        </is>
      </c>
      <c r="J249" s="4" t="n">
        <v>201</v>
      </c>
      <c r="K249" t="inlineStr">
        <is>
          <t>116 / 85</t>
        </is>
      </c>
      <c r="L249" t="inlineStr">
        <is>
          <t>29 / 13</t>
        </is>
      </c>
      <c r="M249" s="5" t="n">
        <v>0.58</v>
      </c>
      <c r="N249" s="5" t="n">
        <v>0.6899999999999999</v>
      </c>
    </row>
    <row r="250">
      <c r="A250" t="n">
        <v>249</v>
      </c>
      <c r="B250" t="n">
        <v>2012</v>
      </c>
      <c r="C250" t="inlineStr">
        <is>
          <t>Abby Jean Tobac</t>
        </is>
      </c>
      <c r="D250">
        <f>HYPERLINK("https://ota.tournamentsoftware.com/player-profile/CDFDF0FB-A147-4D3C-BF4D-24E115B9EC1A", "Link")</f>
        <v/>
      </c>
      <c r="E250" s="3" t="n">
        <v>318.528</v>
      </c>
      <c r="F250" s="4" t="n">
        <v>6</v>
      </c>
      <c r="G250" t="inlineStr">
        <is>
          <t>Tennis Manitoba</t>
        </is>
      </c>
      <c r="H250" t="inlineStr">
        <is>
          <t>Taylor Tennis</t>
        </is>
      </c>
      <c r="I250" t="n">
        <v>35.1</v>
      </c>
      <c r="J250" s="4" t="n">
        <v>49</v>
      </c>
      <c r="K250" t="inlineStr">
        <is>
          <t>14 / 35</t>
        </is>
      </c>
      <c r="L250" t="inlineStr">
        <is>
          <t>2 / 9</t>
        </is>
      </c>
      <c r="M250" s="5" t="n">
        <v>0.29</v>
      </c>
      <c r="N250" s="5" t="n">
        <v>0.18</v>
      </c>
    </row>
    <row r="251">
      <c r="A251" t="n">
        <v>250</v>
      </c>
      <c r="B251" t="n">
        <v>2012</v>
      </c>
      <c r="C251" t="inlineStr">
        <is>
          <t>helena Khorsid-G-Mahdi</t>
        </is>
      </c>
      <c r="D251">
        <f>HYPERLINK("https://ota.tournamentsoftware.com/player-profile/D9FB3068-A1A7-4F96-B728-095D292B805C", "Link")</f>
        <v/>
      </c>
      <c r="E251" s="3" t="n">
        <v>312.56</v>
      </c>
      <c r="F251" s="4" t="n">
        <v>22</v>
      </c>
      <c r="G251" t="inlineStr">
        <is>
          <t>Ontario Tennis Association</t>
        </is>
      </c>
      <c r="H251" t="inlineStr">
        <is>
          <t>Cottingham Tennis Club</t>
        </is>
      </c>
      <c r="I251" t="inlineStr">
        <is>
          <t>unavailable</t>
        </is>
      </c>
      <c r="J251" s="4" t="n">
        <v>56</v>
      </c>
      <c r="K251" t="inlineStr">
        <is>
          <t>33 / 23</t>
        </is>
      </c>
      <c r="L251" t="inlineStr">
        <is>
          <t>19 / 16</t>
        </is>
      </c>
      <c r="M251" s="5" t="n">
        <v>0.59</v>
      </c>
      <c r="N251" s="5" t="n">
        <v>0.54</v>
      </c>
    </row>
    <row r="252">
      <c r="A252" t="n">
        <v>251</v>
      </c>
      <c r="B252" t="n">
        <v>2013</v>
      </c>
      <c r="C252" t="inlineStr">
        <is>
          <t>Katelyn Zhao</t>
        </is>
      </c>
      <c r="D252">
        <f>HYPERLINK("https://ota.tournamentsoftware.com/player-profile/C6305E19-1670-4857-9967-0344F0C8AB1D", "Link")</f>
        <v/>
      </c>
      <c r="E252" s="3" t="n">
        <v>312.472</v>
      </c>
      <c r="F252" s="4" t="n">
        <v>27</v>
      </c>
      <c r="G252" t="inlineStr">
        <is>
          <t>Ontario Tennis Association</t>
        </is>
      </c>
      <c r="H252" t="inlineStr">
        <is>
          <t>Premier Racquet Club - Markham</t>
        </is>
      </c>
      <c r="I252" t="n">
        <v>33.4</v>
      </c>
      <c r="J252" s="4" t="n">
        <v>102</v>
      </c>
      <c r="K252" t="inlineStr">
        <is>
          <t>52 / 50</t>
        </is>
      </c>
      <c r="L252" t="inlineStr">
        <is>
          <t>20 / 24</t>
        </is>
      </c>
      <c r="M252" s="5" t="n">
        <v>0.51</v>
      </c>
      <c r="N252" s="5" t="n">
        <v>0.45</v>
      </c>
    </row>
    <row r="253">
      <c r="A253" t="n">
        <v>252</v>
      </c>
      <c r="B253" t="n">
        <v>2012</v>
      </c>
      <c r="C253" t="inlineStr">
        <is>
          <t>Camie Wang</t>
        </is>
      </c>
      <c r="D253">
        <f>HYPERLINK("https://ota.tournamentsoftware.com/player-profile/5CE5CCC5-E821-48EF-86C9-6973D97D1F92", "Link")</f>
        <v/>
      </c>
      <c r="E253" s="3" t="n">
        <v>311.911</v>
      </c>
      <c r="F253" s="4" t="n">
        <v>16</v>
      </c>
      <c r="G253" t="inlineStr">
        <is>
          <t>Tennis Alberta</t>
        </is>
      </c>
      <c r="H253" t="inlineStr">
        <is>
          <t>Osten &amp; Victor Alberta Tennis Centre</t>
        </is>
      </c>
      <c r="I253" t="n">
        <v>27.9</v>
      </c>
      <c r="J253" s="4" t="n">
        <v>115</v>
      </c>
      <c r="K253" t="inlineStr">
        <is>
          <t>61 / 54</t>
        </is>
      </c>
      <c r="L253" t="inlineStr">
        <is>
          <t>20 / 19</t>
        </is>
      </c>
      <c r="M253" s="5" t="n">
        <v>0.53</v>
      </c>
      <c r="N253" s="5" t="n">
        <v>0.51</v>
      </c>
    </row>
    <row r="254">
      <c r="A254" t="n">
        <v>253</v>
      </c>
      <c r="B254" t="n">
        <v>2012</v>
      </c>
      <c r="C254" t="inlineStr">
        <is>
          <t>Daisy Tingru Wang</t>
        </is>
      </c>
      <c r="D254">
        <f>HYPERLINK("https://ota.tournamentsoftware.com/player-profile/40DA5F9F-8E70-4030-A0ED-A54E3D8832D2", "Link")</f>
        <v/>
      </c>
      <c r="E254" s="3" t="n">
        <v>310.853</v>
      </c>
      <c r="F254" s="4" t="n">
        <v>9</v>
      </c>
      <c r="G254" t="inlineStr">
        <is>
          <t>Tennis Nova Scotia</t>
        </is>
      </c>
      <c r="H254" t="inlineStr">
        <is>
          <t>HEADSTART</t>
        </is>
      </c>
      <c r="I254" t="n">
        <v>36.1</v>
      </c>
      <c r="J254" s="4" t="n">
        <v>45</v>
      </c>
      <c r="K254" t="inlineStr">
        <is>
          <t>10 / 35</t>
        </is>
      </c>
      <c r="L254" t="inlineStr">
        <is>
          <t>7 / 25</t>
        </is>
      </c>
      <c r="M254" s="5" t="n">
        <v>0.22</v>
      </c>
      <c r="N254" s="5" t="n">
        <v>0.22</v>
      </c>
    </row>
    <row r="255">
      <c r="A255" t="n">
        <v>254</v>
      </c>
      <c r="B255" t="n">
        <v>2013</v>
      </c>
      <c r="C255" t="inlineStr">
        <is>
          <t>Lily Gaumond-Boivin</t>
        </is>
      </c>
      <c r="D255">
        <f>HYPERLINK("https://ota.tournamentsoftware.com/player-profile/98461C64-ECF9-40D8-849E-C8999A9F9BA1", "Link")</f>
        <v/>
      </c>
      <c r="E255" s="3" t="n">
        <v>310.601</v>
      </c>
      <c r="F255" s="4" t="n">
        <v>21</v>
      </c>
      <c r="G255" t="inlineStr">
        <is>
          <t>Tennis Québec</t>
        </is>
      </c>
      <c r="H255" t="inlineStr">
        <is>
          <t>Club Avantage Multi-sports / Académie de tennis Hérisset Bordeleau</t>
        </is>
      </c>
      <c r="I255" t="inlineStr">
        <is>
          <t>unavailable</t>
        </is>
      </c>
      <c r="J255" s="4" t="n">
        <v>130</v>
      </c>
      <c r="K255" t="inlineStr">
        <is>
          <t>63 / 67</t>
        </is>
      </c>
      <c r="L255" t="inlineStr">
        <is>
          <t>13 / 18</t>
        </is>
      </c>
      <c r="M255" s="5" t="n">
        <v>0.48</v>
      </c>
      <c r="N255" s="5" t="n">
        <v>0.42</v>
      </c>
    </row>
    <row r="256">
      <c r="A256" t="n">
        <v>255</v>
      </c>
      <c r="B256" t="n">
        <v>2015</v>
      </c>
      <c r="C256" t="inlineStr">
        <is>
          <t>Maya Lupu</t>
        </is>
      </c>
      <c r="D256">
        <f>HYPERLINK("https://ota.tournamentsoftware.com/player-profile/C02052CF-6FBB-4C91-8237-A96FF9B4C794", "Link")</f>
        <v/>
      </c>
      <c r="E256" s="3" t="n">
        <v>308.771</v>
      </c>
      <c r="F256" s="4" t="n">
        <v>16</v>
      </c>
      <c r="G256" t="inlineStr">
        <is>
          <t>Tennis Alberta</t>
        </is>
      </c>
      <c r="H256" t="inlineStr">
        <is>
          <t>Saville Community Sports Centre</t>
        </is>
      </c>
      <c r="I256" t="n">
        <v>31.2</v>
      </c>
      <c r="J256" s="4" t="n">
        <v>165</v>
      </c>
      <c r="K256" t="inlineStr">
        <is>
          <t>104 / 61</t>
        </is>
      </c>
      <c r="L256" t="inlineStr">
        <is>
          <t>19 / 26</t>
        </is>
      </c>
      <c r="M256" s="5" t="n">
        <v>0.63</v>
      </c>
      <c r="N256" s="5" t="n">
        <v>0.42</v>
      </c>
    </row>
    <row r="257">
      <c r="A257" t="n">
        <v>256</v>
      </c>
      <c r="B257" t="n">
        <v>2013</v>
      </c>
      <c r="C257" t="inlineStr">
        <is>
          <t>Keona Asogwa</t>
        </is>
      </c>
      <c r="D257">
        <f>HYPERLINK("https://ota.tournamentsoftware.com/player-profile/1F426AE8-5B0F-4535-AD10-450570C37073", "Link")</f>
        <v/>
      </c>
      <c r="E257" s="3" t="n">
        <v>308.248</v>
      </c>
      <c r="F257" s="4" t="n">
        <v>15</v>
      </c>
      <c r="G257" t="inlineStr">
        <is>
          <t>Ontario Tennis Association</t>
        </is>
      </c>
      <c r="H257" t="inlineStr">
        <is>
          <t>Carleton Tennis Centre</t>
        </is>
      </c>
      <c r="I257" t="inlineStr">
        <is>
          <t>unavailable</t>
        </is>
      </c>
      <c r="J257" s="4" t="n">
        <v>110</v>
      </c>
      <c r="K257" t="inlineStr">
        <is>
          <t>41 / 69</t>
        </is>
      </c>
      <c r="L257" t="inlineStr">
        <is>
          <t>5 / 13</t>
        </is>
      </c>
      <c r="M257" s="5" t="n">
        <v>0.37</v>
      </c>
      <c r="N257" s="5" t="n">
        <v>0.28</v>
      </c>
    </row>
    <row r="258">
      <c r="A258" t="n">
        <v>257</v>
      </c>
      <c r="B258" t="n">
        <v>2013</v>
      </c>
      <c r="C258" t="inlineStr">
        <is>
          <t>ZOE SOFIA CARDENAS PANIAGUA</t>
        </is>
      </c>
      <c r="D258">
        <f>HYPERLINK("https://ota.tournamentsoftware.com/player-profile/6ADCA248-D68F-47BB-9ED7-CDC7448C4AE9", "Link")</f>
        <v/>
      </c>
      <c r="E258" s="3" t="n">
        <v>307.118</v>
      </c>
      <c r="F258" s="4" t="n">
        <v>6</v>
      </c>
      <c r="G258" t="inlineStr">
        <is>
          <t>Tennis Manitoba</t>
        </is>
      </c>
      <c r="H258" t="inlineStr">
        <is>
          <t>Tuxedo Tennis Club</t>
        </is>
      </c>
      <c r="I258" t="inlineStr">
        <is>
          <t>unavailable</t>
        </is>
      </c>
      <c r="J258" s="4" t="n">
        <v>59</v>
      </c>
      <c r="K258" t="inlineStr">
        <is>
          <t>22 / 37</t>
        </is>
      </c>
      <c r="L258" t="inlineStr">
        <is>
          <t>6 / 8</t>
        </is>
      </c>
      <c r="M258" s="5" t="n">
        <v>0.37</v>
      </c>
      <c r="N258" s="5" t="n">
        <v>0.43</v>
      </c>
    </row>
    <row r="259">
      <c r="A259" t="n">
        <v>258</v>
      </c>
      <c r="B259" t="n">
        <v>2013</v>
      </c>
      <c r="C259" t="inlineStr">
        <is>
          <t>Victoria Ta</t>
        </is>
      </c>
      <c r="D259">
        <f>HYPERLINK("https://ota.tournamentsoftware.com/player-profile/A9D6CF45-A7F1-427F-A376-2C40852D98CD", "Link")</f>
        <v/>
      </c>
      <c r="E259" s="3" t="n">
        <v>306.995</v>
      </c>
      <c r="F259" s="4" t="n">
        <v>20</v>
      </c>
      <c r="G259" t="inlineStr">
        <is>
          <t>Ontario Tennis Association</t>
        </is>
      </c>
      <c r="H259" t="inlineStr">
        <is>
          <t>Lambton Golf &amp; Country Club</t>
        </is>
      </c>
      <c r="I259" t="n">
        <v>31.4</v>
      </c>
      <c r="J259" s="4" t="n">
        <v>107</v>
      </c>
      <c r="K259" t="inlineStr">
        <is>
          <t>53 / 54</t>
        </is>
      </c>
      <c r="L259" t="inlineStr">
        <is>
          <t>18 / 14</t>
        </is>
      </c>
      <c r="M259" s="5" t="n">
        <v>0.5</v>
      </c>
      <c r="N259" s="5" t="n">
        <v>0.5600000000000001</v>
      </c>
    </row>
    <row r="260">
      <c r="A260" t="n">
        <v>259</v>
      </c>
      <c r="B260" t="n">
        <v>2012</v>
      </c>
      <c r="C260" t="inlineStr">
        <is>
          <t>Aliya Star Michel</t>
        </is>
      </c>
      <c r="D260">
        <f>HYPERLINK("https://ota.tournamentsoftware.com/player-profile/B34E6AA6-2962-4DB5-93DB-BCA4DBF97316", "Link")</f>
        <v/>
      </c>
      <c r="E260" s="3" t="n">
        <v>306.191</v>
      </c>
      <c r="F260" s="4" t="n">
        <v>4</v>
      </c>
      <c r="G260" t="inlineStr">
        <is>
          <t>Tennis Québec</t>
        </is>
      </c>
      <c r="H260" t="inlineStr">
        <is>
          <t>Carrefour Multisports</t>
        </is>
      </c>
      <c r="I260" t="n">
        <v>29.9</v>
      </c>
      <c r="J260" s="4" t="n">
        <v>184</v>
      </c>
      <c r="K260" t="inlineStr">
        <is>
          <t>96 / 88</t>
        </is>
      </c>
      <c r="L260" t="inlineStr">
        <is>
          <t>2 / 2</t>
        </is>
      </c>
      <c r="M260" s="5" t="n">
        <v>0.52</v>
      </c>
      <c r="N260" s="5" t="n">
        <v>0.5</v>
      </c>
    </row>
    <row r="261">
      <c r="A261" t="n">
        <v>260</v>
      </c>
      <c r="B261" t="n">
        <v>2014</v>
      </c>
      <c r="C261" t="inlineStr">
        <is>
          <t>Rosie Mai Kowalewski</t>
        </is>
      </c>
      <c r="D261">
        <f>HYPERLINK("https://ota.tournamentsoftware.com/player-profile/6AE6D507-C7A4-4B8D-AF2E-EBFE848DD41B", "Link")</f>
        <v/>
      </c>
      <c r="E261" s="3" t="n">
        <v>303.327</v>
      </c>
      <c r="F261" s="4" t="n">
        <v>16</v>
      </c>
      <c r="G261" t="inlineStr">
        <is>
          <t>Ontario Tennis Association</t>
        </is>
      </c>
      <c r="H261" t="inlineStr">
        <is>
          <t>No Club</t>
        </is>
      </c>
      <c r="I261" t="n">
        <v>31.5</v>
      </c>
      <c r="J261" s="4" t="n">
        <v>192</v>
      </c>
      <c r="K261" t="inlineStr">
        <is>
          <t>113 / 79</t>
        </is>
      </c>
      <c r="L261" t="inlineStr">
        <is>
          <t>14 / 11</t>
        </is>
      </c>
      <c r="M261" s="5" t="n">
        <v>0.59</v>
      </c>
      <c r="N261" s="5" t="n">
        <v>0.5600000000000001</v>
      </c>
    </row>
    <row r="262">
      <c r="A262" t="n">
        <v>261</v>
      </c>
      <c r="B262" t="n">
        <v>2013</v>
      </c>
      <c r="C262" t="inlineStr">
        <is>
          <t>Chloe Lu</t>
        </is>
      </c>
      <c r="D262">
        <f>HYPERLINK("https://ota.tournamentsoftware.com/player-profile/30F898AC-1C96-41C5-BBB0-3BFD30EC0D0D", "Link")</f>
        <v/>
      </c>
      <c r="E262" s="3" t="n">
        <v>300.706</v>
      </c>
      <c r="F262" s="4" t="n">
        <v>23</v>
      </c>
      <c r="G262" t="inlineStr">
        <is>
          <t>British Columbia</t>
        </is>
      </c>
      <c r="H262" t="inlineStr">
        <is>
          <t>UBC Tennis Centre</t>
        </is>
      </c>
      <c r="I262" t="n">
        <v>32</v>
      </c>
      <c r="J262" s="4" t="n">
        <v>164</v>
      </c>
      <c r="K262" t="inlineStr">
        <is>
          <t>61 / 103</t>
        </is>
      </c>
      <c r="L262" t="inlineStr">
        <is>
          <t>21 / 25</t>
        </is>
      </c>
      <c r="M262" s="5" t="n">
        <v>0.37</v>
      </c>
      <c r="N262" s="5" t="n">
        <v>0.46</v>
      </c>
    </row>
    <row r="263">
      <c r="A263" t="n">
        <v>262</v>
      </c>
      <c r="B263" t="n">
        <v>2015</v>
      </c>
      <c r="C263" t="inlineStr">
        <is>
          <t>Zoë Crago</t>
        </is>
      </c>
      <c r="D263">
        <f>HYPERLINK("https://ota.tournamentsoftware.com/player-profile/C2D18227-6075-4F1E-83A2-40A822F874D3", "Link")</f>
        <v/>
      </c>
      <c r="E263" s="3" t="n">
        <v>298.67</v>
      </c>
      <c r="F263" s="4" t="n">
        <v>28</v>
      </c>
      <c r="G263" t="inlineStr">
        <is>
          <t>Tennis Québec</t>
        </is>
      </c>
      <c r="H263" t="inlineStr">
        <is>
          <t>Tennis Montréal Excellence</t>
        </is>
      </c>
      <c r="I263" t="n">
        <v>33</v>
      </c>
      <c r="J263" s="4" t="n">
        <v>198</v>
      </c>
      <c r="K263" t="inlineStr">
        <is>
          <t>104 / 94</t>
        </is>
      </c>
      <c r="L263" t="inlineStr">
        <is>
          <t>32 / 26</t>
        </is>
      </c>
      <c r="M263" s="5" t="n">
        <v>0.53</v>
      </c>
      <c r="N263" s="5" t="n">
        <v>0.55</v>
      </c>
    </row>
    <row r="264">
      <c r="A264" t="n">
        <v>263</v>
      </c>
      <c r="B264" t="n">
        <v>2014</v>
      </c>
      <c r="C264" t="inlineStr">
        <is>
          <t>Tehzeeb MRAR</t>
        </is>
      </c>
      <c r="D264">
        <f>HYPERLINK("https://ota.tournamentsoftware.com/player-profile/9E69163B-7ED7-4450-8845-0676D6C943B8", "Link")</f>
        <v/>
      </c>
      <c r="E264" s="3" t="n">
        <v>293.832</v>
      </c>
      <c r="F264" s="4" t="n">
        <v>19</v>
      </c>
      <c r="G264" t="inlineStr">
        <is>
          <t>British Columbia</t>
        </is>
      </c>
      <c r="H264" t="inlineStr">
        <is>
          <t>No Club</t>
        </is>
      </c>
      <c r="I264" t="n">
        <v>29.7</v>
      </c>
      <c r="J264" s="4" t="n">
        <v>201</v>
      </c>
      <c r="K264" t="inlineStr">
        <is>
          <t>111 / 90</t>
        </is>
      </c>
      <c r="L264" t="inlineStr">
        <is>
          <t>21 / 16</t>
        </is>
      </c>
      <c r="M264" s="5" t="n">
        <v>0.55</v>
      </c>
      <c r="N264" s="5" t="n">
        <v>0.57</v>
      </c>
    </row>
    <row r="265">
      <c r="A265" t="n">
        <v>264</v>
      </c>
      <c r="B265" t="n">
        <v>2014</v>
      </c>
      <c r="C265" t="inlineStr">
        <is>
          <t>Krystal Xuan Sun</t>
        </is>
      </c>
      <c r="D265">
        <f>HYPERLINK("https://ota.tournamentsoftware.com/player-profile/683C106F-AE4B-4C63-B1A3-D9C25FFAD31B", "Link")</f>
        <v/>
      </c>
      <c r="E265" s="3" t="n">
        <v>289.981</v>
      </c>
      <c r="F265" s="4" t="n">
        <v>11</v>
      </c>
      <c r="G265" t="inlineStr">
        <is>
          <t>Tennis Manitoba</t>
        </is>
      </c>
      <c r="H265" t="inlineStr">
        <is>
          <t>Taylor Tennis</t>
        </is>
      </c>
      <c r="I265" t="inlineStr">
        <is>
          <t>unavailable</t>
        </is>
      </c>
      <c r="J265" s="4" t="n">
        <v>74</v>
      </c>
      <c r="K265" t="inlineStr">
        <is>
          <t>21 / 53</t>
        </is>
      </c>
      <c r="L265" t="inlineStr">
        <is>
          <t>10 / 29</t>
        </is>
      </c>
      <c r="M265" s="5" t="n">
        <v>0.28</v>
      </c>
      <c r="N265" s="5" t="n">
        <v>0.26</v>
      </c>
    </row>
    <row r="266">
      <c r="A266" t="n">
        <v>265</v>
      </c>
      <c r="B266" t="n">
        <v>2012</v>
      </c>
      <c r="C266" t="inlineStr">
        <is>
          <t>Norah Diop</t>
        </is>
      </c>
      <c r="D266">
        <f>HYPERLINK("https://ota.tournamentsoftware.com/player-profile/1B130952-D24A-467D-813D-2DA5B56ADFFF", "Link")</f>
        <v/>
      </c>
      <c r="E266" s="3" t="n">
        <v>289.524</v>
      </c>
      <c r="F266" s="4" t="n">
        <v>16</v>
      </c>
      <c r="G266" t="inlineStr">
        <is>
          <t>Tennis Québec</t>
        </is>
      </c>
      <c r="H266" t="inlineStr">
        <is>
          <t>Tennis 13</t>
        </is>
      </c>
      <c r="I266" t="inlineStr">
        <is>
          <t>unavailable</t>
        </is>
      </c>
      <c r="J266" s="4" t="n">
        <v>85</v>
      </c>
      <c r="K266" t="inlineStr">
        <is>
          <t>38 / 47</t>
        </is>
      </c>
      <c r="L266" t="inlineStr">
        <is>
          <t>13 / 12</t>
        </is>
      </c>
      <c r="M266" s="5" t="n">
        <v>0.45</v>
      </c>
      <c r="N266" s="5" t="n">
        <v>0.52</v>
      </c>
    </row>
    <row r="267">
      <c r="A267" t="n">
        <v>266</v>
      </c>
      <c r="B267" t="n">
        <v>2016</v>
      </c>
      <c r="C267" t="inlineStr">
        <is>
          <t>Victoria Chang</t>
        </is>
      </c>
      <c r="D267">
        <f>HYPERLINK("https://ota.tournamentsoftware.com/player-profile/A391B4A7-44C6-4D9F-9A04-161A8B22E0C3", "Link")</f>
        <v/>
      </c>
      <c r="E267" s="3" t="n">
        <v>285.117</v>
      </c>
      <c r="F267" s="4" t="n">
        <v>20</v>
      </c>
      <c r="G267" t="inlineStr">
        <is>
          <t>Ontario Tennis Association</t>
        </is>
      </c>
      <c r="H267" t="inlineStr">
        <is>
          <t>Richmond Hill Country Club</t>
        </is>
      </c>
      <c r="I267" t="n">
        <v>30.3</v>
      </c>
      <c r="J267" s="4" t="n">
        <v>127</v>
      </c>
      <c r="K267" t="inlineStr">
        <is>
          <t>99 / 28</t>
        </is>
      </c>
      <c r="L267" t="inlineStr">
        <is>
          <t>51 / 12</t>
        </is>
      </c>
      <c r="M267" s="5" t="n">
        <v>0.78</v>
      </c>
      <c r="N267" s="5" t="n">
        <v>0.8100000000000001</v>
      </c>
    </row>
    <row r="268">
      <c r="A268" t="n">
        <v>267</v>
      </c>
      <c r="B268" t="n">
        <v>2013</v>
      </c>
      <c r="C268" t="inlineStr">
        <is>
          <t>Sasha Stack</t>
        </is>
      </c>
      <c r="D268">
        <f>HYPERLINK("https://ota.tournamentsoftware.com/player-profile/C0B95842-5E69-4EBF-8E5C-398666A7112E", "Link")</f>
        <v/>
      </c>
      <c r="E268" s="3" t="n">
        <v>283.679</v>
      </c>
      <c r="F268" s="4" t="n">
        <v>13</v>
      </c>
      <c r="G268" t="inlineStr">
        <is>
          <t>British Columbia</t>
        </is>
      </c>
      <c r="H268" t="inlineStr">
        <is>
          <t>Hollyburn Country Club</t>
        </is>
      </c>
      <c r="I268" t="n">
        <v>32.9</v>
      </c>
      <c r="J268" s="4" t="n">
        <v>113</v>
      </c>
      <c r="K268" t="inlineStr">
        <is>
          <t>52 / 61</t>
        </is>
      </c>
      <c r="L268" t="inlineStr">
        <is>
          <t>8 / 15</t>
        </is>
      </c>
      <c r="M268" s="5" t="n">
        <v>0.46</v>
      </c>
      <c r="N268" s="5" t="n">
        <v>0.35</v>
      </c>
    </row>
    <row r="269">
      <c r="A269" t="n">
        <v>268</v>
      </c>
      <c r="B269" t="n">
        <v>2014</v>
      </c>
      <c r="C269" t="inlineStr">
        <is>
          <t>Ela Velic</t>
        </is>
      </c>
      <c r="D269">
        <f>HYPERLINK("https://ota.tournamentsoftware.com/player-profile/5CC54F7D-0D30-4EF4-BE6C-A336041BBEE2", "Link")</f>
        <v/>
      </c>
      <c r="E269" s="3" t="n">
        <v>283.442</v>
      </c>
      <c r="F269" s="4" t="n">
        <v>28</v>
      </c>
      <c r="G269" t="inlineStr">
        <is>
          <t>Ontario Tennis Association</t>
        </is>
      </c>
      <c r="H269" t="inlineStr">
        <is>
          <t>Central Tennis Club</t>
        </is>
      </c>
      <c r="I269" t="n">
        <v>33.7</v>
      </c>
      <c r="J269" s="4" t="n">
        <v>110</v>
      </c>
      <c r="K269" t="inlineStr">
        <is>
          <t>56 / 54</t>
        </is>
      </c>
      <c r="L269" t="inlineStr">
        <is>
          <t>25 / 26</t>
        </is>
      </c>
      <c r="M269" s="5" t="n">
        <v>0.51</v>
      </c>
      <c r="N269" s="5" t="n">
        <v>0.49</v>
      </c>
    </row>
    <row r="270">
      <c r="A270" t="n">
        <v>269</v>
      </c>
      <c r="B270" t="n">
        <v>2012</v>
      </c>
      <c r="C270" t="inlineStr">
        <is>
          <t>Jana Karkoukli</t>
        </is>
      </c>
      <c r="D270">
        <f>HYPERLINK("https://ota.tournamentsoftware.com/player-profile/ED5D7332-7665-453C-87FD-D7E5B172FD8A", "Link")</f>
        <v/>
      </c>
      <c r="E270" s="3" t="n">
        <v>282.692</v>
      </c>
      <c r="F270" s="4" t="n">
        <v>22</v>
      </c>
      <c r="G270" t="inlineStr">
        <is>
          <t>Tennis Québec</t>
        </is>
      </c>
      <c r="H270" t="inlineStr">
        <is>
          <t>EB Tennis inc.</t>
        </is>
      </c>
      <c r="I270" t="n">
        <v>34.8</v>
      </c>
      <c r="J270" s="4" t="n">
        <v>189</v>
      </c>
      <c r="K270" t="inlineStr">
        <is>
          <t>52 / 137</t>
        </is>
      </c>
      <c r="L270" t="inlineStr">
        <is>
          <t>3 / 20</t>
        </is>
      </c>
      <c r="M270" s="5" t="n">
        <v>0.28</v>
      </c>
      <c r="N270" s="5" t="n">
        <v>0.13</v>
      </c>
    </row>
    <row r="271">
      <c r="A271" t="n">
        <v>270</v>
      </c>
      <c r="B271" t="n">
        <v>2014</v>
      </c>
      <c r="C271" t="inlineStr">
        <is>
          <t>Avelyn Deepak</t>
        </is>
      </c>
      <c r="D271">
        <f>HYPERLINK("https://ota.tournamentsoftware.com/player-profile/4412DB09-5DE9-45DA-AB13-46B4F24B409F", "Link")</f>
        <v/>
      </c>
      <c r="E271" s="3" t="n">
        <v>282.546</v>
      </c>
      <c r="F271" s="4" t="n">
        <v>10</v>
      </c>
      <c r="G271" t="inlineStr">
        <is>
          <t>Tennis Manitoba</t>
        </is>
      </c>
      <c r="H271" t="inlineStr">
        <is>
          <t>Winnipeg Winter Club</t>
        </is>
      </c>
      <c r="I271" t="n">
        <v>35.2</v>
      </c>
      <c r="J271" s="4" t="n">
        <v>35</v>
      </c>
      <c r="K271" t="inlineStr">
        <is>
          <t>9 / 26</t>
        </is>
      </c>
      <c r="L271" t="inlineStr">
        <is>
          <t>9 / 26</t>
        </is>
      </c>
      <c r="M271" s="5" t="n">
        <v>0.26</v>
      </c>
      <c r="N271" s="5" t="n">
        <v>0.26</v>
      </c>
    </row>
    <row r="272">
      <c r="A272" t="n">
        <v>271</v>
      </c>
      <c r="B272" t="n">
        <v>2013</v>
      </c>
      <c r="C272" t="inlineStr">
        <is>
          <t>Chanjoban Kaur Birdi</t>
        </is>
      </c>
      <c r="D272">
        <f>HYPERLINK("https://ota.tournamentsoftware.com/player-profile/26D50988-CF95-4A0A-9087-8DC8E38F0BDB", "Link")</f>
        <v/>
      </c>
      <c r="E272" s="3" t="n">
        <v>279.108</v>
      </c>
      <c r="F272" s="4" t="n">
        <v>20</v>
      </c>
      <c r="G272" t="inlineStr">
        <is>
          <t>British Columbia</t>
        </is>
      </c>
      <c r="H272" t="inlineStr">
        <is>
          <t>Newton Tennis Club</t>
        </is>
      </c>
      <c r="I272" t="n">
        <v>29.3</v>
      </c>
      <c r="J272" s="4" t="n">
        <v>207</v>
      </c>
      <c r="K272" t="inlineStr">
        <is>
          <t>103 / 104</t>
        </is>
      </c>
      <c r="L272" t="inlineStr">
        <is>
          <t>28 / 17</t>
        </is>
      </c>
      <c r="M272" s="5" t="n">
        <v>0.5</v>
      </c>
      <c r="N272" s="5" t="n">
        <v>0.62</v>
      </c>
    </row>
    <row r="273">
      <c r="A273" t="n">
        <v>272</v>
      </c>
      <c r="B273" t="n">
        <v>2014</v>
      </c>
      <c r="C273" t="inlineStr">
        <is>
          <t>Elliette Leah Tran</t>
        </is>
      </c>
      <c r="D273">
        <f>HYPERLINK("https://ota.tournamentsoftware.com/player-profile/9986D752-4364-42A6-9A1B-E1BC239760F0", "Link")</f>
        <v/>
      </c>
      <c r="E273" s="3" t="n">
        <v>278.539</v>
      </c>
      <c r="F273" s="4" t="n">
        <v>17</v>
      </c>
      <c r="G273" t="inlineStr">
        <is>
          <t>Tennis Alberta</t>
        </is>
      </c>
      <c r="H273" t="inlineStr">
        <is>
          <t>Saville Community Sports Centre</t>
        </is>
      </c>
      <c r="I273" t="inlineStr">
        <is>
          <t>unavailable</t>
        </is>
      </c>
      <c r="J273" s="4" t="n">
        <v>121</v>
      </c>
      <c r="K273" t="inlineStr">
        <is>
          <t>61 / 60</t>
        </is>
      </c>
      <c r="L273" t="inlineStr">
        <is>
          <t>26 / 20</t>
        </is>
      </c>
      <c r="M273" s="5" t="n">
        <v>0.5</v>
      </c>
      <c r="N273" s="5" t="n">
        <v>0.57</v>
      </c>
    </row>
    <row r="274">
      <c r="A274" t="n">
        <v>273</v>
      </c>
      <c r="B274" t="n">
        <v>2013</v>
      </c>
      <c r="C274" t="inlineStr">
        <is>
          <t>Maddie Kershaw</t>
        </is>
      </c>
      <c r="D274">
        <f>HYPERLINK("https://ota.tournamentsoftware.com/player-profile/14F8911D-BF5A-4FE7-BFF6-D5A71E72307F", "Link")</f>
        <v/>
      </c>
      <c r="E274" s="3" t="n">
        <v>278.432</v>
      </c>
      <c r="F274" s="4" t="n">
        <v>10</v>
      </c>
      <c r="G274" t="inlineStr">
        <is>
          <t>Tennis New Brunswick</t>
        </is>
      </c>
      <c r="H274" t="inlineStr">
        <is>
          <t>Abony Family Tennis Center</t>
        </is>
      </c>
      <c r="I274" t="n">
        <v>33.8</v>
      </c>
      <c r="J274" s="4" t="n">
        <v>188</v>
      </c>
      <c r="K274" t="inlineStr">
        <is>
          <t>95 / 93</t>
        </is>
      </c>
      <c r="L274" t="inlineStr">
        <is>
          <t>16 / 23</t>
        </is>
      </c>
      <c r="M274" s="5" t="n">
        <v>0.51</v>
      </c>
      <c r="N274" s="5" t="n">
        <v>0.41</v>
      </c>
    </row>
    <row r="275">
      <c r="A275" t="n">
        <v>274</v>
      </c>
      <c r="B275" t="n">
        <v>2015</v>
      </c>
      <c r="C275" t="inlineStr">
        <is>
          <t>Keira Braudo</t>
        </is>
      </c>
      <c r="D275">
        <f>HYPERLINK("https://ota.tournamentsoftware.com/player-profile/8D683600-A107-430B-BBAA-BD98BDCE0FD8", "Link")</f>
        <v/>
      </c>
      <c r="E275" s="3" t="n">
        <v>277.503</v>
      </c>
      <c r="F275" s="4" t="n">
        <v>14</v>
      </c>
      <c r="G275" t="inlineStr">
        <is>
          <t>Ontario Tennis Association</t>
        </is>
      </c>
      <c r="H275" t="inlineStr">
        <is>
          <t>Mayfair West Fitness &amp; Racquet Club</t>
        </is>
      </c>
      <c r="I275" t="n">
        <v>29.8</v>
      </c>
      <c r="J275" s="4" t="n">
        <v>77</v>
      </c>
      <c r="K275" t="inlineStr">
        <is>
          <t>52 / 25</t>
        </is>
      </c>
      <c r="L275" t="inlineStr">
        <is>
          <t>29 / 7</t>
        </is>
      </c>
      <c r="M275" s="5" t="n">
        <v>0.68</v>
      </c>
      <c r="N275" s="5" t="n">
        <v>0.8100000000000001</v>
      </c>
    </row>
    <row r="276">
      <c r="A276" t="n">
        <v>275</v>
      </c>
      <c r="B276" t="n">
        <v>2012</v>
      </c>
      <c r="C276" t="inlineStr">
        <is>
          <t>ella kim brend</t>
        </is>
      </c>
      <c r="D276">
        <f>HYPERLINK("https://ota.tournamentsoftware.com/player-profile/C777EDB2-AC2E-4E02-948A-26DCAC347821", "Link")</f>
        <v/>
      </c>
      <c r="E276" s="3" t="n">
        <v>274.297</v>
      </c>
      <c r="F276" s="4" t="n">
        <v>19</v>
      </c>
      <c r="G276" t="inlineStr">
        <is>
          <t>British Columbia</t>
        </is>
      </c>
      <c r="H276" t="inlineStr">
        <is>
          <t>The Tennis Centre</t>
        </is>
      </c>
      <c r="I276" t="n">
        <v>30.1</v>
      </c>
      <c r="J276" s="4" t="n">
        <v>128</v>
      </c>
      <c r="K276" t="inlineStr">
        <is>
          <t>88 / 40</t>
        </is>
      </c>
      <c r="L276" t="inlineStr">
        <is>
          <t>36 / 15</t>
        </is>
      </c>
      <c r="M276" s="5" t="n">
        <v>0.6899999999999999</v>
      </c>
      <c r="N276" s="5" t="n">
        <v>0.71</v>
      </c>
    </row>
    <row r="277">
      <c r="A277" t="n">
        <v>276</v>
      </c>
      <c r="B277" t="n">
        <v>2014</v>
      </c>
      <c r="C277" t="inlineStr">
        <is>
          <t>Candice YAO</t>
        </is>
      </c>
      <c r="D277">
        <f>HYPERLINK("https://ota.tournamentsoftware.com/player-profile/2EEE6D95-1504-4E36-A996-F48A3CD7FC03", "Link")</f>
        <v/>
      </c>
      <c r="E277" s="3" t="n">
        <v>273.266</v>
      </c>
      <c r="F277" s="4" t="n">
        <v>20</v>
      </c>
      <c r="G277" t="inlineStr">
        <is>
          <t>Ontario Tennis Association</t>
        </is>
      </c>
      <c r="H277" t="inlineStr">
        <is>
          <t>Richmondhill Golf &amp; Country Club</t>
        </is>
      </c>
      <c r="I277" t="n">
        <v>32.6</v>
      </c>
      <c r="J277" s="4" t="n">
        <v>99</v>
      </c>
      <c r="K277" t="inlineStr">
        <is>
          <t>45 / 54</t>
        </is>
      </c>
      <c r="L277" t="inlineStr">
        <is>
          <t>21 / 15</t>
        </is>
      </c>
      <c r="M277" s="5" t="n">
        <v>0.45</v>
      </c>
      <c r="N277" s="5" t="n">
        <v>0.58</v>
      </c>
    </row>
    <row r="278">
      <c r="A278" t="n">
        <v>277</v>
      </c>
      <c r="B278" t="n">
        <v>2014</v>
      </c>
      <c r="C278" t="inlineStr">
        <is>
          <t>Elisa Krumov</t>
        </is>
      </c>
      <c r="D278">
        <f>HYPERLINK("https://ota.tournamentsoftware.com/player-profile/8B5D18FC-0F51-468A-BE7C-7EA242A06382", "Link")</f>
        <v/>
      </c>
      <c r="E278" s="3" t="n">
        <v>270.273</v>
      </c>
      <c r="F278" s="4" t="n">
        <v>21</v>
      </c>
      <c r="G278" t="inlineStr">
        <is>
          <t>Ontario Tennis Association</t>
        </is>
      </c>
      <c r="H278" t="inlineStr">
        <is>
          <t>Joshua Creek Golf &amp; Tennis</t>
        </is>
      </c>
      <c r="I278" t="n">
        <v>33.2</v>
      </c>
      <c r="J278" s="4" t="n">
        <v>95</v>
      </c>
      <c r="K278" t="inlineStr">
        <is>
          <t>43 / 52</t>
        </is>
      </c>
      <c r="L278" t="inlineStr">
        <is>
          <t>16 / 22</t>
        </is>
      </c>
      <c r="M278" s="5" t="n">
        <v>0.45</v>
      </c>
      <c r="N278" s="5" t="n">
        <v>0.42</v>
      </c>
    </row>
    <row r="279">
      <c r="A279" t="n">
        <v>278</v>
      </c>
      <c r="B279" t="n">
        <v>2012</v>
      </c>
      <c r="C279" t="inlineStr">
        <is>
          <t>Kristina Khlyebnykova</t>
        </is>
      </c>
      <c r="D279">
        <f>HYPERLINK("https://ota.tournamentsoftware.com/player-profile/D585FC7E-ABD0-44A4-A0AC-539E39880B84", "Link")</f>
        <v/>
      </c>
      <c r="E279" s="3" t="n">
        <v>269.6</v>
      </c>
      <c r="F279" s="4" t="n">
        <v>16</v>
      </c>
      <c r="G279" t="inlineStr">
        <is>
          <t>Ontario Tennis Association</t>
        </is>
      </c>
      <c r="H279" t="inlineStr">
        <is>
          <t>Concord Tennis Academy</t>
        </is>
      </c>
      <c r="I279" t="n">
        <v>31.8</v>
      </c>
      <c r="J279" s="4" t="n">
        <v>76</v>
      </c>
      <c r="K279" t="inlineStr">
        <is>
          <t>36 / 40</t>
        </is>
      </c>
      <c r="L279" t="inlineStr">
        <is>
          <t>15 / 13</t>
        </is>
      </c>
      <c r="M279" s="5" t="n">
        <v>0.47</v>
      </c>
      <c r="N279" s="5" t="n">
        <v>0.54</v>
      </c>
    </row>
    <row r="280">
      <c r="A280" t="n">
        <v>279</v>
      </c>
      <c r="B280" t="n">
        <v>2013</v>
      </c>
      <c r="C280" t="inlineStr">
        <is>
          <t>Gabriela Gardonyi</t>
        </is>
      </c>
      <c r="D280">
        <f>HYPERLINK("https://ota.tournamentsoftware.com/player-profile/EA584DC9-AF4E-413B-BF0B-75746024F8E4", "Link")</f>
        <v/>
      </c>
      <c r="E280" s="3" t="n">
        <v>269.544</v>
      </c>
      <c r="F280" s="4" t="n">
        <v>22</v>
      </c>
      <c r="G280" t="inlineStr">
        <is>
          <t>Ontario Tennis Association</t>
        </is>
      </c>
      <c r="H280" t="inlineStr">
        <is>
          <t>Richmond Hill Country Club</t>
        </is>
      </c>
      <c r="I280" t="inlineStr">
        <is>
          <t>unavailable</t>
        </is>
      </c>
      <c r="J280" s="4" t="n">
        <v>122</v>
      </c>
      <c r="K280" t="inlineStr">
        <is>
          <t>56 / 66</t>
        </is>
      </c>
      <c r="L280" t="inlineStr">
        <is>
          <t>21 / 22</t>
        </is>
      </c>
      <c r="M280" s="5" t="n">
        <v>0.46</v>
      </c>
      <c r="N280" s="5" t="n">
        <v>0.49</v>
      </c>
    </row>
    <row r="281">
      <c r="A281" t="n">
        <v>280</v>
      </c>
      <c r="B281" t="n">
        <v>2015</v>
      </c>
      <c r="C281" t="inlineStr">
        <is>
          <t>Sophia Shiqi Zeng</t>
        </is>
      </c>
      <c r="D281">
        <f>HYPERLINK("https://ota.tournamentsoftware.com/player-profile/F1A373DA-18B2-46FA-AF39-157644DB679B", "Link")</f>
        <v/>
      </c>
      <c r="E281" s="3" t="n">
        <v>267.836</v>
      </c>
      <c r="F281" s="4" t="n">
        <v>21</v>
      </c>
      <c r="G281" t="inlineStr">
        <is>
          <t>British Columbia</t>
        </is>
      </c>
      <c r="H281" t="inlineStr">
        <is>
          <t>The Tennis Centre</t>
        </is>
      </c>
      <c r="I281" t="n">
        <v>31.4</v>
      </c>
      <c r="J281" s="4" t="n">
        <v>192</v>
      </c>
      <c r="K281" t="inlineStr">
        <is>
          <t>105 / 87</t>
        </is>
      </c>
      <c r="L281" t="inlineStr">
        <is>
          <t>31 / 18</t>
        </is>
      </c>
      <c r="M281" s="5" t="n">
        <v>0.55</v>
      </c>
      <c r="N281" s="5" t="n">
        <v>0.63</v>
      </c>
    </row>
    <row r="282">
      <c r="A282" t="n">
        <v>281</v>
      </c>
      <c r="B282" t="n">
        <v>2015</v>
      </c>
      <c r="C282" t="inlineStr">
        <is>
          <t>Alia Idrissi Serghini</t>
        </is>
      </c>
      <c r="D282">
        <f>HYPERLINK("https://ota.tournamentsoftware.com/player-profile/CF328206-362D-4259-AA9F-74B7EF760A80", "Link")</f>
        <v/>
      </c>
      <c r="E282" s="3" t="n">
        <v>267.456</v>
      </c>
      <c r="F282" s="4" t="n">
        <v>18</v>
      </c>
      <c r="G282" t="inlineStr">
        <is>
          <t>Tennis Québec</t>
        </is>
      </c>
      <c r="H282" t="inlineStr">
        <is>
          <t>Centre récréatif de Repentigny / Académie Tennis Momentum</t>
        </is>
      </c>
      <c r="I282" t="n">
        <v>32.6</v>
      </c>
      <c r="J282" s="4" t="n">
        <v>139</v>
      </c>
      <c r="K282" t="inlineStr">
        <is>
          <t>84 / 55</t>
        </is>
      </c>
      <c r="L282" t="inlineStr">
        <is>
          <t>19 / 19</t>
        </is>
      </c>
      <c r="M282" s="5" t="n">
        <v>0.6</v>
      </c>
      <c r="N282" s="5" t="n">
        <v>0.5</v>
      </c>
    </row>
    <row r="283">
      <c r="A283" t="n">
        <v>282</v>
      </c>
      <c r="B283" t="n">
        <v>2015</v>
      </c>
      <c r="C283" t="inlineStr">
        <is>
          <t>Alexia Picciola</t>
        </is>
      </c>
      <c r="D283">
        <f>HYPERLINK("https://ota.tournamentsoftware.com/player-profile/91C9A734-3E6E-45CC-B46D-51BF9C9A7FC4", "Link")</f>
        <v/>
      </c>
      <c r="E283" s="3" t="n">
        <v>264.417</v>
      </c>
      <c r="F283" s="4" t="n">
        <v>19</v>
      </c>
      <c r="G283" t="inlineStr">
        <is>
          <t>Tennis Québec</t>
        </is>
      </c>
      <c r="H283" t="inlineStr">
        <is>
          <t>Tennis Montréal Excellence</t>
        </is>
      </c>
      <c r="I283" t="n">
        <v>31.6</v>
      </c>
      <c r="J283" s="4" t="n">
        <v>164</v>
      </c>
      <c r="K283" t="inlineStr">
        <is>
          <t>79 / 85</t>
        </is>
      </c>
      <c r="L283" t="inlineStr">
        <is>
          <t>32 / 19</t>
        </is>
      </c>
      <c r="M283" s="5" t="n">
        <v>0.48</v>
      </c>
      <c r="N283" s="5" t="n">
        <v>0.63</v>
      </c>
    </row>
    <row r="284">
      <c r="A284" t="n">
        <v>283</v>
      </c>
      <c r="B284" t="n">
        <v>2013</v>
      </c>
      <c r="C284" t="inlineStr">
        <is>
          <t>Mia Tran</t>
        </is>
      </c>
      <c r="D284">
        <f>HYPERLINK("https://ota.tournamentsoftware.com/player-profile/140A029D-3BE9-44F2-AA6A-53ED5C2991A8", "Link")</f>
        <v/>
      </c>
      <c r="E284" s="3" t="n">
        <v>263.72</v>
      </c>
      <c r="F284" s="4" t="n">
        <v>12</v>
      </c>
      <c r="G284" t="inlineStr">
        <is>
          <t>Ontario Tennis Association</t>
        </is>
      </c>
      <c r="H284" t="inlineStr">
        <is>
          <t>SmartVMC Racquetsports by ACE</t>
        </is>
      </c>
      <c r="I284" t="n">
        <v>32.2</v>
      </c>
      <c r="J284" s="4" t="n">
        <v>91</v>
      </c>
      <c r="K284" t="inlineStr">
        <is>
          <t>56 / 35</t>
        </is>
      </c>
      <c r="L284" t="inlineStr">
        <is>
          <t>17 / 10</t>
        </is>
      </c>
      <c r="M284" s="5" t="n">
        <v>0.62</v>
      </c>
      <c r="N284" s="5" t="n">
        <v>0.63</v>
      </c>
    </row>
    <row r="285">
      <c r="A285" t="n">
        <v>284</v>
      </c>
      <c r="B285" t="n">
        <v>2015</v>
      </c>
      <c r="C285" t="inlineStr">
        <is>
          <t>Hannah D'Souza</t>
        </is>
      </c>
      <c r="D285">
        <f>HYPERLINK("https://ota.tournamentsoftware.com/player-profile/6516E6BE-4D11-4CDB-8F62-FFE106E8A899", "Link")</f>
        <v/>
      </c>
      <c r="E285" s="3" t="n">
        <v>263.065</v>
      </c>
      <c r="F285" s="4" t="n">
        <v>29</v>
      </c>
      <c r="G285" t="inlineStr">
        <is>
          <t>Ontario Tennis Association</t>
        </is>
      </c>
      <c r="H285" t="inlineStr">
        <is>
          <t>No Club</t>
        </is>
      </c>
      <c r="I285" t="n">
        <v>33.2</v>
      </c>
      <c r="J285" s="4" t="n">
        <v>163</v>
      </c>
      <c r="K285" t="inlineStr">
        <is>
          <t>67 / 96</t>
        </is>
      </c>
      <c r="L285" t="inlineStr">
        <is>
          <t>23 / 27</t>
        </is>
      </c>
      <c r="M285" s="5" t="n">
        <v>0.41</v>
      </c>
      <c r="N285" s="5" t="n">
        <v>0.46</v>
      </c>
    </row>
    <row r="286">
      <c r="A286" t="n">
        <v>285</v>
      </c>
      <c r="B286" t="n">
        <v>2014</v>
      </c>
      <c r="C286" t="inlineStr">
        <is>
          <t>Thanushka Sadasivam</t>
        </is>
      </c>
      <c r="D286">
        <f>HYPERLINK("https://ota.tournamentsoftware.com/player-profile/CA495DA8-0B9D-4530-9886-FC567CD73AE9", "Link")</f>
        <v/>
      </c>
      <c r="E286" s="3" t="n">
        <v>260.403</v>
      </c>
      <c r="F286" s="4" t="n">
        <v>15</v>
      </c>
      <c r="G286" t="inlineStr">
        <is>
          <t>Ontario Tennis Association</t>
        </is>
      </c>
      <c r="H286" t="inlineStr">
        <is>
          <t>Ontario Racquet Club</t>
        </is>
      </c>
      <c r="I286" t="n">
        <v>35.1</v>
      </c>
      <c r="J286" s="4" t="n">
        <v>59</v>
      </c>
      <c r="K286" t="inlineStr">
        <is>
          <t>25 / 34</t>
        </is>
      </c>
      <c r="L286" t="inlineStr">
        <is>
          <t>7 / 12</t>
        </is>
      </c>
      <c r="M286" s="5" t="n">
        <v>0.42</v>
      </c>
      <c r="N286" s="5" t="n">
        <v>0.37</v>
      </c>
    </row>
    <row r="287">
      <c r="A287" t="n">
        <v>286</v>
      </c>
      <c r="B287" t="n">
        <v>2015</v>
      </c>
      <c r="C287" t="inlineStr">
        <is>
          <t>Emma Xu</t>
        </is>
      </c>
      <c r="D287">
        <f>HYPERLINK("https://ota.tournamentsoftware.com/player-profile/464089C3-D2B4-413F-A102-AF0AEFF9A318", "Link")</f>
        <v/>
      </c>
      <c r="E287" s="3" t="n">
        <v>259.338</v>
      </c>
      <c r="F287" s="4" t="n">
        <v>9</v>
      </c>
      <c r="G287" t="inlineStr">
        <is>
          <t>Tennis Manitoba</t>
        </is>
      </c>
      <c r="H287" t="inlineStr">
        <is>
          <t>Taylor Tennis</t>
        </is>
      </c>
      <c r="I287" t="n">
        <v>36.3</v>
      </c>
      <c r="J287" s="4" t="n">
        <v>100</v>
      </c>
      <c r="K287" t="inlineStr">
        <is>
          <t>27 / 73</t>
        </is>
      </c>
      <c r="L287" t="inlineStr">
        <is>
          <t>9 / 28</t>
        </is>
      </c>
      <c r="M287" s="5" t="n">
        <v>0.27</v>
      </c>
      <c r="N287" s="5" t="n">
        <v>0.24</v>
      </c>
    </row>
    <row r="288">
      <c r="A288" t="n">
        <v>287</v>
      </c>
      <c r="B288" t="n">
        <v>2015</v>
      </c>
      <c r="C288" t="inlineStr">
        <is>
          <t>Sofia Twynam</t>
        </is>
      </c>
      <c r="D288">
        <f>HYPERLINK("https://ota.tournamentsoftware.com/player-profile/025F0929-F490-4440-8CB6-08E8D1F59F08", "Link")</f>
        <v/>
      </c>
      <c r="E288" s="3" t="n">
        <v>259.039</v>
      </c>
      <c r="F288" s="4" t="n">
        <v>17</v>
      </c>
      <c r="G288" t="inlineStr">
        <is>
          <t>Tennis Québec</t>
        </is>
      </c>
      <c r="H288" t="inlineStr">
        <is>
          <t>SANI Sport</t>
        </is>
      </c>
      <c r="I288" t="n">
        <v>32</v>
      </c>
      <c r="J288" s="4" t="n">
        <v>132</v>
      </c>
      <c r="K288" t="inlineStr">
        <is>
          <t>73 / 59</t>
        </is>
      </c>
      <c r="L288" t="inlineStr">
        <is>
          <t>18 / 16</t>
        </is>
      </c>
      <c r="M288" s="5" t="n">
        <v>0.55</v>
      </c>
      <c r="N288" s="5" t="n">
        <v>0.53</v>
      </c>
    </row>
    <row r="289">
      <c r="A289" t="n">
        <v>288</v>
      </c>
      <c r="B289" t="n">
        <v>2014</v>
      </c>
      <c r="C289" t="inlineStr">
        <is>
          <t>Mégane Bernard</t>
        </is>
      </c>
      <c r="D289">
        <f>HYPERLINK("https://ota.tournamentsoftware.com/player-profile/041B9415-6EB0-452F-AD3F-EA68CADBA2FB", "Link")</f>
        <v/>
      </c>
      <c r="E289" s="3" t="n">
        <v>258.029</v>
      </c>
      <c r="F289" s="4" t="n">
        <v>23</v>
      </c>
      <c r="G289" t="inlineStr">
        <is>
          <t>Tennis Québec</t>
        </is>
      </c>
      <c r="H289" t="inlineStr">
        <is>
          <t>Tennis 13</t>
        </is>
      </c>
      <c r="I289" t="n">
        <v>32.2</v>
      </c>
      <c r="J289" s="4" t="n">
        <v>201</v>
      </c>
      <c r="K289" t="inlineStr">
        <is>
          <t>90 / 111</t>
        </is>
      </c>
      <c r="L289" t="inlineStr">
        <is>
          <t>20 / 25</t>
        </is>
      </c>
      <c r="M289" s="5" t="n">
        <v>0.45</v>
      </c>
      <c r="N289" s="5" t="n">
        <v>0.44</v>
      </c>
    </row>
    <row r="290">
      <c r="A290" t="n">
        <v>289</v>
      </c>
      <c r="B290" t="n">
        <v>2013</v>
      </c>
      <c r="C290" t="inlineStr">
        <is>
          <t>Ebun Fasanya</t>
        </is>
      </c>
      <c r="D290">
        <f>HYPERLINK("https://ota.tournamentsoftware.com/player-profile/943BB22B-8108-44B4-80BD-15A6984D1D23", "Link")</f>
        <v/>
      </c>
      <c r="E290" s="3" t="n">
        <v>256.168</v>
      </c>
      <c r="F290" s="4" t="n">
        <v>17</v>
      </c>
      <c r="G290" t="inlineStr">
        <is>
          <t>Ontario Tennis Association</t>
        </is>
      </c>
      <c r="H290" t="inlineStr">
        <is>
          <t>Joshua Creek Golf &amp; Tennis</t>
        </is>
      </c>
      <c r="I290" t="n">
        <v>33.9</v>
      </c>
      <c r="J290" s="4" t="n">
        <v>82</v>
      </c>
      <c r="K290" t="inlineStr">
        <is>
          <t>45 / 37</t>
        </is>
      </c>
      <c r="L290" t="inlineStr">
        <is>
          <t>17 / 14</t>
        </is>
      </c>
      <c r="M290" s="5" t="n">
        <v>0.55</v>
      </c>
      <c r="N290" s="5" t="n">
        <v>0.55</v>
      </c>
    </row>
    <row r="291">
      <c r="A291" t="n">
        <v>290</v>
      </c>
      <c r="B291" t="n">
        <v>2014</v>
      </c>
      <c r="C291" t="inlineStr">
        <is>
          <t>SOFIA LUCKY</t>
        </is>
      </c>
      <c r="D291">
        <f>HYPERLINK("https://ota.tournamentsoftware.com/player-profile/9A590660-3C23-4CD7-A9AF-30CC3227EC17", "Link")</f>
        <v/>
      </c>
      <c r="E291" s="3" t="n">
        <v>252.375</v>
      </c>
      <c r="F291" s="4" t="n">
        <v>11</v>
      </c>
      <c r="G291" t="inlineStr">
        <is>
          <t>Tennis Québec</t>
        </is>
      </c>
      <c r="H291" t="inlineStr">
        <is>
          <t>Académie de tennis UNI(T)</t>
        </is>
      </c>
      <c r="I291" t="n">
        <v>34</v>
      </c>
      <c r="J291" s="4" t="n">
        <v>89</v>
      </c>
      <c r="K291" t="inlineStr">
        <is>
          <t>33 / 56</t>
        </is>
      </c>
      <c r="L291" t="inlineStr">
        <is>
          <t>12 / 11</t>
        </is>
      </c>
      <c r="M291" s="5" t="n">
        <v>0.37</v>
      </c>
      <c r="N291" s="5" t="n">
        <v>0.52</v>
      </c>
    </row>
    <row r="292">
      <c r="A292" t="n">
        <v>291</v>
      </c>
      <c r="B292" t="n">
        <v>2015</v>
      </c>
      <c r="C292" t="inlineStr">
        <is>
          <t>Ella Potechin</t>
        </is>
      </c>
      <c r="D292">
        <f>HYPERLINK("https://ota.tournamentsoftware.com/player-profile/6611C50A-5A2F-4DF7-B99B-97DD644D2C2A", "Link")</f>
        <v/>
      </c>
      <c r="E292" s="3" t="n">
        <v>251.009</v>
      </c>
      <c r="F292" s="4" t="n">
        <v>16</v>
      </c>
      <c r="G292" t="inlineStr">
        <is>
          <t>Ontario Tennis Association</t>
        </is>
      </c>
      <c r="H292" t="inlineStr">
        <is>
          <t>Tennis Outaouais Performance (TOP) ON</t>
        </is>
      </c>
      <c r="I292" t="n">
        <v>34.8</v>
      </c>
      <c r="J292" s="4" t="n">
        <v>99</v>
      </c>
      <c r="K292" t="inlineStr">
        <is>
          <t>41 / 58</t>
        </is>
      </c>
      <c r="L292" t="inlineStr">
        <is>
          <t>24 / 22</t>
        </is>
      </c>
      <c r="M292" s="5" t="n">
        <v>0.41</v>
      </c>
      <c r="N292" s="5" t="n">
        <v>0.52</v>
      </c>
    </row>
    <row r="293">
      <c r="A293" t="n">
        <v>292</v>
      </c>
      <c r="B293" t="n">
        <v>2015</v>
      </c>
      <c r="C293" t="inlineStr">
        <is>
          <t>Violetta Munoz</t>
        </is>
      </c>
      <c r="D293">
        <f>HYPERLINK("https://ota.tournamentsoftware.com/player-profile/55FD2B42-2961-45DA-8250-9ECCED0E6566", "Link")</f>
        <v/>
      </c>
      <c r="E293" s="3" t="n">
        <v>250.656</v>
      </c>
      <c r="F293" s="4" t="n">
        <v>24</v>
      </c>
      <c r="G293" t="inlineStr">
        <is>
          <t>Tennis Québec</t>
        </is>
      </c>
      <c r="H293" t="inlineStr">
        <is>
          <t>Carrefour Multisports</t>
        </is>
      </c>
      <c r="I293" t="n">
        <v>32.5</v>
      </c>
      <c r="J293" s="4" t="n">
        <v>181</v>
      </c>
      <c r="K293" t="inlineStr">
        <is>
          <t>94 / 87</t>
        </is>
      </c>
      <c r="L293" t="inlineStr">
        <is>
          <t>23 / 22</t>
        </is>
      </c>
      <c r="M293" s="5" t="n">
        <v>0.52</v>
      </c>
      <c r="N293" s="5" t="n">
        <v>0.51</v>
      </c>
    </row>
    <row r="294">
      <c r="A294" t="n">
        <v>293</v>
      </c>
      <c r="B294" t="n">
        <v>2015</v>
      </c>
      <c r="C294" t="inlineStr">
        <is>
          <t>Lydia Huang</t>
        </is>
      </c>
      <c r="D294">
        <f>HYPERLINK("https://ota.tournamentsoftware.com/player-profile/C398C976-6D88-4D76-B532-8E986C6FF0EA", "Link")</f>
        <v/>
      </c>
      <c r="E294" s="3" t="n">
        <v>250.066</v>
      </c>
      <c r="F294" s="4" t="n">
        <v>31</v>
      </c>
      <c r="G294" t="inlineStr">
        <is>
          <t>Ontario Tennis Association</t>
        </is>
      </c>
      <c r="H294" t="inlineStr">
        <is>
          <t>The Supreme Court Tennis Club</t>
        </is>
      </c>
      <c r="I294" t="n">
        <v>32.4</v>
      </c>
      <c r="J294" s="4" t="n">
        <v>106</v>
      </c>
      <c r="K294" t="inlineStr">
        <is>
          <t>65 / 41</t>
        </is>
      </c>
      <c r="L294" t="inlineStr">
        <is>
          <t>36 / 23</t>
        </is>
      </c>
      <c r="M294" s="5" t="n">
        <v>0.61</v>
      </c>
      <c r="N294" s="5" t="n">
        <v>0.61</v>
      </c>
    </row>
    <row r="295">
      <c r="A295" t="n">
        <v>294</v>
      </c>
      <c r="B295" t="n">
        <v>2012</v>
      </c>
      <c r="C295" t="inlineStr">
        <is>
          <t>Shrreya Elkturi</t>
        </is>
      </c>
      <c r="D295">
        <f>HYPERLINK("https://ota.tournamentsoftware.com/player-profile/1A8DA0C1-51FB-48B8-8AED-D37DAB186E95", "Link")</f>
        <v/>
      </c>
      <c r="E295" s="3" t="n">
        <v>249.635</v>
      </c>
      <c r="F295" s="4" t="n">
        <v>23</v>
      </c>
      <c r="G295" t="inlineStr">
        <is>
          <t>Ontario Tennis Association</t>
        </is>
      </c>
      <c r="H295" t="inlineStr">
        <is>
          <t>No Club</t>
        </is>
      </c>
      <c r="I295" t="n">
        <v>32.6</v>
      </c>
      <c r="J295" s="4" t="n">
        <v>87</v>
      </c>
      <c r="K295" t="inlineStr">
        <is>
          <t>31 / 56</t>
        </is>
      </c>
      <c r="L295" t="inlineStr">
        <is>
          <t>16 / 18</t>
        </is>
      </c>
      <c r="M295" s="5" t="n">
        <v>0.36</v>
      </c>
      <c r="N295" s="5" t="n">
        <v>0.47</v>
      </c>
    </row>
    <row r="296">
      <c r="A296" t="n">
        <v>295</v>
      </c>
      <c r="B296" t="n">
        <v>2014</v>
      </c>
      <c r="C296" t="inlineStr">
        <is>
          <t>Emma Lajoie</t>
        </is>
      </c>
      <c r="D296">
        <f>HYPERLINK("https://ota.tournamentsoftware.com/player-profile/E1635D80-45C0-4A06-8270-280699032897", "Link")</f>
        <v/>
      </c>
      <c r="E296" s="3" t="n">
        <v>247.649</v>
      </c>
      <c r="F296" s="4" t="n">
        <v>18</v>
      </c>
      <c r="G296" t="inlineStr">
        <is>
          <t>Tennis Québec</t>
        </is>
      </c>
      <c r="H296" t="inlineStr">
        <is>
          <t>SANI Sport</t>
        </is>
      </c>
      <c r="I296" t="n">
        <v>33</v>
      </c>
      <c r="J296" s="4" t="n">
        <v>160</v>
      </c>
      <c r="K296" t="inlineStr">
        <is>
          <t>81 / 79</t>
        </is>
      </c>
      <c r="L296" t="inlineStr">
        <is>
          <t>19 / 23</t>
        </is>
      </c>
      <c r="M296" s="5" t="n">
        <v>0.51</v>
      </c>
      <c r="N296" s="5" t="n">
        <v>0.45</v>
      </c>
    </row>
    <row r="297">
      <c r="A297" t="n">
        <v>296</v>
      </c>
      <c r="B297" t="n">
        <v>2014</v>
      </c>
      <c r="C297" t="inlineStr">
        <is>
          <t>Aryella Ainame Duran Khongwir</t>
        </is>
      </c>
      <c r="D297">
        <f>HYPERLINK("https://ota.tournamentsoftware.com/player-profile/6DB3D46F-3C74-400D-92A4-62CF55426936", "Link")</f>
        <v/>
      </c>
      <c r="E297" s="3" t="n">
        <v>245.44</v>
      </c>
      <c r="F297" s="4" t="n">
        <v>19</v>
      </c>
      <c r="G297" t="inlineStr">
        <is>
          <t>Ontario Tennis Association</t>
        </is>
      </c>
      <c r="H297" t="inlineStr">
        <is>
          <t>Stefanovic Tennis Academy</t>
        </is>
      </c>
      <c r="I297" t="n">
        <v>34.1</v>
      </c>
      <c r="J297" s="4" t="n">
        <v>184</v>
      </c>
      <c r="K297" t="inlineStr">
        <is>
          <t>53 / 131</t>
        </is>
      </c>
      <c r="L297" t="inlineStr">
        <is>
          <t>19 / 19</t>
        </is>
      </c>
      <c r="M297" s="5" t="n">
        <v>0.29</v>
      </c>
      <c r="N297" s="5" t="n">
        <v>0.5</v>
      </c>
    </row>
    <row r="298">
      <c r="A298" t="n">
        <v>297</v>
      </c>
      <c r="B298" t="n">
        <v>2013</v>
      </c>
      <c r="C298" t="inlineStr">
        <is>
          <t>Ava Dancik</t>
        </is>
      </c>
      <c r="D298">
        <f>HYPERLINK("https://ota.tournamentsoftware.com/player-profile/CF808414-C0CE-4B07-9667-D3EE492D6BCE", "Link")</f>
        <v/>
      </c>
      <c r="E298" s="3" t="n">
        <v>245.24</v>
      </c>
      <c r="F298" s="4" t="n">
        <v>14</v>
      </c>
      <c r="G298" t="inlineStr">
        <is>
          <t>Tennis Québec</t>
        </is>
      </c>
      <c r="H298" t="inlineStr">
        <is>
          <t>Tennis de l'Île des Sœurs / École de tennis</t>
        </is>
      </c>
      <c r="I298" t="n">
        <v>31.5</v>
      </c>
      <c r="J298" s="4" t="n">
        <v>219</v>
      </c>
      <c r="K298" t="inlineStr">
        <is>
          <t>112 / 107</t>
        </is>
      </c>
      <c r="L298" t="inlineStr">
        <is>
          <t>16 / 10</t>
        </is>
      </c>
      <c r="M298" s="5" t="n">
        <v>0.51</v>
      </c>
      <c r="N298" s="5" t="n">
        <v>0.62</v>
      </c>
    </row>
    <row r="299">
      <c r="A299" t="n">
        <v>298</v>
      </c>
      <c r="B299" t="n">
        <v>2015</v>
      </c>
      <c r="C299" t="inlineStr">
        <is>
          <t>MASAL ELA YAZICI</t>
        </is>
      </c>
      <c r="D299">
        <f>HYPERLINK("https://ota.tournamentsoftware.com/player-profile/8556435C-B5F1-47A5-8C4A-46AF5B800D78", "Link")</f>
        <v/>
      </c>
      <c r="E299" s="3" t="n">
        <v>245.186</v>
      </c>
      <c r="F299" s="4" t="n">
        <v>23</v>
      </c>
      <c r="G299" t="inlineStr">
        <is>
          <t>Ontario Tennis Association</t>
        </is>
      </c>
      <c r="H299" t="inlineStr">
        <is>
          <t>Mayfair West Fitness &amp; Racquet Club</t>
        </is>
      </c>
      <c r="I299" t="n">
        <v>33.5</v>
      </c>
      <c r="J299" s="4" t="n">
        <v>62</v>
      </c>
      <c r="K299" t="inlineStr">
        <is>
          <t>37 / 25</t>
        </is>
      </c>
      <c r="L299" t="inlineStr">
        <is>
          <t>29 / 18</t>
        </is>
      </c>
      <c r="M299" s="5" t="n">
        <v>0.6</v>
      </c>
      <c r="N299" s="5" t="n">
        <v>0.62</v>
      </c>
    </row>
    <row r="300">
      <c r="A300" t="n">
        <v>299</v>
      </c>
      <c r="B300" t="n">
        <v>2016</v>
      </c>
      <c r="C300" t="inlineStr">
        <is>
          <t>Minna TAN</t>
        </is>
      </c>
      <c r="D300">
        <f>HYPERLINK("https://ota.tournamentsoftware.com/player-profile/4830D271-776A-41F3-B5D9-B5D2EC272CB4", "Link")</f>
        <v/>
      </c>
      <c r="E300" s="3" t="n">
        <v>244.921</v>
      </c>
      <c r="F300" s="4" t="n">
        <v>12</v>
      </c>
      <c r="G300" t="inlineStr">
        <is>
          <t>Tennis Québec</t>
        </is>
      </c>
      <c r="H300" t="inlineStr">
        <is>
          <t>Tennis Ile- des- Soeurs</t>
        </is>
      </c>
      <c r="I300" t="n">
        <v>31.5</v>
      </c>
      <c r="J300" s="4" t="n">
        <v>90</v>
      </c>
      <c r="K300" t="inlineStr">
        <is>
          <t>58 / 32</t>
        </is>
      </c>
      <c r="L300" t="inlineStr">
        <is>
          <t>26 / 7</t>
        </is>
      </c>
      <c r="M300" s="5" t="n">
        <v>0.64</v>
      </c>
      <c r="N300" s="5" t="n">
        <v>0.79</v>
      </c>
    </row>
    <row r="301">
      <c r="A301" t="n">
        <v>300</v>
      </c>
      <c r="B301" t="n">
        <v>2012</v>
      </c>
      <c r="C301" t="inlineStr">
        <is>
          <t>Sophia Zhang</t>
        </is>
      </c>
      <c r="D301">
        <f>HYPERLINK("https://ota.tournamentsoftware.com/player-profile/D3858E79-6F6D-42C3-B497-74590CD50165", "Link")</f>
        <v/>
      </c>
      <c r="E301" s="3" t="n">
        <v>242.786</v>
      </c>
      <c r="F301" s="4" t="n">
        <v>9</v>
      </c>
      <c r="G301" t="inlineStr">
        <is>
          <t>British Columbia</t>
        </is>
      </c>
      <c r="H301" t="inlineStr">
        <is>
          <t>Richmond Country Club</t>
        </is>
      </c>
      <c r="I301" t="n">
        <v>33.7</v>
      </c>
      <c r="J301" s="4" t="n">
        <v>122</v>
      </c>
      <c r="K301" t="inlineStr">
        <is>
          <t>33 / 89</t>
        </is>
      </c>
      <c r="L301" t="inlineStr">
        <is>
          <t>1 / 12</t>
        </is>
      </c>
      <c r="M301" s="5" t="n">
        <v>0.27</v>
      </c>
      <c r="N301" s="5" t="n">
        <v>0.08</v>
      </c>
    </row>
    <row r="302">
      <c r="A302" t="n">
        <v>301</v>
      </c>
      <c r="B302" t="n">
        <v>2012</v>
      </c>
      <c r="C302" t="inlineStr">
        <is>
          <t>MICHELLE OREANE OLA ECHAO</t>
        </is>
      </c>
      <c r="D302">
        <f>HYPERLINK("https://ota.tournamentsoftware.com/player-profile/50FA5AE5-9557-483C-94FB-05937E25C837", "Link")</f>
        <v/>
      </c>
      <c r="E302" s="3" t="n">
        <v>241.101</v>
      </c>
      <c r="F302" s="4" t="n">
        <v>9</v>
      </c>
      <c r="G302" t="inlineStr">
        <is>
          <t>Ontario Tennis Association</t>
        </is>
      </c>
      <c r="H302" t="inlineStr">
        <is>
          <t>Rideau Sports Centre</t>
        </is>
      </c>
      <c r="I302" t="n">
        <v>36.9</v>
      </c>
      <c r="J302" s="4" t="n">
        <v>55</v>
      </c>
      <c r="K302" t="inlineStr">
        <is>
          <t>12 / 43</t>
        </is>
      </c>
      <c r="L302" t="inlineStr">
        <is>
          <t>3 / 8</t>
        </is>
      </c>
      <c r="M302" s="5" t="n">
        <v>0.22</v>
      </c>
      <c r="N302" s="5" t="n">
        <v>0.27</v>
      </c>
    </row>
    <row r="303">
      <c r="A303" t="n">
        <v>302</v>
      </c>
      <c r="B303" t="n">
        <v>2015</v>
      </c>
      <c r="C303" t="inlineStr">
        <is>
          <t>Liana Arendain</t>
        </is>
      </c>
      <c r="D303">
        <f>HYPERLINK("https://ota.tournamentsoftware.com/player-profile/2D89D481-D621-43AF-8792-3F0114FE4D77", "Link")</f>
        <v/>
      </c>
      <c r="E303" s="3" t="n">
        <v>238.244</v>
      </c>
      <c r="F303" s="4" t="n">
        <v>19</v>
      </c>
      <c r="G303" t="inlineStr">
        <is>
          <t>Tennis Alberta</t>
        </is>
      </c>
      <c r="H303" t="inlineStr">
        <is>
          <t>Saville Community Sports Centre</t>
        </is>
      </c>
      <c r="I303" t="n">
        <v>30.4</v>
      </c>
      <c r="J303" s="4" t="n">
        <v>150</v>
      </c>
      <c r="K303" t="inlineStr">
        <is>
          <t>103 / 47</t>
        </is>
      </c>
      <c r="L303" t="inlineStr">
        <is>
          <t>36 / 19</t>
        </is>
      </c>
      <c r="M303" s="5" t="n">
        <v>0.6899999999999999</v>
      </c>
      <c r="N303" s="5" t="n">
        <v>0.65</v>
      </c>
    </row>
    <row r="304">
      <c r="A304" t="n">
        <v>303</v>
      </c>
      <c r="B304" t="n">
        <v>2012</v>
      </c>
      <c r="C304" t="inlineStr">
        <is>
          <t>Ariella Wainer</t>
        </is>
      </c>
      <c r="D304">
        <f>HYPERLINK("https://ota.tournamentsoftware.com/player-profile/29A07F50-E6F3-4FFE-84BF-31DB048552D6", "Link")</f>
        <v/>
      </c>
      <c r="E304" s="3" t="n">
        <v>238.158</v>
      </c>
      <c r="F304" s="4" t="n">
        <v>21</v>
      </c>
      <c r="G304" t="inlineStr">
        <is>
          <t>Tennis Québec</t>
        </is>
      </c>
      <c r="H304" t="inlineStr">
        <is>
          <t>Club Sportif Côte-de-Liesse</t>
        </is>
      </c>
      <c r="I304" t="n">
        <v>34.1</v>
      </c>
      <c r="J304" s="4" t="n">
        <v>172</v>
      </c>
      <c r="K304" t="inlineStr">
        <is>
          <t>60 / 112</t>
        </is>
      </c>
      <c r="L304" t="inlineStr">
        <is>
          <t>6 / 17</t>
        </is>
      </c>
      <c r="M304" s="5" t="n">
        <v>0.35</v>
      </c>
      <c r="N304" s="5" t="n">
        <v>0.26</v>
      </c>
    </row>
    <row r="305">
      <c r="A305" t="n">
        <v>304</v>
      </c>
      <c r="B305" t="n">
        <v>2014</v>
      </c>
      <c r="C305" t="inlineStr">
        <is>
          <t>Penelope Anne McMillan</t>
        </is>
      </c>
      <c r="D305">
        <f>HYPERLINK("https://ota.tournamentsoftware.com/player-profile/D7699338-4FE5-4F30-9A7D-8E14842C2A9B", "Link")</f>
        <v/>
      </c>
      <c r="E305" s="3" t="n">
        <v>235.813</v>
      </c>
      <c r="F305" s="4" t="n">
        <v>9</v>
      </c>
      <c r="G305" t="inlineStr">
        <is>
          <t>Tennis Nova Scotia</t>
        </is>
      </c>
      <c r="H305" t="inlineStr">
        <is>
          <t>Atlantic Tennis Centre</t>
        </is>
      </c>
      <c r="I305" t="n">
        <v>35.7</v>
      </c>
      <c r="J305" s="4" t="n">
        <v>110</v>
      </c>
      <c r="K305" t="inlineStr">
        <is>
          <t>46 / 64</t>
        </is>
      </c>
      <c r="L305" t="inlineStr">
        <is>
          <t>16 / 24</t>
        </is>
      </c>
      <c r="M305" s="5" t="n">
        <v>0.42</v>
      </c>
      <c r="N305" s="5" t="n">
        <v>0.4</v>
      </c>
    </row>
    <row r="306">
      <c r="A306" t="n">
        <v>305</v>
      </c>
      <c r="B306" t="n">
        <v>2013</v>
      </c>
      <c r="C306" t="inlineStr">
        <is>
          <t>Hazel Sharma</t>
        </is>
      </c>
      <c r="D306">
        <f>HYPERLINK("https://ota.tournamentsoftware.com/player-profile/114D9BCA-C6DA-49E0-9F64-5FB54E5B0E3E", "Link")</f>
        <v/>
      </c>
      <c r="E306" s="3" t="n">
        <v>234.934</v>
      </c>
      <c r="F306" s="4" t="n">
        <v>13</v>
      </c>
      <c r="G306" t="inlineStr">
        <is>
          <t>British Columbia</t>
        </is>
      </c>
      <c r="H306" t="inlineStr">
        <is>
          <t>The Tennis Centre</t>
        </is>
      </c>
      <c r="I306" t="n">
        <v>32.5</v>
      </c>
      <c r="J306" s="4" t="n">
        <v>192</v>
      </c>
      <c r="K306" t="inlineStr">
        <is>
          <t>85 / 107</t>
        </is>
      </c>
      <c r="L306" t="inlineStr">
        <is>
          <t>16 / 12</t>
        </is>
      </c>
      <c r="M306" s="5" t="n">
        <v>0.44</v>
      </c>
      <c r="N306" s="5" t="n">
        <v>0.57</v>
      </c>
    </row>
    <row r="307">
      <c r="A307" t="n">
        <v>306</v>
      </c>
      <c r="B307" t="n">
        <v>2015</v>
      </c>
      <c r="C307" t="inlineStr">
        <is>
          <t>ESTHER HAO</t>
        </is>
      </c>
      <c r="D307">
        <f>HYPERLINK("https://ota.tournamentsoftware.com/player-profile/8EA584DE-3986-4803-A3AA-F96230F853A7", "Link")</f>
        <v/>
      </c>
      <c r="E307" s="3" t="n">
        <v>233.33</v>
      </c>
      <c r="F307" s="4" t="n">
        <v>14</v>
      </c>
      <c r="G307" t="inlineStr">
        <is>
          <t>Ontario Tennis Association</t>
        </is>
      </c>
      <c r="H307" t="inlineStr">
        <is>
          <t>Ontario Racquet Club</t>
        </is>
      </c>
      <c r="I307" t="n">
        <v>34.1</v>
      </c>
      <c r="J307" s="4" t="n">
        <v>215</v>
      </c>
      <c r="K307" t="inlineStr">
        <is>
          <t>131 / 84</t>
        </is>
      </c>
      <c r="L307" t="inlineStr">
        <is>
          <t>9 / 9</t>
        </is>
      </c>
      <c r="M307" s="5" t="n">
        <v>0.61</v>
      </c>
      <c r="N307" s="5" t="n">
        <v>0.5</v>
      </c>
    </row>
    <row r="308">
      <c r="A308" t="n">
        <v>307</v>
      </c>
      <c r="B308" t="n">
        <v>2015</v>
      </c>
      <c r="C308" t="inlineStr">
        <is>
          <t>Daniella Lynne Lee</t>
        </is>
      </c>
      <c r="D308">
        <f>HYPERLINK("https://ota.tournamentsoftware.com/player-profile/92FC49CB-246B-48E6-ABC3-903AA780449F", "Link")</f>
        <v/>
      </c>
      <c r="E308" s="3" t="n">
        <v>232.641</v>
      </c>
      <c r="F308" s="4" t="n">
        <v>27</v>
      </c>
      <c r="G308" t="inlineStr">
        <is>
          <t>British Columbia</t>
        </is>
      </c>
      <c r="H308" t="inlineStr">
        <is>
          <t>Arbutus Club</t>
        </is>
      </c>
      <c r="I308" t="n">
        <v>32.3</v>
      </c>
      <c r="J308" s="4" t="n">
        <v>138</v>
      </c>
      <c r="K308" t="inlineStr">
        <is>
          <t>70 / 68</t>
        </is>
      </c>
      <c r="L308" t="inlineStr">
        <is>
          <t>31 / 29</t>
        </is>
      </c>
      <c r="M308" s="5" t="n">
        <v>0.51</v>
      </c>
      <c r="N308" s="5" t="n">
        <v>0.52</v>
      </c>
    </row>
    <row r="309">
      <c r="A309" t="n">
        <v>308</v>
      </c>
      <c r="B309" t="n">
        <v>2016</v>
      </c>
      <c r="C309" t="inlineStr">
        <is>
          <t>Tanishka Varishtha Tripathi</t>
        </is>
      </c>
      <c r="D309">
        <f>HYPERLINK("https://ota.tournamentsoftware.com/player-profile/C966D3AB-F944-4405-A712-C5FA591776A1", "Link")</f>
        <v/>
      </c>
      <c r="E309" s="3" t="n">
        <v>232.274</v>
      </c>
      <c r="F309" s="4" t="n">
        <v>14</v>
      </c>
      <c r="G309" t="inlineStr">
        <is>
          <t>Ontario Tennis Association</t>
        </is>
      </c>
      <c r="H309" t="inlineStr">
        <is>
          <t>Tennis Outaouais Performance (TOP) ON</t>
        </is>
      </c>
      <c r="I309" t="n">
        <v>32.2</v>
      </c>
      <c r="J309" s="4" t="n">
        <v>152</v>
      </c>
      <c r="K309" t="inlineStr">
        <is>
          <t>112 / 40</t>
        </is>
      </c>
      <c r="L309" t="inlineStr">
        <is>
          <t>35 / 13</t>
        </is>
      </c>
      <c r="M309" s="5" t="n">
        <v>0.74</v>
      </c>
      <c r="N309" s="5" t="n">
        <v>0.73</v>
      </c>
    </row>
    <row r="310">
      <c r="A310" t="n">
        <v>309</v>
      </c>
      <c r="B310" t="n">
        <v>2015</v>
      </c>
      <c r="C310" t="inlineStr">
        <is>
          <t>Navena Thelepan</t>
        </is>
      </c>
      <c r="D310">
        <f>HYPERLINK("https://ota.tournamentsoftware.com/player-profile/811C2EA5-51E7-4FDE-BF82-1DF3D9D0AD27", "Link")</f>
        <v/>
      </c>
      <c r="E310" s="3" t="n">
        <v>231.661</v>
      </c>
      <c r="F310" s="4" t="n">
        <v>47</v>
      </c>
      <c r="G310" t="inlineStr">
        <is>
          <t>Ontario Tennis Association</t>
        </is>
      </c>
      <c r="H310" t="inlineStr">
        <is>
          <t>Markham Tennis Club</t>
        </is>
      </c>
      <c r="I310" t="n">
        <v>35.7</v>
      </c>
      <c r="J310" s="4" t="n">
        <v>153</v>
      </c>
      <c r="K310" t="inlineStr">
        <is>
          <t>68 / 85</t>
        </is>
      </c>
      <c r="L310" t="inlineStr">
        <is>
          <t>24 / 48</t>
        </is>
      </c>
      <c r="M310" s="5" t="n">
        <v>0.44</v>
      </c>
      <c r="N310" s="5" t="n">
        <v>0.33</v>
      </c>
    </row>
    <row r="311">
      <c r="A311" t="n">
        <v>310</v>
      </c>
      <c r="B311" t="n">
        <v>2012</v>
      </c>
      <c r="C311" t="inlineStr">
        <is>
          <t>Harsimran Kaur Sandhu</t>
        </is>
      </c>
      <c r="D311">
        <f>HYPERLINK("https://ota.tournamentsoftware.com/player-profile/10345BBC-2CC8-4DA1-AA88-2730495B6CB8", "Link")</f>
        <v/>
      </c>
      <c r="E311" s="3" t="n">
        <v>231.48</v>
      </c>
      <c r="F311" s="4" t="n">
        <v>27</v>
      </c>
      <c r="G311" t="inlineStr">
        <is>
          <t>Ontario Tennis Association</t>
        </is>
      </c>
      <c r="H311" t="inlineStr">
        <is>
          <t>Premier Racquet Clubs – Mississauga</t>
        </is>
      </c>
      <c r="I311" t="inlineStr">
        <is>
          <t>unavailable</t>
        </is>
      </c>
      <c r="J311" s="4" t="n">
        <v>112</v>
      </c>
      <c r="K311" t="inlineStr">
        <is>
          <t>51 / 61</t>
        </is>
      </c>
      <c r="L311" t="inlineStr">
        <is>
          <t>26 / 22</t>
        </is>
      </c>
      <c r="M311" s="5" t="n">
        <v>0.46</v>
      </c>
      <c r="N311" s="5" t="n">
        <v>0.54</v>
      </c>
    </row>
    <row r="312">
      <c r="A312" t="n">
        <v>311</v>
      </c>
      <c r="B312" t="n">
        <v>2015</v>
      </c>
      <c r="C312" t="inlineStr">
        <is>
          <t>Lacey Isabella Ly</t>
        </is>
      </c>
      <c r="D312">
        <f>HYPERLINK("https://ota.tournamentsoftware.com/player-profile/878918D3-5C76-4815-A98A-1D1A49BFC21F", "Link")</f>
        <v/>
      </c>
      <c r="E312" s="3" t="n">
        <v>231.26</v>
      </c>
      <c r="F312" s="4" t="n">
        <v>11</v>
      </c>
      <c r="G312" t="inlineStr">
        <is>
          <t>British Columbia</t>
        </is>
      </c>
      <c r="H312" t="inlineStr">
        <is>
          <t>The Tennis Centre</t>
        </is>
      </c>
      <c r="I312" t="n">
        <v>30.8</v>
      </c>
      <c r="J312" s="4" t="n">
        <v>133</v>
      </c>
      <c r="K312" t="inlineStr">
        <is>
          <t>100 / 33</t>
        </is>
      </c>
      <c r="L312" t="inlineStr">
        <is>
          <t>23 / 9</t>
        </is>
      </c>
      <c r="M312" s="5" t="n">
        <v>0.75</v>
      </c>
      <c r="N312" s="5" t="n">
        <v>0.72</v>
      </c>
    </row>
    <row r="313">
      <c r="A313" t="n">
        <v>312</v>
      </c>
      <c r="B313" t="n">
        <v>2012</v>
      </c>
      <c r="C313" t="inlineStr">
        <is>
          <t>Louanna Perron</t>
        </is>
      </c>
      <c r="D313">
        <f>HYPERLINK("https://ota.tournamentsoftware.com/player-profile/0D5BD355-F71F-4A8A-B269-0D225B56C809", "Link")</f>
        <v/>
      </c>
      <c r="E313" s="3" t="n">
        <v>229.341</v>
      </c>
      <c r="F313" s="4" t="n">
        <v>10</v>
      </c>
      <c r="G313" t="inlineStr">
        <is>
          <t>Tennis Québec</t>
        </is>
      </c>
      <c r="H313" t="inlineStr">
        <is>
          <t>Tennis 13 / Académie Ménard et associé</t>
        </is>
      </c>
      <c r="I313" t="n">
        <v>33.2</v>
      </c>
      <c r="J313" s="4" t="n">
        <v>27</v>
      </c>
      <c r="K313" t="inlineStr">
        <is>
          <t>10 / 17</t>
        </is>
      </c>
      <c r="L313" t="inlineStr">
        <is>
          <t>4 / 9</t>
        </is>
      </c>
      <c r="M313" s="5" t="n">
        <v>0.37</v>
      </c>
      <c r="N313" s="5" t="n">
        <v>0.31</v>
      </c>
    </row>
    <row r="314">
      <c r="A314" t="n">
        <v>313</v>
      </c>
      <c r="B314" t="n">
        <v>2012</v>
      </c>
      <c r="C314" t="inlineStr">
        <is>
          <t>Charlotte Gal</t>
        </is>
      </c>
      <c r="D314">
        <f>HYPERLINK("https://ota.tournamentsoftware.com/player-profile/EF0AF614-E6CE-4E3C-9FC4-7EF8A5EB6B57", "Link")</f>
        <v/>
      </c>
      <c r="E314" s="3" t="n">
        <v>229.165</v>
      </c>
      <c r="F314" s="4" t="n">
        <v>4</v>
      </c>
      <c r="G314" t="inlineStr">
        <is>
          <t>Tennis Nova Scotia</t>
        </is>
      </c>
      <c r="H314" t="inlineStr">
        <is>
          <t>HEADSTART</t>
        </is>
      </c>
      <c r="I314" t="n">
        <v>37.1</v>
      </c>
      <c r="J314" s="4" t="n">
        <v>24</v>
      </c>
      <c r="K314" t="inlineStr">
        <is>
          <t>6 / 18</t>
        </is>
      </c>
      <c r="L314" t="inlineStr">
        <is>
          <t>2 / 12</t>
        </is>
      </c>
      <c r="M314" s="5" t="n">
        <v>0.25</v>
      </c>
      <c r="N314" s="5" t="n">
        <v>0.14</v>
      </c>
    </row>
    <row r="315">
      <c r="A315" t="n">
        <v>314</v>
      </c>
      <c r="B315" t="n">
        <v>2012</v>
      </c>
      <c r="C315" t="inlineStr">
        <is>
          <t>Jamie Cui</t>
        </is>
      </c>
      <c r="D315">
        <f>HYPERLINK("https://ota.tournamentsoftware.com/player-profile/6F7B90A5-BECB-44C9-9B4E-74FED8443672", "Link")</f>
        <v/>
      </c>
      <c r="E315" s="3" t="n">
        <v>228.114</v>
      </c>
      <c r="F315" s="4" t="n">
        <v>19</v>
      </c>
      <c r="G315" t="inlineStr">
        <is>
          <t>British Columbia</t>
        </is>
      </c>
      <c r="H315" t="inlineStr">
        <is>
          <t>Coquitlam Tennis Club</t>
        </is>
      </c>
      <c r="I315" t="inlineStr">
        <is>
          <t>unavailable</t>
        </is>
      </c>
      <c r="J315" s="4" t="n">
        <v>173</v>
      </c>
      <c r="K315" t="inlineStr">
        <is>
          <t>49 / 124</t>
        </is>
      </c>
      <c r="L315" t="inlineStr">
        <is>
          <t>12 / 21</t>
        </is>
      </c>
      <c r="M315" s="5" t="n">
        <v>0.28</v>
      </c>
      <c r="N315" s="5" t="n">
        <v>0.36</v>
      </c>
    </row>
    <row r="316">
      <c r="A316" t="n">
        <v>315</v>
      </c>
      <c r="B316" t="n">
        <v>2012</v>
      </c>
      <c r="C316" t="inlineStr">
        <is>
          <t>Saroop Randhawa</t>
        </is>
      </c>
      <c r="D316">
        <f>HYPERLINK("https://ota.tournamentsoftware.com/player-profile/5F710ADB-6059-4376-8917-220BAD95C9B2", "Link")</f>
        <v/>
      </c>
      <c r="E316" s="3" t="n">
        <v>228</v>
      </c>
      <c r="F316" s="4" t="n">
        <v>2</v>
      </c>
      <c r="G316" t="inlineStr">
        <is>
          <t>Ontario Tennis Association</t>
        </is>
      </c>
      <c r="H316" t="inlineStr">
        <is>
          <t>Advantage Tennis International at Veneto</t>
        </is>
      </c>
      <c r="I316" t="n">
        <v>22.4</v>
      </c>
      <c r="J316" s="4" t="n">
        <v>155</v>
      </c>
      <c r="K316" t="inlineStr">
        <is>
          <t>115 / 40</t>
        </is>
      </c>
      <c r="L316" t="inlineStr">
        <is>
          <t>5 / 0</t>
        </is>
      </c>
      <c r="M316" s="5" t="n">
        <v>0.74</v>
      </c>
      <c r="N316" s="5" t="n">
        <v>1</v>
      </c>
    </row>
    <row r="317">
      <c r="A317" t="n">
        <v>316</v>
      </c>
      <c r="B317" t="n">
        <v>2012</v>
      </c>
      <c r="C317" t="inlineStr">
        <is>
          <t>Xinyi Zhang</t>
        </is>
      </c>
      <c r="D317">
        <f>HYPERLINK("https://ota.tournamentsoftware.com/player-profile/BCC8B346-C184-4803-9CC2-592D143B667B", "Link")</f>
        <v/>
      </c>
      <c r="E317" s="3" t="n">
        <v>225.192</v>
      </c>
      <c r="F317" s="4" t="n">
        <v>17</v>
      </c>
      <c r="G317" t="inlineStr">
        <is>
          <t>Ontario Tennis Association</t>
        </is>
      </c>
      <c r="H317" t="inlineStr">
        <is>
          <t>Marilyn Redvers Tennis Club</t>
        </is>
      </c>
      <c r="I317" t="n">
        <v>33.4</v>
      </c>
      <c r="J317" s="4" t="n">
        <v>57</v>
      </c>
      <c r="K317" t="inlineStr">
        <is>
          <t>28 / 29</t>
        </is>
      </c>
      <c r="L317" t="inlineStr">
        <is>
          <t>17 / 21</t>
        </is>
      </c>
      <c r="M317" s="5" t="n">
        <v>0.49</v>
      </c>
      <c r="N317" s="5" t="n">
        <v>0.45</v>
      </c>
    </row>
    <row r="318">
      <c r="A318" t="n">
        <v>317</v>
      </c>
      <c r="B318" t="n">
        <v>2012</v>
      </c>
      <c r="C318" t="inlineStr">
        <is>
          <t>Mavis Li</t>
        </is>
      </c>
      <c r="D318">
        <f>HYPERLINK("https://ota.tournamentsoftware.com/player-profile/FC8D1AE6-D9A0-409A-A095-1B2C12EDB359", "Link")</f>
        <v/>
      </c>
      <c r="E318" s="3" t="n">
        <v>224.257</v>
      </c>
      <c r="F318" s="4" t="n">
        <v>21</v>
      </c>
      <c r="G318" t="inlineStr">
        <is>
          <t>Ontario Tennis Association</t>
        </is>
      </c>
      <c r="H318" t="inlineStr">
        <is>
          <t>Blackmore Tennis Club</t>
        </is>
      </c>
      <c r="I318" t="n">
        <v>35.4</v>
      </c>
      <c r="J318" s="4" t="n">
        <v>67</v>
      </c>
      <c r="K318" t="inlineStr">
        <is>
          <t>24 / 43</t>
        </is>
      </c>
      <c r="L318" t="inlineStr">
        <is>
          <t>9 / 26</t>
        </is>
      </c>
      <c r="M318" s="5" t="n">
        <v>0.36</v>
      </c>
      <c r="N318" s="5" t="n">
        <v>0.26</v>
      </c>
    </row>
    <row r="319">
      <c r="A319" t="n">
        <v>318</v>
      </c>
      <c r="B319" t="n">
        <v>2014</v>
      </c>
      <c r="C319" t="inlineStr">
        <is>
          <t>Skylar Isabelle JOHNSTON</t>
        </is>
      </c>
      <c r="D319">
        <f>HYPERLINK("https://ota.tournamentsoftware.com/player-profile/18CCEC3F-12DA-4A55-A300-393E64FB4F6E", "Link")</f>
        <v/>
      </c>
      <c r="E319" s="3" t="n">
        <v>223.404</v>
      </c>
      <c r="F319" s="4" t="n">
        <v>13</v>
      </c>
      <c r="G319" t="inlineStr">
        <is>
          <t>Tennis Nova Scotia</t>
        </is>
      </c>
      <c r="H319" t="inlineStr">
        <is>
          <t>Gordon Hughes Tennis Club</t>
        </is>
      </c>
      <c r="I319" t="n">
        <v>32.8</v>
      </c>
      <c r="J319" s="4" t="n">
        <v>98</v>
      </c>
      <c r="K319" t="inlineStr">
        <is>
          <t>49 / 49</t>
        </is>
      </c>
      <c r="L319" t="inlineStr">
        <is>
          <t>28 / 16</t>
        </is>
      </c>
      <c r="M319" s="5" t="n">
        <v>0.5</v>
      </c>
      <c r="N319" s="5" t="n">
        <v>0.64</v>
      </c>
    </row>
    <row r="320">
      <c r="A320" t="n">
        <v>319</v>
      </c>
      <c r="B320" t="n">
        <v>2013</v>
      </c>
      <c r="C320" t="inlineStr">
        <is>
          <t>Léa Crépault</t>
        </is>
      </c>
      <c r="D320">
        <f>HYPERLINK("https://ota.tournamentsoftware.com/player-profile/A3D2A82D-C6E8-410C-A1B3-E5DC3B845B7A", "Link")</f>
        <v/>
      </c>
      <c r="E320" s="3" t="n">
        <v>219.739</v>
      </c>
      <c r="F320" s="4" t="n">
        <v>21</v>
      </c>
      <c r="G320" t="inlineStr">
        <is>
          <t>Tennis Québec</t>
        </is>
      </c>
      <c r="H320" t="inlineStr">
        <is>
          <t>EB Tennis inc.</t>
        </is>
      </c>
      <c r="I320" t="n">
        <v>34.7</v>
      </c>
      <c r="J320" s="4" t="n">
        <v>161</v>
      </c>
      <c r="K320" t="inlineStr">
        <is>
          <t>45 / 116</t>
        </is>
      </c>
      <c r="L320" t="inlineStr">
        <is>
          <t>9 / 17</t>
        </is>
      </c>
      <c r="M320" s="5" t="n">
        <v>0.28</v>
      </c>
      <c r="N320" s="5" t="n">
        <v>0.35</v>
      </c>
    </row>
    <row r="321">
      <c r="A321" t="n">
        <v>320</v>
      </c>
      <c r="B321" t="n">
        <v>2013</v>
      </c>
      <c r="C321" t="inlineStr">
        <is>
          <t>Makayla Najjar</t>
        </is>
      </c>
      <c r="D321">
        <f>HYPERLINK("https://ota.tournamentsoftware.com/player-profile/A931D3E2-A84F-4018-9B2A-A1664811863E", "Link")</f>
        <v/>
      </c>
      <c r="E321" s="3" t="n">
        <v>219.584</v>
      </c>
      <c r="F321" s="4" t="n">
        <v>13</v>
      </c>
      <c r="G321" t="inlineStr">
        <is>
          <t>Ontario Tennis Association</t>
        </is>
      </c>
      <c r="H321" t="inlineStr">
        <is>
          <t>Premier Racquet Clubs – Mississauga</t>
        </is>
      </c>
      <c r="I321" t="n">
        <v>33.3</v>
      </c>
      <c r="J321" s="4" t="n">
        <v>90</v>
      </c>
      <c r="K321" t="inlineStr">
        <is>
          <t>60 / 30</t>
        </is>
      </c>
      <c r="L321" t="inlineStr">
        <is>
          <t>17 / 11</t>
        </is>
      </c>
      <c r="M321" s="5" t="n">
        <v>0.67</v>
      </c>
      <c r="N321" s="5" t="n">
        <v>0.61</v>
      </c>
    </row>
    <row r="322">
      <c r="A322" t="n">
        <v>321</v>
      </c>
      <c r="B322" t="n">
        <v>2015</v>
      </c>
      <c r="C322" t="inlineStr">
        <is>
          <t>Mikaëlla Jean-Bart</t>
        </is>
      </c>
      <c r="D322">
        <f>HYPERLINK("https://ota.tournamentsoftware.com/player-profile/5309814B-24E5-4F46-920F-74FD0DAF8C7D", "Link")</f>
        <v/>
      </c>
      <c r="E322" s="3" t="n">
        <v>218.826</v>
      </c>
      <c r="F322" s="4" t="n">
        <v>16</v>
      </c>
      <c r="G322" t="inlineStr">
        <is>
          <t>Tennis Québec</t>
        </is>
      </c>
      <c r="H322" t="inlineStr">
        <is>
          <t>Centre récréatif de Repentigny / Académie Tennis Momentum</t>
        </is>
      </c>
      <c r="I322" t="n">
        <v>34</v>
      </c>
      <c r="J322" s="4" t="n">
        <v>77</v>
      </c>
      <c r="K322" t="inlineStr">
        <is>
          <t>32 / 45</t>
        </is>
      </c>
      <c r="L322" t="inlineStr">
        <is>
          <t>15 / 17</t>
        </is>
      </c>
      <c r="M322" s="5" t="n">
        <v>0.42</v>
      </c>
      <c r="N322" s="5" t="n">
        <v>0.47</v>
      </c>
    </row>
    <row r="323">
      <c r="A323" t="n">
        <v>322</v>
      </c>
      <c r="B323" t="n">
        <v>2013</v>
      </c>
      <c r="C323" t="inlineStr">
        <is>
          <t>Helena Shengyi Chen</t>
        </is>
      </c>
      <c r="D323">
        <f>HYPERLINK("https://ota.tournamentsoftware.com/player-profile/097D6397-0826-4C15-948E-B983C1D748F4", "Link")</f>
        <v/>
      </c>
      <c r="E323" s="3" t="n">
        <v>218.438</v>
      </c>
      <c r="F323" s="4" t="n">
        <v>15</v>
      </c>
      <c r="G323" t="inlineStr">
        <is>
          <t>British Columbia</t>
        </is>
      </c>
      <c r="H323" t="inlineStr">
        <is>
          <t>Tennis BC Hub @ Richmond</t>
        </is>
      </c>
      <c r="I323" t="n">
        <v>32.8</v>
      </c>
      <c r="J323" s="4" t="n">
        <v>118</v>
      </c>
      <c r="K323" t="inlineStr">
        <is>
          <t>50 / 68</t>
        </is>
      </c>
      <c r="L323" t="inlineStr">
        <is>
          <t>13 / 17</t>
        </is>
      </c>
      <c r="M323" s="5" t="n">
        <v>0.42</v>
      </c>
      <c r="N323" s="5" t="n">
        <v>0.43</v>
      </c>
    </row>
    <row r="324">
      <c r="A324" t="n">
        <v>323</v>
      </c>
      <c r="B324" t="n">
        <v>2015</v>
      </c>
      <c r="C324" t="inlineStr">
        <is>
          <t>Kayla Chevez</t>
        </is>
      </c>
      <c r="D324">
        <f>HYPERLINK("https://ota.tournamentsoftware.com/player-profile/EE941149-B269-44AA-A65B-D00099EE4086", "Link")</f>
        <v/>
      </c>
      <c r="E324" s="3" t="n">
        <v>218.12</v>
      </c>
      <c r="F324" s="4" t="n">
        <v>28</v>
      </c>
      <c r="G324" t="inlineStr">
        <is>
          <t>Tennis Québec</t>
        </is>
      </c>
      <c r="H324" t="inlineStr">
        <is>
          <t>Tennis Montréal Excellence</t>
        </is>
      </c>
      <c r="I324" t="n">
        <v>33.8</v>
      </c>
      <c r="J324" s="4" t="n">
        <v>149</v>
      </c>
      <c r="K324" t="inlineStr">
        <is>
          <t>72 / 77</t>
        </is>
      </c>
      <c r="L324" t="inlineStr">
        <is>
          <t>21 / 26</t>
        </is>
      </c>
      <c r="M324" s="5" t="n">
        <v>0.48</v>
      </c>
      <c r="N324" s="5" t="n">
        <v>0.45</v>
      </c>
    </row>
    <row r="325">
      <c r="A325" t="n">
        <v>324</v>
      </c>
      <c r="B325" t="n">
        <v>2013</v>
      </c>
      <c r="C325" t="inlineStr">
        <is>
          <t>Alma Safinia</t>
        </is>
      </c>
      <c r="D325">
        <f>HYPERLINK("https://ota.tournamentsoftware.com/player-profile/5EF88718-BF69-42BC-A643-1C11174AD1CB", "Link")</f>
        <v/>
      </c>
      <c r="E325" s="3" t="n">
        <v>217.826</v>
      </c>
      <c r="F325" s="4" t="n">
        <v>2</v>
      </c>
      <c r="G325" t="inlineStr">
        <is>
          <t>Tennis Nova Scotia</t>
        </is>
      </c>
      <c r="H325" t="inlineStr">
        <is>
          <t>Atlantic Tennis Centre</t>
        </is>
      </c>
      <c r="I325" t="n">
        <v>33.9</v>
      </c>
      <c r="J325" s="4" t="n">
        <v>26</v>
      </c>
      <c r="K325" t="inlineStr">
        <is>
          <t>13 / 13</t>
        </is>
      </c>
      <c r="L325" t="inlineStr">
        <is>
          <t>2 / 5</t>
        </is>
      </c>
      <c r="M325" s="5" t="n">
        <v>0.5</v>
      </c>
      <c r="N325" s="5" t="n">
        <v>0.29</v>
      </c>
    </row>
    <row r="326">
      <c r="A326" t="n">
        <v>325</v>
      </c>
      <c r="B326" t="n">
        <v>2012</v>
      </c>
      <c r="C326" t="inlineStr">
        <is>
          <t>Clémence Martin</t>
        </is>
      </c>
      <c r="D326">
        <f>HYPERLINK("https://ota.tournamentsoftware.com/player-profile/CF2B02DD-EFB8-49FD-8774-B98F78A30C1A", "Link")</f>
        <v/>
      </c>
      <c r="E326" s="3" t="n">
        <v>216.993</v>
      </c>
      <c r="F326" s="4" t="n">
        <v>5</v>
      </c>
      <c r="G326" t="inlineStr">
        <is>
          <t>Tennis Québec</t>
        </is>
      </c>
      <c r="H326" t="inlineStr">
        <is>
          <t>Centre sportif Sport Scène / Élite Tennis Académie</t>
        </is>
      </c>
      <c r="I326" t="n">
        <v>31.2</v>
      </c>
      <c r="J326" s="4" t="n">
        <v>34</v>
      </c>
      <c r="K326" t="inlineStr">
        <is>
          <t>19 / 15</t>
        </is>
      </c>
      <c r="L326" t="inlineStr">
        <is>
          <t>5 / 5</t>
        </is>
      </c>
      <c r="M326" s="5" t="n">
        <v>0.5600000000000001</v>
      </c>
      <c r="N326" s="5" t="n">
        <v>0.5</v>
      </c>
    </row>
    <row r="327">
      <c r="A327" t="n">
        <v>326</v>
      </c>
      <c r="B327" t="n">
        <v>2015</v>
      </c>
      <c r="C327" t="inlineStr">
        <is>
          <t>Yasmine Maazouz</t>
        </is>
      </c>
      <c r="D327">
        <f>HYPERLINK("https://ota.tournamentsoftware.com/player-profile/004E04F8-71A7-4C1F-B42C-805F1590C456", "Link")</f>
        <v/>
      </c>
      <c r="E327" s="3" t="n">
        <v>215.212</v>
      </c>
      <c r="F327" s="4" t="n">
        <v>9</v>
      </c>
      <c r="G327" t="inlineStr">
        <is>
          <t>Tennis Québec</t>
        </is>
      </c>
      <c r="H327" t="inlineStr">
        <is>
          <t>Tennis Montréal Excellence</t>
        </is>
      </c>
      <c r="I327" t="n">
        <v>31.4</v>
      </c>
      <c r="J327" s="4" t="n">
        <v>116</v>
      </c>
      <c r="K327" t="inlineStr">
        <is>
          <t>69 / 47</t>
        </is>
      </c>
      <c r="L327" t="inlineStr">
        <is>
          <t>20 / 8</t>
        </is>
      </c>
      <c r="M327" s="5" t="n">
        <v>0.59</v>
      </c>
      <c r="N327" s="5" t="n">
        <v>0.71</v>
      </c>
    </row>
    <row r="328">
      <c r="A328" t="n">
        <v>327</v>
      </c>
      <c r="B328" t="n">
        <v>2015</v>
      </c>
      <c r="C328" t="inlineStr">
        <is>
          <t>Kiyara Dinuli Hinidumarachchi</t>
        </is>
      </c>
      <c r="D328">
        <f>HYPERLINK("https://ota.tournamentsoftware.com/player-profile/FD2638E4-B06D-478E-9F5A-FE51B9EC8DF8", "Link")</f>
        <v/>
      </c>
      <c r="E328" s="3" t="n">
        <v>213.037</v>
      </c>
      <c r="F328" s="4" t="n">
        <v>17</v>
      </c>
      <c r="G328" t="inlineStr">
        <is>
          <t>Ontario Tennis Association</t>
        </is>
      </c>
      <c r="H328" t="inlineStr">
        <is>
          <t>Sarnia Tennis Club</t>
        </is>
      </c>
      <c r="I328" t="inlineStr">
        <is>
          <t>unavailable</t>
        </is>
      </c>
      <c r="J328" s="4" t="n">
        <v>159</v>
      </c>
      <c r="K328" t="inlineStr">
        <is>
          <t>97 / 62</t>
        </is>
      </c>
      <c r="L328" t="inlineStr">
        <is>
          <t>12 / 16</t>
        </is>
      </c>
      <c r="M328" s="5" t="n">
        <v>0.61</v>
      </c>
      <c r="N328" s="5" t="n">
        <v>0.43</v>
      </c>
    </row>
    <row r="329">
      <c r="A329" t="n">
        <v>328</v>
      </c>
      <c r="B329" t="n">
        <v>2014</v>
      </c>
      <c r="C329" t="inlineStr">
        <is>
          <t>Esabel Liu</t>
        </is>
      </c>
      <c r="D329">
        <f>HYPERLINK("https://ota.tournamentsoftware.com/player-profile/03274A3B-556F-4321-880B-2AF255E6A817", "Link")</f>
        <v/>
      </c>
      <c r="E329" s="3" t="n">
        <v>212.86</v>
      </c>
      <c r="F329" s="4" t="n">
        <v>20</v>
      </c>
      <c r="G329" t="inlineStr">
        <is>
          <t>British Columbia</t>
        </is>
      </c>
      <c r="H329" t="inlineStr">
        <is>
          <t>North Vancouver Tennis Centre</t>
        </is>
      </c>
      <c r="I329" t="n">
        <v>30.5</v>
      </c>
      <c r="J329" s="4" t="n">
        <v>232</v>
      </c>
      <c r="K329" t="inlineStr">
        <is>
          <t>144 / 88</t>
        </is>
      </c>
      <c r="L329" t="inlineStr">
        <is>
          <t>36 / 22</t>
        </is>
      </c>
      <c r="M329" s="5" t="n">
        <v>0.62</v>
      </c>
      <c r="N329" s="5" t="n">
        <v>0.62</v>
      </c>
    </row>
    <row r="330">
      <c r="A330" t="n">
        <v>329</v>
      </c>
      <c r="B330" t="n">
        <v>2013</v>
      </c>
      <c r="C330" t="inlineStr">
        <is>
          <t>Sophie Pothel</t>
        </is>
      </c>
      <c r="D330">
        <f>HYPERLINK("https://ota.tournamentsoftware.com/player-profile/21DD6509-0C4D-4711-BEB0-DC2D198520FD", "Link")</f>
        <v/>
      </c>
      <c r="E330" s="3" t="n">
        <v>209.78</v>
      </c>
      <c r="F330" s="4" t="n">
        <v>18</v>
      </c>
      <c r="G330" t="inlineStr">
        <is>
          <t>Tennis Québec</t>
        </is>
      </c>
      <c r="H330" t="inlineStr">
        <is>
          <t>Tennis Ile- des- Soeurs</t>
        </is>
      </c>
      <c r="I330" t="inlineStr">
        <is>
          <t>unavailable</t>
        </is>
      </c>
      <c r="J330" s="4" t="n">
        <v>61</v>
      </c>
      <c r="K330" t="inlineStr">
        <is>
          <t>10 / 51</t>
        </is>
      </c>
      <c r="L330" t="inlineStr">
        <is>
          <t>5 / 19</t>
        </is>
      </c>
      <c r="M330" s="5" t="n">
        <v>0.16</v>
      </c>
      <c r="N330" s="5" t="n">
        <v>0.21</v>
      </c>
    </row>
    <row r="331">
      <c r="A331" t="n">
        <v>330</v>
      </c>
      <c r="B331" t="n">
        <v>2014</v>
      </c>
      <c r="C331" t="inlineStr">
        <is>
          <t>Payton Isabelle JOHNSTON</t>
        </is>
      </c>
      <c r="D331">
        <f>HYPERLINK("https://ota.tournamentsoftware.com/player-profile/30639279-6EB4-43A0-806A-9F7E6209EBA5", "Link")</f>
        <v/>
      </c>
      <c r="E331" s="3" t="n">
        <v>209.296</v>
      </c>
      <c r="F331" s="4" t="n">
        <v>13</v>
      </c>
      <c r="G331" t="inlineStr">
        <is>
          <t>Tennis Nova Scotia</t>
        </is>
      </c>
      <c r="H331" t="inlineStr">
        <is>
          <t>Gordon Hughes Tennis Club</t>
        </is>
      </c>
      <c r="I331" t="n">
        <v>34.3</v>
      </c>
      <c r="J331" s="4" t="n">
        <v>100</v>
      </c>
      <c r="K331" t="inlineStr">
        <is>
          <t>51 / 49</t>
        </is>
      </c>
      <c r="L331" t="inlineStr">
        <is>
          <t>20 / 23</t>
        </is>
      </c>
      <c r="M331" s="5" t="n">
        <v>0.51</v>
      </c>
      <c r="N331" s="5" t="n">
        <v>0.47</v>
      </c>
    </row>
    <row r="332">
      <c r="A332" t="n">
        <v>331</v>
      </c>
      <c r="B332" t="n">
        <v>2012</v>
      </c>
      <c r="C332" t="inlineStr">
        <is>
          <t>Ruoyu Wang</t>
        </is>
      </c>
      <c r="D332">
        <f>HYPERLINK("https://ota.tournamentsoftware.com/player-profile/BF1A51BB-FF4F-417F-AE41-0914B75C7FF1", "Link")</f>
        <v/>
      </c>
      <c r="E332" s="3" t="n">
        <v>206.594</v>
      </c>
      <c r="F332" s="4" t="n">
        <v>13</v>
      </c>
      <c r="G332" t="inlineStr">
        <is>
          <t>Tennis Québec</t>
        </is>
      </c>
      <c r="H332" t="inlineStr">
        <is>
          <t>Tennis 13</t>
        </is>
      </c>
      <c r="I332" t="inlineStr">
        <is>
          <t>unavailable</t>
        </is>
      </c>
      <c r="J332" s="4" t="n">
        <v>24</v>
      </c>
      <c r="K332" t="inlineStr">
        <is>
          <t>7 / 17</t>
        </is>
      </c>
      <c r="L332" t="inlineStr">
        <is>
          <t>6 / 11</t>
        </is>
      </c>
      <c r="M332" s="5" t="n">
        <v>0.29</v>
      </c>
      <c r="N332" s="5" t="n">
        <v>0.35</v>
      </c>
    </row>
    <row r="333">
      <c r="A333" t="n">
        <v>332</v>
      </c>
      <c r="B333" t="n">
        <v>2014</v>
      </c>
      <c r="C333" t="inlineStr">
        <is>
          <t>Vida Jeftic</t>
        </is>
      </c>
      <c r="D333">
        <f>HYPERLINK("https://ota.tournamentsoftware.com/player-profile/5A42C908-572E-4E42-A8CB-609FCF083DE9", "Link")</f>
        <v/>
      </c>
      <c r="E333" s="3" t="n">
        <v>206.56</v>
      </c>
      <c r="F333" s="4" t="n">
        <v>9</v>
      </c>
      <c r="G333" t="inlineStr">
        <is>
          <t>Ontario Tennis Association</t>
        </is>
      </c>
      <c r="H333" t="inlineStr">
        <is>
          <t>Parkside Tennis Club</t>
        </is>
      </c>
      <c r="I333" t="n">
        <v>30.8</v>
      </c>
      <c r="J333" s="4" t="n">
        <v>38</v>
      </c>
      <c r="K333" t="inlineStr">
        <is>
          <t>27 / 11</t>
        </is>
      </c>
      <c r="L333" t="inlineStr">
        <is>
          <t>11 / 4</t>
        </is>
      </c>
      <c r="M333" s="5" t="n">
        <v>0.71</v>
      </c>
      <c r="N333" s="5" t="n">
        <v>0.73</v>
      </c>
    </row>
    <row r="334">
      <c r="A334" t="n">
        <v>333</v>
      </c>
      <c r="B334" t="n">
        <v>2014</v>
      </c>
      <c r="C334" t="inlineStr">
        <is>
          <t>Qianqian (Dora) Zhang</t>
        </is>
      </c>
      <c r="D334">
        <f>HYPERLINK("https://ota.tournamentsoftware.com/player-profile/3772BD57-A73E-4652-86C8-E1885FE20DCF", "Link")</f>
        <v/>
      </c>
      <c r="E334" s="3" t="n">
        <v>205.59</v>
      </c>
      <c r="F334" s="4" t="n">
        <v>12</v>
      </c>
      <c r="G334" t="inlineStr">
        <is>
          <t>Ontario Tennis Association</t>
        </is>
      </c>
      <c r="H334" t="inlineStr">
        <is>
          <t>Toronto Tennis City</t>
        </is>
      </c>
      <c r="I334" t="n">
        <v>33.1</v>
      </c>
      <c r="J334" s="4" t="n">
        <v>50</v>
      </c>
      <c r="K334" t="inlineStr">
        <is>
          <t>36 / 14</t>
        </is>
      </c>
      <c r="L334" t="inlineStr">
        <is>
          <t>5 / 4</t>
        </is>
      </c>
      <c r="M334" s="5" t="n">
        <v>0.72</v>
      </c>
      <c r="N334" s="5" t="n">
        <v>0.5600000000000001</v>
      </c>
    </row>
    <row r="335">
      <c r="A335" t="n">
        <v>334</v>
      </c>
      <c r="B335" t="n">
        <v>2013</v>
      </c>
      <c r="C335" t="inlineStr">
        <is>
          <t>Ella Iva Mavretic</t>
        </is>
      </c>
      <c r="D335">
        <f>HYPERLINK("https://ota.tournamentsoftware.com/player-profile/CF99D041-FAEF-47A9-BBE6-3D6335355408", "Link")</f>
        <v/>
      </c>
      <c r="E335" s="3" t="n">
        <v>203.735</v>
      </c>
      <c r="F335" s="4" t="n">
        <v>11</v>
      </c>
      <c r="G335" t="inlineStr">
        <is>
          <t>Ontario Tennis Association</t>
        </is>
      </c>
      <c r="H335" t="inlineStr">
        <is>
          <t>Pinafore Park</t>
        </is>
      </c>
      <c r="I335" t="n">
        <v>34.7</v>
      </c>
      <c r="J335" s="4" t="n">
        <v>198</v>
      </c>
      <c r="K335" t="inlineStr">
        <is>
          <t>88 / 110</t>
        </is>
      </c>
      <c r="L335" t="inlineStr">
        <is>
          <t>4 / 6</t>
        </is>
      </c>
      <c r="M335" s="5" t="n">
        <v>0.44</v>
      </c>
      <c r="N335" s="5" t="n">
        <v>0.4</v>
      </c>
    </row>
    <row r="336">
      <c r="A336" t="n">
        <v>335</v>
      </c>
      <c r="B336" t="n">
        <v>2014</v>
      </c>
      <c r="C336" t="inlineStr">
        <is>
          <t>Freya Jiaxin He</t>
        </is>
      </c>
      <c r="D336">
        <f>HYPERLINK("https://ota.tournamentsoftware.com/player-profile/8C1C07F2-C769-4A85-8385-40B14C9CD709", "Link")</f>
        <v/>
      </c>
      <c r="E336" s="3" t="n">
        <v>203.592</v>
      </c>
      <c r="F336" s="4" t="n">
        <v>6</v>
      </c>
      <c r="G336" t="inlineStr">
        <is>
          <t>Tennis Prince Edward Island</t>
        </is>
      </c>
      <c r="H336" t="inlineStr">
        <is>
          <t>Charlottetown Recreation Tennis Group</t>
        </is>
      </c>
      <c r="I336" t="n">
        <v>31.9</v>
      </c>
      <c r="J336" s="4" t="n">
        <v>104</v>
      </c>
      <c r="K336" t="inlineStr">
        <is>
          <t>58 / 46</t>
        </is>
      </c>
      <c r="L336" t="inlineStr">
        <is>
          <t>19 / 7</t>
        </is>
      </c>
      <c r="M336" s="5" t="n">
        <v>0.5600000000000001</v>
      </c>
      <c r="N336" s="5" t="n">
        <v>0.73</v>
      </c>
    </row>
    <row r="337">
      <c r="A337" t="n">
        <v>336</v>
      </c>
      <c r="B337" t="n">
        <v>2012</v>
      </c>
      <c r="C337" t="inlineStr">
        <is>
          <t>Victoria Trempe</t>
        </is>
      </c>
      <c r="D337">
        <f>HYPERLINK("https://ota.tournamentsoftware.com/player-profile/90EB2857-D907-47BD-ABB6-AAED21876912", "Link")</f>
        <v/>
      </c>
      <c r="E337" s="3" t="n">
        <v>203.573</v>
      </c>
      <c r="F337" s="4" t="n">
        <v>8</v>
      </c>
      <c r="G337" t="inlineStr">
        <is>
          <t>Tennis Québec</t>
        </is>
      </c>
      <c r="H337" t="inlineStr">
        <is>
          <t>Club Sportif Côte-de-Liesse</t>
        </is>
      </c>
      <c r="I337" t="n">
        <v>34</v>
      </c>
      <c r="J337" s="4" t="n">
        <v>122</v>
      </c>
      <c r="K337" t="inlineStr">
        <is>
          <t>45 / 77</t>
        </is>
      </c>
      <c r="L337" t="inlineStr">
        <is>
          <t>2 / 4</t>
        </is>
      </c>
      <c r="M337" s="5" t="n">
        <v>0.37</v>
      </c>
      <c r="N337" s="5" t="n">
        <v>0.33</v>
      </c>
    </row>
    <row r="338">
      <c r="A338" t="n">
        <v>337</v>
      </c>
      <c r="B338" t="n">
        <v>2013</v>
      </c>
      <c r="C338" t="inlineStr">
        <is>
          <t>Annabelle Chen</t>
        </is>
      </c>
      <c r="D338">
        <f>HYPERLINK("https://ota.tournamentsoftware.com/player-profile/E532A343-867C-4B97-BCB3-998A28EC84A8", "Link")</f>
        <v/>
      </c>
      <c r="E338" s="3" t="n">
        <v>203.344</v>
      </c>
      <c r="F338" s="4" t="n">
        <v>7</v>
      </c>
      <c r="G338" t="inlineStr">
        <is>
          <t>British Columbia</t>
        </is>
      </c>
      <c r="H338" t="inlineStr">
        <is>
          <t>UBC Tennis Centre</t>
        </is>
      </c>
      <c r="I338" t="n">
        <v>31.9</v>
      </c>
      <c r="J338" s="4" t="n">
        <v>152</v>
      </c>
      <c r="K338" t="inlineStr">
        <is>
          <t>84 / 68</t>
        </is>
      </c>
      <c r="L338" t="inlineStr">
        <is>
          <t>0 / 4</t>
        </is>
      </c>
      <c r="M338" s="5" t="n">
        <v>0.55</v>
      </c>
      <c r="N338" s="5" t="n">
        <v>0</v>
      </c>
    </row>
    <row r="339">
      <c r="A339" t="n">
        <v>338</v>
      </c>
      <c r="B339" t="n">
        <v>2013</v>
      </c>
      <c r="C339" t="inlineStr">
        <is>
          <t>Alice Laganière</t>
        </is>
      </c>
      <c r="D339">
        <f>HYPERLINK("https://ota.tournamentsoftware.com/player-profile/C9532D29-EE9A-4084-ACB5-2DBCAD4DF862", "Link")</f>
        <v/>
      </c>
      <c r="E339" s="3" t="n">
        <v>202.685</v>
      </c>
      <c r="F339" s="4" t="n">
        <v>11</v>
      </c>
      <c r="G339" t="inlineStr">
        <is>
          <t>Tennis Québec</t>
        </is>
      </c>
      <c r="H339" t="inlineStr">
        <is>
          <t>Club de tennis intérieur Saguenay / École de tennis Delisle-Poirel</t>
        </is>
      </c>
      <c r="I339" t="n">
        <v>35</v>
      </c>
      <c r="J339" s="4" t="n">
        <v>41</v>
      </c>
      <c r="K339" t="inlineStr">
        <is>
          <t>13 / 28</t>
        </is>
      </c>
      <c r="L339" t="inlineStr">
        <is>
          <t>1 / 8</t>
        </is>
      </c>
      <c r="M339" s="5" t="n">
        <v>0.32</v>
      </c>
      <c r="N339" s="5" t="n">
        <v>0.11</v>
      </c>
    </row>
    <row r="340">
      <c r="A340" t="n">
        <v>339</v>
      </c>
      <c r="B340" t="n">
        <v>2013</v>
      </c>
      <c r="C340" t="inlineStr">
        <is>
          <t>Ophélia Carbonneau</t>
        </is>
      </c>
      <c r="D340">
        <f>HYPERLINK("https://ota.tournamentsoftware.com/player-profile/8B592B8F-8B82-48EF-9CDD-0CBA40EBB412", "Link")</f>
        <v/>
      </c>
      <c r="E340" s="3" t="n">
        <v>200.846</v>
      </c>
      <c r="F340" s="4" t="n">
        <v>17</v>
      </c>
      <c r="G340" t="inlineStr">
        <is>
          <t>Tennis Québec</t>
        </is>
      </c>
      <c r="H340" t="inlineStr">
        <is>
          <t>Tennis Interclub Piedmont</t>
        </is>
      </c>
      <c r="I340" t="n">
        <v>35.8</v>
      </c>
      <c r="J340" s="4" t="n">
        <v>109</v>
      </c>
      <c r="K340" t="inlineStr">
        <is>
          <t>31 / 78</t>
        </is>
      </c>
      <c r="L340" t="inlineStr">
        <is>
          <t>7 / 15</t>
        </is>
      </c>
      <c r="M340" s="5" t="n">
        <v>0.28</v>
      </c>
      <c r="N340" s="5" t="n">
        <v>0.32</v>
      </c>
    </row>
    <row r="341">
      <c r="A341" t="n">
        <v>340</v>
      </c>
      <c r="B341" t="n">
        <v>2014</v>
      </c>
      <c r="C341" t="inlineStr">
        <is>
          <t>Lana Kasumovic</t>
        </is>
      </c>
      <c r="D341">
        <f>HYPERLINK("https://ota.tournamentsoftware.com/player-profile/7F2BA85F-A3DF-40B8-9457-1DD55A7C11FB", "Link")</f>
        <v/>
      </c>
      <c r="E341" s="3" t="n">
        <v>200.268</v>
      </c>
      <c r="F341" s="4" t="n">
        <v>25</v>
      </c>
      <c r="G341" t="inlineStr">
        <is>
          <t>Ontario Tennis Association</t>
        </is>
      </c>
      <c r="H341" t="inlineStr">
        <is>
          <t>Rideau Sports Centre</t>
        </is>
      </c>
      <c r="I341" t="n">
        <v>33.7</v>
      </c>
      <c r="J341" s="4" t="n">
        <v>156</v>
      </c>
      <c r="K341" t="inlineStr">
        <is>
          <t>56 / 100</t>
        </is>
      </c>
      <c r="L341" t="inlineStr">
        <is>
          <t>30 / 25</t>
        </is>
      </c>
      <c r="M341" s="5" t="n">
        <v>0.36</v>
      </c>
      <c r="N341" s="5" t="n">
        <v>0.55</v>
      </c>
    </row>
    <row r="342">
      <c r="A342" t="n">
        <v>341</v>
      </c>
      <c r="B342" t="n">
        <v>2014</v>
      </c>
      <c r="C342" t="inlineStr">
        <is>
          <t>Mariah Jorge-Eman</t>
        </is>
      </c>
      <c r="D342">
        <f>HYPERLINK("https://ota.tournamentsoftware.com/player-profile/B6887B12-5A2B-48B9-8A94-164305BBBBBE", "Link")</f>
        <v/>
      </c>
      <c r="E342" s="3" t="n">
        <v>198.746</v>
      </c>
      <c r="F342" s="4" t="n">
        <v>20</v>
      </c>
      <c r="G342" t="inlineStr">
        <is>
          <t>Ontario Tennis Association</t>
        </is>
      </c>
      <c r="H342" t="inlineStr">
        <is>
          <t>Premier Racquet Clubs – Mississauga</t>
        </is>
      </c>
      <c r="I342" t="n">
        <v>33.6</v>
      </c>
      <c r="J342" s="4" t="n">
        <v>107</v>
      </c>
      <c r="K342" t="inlineStr">
        <is>
          <t>51 / 56</t>
        </is>
      </c>
      <c r="L342" t="inlineStr">
        <is>
          <t>18 / 16</t>
        </is>
      </c>
      <c r="M342" s="5" t="n">
        <v>0.48</v>
      </c>
      <c r="N342" s="5" t="n">
        <v>0.53</v>
      </c>
    </row>
    <row r="343">
      <c r="A343" t="n">
        <v>342</v>
      </c>
      <c r="B343" t="n">
        <v>2013</v>
      </c>
      <c r="C343" t="inlineStr">
        <is>
          <t>Eliza Willow Nguyen</t>
        </is>
      </c>
      <c r="D343">
        <f>HYPERLINK("https://ota.tournamentsoftware.com/player-profile/1A3AE60F-B4FB-4C4C-AE09-5D730884AC0A", "Link")</f>
        <v/>
      </c>
      <c r="E343" s="3" t="n">
        <v>198.067</v>
      </c>
      <c r="F343" s="4" t="n">
        <v>11</v>
      </c>
      <c r="G343" t="inlineStr">
        <is>
          <t>Tennis Alberta</t>
        </is>
      </c>
      <c r="H343" t="inlineStr">
        <is>
          <t>Saville Community Sports Centre</t>
        </is>
      </c>
      <c r="I343" t="n">
        <v>33.1</v>
      </c>
      <c r="J343" s="4" t="n">
        <v>143</v>
      </c>
      <c r="K343" t="inlineStr">
        <is>
          <t>66 / 77</t>
        </is>
      </c>
      <c r="L343" t="inlineStr">
        <is>
          <t>10 / 13</t>
        </is>
      </c>
      <c r="M343" s="5" t="n">
        <v>0.46</v>
      </c>
      <c r="N343" s="5" t="n">
        <v>0.43</v>
      </c>
    </row>
    <row r="344">
      <c r="A344" t="n">
        <v>343</v>
      </c>
      <c r="B344" t="n">
        <v>2014</v>
      </c>
      <c r="C344" t="inlineStr">
        <is>
          <t>Ella Meng</t>
        </is>
      </c>
      <c r="D344">
        <f>HYPERLINK("https://ota.tournamentsoftware.com/player-profile/B7EC0DBA-A6B8-49FA-A398-63ABEF8384E7", "Link")</f>
        <v/>
      </c>
      <c r="E344" s="3" t="n">
        <v>194.534</v>
      </c>
      <c r="F344" s="4" t="n">
        <v>13</v>
      </c>
      <c r="G344" t="inlineStr">
        <is>
          <t>Ontario Tennis Association</t>
        </is>
      </c>
      <c r="H344" t="inlineStr">
        <is>
          <t>Marilyn Redvers Tennis Club</t>
        </is>
      </c>
      <c r="I344" t="n">
        <v>33.7</v>
      </c>
      <c r="J344" s="4" t="n">
        <v>85</v>
      </c>
      <c r="K344" t="inlineStr">
        <is>
          <t>30 / 55</t>
        </is>
      </c>
      <c r="L344" t="inlineStr">
        <is>
          <t>11 / 13</t>
        </is>
      </c>
      <c r="M344" s="5" t="n">
        <v>0.35</v>
      </c>
      <c r="N344" s="5" t="n">
        <v>0.46</v>
      </c>
    </row>
    <row r="345">
      <c r="A345" t="n">
        <v>344</v>
      </c>
      <c r="B345" t="n">
        <v>2012</v>
      </c>
      <c r="C345" t="inlineStr">
        <is>
          <t>Carys Miles</t>
        </is>
      </c>
      <c r="D345">
        <f>HYPERLINK("https://ota.tournamentsoftware.com/player-profile/7FCFD8F6-5B52-4825-B8AA-B72BF77A3298", "Link")</f>
        <v/>
      </c>
      <c r="E345" s="3" t="n">
        <v>194.325</v>
      </c>
      <c r="F345" s="4" t="n">
        <v>14</v>
      </c>
      <c r="G345" t="inlineStr">
        <is>
          <t>Tennis Alberta</t>
        </is>
      </c>
      <c r="H345" t="inlineStr">
        <is>
          <t>Osten &amp; Victor Alberta Tennis Centre</t>
        </is>
      </c>
      <c r="I345" t="n">
        <v>31</v>
      </c>
      <c r="J345" s="4" t="n">
        <v>200</v>
      </c>
      <c r="K345" t="inlineStr">
        <is>
          <t>98 / 102</t>
        </is>
      </c>
      <c r="L345" t="inlineStr">
        <is>
          <t>4 / 9</t>
        </is>
      </c>
      <c r="M345" s="5" t="n">
        <v>0.49</v>
      </c>
      <c r="N345" s="5" t="n">
        <v>0.31</v>
      </c>
    </row>
    <row r="346">
      <c r="A346" t="n">
        <v>345</v>
      </c>
      <c r="B346" t="n">
        <v>2015</v>
      </c>
      <c r="C346" t="inlineStr">
        <is>
          <t>Emma Echeverri Vujicic</t>
        </is>
      </c>
      <c r="D346">
        <f>HYPERLINK("https://ota.tournamentsoftware.com/player-profile/644C3F8A-163C-4BEA-8EBD-9263F89347F9", "Link")</f>
        <v/>
      </c>
      <c r="E346" s="3" t="n">
        <v>194.237</v>
      </c>
      <c r="F346" s="4" t="n">
        <v>22</v>
      </c>
      <c r="G346" t="inlineStr">
        <is>
          <t>Ontario Tennis Association</t>
        </is>
      </c>
      <c r="H346" t="inlineStr">
        <is>
          <t>Mayfair West Fitness &amp; Racquet Club</t>
        </is>
      </c>
      <c r="I346" t="n">
        <v>33.6</v>
      </c>
      <c r="J346" s="4" t="n">
        <v>133</v>
      </c>
      <c r="K346" t="inlineStr">
        <is>
          <t>64 / 69</t>
        </is>
      </c>
      <c r="L346" t="inlineStr">
        <is>
          <t>25 / 15</t>
        </is>
      </c>
      <c r="M346" s="5" t="n">
        <v>0.48</v>
      </c>
      <c r="N346" s="5" t="n">
        <v>0.62</v>
      </c>
    </row>
    <row r="347">
      <c r="A347" t="n">
        <v>346</v>
      </c>
      <c r="B347" t="n">
        <v>2014</v>
      </c>
      <c r="C347" t="inlineStr">
        <is>
          <t>Nadia Stuparyk</t>
        </is>
      </c>
      <c r="D347">
        <f>HYPERLINK("https://ota.tournamentsoftware.com/player-profile/05ABA68F-2EB2-4BFB-B6CA-677BDD1DCDCA", "Link")</f>
        <v/>
      </c>
      <c r="E347" s="3" t="n">
        <v>193.255</v>
      </c>
      <c r="F347" s="4" t="n">
        <v>35</v>
      </c>
      <c r="G347" t="inlineStr">
        <is>
          <t>Ontario Tennis Association</t>
        </is>
      </c>
      <c r="H347" t="inlineStr">
        <is>
          <t>Parkside Tennis Club</t>
        </is>
      </c>
      <c r="I347" t="n">
        <v>32.8</v>
      </c>
      <c r="J347" s="4" t="n">
        <v>193</v>
      </c>
      <c r="K347" t="inlineStr">
        <is>
          <t>93 / 100</t>
        </is>
      </c>
      <c r="L347" t="inlineStr">
        <is>
          <t>28 / 24</t>
        </is>
      </c>
      <c r="M347" s="5" t="n">
        <v>0.48</v>
      </c>
      <c r="N347" s="5" t="n">
        <v>0.54</v>
      </c>
    </row>
    <row r="348">
      <c r="A348" t="n">
        <v>347</v>
      </c>
      <c r="B348" t="n">
        <v>2015</v>
      </c>
      <c r="C348" t="inlineStr">
        <is>
          <t>Isla J Green</t>
        </is>
      </c>
      <c r="D348">
        <f>HYPERLINK("https://ota.tournamentsoftware.com/player-profile/B2E098BE-DB7E-4756-BD31-93298500E09D", "Link")</f>
        <v/>
      </c>
      <c r="E348" s="3" t="n">
        <v>193.178</v>
      </c>
      <c r="F348" s="4" t="n">
        <v>30</v>
      </c>
      <c r="G348" t="inlineStr">
        <is>
          <t>Ontario Tennis Association</t>
        </is>
      </c>
      <c r="H348" t="inlineStr">
        <is>
          <t>Advantage Tennis International at Veneto</t>
        </is>
      </c>
      <c r="I348" t="n">
        <v>32.5</v>
      </c>
      <c r="J348" s="4" t="n">
        <v>259</v>
      </c>
      <c r="K348" t="inlineStr">
        <is>
          <t>173 / 86</t>
        </is>
      </c>
      <c r="L348" t="inlineStr">
        <is>
          <t>46 / 23</t>
        </is>
      </c>
      <c r="M348" s="5" t="n">
        <v>0.67</v>
      </c>
      <c r="N348" s="5" t="n">
        <v>0.67</v>
      </c>
    </row>
    <row r="349">
      <c r="A349" t="n">
        <v>348</v>
      </c>
      <c r="B349" t="n">
        <v>2014</v>
      </c>
      <c r="C349" t="inlineStr">
        <is>
          <t>Sahana Bath</t>
        </is>
      </c>
      <c r="D349">
        <f>HYPERLINK("https://ota.tournamentsoftware.com/player-profile/25E19F82-227F-4B69-8295-16AA8F4F207F", "Link")</f>
        <v/>
      </c>
      <c r="E349" s="3" t="n">
        <v>191.28</v>
      </c>
      <c r="F349" s="4" t="n">
        <v>24</v>
      </c>
      <c r="G349" t="inlineStr">
        <is>
          <t>British Columbia</t>
        </is>
      </c>
      <c r="H349" t="inlineStr">
        <is>
          <t>The Tennis Centre</t>
        </is>
      </c>
      <c r="I349" t="n">
        <v>30.9</v>
      </c>
      <c r="J349" s="4" t="n">
        <v>183</v>
      </c>
      <c r="K349" t="inlineStr">
        <is>
          <t>106 / 77</t>
        </is>
      </c>
      <c r="L349" t="inlineStr">
        <is>
          <t>51 / 24</t>
        </is>
      </c>
      <c r="M349" s="5" t="n">
        <v>0.58</v>
      </c>
      <c r="N349" s="5" t="n">
        <v>0.68</v>
      </c>
    </row>
    <row r="350">
      <c r="A350" t="n">
        <v>349</v>
      </c>
      <c r="B350" t="n">
        <v>2016</v>
      </c>
      <c r="C350" t="inlineStr">
        <is>
          <t>Emily Zheng</t>
        </is>
      </c>
      <c r="D350">
        <f>HYPERLINK("https://ota.tournamentsoftware.com/player-profile/6AB11A61-4852-4958-84E1-2773676D29C2", "Link")</f>
        <v/>
      </c>
      <c r="E350" s="3" t="n">
        <v>190.026</v>
      </c>
      <c r="F350" s="4" t="n">
        <v>25</v>
      </c>
      <c r="G350" t="inlineStr">
        <is>
          <t>Ontario Tennis Association</t>
        </is>
      </c>
      <c r="H350" t="inlineStr">
        <is>
          <t>Toronto Cricket Skating &amp; Curling</t>
        </is>
      </c>
      <c r="I350" t="n">
        <v>33</v>
      </c>
      <c r="J350" s="4" t="n">
        <v>110</v>
      </c>
      <c r="K350" t="inlineStr">
        <is>
          <t>45 / 65</t>
        </is>
      </c>
      <c r="L350" t="inlineStr">
        <is>
          <t>24 / 15</t>
        </is>
      </c>
      <c r="M350" s="5" t="n">
        <v>0.41</v>
      </c>
      <c r="N350" s="5" t="n">
        <v>0.62</v>
      </c>
    </row>
    <row r="351">
      <c r="A351" t="n">
        <v>350</v>
      </c>
      <c r="B351" t="n">
        <v>2012</v>
      </c>
      <c r="C351" t="inlineStr">
        <is>
          <t>GURMEHR KAUR</t>
        </is>
      </c>
      <c r="D351">
        <f>HYPERLINK("https://ota.tournamentsoftware.com/player-profile/2C69CAA6-FCC8-49BC-ACA2-32F5C15717ED", "Link")</f>
        <v/>
      </c>
      <c r="E351" s="3" t="n">
        <v>189.248</v>
      </c>
      <c r="F351" s="4" t="n">
        <v>19</v>
      </c>
      <c r="G351" t="inlineStr">
        <is>
          <t>British Columbia</t>
        </is>
      </c>
      <c r="H351" t="inlineStr">
        <is>
          <t>Newton Tennis Club</t>
        </is>
      </c>
      <c r="I351" t="n">
        <v>32.3</v>
      </c>
      <c r="J351" s="4" t="n">
        <v>180</v>
      </c>
      <c r="K351" t="inlineStr">
        <is>
          <t>78 / 102</t>
        </is>
      </c>
      <c r="L351" t="inlineStr">
        <is>
          <t>18 / 23</t>
        </is>
      </c>
      <c r="M351" s="5" t="n">
        <v>0.43</v>
      </c>
      <c r="N351" s="5" t="n">
        <v>0.44</v>
      </c>
    </row>
    <row r="352">
      <c r="A352" t="n">
        <v>351</v>
      </c>
      <c r="B352" t="n">
        <v>2015</v>
      </c>
      <c r="C352" t="inlineStr">
        <is>
          <t>Olivia Ormandy</t>
        </is>
      </c>
      <c r="D352">
        <f>HYPERLINK("https://ota.tournamentsoftware.com/player-profile/C2722647-7EFC-4E85-B2ED-55E77949843B", "Link")</f>
        <v/>
      </c>
      <c r="E352" s="3" t="n">
        <v>187.714</v>
      </c>
      <c r="F352" s="4" t="n">
        <v>25</v>
      </c>
      <c r="G352" t="inlineStr">
        <is>
          <t>Tennis Québec</t>
        </is>
      </c>
      <c r="H352" t="inlineStr">
        <is>
          <t>Tennis Interclub Piedmont</t>
        </is>
      </c>
      <c r="I352" t="n">
        <v>33.2</v>
      </c>
      <c r="J352" s="4" t="n">
        <v>198</v>
      </c>
      <c r="K352" t="inlineStr">
        <is>
          <t>98 / 100</t>
        </is>
      </c>
      <c r="L352" t="inlineStr">
        <is>
          <t>26 / 26</t>
        </is>
      </c>
      <c r="M352" s="5" t="n">
        <v>0.49</v>
      </c>
      <c r="N352" s="5" t="n">
        <v>0.5</v>
      </c>
    </row>
    <row r="353">
      <c r="A353" t="n">
        <v>352</v>
      </c>
      <c r="B353" t="n">
        <v>2013</v>
      </c>
      <c r="C353" t="inlineStr">
        <is>
          <t>Alysha Alexis</t>
        </is>
      </c>
      <c r="D353">
        <f>HYPERLINK("https://ota.tournamentsoftware.com/player-profile/42191CE6-0E1E-460D-80E0-9A7FF78DA6C6", "Link")</f>
        <v/>
      </c>
      <c r="E353" s="3" t="n">
        <v>185.03</v>
      </c>
      <c r="F353" s="4" t="n">
        <v>17</v>
      </c>
      <c r="G353" t="inlineStr">
        <is>
          <t>Tennis Québec</t>
        </is>
      </c>
      <c r="H353" t="inlineStr">
        <is>
          <t>Académie Tennis Momentum (club extérieur)</t>
        </is>
      </c>
      <c r="I353" t="n">
        <v>33.9</v>
      </c>
      <c r="J353" s="4" t="n">
        <v>68</v>
      </c>
      <c r="K353" t="inlineStr">
        <is>
          <t>32 / 36</t>
        </is>
      </c>
      <c r="L353" t="inlineStr">
        <is>
          <t>12 / 12</t>
        </is>
      </c>
      <c r="M353" s="5" t="n">
        <v>0.47</v>
      </c>
      <c r="N353" s="5" t="n">
        <v>0.5</v>
      </c>
    </row>
    <row r="354">
      <c r="A354" t="n">
        <v>353</v>
      </c>
      <c r="B354" t="n">
        <v>2014</v>
      </c>
      <c r="C354" t="inlineStr">
        <is>
          <t>Mila Alexandra Voros</t>
        </is>
      </c>
      <c r="D354">
        <f>HYPERLINK("https://ota.tournamentsoftware.com/player-profile/96155B79-5199-481D-8AF1-A174FA860401", "Link")</f>
        <v/>
      </c>
      <c r="E354" s="3" t="n">
        <v>184.412</v>
      </c>
      <c r="F354" s="4" t="n">
        <v>14</v>
      </c>
      <c r="G354" t="inlineStr">
        <is>
          <t>Ontario Tennis Association</t>
        </is>
      </c>
      <c r="H354" t="inlineStr">
        <is>
          <t>GSM Tennis Club</t>
        </is>
      </c>
      <c r="I354" t="n">
        <v>34.8</v>
      </c>
      <c r="J354" s="4" t="n">
        <v>138</v>
      </c>
      <c r="K354" t="inlineStr">
        <is>
          <t>58 / 80</t>
        </is>
      </c>
      <c r="L354" t="inlineStr">
        <is>
          <t>7 / 17</t>
        </is>
      </c>
      <c r="M354" s="5" t="n">
        <v>0.42</v>
      </c>
      <c r="N354" s="5" t="n">
        <v>0.29</v>
      </c>
    </row>
    <row r="355">
      <c r="A355" t="n">
        <v>354</v>
      </c>
      <c r="B355" t="n">
        <v>2014</v>
      </c>
      <c r="C355" t="inlineStr">
        <is>
          <t>Amelia Rogette Hinnawi</t>
        </is>
      </c>
      <c r="D355">
        <f>HYPERLINK("https://ota.tournamentsoftware.com/player-profile/1DADE780-E571-45F1-BC6D-21B72637C0B7", "Link")</f>
        <v/>
      </c>
      <c r="E355" s="3" t="n">
        <v>184.213</v>
      </c>
      <c r="F355" s="4" t="n">
        <v>21</v>
      </c>
      <c r="G355" t="inlineStr">
        <is>
          <t>Tennis Québec</t>
        </is>
      </c>
      <c r="H355" t="inlineStr">
        <is>
          <t>Tennis Ile- des- Soeurs</t>
        </is>
      </c>
      <c r="I355" t="inlineStr">
        <is>
          <t>unavailable</t>
        </is>
      </c>
      <c r="J355" s="4" t="n">
        <v>140</v>
      </c>
      <c r="K355" t="inlineStr">
        <is>
          <t>44 / 96</t>
        </is>
      </c>
      <c r="L355" t="inlineStr">
        <is>
          <t>12 / 21</t>
        </is>
      </c>
      <c r="M355" s="5" t="n">
        <v>0.31</v>
      </c>
      <c r="N355" s="5" t="n">
        <v>0.36</v>
      </c>
    </row>
    <row r="356">
      <c r="A356" t="n">
        <v>355</v>
      </c>
      <c r="B356" t="n">
        <v>2013</v>
      </c>
      <c r="C356" t="inlineStr">
        <is>
          <t>Kate Penalba</t>
        </is>
      </c>
      <c r="D356">
        <f>HYPERLINK("https://ota.tournamentsoftware.com/player-profile/C3F08CFB-765E-4234-8D01-16CB3E717037", "Link")</f>
        <v/>
      </c>
      <c r="E356" s="3" t="n">
        <v>182.596</v>
      </c>
      <c r="F356" s="4" t="n">
        <v>16</v>
      </c>
      <c r="G356" t="inlineStr">
        <is>
          <t>Ontario Tennis Association</t>
        </is>
      </c>
      <c r="H356" t="inlineStr">
        <is>
          <t>No Club</t>
        </is>
      </c>
      <c r="I356" t="n">
        <v>34.6</v>
      </c>
      <c r="J356" s="4" t="n">
        <v>133</v>
      </c>
      <c r="K356" t="inlineStr">
        <is>
          <t>53 / 80</t>
        </is>
      </c>
      <c r="L356" t="inlineStr">
        <is>
          <t>10 / 18</t>
        </is>
      </c>
      <c r="M356" s="5" t="n">
        <v>0.4</v>
      </c>
      <c r="N356" s="5" t="n">
        <v>0.36</v>
      </c>
    </row>
    <row r="357">
      <c r="A357" t="n">
        <v>356</v>
      </c>
      <c r="B357" t="n">
        <v>2013</v>
      </c>
      <c r="C357" t="inlineStr">
        <is>
          <t>Victoria Pellerin</t>
        </is>
      </c>
      <c r="D357">
        <f>HYPERLINK("https://ota.tournamentsoftware.com/player-profile/097573BE-64EA-4951-9B1B-3779B5938722", "Link")</f>
        <v/>
      </c>
      <c r="E357" s="3" t="n">
        <v>181.263</v>
      </c>
      <c r="F357" s="4" t="n">
        <v>15</v>
      </c>
      <c r="G357" t="inlineStr">
        <is>
          <t>Tennis Québec</t>
        </is>
      </c>
      <c r="H357" t="inlineStr">
        <is>
          <t>Centre récréatif de Repentigny / Académie Tennis Momentum</t>
        </is>
      </c>
      <c r="I357" t="n">
        <v>36.6</v>
      </c>
      <c r="J357" s="4" t="n">
        <v>58</v>
      </c>
      <c r="K357" t="inlineStr">
        <is>
          <t>16 / 42</t>
        </is>
      </c>
      <c r="L357" t="inlineStr">
        <is>
          <t>4 / 14</t>
        </is>
      </c>
      <c r="M357" s="5" t="n">
        <v>0.28</v>
      </c>
      <c r="N357" s="5" t="n">
        <v>0.22</v>
      </c>
    </row>
    <row r="358">
      <c r="A358" t="n">
        <v>357</v>
      </c>
      <c r="B358" t="n">
        <v>2012</v>
      </c>
      <c r="C358" t="inlineStr">
        <is>
          <t>Gabrielle Siewe Meliatou</t>
        </is>
      </c>
      <c r="D358">
        <f>HYPERLINK("https://ota.tournamentsoftware.com/player-profile/7E53A46A-6CF0-4DB8-9382-FCE1966714A8", "Link")</f>
        <v/>
      </c>
      <c r="E358" s="3" t="n">
        <v>179.968</v>
      </c>
      <c r="F358" s="4" t="n">
        <v>13</v>
      </c>
      <c r="G358" t="inlineStr">
        <is>
          <t>Tennis Québec</t>
        </is>
      </c>
      <c r="H358" t="inlineStr">
        <is>
          <t>SANI Sport</t>
        </is>
      </c>
      <c r="I358" t="n">
        <v>35.4</v>
      </c>
      <c r="J358" s="4" t="n">
        <v>78</v>
      </c>
      <c r="K358" t="inlineStr">
        <is>
          <t>24 / 54</t>
        </is>
      </c>
      <c r="L358" t="inlineStr">
        <is>
          <t>5 / 11</t>
        </is>
      </c>
      <c r="M358" s="5" t="n">
        <v>0.31</v>
      </c>
      <c r="N358" s="5" t="n">
        <v>0.31</v>
      </c>
    </row>
    <row r="359">
      <c r="A359" t="n">
        <v>358</v>
      </c>
      <c r="B359" t="n">
        <v>2015</v>
      </c>
      <c r="C359" t="inlineStr">
        <is>
          <t>Jesi Myra Kumaran</t>
        </is>
      </c>
      <c r="D359">
        <f>HYPERLINK("https://ota.tournamentsoftware.com/player-profile/8DE19A2A-095B-4432-92FE-7CA64D28B7F1", "Link")</f>
        <v/>
      </c>
      <c r="E359" s="3" t="n">
        <v>179.454</v>
      </c>
      <c r="F359" s="4" t="n">
        <v>30</v>
      </c>
      <c r="G359" t="inlineStr">
        <is>
          <t>Ontario Tennis Association</t>
        </is>
      </c>
      <c r="H359" t="inlineStr">
        <is>
          <t>Valan Tennis Academy</t>
        </is>
      </c>
      <c r="I359" t="n">
        <v>36.7</v>
      </c>
      <c r="J359" s="4" t="n">
        <v>196</v>
      </c>
      <c r="K359" t="inlineStr">
        <is>
          <t>69 / 127</t>
        </is>
      </c>
      <c r="L359" t="inlineStr">
        <is>
          <t>15 / 30</t>
        </is>
      </c>
      <c r="M359" s="5" t="n">
        <v>0.35</v>
      </c>
      <c r="N359" s="5" t="n">
        <v>0.33</v>
      </c>
    </row>
    <row r="360">
      <c r="A360" t="n">
        <v>359</v>
      </c>
      <c r="B360" t="n">
        <v>2015</v>
      </c>
      <c r="C360" t="inlineStr">
        <is>
          <t>Kynarra Tayt Burthwright</t>
        </is>
      </c>
      <c r="D360">
        <f>HYPERLINK("https://ota.tournamentsoftware.com/player-profile/54340729-CFE8-4AE6-B072-4BD29664CBEC", "Link")</f>
        <v/>
      </c>
      <c r="E360" s="3" t="n">
        <v>179.393</v>
      </c>
      <c r="F360" s="4" t="n">
        <v>28</v>
      </c>
      <c r="G360" t="inlineStr">
        <is>
          <t>Ontario Tennis Association</t>
        </is>
      </c>
      <c r="H360" t="inlineStr">
        <is>
          <t>Newmarket Community Tennis Club</t>
        </is>
      </c>
      <c r="I360" t="n">
        <v>34.5</v>
      </c>
      <c r="J360" s="4" t="n">
        <v>132</v>
      </c>
      <c r="K360" t="inlineStr">
        <is>
          <t>68 / 64</t>
        </is>
      </c>
      <c r="L360" t="inlineStr">
        <is>
          <t>31 / 31</t>
        </is>
      </c>
      <c r="M360" s="5" t="n">
        <v>0.52</v>
      </c>
      <c r="N360" s="5" t="n">
        <v>0.5</v>
      </c>
    </row>
    <row r="361">
      <c r="A361" t="n">
        <v>360</v>
      </c>
      <c r="B361" t="n">
        <v>2013</v>
      </c>
      <c r="C361" t="inlineStr">
        <is>
          <t>Ana Sofia Prieto Echandia</t>
        </is>
      </c>
      <c r="D361">
        <f>HYPERLINK("https://ota.tournamentsoftware.com/player-profile/0A98F660-17C5-4374-B63C-9B5B0E183AF0", "Link")</f>
        <v/>
      </c>
      <c r="E361" s="3" t="n">
        <v>178.675</v>
      </c>
      <c r="F361" s="4" t="n">
        <v>7</v>
      </c>
      <c r="G361" t="inlineStr">
        <is>
          <t>Tennis Québec</t>
        </is>
      </c>
      <c r="H361" t="inlineStr">
        <is>
          <t>Tennis Ile- des- Soeurs</t>
        </is>
      </c>
      <c r="I361" t="n">
        <v>32.1</v>
      </c>
      <c r="J361" s="4" t="n">
        <v>33</v>
      </c>
      <c r="K361" t="inlineStr">
        <is>
          <t>19 / 14</t>
        </is>
      </c>
      <c r="L361" t="inlineStr">
        <is>
          <t>2 / 6</t>
        </is>
      </c>
      <c r="M361" s="5" t="n">
        <v>0.58</v>
      </c>
      <c r="N361" s="5" t="n">
        <v>0.25</v>
      </c>
    </row>
    <row r="362">
      <c r="A362" t="n">
        <v>361</v>
      </c>
      <c r="B362" t="n">
        <v>2017</v>
      </c>
      <c r="C362" t="inlineStr">
        <is>
          <t>Ella Nicolaeva</t>
        </is>
      </c>
      <c r="D362">
        <f>HYPERLINK("https://ota.tournamentsoftware.com/player-profile/7A11DAF6-4353-49AB-8591-07AB86D11272", "Link")</f>
        <v/>
      </c>
      <c r="E362" s="3" t="n">
        <v>178.458</v>
      </c>
      <c r="F362" s="4" t="n">
        <v>41</v>
      </c>
      <c r="G362" t="inlineStr">
        <is>
          <t>Ontario Tennis Association</t>
        </is>
      </c>
      <c r="H362" t="inlineStr">
        <is>
          <t>Valan Tennis Academy</t>
        </is>
      </c>
      <c r="I362" t="n">
        <v>32.9</v>
      </c>
      <c r="J362" s="4" t="n">
        <v>195</v>
      </c>
      <c r="K362" t="inlineStr">
        <is>
          <t>135 / 60</t>
        </is>
      </c>
      <c r="L362" t="inlineStr">
        <is>
          <t>46 / 30</t>
        </is>
      </c>
      <c r="M362" s="5" t="n">
        <v>0.6899999999999999</v>
      </c>
      <c r="N362" s="5" t="n">
        <v>0.61</v>
      </c>
    </row>
    <row r="363">
      <c r="A363" t="n">
        <v>362</v>
      </c>
      <c r="B363" t="n">
        <v>2015</v>
      </c>
      <c r="C363" t="inlineStr">
        <is>
          <t>Brielle York</t>
        </is>
      </c>
      <c r="D363">
        <f>HYPERLINK("https://ota.tournamentsoftware.com/player-profile/C0B1A514-EDF7-4907-9E4D-D3B8C705EB1D", "Link")</f>
        <v/>
      </c>
      <c r="E363" s="3" t="n">
        <v>177.941</v>
      </c>
      <c r="F363" s="4" t="n">
        <v>14</v>
      </c>
      <c r="G363" t="inlineStr">
        <is>
          <t>Tennis Alberta</t>
        </is>
      </c>
      <c r="H363" t="inlineStr">
        <is>
          <t>Aforza</t>
        </is>
      </c>
      <c r="I363" t="n">
        <v>36.3</v>
      </c>
      <c r="J363" s="4" t="n">
        <v>144</v>
      </c>
      <c r="K363" t="inlineStr">
        <is>
          <t>68 / 76</t>
        </is>
      </c>
      <c r="L363" t="inlineStr">
        <is>
          <t>13 / 21</t>
        </is>
      </c>
      <c r="M363" s="5" t="n">
        <v>0.47</v>
      </c>
      <c r="N363" s="5" t="n">
        <v>0.38</v>
      </c>
    </row>
    <row r="364">
      <c r="A364" t="n">
        <v>363</v>
      </c>
      <c r="B364" t="n">
        <v>2014</v>
      </c>
      <c r="C364" t="inlineStr">
        <is>
          <t>Hunter Anne Wilkinson</t>
        </is>
      </c>
      <c r="D364">
        <f>HYPERLINK("https://ota.tournamentsoftware.com/player-profile/EB893DF0-DCAD-49C8-BAB9-0D044090A656", "Link")</f>
        <v/>
      </c>
      <c r="E364" s="3" t="n">
        <v>177.766</v>
      </c>
      <c r="F364" s="4" t="n">
        <v>19</v>
      </c>
      <c r="G364" t="inlineStr">
        <is>
          <t>Ontario Tennis Association</t>
        </is>
      </c>
      <c r="H364" t="inlineStr">
        <is>
          <t>GSM Tennis Club</t>
        </is>
      </c>
      <c r="I364" t="n">
        <v>34</v>
      </c>
      <c r="J364" s="4" t="n">
        <v>188</v>
      </c>
      <c r="K364" t="inlineStr">
        <is>
          <t>90 / 98</t>
        </is>
      </c>
      <c r="L364" t="inlineStr">
        <is>
          <t>13 / 15</t>
        </is>
      </c>
      <c r="M364" s="5" t="n">
        <v>0.48</v>
      </c>
      <c r="N364" s="5" t="n">
        <v>0.46</v>
      </c>
    </row>
    <row r="365">
      <c r="A365" t="n">
        <v>364</v>
      </c>
      <c r="B365" t="n">
        <v>2012</v>
      </c>
      <c r="C365" t="inlineStr">
        <is>
          <t>Sabrina Sajjad</t>
        </is>
      </c>
      <c r="D365">
        <f>HYPERLINK("https://ota.tournamentsoftware.com/player-profile/6C7EB560-0C6C-49E6-9B42-49009727ED3D", "Link")</f>
        <v/>
      </c>
      <c r="E365" s="3" t="n">
        <v>177.747</v>
      </c>
      <c r="F365" s="4" t="n">
        <v>15</v>
      </c>
      <c r="G365" t="inlineStr">
        <is>
          <t>Ontario Tennis Association</t>
        </is>
      </c>
      <c r="H365" t="inlineStr">
        <is>
          <t>No Club</t>
        </is>
      </c>
      <c r="I365" t="n">
        <v>34.1</v>
      </c>
      <c r="J365" s="4" t="n">
        <v>71</v>
      </c>
      <c r="K365" t="inlineStr">
        <is>
          <t>36 / 35</t>
        </is>
      </c>
      <c r="L365" t="inlineStr">
        <is>
          <t>9 / 11</t>
        </is>
      </c>
      <c r="M365" s="5" t="n">
        <v>0.51</v>
      </c>
      <c r="N365" s="5" t="n">
        <v>0.45</v>
      </c>
    </row>
    <row r="366">
      <c r="A366" t="n">
        <v>365</v>
      </c>
      <c r="B366" t="n">
        <v>2013</v>
      </c>
      <c r="C366" t="inlineStr">
        <is>
          <t>Renée Jugalbot</t>
        </is>
      </c>
      <c r="D366">
        <f>HYPERLINK("https://ota.tournamentsoftware.com/player-profile/A487A79B-AB42-4314-BD75-6EFD99F64BC7", "Link")</f>
        <v/>
      </c>
      <c r="E366" s="3" t="n">
        <v>176.744</v>
      </c>
      <c r="F366" s="4" t="n">
        <v>27</v>
      </c>
      <c r="G366" t="inlineStr">
        <is>
          <t>Ontario Tennis Association</t>
        </is>
      </c>
      <c r="H366" t="inlineStr">
        <is>
          <t>Rosedale Tennis Club (Hamilton)</t>
        </is>
      </c>
      <c r="I366" t="n">
        <v>35.8</v>
      </c>
      <c r="J366" s="4" t="n">
        <v>92</v>
      </c>
      <c r="K366" t="inlineStr">
        <is>
          <t>37 / 55</t>
        </is>
      </c>
      <c r="L366" t="inlineStr">
        <is>
          <t>19 / 28</t>
        </is>
      </c>
      <c r="M366" s="5" t="n">
        <v>0.4</v>
      </c>
      <c r="N366" s="5" t="n">
        <v>0.4</v>
      </c>
    </row>
    <row r="367">
      <c r="A367" t="n">
        <v>366</v>
      </c>
      <c r="B367" t="n">
        <v>2012</v>
      </c>
      <c r="C367" t="inlineStr">
        <is>
          <t>Charlianne Grace Kiss</t>
        </is>
      </c>
      <c r="D367">
        <f>HYPERLINK("https://ota.tournamentsoftware.com/player-profile/09C918D2-187B-42AF-836D-E31A35062CB3", "Link")</f>
        <v/>
      </c>
      <c r="E367" s="3" t="n">
        <v>176.12</v>
      </c>
      <c r="F367" s="4" t="n">
        <v>10</v>
      </c>
      <c r="G367" t="inlineStr">
        <is>
          <t>Tennis Alberta</t>
        </is>
      </c>
      <c r="H367" t="inlineStr">
        <is>
          <t>Saville Community Sports Centre</t>
        </is>
      </c>
      <c r="I367" t="n">
        <v>35.4</v>
      </c>
      <c r="J367" s="4" t="n">
        <v>75</v>
      </c>
      <c r="K367" t="inlineStr">
        <is>
          <t>28 / 47</t>
        </is>
      </c>
      <c r="L367" t="inlineStr">
        <is>
          <t>10 / 17</t>
        </is>
      </c>
      <c r="M367" s="5" t="n">
        <v>0.37</v>
      </c>
      <c r="N367" s="5" t="n">
        <v>0.37</v>
      </c>
    </row>
    <row r="368">
      <c r="A368" t="n">
        <v>367</v>
      </c>
      <c r="B368" t="n">
        <v>2012</v>
      </c>
      <c r="C368" t="inlineStr">
        <is>
          <t>Angelica Rose Spyrka</t>
        </is>
      </c>
      <c r="D368">
        <f>HYPERLINK("https://ota.tournamentsoftware.com/player-profile/7A8F99DB-3ADA-4FDB-AC08-5095AAF01985", "Link")</f>
        <v/>
      </c>
      <c r="E368" s="3" t="n">
        <v>173.417</v>
      </c>
      <c r="F368" s="4" t="n">
        <v>11</v>
      </c>
      <c r="G368" t="inlineStr">
        <is>
          <t>British Columbia</t>
        </is>
      </c>
      <c r="H368" t="inlineStr">
        <is>
          <t>Vanguard Tennis Academy</t>
        </is>
      </c>
      <c r="I368" t="n">
        <v>33.3</v>
      </c>
      <c r="J368" s="4" t="n">
        <v>74</v>
      </c>
      <c r="K368" t="inlineStr">
        <is>
          <t>32 / 42</t>
        </is>
      </c>
      <c r="L368" t="inlineStr">
        <is>
          <t>6 / 10</t>
        </is>
      </c>
      <c r="M368" s="5" t="n">
        <v>0.43</v>
      </c>
      <c r="N368" s="5" t="n">
        <v>0.38</v>
      </c>
    </row>
    <row r="369">
      <c r="A369" t="n">
        <v>368</v>
      </c>
      <c r="B369" t="n">
        <v>2017</v>
      </c>
      <c r="C369" t="inlineStr">
        <is>
          <t>Nalayah Smith</t>
        </is>
      </c>
      <c r="D369">
        <f>HYPERLINK("https://ota.tournamentsoftware.com/player-profile/6F913BA8-58BB-4BEE-9CA1-8E064E1332B8", "Link")</f>
        <v/>
      </c>
      <c r="E369" s="3" t="n">
        <v>173.154</v>
      </c>
      <c r="F369" s="4" t="n">
        <v>23</v>
      </c>
      <c r="G369" t="inlineStr">
        <is>
          <t>Ontario Tennis Association</t>
        </is>
      </c>
      <c r="H369" t="inlineStr">
        <is>
          <t>SmartVMC Racquetsports by ACE</t>
        </is>
      </c>
      <c r="I369" t="n">
        <v>32.6</v>
      </c>
      <c r="J369" s="4" t="n">
        <v>141</v>
      </c>
      <c r="K369" t="inlineStr">
        <is>
          <t>93 / 48</t>
        </is>
      </c>
      <c r="L369" t="inlineStr">
        <is>
          <t>38 / 15</t>
        </is>
      </c>
      <c r="M369" s="5" t="n">
        <v>0.66</v>
      </c>
      <c r="N369" s="5" t="n">
        <v>0.72</v>
      </c>
    </row>
    <row r="370">
      <c r="A370" t="n">
        <v>369</v>
      </c>
      <c r="B370" t="n">
        <v>2012</v>
      </c>
      <c r="C370" t="inlineStr">
        <is>
          <t>Riley Lynn Banath</t>
        </is>
      </c>
      <c r="D370">
        <f>HYPERLINK("https://ota.tournamentsoftware.com/player-profile/4B613A1C-293C-4701-B6BA-BEC5F8EBDA29", "Link")</f>
        <v/>
      </c>
      <c r="E370" s="3" t="n">
        <v>173.105</v>
      </c>
      <c r="F370" s="4" t="n">
        <v>14</v>
      </c>
      <c r="G370" t="inlineStr">
        <is>
          <t>British Columbia</t>
        </is>
      </c>
      <c r="H370" t="inlineStr">
        <is>
          <t>Arbutus Club</t>
        </is>
      </c>
      <c r="I370" t="n">
        <v>36.5</v>
      </c>
      <c r="J370" s="4" t="n">
        <v>46</v>
      </c>
      <c r="K370" t="inlineStr">
        <is>
          <t>10 / 36</t>
        </is>
      </c>
      <c r="L370" t="inlineStr">
        <is>
          <t>6 / 21</t>
        </is>
      </c>
      <c r="M370" s="5" t="n">
        <v>0.22</v>
      </c>
      <c r="N370" s="5" t="n">
        <v>0.22</v>
      </c>
    </row>
    <row r="371">
      <c r="A371" t="n">
        <v>370</v>
      </c>
      <c r="B371" t="n">
        <v>2012</v>
      </c>
      <c r="C371" t="inlineStr">
        <is>
          <t>Amelia Jee</t>
        </is>
      </c>
      <c r="D371">
        <f>HYPERLINK("https://ota.tournamentsoftware.com/player-profile/485EA829-3893-4703-AF9A-1CF8D304CE5D", "Link")</f>
        <v/>
      </c>
      <c r="E371" s="3" t="n">
        <v>173.084</v>
      </c>
      <c r="F371" s="4" t="n">
        <v>11</v>
      </c>
      <c r="G371" t="inlineStr">
        <is>
          <t>Ontario Tennis Association</t>
        </is>
      </c>
      <c r="H371" t="inlineStr">
        <is>
          <t>Toronto Cricket Skating &amp; Curling</t>
        </is>
      </c>
      <c r="I371" t="n">
        <v>32.8</v>
      </c>
      <c r="J371" s="4" t="n">
        <v>125</v>
      </c>
      <c r="K371" t="inlineStr">
        <is>
          <t>53 / 72</t>
        </is>
      </c>
      <c r="L371" t="inlineStr">
        <is>
          <t>11 / 13</t>
        </is>
      </c>
      <c r="M371" s="5" t="n">
        <v>0.42</v>
      </c>
      <c r="N371" s="5" t="n">
        <v>0.46</v>
      </c>
    </row>
    <row r="372">
      <c r="A372" t="n">
        <v>371</v>
      </c>
      <c r="B372" t="n">
        <v>2013</v>
      </c>
      <c r="C372" t="inlineStr">
        <is>
          <t>Eva Eile</t>
        </is>
      </c>
      <c r="D372">
        <f>HYPERLINK("https://ota.tournamentsoftware.com/player-profile/EE5E7036-3979-48DF-A095-8C40584653EF", "Link")</f>
        <v/>
      </c>
      <c r="E372" s="3" t="n">
        <v>172.661</v>
      </c>
      <c r="F372" s="4" t="n">
        <v>16</v>
      </c>
      <c r="G372" t="inlineStr">
        <is>
          <t>Tennis Québec</t>
        </is>
      </c>
      <c r="H372" t="inlineStr">
        <is>
          <t>Midtown Le Sporting Club Sanctuaire</t>
        </is>
      </c>
      <c r="I372" t="n">
        <v>39.1</v>
      </c>
      <c r="J372" s="4" t="n">
        <v>28</v>
      </c>
      <c r="K372" t="inlineStr">
        <is>
          <t>3 / 25</t>
        </is>
      </c>
      <c r="L372" t="inlineStr">
        <is>
          <t>0 / 14</t>
        </is>
      </c>
      <c r="M372" s="5" t="n">
        <v>0.11</v>
      </c>
      <c r="N372" s="5" t="n">
        <v>0</v>
      </c>
    </row>
    <row r="373">
      <c r="A373" t="n">
        <v>372</v>
      </c>
      <c r="B373" t="n">
        <v>2013</v>
      </c>
      <c r="C373" t="inlineStr">
        <is>
          <t>Diya Vasudeva</t>
        </is>
      </c>
      <c r="D373">
        <f>HYPERLINK("https://ota.tournamentsoftware.com/player-profile/81C22EEF-F10A-4447-AF45-2B9B6D1A7F5B", "Link")</f>
        <v/>
      </c>
      <c r="E373" s="3" t="n">
        <v>171.328</v>
      </c>
      <c r="F373" s="4" t="n">
        <v>10</v>
      </c>
      <c r="G373" t="inlineStr">
        <is>
          <t>Ontario Tennis Association</t>
        </is>
      </c>
      <c r="H373" t="inlineStr">
        <is>
          <t>ACE Tennis - Burlington</t>
        </is>
      </c>
      <c r="I373" t="n">
        <v>36.4</v>
      </c>
      <c r="J373" s="4" t="n">
        <v>100</v>
      </c>
      <c r="K373" t="inlineStr">
        <is>
          <t>34 / 66</t>
        </is>
      </c>
      <c r="L373" t="inlineStr">
        <is>
          <t>5 / 11</t>
        </is>
      </c>
      <c r="M373" s="5" t="n">
        <v>0.34</v>
      </c>
      <c r="N373" s="5" t="n">
        <v>0.31</v>
      </c>
    </row>
    <row r="374">
      <c r="A374" t="n">
        <v>373</v>
      </c>
      <c r="B374" t="n">
        <v>2015</v>
      </c>
      <c r="C374" t="inlineStr">
        <is>
          <t>Ruichu Rachel Piao</t>
        </is>
      </c>
      <c r="D374">
        <f>HYPERLINK("https://ota.tournamentsoftware.com/player-profile/13F65932-C96D-4F89-B571-4AA7315B2EEB", "Link")</f>
        <v/>
      </c>
      <c r="E374" s="3" t="n">
        <v>170.967</v>
      </c>
      <c r="F374" s="4" t="n">
        <v>14</v>
      </c>
      <c r="G374" t="inlineStr">
        <is>
          <t>Tennis Québec</t>
        </is>
      </c>
      <c r="H374" t="inlineStr">
        <is>
          <t>Tennis Ile- des- Soeurs</t>
        </is>
      </c>
      <c r="I374" t="inlineStr">
        <is>
          <t>unavailable</t>
        </is>
      </c>
      <c r="J374" s="4" t="n">
        <v>78</v>
      </c>
      <c r="K374" t="inlineStr">
        <is>
          <t>36 / 42</t>
        </is>
      </c>
      <c r="L374" t="inlineStr">
        <is>
          <t>8 / 13</t>
        </is>
      </c>
      <c r="M374" s="5" t="n">
        <v>0.46</v>
      </c>
      <c r="N374" s="5" t="n">
        <v>0.38</v>
      </c>
    </row>
    <row r="375">
      <c r="A375" t="n">
        <v>374</v>
      </c>
      <c r="B375" t="n">
        <v>2016</v>
      </c>
      <c r="C375" t="inlineStr">
        <is>
          <t>Dorothy Ning</t>
        </is>
      </c>
      <c r="D375">
        <f>HYPERLINK("https://ota.tournamentsoftware.com/player-profile/15BEDAE4-AB73-4AE9-B466-BA81BCA77DB1", "Link")</f>
        <v/>
      </c>
      <c r="E375" s="3" t="n">
        <v>170.864</v>
      </c>
      <c r="F375" s="4" t="n">
        <v>23</v>
      </c>
      <c r="G375" t="inlineStr">
        <is>
          <t>Ontario Tennis Association</t>
        </is>
      </c>
      <c r="H375" t="inlineStr">
        <is>
          <t>Toronto Tennis Academy</t>
        </is>
      </c>
      <c r="I375" t="inlineStr">
        <is>
          <t>unavailable</t>
        </is>
      </c>
      <c r="J375" s="4" t="n">
        <v>156</v>
      </c>
      <c r="K375" t="inlineStr">
        <is>
          <t>83 / 73</t>
        </is>
      </c>
      <c r="L375" t="inlineStr">
        <is>
          <t>24 / 18</t>
        </is>
      </c>
      <c r="M375" s="5" t="n">
        <v>0.53</v>
      </c>
      <c r="N375" s="5" t="n">
        <v>0.57</v>
      </c>
    </row>
    <row r="376">
      <c r="A376" t="n">
        <v>375</v>
      </c>
      <c r="B376" t="n">
        <v>2015</v>
      </c>
      <c r="C376" t="inlineStr">
        <is>
          <t>Adelaide Mossop</t>
        </is>
      </c>
      <c r="D376">
        <f>HYPERLINK("https://ota.tournamentsoftware.com/player-profile/0BA4F4DB-3133-41DE-9EE3-39EB4A609399", "Link")</f>
        <v/>
      </c>
      <c r="E376" s="3" t="n">
        <v>170.614</v>
      </c>
      <c r="F376" s="4" t="n">
        <v>13</v>
      </c>
      <c r="G376" t="inlineStr">
        <is>
          <t>Tennis Nova Scotia</t>
        </is>
      </c>
      <c r="H376" t="inlineStr">
        <is>
          <t>Atlantic Tennis Centre</t>
        </is>
      </c>
      <c r="I376" t="n">
        <v>36.1</v>
      </c>
      <c r="J376" s="4" t="n">
        <v>167</v>
      </c>
      <c r="K376" t="inlineStr">
        <is>
          <t>68 / 99</t>
        </is>
      </c>
      <c r="L376" t="inlineStr">
        <is>
          <t>17 / 26</t>
        </is>
      </c>
      <c r="M376" s="5" t="n">
        <v>0.41</v>
      </c>
      <c r="N376" s="5" t="n">
        <v>0.4</v>
      </c>
    </row>
    <row r="377">
      <c r="A377" t="n">
        <v>376</v>
      </c>
      <c r="B377" t="n">
        <v>2016</v>
      </c>
      <c r="C377" t="inlineStr">
        <is>
          <t>Amaranna Ugwunze</t>
        </is>
      </c>
      <c r="D377">
        <f>HYPERLINK("https://ota.tournamentsoftware.com/player-profile/2C6CBEBE-C5D2-4EC5-B283-CB703335834E", "Link")</f>
        <v/>
      </c>
      <c r="E377" s="3" t="n">
        <v>170.064</v>
      </c>
      <c r="F377" s="4" t="n">
        <v>21</v>
      </c>
      <c r="G377" t="inlineStr">
        <is>
          <t>Ontario Tennis Association</t>
        </is>
      </c>
      <c r="H377" t="inlineStr">
        <is>
          <t>Ontario Racquet Club</t>
        </is>
      </c>
      <c r="I377" t="n">
        <v>34.1</v>
      </c>
      <c r="J377" s="4" t="n">
        <v>95</v>
      </c>
      <c r="K377" t="inlineStr">
        <is>
          <t>49 / 46</t>
        </is>
      </c>
      <c r="L377" t="inlineStr">
        <is>
          <t>25 / 18</t>
        </is>
      </c>
      <c r="M377" s="5" t="n">
        <v>0.52</v>
      </c>
      <c r="N377" s="5" t="n">
        <v>0.58</v>
      </c>
    </row>
    <row r="378">
      <c r="A378" t="n">
        <v>377</v>
      </c>
      <c r="B378" t="n">
        <v>2015</v>
      </c>
      <c r="C378" t="inlineStr">
        <is>
          <t>Allison Penev</t>
        </is>
      </c>
      <c r="D378">
        <f>HYPERLINK("https://ota.tournamentsoftware.com/player-profile/C34C7D86-0233-454A-9C07-62AD41AF32CE", "Link")</f>
        <v/>
      </c>
      <c r="E378" s="3" t="n">
        <v>169.413</v>
      </c>
      <c r="F378" s="4" t="n">
        <v>20</v>
      </c>
      <c r="G378" t="inlineStr">
        <is>
          <t>Tennis Québec</t>
        </is>
      </c>
      <c r="H378" t="inlineStr">
        <is>
          <t>Carrefour Multisports</t>
        </is>
      </c>
      <c r="I378" t="n">
        <v>35.9</v>
      </c>
      <c r="J378" s="4" t="n">
        <v>156</v>
      </c>
      <c r="K378" t="inlineStr">
        <is>
          <t>66 / 90</t>
        </is>
      </c>
      <c r="L378" t="inlineStr">
        <is>
          <t>8 / 20</t>
        </is>
      </c>
      <c r="M378" s="5" t="n">
        <v>0.42</v>
      </c>
      <c r="N378" s="5" t="n">
        <v>0.29</v>
      </c>
    </row>
    <row r="379">
      <c r="A379" t="n">
        <v>378</v>
      </c>
      <c r="B379" t="n">
        <v>2014</v>
      </c>
      <c r="C379" t="inlineStr">
        <is>
          <t>Alexandra Strgacic</t>
        </is>
      </c>
      <c r="D379">
        <f>HYPERLINK("https://ota.tournamentsoftware.com/player-profile/C809B120-C1B7-4F85-B411-257E3DC9B63B", "Link")</f>
        <v/>
      </c>
      <c r="E379" s="3" t="n">
        <v>168.42</v>
      </c>
      <c r="F379" s="4" t="n">
        <v>5</v>
      </c>
      <c r="G379" t="inlineStr">
        <is>
          <t>Ontario Tennis Association</t>
        </is>
      </c>
      <c r="H379" t="inlineStr">
        <is>
          <t>Advantage Tennis International at Veneto</t>
        </is>
      </c>
      <c r="I379" t="n">
        <v>33.5</v>
      </c>
      <c r="J379" s="4" t="n">
        <v>165</v>
      </c>
      <c r="K379" t="inlineStr">
        <is>
          <t>96 / 69</t>
        </is>
      </c>
      <c r="L379" t="inlineStr">
        <is>
          <t>3 / 5</t>
        </is>
      </c>
      <c r="M379" s="5" t="n">
        <v>0.58</v>
      </c>
      <c r="N379" s="5" t="n">
        <v>0.38</v>
      </c>
    </row>
    <row r="380">
      <c r="A380" t="n">
        <v>379</v>
      </c>
      <c r="B380" t="n">
        <v>2015</v>
      </c>
      <c r="C380" t="inlineStr">
        <is>
          <t>Nora Firoozi</t>
        </is>
      </c>
      <c r="D380">
        <f>HYPERLINK("https://ota.tournamentsoftware.com/player-profile/328F4CA8-B72D-4F94-9BB6-3F666B5E0706", "Link")</f>
        <v/>
      </c>
      <c r="E380" s="3" t="n">
        <v>167.643</v>
      </c>
      <c r="F380" s="4" t="n">
        <v>18</v>
      </c>
      <c r="G380" t="inlineStr">
        <is>
          <t>British Columbia</t>
        </is>
      </c>
      <c r="H380" t="inlineStr">
        <is>
          <t>North Vancouver Tennis Centre</t>
        </is>
      </c>
      <c r="I380" t="n">
        <v>33.3</v>
      </c>
      <c r="J380" s="4" t="n">
        <v>168</v>
      </c>
      <c r="K380" t="inlineStr">
        <is>
          <t>83 / 85</t>
        </is>
      </c>
      <c r="L380" t="inlineStr">
        <is>
          <t>17 / 19</t>
        </is>
      </c>
      <c r="M380" s="5" t="n">
        <v>0.49</v>
      </c>
      <c r="N380" s="5" t="n">
        <v>0.47</v>
      </c>
    </row>
    <row r="381">
      <c r="A381" t="n">
        <v>380</v>
      </c>
      <c r="B381" t="n">
        <v>2012</v>
      </c>
      <c r="C381" t="inlineStr">
        <is>
          <t>Naomi Lucy McCrank</t>
        </is>
      </c>
      <c r="D381">
        <f>HYPERLINK("https://ota.tournamentsoftware.com/player-profile/68E80EA0-3999-4449-8E0B-83CC30E1EF77", "Link")</f>
        <v/>
      </c>
      <c r="E381" s="3" t="n">
        <v>166.417</v>
      </c>
      <c r="F381" s="4" t="n">
        <v>13</v>
      </c>
      <c r="G381" t="inlineStr">
        <is>
          <t>Tennis Alberta</t>
        </is>
      </c>
      <c r="H381" t="inlineStr">
        <is>
          <t>Aforza</t>
        </is>
      </c>
      <c r="I381" t="n">
        <v>33.5</v>
      </c>
      <c r="J381" s="4" t="n">
        <v>80</v>
      </c>
      <c r="K381" t="inlineStr">
        <is>
          <t>24 / 56</t>
        </is>
      </c>
      <c r="L381" t="inlineStr">
        <is>
          <t>8 / 11</t>
        </is>
      </c>
      <c r="M381" s="5" t="n">
        <v>0.3</v>
      </c>
      <c r="N381" s="5" t="n">
        <v>0.42</v>
      </c>
    </row>
    <row r="382">
      <c r="A382" t="n">
        <v>381</v>
      </c>
      <c r="B382" t="n">
        <v>2014</v>
      </c>
      <c r="C382" t="inlineStr">
        <is>
          <t>Grace Li</t>
        </is>
      </c>
      <c r="D382">
        <f>HYPERLINK("https://ota.tournamentsoftware.com/player-profile/5B95D38D-7E3D-4B41-B418-6B2307ED0863", "Link")</f>
        <v/>
      </c>
      <c r="E382" s="3" t="n">
        <v>166.105</v>
      </c>
      <c r="F382" s="4" t="n">
        <v>20</v>
      </c>
      <c r="G382" t="inlineStr">
        <is>
          <t>Tennis Québec</t>
        </is>
      </c>
      <c r="H382" t="inlineStr">
        <is>
          <t>Tennis 13</t>
        </is>
      </c>
      <c r="I382" t="n">
        <v>35.1</v>
      </c>
      <c r="J382" s="4" t="n">
        <v>168</v>
      </c>
      <c r="K382" t="inlineStr">
        <is>
          <t>72 / 96</t>
        </is>
      </c>
      <c r="L382" t="inlineStr">
        <is>
          <t>8 / 15</t>
        </is>
      </c>
      <c r="M382" s="5" t="n">
        <v>0.43</v>
      </c>
      <c r="N382" s="5" t="n">
        <v>0.35</v>
      </c>
    </row>
    <row r="383">
      <c r="A383" t="n">
        <v>382</v>
      </c>
      <c r="B383" t="n">
        <v>2013</v>
      </c>
      <c r="C383" t="inlineStr">
        <is>
          <t>Adriana Juliana Tambini</t>
        </is>
      </c>
      <c r="D383">
        <f>HYPERLINK("https://ota.tournamentsoftware.com/player-profile/7D7985A7-C189-4AE6-9641-F7EA5AE89364", "Link")</f>
        <v/>
      </c>
      <c r="E383" s="3" t="n">
        <v>165.937</v>
      </c>
      <c r="F383" s="4" t="n">
        <v>7</v>
      </c>
      <c r="G383" t="inlineStr">
        <is>
          <t>Ontario Tennis Association</t>
        </is>
      </c>
      <c r="H383" t="inlineStr">
        <is>
          <t>Headwaters Racquet Club</t>
        </is>
      </c>
      <c r="I383" t="n">
        <v>38.5</v>
      </c>
      <c r="J383" s="4" t="n">
        <v>23</v>
      </c>
      <c r="K383" t="inlineStr">
        <is>
          <t>12 / 11</t>
        </is>
      </c>
      <c r="L383" t="inlineStr">
        <is>
          <t>7 / 10</t>
        </is>
      </c>
      <c r="M383" s="5" t="n">
        <v>0.52</v>
      </c>
      <c r="N383" s="5" t="n">
        <v>0.41</v>
      </c>
    </row>
    <row r="384">
      <c r="A384" t="n">
        <v>383</v>
      </c>
      <c r="B384" t="n">
        <v>2014</v>
      </c>
      <c r="C384" t="inlineStr">
        <is>
          <t>Sonia Leung</t>
        </is>
      </c>
      <c r="D384">
        <f>HYPERLINK("https://ota.tournamentsoftware.com/player-profile/CCA302B0-3E0B-42DA-BCF9-B1A9AF0035E5", "Link")</f>
        <v/>
      </c>
      <c r="E384" s="3" t="n">
        <v>165.44</v>
      </c>
      <c r="F384" s="4" t="n">
        <v>18</v>
      </c>
      <c r="G384" t="inlineStr">
        <is>
          <t>Ontario Tennis Association</t>
        </is>
      </c>
      <c r="H384" t="inlineStr">
        <is>
          <t>Toronto Tennis Academy</t>
        </is>
      </c>
      <c r="I384" t="n">
        <v>33.5</v>
      </c>
      <c r="J384" s="4" t="n">
        <v>74</v>
      </c>
      <c r="K384" t="inlineStr">
        <is>
          <t>39 / 35</t>
        </is>
      </c>
      <c r="L384" t="inlineStr">
        <is>
          <t>30 / 15</t>
        </is>
      </c>
      <c r="M384" s="5" t="n">
        <v>0.53</v>
      </c>
      <c r="N384" s="5" t="n">
        <v>0.67</v>
      </c>
    </row>
    <row r="385">
      <c r="A385" t="n">
        <v>384</v>
      </c>
      <c r="B385" t="n">
        <v>2012</v>
      </c>
      <c r="C385" t="inlineStr">
        <is>
          <t>Alyssa Grace Clouden</t>
        </is>
      </c>
      <c r="D385">
        <f>HYPERLINK("https://ota.tournamentsoftware.com/player-profile/85FC5E76-6ACD-4520-94D0-C05BABDC2184", "Link")</f>
        <v/>
      </c>
      <c r="E385" s="3" t="n">
        <v>165.1</v>
      </c>
      <c r="F385" s="4" t="n">
        <v>14</v>
      </c>
      <c r="G385" t="inlineStr">
        <is>
          <t>Ontario Tennis Association</t>
        </is>
      </c>
      <c r="H385" t="inlineStr">
        <is>
          <t>Headwaters Racquet Club</t>
        </is>
      </c>
      <c r="I385" t="n">
        <v>35.1</v>
      </c>
      <c r="J385" s="4" t="n">
        <v>57</v>
      </c>
      <c r="K385" t="inlineStr">
        <is>
          <t>26 / 31</t>
        </is>
      </c>
      <c r="L385" t="inlineStr">
        <is>
          <t>11 / 15</t>
        </is>
      </c>
      <c r="M385" s="5" t="n">
        <v>0.46</v>
      </c>
      <c r="N385" s="5" t="n">
        <v>0.42</v>
      </c>
    </row>
    <row r="386">
      <c r="A386" t="n">
        <v>385</v>
      </c>
      <c r="B386" t="n">
        <v>2014</v>
      </c>
      <c r="C386" t="inlineStr">
        <is>
          <t>Melissa Yi Nuo Yang</t>
        </is>
      </c>
      <c r="D386">
        <f>HYPERLINK("https://ota.tournamentsoftware.com/player-profile/870FB276-B8EA-4586-B0F5-B2318D4B1CD6", "Link")</f>
        <v/>
      </c>
      <c r="E386" s="3" t="n">
        <v>164.547</v>
      </c>
      <c r="F386" s="4" t="n">
        <v>18</v>
      </c>
      <c r="G386" t="inlineStr">
        <is>
          <t>Tennis Québec</t>
        </is>
      </c>
      <c r="H386" t="inlineStr">
        <is>
          <t>Club Sportif Côte-de-Liesse</t>
        </is>
      </c>
      <c r="I386" t="n">
        <v>32.8</v>
      </c>
      <c r="J386" s="4" t="n">
        <v>92</v>
      </c>
      <c r="K386" t="inlineStr">
        <is>
          <t>48 / 44</t>
        </is>
      </c>
      <c r="L386" t="inlineStr">
        <is>
          <t>28 / 13</t>
        </is>
      </c>
      <c r="M386" s="5" t="n">
        <v>0.52</v>
      </c>
      <c r="N386" s="5" t="n">
        <v>0.68</v>
      </c>
    </row>
    <row r="387">
      <c r="A387" t="n">
        <v>386</v>
      </c>
      <c r="B387" t="n">
        <v>2013</v>
      </c>
      <c r="C387" t="inlineStr">
        <is>
          <t>Nisa Karim</t>
        </is>
      </c>
      <c r="D387">
        <f>HYPERLINK("https://ota.tournamentsoftware.com/player-profile/11CB5752-5D45-47AB-82AD-AC3D554873E5", "Link")</f>
        <v/>
      </c>
      <c r="E387" s="3" t="n">
        <v>163.167</v>
      </c>
      <c r="F387" s="4" t="n">
        <v>15</v>
      </c>
      <c r="G387" t="inlineStr">
        <is>
          <t>British Columbia</t>
        </is>
      </c>
      <c r="H387" t="inlineStr">
        <is>
          <t>Arbutus Club</t>
        </is>
      </c>
      <c r="I387" t="n">
        <v>34.6</v>
      </c>
      <c r="J387" s="4" t="n">
        <v>97</v>
      </c>
      <c r="K387" t="inlineStr">
        <is>
          <t>51 / 46</t>
        </is>
      </c>
      <c r="L387" t="inlineStr">
        <is>
          <t>17 / 20</t>
        </is>
      </c>
      <c r="M387" s="5" t="n">
        <v>0.53</v>
      </c>
      <c r="N387" s="5" t="n">
        <v>0.46</v>
      </c>
    </row>
    <row r="388">
      <c r="A388" t="n">
        <v>387</v>
      </c>
      <c r="B388" t="n">
        <v>2014</v>
      </c>
      <c r="C388" t="inlineStr">
        <is>
          <t>Eve Martel</t>
        </is>
      </c>
      <c r="D388">
        <f>HYPERLINK("https://ota.tournamentsoftware.com/player-profile/590DE091-4FC9-494D-A8AC-45DB223E71D8", "Link")</f>
        <v/>
      </c>
      <c r="E388" s="3" t="n">
        <v>160.307</v>
      </c>
      <c r="F388" s="4" t="n">
        <v>19</v>
      </c>
      <c r="G388" t="inlineStr">
        <is>
          <t>Tennis Québec</t>
        </is>
      </c>
      <c r="H388" t="inlineStr">
        <is>
          <t>Club Avantage Multi-sports / Académie de tennis Hérisset Bordeleau</t>
        </is>
      </c>
      <c r="I388" t="inlineStr">
        <is>
          <t>unavailable</t>
        </is>
      </c>
      <c r="J388" s="4" t="n">
        <v>130</v>
      </c>
      <c r="K388" t="inlineStr">
        <is>
          <t>41 / 89</t>
        </is>
      </c>
      <c r="L388" t="inlineStr">
        <is>
          <t>12 / 17</t>
        </is>
      </c>
      <c r="M388" s="5" t="n">
        <v>0.32</v>
      </c>
      <c r="N388" s="5" t="n">
        <v>0.41</v>
      </c>
    </row>
    <row r="389">
      <c r="A389" t="n">
        <v>388</v>
      </c>
      <c r="B389" t="n">
        <v>2012</v>
      </c>
      <c r="C389" t="inlineStr">
        <is>
          <t>Eliana Yiannacouras</t>
        </is>
      </c>
      <c r="D389">
        <f>HYPERLINK("https://ota.tournamentsoftware.com/player-profile/B77AA2DD-5FF4-4B16-8ABD-E6ED22D4B5E1", "Link")</f>
        <v/>
      </c>
      <c r="E389" s="3" t="n">
        <v>157.896</v>
      </c>
      <c r="F389" s="4" t="n">
        <v>15</v>
      </c>
      <c r="G389" t="inlineStr">
        <is>
          <t>Ontario Tennis Association</t>
        </is>
      </c>
      <c r="H389" t="inlineStr">
        <is>
          <t>The Supreme Court Tennis Club</t>
        </is>
      </c>
      <c r="I389" t="n">
        <v>33.8</v>
      </c>
      <c r="J389" s="4" t="n">
        <v>104</v>
      </c>
      <c r="K389" t="inlineStr">
        <is>
          <t>29 / 75</t>
        </is>
      </c>
      <c r="L389" t="inlineStr">
        <is>
          <t>10 / 12</t>
        </is>
      </c>
      <c r="M389" s="5" t="n">
        <v>0.28</v>
      </c>
      <c r="N389" s="5" t="n">
        <v>0.45</v>
      </c>
    </row>
    <row r="390">
      <c r="A390" t="n">
        <v>389</v>
      </c>
      <c r="B390" t="n">
        <v>2012</v>
      </c>
      <c r="C390" t="inlineStr">
        <is>
          <t>Sophia Zhang</t>
        </is>
      </c>
      <c r="D390">
        <f>HYPERLINK("https://ota.tournamentsoftware.com/player-profile/2BBD611B-69D1-4A97-AAC3-1D897498B21A", "Link")</f>
        <v/>
      </c>
      <c r="E390" s="3" t="n">
        <v>157.227</v>
      </c>
      <c r="F390" s="4" t="n">
        <v>10</v>
      </c>
      <c r="G390" t="inlineStr">
        <is>
          <t>Ontario Tennis Association</t>
        </is>
      </c>
      <c r="H390" t="inlineStr">
        <is>
          <t>Burlington Tennis Club</t>
        </is>
      </c>
      <c r="I390" t="inlineStr">
        <is>
          <t>unavailable</t>
        </is>
      </c>
      <c r="J390" s="4" t="n">
        <v>40</v>
      </c>
      <c r="K390" t="inlineStr">
        <is>
          <t>18 / 22</t>
        </is>
      </c>
      <c r="L390" t="inlineStr">
        <is>
          <t>12 / 11</t>
        </is>
      </c>
      <c r="M390" s="5" t="n">
        <v>0.45</v>
      </c>
      <c r="N390" s="5" t="n">
        <v>0.52</v>
      </c>
    </row>
    <row r="391">
      <c r="A391" t="n">
        <v>390</v>
      </c>
      <c r="B391" t="n">
        <v>2017</v>
      </c>
      <c r="C391" t="inlineStr">
        <is>
          <t>Yuetwing, Doris Li</t>
        </is>
      </c>
      <c r="D391">
        <f>HYPERLINK("https://ota.tournamentsoftware.com/player-profile/C901A65F-E3DE-47DE-A4BC-21149FEBA20C", "Link")</f>
        <v/>
      </c>
      <c r="E391" s="3" t="n">
        <v>157.026</v>
      </c>
      <c r="F391" s="4" t="n">
        <v>5</v>
      </c>
      <c r="G391" t="inlineStr">
        <is>
          <t>Ontario Tennis Association</t>
        </is>
      </c>
      <c r="H391" t="inlineStr">
        <is>
          <t>No Club</t>
        </is>
      </c>
      <c r="I391" t="n">
        <v>32.7</v>
      </c>
      <c r="J391" s="4" t="n">
        <v>16</v>
      </c>
      <c r="K391" t="inlineStr">
        <is>
          <t>14 / 2</t>
        </is>
      </c>
      <c r="L391" t="inlineStr">
        <is>
          <t>10 / 2</t>
        </is>
      </c>
      <c r="M391" s="5" t="n">
        <v>0.88</v>
      </c>
      <c r="N391" s="5" t="n">
        <v>0.83</v>
      </c>
    </row>
    <row r="392">
      <c r="A392" t="n">
        <v>391</v>
      </c>
      <c r="B392" t="n">
        <v>2012</v>
      </c>
      <c r="C392" t="inlineStr">
        <is>
          <t>Chloe Park</t>
        </is>
      </c>
      <c r="D392">
        <f>HYPERLINK("https://ota.tournamentsoftware.com/player-profile/FD8FB9A4-F5D9-4A90-AA66-D8E6FC3D3BC5", "Link")</f>
        <v/>
      </c>
      <c r="E392" s="3" t="n">
        <v>154.282</v>
      </c>
      <c r="F392" s="4" t="n">
        <v>5</v>
      </c>
      <c r="G392" t="inlineStr">
        <is>
          <t>Tennis Prince Edward Island</t>
        </is>
      </c>
      <c r="H392" t="inlineStr">
        <is>
          <t>No Club</t>
        </is>
      </c>
      <c r="I392" t="n">
        <v>34.8</v>
      </c>
      <c r="J392" s="4" t="n">
        <v>57</v>
      </c>
      <c r="K392" t="inlineStr">
        <is>
          <t>13 / 44</t>
        </is>
      </c>
      <c r="L392" t="inlineStr">
        <is>
          <t>8 / 13</t>
        </is>
      </c>
      <c r="M392" s="5" t="n">
        <v>0.23</v>
      </c>
      <c r="N392" s="5" t="n">
        <v>0.38</v>
      </c>
    </row>
    <row r="393">
      <c r="A393" t="n">
        <v>392</v>
      </c>
      <c r="B393" t="n">
        <v>2013</v>
      </c>
      <c r="C393" t="inlineStr">
        <is>
          <t>Gabrielle Pompa</t>
        </is>
      </c>
      <c r="D393">
        <f>HYPERLINK("https://ota.tournamentsoftware.com/player-profile/668A29C0-962F-4DAD-B317-933787C09DCF", "Link")</f>
        <v/>
      </c>
      <c r="E393" s="3" t="n">
        <v>153.753</v>
      </c>
      <c r="F393" s="4" t="n">
        <v>7</v>
      </c>
      <c r="G393" t="inlineStr">
        <is>
          <t>Tennis Alberta</t>
        </is>
      </c>
      <c r="H393" t="inlineStr">
        <is>
          <t>Osten &amp; Victor Alberta Tennis Centre</t>
        </is>
      </c>
      <c r="I393" t="n">
        <v>28.8</v>
      </c>
      <c r="J393" s="4" t="n">
        <v>164</v>
      </c>
      <c r="K393" t="inlineStr">
        <is>
          <t>112 / 52</t>
        </is>
      </c>
      <c r="L393" t="inlineStr">
        <is>
          <t>7 / 5</t>
        </is>
      </c>
      <c r="M393" s="5" t="n">
        <v>0.68</v>
      </c>
      <c r="N393" s="5" t="n">
        <v>0.58</v>
      </c>
    </row>
    <row r="394">
      <c r="A394" t="n">
        <v>393</v>
      </c>
      <c r="B394" t="n">
        <v>2014</v>
      </c>
      <c r="C394" t="inlineStr">
        <is>
          <t>Olivia Lee</t>
        </is>
      </c>
      <c r="D394">
        <f>HYPERLINK("https://ota.tournamentsoftware.com/player-profile/DEF89846-A0EF-4373-B8DC-8305F756E612", "Link")</f>
        <v/>
      </c>
      <c r="E394" s="3" t="n">
        <v>153.166</v>
      </c>
      <c r="F394" s="4" t="n">
        <v>24</v>
      </c>
      <c r="G394" t="inlineStr">
        <is>
          <t>Tennis Québec</t>
        </is>
      </c>
      <c r="H394" t="inlineStr">
        <is>
          <t>SANI Sport</t>
        </is>
      </c>
      <c r="I394" t="n">
        <v>35.2</v>
      </c>
      <c r="J394" s="4" t="n">
        <v>118</v>
      </c>
      <c r="K394" t="inlineStr">
        <is>
          <t>45 / 73</t>
        </is>
      </c>
      <c r="L394" t="inlineStr">
        <is>
          <t>15 / 25</t>
        </is>
      </c>
      <c r="M394" s="5" t="n">
        <v>0.38</v>
      </c>
      <c r="N394" s="5" t="n">
        <v>0.38</v>
      </c>
    </row>
    <row r="395">
      <c r="A395" t="n">
        <v>394</v>
      </c>
      <c r="B395" t="n">
        <v>2014</v>
      </c>
      <c r="C395" t="inlineStr">
        <is>
          <t>Rain Yu Chan</t>
        </is>
      </c>
      <c r="D395">
        <f>HYPERLINK("https://ota.tournamentsoftware.com/player-profile/BF26AD2D-BAAC-4E82-A862-14039C1584F2", "Link")</f>
        <v/>
      </c>
      <c r="E395" s="3" t="n">
        <v>152.222</v>
      </c>
      <c r="F395" s="4" t="n">
        <v>33</v>
      </c>
      <c r="G395" t="inlineStr">
        <is>
          <t>British Columbia</t>
        </is>
      </c>
      <c r="H395" t="inlineStr">
        <is>
          <t>Burnaby Tennis Club</t>
        </is>
      </c>
      <c r="I395" t="inlineStr">
        <is>
          <t>unavailable</t>
        </is>
      </c>
      <c r="J395" s="4" t="n">
        <v>211</v>
      </c>
      <c r="K395" t="inlineStr">
        <is>
          <t>101 / 110</t>
        </is>
      </c>
      <c r="L395" t="inlineStr">
        <is>
          <t>35 / 33</t>
        </is>
      </c>
      <c r="M395" s="5" t="n">
        <v>0.48</v>
      </c>
      <c r="N395" s="5" t="n">
        <v>0.51</v>
      </c>
    </row>
    <row r="396">
      <c r="A396" t="n">
        <v>395</v>
      </c>
      <c r="B396" t="n">
        <v>2014</v>
      </c>
      <c r="C396" t="inlineStr">
        <is>
          <t>Andrea Robles Sgambatti</t>
        </is>
      </c>
      <c r="D396">
        <f>HYPERLINK("https://ota.tournamentsoftware.com/player-profile/842B5763-8026-4DFF-BD28-4FA110C3A345", "Link")</f>
        <v/>
      </c>
      <c r="E396" s="3" t="n">
        <v>152.162</v>
      </c>
      <c r="F396" s="4" t="n">
        <v>15</v>
      </c>
      <c r="G396" t="inlineStr">
        <is>
          <t>Tennis Alberta</t>
        </is>
      </c>
      <c r="H396" t="inlineStr">
        <is>
          <t>Osten &amp; Victor Alberta Tennis Centre</t>
        </is>
      </c>
      <c r="I396" t="n">
        <v>34.2</v>
      </c>
      <c r="J396" s="4" t="n">
        <v>150</v>
      </c>
      <c r="K396" t="inlineStr">
        <is>
          <t>62 / 88</t>
        </is>
      </c>
      <c r="L396" t="inlineStr">
        <is>
          <t>13 / 20</t>
        </is>
      </c>
      <c r="M396" s="5" t="n">
        <v>0.41</v>
      </c>
      <c r="N396" s="5" t="n">
        <v>0.39</v>
      </c>
    </row>
    <row r="397">
      <c r="A397" t="n">
        <v>396</v>
      </c>
      <c r="B397" t="n">
        <v>2013</v>
      </c>
      <c r="C397" t="inlineStr">
        <is>
          <t>Alyxandra Grace Bellot Wildeman</t>
        </is>
      </c>
      <c r="D397">
        <f>HYPERLINK("https://ota.tournamentsoftware.com/player-profile/E2171261-67FD-4CFA-B4F2-64D9B979CCE5", "Link")</f>
        <v/>
      </c>
      <c r="E397" s="3" t="n">
        <v>151.193</v>
      </c>
      <c r="F397" s="4" t="n">
        <v>12</v>
      </c>
      <c r="G397" t="inlineStr">
        <is>
          <t>British Columbia</t>
        </is>
      </c>
      <c r="H397" t="inlineStr">
        <is>
          <t>Vanguard Tennis Academy</t>
        </is>
      </c>
      <c r="I397" t="n">
        <v>32.9</v>
      </c>
      <c r="J397" s="4" t="n">
        <v>131</v>
      </c>
      <c r="K397" t="inlineStr">
        <is>
          <t>59 / 72</t>
        </is>
      </c>
      <c r="L397" t="inlineStr">
        <is>
          <t>15 / 14</t>
        </is>
      </c>
      <c r="M397" s="5" t="n">
        <v>0.45</v>
      </c>
      <c r="N397" s="5" t="n">
        <v>0.52</v>
      </c>
    </row>
    <row r="398">
      <c r="A398" t="n">
        <v>397</v>
      </c>
      <c r="B398" t="n">
        <v>2013</v>
      </c>
      <c r="C398" t="inlineStr">
        <is>
          <t>Jaheema Jajah Joseph</t>
        </is>
      </c>
      <c r="D398">
        <f>HYPERLINK("https://ota.tournamentsoftware.com/player-profile/2C08ABD4-0853-4E02-96D6-4CBDA8251E2A", "Link")</f>
        <v/>
      </c>
      <c r="E398" s="3" t="n">
        <v>150.699</v>
      </c>
      <c r="F398" s="4" t="n">
        <v>14</v>
      </c>
      <c r="G398" t="inlineStr">
        <is>
          <t>Tennis Québec</t>
        </is>
      </c>
      <c r="H398" t="inlineStr">
        <is>
          <t>Tennis Montréal</t>
        </is>
      </c>
      <c r="I398" t="n">
        <v>36.8</v>
      </c>
      <c r="J398" s="4" t="n">
        <v>94</v>
      </c>
      <c r="K398" t="inlineStr">
        <is>
          <t>38 / 56</t>
        </is>
      </c>
      <c r="L398" t="inlineStr">
        <is>
          <t>6 / 16</t>
        </is>
      </c>
      <c r="M398" s="5" t="n">
        <v>0.4</v>
      </c>
      <c r="N398" s="5" t="n">
        <v>0.27</v>
      </c>
    </row>
    <row r="399">
      <c r="A399" t="n">
        <v>398</v>
      </c>
      <c r="B399" t="n">
        <v>2013</v>
      </c>
      <c r="C399" t="inlineStr">
        <is>
          <t>Aarushi Pal</t>
        </is>
      </c>
      <c r="D399">
        <f>HYPERLINK("https://ota.tournamentsoftware.com/player-profile/F5E1E459-0A97-4C1F-8F37-D8CEF64DA1FA", "Link")</f>
        <v/>
      </c>
      <c r="E399" s="3" t="n">
        <v>149.571</v>
      </c>
      <c r="F399" s="4" t="n">
        <v>12</v>
      </c>
      <c r="G399" t="inlineStr">
        <is>
          <t>Tennis Alberta</t>
        </is>
      </c>
      <c r="H399" t="inlineStr">
        <is>
          <t>Osten &amp; Victor Alberta Tennis Centre</t>
        </is>
      </c>
      <c r="I399" t="n">
        <v>33.8</v>
      </c>
      <c r="J399" s="4" t="n">
        <v>165</v>
      </c>
      <c r="K399" t="inlineStr">
        <is>
          <t>81 / 84</t>
        </is>
      </c>
      <c r="L399" t="inlineStr">
        <is>
          <t>5 / 12</t>
        </is>
      </c>
      <c r="M399" s="5" t="n">
        <v>0.49</v>
      </c>
      <c r="N399" s="5" t="n">
        <v>0.29</v>
      </c>
    </row>
    <row r="400">
      <c r="A400" t="n">
        <v>399</v>
      </c>
      <c r="B400" t="n">
        <v>2017</v>
      </c>
      <c r="C400" t="inlineStr">
        <is>
          <t>Amelia Alhakim</t>
        </is>
      </c>
      <c r="D400">
        <f>HYPERLINK("https://ota.tournamentsoftware.com/player-profile/0B954ECB-D503-4C36-BD94-6D389AF0D202", "Link")</f>
        <v/>
      </c>
      <c r="E400" s="3" t="n">
        <v>149</v>
      </c>
      <c r="F400" s="4" t="n">
        <v>15</v>
      </c>
      <c r="G400" t="inlineStr">
        <is>
          <t>Ontario Tennis Association</t>
        </is>
      </c>
      <c r="H400" t="inlineStr">
        <is>
          <t>Zekelman Tennis Centre</t>
        </is>
      </c>
      <c r="I400" t="n">
        <v>32.2</v>
      </c>
      <c r="J400" s="4" t="n">
        <v>45</v>
      </c>
      <c r="K400" t="inlineStr">
        <is>
          <t>27 / 18</t>
        </is>
      </c>
      <c r="L400" t="inlineStr">
        <is>
          <t>23 / 13</t>
        </is>
      </c>
      <c r="M400" s="5" t="n">
        <v>0.6</v>
      </c>
      <c r="N400" s="5" t="n">
        <v>0.64</v>
      </c>
    </row>
    <row r="401">
      <c r="A401" t="n">
        <v>400</v>
      </c>
      <c r="B401" t="n">
        <v>2015</v>
      </c>
      <c r="C401" t="inlineStr">
        <is>
          <t>Emma Lucenti</t>
        </is>
      </c>
      <c r="D401">
        <f>HYPERLINK("https://ota.tournamentsoftware.com/player-profile/F174A813-5F1A-4B24-BDFF-B6E6160FE2EB", "Link")</f>
        <v/>
      </c>
      <c r="E401" s="3" t="n">
        <v>148.828</v>
      </c>
      <c r="F401" s="4" t="n">
        <v>13</v>
      </c>
      <c r="G401" t="inlineStr">
        <is>
          <t>Ontario Tennis Association</t>
        </is>
      </c>
      <c r="H401" t="inlineStr">
        <is>
          <t>SmartVMC Racquetsports by ACE</t>
        </is>
      </c>
      <c r="I401" t="n">
        <v>36.1</v>
      </c>
      <c r="J401" s="4" t="n">
        <v>87</v>
      </c>
      <c r="K401" t="inlineStr">
        <is>
          <t>30 / 57</t>
        </is>
      </c>
      <c r="L401" t="inlineStr">
        <is>
          <t>9 / 15</t>
        </is>
      </c>
      <c r="M401" s="5" t="n">
        <v>0.34</v>
      </c>
      <c r="N401" s="5" t="n">
        <v>0.38</v>
      </c>
    </row>
    <row r="402">
      <c r="A402" t="n">
        <v>401</v>
      </c>
      <c r="B402" t="n">
        <v>2016</v>
      </c>
      <c r="C402" t="inlineStr">
        <is>
          <t>Eva Yanakieva</t>
        </is>
      </c>
      <c r="D402">
        <f>HYPERLINK("https://ota.tournamentsoftware.com/player-profile/7FBBEC05-D20C-448B-93F1-1F8C6BA80758", "Link")</f>
        <v/>
      </c>
      <c r="E402" s="3" t="n">
        <v>148.333</v>
      </c>
      <c r="F402" s="4" t="n">
        <v>22</v>
      </c>
      <c r="G402" t="inlineStr">
        <is>
          <t>Tennis Québec</t>
        </is>
      </c>
      <c r="H402" t="inlineStr">
        <is>
          <t>Tennis Montréal Excellence</t>
        </is>
      </c>
      <c r="I402" t="n">
        <v>34.6</v>
      </c>
      <c r="J402" s="4" t="n">
        <v>181</v>
      </c>
      <c r="K402" t="inlineStr">
        <is>
          <t>87 / 94</t>
        </is>
      </c>
      <c r="L402" t="inlineStr">
        <is>
          <t>26 / 26</t>
        </is>
      </c>
      <c r="M402" s="5" t="n">
        <v>0.48</v>
      </c>
      <c r="N402" s="5" t="n">
        <v>0.5</v>
      </c>
    </row>
    <row r="403">
      <c r="A403" t="n">
        <v>402</v>
      </c>
      <c r="B403" t="n">
        <v>2015</v>
      </c>
      <c r="C403" t="inlineStr">
        <is>
          <t>Stefaniia Grimailo</t>
        </is>
      </c>
      <c r="D403">
        <f>HYPERLINK("https://ota.tournamentsoftware.com/player-profile/63AAF188-F773-4BFA-B6C2-97B1DFB9AF3A", "Link")</f>
        <v/>
      </c>
      <c r="E403" s="3" t="n">
        <v>147.389</v>
      </c>
      <c r="F403" s="4" t="n">
        <v>9</v>
      </c>
      <c r="G403" t="inlineStr">
        <is>
          <t>Tennis Manitoba</t>
        </is>
      </c>
      <c r="H403" t="inlineStr">
        <is>
          <t>Winnipeg Winter Club</t>
        </is>
      </c>
      <c r="I403" t="n">
        <v>38.6</v>
      </c>
      <c r="J403" s="4" t="n">
        <v>64</v>
      </c>
      <c r="K403" t="inlineStr">
        <is>
          <t>9 / 55</t>
        </is>
      </c>
      <c r="L403" t="inlineStr">
        <is>
          <t>2 / 25</t>
        </is>
      </c>
      <c r="M403" s="5" t="n">
        <v>0.14</v>
      </c>
      <c r="N403" s="5" t="n">
        <v>0.07000000000000001</v>
      </c>
    </row>
    <row r="404">
      <c r="A404" t="n">
        <v>403</v>
      </c>
      <c r="B404" t="n">
        <v>2015</v>
      </c>
      <c r="C404" t="inlineStr">
        <is>
          <t>Elaina York</t>
        </is>
      </c>
      <c r="D404">
        <f>HYPERLINK("https://ota.tournamentsoftware.com/player-profile/7D4D2F10-C754-4560-B490-903FD1C70ADE", "Link")</f>
        <v/>
      </c>
      <c r="E404" s="3" t="n">
        <v>145.952</v>
      </c>
      <c r="F404" s="4" t="n">
        <v>14</v>
      </c>
      <c r="G404" t="inlineStr">
        <is>
          <t>Tennis Alberta</t>
        </is>
      </c>
      <c r="H404" t="inlineStr">
        <is>
          <t>Aforza</t>
        </is>
      </c>
      <c r="I404" t="n">
        <v>34.9</v>
      </c>
      <c r="J404" s="4" t="n">
        <v>149</v>
      </c>
      <c r="K404" t="inlineStr">
        <is>
          <t>61 / 88</t>
        </is>
      </c>
      <c r="L404" t="inlineStr">
        <is>
          <t>15 / 23</t>
        </is>
      </c>
      <c r="M404" s="5" t="n">
        <v>0.41</v>
      </c>
      <c r="N404" s="5" t="n">
        <v>0.39</v>
      </c>
    </row>
    <row r="405">
      <c r="A405" t="n">
        <v>404</v>
      </c>
      <c r="B405" t="n">
        <v>2014</v>
      </c>
      <c r="C405" t="inlineStr">
        <is>
          <t>Sofia Zhuchenko</t>
        </is>
      </c>
      <c r="D405">
        <f>HYPERLINK("https://ota.tournamentsoftware.com/player-profile/F633DD21-A0C3-4CAC-B560-7222D07936B7", "Link")</f>
        <v/>
      </c>
      <c r="E405" s="3" t="n">
        <v>145.261</v>
      </c>
      <c r="F405" s="4" t="n">
        <v>14</v>
      </c>
      <c r="G405" t="inlineStr">
        <is>
          <t>Tennis Alberta</t>
        </is>
      </c>
      <c r="H405" t="inlineStr">
        <is>
          <t>Osten &amp; Victor Alberta Tennis Centre</t>
        </is>
      </c>
      <c r="I405" t="n">
        <v>33.9</v>
      </c>
      <c r="J405" s="4" t="n">
        <v>114</v>
      </c>
      <c r="K405" t="inlineStr">
        <is>
          <t>43 / 71</t>
        </is>
      </c>
      <c r="L405" t="inlineStr">
        <is>
          <t>13 / 21</t>
        </is>
      </c>
      <c r="M405" s="5" t="n">
        <v>0.38</v>
      </c>
      <c r="N405" s="5" t="n">
        <v>0.38</v>
      </c>
    </row>
    <row r="406">
      <c r="A406" t="n">
        <v>405</v>
      </c>
      <c r="B406" t="n">
        <v>2014</v>
      </c>
      <c r="C406" t="inlineStr">
        <is>
          <t>Bella Beiqi Zhao</t>
        </is>
      </c>
      <c r="D406">
        <f>HYPERLINK("https://ota.tournamentsoftware.com/player-profile/440C1FD3-B189-4153-99D4-C9B6B43D7D03", "Link")</f>
        <v/>
      </c>
      <c r="E406" s="3" t="n">
        <v>144.935</v>
      </c>
      <c r="F406" s="4" t="n">
        <v>25</v>
      </c>
      <c r="G406" t="inlineStr">
        <is>
          <t>British Columbia</t>
        </is>
      </c>
      <c r="H406" t="inlineStr">
        <is>
          <t>No Club</t>
        </is>
      </c>
      <c r="I406" t="n">
        <v>31.2</v>
      </c>
      <c r="J406" s="4" t="n">
        <v>213</v>
      </c>
      <c r="K406" t="inlineStr">
        <is>
          <t>88 / 125</t>
        </is>
      </c>
      <c r="L406" t="inlineStr">
        <is>
          <t>26 / 25</t>
        </is>
      </c>
      <c r="M406" s="5" t="n">
        <v>0.41</v>
      </c>
      <c r="N406" s="5" t="n">
        <v>0.51</v>
      </c>
    </row>
    <row r="407">
      <c r="A407" t="n">
        <v>406</v>
      </c>
      <c r="B407" t="n">
        <v>2014</v>
      </c>
      <c r="C407" t="inlineStr">
        <is>
          <t>Kira Wong</t>
        </is>
      </c>
      <c r="D407">
        <f>HYPERLINK("https://ota.tournamentsoftware.com/player-profile/E305B648-4548-45A0-B043-623E1473C7E5", "Link")</f>
        <v/>
      </c>
      <c r="E407" s="3" t="n">
        <v>144.621</v>
      </c>
      <c r="F407" s="4" t="n">
        <v>22</v>
      </c>
      <c r="G407" t="inlineStr">
        <is>
          <t>Tennis Alberta</t>
        </is>
      </c>
      <c r="H407" t="inlineStr">
        <is>
          <t>Aforza</t>
        </is>
      </c>
      <c r="I407" t="n">
        <v>35.2</v>
      </c>
      <c r="J407" s="4" t="n">
        <v>130</v>
      </c>
      <c r="K407" t="inlineStr">
        <is>
          <t>48 / 82</t>
        </is>
      </c>
      <c r="L407" t="inlineStr">
        <is>
          <t>24 / 28</t>
        </is>
      </c>
      <c r="M407" s="5" t="n">
        <v>0.37</v>
      </c>
      <c r="N407" s="5" t="n">
        <v>0.46</v>
      </c>
    </row>
    <row r="408">
      <c r="A408" t="n">
        <v>407</v>
      </c>
      <c r="B408" t="n">
        <v>2012</v>
      </c>
      <c r="C408" t="inlineStr">
        <is>
          <t>Aila Olivia Brimacombe</t>
        </is>
      </c>
      <c r="D408">
        <f>HYPERLINK("https://ota.tournamentsoftware.com/player-profile/665F5A6C-3B65-4541-A5CF-6A84DC235104", "Link")</f>
        <v/>
      </c>
      <c r="E408" s="3" t="n">
        <v>144.088</v>
      </c>
      <c r="F408" s="4" t="n">
        <v>22</v>
      </c>
      <c r="G408" t="inlineStr">
        <is>
          <t>British Columbia</t>
        </is>
      </c>
      <c r="H408" t="inlineStr">
        <is>
          <t>West Vancouver Tennis Club</t>
        </is>
      </c>
      <c r="I408" t="n">
        <v>34.7</v>
      </c>
      <c r="J408" s="4" t="n">
        <v>118</v>
      </c>
      <c r="K408" t="inlineStr">
        <is>
          <t>21 / 97</t>
        </is>
      </c>
      <c r="L408" t="inlineStr">
        <is>
          <t>11 / 32</t>
        </is>
      </c>
      <c r="M408" s="5" t="n">
        <v>0.18</v>
      </c>
      <c r="N408" s="5" t="n">
        <v>0.26</v>
      </c>
    </row>
    <row r="409">
      <c r="A409" t="n">
        <v>408</v>
      </c>
      <c r="B409" t="n">
        <v>2016</v>
      </c>
      <c r="C409" t="inlineStr">
        <is>
          <t>Milana Piazza</t>
        </is>
      </c>
      <c r="D409">
        <f>HYPERLINK("https://ota.tournamentsoftware.com/player-profile/4CDBB0C3-0D8B-4D7B-873C-3CEC65600FA0", "Link")</f>
        <v/>
      </c>
      <c r="E409" s="3" t="n">
        <v>144.058</v>
      </c>
      <c r="F409" s="4" t="n">
        <v>10</v>
      </c>
      <c r="G409" t="inlineStr">
        <is>
          <t>Tennis Québec</t>
        </is>
      </c>
      <c r="H409" t="inlineStr">
        <is>
          <t>Tennis 13</t>
        </is>
      </c>
      <c r="I409" t="n">
        <v>32.9</v>
      </c>
      <c r="J409" s="4" t="n">
        <v>93</v>
      </c>
      <c r="K409" t="inlineStr">
        <is>
          <t>56 / 37</t>
        </is>
      </c>
      <c r="L409" t="inlineStr">
        <is>
          <t>23 / 9</t>
        </is>
      </c>
      <c r="M409" s="5" t="n">
        <v>0.6</v>
      </c>
      <c r="N409" s="5" t="n">
        <v>0.72</v>
      </c>
    </row>
    <row r="410">
      <c r="A410" t="n">
        <v>409</v>
      </c>
      <c r="B410" t="n">
        <v>2015</v>
      </c>
      <c r="C410" t="inlineStr">
        <is>
          <t>Vera Toptounov</t>
        </is>
      </c>
      <c r="D410">
        <f>HYPERLINK("https://ota.tournamentsoftware.com/player-profile/6AC05446-ED22-406D-9460-F30F3FC8B16B", "Link")</f>
        <v/>
      </c>
      <c r="E410" s="3" t="n">
        <v>144.013</v>
      </c>
      <c r="F410" s="4" t="n">
        <v>19</v>
      </c>
      <c r="G410" t="inlineStr">
        <is>
          <t>Ontario Tennis Association</t>
        </is>
      </c>
      <c r="H410" t="inlineStr">
        <is>
          <t>SmartVMC Racquetsports by ACE</t>
        </is>
      </c>
      <c r="I410" t="n">
        <v>35.5</v>
      </c>
      <c r="J410" s="4" t="n">
        <v>106</v>
      </c>
      <c r="K410" t="inlineStr">
        <is>
          <t>46 / 60</t>
        </is>
      </c>
      <c r="L410" t="inlineStr">
        <is>
          <t>12 / 16</t>
        </is>
      </c>
      <c r="M410" s="5" t="n">
        <v>0.43</v>
      </c>
      <c r="N410" s="5" t="n">
        <v>0.43</v>
      </c>
    </row>
    <row r="411">
      <c r="A411" t="n">
        <v>410</v>
      </c>
      <c r="B411" t="n">
        <v>2015</v>
      </c>
      <c r="C411" t="inlineStr">
        <is>
          <t>Theia Zhang</t>
        </is>
      </c>
      <c r="D411">
        <f>HYPERLINK("https://ota.tournamentsoftware.com/player-profile/8628DB3F-1A24-45E1-A1F1-727AFFD593DD", "Link")</f>
        <v/>
      </c>
      <c r="E411" s="3" t="n">
        <v>142.594</v>
      </c>
      <c r="F411" s="4" t="n">
        <v>9</v>
      </c>
      <c r="G411" t="inlineStr">
        <is>
          <t>Ontario Tennis Association</t>
        </is>
      </c>
      <c r="H411" t="inlineStr">
        <is>
          <t>Premier Racquet Clubs – Mississauga</t>
        </is>
      </c>
      <c r="I411" t="n">
        <v>35.8</v>
      </c>
      <c r="J411" s="4" t="n">
        <v>102</v>
      </c>
      <c r="K411" t="inlineStr">
        <is>
          <t>48 / 54</t>
        </is>
      </c>
      <c r="L411" t="inlineStr">
        <is>
          <t>1 / 6</t>
        </is>
      </c>
      <c r="M411" s="5" t="n">
        <v>0.47</v>
      </c>
      <c r="N411" s="5" t="n">
        <v>0.14</v>
      </c>
    </row>
    <row r="412">
      <c r="A412" t="n">
        <v>411</v>
      </c>
      <c r="B412" t="n">
        <v>2015</v>
      </c>
      <c r="C412" t="inlineStr">
        <is>
          <t>Maranata Okubazgi</t>
        </is>
      </c>
      <c r="D412">
        <f>HYPERLINK("https://ota.tournamentsoftware.com/player-profile/D41680BB-0D07-401E-A1E3-7ECB40E4830A", "Link")</f>
        <v/>
      </c>
      <c r="E412" s="3" t="n">
        <v>142.238</v>
      </c>
      <c r="F412" s="4" t="n">
        <v>18</v>
      </c>
      <c r="G412" t="inlineStr">
        <is>
          <t>Ontario Tennis Association</t>
        </is>
      </c>
      <c r="H412" t="inlineStr">
        <is>
          <t>Premier Racquet Clubs – Mississauga</t>
        </is>
      </c>
      <c r="I412" t="n">
        <v>34.5</v>
      </c>
      <c r="J412" s="4" t="n">
        <v>103</v>
      </c>
      <c r="K412" t="inlineStr">
        <is>
          <t>59 / 44</t>
        </is>
      </c>
      <c r="L412" t="inlineStr">
        <is>
          <t>20 / 16</t>
        </is>
      </c>
      <c r="M412" s="5" t="n">
        <v>0.57</v>
      </c>
      <c r="N412" s="5" t="n">
        <v>0.5600000000000001</v>
      </c>
    </row>
    <row r="413">
      <c r="A413" t="n">
        <v>412</v>
      </c>
      <c r="B413" t="n">
        <v>2014</v>
      </c>
      <c r="C413" t="inlineStr">
        <is>
          <t>myra Malik</t>
        </is>
      </c>
      <c r="D413">
        <f>HYPERLINK("https://ota.tournamentsoftware.com/player-profile/B5B677E5-44EA-48DD-95B7-05BF38E3758B", "Link")</f>
        <v/>
      </c>
      <c r="E413" s="3" t="n">
        <v>140.56</v>
      </c>
      <c r="F413" s="4" t="n">
        <v>27</v>
      </c>
      <c r="G413" t="inlineStr">
        <is>
          <t>British Columbia</t>
        </is>
      </c>
      <c r="H413" t="inlineStr">
        <is>
          <t>The Tennis Centre</t>
        </is>
      </c>
      <c r="I413" t="n">
        <v>32.2</v>
      </c>
      <c r="J413" s="4" t="n">
        <v>76</v>
      </c>
      <c r="K413" t="inlineStr">
        <is>
          <t>38 / 38</t>
        </is>
      </c>
      <c r="L413" t="inlineStr">
        <is>
          <t>31 / 24</t>
        </is>
      </c>
      <c r="M413" s="5" t="n">
        <v>0.5</v>
      </c>
      <c r="N413" s="5" t="n">
        <v>0.5600000000000001</v>
      </c>
    </row>
    <row r="414">
      <c r="A414" t="n">
        <v>413</v>
      </c>
      <c r="B414" t="n">
        <v>2015</v>
      </c>
      <c r="C414" t="inlineStr">
        <is>
          <t>Athisayah Viji</t>
        </is>
      </c>
      <c r="D414">
        <f>HYPERLINK("https://ota.tournamentsoftware.com/player-profile/C8684F68-4EF9-414D-BDA9-FC73111C2DB8", "Link")</f>
        <v/>
      </c>
      <c r="E414" s="3" t="n">
        <v>139.162</v>
      </c>
      <c r="F414" s="4" t="n">
        <v>21</v>
      </c>
      <c r="G414" t="inlineStr">
        <is>
          <t>British Columbia</t>
        </is>
      </c>
      <c r="H414" t="inlineStr">
        <is>
          <t>The Tennis Centre</t>
        </is>
      </c>
      <c r="I414" t="n">
        <v>31.8</v>
      </c>
      <c r="J414" s="4" t="n">
        <v>133</v>
      </c>
      <c r="K414" t="inlineStr">
        <is>
          <t>79 / 54</t>
        </is>
      </c>
      <c r="L414" t="inlineStr">
        <is>
          <t>39 / 19</t>
        </is>
      </c>
      <c r="M414" s="5" t="n">
        <v>0.59</v>
      </c>
      <c r="N414" s="5" t="n">
        <v>0.67</v>
      </c>
    </row>
    <row r="415">
      <c r="A415" t="n">
        <v>414</v>
      </c>
      <c r="B415" t="n">
        <v>2013</v>
      </c>
      <c r="C415" t="inlineStr">
        <is>
          <t>Kaylie Kam</t>
        </is>
      </c>
      <c r="D415">
        <f>HYPERLINK("https://ota.tournamentsoftware.com/player-profile/29B7928E-12B2-4691-8B4A-1DE557B4F068", "Link")</f>
        <v/>
      </c>
      <c r="E415" s="3" t="n">
        <v>138.888</v>
      </c>
      <c r="F415" s="4" t="n">
        <v>16</v>
      </c>
      <c r="G415" t="inlineStr">
        <is>
          <t>Ontario Tennis Association</t>
        </is>
      </c>
      <c r="H415" t="inlineStr">
        <is>
          <t>Blackmore Tennis Club</t>
        </is>
      </c>
      <c r="I415" t="n">
        <v>33.9</v>
      </c>
      <c r="J415" s="4" t="n">
        <v>63</v>
      </c>
      <c r="K415" t="inlineStr">
        <is>
          <t>40 / 23</t>
        </is>
      </c>
      <c r="L415" t="inlineStr">
        <is>
          <t>14 / 15</t>
        </is>
      </c>
      <c r="M415" s="5" t="n">
        <v>0.63</v>
      </c>
      <c r="N415" s="5" t="n">
        <v>0.48</v>
      </c>
    </row>
    <row r="416">
      <c r="A416" t="n">
        <v>415</v>
      </c>
      <c r="B416" t="n">
        <v>2012</v>
      </c>
      <c r="C416" t="inlineStr">
        <is>
          <t>Spencer Xie</t>
        </is>
      </c>
      <c r="D416">
        <f>HYPERLINK("https://ota.tournamentsoftware.com/player-profile/E8C882F3-740E-4E76-A249-7FC036AFD1F8", "Link")</f>
        <v/>
      </c>
      <c r="E416" s="3" t="n">
        <v>138.244</v>
      </c>
      <c r="F416" s="4" t="n">
        <v>12</v>
      </c>
      <c r="G416" t="inlineStr">
        <is>
          <t>Ontario Tennis Association</t>
        </is>
      </c>
      <c r="H416" t="inlineStr">
        <is>
          <t>Granite Club</t>
        </is>
      </c>
      <c r="I416" t="n">
        <v>35.1</v>
      </c>
      <c r="J416" s="4" t="n">
        <v>71</v>
      </c>
      <c r="K416" t="inlineStr">
        <is>
          <t>19 / 52</t>
        </is>
      </c>
      <c r="L416" t="inlineStr">
        <is>
          <t>6 / 13</t>
        </is>
      </c>
      <c r="M416" s="5" t="n">
        <v>0.27</v>
      </c>
      <c r="N416" s="5" t="n">
        <v>0.32</v>
      </c>
    </row>
    <row r="417">
      <c r="A417" t="n">
        <v>416</v>
      </c>
      <c r="B417" t="n">
        <v>2013</v>
      </c>
      <c r="C417" t="inlineStr">
        <is>
          <t>Audrey Ziqi Liu</t>
        </is>
      </c>
      <c r="D417">
        <f>HYPERLINK("https://ota.tournamentsoftware.com/player-profile/C2E6156A-D7ED-45A1-B728-0FA7A8D2D6A1", "Link")</f>
        <v/>
      </c>
      <c r="E417" s="3" t="n">
        <v>138.106</v>
      </c>
      <c r="F417" s="4" t="n">
        <v>11</v>
      </c>
      <c r="G417" t="inlineStr">
        <is>
          <t>British Columbia</t>
        </is>
      </c>
      <c r="H417" t="inlineStr">
        <is>
          <t>UBC Tennis Centre</t>
        </is>
      </c>
      <c r="I417" t="n">
        <v>34.7</v>
      </c>
      <c r="J417" s="4" t="n">
        <v>28</v>
      </c>
      <c r="K417" t="inlineStr">
        <is>
          <t>9 / 19</t>
        </is>
      </c>
      <c r="L417" t="inlineStr">
        <is>
          <t>8 / 17</t>
        </is>
      </c>
      <c r="M417" s="5" t="n">
        <v>0.32</v>
      </c>
      <c r="N417" s="5" t="n">
        <v>0.32</v>
      </c>
    </row>
    <row r="418">
      <c r="A418" t="n">
        <v>417</v>
      </c>
      <c r="B418" t="n">
        <v>2014</v>
      </c>
      <c r="C418" t="inlineStr">
        <is>
          <t>Audrey JIA</t>
        </is>
      </c>
      <c r="D418">
        <f>HYPERLINK("https://ota.tournamentsoftware.com/player-profile/3F7A519A-489C-490B-9AA2-F4FCBBCA474F", "Link")</f>
        <v/>
      </c>
      <c r="E418" s="3" t="n">
        <v>137.049</v>
      </c>
      <c r="F418" s="4" t="n">
        <v>24</v>
      </c>
      <c r="G418" t="inlineStr">
        <is>
          <t>Ontario Tennis Association</t>
        </is>
      </c>
      <c r="H418" t="inlineStr">
        <is>
          <t>Newmarket Community Tennis Club</t>
        </is>
      </c>
      <c r="I418" t="inlineStr">
        <is>
          <t>unavailable</t>
        </is>
      </c>
      <c r="J418" s="4" t="n">
        <v>102</v>
      </c>
      <c r="K418" t="inlineStr">
        <is>
          <t>56 / 46</t>
        </is>
      </c>
      <c r="L418" t="inlineStr">
        <is>
          <t>39 / 19</t>
        </is>
      </c>
      <c r="M418" s="5" t="n">
        <v>0.55</v>
      </c>
      <c r="N418" s="5" t="n">
        <v>0.67</v>
      </c>
    </row>
    <row r="419">
      <c r="A419" t="n">
        <v>418</v>
      </c>
      <c r="B419" t="n">
        <v>2013</v>
      </c>
      <c r="C419" t="inlineStr">
        <is>
          <t>Lydia Squires-Sturge</t>
        </is>
      </c>
      <c r="D419">
        <f>HYPERLINK("https://ota.tournamentsoftware.com/player-profile/AD6D5BEF-6293-4DE8-BF13-52E1A33EF28B", "Link")</f>
        <v/>
      </c>
      <c r="E419" s="3" t="n">
        <v>136.135</v>
      </c>
      <c r="F419" s="4" t="n">
        <v>6</v>
      </c>
      <c r="G419" t="inlineStr">
        <is>
          <t>Tennis Newfoundland &amp; Labrador</t>
        </is>
      </c>
      <c r="H419" t="inlineStr">
        <is>
          <t>Mount Pearl Tennis Club</t>
        </is>
      </c>
      <c r="I419" t="inlineStr">
        <is>
          <t>unavailable</t>
        </is>
      </c>
      <c r="J419" s="4" t="n">
        <v>29</v>
      </c>
      <c r="K419" t="inlineStr">
        <is>
          <t>11 / 18</t>
        </is>
      </c>
      <c r="L419" t="inlineStr">
        <is>
          <t>4 / 6</t>
        </is>
      </c>
      <c r="M419" s="5" t="n">
        <v>0.38</v>
      </c>
      <c r="N419" s="5" t="n">
        <v>0.4</v>
      </c>
    </row>
    <row r="420">
      <c r="A420" t="n">
        <v>419</v>
      </c>
      <c r="B420" t="n">
        <v>2012</v>
      </c>
      <c r="C420" t="inlineStr">
        <is>
          <t>Sophia Hamel</t>
        </is>
      </c>
      <c r="D420">
        <f>HYPERLINK("https://ota.tournamentsoftware.com/player-profile/D6C2A4EC-5F86-459B-A81E-7C31F47AD78D", "Link")</f>
        <v/>
      </c>
      <c r="E420" s="3" t="n">
        <v>135.331</v>
      </c>
      <c r="F420" s="4" t="n">
        <v>9</v>
      </c>
      <c r="G420" t="inlineStr">
        <is>
          <t>Tennis Québec</t>
        </is>
      </c>
      <c r="H420" t="inlineStr">
        <is>
          <t>Rouge et Or - Université Laval</t>
        </is>
      </c>
      <c r="I420" t="n">
        <v>35</v>
      </c>
      <c r="J420" s="4" t="n">
        <v>72</v>
      </c>
      <c r="K420" t="inlineStr">
        <is>
          <t>15 / 57</t>
        </is>
      </c>
      <c r="L420" t="inlineStr">
        <is>
          <t>6 / 12</t>
        </is>
      </c>
      <c r="M420" s="5" t="n">
        <v>0.21</v>
      </c>
      <c r="N420" s="5" t="n">
        <v>0.33</v>
      </c>
    </row>
    <row r="421">
      <c r="A421" t="n">
        <v>420</v>
      </c>
      <c r="B421" t="n">
        <v>2015</v>
      </c>
      <c r="C421" t="inlineStr">
        <is>
          <t>Anya De Lain</t>
        </is>
      </c>
      <c r="D421">
        <f>HYPERLINK("https://ota.tournamentsoftware.com/player-profile/563B79E2-A8FE-4D68-B224-8FB6861F2D7F", "Link")</f>
        <v/>
      </c>
      <c r="E421" s="3" t="n">
        <v>134.241</v>
      </c>
      <c r="F421" s="4" t="n">
        <v>15</v>
      </c>
      <c r="G421" t="inlineStr">
        <is>
          <t>Tennis Québec</t>
        </is>
      </c>
      <c r="H421" t="inlineStr">
        <is>
          <t>EB Tennis inc.</t>
        </is>
      </c>
      <c r="I421" t="n">
        <v>39.7</v>
      </c>
      <c r="J421" s="4" t="n">
        <v>93</v>
      </c>
      <c r="K421" t="inlineStr">
        <is>
          <t>17 / 76</t>
        </is>
      </c>
      <c r="L421" t="inlineStr">
        <is>
          <t>3 / 20</t>
        </is>
      </c>
      <c r="M421" s="5" t="n">
        <v>0.18</v>
      </c>
      <c r="N421" s="5" t="n">
        <v>0.13</v>
      </c>
    </row>
    <row r="422">
      <c r="A422" t="n">
        <v>421</v>
      </c>
      <c r="B422" t="n">
        <v>2015</v>
      </c>
      <c r="C422" t="inlineStr">
        <is>
          <t>Blake Badger</t>
        </is>
      </c>
      <c r="D422">
        <f>HYPERLINK("https://ota.tournamentsoftware.com/player-profile/33B72483-1E5D-4043-8C06-81F76F0504E6", "Link")</f>
        <v/>
      </c>
      <c r="E422" s="3" t="n">
        <v>133.817</v>
      </c>
      <c r="F422" s="4" t="n">
        <v>4</v>
      </c>
      <c r="G422" t="inlineStr">
        <is>
          <t>Tennis Saskatchewan</t>
        </is>
      </c>
      <c r="H422" t="inlineStr">
        <is>
          <t>Lakeshore Tennis Club</t>
        </is>
      </c>
      <c r="I422" t="n">
        <v>38.3</v>
      </c>
      <c r="J422" s="4" t="n">
        <v>63</v>
      </c>
      <c r="K422" t="inlineStr">
        <is>
          <t>20 / 43</t>
        </is>
      </c>
      <c r="L422" t="inlineStr">
        <is>
          <t>2 / 7</t>
        </is>
      </c>
      <c r="M422" s="5" t="n">
        <v>0.32</v>
      </c>
      <c r="N422" s="5" t="n">
        <v>0.22</v>
      </c>
    </row>
    <row r="423">
      <c r="A423" t="n">
        <v>422</v>
      </c>
      <c r="B423" t="n">
        <v>2013</v>
      </c>
      <c r="C423" t="inlineStr">
        <is>
          <t>Zoé Pilon</t>
        </is>
      </c>
      <c r="D423">
        <f>HYPERLINK("https://ota.tournamentsoftware.com/player-profile/5CF92DF6-CB3B-4E9E-9D03-B9CC6481DEBA", "Link")</f>
        <v/>
      </c>
      <c r="E423" s="3" t="n">
        <v>133.497</v>
      </c>
      <c r="F423" s="4" t="n">
        <v>12</v>
      </c>
      <c r="G423" t="inlineStr">
        <is>
          <t>Tennis Québec</t>
        </is>
      </c>
      <c r="H423" t="inlineStr">
        <is>
          <t>Tennis Interclub Piedmont</t>
        </is>
      </c>
      <c r="I423" t="n">
        <v>37.7</v>
      </c>
      <c r="J423" s="4" t="n">
        <v>22</v>
      </c>
      <c r="K423" t="inlineStr">
        <is>
          <t>7 / 15</t>
        </is>
      </c>
      <c r="L423" t="inlineStr">
        <is>
          <t>3 / 12</t>
        </is>
      </c>
      <c r="M423" s="5" t="n">
        <v>0.32</v>
      </c>
      <c r="N423" s="5" t="n">
        <v>0.2</v>
      </c>
    </row>
    <row r="424">
      <c r="A424" t="n">
        <v>423</v>
      </c>
      <c r="B424" t="n">
        <v>2014</v>
      </c>
      <c r="C424" t="inlineStr">
        <is>
          <t>Jaynaëlle Isaac</t>
        </is>
      </c>
      <c r="D424">
        <f>HYPERLINK("https://ota.tournamentsoftware.com/player-profile/6748F07C-41D2-4D26-87D9-8636B60DC389", "Link")</f>
        <v/>
      </c>
      <c r="E424" s="3" t="n">
        <v>132.874</v>
      </c>
      <c r="F424" s="4" t="n">
        <v>11</v>
      </c>
      <c r="G424" t="inlineStr">
        <is>
          <t>Tennis Québec</t>
        </is>
      </c>
      <c r="H424" t="inlineStr">
        <is>
          <t>No Club</t>
        </is>
      </c>
      <c r="I424" t="n">
        <v>32.4</v>
      </c>
      <c r="J424" s="4" t="n">
        <v>124</v>
      </c>
      <c r="K424" t="inlineStr">
        <is>
          <t>49 / 75</t>
        </is>
      </c>
      <c r="L424" t="inlineStr">
        <is>
          <t>9 / 11</t>
        </is>
      </c>
      <c r="M424" s="5" t="n">
        <v>0.4</v>
      </c>
      <c r="N424" s="5" t="n">
        <v>0.45</v>
      </c>
    </row>
    <row r="425">
      <c r="A425" t="n">
        <v>424</v>
      </c>
      <c r="B425" t="n">
        <v>2013</v>
      </c>
      <c r="C425" t="inlineStr">
        <is>
          <t>Olivia Xing</t>
        </is>
      </c>
      <c r="D425">
        <f>HYPERLINK("https://ota.tournamentsoftware.com/player-profile/03475BC0-CC60-490A-8E94-0D82D43C8EDC", "Link")</f>
        <v/>
      </c>
      <c r="E425" s="3" t="n">
        <v>132.497</v>
      </c>
      <c r="F425" s="4" t="n">
        <v>16</v>
      </c>
      <c r="G425" t="inlineStr">
        <is>
          <t>British Columbia</t>
        </is>
      </c>
      <c r="H425" t="inlineStr">
        <is>
          <t>Vancouver Lawn Tennis and Badminton Club</t>
        </is>
      </c>
      <c r="I425" t="inlineStr">
        <is>
          <t>unavailable</t>
        </is>
      </c>
      <c r="J425" s="4" t="n">
        <v>117</v>
      </c>
      <c r="K425" t="inlineStr">
        <is>
          <t>57 / 60</t>
        </is>
      </c>
      <c r="L425" t="inlineStr">
        <is>
          <t>10 / 13</t>
        </is>
      </c>
      <c r="M425" s="5" t="n">
        <v>0.49</v>
      </c>
      <c r="N425" s="5" t="n">
        <v>0.43</v>
      </c>
    </row>
    <row r="426">
      <c r="A426" t="n">
        <v>425</v>
      </c>
      <c r="B426" t="n">
        <v>2014</v>
      </c>
      <c r="C426" t="inlineStr">
        <is>
          <t>Olivia Weiwei Kong</t>
        </is>
      </c>
      <c r="D426">
        <f>HYPERLINK("https://ota.tournamentsoftware.com/player-profile/D959AEB1-2F72-4DC3-9FC0-C7595A80CDA0", "Link")</f>
        <v/>
      </c>
      <c r="E426" s="3" t="n">
        <v>130.887</v>
      </c>
      <c r="F426" s="4" t="n">
        <v>6</v>
      </c>
      <c r="G426" t="inlineStr">
        <is>
          <t>Tennis Saskatchewan</t>
        </is>
      </c>
      <c r="H426" t="inlineStr">
        <is>
          <t>Lakeshore Tennis Club</t>
        </is>
      </c>
      <c r="I426" t="n">
        <v>35.8</v>
      </c>
      <c r="J426" s="4" t="n">
        <v>91</v>
      </c>
      <c r="K426" t="inlineStr">
        <is>
          <t>23 / 68</t>
        </is>
      </c>
      <c r="L426" t="inlineStr">
        <is>
          <t>4 / 11</t>
        </is>
      </c>
      <c r="M426" s="5" t="n">
        <v>0.25</v>
      </c>
      <c r="N426" s="5" t="n">
        <v>0.27</v>
      </c>
    </row>
    <row r="427">
      <c r="A427" t="n">
        <v>426</v>
      </c>
      <c r="B427" t="n">
        <v>2013</v>
      </c>
      <c r="C427" t="inlineStr">
        <is>
          <t>Ellie Patricia Wilson</t>
        </is>
      </c>
      <c r="D427">
        <f>HYPERLINK("https://ota.tournamentsoftware.com/player-profile/CB4D2A63-DEA3-4EB8-9085-4317BC39804E", "Link")</f>
        <v/>
      </c>
      <c r="E427" s="3" t="n">
        <v>130.711</v>
      </c>
      <c r="F427" s="4" t="n">
        <v>6</v>
      </c>
      <c r="G427" t="inlineStr">
        <is>
          <t>Ontario Tennis Association</t>
        </is>
      </c>
      <c r="H427" t="inlineStr">
        <is>
          <t>Milton Tennis Club</t>
        </is>
      </c>
      <c r="I427" t="n">
        <v>34.4</v>
      </c>
      <c r="J427" s="4" t="n">
        <v>66</v>
      </c>
      <c r="K427" t="inlineStr">
        <is>
          <t>24 / 42</t>
        </is>
      </c>
      <c r="L427" t="inlineStr">
        <is>
          <t>3 / 5</t>
        </is>
      </c>
      <c r="M427" s="5" t="n">
        <v>0.36</v>
      </c>
      <c r="N427" s="5" t="n">
        <v>0.38</v>
      </c>
    </row>
    <row r="428">
      <c r="A428" t="n">
        <v>427</v>
      </c>
      <c r="B428" t="n">
        <v>2013</v>
      </c>
      <c r="C428" t="inlineStr">
        <is>
          <t>LEAH SHOJAIE</t>
        </is>
      </c>
      <c r="D428">
        <f>HYPERLINK("https://ota.tournamentsoftware.com/player-profile/A1DEEE7E-F9FE-4AA1-9DCF-5A3FDD2E189E", "Link")</f>
        <v/>
      </c>
      <c r="E428" s="3" t="n">
        <v>130.147</v>
      </c>
      <c r="F428" s="4" t="n">
        <v>14</v>
      </c>
      <c r="G428" t="inlineStr">
        <is>
          <t>Ontario Tennis Association</t>
        </is>
      </c>
      <c r="H428" t="inlineStr">
        <is>
          <t>Valan Tennis Academy</t>
        </is>
      </c>
      <c r="I428" t="n">
        <v>35.9</v>
      </c>
      <c r="J428" s="4" t="n">
        <v>21</v>
      </c>
      <c r="K428" t="inlineStr">
        <is>
          <t>6 / 15</t>
        </is>
      </c>
      <c r="L428" t="inlineStr">
        <is>
          <t>6 / 15</t>
        </is>
      </c>
      <c r="M428" s="5" t="n">
        <v>0.29</v>
      </c>
      <c r="N428" s="5" t="n">
        <v>0.29</v>
      </c>
    </row>
    <row r="429">
      <c r="A429" t="n">
        <v>428</v>
      </c>
      <c r="B429" t="n">
        <v>2012</v>
      </c>
      <c r="C429" t="inlineStr">
        <is>
          <t>Myra Chowdhary</t>
        </is>
      </c>
      <c r="D429">
        <f>HYPERLINK("https://ota.tournamentsoftware.com/player-profile/CE7139B1-580D-4EF4-A747-D0E1E897EAFB", "Link")</f>
        <v/>
      </c>
      <c r="E429" s="3" t="n">
        <v>130.123</v>
      </c>
      <c r="F429" s="4" t="n">
        <v>10</v>
      </c>
      <c r="G429" t="inlineStr">
        <is>
          <t>Ontario Tennis Association</t>
        </is>
      </c>
      <c r="H429" t="inlineStr">
        <is>
          <t>Youngs Sportsplex</t>
        </is>
      </c>
      <c r="I429" t="n">
        <v>38.4</v>
      </c>
      <c r="J429" s="4" t="n">
        <v>41</v>
      </c>
      <c r="K429" t="inlineStr">
        <is>
          <t>12 / 29</t>
        </is>
      </c>
      <c r="L429" t="inlineStr">
        <is>
          <t>4 / 13</t>
        </is>
      </c>
      <c r="M429" s="5" t="n">
        <v>0.29</v>
      </c>
      <c r="N429" s="5" t="n">
        <v>0.24</v>
      </c>
    </row>
    <row r="430">
      <c r="A430" t="n">
        <v>429</v>
      </c>
      <c r="B430" t="n">
        <v>2014</v>
      </c>
      <c r="C430" t="inlineStr">
        <is>
          <t>Scarlett Hannah Yip</t>
        </is>
      </c>
      <c r="D430">
        <f>HYPERLINK("https://ota.tournamentsoftware.com/player-profile/D01B38C8-E207-4D1F-B33D-970B1F8BDC78", "Link")</f>
        <v/>
      </c>
      <c r="E430" s="3" t="n">
        <v>128.523</v>
      </c>
      <c r="F430" s="4" t="n">
        <v>11</v>
      </c>
      <c r="G430" t="inlineStr">
        <is>
          <t>Tennis Alberta</t>
        </is>
      </c>
      <c r="H430" t="inlineStr">
        <is>
          <t>Osten &amp; Victor Alberta Tennis Centre</t>
        </is>
      </c>
      <c r="I430" t="n">
        <v>33.7</v>
      </c>
      <c r="J430" s="4" t="n">
        <v>146</v>
      </c>
      <c r="K430" t="inlineStr">
        <is>
          <t>65 / 81</t>
        </is>
      </c>
      <c r="L430" t="inlineStr">
        <is>
          <t>6 / 8</t>
        </is>
      </c>
      <c r="M430" s="5" t="n">
        <v>0.45</v>
      </c>
      <c r="N430" s="5" t="n">
        <v>0.43</v>
      </c>
    </row>
    <row r="431">
      <c r="A431" t="n">
        <v>430</v>
      </c>
      <c r="B431" t="n">
        <v>2014</v>
      </c>
      <c r="C431" t="inlineStr">
        <is>
          <t>Afsoune Wassel</t>
        </is>
      </c>
      <c r="D431">
        <f>HYPERLINK("https://ota.tournamentsoftware.com/player-profile/72D5D7A1-94DE-47DF-B01E-F83205C53092", "Link")</f>
        <v/>
      </c>
      <c r="E431" s="3" t="n">
        <v>128.099</v>
      </c>
      <c r="F431" s="4" t="n">
        <v>17</v>
      </c>
      <c r="G431" t="inlineStr">
        <is>
          <t>Tennis Québec</t>
        </is>
      </c>
      <c r="H431" t="inlineStr">
        <is>
          <t>SANI Sport</t>
        </is>
      </c>
      <c r="I431" t="n">
        <v>34.7</v>
      </c>
      <c r="J431" s="4" t="n">
        <v>118</v>
      </c>
      <c r="K431" t="inlineStr">
        <is>
          <t>59 / 59</t>
        </is>
      </c>
      <c r="L431" t="inlineStr">
        <is>
          <t>7 / 13</t>
        </is>
      </c>
      <c r="M431" s="5" t="n">
        <v>0.5</v>
      </c>
      <c r="N431" s="5" t="n">
        <v>0.35</v>
      </c>
    </row>
    <row r="432">
      <c r="A432" t="n">
        <v>431</v>
      </c>
      <c r="B432" t="n">
        <v>2014</v>
      </c>
      <c r="C432" t="inlineStr">
        <is>
          <t>Mikayla Avani Mahanandan</t>
        </is>
      </c>
      <c r="D432">
        <f>HYPERLINK("https://ota.tournamentsoftware.com/player-profile/DAFD5F0F-733D-4242-B572-5905268B6041", "Link")</f>
        <v/>
      </c>
      <c r="E432" s="3" t="n">
        <v>127.05</v>
      </c>
      <c r="F432" s="4" t="n">
        <v>23</v>
      </c>
      <c r="G432" t="inlineStr">
        <is>
          <t>Ontario Tennis Association</t>
        </is>
      </c>
      <c r="H432" t="inlineStr">
        <is>
          <t>Premier Racquet Clubs – Mississauga</t>
        </is>
      </c>
      <c r="I432" t="inlineStr">
        <is>
          <t>unavailable</t>
        </is>
      </c>
      <c r="J432" s="4" t="n">
        <v>112</v>
      </c>
      <c r="K432" t="inlineStr">
        <is>
          <t>38 / 74</t>
        </is>
      </c>
      <c r="L432" t="inlineStr">
        <is>
          <t>14 / 25</t>
        </is>
      </c>
      <c r="M432" s="5" t="n">
        <v>0.34</v>
      </c>
      <c r="N432" s="5" t="n">
        <v>0.36</v>
      </c>
    </row>
    <row r="433">
      <c r="A433" t="n">
        <v>432</v>
      </c>
      <c r="B433" t="n">
        <v>2013</v>
      </c>
      <c r="C433" t="inlineStr">
        <is>
          <t>Stella Marion Thoms</t>
        </is>
      </c>
      <c r="D433">
        <f>HYPERLINK("https://ota.tournamentsoftware.com/player-profile/26731833-04E0-4736-BC60-733715112E5E", "Link")</f>
        <v/>
      </c>
      <c r="E433" s="3" t="n">
        <v>126.437</v>
      </c>
      <c r="F433" s="4" t="n">
        <v>8</v>
      </c>
      <c r="G433" t="inlineStr">
        <is>
          <t>Tennis Newfoundland &amp; Labrador</t>
        </is>
      </c>
      <c r="H433" t="inlineStr">
        <is>
          <t>Riverdale Tennis Club</t>
        </is>
      </c>
      <c r="I433" t="n">
        <v>35.1</v>
      </c>
      <c r="J433" s="4" t="n">
        <v>51</v>
      </c>
      <c r="K433" t="inlineStr">
        <is>
          <t>29 / 22</t>
        </is>
      </c>
      <c r="L433" t="inlineStr">
        <is>
          <t>9 / 10</t>
        </is>
      </c>
      <c r="M433" s="5" t="n">
        <v>0.57</v>
      </c>
      <c r="N433" s="5" t="n">
        <v>0.47</v>
      </c>
    </row>
    <row r="434">
      <c r="A434" t="n">
        <v>433</v>
      </c>
      <c r="B434" t="n">
        <v>2015</v>
      </c>
      <c r="C434" t="inlineStr">
        <is>
          <t>Isla Suokas</t>
        </is>
      </c>
      <c r="D434">
        <f>HYPERLINK("https://ota.tournamentsoftware.com/player-profile/4CF0CDA6-2600-4F1B-8775-31212B766E74", "Link")</f>
        <v/>
      </c>
      <c r="E434" s="3" t="n">
        <v>126</v>
      </c>
      <c r="F434" s="4" t="n">
        <v>24</v>
      </c>
      <c r="G434" t="inlineStr">
        <is>
          <t>Ontario Tennis Association</t>
        </is>
      </c>
      <c r="H434" t="inlineStr">
        <is>
          <t>Boulevard Club</t>
        </is>
      </c>
      <c r="I434" t="n">
        <v>34.1</v>
      </c>
      <c r="J434" s="4" t="n">
        <v>103</v>
      </c>
      <c r="K434" t="inlineStr">
        <is>
          <t>62 / 41</t>
        </is>
      </c>
      <c r="L434" t="inlineStr">
        <is>
          <t>27 / 18</t>
        </is>
      </c>
      <c r="M434" s="5" t="n">
        <v>0.6</v>
      </c>
      <c r="N434" s="5" t="n">
        <v>0.6</v>
      </c>
    </row>
    <row r="435">
      <c r="A435" t="n">
        <v>434</v>
      </c>
      <c r="B435" t="n">
        <v>2015</v>
      </c>
      <c r="C435" t="inlineStr">
        <is>
          <t>Xinyue Grace zhu</t>
        </is>
      </c>
      <c r="D435">
        <f>HYPERLINK("https://ota.tournamentsoftware.com/player-profile/9C1D6B37-A27B-4B15-8F8F-72E6D4418B50", "Link")</f>
        <v/>
      </c>
      <c r="E435" s="3" t="n">
        <v>124.998</v>
      </c>
      <c r="F435" s="4" t="n">
        <v>11</v>
      </c>
      <c r="G435" t="inlineStr">
        <is>
          <t>British Columbia</t>
        </is>
      </c>
      <c r="H435" t="inlineStr">
        <is>
          <t>North Vancouver Tennis Centre</t>
        </is>
      </c>
      <c r="I435" t="inlineStr">
        <is>
          <t>unavailable</t>
        </is>
      </c>
      <c r="J435" s="4" t="n">
        <v>184</v>
      </c>
      <c r="K435" t="inlineStr">
        <is>
          <t>111 / 73</t>
        </is>
      </c>
      <c r="L435" t="inlineStr">
        <is>
          <t>12 / 10</t>
        </is>
      </c>
      <c r="M435" s="5" t="n">
        <v>0.6</v>
      </c>
      <c r="N435" s="5" t="n">
        <v>0.55</v>
      </c>
    </row>
    <row r="436">
      <c r="A436" t="n">
        <v>435</v>
      </c>
      <c r="B436" t="n">
        <v>2015</v>
      </c>
      <c r="C436" t="inlineStr">
        <is>
          <t>Chloe Zhiyan Bai</t>
        </is>
      </c>
      <c r="D436">
        <f>HYPERLINK("https://ota.tournamentsoftware.com/player-profile/D190414C-9B0E-4001-86BC-CD88F7FCF827", "Link")</f>
        <v/>
      </c>
      <c r="E436" s="3" t="n">
        <v>123.895</v>
      </c>
      <c r="F436" s="4" t="n">
        <v>25</v>
      </c>
      <c r="G436" t="inlineStr">
        <is>
          <t>British Columbia</t>
        </is>
      </c>
      <c r="H436" t="inlineStr">
        <is>
          <t>Tennis BC Hub @ Richmond</t>
        </is>
      </c>
      <c r="I436" t="inlineStr">
        <is>
          <t>unavailable</t>
        </is>
      </c>
      <c r="J436" s="4" t="n">
        <v>180</v>
      </c>
      <c r="K436" t="inlineStr">
        <is>
          <t>84 / 96</t>
        </is>
      </c>
      <c r="L436" t="inlineStr">
        <is>
          <t>31 / 23</t>
        </is>
      </c>
      <c r="M436" s="5" t="n">
        <v>0.47</v>
      </c>
      <c r="N436" s="5" t="n">
        <v>0.57</v>
      </c>
    </row>
    <row r="437">
      <c r="A437" t="n">
        <v>436</v>
      </c>
      <c r="B437" t="n">
        <v>2016</v>
      </c>
      <c r="C437" t="inlineStr">
        <is>
          <t>Paulina Mangal</t>
        </is>
      </c>
      <c r="D437">
        <f>HYPERLINK("https://ota.tournamentsoftware.com/player-profile/ADDD5986-263D-4338-B6C0-6F72A2AC55F7", "Link")</f>
        <v/>
      </c>
      <c r="E437" s="3" t="n">
        <v>122.04</v>
      </c>
      <c r="F437" s="4" t="n">
        <v>27</v>
      </c>
      <c r="G437" t="inlineStr">
        <is>
          <t>Ontario Tennis Association</t>
        </is>
      </c>
      <c r="H437" t="inlineStr">
        <is>
          <t>Premier Racquet Clubs – Mississauga</t>
        </is>
      </c>
      <c r="I437" t="n">
        <v>35.5</v>
      </c>
      <c r="J437" s="4" t="n">
        <v>188</v>
      </c>
      <c r="K437" t="inlineStr">
        <is>
          <t>80 / 108</t>
        </is>
      </c>
      <c r="L437" t="inlineStr">
        <is>
          <t>21 / 23</t>
        </is>
      </c>
      <c r="M437" s="5" t="n">
        <v>0.43</v>
      </c>
      <c r="N437" s="5" t="n">
        <v>0.48</v>
      </c>
    </row>
    <row r="438">
      <c r="A438" t="n">
        <v>437</v>
      </c>
      <c r="B438" t="n">
        <v>2013</v>
      </c>
      <c r="C438" t="inlineStr">
        <is>
          <t>LeeZann Lai</t>
        </is>
      </c>
      <c r="D438">
        <f>HYPERLINK("https://ota.tournamentsoftware.com/player-profile/F653FB3B-D606-4799-98B3-B9B8F7D1D120", "Link")</f>
        <v/>
      </c>
      <c r="E438" s="3" t="n">
        <v>121.248</v>
      </c>
      <c r="F438" s="4" t="n">
        <v>13</v>
      </c>
      <c r="G438" t="inlineStr">
        <is>
          <t>Ontario Tennis Association</t>
        </is>
      </c>
      <c r="H438" t="inlineStr">
        <is>
          <t>Don Mills Tennis Club</t>
        </is>
      </c>
      <c r="I438" t="n">
        <v>34.7</v>
      </c>
      <c r="J438" s="4" t="n">
        <v>56</v>
      </c>
      <c r="K438" t="inlineStr">
        <is>
          <t>23 / 33</t>
        </is>
      </c>
      <c r="L438" t="inlineStr">
        <is>
          <t>7 / 13</t>
        </is>
      </c>
      <c r="M438" s="5" t="n">
        <v>0.41</v>
      </c>
      <c r="N438" s="5" t="n">
        <v>0.35</v>
      </c>
    </row>
    <row r="439">
      <c r="A439" t="n">
        <v>438</v>
      </c>
      <c r="B439" t="n">
        <v>2015</v>
      </c>
      <c r="C439" t="inlineStr">
        <is>
          <t>Anna Guzina-McLeod</t>
        </is>
      </c>
      <c r="D439">
        <f>HYPERLINK("https://ota.tournamentsoftware.com/player-profile/55F5BC4F-092C-4C72-BFDC-3F60E618D778", "Link")</f>
        <v/>
      </c>
      <c r="E439" s="3" t="n">
        <v>120.28</v>
      </c>
      <c r="F439" s="4" t="n">
        <v>19</v>
      </c>
      <c r="G439" t="inlineStr">
        <is>
          <t>Ontario Tennis Association</t>
        </is>
      </c>
      <c r="H439" t="inlineStr">
        <is>
          <t>Rideau Sports Centre</t>
        </is>
      </c>
      <c r="I439" t="inlineStr">
        <is>
          <t>unavailable</t>
        </is>
      </c>
      <c r="J439" s="4" t="n">
        <v>123</v>
      </c>
      <c r="K439" t="inlineStr">
        <is>
          <t>71 / 52</t>
        </is>
      </c>
      <c r="L439" t="inlineStr">
        <is>
          <t>15 / 19</t>
        </is>
      </c>
      <c r="M439" s="5" t="n">
        <v>0.58</v>
      </c>
      <c r="N439" s="5" t="n">
        <v>0.44</v>
      </c>
    </row>
    <row r="440">
      <c r="A440" t="n">
        <v>439</v>
      </c>
      <c r="B440" t="n">
        <v>2013</v>
      </c>
      <c r="C440" t="inlineStr">
        <is>
          <t>Isabelle Duvinage</t>
        </is>
      </c>
      <c r="D440">
        <f>HYPERLINK("https://ota.tournamentsoftware.com/player-profile/7B9DB032-AD8C-41C5-A138-CF844016B7C1", "Link")</f>
        <v/>
      </c>
      <c r="E440" s="3" t="n">
        <v>119.45</v>
      </c>
      <c r="F440" s="4" t="n">
        <v>9</v>
      </c>
      <c r="G440" t="inlineStr">
        <is>
          <t>Ontario Tennis Association</t>
        </is>
      </c>
      <c r="H440" t="inlineStr">
        <is>
          <t>Kew Gardens Tennis Club</t>
        </is>
      </c>
      <c r="I440" t="n">
        <v>36.5</v>
      </c>
      <c r="J440" s="4" t="n">
        <v>45</v>
      </c>
      <c r="K440" t="inlineStr">
        <is>
          <t>15 / 30</t>
        </is>
      </c>
      <c r="L440" t="inlineStr">
        <is>
          <t>4 / 10</t>
        </is>
      </c>
      <c r="M440" s="5" t="n">
        <v>0.33</v>
      </c>
      <c r="N440" s="5" t="n">
        <v>0.29</v>
      </c>
    </row>
    <row r="441">
      <c r="A441" t="n">
        <v>440</v>
      </c>
      <c r="B441" t="n">
        <v>2013</v>
      </c>
      <c r="C441" t="inlineStr">
        <is>
          <t>Noa Margaux Dery</t>
        </is>
      </c>
      <c r="D441">
        <f>HYPERLINK("https://ota.tournamentsoftware.com/player-profile/2BE09915-8A78-4187-839F-E3A10E233213", "Link")</f>
        <v/>
      </c>
      <c r="E441" s="3" t="n">
        <v>119.111</v>
      </c>
      <c r="F441" s="4" t="n">
        <v>6</v>
      </c>
      <c r="G441" t="inlineStr">
        <is>
          <t>Tennis Québec</t>
        </is>
      </c>
      <c r="H441" t="inlineStr">
        <is>
          <t>Club Sportif Côte-de-Liesse</t>
        </is>
      </c>
      <c r="I441" t="n">
        <v>35.5</v>
      </c>
      <c r="J441" s="4" t="n">
        <v>39</v>
      </c>
      <c r="K441" t="inlineStr">
        <is>
          <t>14 / 25</t>
        </is>
      </c>
      <c r="L441" t="inlineStr">
        <is>
          <t>7 / 6</t>
        </is>
      </c>
      <c r="M441" s="5" t="n">
        <v>0.36</v>
      </c>
      <c r="N441" s="5" t="n">
        <v>0.54</v>
      </c>
    </row>
    <row r="442">
      <c r="A442" t="n">
        <v>441</v>
      </c>
      <c r="B442" t="n">
        <v>2014</v>
      </c>
      <c r="C442" t="inlineStr">
        <is>
          <t>Ranica Li</t>
        </is>
      </c>
      <c r="D442">
        <f>HYPERLINK("https://ota.tournamentsoftware.com/player-profile/5C189397-D536-4086-AA1D-1AD29C093438", "Link")</f>
        <v/>
      </c>
      <c r="E442" s="3" t="n">
        <v>118.633</v>
      </c>
      <c r="F442" s="4" t="n">
        <v>21</v>
      </c>
      <c r="G442" t="inlineStr">
        <is>
          <t>British Columbia</t>
        </is>
      </c>
      <c r="H442" t="inlineStr">
        <is>
          <t>The Tennis Centre</t>
        </is>
      </c>
      <c r="I442" t="n">
        <v>33.1</v>
      </c>
      <c r="J442" s="4" t="n">
        <v>97</v>
      </c>
      <c r="K442" t="inlineStr">
        <is>
          <t>56 / 41</t>
        </is>
      </c>
      <c r="L442" t="inlineStr">
        <is>
          <t>32 / 18</t>
        </is>
      </c>
      <c r="M442" s="5" t="n">
        <v>0.58</v>
      </c>
      <c r="N442" s="5" t="n">
        <v>0.64</v>
      </c>
    </row>
    <row r="443">
      <c r="A443" t="n">
        <v>442</v>
      </c>
      <c r="B443" t="n">
        <v>2013</v>
      </c>
      <c r="C443" t="inlineStr">
        <is>
          <t>Zaria Antonella Tambini</t>
        </is>
      </c>
      <c r="D443">
        <f>HYPERLINK("https://ota.tournamentsoftware.com/player-profile/92DDE685-2967-4CDD-8CA6-2827E6AC3AEB", "Link")</f>
        <v/>
      </c>
      <c r="E443" s="3" t="n">
        <v>117.899</v>
      </c>
      <c r="F443" s="4" t="n">
        <v>8</v>
      </c>
      <c r="G443" t="inlineStr">
        <is>
          <t>Ontario Tennis Association</t>
        </is>
      </c>
      <c r="H443" t="inlineStr">
        <is>
          <t>Headwaters Racquet Club</t>
        </is>
      </c>
      <c r="I443" t="n">
        <v>37.9</v>
      </c>
      <c r="J443" s="4" t="n">
        <v>26</v>
      </c>
      <c r="K443" t="inlineStr">
        <is>
          <t>10 / 16</t>
        </is>
      </c>
      <c r="L443" t="inlineStr">
        <is>
          <t>5 / 14</t>
        </is>
      </c>
      <c r="M443" s="5" t="n">
        <v>0.38</v>
      </c>
      <c r="N443" s="5" t="n">
        <v>0.26</v>
      </c>
    </row>
    <row r="444">
      <c r="A444" t="n">
        <v>443</v>
      </c>
      <c r="B444" t="n">
        <v>2015</v>
      </c>
      <c r="C444" t="inlineStr">
        <is>
          <t>Grace Raymond</t>
        </is>
      </c>
      <c r="D444">
        <f>HYPERLINK("https://ota.tournamentsoftware.com/player-profile/879338D5-D59E-4EA6-A8E9-135220F52905", "Link")</f>
        <v/>
      </c>
      <c r="E444" s="3" t="n">
        <v>117.654</v>
      </c>
      <c r="F444" s="4" t="n">
        <v>14</v>
      </c>
      <c r="G444" t="inlineStr">
        <is>
          <t>Tennis Alberta</t>
        </is>
      </c>
      <c r="H444" t="inlineStr">
        <is>
          <t>Osten &amp; Victor Alberta Tennis Centre</t>
        </is>
      </c>
      <c r="I444" t="n">
        <v>34.4</v>
      </c>
      <c r="J444" s="4" t="n">
        <v>72</v>
      </c>
      <c r="K444" t="inlineStr">
        <is>
          <t>32 / 40</t>
        </is>
      </c>
      <c r="L444" t="inlineStr">
        <is>
          <t>7 / 11</t>
        </is>
      </c>
      <c r="M444" s="5" t="n">
        <v>0.44</v>
      </c>
      <c r="N444" s="5" t="n">
        <v>0.39</v>
      </c>
    </row>
    <row r="445">
      <c r="A445" t="n">
        <v>444</v>
      </c>
      <c r="B445" t="n">
        <v>2015</v>
      </c>
      <c r="C445" t="inlineStr">
        <is>
          <t>Emma Plugaru</t>
        </is>
      </c>
      <c r="D445">
        <f>HYPERLINK("https://ota.tournamentsoftware.com/player-profile/A8C9C47A-4B9A-43CD-97A6-5516A6BAA15D", "Link")</f>
        <v/>
      </c>
      <c r="E445" s="3" t="n">
        <v>117.51</v>
      </c>
      <c r="F445" s="4" t="n">
        <v>14</v>
      </c>
      <c r="G445" t="inlineStr">
        <is>
          <t>Tennis Québec</t>
        </is>
      </c>
      <c r="H445" t="inlineStr">
        <is>
          <t>Tennis 13</t>
        </is>
      </c>
      <c r="I445" t="n">
        <v>33.6</v>
      </c>
      <c r="J445" s="4" t="n">
        <v>133</v>
      </c>
      <c r="K445" t="inlineStr">
        <is>
          <t>73 / 60</t>
        </is>
      </c>
      <c r="L445" t="inlineStr">
        <is>
          <t>20 / 11</t>
        </is>
      </c>
      <c r="M445" s="5" t="n">
        <v>0.55</v>
      </c>
      <c r="N445" s="5" t="n">
        <v>0.65</v>
      </c>
    </row>
    <row r="446">
      <c r="A446" t="n">
        <v>445</v>
      </c>
      <c r="B446" t="n">
        <v>2015</v>
      </c>
      <c r="C446" t="inlineStr">
        <is>
          <t>Mia Pan</t>
        </is>
      </c>
      <c r="D446">
        <f>HYPERLINK("https://ota.tournamentsoftware.com/player-profile/AC58096C-5119-4221-95E0-C06E89FC8EFF", "Link")</f>
        <v/>
      </c>
      <c r="E446" s="3" t="n">
        <v>116.37</v>
      </c>
      <c r="F446" s="4" t="n">
        <v>18</v>
      </c>
      <c r="G446" t="inlineStr">
        <is>
          <t>British Columbia</t>
        </is>
      </c>
      <c r="H446" t="inlineStr">
        <is>
          <t>Vanguard Tennis Academy</t>
        </is>
      </c>
      <c r="I446" t="inlineStr">
        <is>
          <t>unavailable</t>
        </is>
      </c>
      <c r="J446" s="4" t="n">
        <v>126</v>
      </c>
      <c r="K446" t="inlineStr">
        <is>
          <t>72 / 54</t>
        </is>
      </c>
      <c r="L446" t="inlineStr">
        <is>
          <t>28 / 20</t>
        </is>
      </c>
      <c r="M446" s="5" t="n">
        <v>0.57</v>
      </c>
      <c r="N446" s="5" t="n">
        <v>0.58</v>
      </c>
    </row>
    <row r="447">
      <c r="A447" t="n">
        <v>446</v>
      </c>
      <c r="B447" t="n">
        <v>2015</v>
      </c>
      <c r="C447" t="inlineStr">
        <is>
          <t>Sofia Bulynko</t>
        </is>
      </c>
      <c r="D447">
        <f>HYPERLINK("https://ota.tournamentsoftware.com/player-profile/88C213E0-0960-44DC-B9B0-66B1ADEE699B", "Link")</f>
        <v/>
      </c>
      <c r="E447" s="3" t="n">
        <v>116.274</v>
      </c>
      <c r="F447" s="4" t="n">
        <v>13</v>
      </c>
      <c r="G447" t="inlineStr">
        <is>
          <t>Ontario Tennis Association</t>
        </is>
      </c>
      <c r="H447" t="inlineStr">
        <is>
          <t>National Tennis School</t>
        </is>
      </c>
      <c r="I447" t="n">
        <v>35.4</v>
      </c>
      <c r="J447" s="4" t="n">
        <v>59</v>
      </c>
      <c r="K447" t="inlineStr">
        <is>
          <t>30 / 29</t>
        </is>
      </c>
      <c r="L447" t="inlineStr">
        <is>
          <t>13 / 12</t>
        </is>
      </c>
      <c r="M447" s="5" t="n">
        <v>0.51</v>
      </c>
      <c r="N447" s="5" t="n">
        <v>0.52</v>
      </c>
    </row>
    <row r="448">
      <c r="A448" t="n">
        <v>447</v>
      </c>
      <c r="B448" t="n">
        <v>2015</v>
      </c>
      <c r="C448" t="inlineStr">
        <is>
          <t>Namasya Nakul</t>
        </is>
      </c>
      <c r="D448">
        <f>HYPERLINK("https://ota.tournamentsoftware.com/player-profile/30AB6566-4805-4DA5-90A9-E6D59F3D0D64", "Link")</f>
        <v/>
      </c>
      <c r="E448" s="3" t="n">
        <v>116.243</v>
      </c>
      <c r="F448" s="4" t="n">
        <v>20</v>
      </c>
      <c r="G448" t="inlineStr">
        <is>
          <t>British Columbia</t>
        </is>
      </c>
      <c r="H448" t="inlineStr">
        <is>
          <t>Richmond Country Club</t>
        </is>
      </c>
      <c r="I448" t="n">
        <v>32.6</v>
      </c>
      <c r="J448" s="4" t="n">
        <v>124</v>
      </c>
      <c r="K448" t="inlineStr">
        <is>
          <t>68 / 56</t>
        </is>
      </c>
      <c r="L448" t="inlineStr">
        <is>
          <t>28 / 20</t>
        </is>
      </c>
      <c r="M448" s="5" t="n">
        <v>0.55</v>
      </c>
      <c r="N448" s="5" t="n">
        <v>0.58</v>
      </c>
    </row>
    <row r="449">
      <c r="A449" t="n">
        <v>448</v>
      </c>
      <c r="B449" t="n">
        <v>2013</v>
      </c>
      <c r="C449" t="inlineStr">
        <is>
          <t>Sofia Anne Brunetto</t>
        </is>
      </c>
      <c r="D449">
        <f>HYPERLINK("https://ota.tournamentsoftware.com/player-profile/C2843F1F-C701-4853-A79C-051450F19D77", "Link")</f>
        <v/>
      </c>
      <c r="E449" s="3" t="n">
        <v>116.084</v>
      </c>
      <c r="F449" s="4" t="n">
        <v>8</v>
      </c>
      <c r="G449" t="inlineStr">
        <is>
          <t>Ontario Tennis Association</t>
        </is>
      </c>
      <c r="H449" t="inlineStr">
        <is>
          <t>Zekelman Tennis Centre</t>
        </is>
      </c>
      <c r="I449" t="n">
        <v>33.8</v>
      </c>
      <c r="J449" s="4" t="n">
        <v>20</v>
      </c>
      <c r="K449" t="inlineStr">
        <is>
          <t>8 / 12</t>
        </is>
      </c>
      <c r="L449" t="inlineStr">
        <is>
          <t>3 / 7</t>
        </is>
      </c>
      <c r="M449" s="5" t="n">
        <v>0.4</v>
      </c>
      <c r="N449" s="5" t="n">
        <v>0.3</v>
      </c>
    </row>
    <row r="450">
      <c r="A450" t="n">
        <v>449</v>
      </c>
      <c r="B450" t="n">
        <v>2015</v>
      </c>
      <c r="C450" t="inlineStr">
        <is>
          <t>Juliet Lauture</t>
        </is>
      </c>
      <c r="D450">
        <f>HYPERLINK("https://ota.tournamentsoftware.com/player-profile/70FC879C-9BB0-4123-BE70-BCB588C22C80", "Link")</f>
        <v/>
      </c>
      <c r="E450" s="3" t="n">
        <v>114.508</v>
      </c>
      <c r="F450" s="4" t="n">
        <v>24</v>
      </c>
      <c r="G450" t="inlineStr">
        <is>
          <t>Tennis Québec</t>
        </is>
      </c>
      <c r="H450" t="inlineStr">
        <is>
          <t>Club Sportif Côte-de-Liesse</t>
        </is>
      </c>
      <c r="I450" t="n">
        <v>35.4</v>
      </c>
      <c r="J450" s="4" t="n">
        <v>109</v>
      </c>
      <c r="K450" t="inlineStr">
        <is>
          <t>59 / 50</t>
        </is>
      </c>
      <c r="L450" t="inlineStr">
        <is>
          <t>20 / 22</t>
        </is>
      </c>
      <c r="M450" s="5" t="n">
        <v>0.54</v>
      </c>
      <c r="N450" s="5" t="n">
        <v>0.48</v>
      </c>
    </row>
    <row r="451">
      <c r="A451" t="n">
        <v>450</v>
      </c>
      <c r="B451" t="n">
        <v>2015</v>
      </c>
      <c r="C451" t="inlineStr">
        <is>
          <t>Sofia Nasrallah</t>
        </is>
      </c>
      <c r="D451">
        <f>HYPERLINK("https://ota.tournamentsoftware.com/player-profile/FAA88C80-170D-40C3-8A88-6B81077D1F02", "Link")</f>
        <v/>
      </c>
      <c r="E451" s="3" t="n">
        <v>114.42</v>
      </c>
      <c r="F451" s="4" t="n">
        <v>22</v>
      </c>
      <c r="G451" t="inlineStr">
        <is>
          <t>Tennis Québec</t>
        </is>
      </c>
      <c r="H451" t="inlineStr">
        <is>
          <t>Carrefour Multisports</t>
        </is>
      </c>
      <c r="I451" t="n">
        <v>36.5</v>
      </c>
      <c r="J451" s="4" t="n">
        <v>162</v>
      </c>
      <c r="K451" t="inlineStr">
        <is>
          <t>54 / 108</t>
        </is>
      </c>
      <c r="L451" t="inlineStr">
        <is>
          <t>11 / 23</t>
        </is>
      </c>
      <c r="M451" s="5" t="n">
        <v>0.33</v>
      </c>
      <c r="N451" s="5" t="n">
        <v>0.32</v>
      </c>
    </row>
    <row r="452">
      <c r="A452" t="n">
        <v>451</v>
      </c>
      <c r="B452" t="n">
        <v>2016</v>
      </c>
      <c r="C452" t="inlineStr">
        <is>
          <t>Lydia Yinuo Xu</t>
        </is>
      </c>
      <c r="D452">
        <f>HYPERLINK("https://ota.tournamentsoftware.com/player-profile/515F94D6-B979-4BBE-98E6-48CFEF4CE395", "Link")</f>
        <v/>
      </c>
      <c r="E452" s="3" t="n">
        <v>114</v>
      </c>
      <c r="F452" s="4" t="n">
        <v>16</v>
      </c>
      <c r="G452" t="inlineStr">
        <is>
          <t>Ontario Tennis Association</t>
        </is>
      </c>
      <c r="H452" t="inlineStr">
        <is>
          <t>Joshua Creek Golf &amp; Tennis</t>
        </is>
      </c>
      <c r="I452" t="n">
        <v>34.2</v>
      </c>
      <c r="J452" s="4" t="n">
        <v>168</v>
      </c>
      <c r="K452" t="inlineStr">
        <is>
          <t>82 / 86</t>
        </is>
      </c>
      <c r="L452" t="inlineStr">
        <is>
          <t>36 / 16</t>
        </is>
      </c>
      <c r="M452" s="5" t="n">
        <v>0.49</v>
      </c>
      <c r="N452" s="5" t="n">
        <v>0.6899999999999999</v>
      </c>
    </row>
    <row r="453">
      <c r="A453" t="n">
        <v>452</v>
      </c>
      <c r="B453" t="n">
        <v>2014</v>
      </c>
      <c r="C453" t="inlineStr">
        <is>
          <t>Sarah Gottlieb</t>
        </is>
      </c>
      <c r="D453">
        <f>HYPERLINK("https://ota.tournamentsoftware.com/player-profile/BD51254A-E036-424C-B89A-FB47A73C0DC5", "Link")</f>
        <v/>
      </c>
      <c r="E453" s="3" t="n">
        <v>113.604</v>
      </c>
      <c r="F453" s="4" t="n">
        <v>4</v>
      </c>
      <c r="G453" t="inlineStr">
        <is>
          <t>Tennis Québec</t>
        </is>
      </c>
      <c r="H453" t="inlineStr">
        <is>
          <t>Tennis 13</t>
        </is>
      </c>
      <c r="I453" t="n">
        <v>33.5</v>
      </c>
      <c r="J453" s="4" t="n">
        <v>92</v>
      </c>
      <c r="K453" t="inlineStr">
        <is>
          <t>46 / 46</t>
        </is>
      </c>
      <c r="L453" t="inlineStr">
        <is>
          <t>1 / 2</t>
        </is>
      </c>
      <c r="M453" s="5" t="n">
        <v>0.5</v>
      </c>
      <c r="N453" s="5" t="n">
        <v>0.33</v>
      </c>
    </row>
    <row r="454">
      <c r="A454" t="n">
        <v>453</v>
      </c>
      <c r="B454" t="n">
        <v>2012</v>
      </c>
      <c r="C454" t="inlineStr">
        <is>
          <t>Zeyu (Anne) Xu</t>
        </is>
      </c>
      <c r="D454">
        <f>HYPERLINK("https://ota.tournamentsoftware.com/player-profile/7D4E0E2F-DC2C-4911-BF16-A07E84364BB7", "Link")</f>
        <v/>
      </c>
      <c r="E454" s="3" t="n">
        <v>113.598</v>
      </c>
      <c r="F454" s="4" t="n">
        <v>9</v>
      </c>
      <c r="G454" t="inlineStr">
        <is>
          <t>British Columbia</t>
        </is>
      </c>
      <c r="H454" t="inlineStr">
        <is>
          <t>Tennis BC Hub @ Richmond</t>
        </is>
      </c>
      <c r="I454" t="n">
        <v>34.6</v>
      </c>
      <c r="J454" s="4" t="n">
        <v>109</v>
      </c>
      <c r="K454" t="inlineStr">
        <is>
          <t>26 / 83</t>
        </is>
      </c>
      <c r="L454" t="inlineStr">
        <is>
          <t>4 / 13</t>
        </is>
      </c>
      <c r="M454" s="5" t="n">
        <v>0.24</v>
      </c>
      <c r="N454" s="5" t="n">
        <v>0.24</v>
      </c>
    </row>
    <row r="455">
      <c r="A455" t="n">
        <v>454</v>
      </c>
      <c r="B455" t="n">
        <v>2012</v>
      </c>
      <c r="C455" t="inlineStr">
        <is>
          <t>Karolina Klepinin</t>
        </is>
      </c>
      <c r="D455">
        <f>HYPERLINK("https://ota.tournamentsoftware.com/player-profile/A0474BDB-A63B-423A-90FB-FAAA726E2052", "Link")</f>
        <v/>
      </c>
      <c r="E455" s="3" t="n">
        <v>113.268</v>
      </c>
      <c r="F455" s="4" t="n">
        <v>7</v>
      </c>
      <c r="G455" t="inlineStr">
        <is>
          <t>Ontario Tennis Association</t>
        </is>
      </c>
      <c r="H455" t="inlineStr">
        <is>
          <t>ON North Central No Club</t>
        </is>
      </c>
      <c r="I455" t="n">
        <v>36.4</v>
      </c>
      <c r="J455" s="4" t="n">
        <v>54</v>
      </c>
      <c r="K455" t="inlineStr">
        <is>
          <t>14 / 40</t>
        </is>
      </c>
      <c r="L455" t="inlineStr">
        <is>
          <t>3 / 9</t>
        </is>
      </c>
      <c r="M455" s="5" t="n">
        <v>0.26</v>
      </c>
      <c r="N455" s="5" t="n">
        <v>0.25</v>
      </c>
    </row>
    <row r="456">
      <c r="A456" t="n">
        <v>455</v>
      </c>
      <c r="B456" t="n">
        <v>2015</v>
      </c>
      <c r="C456" t="inlineStr">
        <is>
          <t>Misia Ania Pietras</t>
        </is>
      </c>
      <c r="D456">
        <f>HYPERLINK("https://ota.tournamentsoftware.com/player-profile/81A2D044-B79D-4C29-B0B3-9E7AF48F2811", "Link")</f>
        <v/>
      </c>
      <c r="E456" s="3" t="n">
        <v>113.264</v>
      </c>
      <c r="F456" s="4" t="n">
        <v>15</v>
      </c>
      <c r="G456" t="inlineStr">
        <is>
          <t>Ontario Tennis Association</t>
        </is>
      </c>
      <c r="H456" t="inlineStr">
        <is>
          <t>The Tennis School</t>
        </is>
      </c>
      <c r="I456" t="n">
        <v>35.4</v>
      </c>
      <c r="J456" s="4" t="n">
        <v>57</v>
      </c>
      <c r="K456" t="inlineStr">
        <is>
          <t>32 / 25</t>
        </is>
      </c>
      <c r="L456" t="inlineStr">
        <is>
          <t>15 / 10</t>
        </is>
      </c>
      <c r="M456" s="5" t="n">
        <v>0.5600000000000001</v>
      </c>
      <c r="N456" s="5" t="n">
        <v>0.6</v>
      </c>
    </row>
    <row r="457">
      <c r="A457" t="n">
        <v>456</v>
      </c>
      <c r="B457" t="n">
        <v>2014</v>
      </c>
      <c r="C457" t="inlineStr">
        <is>
          <t>Maxine Andrea Subsuban</t>
        </is>
      </c>
      <c r="D457">
        <f>HYPERLINK("https://ota.tournamentsoftware.com/player-profile/330D8089-39D5-4A22-8596-8BAAF8D4E02E", "Link")</f>
        <v/>
      </c>
      <c r="E457" s="3" t="n">
        <v>112.585</v>
      </c>
      <c r="F457" s="4" t="n">
        <v>10</v>
      </c>
      <c r="G457" t="inlineStr">
        <is>
          <t>Tennis Alberta</t>
        </is>
      </c>
      <c r="H457" t="inlineStr">
        <is>
          <t>Osten &amp; Victor Alberta Tennis Centre</t>
        </is>
      </c>
      <c r="I457" t="inlineStr">
        <is>
          <t>unavailable</t>
        </is>
      </c>
      <c r="J457" s="4" t="n">
        <v>106</v>
      </c>
      <c r="K457" t="inlineStr">
        <is>
          <t>45 / 61</t>
        </is>
      </c>
      <c r="L457" t="inlineStr">
        <is>
          <t>11 / 10</t>
        </is>
      </c>
      <c r="M457" s="5" t="n">
        <v>0.42</v>
      </c>
      <c r="N457" s="5" t="n">
        <v>0.52</v>
      </c>
    </row>
    <row r="458">
      <c r="A458" t="n">
        <v>457</v>
      </c>
      <c r="B458" t="n">
        <v>2015</v>
      </c>
      <c r="C458" t="inlineStr">
        <is>
          <t>Arianna Marquez</t>
        </is>
      </c>
      <c r="D458">
        <f>HYPERLINK("https://ota.tournamentsoftware.com/player-profile/ABB23AE3-6EC2-498B-AA4D-BB89BCBF0088", "Link")</f>
        <v/>
      </c>
      <c r="E458" s="3" t="n">
        <v>112.229</v>
      </c>
      <c r="F458" s="4" t="n">
        <v>16</v>
      </c>
      <c r="G458" t="inlineStr">
        <is>
          <t>Tennis Alberta</t>
        </is>
      </c>
      <c r="H458" t="inlineStr">
        <is>
          <t>Saville Community Sports Centre</t>
        </is>
      </c>
      <c r="I458" t="n">
        <v>33.4</v>
      </c>
      <c r="J458" s="4" t="n">
        <v>144</v>
      </c>
      <c r="K458" t="inlineStr">
        <is>
          <t>92 / 52</t>
        </is>
      </c>
      <c r="L458" t="inlineStr">
        <is>
          <t>16 / 18</t>
        </is>
      </c>
      <c r="M458" s="5" t="n">
        <v>0.64</v>
      </c>
      <c r="N458" s="5" t="n">
        <v>0.47</v>
      </c>
    </row>
    <row r="459">
      <c r="A459" t="n">
        <v>458</v>
      </c>
      <c r="B459" t="n">
        <v>2014</v>
      </c>
      <c r="C459" t="inlineStr">
        <is>
          <t>Grace Wu</t>
        </is>
      </c>
      <c r="D459">
        <f>HYPERLINK("https://ota.tournamentsoftware.com/player-profile/0E55C3D7-7F72-4CDB-9BC3-2D90797931A5", "Link")</f>
        <v/>
      </c>
      <c r="E459" s="3" t="n">
        <v>109.93</v>
      </c>
      <c r="F459" s="4" t="n">
        <v>4</v>
      </c>
      <c r="G459" t="inlineStr">
        <is>
          <t>British Columbia</t>
        </is>
      </c>
      <c r="H459" t="inlineStr">
        <is>
          <t>The Tennis Centre</t>
        </is>
      </c>
      <c r="I459" t="n">
        <v>32.1</v>
      </c>
      <c r="J459" s="4" t="n">
        <v>96</v>
      </c>
      <c r="K459" t="inlineStr">
        <is>
          <t>63 / 33</t>
        </is>
      </c>
      <c r="L459" t="inlineStr">
        <is>
          <t>3 / 4</t>
        </is>
      </c>
      <c r="M459" s="5" t="n">
        <v>0.66</v>
      </c>
      <c r="N459" s="5" t="n">
        <v>0.43</v>
      </c>
    </row>
    <row r="460">
      <c r="A460" t="n">
        <v>459</v>
      </c>
      <c r="B460" t="n">
        <v>2012</v>
      </c>
      <c r="C460" t="inlineStr">
        <is>
          <t>Gaëlle Jodoin</t>
        </is>
      </c>
      <c r="D460">
        <f>HYPERLINK("https://ota.tournamentsoftware.com/player-profile/A3792AFC-E32E-4258-8FA9-9240021C6401", "Link")</f>
        <v/>
      </c>
      <c r="E460" s="3" t="n">
        <v>108.955</v>
      </c>
      <c r="F460" s="4" t="n">
        <v>4</v>
      </c>
      <c r="G460" t="inlineStr">
        <is>
          <t>Tennis Québec</t>
        </is>
      </c>
      <c r="H460" t="inlineStr">
        <is>
          <t>Tennis 13</t>
        </is>
      </c>
      <c r="I460" t="n">
        <v>38.4</v>
      </c>
      <c r="J460" s="4" t="n">
        <v>87</v>
      </c>
      <c r="K460" t="inlineStr">
        <is>
          <t>14 / 73</t>
        </is>
      </c>
      <c r="L460" t="inlineStr">
        <is>
          <t>0 / 3</t>
        </is>
      </c>
      <c r="M460" s="5" t="n">
        <v>0.16</v>
      </c>
      <c r="N460" s="5" t="n">
        <v>0</v>
      </c>
    </row>
    <row r="461">
      <c r="A461" t="n">
        <v>460</v>
      </c>
      <c r="B461" t="n">
        <v>2015</v>
      </c>
      <c r="C461" t="inlineStr">
        <is>
          <t>Mila Venturelli</t>
        </is>
      </c>
      <c r="D461">
        <f>HYPERLINK("https://ota.tournamentsoftware.com/player-profile/BCA3B83C-81C0-4469-B3DA-4E3234E6CA0A", "Link")</f>
        <v/>
      </c>
      <c r="E461" s="3" t="n">
        <v>108.926</v>
      </c>
      <c r="F461" s="4" t="n">
        <v>21</v>
      </c>
      <c r="G461" t="inlineStr">
        <is>
          <t>Tennis Québec</t>
        </is>
      </c>
      <c r="H461" t="inlineStr">
        <is>
          <t>Tennis 13</t>
        </is>
      </c>
      <c r="I461" t="n">
        <v>36.4</v>
      </c>
      <c r="J461" s="4" t="n">
        <v>96</v>
      </c>
      <c r="K461" t="inlineStr">
        <is>
          <t>40 / 56</t>
        </is>
      </c>
      <c r="L461" t="inlineStr">
        <is>
          <t>12 / 19</t>
        </is>
      </c>
      <c r="M461" s="5" t="n">
        <v>0.42</v>
      </c>
      <c r="N461" s="5" t="n">
        <v>0.39</v>
      </c>
    </row>
    <row r="462">
      <c r="A462" t="n">
        <v>461</v>
      </c>
      <c r="B462" t="n">
        <v>2014</v>
      </c>
      <c r="C462" t="inlineStr">
        <is>
          <t>SHANAYA CHAUDHARY</t>
        </is>
      </c>
      <c r="D462">
        <f>HYPERLINK("https://ota.tournamentsoftware.com/player-profile/72814258-2663-4B9E-9EB1-0A804D79578E", "Link")</f>
        <v/>
      </c>
      <c r="E462" s="3" t="n">
        <v>107.581</v>
      </c>
      <c r="F462" s="4" t="n">
        <v>11</v>
      </c>
      <c r="G462" t="inlineStr">
        <is>
          <t>Ontario Tennis Association</t>
        </is>
      </c>
      <c r="H462" t="inlineStr">
        <is>
          <t>Waterloo Tennis Club</t>
        </is>
      </c>
      <c r="I462" t="inlineStr">
        <is>
          <t>unavailable</t>
        </is>
      </c>
      <c r="J462" s="4" t="n">
        <v>26</v>
      </c>
      <c r="K462" t="inlineStr">
        <is>
          <t>16 / 10</t>
        </is>
      </c>
      <c r="L462" t="inlineStr">
        <is>
          <t>12 / 7</t>
        </is>
      </c>
      <c r="M462" s="5" t="n">
        <v>0.62</v>
      </c>
      <c r="N462" s="5" t="n">
        <v>0.63</v>
      </c>
    </row>
    <row r="463">
      <c r="A463" t="n">
        <v>462</v>
      </c>
      <c r="B463" t="n">
        <v>2013</v>
      </c>
      <c r="C463" t="inlineStr">
        <is>
          <t>Murphy Mofei Gao</t>
        </is>
      </c>
      <c r="D463">
        <f>HYPERLINK("https://ota.tournamentsoftware.com/player-profile/64A4B4DB-7753-451A-A411-16FC49084860", "Link")</f>
        <v/>
      </c>
      <c r="E463" s="3" t="n">
        <v>107.519</v>
      </c>
      <c r="F463" s="4" t="n">
        <v>18</v>
      </c>
      <c r="G463" t="inlineStr">
        <is>
          <t>British Columbia</t>
        </is>
      </c>
      <c r="H463" t="inlineStr">
        <is>
          <t>No Club</t>
        </is>
      </c>
      <c r="I463" t="n">
        <v>36.9</v>
      </c>
      <c r="J463" s="4" t="n">
        <v>143</v>
      </c>
      <c r="K463" t="inlineStr">
        <is>
          <t>20 / 123</t>
        </is>
      </c>
      <c r="L463" t="inlineStr">
        <is>
          <t>5 / 27</t>
        </is>
      </c>
      <c r="M463" s="5" t="n">
        <v>0.14</v>
      </c>
      <c r="N463" s="5" t="n">
        <v>0.16</v>
      </c>
    </row>
    <row r="464">
      <c r="A464" t="n">
        <v>463</v>
      </c>
      <c r="B464" t="n">
        <v>2014</v>
      </c>
      <c r="C464" t="inlineStr">
        <is>
          <t>Emily Ke</t>
        </is>
      </c>
      <c r="D464">
        <f>HYPERLINK("https://ota.tournamentsoftware.com/player-profile/D0843107-5FBA-4EB4-8781-B60B5E7E1319", "Link")</f>
        <v/>
      </c>
      <c r="E464" s="3" t="n">
        <v>107.414</v>
      </c>
      <c r="F464" s="4" t="n">
        <v>14</v>
      </c>
      <c r="G464" t="inlineStr">
        <is>
          <t>Ontario Tennis Association</t>
        </is>
      </c>
      <c r="H464" t="inlineStr">
        <is>
          <t>Mayfair East Racquet Club</t>
        </is>
      </c>
      <c r="I464" t="n">
        <v>35.1</v>
      </c>
      <c r="J464" s="4" t="n">
        <v>109</v>
      </c>
      <c r="K464" t="inlineStr">
        <is>
          <t>38 / 71</t>
        </is>
      </c>
      <c r="L464" t="inlineStr">
        <is>
          <t>4 / 7</t>
        </is>
      </c>
      <c r="M464" s="5" t="n">
        <v>0.35</v>
      </c>
      <c r="N464" s="5" t="n">
        <v>0.36</v>
      </c>
    </row>
    <row r="465">
      <c r="A465" t="n">
        <v>464</v>
      </c>
      <c r="B465" t="n">
        <v>2013</v>
      </c>
      <c r="C465" t="inlineStr">
        <is>
          <t>Khaliya Karim</t>
        </is>
      </c>
      <c r="D465">
        <f>HYPERLINK("https://ota.tournamentsoftware.com/player-profile/3982667F-BB84-4AC0-B470-E67D90581DB9", "Link")</f>
        <v/>
      </c>
      <c r="E465" s="3" t="n">
        <v>106.257</v>
      </c>
      <c r="F465" s="4" t="n">
        <v>17</v>
      </c>
      <c r="G465" t="inlineStr">
        <is>
          <t>British Columbia</t>
        </is>
      </c>
      <c r="H465" t="inlineStr">
        <is>
          <t>Arbutus Club</t>
        </is>
      </c>
      <c r="I465" t="n">
        <v>35.2</v>
      </c>
      <c r="J465" s="4" t="n">
        <v>90</v>
      </c>
      <c r="K465" t="inlineStr">
        <is>
          <t>18 / 72</t>
        </is>
      </c>
      <c r="L465" t="inlineStr">
        <is>
          <t>14 / 25</t>
        </is>
      </c>
      <c r="M465" s="5" t="n">
        <v>0.2</v>
      </c>
      <c r="N465" s="5" t="n">
        <v>0.36</v>
      </c>
    </row>
    <row r="466">
      <c r="A466" t="n">
        <v>465</v>
      </c>
      <c r="B466" t="n">
        <v>2014</v>
      </c>
      <c r="C466" t="inlineStr">
        <is>
          <t>Abigail Curilscaia</t>
        </is>
      </c>
      <c r="D466">
        <f>HYPERLINK("https://ota.tournamentsoftware.com/player-profile/275CB740-D9DB-4B51-8864-93A2F0D91A3B", "Link")</f>
        <v/>
      </c>
      <c r="E466" s="3" t="n">
        <v>105.422</v>
      </c>
      <c r="F466" s="4" t="n">
        <v>12</v>
      </c>
      <c r="G466" t="inlineStr">
        <is>
          <t>Tennis Alberta</t>
        </is>
      </c>
      <c r="H466" t="inlineStr">
        <is>
          <t>Aforza</t>
        </is>
      </c>
      <c r="I466" t="n">
        <v>32</v>
      </c>
      <c r="J466" s="4" t="n">
        <v>91</v>
      </c>
      <c r="K466" t="inlineStr">
        <is>
          <t>40 / 51</t>
        </is>
      </c>
      <c r="L466" t="inlineStr">
        <is>
          <t>17 / 10</t>
        </is>
      </c>
      <c r="M466" s="5" t="n">
        <v>0.44</v>
      </c>
      <c r="N466" s="5" t="n">
        <v>0.63</v>
      </c>
    </row>
    <row r="467">
      <c r="A467" t="n">
        <v>466</v>
      </c>
      <c r="B467" t="n">
        <v>2014</v>
      </c>
      <c r="C467" t="inlineStr">
        <is>
          <t>Scarlett Habeebkutty</t>
        </is>
      </c>
      <c r="D467">
        <f>HYPERLINK("https://ota.tournamentsoftware.com/player-profile/B3E7011D-10BF-4CEB-9D49-F24BAE1BE1A2", "Link")</f>
        <v/>
      </c>
      <c r="E467" s="3" t="n">
        <v>102.277</v>
      </c>
      <c r="F467" s="4" t="n">
        <v>5</v>
      </c>
      <c r="G467" t="inlineStr">
        <is>
          <t>Tennis Saskatchewan</t>
        </is>
      </c>
      <c r="H467" t="inlineStr">
        <is>
          <t>Lakeshore Tennis Club</t>
        </is>
      </c>
      <c r="I467" t="n">
        <v>40</v>
      </c>
      <c r="J467" s="4" t="n">
        <v>14</v>
      </c>
      <c r="K467" t="inlineStr">
        <is>
          <t>0 / 14</t>
        </is>
      </c>
      <c r="L467" t="inlineStr">
        <is>
          <t>0 / 14</t>
        </is>
      </c>
      <c r="M467" s="5" t="n">
        <v>0</v>
      </c>
      <c r="N467" s="5" t="n">
        <v>0</v>
      </c>
    </row>
    <row r="468">
      <c r="A468" t="n">
        <v>467</v>
      </c>
      <c r="B468" t="n">
        <v>2012</v>
      </c>
      <c r="C468" t="inlineStr">
        <is>
          <t>Emma Fedeyko</t>
        </is>
      </c>
      <c r="D468">
        <f>HYPERLINK("https://ota.tournamentsoftware.com/player-profile/62E06657-0480-40D7-B491-B99DA20E11DF", "Link")</f>
        <v/>
      </c>
      <c r="E468" s="3" t="n">
        <v>102.214</v>
      </c>
      <c r="F468" s="4" t="n">
        <v>8</v>
      </c>
      <c r="G468" t="inlineStr">
        <is>
          <t>Ontario Tennis Association</t>
        </is>
      </c>
      <c r="H468" t="inlineStr">
        <is>
          <t>Ontario Racquet Club</t>
        </is>
      </c>
      <c r="I468" t="n">
        <v>35.6</v>
      </c>
      <c r="J468" s="4" t="n">
        <v>53</v>
      </c>
      <c r="K468" t="inlineStr">
        <is>
          <t>19 / 34</t>
        </is>
      </c>
      <c r="L468" t="inlineStr">
        <is>
          <t>3 / 6</t>
        </is>
      </c>
      <c r="M468" s="5" t="n">
        <v>0.36</v>
      </c>
      <c r="N468" s="5" t="n">
        <v>0.33</v>
      </c>
    </row>
    <row r="469">
      <c r="A469" t="n">
        <v>468</v>
      </c>
      <c r="B469" t="n">
        <v>2016</v>
      </c>
      <c r="C469" t="inlineStr">
        <is>
          <t>Kassidy, Chin Yau Lau</t>
        </is>
      </c>
      <c r="D469">
        <f>HYPERLINK("https://ota.tournamentsoftware.com/player-profile/725BC980-EB67-418A-9A78-144DF7D7CE7E", "Link")</f>
        <v/>
      </c>
      <c r="E469" s="3" t="n">
        <v>102</v>
      </c>
      <c r="F469" s="4" t="n">
        <v>27</v>
      </c>
      <c r="G469" t="inlineStr">
        <is>
          <t>Ontario Tennis Association</t>
        </is>
      </c>
      <c r="H469" t="inlineStr">
        <is>
          <t>No Club</t>
        </is>
      </c>
      <c r="I469" t="n">
        <v>35.3</v>
      </c>
      <c r="J469" s="4" t="n">
        <v>66</v>
      </c>
      <c r="K469" t="inlineStr">
        <is>
          <t>38 / 28</t>
        </is>
      </c>
      <c r="L469" t="inlineStr">
        <is>
          <t>38 / 28</t>
        </is>
      </c>
      <c r="M469" s="5" t="n">
        <v>0.58</v>
      </c>
      <c r="N469" s="5" t="n">
        <v>0.58</v>
      </c>
    </row>
    <row r="470">
      <c r="A470" t="n">
        <v>469</v>
      </c>
      <c r="B470" t="n">
        <v>2016</v>
      </c>
      <c r="C470" t="inlineStr">
        <is>
          <t>Chenlin Wang</t>
        </is>
      </c>
      <c r="D470">
        <f>HYPERLINK("https://ota.tournamentsoftware.com/player-profile/9F8A5A74-B5B7-41F1-A513-DA87D68CAFFE", "Link")</f>
        <v/>
      </c>
      <c r="E470" s="3" t="n">
        <v>101.603</v>
      </c>
      <c r="F470" s="4" t="n">
        <v>30</v>
      </c>
      <c r="G470" t="inlineStr">
        <is>
          <t>British Columbia</t>
        </is>
      </c>
      <c r="H470" t="inlineStr">
        <is>
          <t>Aura Tennis Academy</t>
        </is>
      </c>
      <c r="I470" t="inlineStr">
        <is>
          <t>unavailable</t>
        </is>
      </c>
      <c r="J470" s="4" t="n">
        <v>168</v>
      </c>
      <c r="K470" t="inlineStr">
        <is>
          <t>90 / 78</t>
        </is>
      </c>
      <c r="L470" t="inlineStr">
        <is>
          <t>38 / 29</t>
        </is>
      </c>
      <c r="M470" s="5" t="n">
        <v>0.54</v>
      </c>
      <c r="N470" s="5" t="n">
        <v>0.57</v>
      </c>
    </row>
    <row r="471">
      <c r="A471" t="n">
        <v>470</v>
      </c>
      <c r="B471" t="n">
        <v>2014</v>
      </c>
      <c r="C471" t="inlineStr">
        <is>
          <t>Olivia Hesse</t>
        </is>
      </c>
      <c r="D471">
        <f>HYPERLINK("https://ota.tournamentsoftware.com/player-profile/18AF6D11-FB26-470D-81A9-00DC98F16884", "Link")</f>
        <v/>
      </c>
      <c r="E471" s="3" t="n">
        <v>101.049</v>
      </c>
      <c r="F471" s="4" t="n">
        <v>13</v>
      </c>
      <c r="G471" t="inlineStr">
        <is>
          <t>Ontario Tennis Association</t>
        </is>
      </c>
      <c r="H471" t="inlineStr">
        <is>
          <t>Boulevard Club</t>
        </is>
      </c>
      <c r="I471" t="n">
        <v>36.1</v>
      </c>
      <c r="J471" s="4" t="n">
        <v>68</v>
      </c>
      <c r="K471" t="inlineStr">
        <is>
          <t>27 / 41</t>
        </is>
      </c>
      <c r="L471" t="inlineStr">
        <is>
          <t>9 / 12</t>
        </is>
      </c>
      <c r="M471" s="5" t="n">
        <v>0.4</v>
      </c>
      <c r="N471" s="5" t="n">
        <v>0.43</v>
      </c>
    </row>
    <row r="472">
      <c r="A472" t="n">
        <v>471</v>
      </c>
      <c r="B472" t="n">
        <v>2012</v>
      </c>
      <c r="C472" t="inlineStr">
        <is>
          <t>aashka vishal devaiya</t>
        </is>
      </c>
      <c r="D472">
        <f>HYPERLINK("https://ota.tournamentsoftware.com/player-profile/99C1CB63-E70E-4FB5-A115-3A252251FA67", "Link")</f>
        <v/>
      </c>
      <c r="E472" s="3" t="n">
        <v>100.829</v>
      </c>
      <c r="F472" s="4" t="n">
        <v>1</v>
      </c>
      <c r="G472" t="inlineStr">
        <is>
          <t>British Columbia</t>
        </is>
      </c>
      <c r="H472" t="inlineStr">
        <is>
          <t>No Club</t>
        </is>
      </c>
      <c r="I472" t="inlineStr">
        <is>
          <t>unavailable</t>
        </is>
      </c>
      <c r="J472" s="4" t="n">
        <v>3</v>
      </c>
      <c r="K472" t="inlineStr">
        <is>
          <t>2 / 1</t>
        </is>
      </c>
      <c r="L472" t="inlineStr">
        <is>
          <t>2 / 1</t>
        </is>
      </c>
      <c r="M472" s="5" t="n">
        <v>0.67</v>
      </c>
      <c r="N472" s="5" t="n">
        <v>0.67</v>
      </c>
    </row>
    <row r="473">
      <c r="A473" t="n">
        <v>472</v>
      </c>
      <c r="B473" t="n">
        <v>2013</v>
      </c>
      <c r="C473" t="inlineStr">
        <is>
          <t>Hengxi Celine Du</t>
        </is>
      </c>
      <c r="D473">
        <f>HYPERLINK("https://ota.tournamentsoftware.com/player-profile/7011B5E4-06D4-4830-95A3-18CF46BE4ED0", "Link")</f>
        <v/>
      </c>
      <c r="E473" s="3" t="n">
        <v>100.366</v>
      </c>
      <c r="F473" s="4" t="n">
        <v>4</v>
      </c>
      <c r="G473" t="inlineStr">
        <is>
          <t>Ontario Tennis Association</t>
        </is>
      </c>
      <c r="H473" t="inlineStr">
        <is>
          <t>Premier Racquet Clubs – Mississauga</t>
        </is>
      </c>
      <c r="I473" t="inlineStr">
        <is>
          <t>unavailable</t>
        </is>
      </c>
      <c r="J473" s="4" t="n">
        <v>25</v>
      </c>
      <c r="K473" t="inlineStr">
        <is>
          <t>9 / 16</t>
        </is>
      </c>
      <c r="L473" t="inlineStr">
        <is>
          <t>8 / 9</t>
        </is>
      </c>
      <c r="M473" s="5" t="n">
        <v>0.36</v>
      </c>
      <c r="N473" s="5" t="n">
        <v>0.47</v>
      </c>
    </row>
    <row r="474">
      <c r="A474" t="n">
        <v>473</v>
      </c>
      <c r="B474" t="n">
        <v>2013</v>
      </c>
      <c r="C474" t="inlineStr">
        <is>
          <t>Helena Nastic</t>
        </is>
      </c>
      <c r="D474">
        <f>HYPERLINK("https://ota.tournamentsoftware.com/player-profile/384CD39C-50E9-4DF1-B1AD-85571147C1F9", "Link")</f>
        <v/>
      </c>
      <c r="E474" s="3" t="n">
        <v>100.296</v>
      </c>
      <c r="F474" s="4" t="n">
        <v>8</v>
      </c>
      <c r="G474" t="inlineStr">
        <is>
          <t>Ontario Tennis Association</t>
        </is>
      </c>
      <c r="H474" t="inlineStr">
        <is>
          <t>Royal City Tennis Club</t>
        </is>
      </c>
      <c r="I474" t="inlineStr">
        <is>
          <t>unavailable</t>
        </is>
      </c>
      <c r="J474" s="4" t="n">
        <v>40</v>
      </c>
      <c r="K474" t="inlineStr">
        <is>
          <t>19 / 21</t>
        </is>
      </c>
      <c r="L474" t="inlineStr">
        <is>
          <t>0 / 7</t>
        </is>
      </c>
      <c r="M474" s="5" t="n">
        <v>0.47</v>
      </c>
      <c r="N474" s="5" t="n">
        <v>0</v>
      </c>
    </row>
    <row r="475">
      <c r="A475" t="n">
        <v>474</v>
      </c>
      <c r="B475" t="n">
        <v>2015</v>
      </c>
      <c r="C475" t="inlineStr">
        <is>
          <t>Olivia An Yi Ta</t>
        </is>
      </c>
      <c r="D475">
        <f>HYPERLINK("https://ota.tournamentsoftware.com/player-profile/F718058C-465B-4AEB-BACA-80FE5B3917B6", "Link")</f>
        <v/>
      </c>
      <c r="E475" s="3" t="n">
        <v>99.991</v>
      </c>
      <c r="F475" s="4" t="n">
        <v>15</v>
      </c>
      <c r="G475" t="inlineStr">
        <is>
          <t>Ontario Tennis Association</t>
        </is>
      </c>
      <c r="H475" t="inlineStr">
        <is>
          <t>Lambton Golf &amp; Country Club</t>
        </is>
      </c>
      <c r="I475" t="inlineStr">
        <is>
          <t>unavailable</t>
        </is>
      </c>
      <c r="J475" s="4" t="n">
        <v>70</v>
      </c>
      <c r="K475" t="inlineStr">
        <is>
          <t>20 / 50</t>
        </is>
      </c>
      <c r="L475" t="inlineStr">
        <is>
          <t>11 / 12</t>
        </is>
      </c>
      <c r="M475" s="5" t="n">
        <v>0.29</v>
      </c>
      <c r="N475" s="5" t="n">
        <v>0.48</v>
      </c>
    </row>
    <row r="476">
      <c r="A476" t="n">
        <v>475</v>
      </c>
      <c r="B476" t="n">
        <v>2012</v>
      </c>
      <c r="C476" t="inlineStr">
        <is>
          <t>ONYEKACHUKWU MAGDALENE OGBATUE</t>
        </is>
      </c>
      <c r="D476">
        <f>HYPERLINK("https://ota.tournamentsoftware.com/player-profile/34FAC6AA-945B-40B3-BDE9-3F8B4198659B", "Link")</f>
        <v/>
      </c>
      <c r="E476" s="3" t="n">
        <v>99.878</v>
      </c>
      <c r="F476" s="4" t="n">
        <v>6</v>
      </c>
      <c r="G476" t="inlineStr">
        <is>
          <t>Ontario Tennis Association</t>
        </is>
      </c>
      <c r="H476" t="inlineStr">
        <is>
          <t>Matchpoint Tennis</t>
        </is>
      </c>
      <c r="I476" t="n">
        <v>35.5</v>
      </c>
      <c r="J476" s="4" t="n">
        <v>18</v>
      </c>
      <c r="K476" t="inlineStr">
        <is>
          <t>11 / 7</t>
        </is>
      </c>
      <c r="L476" t="inlineStr">
        <is>
          <t>11 / 7</t>
        </is>
      </c>
      <c r="M476" s="5" t="n">
        <v>0.61</v>
      </c>
      <c r="N476" s="5" t="n">
        <v>0.61</v>
      </c>
    </row>
    <row r="477">
      <c r="A477" t="n">
        <v>476</v>
      </c>
      <c r="B477" t="n">
        <v>2012</v>
      </c>
      <c r="C477" t="inlineStr">
        <is>
          <t>Isabella Sofia Zrnic</t>
        </is>
      </c>
      <c r="D477">
        <f>HYPERLINK("https://ota.tournamentsoftware.com/player-profile/C8963CF4-1E95-43AF-B92C-08778B2BA616", "Link")</f>
        <v/>
      </c>
      <c r="E477" s="3" t="n">
        <v>99.809</v>
      </c>
      <c r="F477" s="4" t="n">
        <v>10</v>
      </c>
      <c r="G477" t="inlineStr">
        <is>
          <t>Ontario Tennis Association</t>
        </is>
      </c>
      <c r="H477" t="inlineStr">
        <is>
          <t>Lawrence Park Tennis Club</t>
        </is>
      </c>
      <c r="I477" t="n">
        <v>35.4</v>
      </c>
      <c r="J477" s="4" t="n">
        <v>66</v>
      </c>
      <c r="K477" t="inlineStr">
        <is>
          <t>27 / 39</t>
        </is>
      </c>
      <c r="L477" t="inlineStr">
        <is>
          <t>6 / 9</t>
        </is>
      </c>
      <c r="M477" s="5" t="n">
        <v>0.41</v>
      </c>
      <c r="N477" s="5" t="n">
        <v>0.4</v>
      </c>
    </row>
    <row r="478">
      <c r="A478" t="n">
        <v>477</v>
      </c>
      <c r="B478" t="n">
        <v>2013</v>
      </c>
      <c r="C478" t="inlineStr">
        <is>
          <t>Chelsea Yuxin Lan</t>
        </is>
      </c>
      <c r="D478">
        <f>HYPERLINK("https://ota.tournamentsoftware.com/player-profile/D861FE8B-CCB2-4222-BA9C-EBD5C1FECE32", "Link")</f>
        <v/>
      </c>
      <c r="E478" s="3" t="n">
        <v>99.697</v>
      </c>
      <c r="F478" s="4" t="n">
        <v>15</v>
      </c>
      <c r="G478" t="inlineStr">
        <is>
          <t>British Columbia</t>
        </is>
      </c>
      <c r="H478" t="inlineStr">
        <is>
          <t>Hollyburn Country Club</t>
        </is>
      </c>
      <c r="I478" t="inlineStr">
        <is>
          <t>unavailable</t>
        </is>
      </c>
      <c r="J478" s="4" t="n">
        <v>119</v>
      </c>
      <c r="K478" t="inlineStr">
        <is>
          <t>35 / 84</t>
        </is>
      </c>
      <c r="L478" t="inlineStr">
        <is>
          <t>3 / 21</t>
        </is>
      </c>
      <c r="M478" s="5" t="n">
        <v>0.29</v>
      </c>
      <c r="N478" s="5" t="n">
        <v>0.12</v>
      </c>
    </row>
    <row r="479">
      <c r="A479" t="n">
        <v>478</v>
      </c>
      <c r="B479" t="n">
        <v>2015</v>
      </c>
      <c r="C479" t="inlineStr">
        <is>
          <t>Kaliya Summer Miserre-Garrecht</t>
        </is>
      </c>
      <c r="D479">
        <f>HYPERLINK("https://ota.tournamentsoftware.com/player-profile/C178309B-9B10-4C79-99B5-DD8E37FCC1EF", "Link")</f>
        <v/>
      </c>
      <c r="E479" s="3" t="n">
        <v>99.33799999999999</v>
      </c>
      <c r="F479" s="4" t="n">
        <v>23</v>
      </c>
      <c r="G479" t="inlineStr">
        <is>
          <t>British Columbia</t>
        </is>
      </c>
      <c r="H479" t="inlineStr">
        <is>
          <t>Vanguard Tennis Academy</t>
        </is>
      </c>
      <c r="I479" t="n">
        <v>36.1</v>
      </c>
      <c r="J479" s="4" t="n">
        <v>143</v>
      </c>
      <c r="K479" t="inlineStr">
        <is>
          <t>62 / 81</t>
        </is>
      </c>
      <c r="L479" t="inlineStr">
        <is>
          <t>17 / 28</t>
        </is>
      </c>
      <c r="M479" s="5" t="n">
        <v>0.43</v>
      </c>
      <c r="N479" s="5" t="n">
        <v>0.38</v>
      </c>
    </row>
    <row r="480">
      <c r="A480" t="n">
        <v>479</v>
      </c>
      <c r="B480" t="n">
        <v>2014</v>
      </c>
      <c r="C480" t="inlineStr">
        <is>
          <t>Chloe Esther Yeung</t>
        </is>
      </c>
      <c r="D480">
        <f>HYPERLINK("https://ota.tournamentsoftware.com/player-profile/A0100B59-21FE-4244-87C6-16B2DE0DBB96", "Link")</f>
        <v/>
      </c>
      <c r="E480" s="3" t="n">
        <v>99.27800000000001</v>
      </c>
      <c r="F480" s="4" t="n">
        <v>10</v>
      </c>
      <c r="G480" t="inlineStr">
        <is>
          <t>Ontario Tennis Association</t>
        </is>
      </c>
      <c r="H480" t="inlineStr">
        <is>
          <t>Mayfair East Racquet Club</t>
        </is>
      </c>
      <c r="I480" t="n">
        <v>36.6</v>
      </c>
      <c r="J480" s="4" t="n">
        <v>106</v>
      </c>
      <c r="K480" t="inlineStr">
        <is>
          <t>45 / 61</t>
        </is>
      </c>
      <c r="L480" t="inlineStr">
        <is>
          <t>3 / 9</t>
        </is>
      </c>
      <c r="M480" s="5" t="n">
        <v>0.42</v>
      </c>
      <c r="N480" s="5" t="n">
        <v>0.25</v>
      </c>
    </row>
    <row r="481">
      <c r="A481" t="n">
        <v>480</v>
      </c>
      <c r="B481" t="n">
        <v>2015</v>
      </c>
      <c r="C481" t="inlineStr">
        <is>
          <t>zhiyi li</t>
        </is>
      </c>
      <c r="D481">
        <f>HYPERLINK("https://ota.tournamentsoftware.com/player-profile/262E56E9-3220-45C2-961D-ACE763C5C345", "Link")</f>
        <v/>
      </c>
      <c r="E481" s="3" t="n">
        <v>98.78400000000001</v>
      </c>
      <c r="F481" s="4" t="n">
        <v>13</v>
      </c>
      <c r="G481" t="inlineStr">
        <is>
          <t>Ontario Tennis Association</t>
        </is>
      </c>
      <c r="H481" t="inlineStr">
        <is>
          <t>Rideau Sports Centre</t>
        </is>
      </c>
      <c r="I481" t="n">
        <v>35</v>
      </c>
      <c r="J481" s="4" t="n">
        <v>92</v>
      </c>
      <c r="K481" t="inlineStr">
        <is>
          <t>48 / 44</t>
        </is>
      </c>
      <c r="L481" t="inlineStr">
        <is>
          <t>12 / 14</t>
        </is>
      </c>
      <c r="M481" s="5" t="n">
        <v>0.52</v>
      </c>
      <c r="N481" s="5" t="n">
        <v>0.46</v>
      </c>
    </row>
    <row r="482">
      <c r="A482" t="n">
        <v>481</v>
      </c>
      <c r="B482" t="n">
        <v>2012</v>
      </c>
      <c r="C482" t="inlineStr">
        <is>
          <t>Emily Lyn</t>
        </is>
      </c>
      <c r="D482">
        <f>HYPERLINK("https://ota.tournamentsoftware.com/player-profile/952E408B-05E4-4A69-8AAE-E4D164512A9E", "Link")</f>
        <v/>
      </c>
      <c r="E482" s="3" t="n">
        <v>98.52</v>
      </c>
      <c r="F482" s="4" t="n">
        <v>8</v>
      </c>
      <c r="G482" t="inlineStr">
        <is>
          <t>Ontario Tennis Association</t>
        </is>
      </c>
      <c r="H482" t="inlineStr">
        <is>
          <t>Markham Tennis Club</t>
        </is>
      </c>
      <c r="I482" t="n">
        <v>36</v>
      </c>
      <c r="J482" s="4" t="n">
        <v>103</v>
      </c>
      <c r="K482" t="inlineStr">
        <is>
          <t>61 / 42</t>
        </is>
      </c>
      <c r="L482" t="inlineStr">
        <is>
          <t>5 / 6</t>
        </is>
      </c>
      <c r="M482" s="5" t="n">
        <v>0.59</v>
      </c>
      <c r="N482" s="5" t="n">
        <v>0.45</v>
      </c>
    </row>
    <row r="483">
      <c r="A483" t="n">
        <v>482</v>
      </c>
      <c r="B483" t="n">
        <v>2014</v>
      </c>
      <c r="C483" t="inlineStr">
        <is>
          <t>Avril Kymber Lin</t>
        </is>
      </c>
      <c r="D483">
        <f>HYPERLINK("https://ota.tournamentsoftware.com/player-profile/6CFCC91C-A66C-46B5-8430-D2D78CE3EE4B", "Link")</f>
        <v/>
      </c>
      <c r="E483" s="3" t="n">
        <v>98.492</v>
      </c>
      <c r="F483" s="4" t="n">
        <v>11</v>
      </c>
      <c r="G483" t="inlineStr">
        <is>
          <t>Tennis Alberta</t>
        </is>
      </c>
      <c r="H483" t="inlineStr">
        <is>
          <t>Brookside Court &amp; Wellness</t>
        </is>
      </c>
      <c r="I483" t="inlineStr">
        <is>
          <t>unavailable</t>
        </is>
      </c>
      <c r="J483" s="4" t="n">
        <v>101</v>
      </c>
      <c r="K483" t="inlineStr">
        <is>
          <t>40 / 61</t>
        </is>
      </c>
      <c r="L483" t="inlineStr">
        <is>
          <t>10 / 16</t>
        </is>
      </c>
      <c r="M483" s="5" t="n">
        <v>0.4</v>
      </c>
      <c r="N483" s="5" t="n">
        <v>0.38</v>
      </c>
    </row>
    <row r="484">
      <c r="A484" t="n">
        <v>483</v>
      </c>
      <c r="B484" t="n">
        <v>2013</v>
      </c>
      <c r="C484" t="inlineStr">
        <is>
          <t>Darcia Rabezandriny</t>
        </is>
      </c>
      <c r="D484">
        <f>HYPERLINK("https://ota.tournamentsoftware.com/player-profile/52069260-9644-4FA6-A8E4-10B4E037765E", "Link")</f>
        <v/>
      </c>
      <c r="E484" s="3" t="n">
        <v>98.27200000000001</v>
      </c>
      <c r="F484" s="4" t="n">
        <v>7</v>
      </c>
      <c r="G484" t="inlineStr">
        <is>
          <t>Tennis Québec</t>
        </is>
      </c>
      <c r="H484" t="inlineStr">
        <is>
          <t>AA Autre club</t>
        </is>
      </c>
      <c r="I484" t="n">
        <v>34.6</v>
      </c>
      <c r="J484" s="4" t="n">
        <v>157</v>
      </c>
      <c r="K484" t="inlineStr">
        <is>
          <t>82 / 75</t>
        </is>
      </c>
      <c r="L484" t="inlineStr">
        <is>
          <t>7 / 8</t>
        </is>
      </c>
      <c r="M484" s="5" t="n">
        <v>0.52</v>
      </c>
      <c r="N484" s="5" t="n">
        <v>0.47</v>
      </c>
    </row>
    <row r="485">
      <c r="A485" t="n">
        <v>484</v>
      </c>
      <c r="B485" t="n">
        <v>2013</v>
      </c>
      <c r="C485" t="inlineStr">
        <is>
          <t>Julia Anne Kennedy</t>
        </is>
      </c>
      <c r="D485">
        <f>HYPERLINK("https://ota.tournamentsoftware.com/player-profile/82DF6D3D-A382-4764-B57C-0EA44A762022", "Link")</f>
        <v/>
      </c>
      <c r="E485" s="3" t="n">
        <v>97.88</v>
      </c>
      <c r="F485" s="4" t="n">
        <v>2</v>
      </c>
      <c r="G485" t="inlineStr">
        <is>
          <t>Ontario Tennis Association</t>
        </is>
      </c>
      <c r="H485" t="inlineStr">
        <is>
          <t>SmartVMC Racquetsports by ACE</t>
        </is>
      </c>
      <c r="I485" t="n">
        <v>32.2</v>
      </c>
      <c r="J485" s="4" t="n">
        <v>147</v>
      </c>
      <c r="K485" t="inlineStr">
        <is>
          <t>71 / 76</t>
        </is>
      </c>
      <c r="L485" t="inlineStr">
        <is>
          <t>5 / 1</t>
        </is>
      </c>
      <c r="M485" s="5" t="n">
        <v>0.48</v>
      </c>
      <c r="N485" s="5" t="n">
        <v>0.83</v>
      </c>
    </row>
    <row r="486">
      <c r="A486" t="n">
        <v>485</v>
      </c>
      <c r="B486" t="n">
        <v>2014</v>
      </c>
      <c r="C486" t="inlineStr">
        <is>
          <t>Sarah Huang</t>
        </is>
      </c>
      <c r="D486">
        <f>HYPERLINK("https://ota.tournamentsoftware.com/player-profile/535A9ABE-481C-45C4-9357-B8FD9305232E", "Link")</f>
        <v/>
      </c>
      <c r="E486" s="3" t="n">
        <v>97.762</v>
      </c>
      <c r="F486" s="4" t="n">
        <v>16</v>
      </c>
      <c r="G486" t="inlineStr">
        <is>
          <t>Ontario Tennis Association</t>
        </is>
      </c>
      <c r="H486" t="inlineStr">
        <is>
          <t>Premier Racquet Club - Markham</t>
        </is>
      </c>
      <c r="I486" t="n">
        <v>35.2</v>
      </c>
      <c r="J486" s="4" t="n">
        <v>116</v>
      </c>
      <c r="K486" t="inlineStr">
        <is>
          <t>40 / 76</t>
        </is>
      </c>
      <c r="L486" t="inlineStr">
        <is>
          <t>6 / 9</t>
        </is>
      </c>
      <c r="M486" s="5" t="n">
        <v>0.34</v>
      </c>
      <c r="N486" s="5" t="n">
        <v>0.4</v>
      </c>
    </row>
    <row r="487">
      <c r="A487" t="n">
        <v>486</v>
      </c>
      <c r="B487" t="n">
        <v>2017</v>
      </c>
      <c r="C487" t="inlineStr">
        <is>
          <t>Chen Xi Zhou Kong</t>
        </is>
      </c>
      <c r="D487">
        <f>HYPERLINK("https://ota.tournamentsoftware.com/player-profile/E5CD94C9-63F9-419B-A6E9-CCB6DEF8B502", "Link")</f>
        <v/>
      </c>
      <c r="E487" s="3" t="n">
        <v>97.464</v>
      </c>
      <c r="F487" s="4" t="n">
        <v>26</v>
      </c>
      <c r="G487" t="inlineStr">
        <is>
          <t>Tennis Québec</t>
        </is>
      </c>
      <c r="H487" t="inlineStr">
        <is>
          <t>Centre récréatif de Repentigny / Académie Tennis Momentum</t>
        </is>
      </c>
      <c r="I487" t="n">
        <v>35.7</v>
      </c>
      <c r="J487" s="4" t="n">
        <v>127</v>
      </c>
      <c r="K487" t="inlineStr">
        <is>
          <t>60 / 67</t>
        </is>
      </c>
      <c r="L487" t="inlineStr">
        <is>
          <t>43 / 40</t>
        </is>
      </c>
      <c r="M487" s="5" t="n">
        <v>0.47</v>
      </c>
      <c r="N487" s="5" t="n">
        <v>0.52</v>
      </c>
    </row>
    <row r="488">
      <c r="A488" t="n">
        <v>487</v>
      </c>
      <c r="B488" t="n">
        <v>2015</v>
      </c>
      <c r="C488" t="inlineStr">
        <is>
          <t>Larissa Bulynko</t>
        </is>
      </c>
      <c r="D488">
        <f>HYPERLINK("https://ota.tournamentsoftware.com/player-profile/387B3C19-006B-446B-A1CE-226F349C0C24", "Link")</f>
        <v/>
      </c>
      <c r="E488" s="3" t="n">
        <v>97.074</v>
      </c>
      <c r="F488" s="4" t="n">
        <v>15</v>
      </c>
      <c r="G488" t="inlineStr">
        <is>
          <t>Ontario Tennis Association</t>
        </is>
      </c>
      <c r="H488" t="inlineStr">
        <is>
          <t>National Tennis School</t>
        </is>
      </c>
      <c r="I488" t="n">
        <v>36.6</v>
      </c>
      <c r="J488" s="4" t="n">
        <v>63</v>
      </c>
      <c r="K488" t="inlineStr">
        <is>
          <t>25 / 38</t>
        </is>
      </c>
      <c r="L488" t="inlineStr">
        <is>
          <t>10 / 15</t>
        </is>
      </c>
      <c r="M488" s="5" t="n">
        <v>0.4</v>
      </c>
      <c r="N488" s="5" t="n">
        <v>0.4</v>
      </c>
    </row>
    <row r="489">
      <c r="A489" t="n">
        <v>488</v>
      </c>
      <c r="B489" t="n">
        <v>2015</v>
      </c>
      <c r="C489" t="inlineStr">
        <is>
          <t>Violet Ton-That</t>
        </is>
      </c>
      <c r="D489">
        <f>HYPERLINK("https://ota.tournamentsoftware.com/player-profile/2832D590-1D78-4B7F-B573-E2D932040ADB", "Link")</f>
        <v/>
      </c>
      <c r="E489" s="3" t="n">
        <v>96.917</v>
      </c>
      <c r="F489" s="4" t="n">
        <v>10</v>
      </c>
      <c r="G489" t="inlineStr">
        <is>
          <t>Tennis Québec</t>
        </is>
      </c>
      <c r="H489" t="inlineStr">
        <is>
          <t>Tennis Montréal Excellence</t>
        </is>
      </c>
      <c r="I489" t="n">
        <v>35.7</v>
      </c>
      <c r="J489" s="4" t="n">
        <v>63</v>
      </c>
      <c r="K489" t="inlineStr">
        <is>
          <t>29 / 34</t>
        </is>
      </c>
      <c r="L489" t="inlineStr">
        <is>
          <t>8 / 10</t>
        </is>
      </c>
      <c r="M489" s="5" t="n">
        <v>0.46</v>
      </c>
      <c r="N489" s="5" t="n">
        <v>0.44</v>
      </c>
    </row>
    <row r="490">
      <c r="A490" t="n">
        <v>489</v>
      </c>
      <c r="B490" t="n">
        <v>2014</v>
      </c>
      <c r="C490" t="inlineStr">
        <is>
          <t>Yue Zhang</t>
        </is>
      </c>
      <c r="D490">
        <f>HYPERLINK("https://ota.tournamentsoftware.com/player-profile/85239D79-7080-4052-A527-EE7F087184E4", "Link")</f>
        <v/>
      </c>
      <c r="E490" s="3" t="n">
        <v>96.28100000000001</v>
      </c>
      <c r="F490" s="4" t="n">
        <v>8</v>
      </c>
      <c r="G490" t="inlineStr">
        <is>
          <t>Tennis Nova Scotia</t>
        </is>
      </c>
      <c r="H490" t="inlineStr">
        <is>
          <t>Atlantic Tennis Centre</t>
        </is>
      </c>
      <c r="I490" t="n">
        <v>35.4</v>
      </c>
      <c r="J490" s="4" t="n">
        <v>43</v>
      </c>
      <c r="K490" t="inlineStr">
        <is>
          <t>19 / 24</t>
        </is>
      </c>
      <c r="L490" t="inlineStr">
        <is>
          <t>10 / 13</t>
        </is>
      </c>
      <c r="M490" s="5" t="n">
        <v>0.44</v>
      </c>
      <c r="N490" s="5" t="n">
        <v>0.43</v>
      </c>
    </row>
    <row r="491">
      <c r="A491" t="n">
        <v>490</v>
      </c>
      <c r="B491" t="n">
        <v>2015</v>
      </c>
      <c r="C491" t="inlineStr">
        <is>
          <t>Serena Wepadam CHONGATERA</t>
        </is>
      </c>
      <c r="D491">
        <f>HYPERLINK("https://ota.tournamentsoftware.com/player-profile/32A446CD-0BF6-43CA-BCC5-9AE4AEDFD5BE", "Link")</f>
        <v/>
      </c>
      <c r="E491" s="3" t="n">
        <v>95.923</v>
      </c>
      <c r="F491" s="4" t="n">
        <v>5</v>
      </c>
      <c r="G491" t="inlineStr">
        <is>
          <t>Tennis Nova Scotia</t>
        </is>
      </c>
      <c r="H491" t="inlineStr">
        <is>
          <t>HEADSTART</t>
        </is>
      </c>
      <c r="I491" t="inlineStr">
        <is>
          <t>unavailable</t>
        </is>
      </c>
      <c r="J491" s="4" t="inlineStr"/>
      <c r="K491" t="inlineStr">
        <is>
          <t>unavailable</t>
        </is>
      </c>
      <c r="L491" t="inlineStr">
        <is>
          <t>unavailable</t>
        </is>
      </c>
      <c r="M491" s="5" t="inlineStr"/>
      <c r="N491" s="5" t="inlineStr"/>
    </row>
    <row r="492">
      <c r="A492" t="n">
        <v>491</v>
      </c>
      <c r="B492" t="n">
        <v>2014</v>
      </c>
      <c r="C492" t="inlineStr">
        <is>
          <t>Zoey Folashakin</t>
        </is>
      </c>
      <c r="D492">
        <f>HYPERLINK("https://ota.tournamentsoftware.com/player-profile/3301B942-3C8E-4FE4-9470-6F68EC47669D", "Link")</f>
        <v/>
      </c>
      <c r="E492" s="3" t="n">
        <v>95.544</v>
      </c>
      <c r="F492" s="4" t="n">
        <v>22</v>
      </c>
      <c r="G492" t="inlineStr">
        <is>
          <t>Ontario Tennis Association</t>
        </is>
      </c>
      <c r="H492" t="inlineStr">
        <is>
          <t>Joshua Creek Golf &amp; Tennis</t>
        </is>
      </c>
      <c r="I492" t="n">
        <v>36.5</v>
      </c>
      <c r="J492" s="4" t="n">
        <v>70</v>
      </c>
      <c r="K492" t="inlineStr">
        <is>
          <t>15 / 55</t>
        </is>
      </c>
      <c r="L492" t="inlineStr">
        <is>
          <t>11 / 16</t>
        </is>
      </c>
      <c r="M492" s="5" t="n">
        <v>0.21</v>
      </c>
      <c r="N492" s="5" t="n">
        <v>0.41</v>
      </c>
    </row>
    <row r="493">
      <c r="A493" t="n">
        <v>492</v>
      </c>
      <c r="B493" t="n">
        <v>2012</v>
      </c>
      <c r="C493" t="inlineStr">
        <is>
          <t>Tiana Amede-Bramwell</t>
        </is>
      </c>
      <c r="D493">
        <f>HYPERLINK("https://ota.tournamentsoftware.com/player-profile/BC31A25D-C48C-47FD-A0A3-D600EA315675", "Link")</f>
        <v/>
      </c>
      <c r="E493" s="3" t="n">
        <v>94.053</v>
      </c>
      <c r="F493" s="4" t="n">
        <v>12</v>
      </c>
      <c r="G493" t="inlineStr">
        <is>
          <t>Ontario Tennis Association</t>
        </is>
      </c>
      <c r="H493" t="inlineStr">
        <is>
          <t>Credit Valley Tennis Club</t>
        </is>
      </c>
      <c r="I493" t="n">
        <v>39.5</v>
      </c>
      <c r="J493" s="4" t="n">
        <v>42</v>
      </c>
      <c r="K493" t="inlineStr">
        <is>
          <t>8 / 34</t>
        </is>
      </c>
      <c r="L493" t="inlineStr">
        <is>
          <t>8 / 31</t>
        </is>
      </c>
      <c r="M493" s="5" t="n">
        <v>0.19</v>
      </c>
      <c r="N493" s="5" t="n">
        <v>0.21</v>
      </c>
    </row>
    <row r="494">
      <c r="A494" t="n">
        <v>493</v>
      </c>
      <c r="B494" t="n">
        <v>2015</v>
      </c>
      <c r="C494" t="inlineStr">
        <is>
          <t>Joey Wu</t>
        </is>
      </c>
      <c r="D494">
        <f>HYPERLINK("https://ota.tournamentsoftware.com/player-profile/5271198B-7814-4938-9A9E-61E10CC7CCA6", "Link")</f>
        <v/>
      </c>
      <c r="E494" s="3" t="n">
        <v>92.84</v>
      </c>
      <c r="F494" s="4" t="n">
        <v>24</v>
      </c>
      <c r="G494" t="inlineStr">
        <is>
          <t>British Columbia</t>
        </is>
      </c>
      <c r="H494" t="inlineStr">
        <is>
          <t>City of Richmond</t>
        </is>
      </c>
      <c r="I494" t="inlineStr">
        <is>
          <t>unavailable</t>
        </is>
      </c>
      <c r="J494" s="4" t="n">
        <v>127</v>
      </c>
      <c r="K494" t="inlineStr">
        <is>
          <t>75 / 52</t>
        </is>
      </c>
      <c r="L494" t="inlineStr">
        <is>
          <t>20 / 28</t>
        </is>
      </c>
      <c r="M494" s="5" t="n">
        <v>0.59</v>
      </c>
      <c r="N494" s="5" t="n">
        <v>0.42</v>
      </c>
    </row>
    <row r="495">
      <c r="A495" t="n">
        <v>494</v>
      </c>
      <c r="B495" t="n">
        <v>2014</v>
      </c>
      <c r="C495" t="inlineStr">
        <is>
          <t>cataleya florina zadarojnea</t>
        </is>
      </c>
      <c r="D495">
        <f>HYPERLINK("https://ota.tournamentsoftware.com/player-profile/EAEB7B00-5E1C-47F6-8FF3-1537E07A8B59", "Link")</f>
        <v/>
      </c>
      <c r="E495" s="3" t="n">
        <v>92.57599999999999</v>
      </c>
      <c r="F495" s="4" t="n">
        <v>25</v>
      </c>
      <c r="G495" t="inlineStr">
        <is>
          <t>Ontario Tennis Association</t>
        </is>
      </c>
      <c r="H495" t="inlineStr">
        <is>
          <t>Premier Racquet Clubs – Mississauga</t>
        </is>
      </c>
      <c r="I495" t="n">
        <v>37.3</v>
      </c>
      <c r="J495" s="4" t="n">
        <v>39</v>
      </c>
      <c r="K495" t="inlineStr">
        <is>
          <t>13 / 26</t>
        </is>
      </c>
      <c r="L495" t="inlineStr">
        <is>
          <t>9 / 19</t>
        </is>
      </c>
      <c r="M495" s="5" t="n">
        <v>0.33</v>
      </c>
      <c r="N495" s="5" t="n">
        <v>0.32</v>
      </c>
    </row>
    <row r="496">
      <c r="A496" t="n">
        <v>495</v>
      </c>
      <c r="B496" t="n">
        <v>2016</v>
      </c>
      <c r="C496" t="inlineStr">
        <is>
          <t>Ziqi Yu</t>
        </is>
      </c>
      <c r="D496">
        <f>HYPERLINK("https://ota.tournamentsoftware.com/player-profile/89FEB2A7-669B-4D40-A67D-54016F42DA82", "Link")</f>
        <v/>
      </c>
      <c r="E496" s="3" t="n">
        <v>92.40000000000001</v>
      </c>
      <c r="F496" s="4" t="n">
        <v>21</v>
      </c>
      <c r="G496" t="inlineStr">
        <is>
          <t>Ontario Tennis Association</t>
        </is>
      </c>
      <c r="H496" t="inlineStr">
        <is>
          <t>Blackmore Tennis Club</t>
        </is>
      </c>
      <c r="I496" t="n">
        <v>34.4</v>
      </c>
      <c r="J496" s="4" t="n">
        <v>107</v>
      </c>
      <c r="K496" t="inlineStr">
        <is>
          <t>69 / 38</t>
        </is>
      </c>
      <c r="L496" t="inlineStr">
        <is>
          <t>33 / 19</t>
        </is>
      </c>
      <c r="M496" s="5" t="n">
        <v>0.64</v>
      </c>
      <c r="N496" s="5" t="n">
        <v>0.63</v>
      </c>
    </row>
    <row r="497">
      <c r="A497" t="n">
        <v>496</v>
      </c>
      <c r="B497" t="n">
        <v>2013</v>
      </c>
      <c r="C497" t="inlineStr">
        <is>
          <t>Aditi Varma</t>
        </is>
      </c>
      <c r="D497">
        <f>HYPERLINK("https://ota.tournamentsoftware.com/player-profile/EE1E4950-6BCE-4CAA-921A-C5201D737DFF", "Link")</f>
        <v/>
      </c>
      <c r="E497" s="3" t="n">
        <v>91.402</v>
      </c>
      <c r="F497" s="4" t="n">
        <v>8</v>
      </c>
      <c r="G497" t="inlineStr">
        <is>
          <t>Ontario Tennis Association</t>
        </is>
      </c>
      <c r="H497" t="inlineStr">
        <is>
          <t>Ontario Racquet Club</t>
        </is>
      </c>
      <c r="I497" t="n">
        <v>34.9</v>
      </c>
      <c r="J497" s="4" t="n">
        <v>87</v>
      </c>
      <c r="K497" t="inlineStr">
        <is>
          <t>26 / 61</t>
        </is>
      </c>
      <c r="L497" t="inlineStr">
        <is>
          <t>2 / 5</t>
        </is>
      </c>
      <c r="M497" s="5" t="n">
        <v>0.3</v>
      </c>
      <c r="N497" s="5" t="n">
        <v>0.29</v>
      </c>
    </row>
    <row r="498">
      <c r="A498" t="n">
        <v>497</v>
      </c>
      <c r="B498" t="n">
        <v>2014</v>
      </c>
      <c r="C498" t="inlineStr">
        <is>
          <t>Maylis Ilmane</t>
        </is>
      </c>
      <c r="D498">
        <f>HYPERLINK("https://ota.tournamentsoftware.com/player-profile/8AD3E1E2-82F0-490F-B772-6E9AA24959CC", "Link")</f>
        <v/>
      </c>
      <c r="E498" s="3" t="n">
        <v>90.08799999999999</v>
      </c>
      <c r="F498" s="4" t="n">
        <v>8</v>
      </c>
      <c r="G498" t="inlineStr">
        <is>
          <t>Tennis Québec</t>
        </is>
      </c>
      <c r="H498" t="inlineStr">
        <is>
          <t>Centre récréatif de Repentigny / Académie Tennis Momentum</t>
        </is>
      </c>
      <c r="I498" t="n">
        <v>35.4</v>
      </c>
      <c r="J498" s="4" t="n">
        <v>60</v>
      </c>
      <c r="K498" t="inlineStr">
        <is>
          <t>25 / 35</t>
        </is>
      </c>
      <c r="L498" t="inlineStr">
        <is>
          <t>7 / 6</t>
        </is>
      </c>
      <c r="M498" s="5" t="n">
        <v>0.42</v>
      </c>
      <c r="N498" s="5" t="n">
        <v>0.54</v>
      </c>
    </row>
    <row r="499">
      <c r="A499" t="n">
        <v>498</v>
      </c>
      <c r="B499" t="n">
        <v>2015</v>
      </c>
      <c r="C499" t="inlineStr">
        <is>
          <t>Mataya Victoria Jan</t>
        </is>
      </c>
      <c r="D499">
        <f>HYPERLINK("https://ota.tournamentsoftware.com/player-profile/52A288CA-2524-4398-A498-9546CE531A78", "Link")</f>
        <v/>
      </c>
      <c r="E499" s="3" t="n">
        <v>89.748</v>
      </c>
      <c r="F499" s="4" t="n">
        <v>11</v>
      </c>
      <c r="G499" t="inlineStr">
        <is>
          <t>Ontario Tennis Association</t>
        </is>
      </c>
      <c r="H499" t="inlineStr">
        <is>
          <t>Tennis Centre West Ottawa</t>
        </is>
      </c>
      <c r="I499" t="n">
        <v>37.6</v>
      </c>
      <c r="J499" s="4" t="n">
        <v>19</v>
      </c>
      <c r="K499" t="inlineStr">
        <is>
          <t>2 / 17</t>
        </is>
      </c>
      <c r="L499" t="inlineStr">
        <is>
          <t>2 / 12</t>
        </is>
      </c>
      <c r="M499" s="5" t="n">
        <v>0.11</v>
      </c>
      <c r="N499" s="5" t="n">
        <v>0.14</v>
      </c>
    </row>
    <row r="500">
      <c r="A500" t="n">
        <v>499</v>
      </c>
      <c r="B500" t="n">
        <v>2013</v>
      </c>
      <c r="C500" t="inlineStr">
        <is>
          <t>Victoria maya Carinci</t>
        </is>
      </c>
      <c r="D500">
        <f>HYPERLINK("https://ota.tournamentsoftware.com/player-profile/767AAF86-8D36-4699-8113-86AA6DA60CE4", "Link")</f>
        <v/>
      </c>
      <c r="E500" s="3" t="n">
        <v>88.83499999999999</v>
      </c>
      <c r="F500" s="4" t="n">
        <v>12</v>
      </c>
      <c r="G500" t="inlineStr">
        <is>
          <t>Ontario Tennis Association</t>
        </is>
      </c>
      <c r="H500" t="inlineStr">
        <is>
          <t>Concord Tennis Academy</t>
        </is>
      </c>
      <c r="I500" t="n">
        <v>39.3</v>
      </c>
      <c r="J500" s="4" t="n">
        <v>40</v>
      </c>
      <c r="K500" t="inlineStr">
        <is>
          <t>9 / 31</t>
        </is>
      </c>
      <c r="L500" t="inlineStr">
        <is>
          <t>1 / 10</t>
        </is>
      </c>
      <c r="M500" s="5" t="n">
        <v>0.23</v>
      </c>
      <c r="N500" s="5" t="n">
        <v>0.09</v>
      </c>
    </row>
    <row r="501">
      <c r="A501" t="n">
        <v>500</v>
      </c>
      <c r="B501" t="n">
        <v>2012</v>
      </c>
      <c r="C501" t="inlineStr">
        <is>
          <t>Aaisha Rathod</t>
        </is>
      </c>
      <c r="D501">
        <f>HYPERLINK("https://ota.tournamentsoftware.com/player-profile/3CFF2AC0-C5A1-461F-91D3-0CD8EAFC5609", "Link")</f>
        <v/>
      </c>
      <c r="E501" s="3" t="n">
        <v>88.039</v>
      </c>
      <c r="F501" s="4" t="n">
        <v>10</v>
      </c>
      <c r="G501" t="inlineStr">
        <is>
          <t>Ontario Tennis Association</t>
        </is>
      </c>
      <c r="H501" t="inlineStr">
        <is>
          <t>Premier Racquet Clubs – Mississauga</t>
        </is>
      </c>
      <c r="I501" t="n">
        <v>38.6</v>
      </c>
      <c r="J501" s="4" t="n">
        <v>76</v>
      </c>
      <c r="K501" t="inlineStr">
        <is>
          <t>4 / 72</t>
        </is>
      </c>
      <c r="L501" t="inlineStr">
        <is>
          <t>2 / 9</t>
        </is>
      </c>
      <c r="M501" s="5" t="n">
        <v>0.05</v>
      </c>
      <c r="N501" s="5" t="n">
        <v>0.18</v>
      </c>
    </row>
    <row r="502">
      <c r="A502" t="n">
        <v>501</v>
      </c>
      <c r="B502" t="n">
        <v>2016</v>
      </c>
      <c r="C502" t="inlineStr">
        <is>
          <t>LUXI YANG</t>
        </is>
      </c>
      <c r="D502">
        <f>HYPERLINK("https://ota.tournamentsoftware.com/player-profile/00CB777C-F17D-4A37-8393-1F4E5A4F3C39", "Link")</f>
        <v/>
      </c>
      <c r="E502" s="3" t="n">
        <v>86.93600000000001</v>
      </c>
      <c r="F502" s="4" t="n">
        <v>11</v>
      </c>
      <c r="G502" t="inlineStr">
        <is>
          <t>British Columbia</t>
        </is>
      </c>
      <c r="H502" t="inlineStr">
        <is>
          <t>The Tennis Centre</t>
        </is>
      </c>
      <c r="I502" t="n">
        <v>31.8</v>
      </c>
      <c r="J502" s="4" t="n">
        <v>84</v>
      </c>
      <c r="K502" t="inlineStr">
        <is>
          <t>66 / 18</t>
        </is>
      </c>
      <c r="L502" t="inlineStr">
        <is>
          <t>29 / 8</t>
        </is>
      </c>
      <c r="M502" s="5" t="n">
        <v>0.79</v>
      </c>
      <c r="N502" s="5" t="n">
        <v>0.78</v>
      </c>
    </row>
    <row r="503">
      <c r="A503" t="n">
        <v>502</v>
      </c>
      <c r="B503" t="n">
        <v>2016</v>
      </c>
      <c r="C503" t="inlineStr">
        <is>
          <t>Abigail Jianing Zhou</t>
        </is>
      </c>
      <c r="D503">
        <f>HYPERLINK("https://ota.tournamentsoftware.com/player-profile/E53B2389-2E47-459E-9543-5DBB506C324A", "Link")</f>
        <v/>
      </c>
      <c r="E503" s="3" t="n">
        <v>86.64</v>
      </c>
      <c r="F503" s="4" t="n">
        <v>19</v>
      </c>
      <c r="G503" t="inlineStr">
        <is>
          <t>Ontario Tennis Association</t>
        </is>
      </c>
      <c r="H503" t="inlineStr">
        <is>
          <t>Joshua Creek Golf &amp; Tennis</t>
        </is>
      </c>
      <c r="I503" t="n">
        <v>36.3</v>
      </c>
      <c r="J503" s="4" t="n">
        <v>160</v>
      </c>
      <c r="K503" t="inlineStr">
        <is>
          <t>68 / 92</t>
        </is>
      </c>
      <c r="L503" t="inlineStr">
        <is>
          <t>30 / 27</t>
        </is>
      </c>
      <c r="M503" s="5" t="n">
        <v>0.42</v>
      </c>
      <c r="N503" s="5" t="n">
        <v>0.53</v>
      </c>
    </row>
    <row r="504">
      <c r="A504" t="n">
        <v>503</v>
      </c>
      <c r="B504" t="n">
        <v>2013</v>
      </c>
      <c r="C504" t="inlineStr">
        <is>
          <t>Mengge(Maya) Xu</t>
        </is>
      </c>
      <c r="D504">
        <f>HYPERLINK("https://ota.tournamentsoftware.com/player-profile/9CD6D408-1A72-4E0B-A9C9-DD675B785873", "Link")</f>
        <v/>
      </c>
      <c r="E504" s="3" t="n">
        <v>86.041</v>
      </c>
      <c r="F504" s="4" t="n">
        <v>9</v>
      </c>
      <c r="G504" t="inlineStr">
        <is>
          <t>Ontario Tennis Association</t>
        </is>
      </c>
      <c r="H504" t="inlineStr">
        <is>
          <t>Markham Tennis Club</t>
        </is>
      </c>
      <c r="I504" t="n">
        <v>38.1</v>
      </c>
      <c r="J504" s="4" t="n">
        <v>36</v>
      </c>
      <c r="K504" t="inlineStr">
        <is>
          <t>12 / 24</t>
        </is>
      </c>
      <c r="L504" t="inlineStr">
        <is>
          <t>7 / 12</t>
        </is>
      </c>
      <c r="M504" s="5" t="n">
        <v>0.33</v>
      </c>
      <c r="N504" s="5" t="n">
        <v>0.37</v>
      </c>
    </row>
    <row r="505">
      <c r="A505" t="n">
        <v>504</v>
      </c>
      <c r="B505" t="n">
        <v>2013</v>
      </c>
      <c r="C505" t="inlineStr">
        <is>
          <t>Quinn Pfaff</t>
        </is>
      </c>
      <c r="D505">
        <f>HYPERLINK("https://ota.tournamentsoftware.com/player-profile/4EE4E18D-7D9C-41F4-B172-783EBB13EF00", "Link")</f>
        <v/>
      </c>
      <c r="E505" s="3" t="n">
        <v>83.955</v>
      </c>
      <c r="F505" s="4" t="n">
        <v>4</v>
      </c>
      <c r="G505" t="inlineStr">
        <is>
          <t>Ontario Tennis Association</t>
        </is>
      </c>
      <c r="H505" t="inlineStr">
        <is>
          <t>Maitland Country Club</t>
        </is>
      </c>
      <c r="I505" t="n">
        <v>37.9</v>
      </c>
      <c r="J505" s="4" t="n">
        <v>4</v>
      </c>
      <c r="K505" t="inlineStr">
        <is>
          <t>0 / 4</t>
        </is>
      </c>
      <c r="L505" t="inlineStr">
        <is>
          <t>0 / 3</t>
        </is>
      </c>
      <c r="M505" s="5" t="n">
        <v>0</v>
      </c>
      <c r="N505" s="5" t="n">
        <v>0</v>
      </c>
    </row>
    <row r="506">
      <c r="A506" t="n">
        <v>505</v>
      </c>
      <c r="B506" t="n">
        <v>2013</v>
      </c>
      <c r="C506" t="inlineStr">
        <is>
          <t>Avonlyn Long</t>
        </is>
      </c>
      <c r="D506">
        <f>HYPERLINK("https://ota.tournamentsoftware.com/player-profile/750061EB-6049-44F3-9B6E-4DE9428D7158", "Link")</f>
        <v/>
      </c>
      <c r="E506" s="3" t="n">
        <v>83.592</v>
      </c>
      <c r="F506" s="4" t="n">
        <v>3</v>
      </c>
      <c r="G506" t="inlineStr">
        <is>
          <t>Ontario Tennis Association</t>
        </is>
      </c>
      <c r="H506" t="inlineStr">
        <is>
          <t>Carleton Tennis Centre</t>
        </is>
      </c>
      <c r="I506" t="n">
        <v>39</v>
      </c>
      <c r="J506" s="4" t="n">
        <v>12</v>
      </c>
      <c r="K506" t="inlineStr">
        <is>
          <t>1 / 11</t>
        </is>
      </c>
      <c r="L506" t="inlineStr">
        <is>
          <t>1 / 3</t>
        </is>
      </c>
      <c r="M506" s="5" t="n">
        <v>0.08</v>
      </c>
      <c r="N506" s="5" t="n">
        <v>0.25</v>
      </c>
    </row>
    <row r="507">
      <c r="A507" t="n">
        <v>506</v>
      </c>
      <c r="B507" t="n">
        <v>2013</v>
      </c>
      <c r="C507" t="inlineStr">
        <is>
          <t>Emma Victoria Chan</t>
        </is>
      </c>
      <c r="D507">
        <f>HYPERLINK("https://ota.tournamentsoftware.com/player-profile/29822B25-6004-4E31-822F-CF8FF1CD9AB7", "Link")</f>
        <v/>
      </c>
      <c r="E507" s="3" t="n">
        <v>83.06399999999999</v>
      </c>
      <c r="F507" s="4" t="n">
        <v>8</v>
      </c>
      <c r="G507" t="inlineStr">
        <is>
          <t>Ontario Tennis Association</t>
        </is>
      </c>
      <c r="H507" t="inlineStr">
        <is>
          <t>Joshua Creek Golf &amp; Tennis</t>
        </is>
      </c>
      <c r="I507" t="n">
        <v>36.3</v>
      </c>
      <c r="J507" s="4" t="n">
        <v>66</v>
      </c>
      <c r="K507" t="inlineStr">
        <is>
          <t>41 / 25</t>
        </is>
      </c>
      <c r="L507" t="inlineStr">
        <is>
          <t>13 / 5</t>
        </is>
      </c>
      <c r="M507" s="5" t="n">
        <v>0.62</v>
      </c>
      <c r="N507" s="5" t="n">
        <v>0.72</v>
      </c>
    </row>
    <row r="508">
      <c r="A508" t="n">
        <v>507</v>
      </c>
      <c r="B508" t="n">
        <v>2014</v>
      </c>
      <c r="C508" t="inlineStr">
        <is>
          <t>Ananya Rao</t>
        </is>
      </c>
      <c r="D508">
        <f>HYPERLINK("https://ota.tournamentsoftware.com/player-profile/D12578BD-BDAF-471D-B53C-09B281C916CB", "Link")</f>
        <v/>
      </c>
      <c r="E508" s="3" t="n">
        <v>83.045</v>
      </c>
      <c r="F508" s="4" t="n">
        <v>12</v>
      </c>
      <c r="G508" t="inlineStr">
        <is>
          <t>Ontario Tennis Association</t>
        </is>
      </c>
      <c r="H508" t="inlineStr">
        <is>
          <t>Carleton Tennis Centre</t>
        </is>
      </c>
      <c r="I508" t="n">
        <v>36.8</v>
      </c>
      <c r="J508" s="4" t="n">
        <v>93</v>
      </c>
      <c r="K508" t="inlineStr">
        <is>
          <t>29 / 64</t>
        </is>
      </c>
      <c r="L508" t="inlineStr">
        <is>
          <t>6 / 9</t>
        </is>
      </c>
      <c r="M508" s="5" t="n">
        <v>0.31</v>
      </c>
      <c r="N508" s="5" t="n">
        <v>0.4</v>
      </c>
    </row>
    <row r="509">
      <c r="A509" t="n">
        <v>508</v>
      </c>
      <c r="B509" t="n">
        <v>2014</v>
      </c>
      <c r="C509" t="inlineStr">
        <is>
          <t>Aditri Mundhra</t>
        </is>
      </c>
      <c r="D509">
        <f>HYPERLINK("https://ota.tournamentsoftware.com/player-profile/C7A9A9F1-2DF6-42CD-AA71-F15C9BFFA6EB", "Link")</f>
        <v/>
      </c>
      <c r="E509" s="3" t="n">
        <v>82.485</v>
      </c>
      <c r="F509" s="4" t="n">
        <v>19</v>
      </c>
      <c r="G509" t="inlineStr">
        <is>
          <t>British Columbia</t>
        </is>
      </c>
      <c r="H509" t="inlineStr">
        <is>
          <t>No Club</t>
        </is>
      </c>
      <c r="I509" t="n">
        <v>36.1</v>
      </c>
      <c r="J509" s="4" t="n">
        <v>54</v>
      </c>
      <c r="K509" t="inlineStr">
        <is>
          <t>18 / 36</t>
        </is>
      </c>
      <c r="L509" t="inlineStr">
        <is>
          <t>14 / 23</t>
        </is>
      </c>
      <c r="M509" s="5" t="n">
        <v>0.33</v>
      </c>
      <c r="N509" s="5" t="n">
        <v>0.38</v>
      </c>
    </row>
    <row r="510">
      <c r="A510" t="n">
        <v>509</v>
      </c>
      <c r="B510" t="n">
        <v>2013</v>
      </c>
      <c r="C510" t="inlineStr">
        <is>
          <t>Audrey Humeniuk</t>
        </is>
      </c>
      <c r="D510">
        <f>HYPERLINK("https://ota.tournamentsoftware.com/player-profile/468D56FB-0ABD-4840-82FB-F2B1EB075075", "Link")</f>
        <v/>
      </c>
      <c r="E510" s="3" t="n">
        <v>82.30800000000001</v>
      </c>
      <c r="F510" s="4" t="n">
        <v>5</v>
      </c>
      <c r="G510" t="inlineStr">
        <is>
          <t>Ontario Tennis Association</t>
        </is>
      </c>
      <c r="H510" t="inlineStr">
        <is>
          <t>Tennis Centre West Ottawa</t>
        </is>
      </c>
      <c r="I510" t="n">
        <v>39.5</v>
      </c>
      <c r="J510" s="4" t="n">
        <v>11</v>
      </c>
      <c r="K510" t="inlineStr">
        <is>
          <t>2 / 9</t>
        </is>
      </c>
      <c r="L510" t="inlineStr">
        <is>
          <t>1 / 5</t>
        </is>
      </c>
      <c r="M510" s="5" t="n">
        <v>0.18</v>
      </c>
      <c r="N510" s="5" t="n">
        <v>0.17</v>
      </c>
    </row>
    <row r="511">
      <c r="A511" t="n">
        <v>510</v>
      </c>
      <c r="B511" t="n">
        <v>2013</v>
      </c>
      <c r="C511" t="inlineStr">
        <is>
          <t>Emilia Sofia Urkedal</t>
        </is>
      </c>
      <c r="D511">
        <f>HYPERLINK("https://ota.tournamentsoftware.com/player-profile/381713CB-202F-43FD-B96F-4B364BE2EE52", "Link")</f>
        <v/>
      </c>
      <c r="E511" s="3" t="n">
        <v>81.57299999999999</v>
      </c>
      <c r="F511" s="4" t="n">
        <v>7</v>
      </c>
      <c r="G511" t="inlineStr">
        <is>
          <t>Ontario Tennis Association</t>
        </is>
      </c>
      <c r="H511" t="inlineStr">
        <is>
          <t>Greenhills Golf Club</t>
        </is>
      </c>
      <c r="I511" t="n">
        <v>37</v>
      </c>
      <c r="J511" s="4" t="n">
        <v>69</v>
      </c>
      <c r="K511" t="inlineStr">
        <is>
          <t>17 / 52</t>
        </is>
      </c>
      <c r="L511" t="inlineStr">
        <is>
          <t>4 / 7</t>
        </is>
      </c>
      <c r="M511" s="5" t="n">
        <v>0.25</v>
      </c>
      <c r="N511" s="5" t="n">
        <v>0.36</v>
      </c>
    </row>
    <row r="512">
      <c r="A512" t="n">
        <v>511</v>
      </c>
      <c r="B512" t="n">
        <v>2015</v>
      </c>
      <c r="C512" t="inlineStr">
        <is>
          <t>Ellieann Jean Baker</t>
        </is>
      </c>
      <c r="D512">
        <f>HYPERLINK("https://ota.tournamentsoftware.com/player-profile/059CF7FD-B4FA-4522-AF55-9B2138153D9C", "Link")</f>
        <v/>
      </c>
      <c r="E512" s="3" t="n">
        <v>81.10299999999999</v>
      </c>
      <c r="F512" s="4" t="n">
        <v>9</v>
      </c>
      <c r="G512" t="inlineStr">
        <is>
          <t>Tennis Alberta</t>
        </is>
      </c>
      <c r="H512" t="inlineStr">
        <is>
          <t>Aforza</t>
        </is>
      </c>
      <c r="I512" t="n">
        <v>36.8</v>
      </c>
      <c r="J512" s="4" t="n">
        <v>112</v>
      </c>
      <c r="K512" t="inlineStr">
        <is>
          <t>46 / 66</t>
        </is>
      </c>
      <c r="L512" t="inlineStr">
        <is>
          <t>5 / 13</t>
        </is>
      </c>
      <c r="M512" s="5" t="n">
        <v>0.41</v>
      </c>
      <c r="N512" s="5" t="n">
        <v>0.28</v>
      </c>
    </row>
    <row r="513">
      <c r="A513" t="n">
        <v>512</v>
      </c>
      <c r="B513" t="n">
        <v>2015</v>
      </c>
      <c r="C513" t="inlineStr">
        <is>
          <t>Doreen Bowen Mao</t>
        </is>
      </c>
      <c r="D513">
        <f>HYPERLINK("https://ota.tournamentsoftware.com/player-profile/24478EB2-203F-4DE3-92C9-B16D9A60F77F", "Link")</f>
        <v/>
      </c>
      <c r="E513" s="3" t="n">
        <v>80.75</v>
      </c>
      <c r="F513" s="4" t="n">
        <v>17</v>
      </c>
      <c r="G513" t="inlineStr">
        <is>
          <t>Ontario Tennis Association</t>
        </is>
      </c>
      <c r="H513" t="inlineStr">
        <is>
          <t>Joshua Creek Golf &amp; Tennis</t>
        </is>
      </c>
      <c r="I513" t="n">
        <v>37</v>
      </c>
      <c r="J513" s="4" t="n">
        <v>82</v>
      </c>
      <c r="K513" t="inlineStr">
        <is>
          <t>34 / 48</t>
        </is>
      </c>
      <c r="L513" t="inlineStr">
        <is>
          <t>19 / 23</t>
        </is>
      </c>
      <c r="M513" s="5" t="n">
        <v>0.41</v>
      </c>
      <c r="N513" s="5" t="n">
        <v>0.45</v>
      </c>
    </row>
    <row r="514">
      <c r="A514" t="n">
        <v>513</v>
      </c>
      <c r="B514" t="n">
        <v>2012</v>
      </c>
      <c r="C514" t="inlineStr">
        <is>
          <t>Emily Zhang</t>
        </is>
      </c>
      <c r="D514">
        <f>HYPERLINK("https://ota.tournamentsoftware.com/player-profile/927E8E34-8FE2-4B37-81C7-621F5326585C", "Link")</f>
        <v/>
      </c>
      <c r="E514" s="3" t="n">
        <v>80.68600000000001</v>
      </c>
      <c r="F514" s="4" t="n">
        <v>4</v>
      </c>
      <c r="G514" t="inlineStr">
        <is>
          <t>Ontario Tennis Association</t>
        </is>
      </c>
      <c r="H514" t="inlineStr">
        <is>
          <t>Blackmore Tennis Club</t>
        </is>
      </c>
      <c r="I514" t="inlineStr">
        <is>
          <t>unavailable</t>
        </is>
      </c>
      <c r="J514" s="4" t="n">
        <v>48</v>
      </c>
      <c r="K514" t="inlineStr">
        <is>
          <t>10 / 38</t>
        </is>
      </c>
      <c r="L514" t="inlineStr">
        <is>
          <t>1 / 3</t>
        </is>
      </c>
      <c r="M514" s="5" t="n">
        <v>0.21</v>
      </c>
      <c r="N514" s="5" t="n">
        <v>0.25</v>
      </c>
    </row>
    <row r="515">
      <c r="A515" t="n">
        <v>514</v>
      </c>
      <c r="B515" t="n">
        <v>2015</v>
      </c>
      <c r="C515" t="inlineStr">
        <is>
          <t>Savannah Billings</t>
        </is>
      </c>
      <c r="D515">
        <f>HYPERLINK("https://ota.tournamentsoftware.com/player-profile/3C86C2A1-7881-4E07-A889-C842F4C67652", "Link")</f>
        <v/>
      </c>
      <c r="E515" s="3" t="n">
        <v>79.464</v>
      </c>
      <c r="F515" s="4" t="n">
        <v>5</v>
      </c>
      <c r="G515" t="inlineStr">
        <is>
          <t>Tennis Québec</t>
        </is>
      </c>
      <c r="H515" t="inlineStr">
        <is>
          <t>Club Avantage Multi-sports / Académie de tennis Hérisset Bordeleau</t>
        </is>
      </c>
      <c r="I515" t="n">
        <v>27.6</v>
      </c>
      <c r="J515" s="4" t="n">
        <v>13</v>
      </c>
      <c r="K515" t="inlineStr">
        <is>
          <t>8 / 5</t>
        </is>
      </c>
      <c r="L515" t="inlineStr">
        <is>
          <t>8 / 3</t>
        </is>
      </c>
      <c r="M515" s="5" t="n">
        <v>0.62</v>
      </c>
      <c r="N515" s="5" t="n">
        <v>0.73</v>
      </c>
    </row>
    <row r="516">
      <c r="A516" t="n">
        <v>515</v>
      </c>
      <c r="B516" t="n">
        <v>2015</v>
      </c>
      <c r="C516" t="inlineStr">
        <is>
          <t>Mia Gidaro</t>
        </is>
      </c>
      <c r="D516">
        <f>HYPERLINK("https://ota.tournamentsoftware.com/player-profile/17357D82-FEBE-483D-8054-F1F6B85AD8A5", "Link")</f>
        <v/>
      </c>
      <c r="E516" s="3" t="n">
        <v>79.46299999999999</v>
      </c>
      <c r="F516" s="4" t="n">
        <v>11</v>
      </c>
      <c r="G516" t="inlineStr">
        <is>
          <t>Ontario Tennis Association</t>
        </is>
      </c>
      <c r="H516" t="inlineStr">
        <is>
          <t>Baby Point Tennis Club</t>
        </is>
      </c>
      <c r="I516" t="n">
        <v>37</v>
      </c>
      <c r="J516" s="4" t="n">
        <v>61</v>
      </c>
      <c r="K516" t="inlineStr">
        <is>
          <t>24 / 37</t>
        </is>
      </c>
      <c r="L516" t="inlineStr">
        <is>
          <t>3 / 7</t>
        </is>
      </c>
      <c r="M516" s="5" t="n">
        <v>0.39</v>
      </c>
      <c r="N516" s="5" t="n">
        <v>0.3</v>
      </c>
    </row>
    <row r="517">
      <c r="A517" t="n">
        <v>516</v>
      </c>
      <c r="B517" t="n">
        <v>2014</v>
      </c>
      <c r="C517" t="inlineStr">
        <is>
          <t>Clarice de Azevedo Guedes</t>
        </is>
      </c>
      <c r="D517">
        <f>HYPERLINK("https://ota.tournamentsoftware.com/player-profile/027DF0F1-69E8-4220-8263-B26C4D1AFC70", "Link")</f>
        <v/>
      </c>
      <c r="E517" s="3" t="n">
        <v>79.407</v>
      </c>
      <c r="F517" s="4" t="n">
        <v>14</v>
      </c>
      <c r="G517" t="inlineStr">
        <is>
          <t>Tennis Québec</t>
        </is>
      </c>
      <c r="H517" t="inlineStr">
        <is>
          <t>Tennis 13</t>
        </is>
      </c>
      <c r="I517" t="inlineStr">
        <is>
          <t>unavailable</t>
        </is>
      </c>
      <c r="J517" s="4" t="n">
        <v>64</v>
      </c>
      <c r="K517" t="inlineStr">
        <is>
          <t>26 / 38</t>
        </is>
      </c>
      <c r="L517" t="inlineStr">
        <is>
          <t>12 / 12</t>
        </is>
      </c>
      <c r="M517" s="5" t="n">
        <v>0.41</v>
      </c>
      <c r="N517" s="5" t="n">
        <v>0.5</v>
      </c>
    </row>
    <row r="518">
      <c r="A518" t="n">
        <v>517</v>
      </c>
      <c r="B518" t="n">
        <v>2015</v>
      </c>
      <c r="C518" t="inlineStr">
        <is>
          <t>Abigail Csima</t>
        </is>
      </c>
      <c r="D518">
        <f>HYPERLINK("https://ota.tournamentsoftware.com/player-profile/6F3C1A53-8070-482F-B046-BE875C66F4B8", "Link")</f>
        <v/>
      </c>
      <c r="E518" s="3" t="n">
        <v>79.28700000000001</v>
      </c>
      <c r="F518" s="4" t="n">
        <v>14</v>
      </c>
      <c r="G518" t="inlineStr">
        <is>
          <t>Ontario Tennis Association</t>
        </is>
      </c>
      <c r="H518" t="inlineStr">
        <is>
          <t>Waterloo Tennis Club</t>
        </is>
      </c>
      <c r="I518" t="n">
        <v>38.5</v>
      </c>
      <c r="J518" s="4" t="n">
        <v>60</v>
      </c>
      <c r="K518" t="inlineStr">
        <is>
          <t>12 / 48</t>
        </is>
      </c>
      <c r="L518" t="inlineStr">
        <is>
          <t>3 / 14</t>
        </is>
      </c>
      <c r="M518" s="5" t="n">
        <v>0.2</v>
      </c>
      <c r="N518" s="5" t="n">
        <v>0.18</v>
      </c>
    </row>
    <row r="519">
      <c r="A519" t="n">
        <v>518</v>
      </c>
      <c r="B519" t="n">
        <v>2016</v>
      </c>
      <c r="C519" t="inlineStr">
        <is>
          <t>Anne Cherednychenko</t>
        </is>
      </c>
      <c r="D519">
        <f>HYPERLINK("https://ota.tournamentsoftware.com/player-profile/8FB2FF81-D0FE-4491-B99E-18BAAFE1E3CD", "Link")</f>
        <v/>
      </c>
      <c r="E519" s="3" t="n">
        <v>79.271</v>
      </c>
      <c r="F519" s="4" t="n">
        <v>11</v>
      </c>
      <c r="G519" t="inlineStr">
        <is>
          <t>Tennis Québec</t>
        </is>
      </c>
      <c r="H519" t="inlineStr">
        <is>
          <t>No Club</t>
        </is>
      </c>
      <c r="I519" t="n">
        <v>34.5</v>
      </c>
      <c r="J519" s="4" t="n">
        <v>69</v>
      </c>
      <c r="K519" t="inlineStr">
        <is>
          <t>43 / 26</t>
        </is>
      </c>
      <c r="L519" t="inlineStr">
        <is>
          <t>19 / 12</t>
        </is>
      </c>
      <c r="M519" s="5" t="n">
        <v>0.62</v>
      </c>
      <c r="N519" s="5" t="n">
        <v>0.61</v>
      </c>
    </row>
    <row r="520">
      <c r="A520" t="n">
        <v>519</v>
      </c>
      <c r="B520" t="n">
        <v>2014</v>
      </c>
      <c r="C520" t="inlineStr">
        <is>
          <t>Shaghun Dhillon</t>
        </is>
      </c>
      <c r="D520">
        <f>HYPERLINK("https://ota.tournamentsoftware.com/player-profile/97B5DEDE-AA93-468B-902A-462AB9B42432", "Link")</f>
        <v/>
      </c>
      <c r="E520" s="3" t="n">
        <v>76.43899999999999</v>
      </c>
      <c r="F520" s="4" t="n">
        <v>14</v>
      </c>
      <c r="G520" t="inlineStr">
        <is>
          <t>Ontario Tennis Association</t>
        </is>
      </c>
      <c r="H520" t="inlineStr">
        <is>
          <t>Premier Racquet Club - Markham</t>
        </is>
      </c>
      <c r="I520" t="inlineStr">
        <is>
          <t>unavailable</t>
        </is>
      </c>
      <c r="J520" s="4" t="n">
        <v>61</v>
      </c>
      <c r="K520" t="inlineStr">
        <is>
          <t>34 / 27</t>
        </is>
      </c>
      <c r="L520" t="inlineStr">
        <is>
          <t>28 / 21</t>
        </is>
      </c>
      <c r="M520" s="5" t="n">
        <v>0.5600000000000001</v>
      </c>
      <c r="N520" s="5" t="n">
        <v>0.57</v>
      </c>
    </row>
    <row r="521">
      <c r="A521" t="n">
        <v>520</v>
      </c>
      <c r="B521" t="n">
        <v>2017</v>
      </c>
      <c r="C521" t="inlineStr">
        <is>
          <t>Siena Yang-frome</t>
        </is>
      </c>
      <c r="D521">
        <f>HYPERLINK("https://ota.tournamentsoftware.com/player-profile/07E78FFD-E9BB-462A-8A5B-4456E8FEB96D", "Link")</f>
        <v/>
      </c>
      <c r="E521" s="3" t="n">
        <v>76.09399999999999</v>
      </c>
      <c r="F521" s="4" t="n">
        <v>14</v>
      </c>
      <c r="G521" t="inlineStr">
        <is>
          <t>Ontario Tennis Association</t>
        </is>
      </c>
      <c r="H521" t="inlineStr">
        <is>
          <t>Premier Racquet Clubs – Mississauga</t>
        </is>
      </c>
      <c r="I521" t="n">
        <v>36.5</v>
      </c>
      <c r="J521" s="4" t="n">
        <v>87</v>
      </c>
      <c r="K521" t="inlineStr">
        <is>
          <t>49 / 38</t>
        </is>
      </c>
      <c r="L521" t="inlineStr">
        <is>
          <t>11 / 15</t>
        </is>
      </c>
      <c r="M521" s="5" t="n">
        <v>0.5600000000000001</v>
      </c>
      <c r="N521" s="5" t="n">
        <v>0.42</v>
      </c>
    </row>
    <row r="522">
      <c r="A522" t="n">
        <v>521</v>
      </c>
      <c r="B522" t="n">
        <v>2013</v>
      </c>
      <c r="C522" t="inlineStr">
        <is>
          <t>Avery Hao</t>
        </is>
      </c>
      <c r="D522">
        <f>HYPERLINK("https://ota.tournamentsoftware.com/player-profile/4D297E0A-97AD-4487-A64F-403E8B3ACA30", "Link")</f>
        <v/>
      </c>
      <c r="E522" s="3" t="n">
        <v>74.54300000000001</v>
      </c>
      <c r="F522" s="4" t="n">
        <v>3</v>
      </c>
      <c r="G522" t="inlineStr">
        <is>
          <t>Ontario Tennis Association</t>
        </is>
      </c>
      <c r="H522" t="inlineStr">
        <is>
          <t>Elmridge Tennis Club</t>
        </is>
      </c>
      <c r="I522" t="n">
        <v>39.2</v>
      </c>
      <c r="J522" s="4" t="n">
        <v>15</v>
      </c>
      <c r="K522" t="inlineStr">
        <is>
          <t>4 / 11</t>
        </is>
      </c>
      <c r="L522" t="inlineStr">
        <is>
          <t>0 / 5</t>
        </is>
      </c>
      <c r="M522" s="5" t="n">
        <v>0.27</v>
      </c>
      <c r="N522" s="5" t="n">
        <v>0</v>
      </c>
    </row>
    <row r="523">
      <c r="A523" t="n">
        <v>522</v>
      </c>
      <c r="B523" t="n">
        <v>2014</v>
      </c>
      <c r="C523" t="inlineStr">
        <is>
          <t>Ava Amiripour</t>
        </is>
      </c>
      <c r="D523">
        <f>HYPERLINK("https://ota.tournamentsoftware.com/player-profile/C08AB363-A302-4023-8D6D-B732D837DADF", "Link")</f>
        <v/>
      </c>
      <c r="E523" s="3" t="n">
        <v>74.288</v>
      </c>
      <c r="F523" s="4" t="n">
        <v>4</v>
      </c>
      <c r="G523" t="inlineStr">
        <is>
          <t>Ontario Tennis Association</t>
        </is>
      </c>
      <c r="H523" t="inlineStr">
        <is>
          <t>No Club</t>
        </is>
      </c>
      <c r="I523" t="n">
        <v>37.7</v>
      </c>
      <c r="J523" s="4" t="n">
        <v>7</v>
      </c>
      <c r="K523" t="inlineStr">
        <is>
          <t>1 / 6</t>
        </is>
      </c>
      <c r="L523" t="inlineStr">
        <is>
          <t>1 / 5</t>
        </is>
      </c>
      <c r="M523" s="5" t="n">
        <v>0.14</v>
      </c>
      <c r="N523" s="5" t="n">
        <v>0.17</v>
      </c>
    </row>
    <row r="524">
      <c r="A524" t="n">
        <v>523</v>
      </c>
      <c r="B524" t="n">
        <v>2015</v>
      </c>
      <c r="C524" t="inlineStr">
        <is>
          <t>Cara Tereza Nyakahuma</t>
        </is>
      </c>
      <c r="D524">
        <f>HYPERLINK("https://ota.tournamentsoftware.com/player-profile/AFC2100D-E6CB-4B13-AD01-0EBC56083397", "Link")</f>
        <v/>
      </c>
      <c r="E524" s="3" t="n">
        <v>74.08</v>
      </c>
      <c r="F524" s="4" t="n">
        <v>6</v>
      </c>
      <c r="G524" t="inlineStr">
        <is>
          <t>Ontario Tennis Association</t>
        </is>
      </c>
      <c r="H524" t="inlineStr">
        <is>
          <t>Intercounty Tennis Association</t>
        </is>
      </c>
      <c r="I524" t="inlineStr">
        <is>
          <t>unavailable</t>
        </is>
      </c>
      <c r="J524" s="4" t="n">
        <v>143</v>
      </c>
      <c r="K524" t="inlineStr">
        <is>
          <t>90 / 53</t>
        </is>
      </c>
      <c r="L524" t="inlineStr">
        <is>
          <t>7 / 4</t>
        </is>
      </c>
      <c r="M524" s="5" t="n">
        <v>0.63</v>
      </c>
      <c r="N524" s="5" t="n">
        <v>0.64</v>
      </c>
    </row>
    <row r="525">
      <c r="A525" t="n">
        <v>524</v>
      </c>
      <c r="B525" t="n">
        <v>2013</v>
      </c>
      <c r="C525" t="inlineStr">
        <is>
          <t>Lolia Abdrabou</t>
        </is>
      </c>
      <c r="D525">
        <f>HYPERLINK("https://ota.tournamentsoftware.com/player-profile/02101E1E-CCDA-437A-A3E7-8CBDBA76F674", "Link")</f>
        <v/>
      </c>
      <c r="E525" s="3" t="n">
        <v>72.959</v>
      </c>
      <c r="F525" s="4" t="n">
        <v>4</v>
      </c>
      <c r="G525" t="inlineStr">
        <is>
          <t>Tennis Nova Scotia</t>
        </is>
      </c>
      <c r="H525" t="inlineStr">
        <is>
          <t>HEADSTART</t>
        </is>
      </c>
      <c r="I525" t="n">
        <v>35.5</v>
      </c>
      <c r="J525" s="4" t="n">
        <v>22</v>
      </c>
      <c r="K525" t="inlineStr">
        <is>
          <t>13 / 9</t>
        </is>
      </c>
      <c r="L525" t="inlineStr">
        <is>
          <t>2 / 4</t>
        </is>
      </c>
      <c r="M525" s="5" t="n">
        <v>0.59</v>
      </c>
      <c r="N525" s="5" t="n">
        <v>0.33</v>
      </c>
    </row>
    <row r="526">
      <c r="A526" t="n">
        <v>525</v>
      </c>
      <c r="B526" t="n">
        <v>2015</v>
      </c>
      <c r="C526" t="inlineStr">
        <is>
          <t>Ella Bloom Chulak</t>
        </is>
      </c>
      <c r="D526">
        <f>HYPERLINK("https://ota.tournamentsoftware.com/player-profile/3DBBE08D-DBAA-43E3-BCD3-2820667C7A24", "Link")</f>
        <v/>
      </c>
      <c r="E526" s="3" t="n">
        <v>71.8</v>
      </c>
      <c r="F526" s="4" t="n">
        <v>13</v>
      </c>
      <c r="G526" t="inlineStr">
        <is>
          <t>Ontario Tennis Association</t>
        </is>
      </c>
      <c r="H526" t="inlineStr">
        <is>
          <t>Richmondhill Golf &amp; Country Club</t>
        </is>
      </c>
      <c r="I526" t="n">
        <v>35.7</v>
      </c>
      <c r="J526" s="4" t="n">
        <v>89</v>
      </c>
      <c r="K526" t="inlineStr">
        <is>
          <t>36 / 53</t>
        </is>
      </c>
      <c r="L526" t="inlineStr">
        <is>
          <t>12 / 11</t>
        </is>
      </c>
      <c r="M526" s="5" t="n">
        <v>0.4</v>
      </c>
      <c r="N526" s="5" t="n">
        <v>0.52</v>
      </c>
    </row>
    <row r="527">
      <c r="A527" t="n">
        <v>526</v>
      </c>
      <c r="B527" t="n">
        <v>2013</v>
      </c>
      <c r="C527" t="inlineStr">
        <is>
          <t>Vina BLANCHARD</t>
        </is>
      </c>
      <c r="D527">
        <f>HYPERLINK("https://ota.tournamentsoftware.com/player-profile/B5AD0E2A-4843-4177-AD96-5A3203B5C718", "Link")</f>
        <v/>
      </c>
      <c r="E527" s="3" t="n">
        <v>71.705</v>
      </c>
      <c r="F527" s="4" t="n">
        <v>8</v>
      </c>
      <c r="G527" t="inlineStr">
        <is>
          <t>Ontario Tennis Association</t>
        </is>
      </c>
      <c r="H527" t="inlineStr">
        <is>
          <t>Ontario Racquet Club</t>
        </is>
      </c>
      <c r="I527" t="inlineStr">
        <is>
          <t>unavailable</t>
        </is>
      </c>
      <c r="J527" s="4" t="n">
        <v>29</v>
      </c>
      <c r="K527" t="inlineStr">
        <is>
          <t>13 / 16</t>
        </is>
      </c>
      <c r="L527" t="inlineStr">
        <is>
          <t>4 / 10</t>
        </is>
      </c>
      <c r="M527" s="5" t="n">
        <v>0.45</v>
      </c>
      <c r="N527" s="5" t="n">
        <v>0.29</v>
      </c>
    </row>
    <row r="528">
      <c r="A528" t="n">
        <v>527</v>
      </c>
      <c r="B528" t="n">
        <v>2016</v>
      </c>
      <c r="C528" t="inlineStr">
        <is>
          <t>Grace SHI</t>
        </is>
      </c>
      <c r="D528">
        <f>HYPERLINK("https://ota.tournamentsoftware.com/player-profile/71A1D6E1-33D1-46A0-AF21-F397AE1BA314", "Link")</f>
        <v/>
      </c>
      <c r="E528" s="3" t="n">
        <v>70.416</v>
      </c>
      <c r="F528" s="4" t="n">
        <v>10</v>
      </c>
      <c r="G528" t="inlineStr">
        <is>
          <t>British Columbia</t>
        </is>
      </c>
      <c r="H528" t="inlineStr">
        <is>
          <t>No Club</t>
        </is>
      </c>
      <c r="I528" t="n">
        <v>38.4</v>
      </c>
      <c r="J528" s="4" t="n">
        <v>48</v>
      </c>
      <c r="K528" t="inlineStr">
        <is>
          <t>16 / 32</t>
        </is>
      </c>
      <c r="L528" t="inlineStr">
        <is>
          <t>9 / 13</t>
        </is>
      </c>
      <c r="M528" s="5" t="n">
        <v>0.33</v>
      </c>
      <c r="N528" s="5" t="n">
        <v>0.41</v>
      </c>
    </row>
    <row r="529">
      <c r="A529" t="n">
        <v>528</v>
      </c>
      <c r="B529" t="n">
        <v>2015</v>
      </c>
      <c r="C529" t="inlineStr">
        <is>
          <t>Myra Shukla</t>
        </is>
      </c>
      <c r="D529">
        <f>HYPERLINK("https://ota.tournamentsoftware.com/player-profile/2F4B1A1D-35AC-45A0-9F5D-6D5533376D9A", "Link")</f>
        <v/>
      </c>
      <c r="E529" s="3" t="n">
        <v>70.126</v>
      </c>
      <c r="F529" s="4" t="n">
        <v>8</v>
      </c>
      <c r="G529" t="inlineStr">
        <is>
          <t>Ontario Tennis Association</t>
        </is>
      </c>
      <c r="H529" t="inlineStr">
        <is>
          <t>Veneto Tennis Club</t>
        </is>
      </c>
      <c r="I529" t="n">
        <v>38.1</v>
      </c>
      <c r="J529" s="4" t="n">
        <v>83</v>
      </c>
      <c r="K529" t="inlineStr">
        <is>
          <t>34 / 49</t>
        </is>
      </c>
      <c r="L529" t="inlineStr">
        <is>
          <t>1 / 6</t>
        </is>
      </c>
      <c r="M529" s="5" t="n">
        <v>0.41</v>
      </c>
      <c r="N529" s="5" t="n">
        <v>0.14</v>
      </c>
    </row>
    <row r="530">
      <c r="A530" t="n">
        <v>529</v>
      </c>
      <c r="B530" t="n">
        <v>2013</v>
      </c>
      <c r="C530" t="inlineStr">
        <is>
          <t>Lilya Youssef</t>
        </is>
      </c>
      <c r="D530">
        <f>HYPERLINK("https://ota.tournamentsoftware.com/player-profile/E4A52F0A-7400-4236-ACEF-6680D7FB1262", "Link")</f>
        <v/>
      </c>
      <c r="E530" s="3" t="n">
        <v>69.61</v>
      </c>
      <c r="F530" s="4" t="n">
        <v>3</v>
      </c>
      <c r="G530" t="inlineStr">
        <is>
          <t>Tennis Québec</t>
        </is>
      </c>
      <c r="H530" t="inlineStr">
        <is>
          <t>Tennis 13</t>
        </is>
      </c>
      <c r="I530" t="inlineStr">
        <is>
          <t>unavailable</t>
        </is>
      </c>
      <c r="J530" s="4" t="n">
        <v>10</v>
      </c>
      <c r="K530" t="inlineStr">
        <is>
          <t>5 / 5</t>
        </is>
      </c>
      <c r="L530" t="inlineStr">
        <is>
          <t>5 / 5</t>
        </is>
      </c>
      <c r="M530" s="5" t="n">
        <v>0.5</v>
      </c>
      <c r="N530" s="5" t="n">
        <v>0.5</v>
      </c>
    </row>
    <row r="531">
      <c r="A531" t="n">
        <v>530</v>
      </c>
      <c r="B531" t="n">
        <v>2015</v>
      </c>
      <c r="C531" t="inlineStr">
        <is>
          <t>Emilia Ho</t>
        </is>
      </c>
      <c r="D531">
        <f>HYPERLINK("https://ota.tournamentsoftware.com/player-profile/91D4EC27-5C11-4119-B45C-F3809BFF1CF1", "Link")</f>
        <v/>
      </c>
      <c r="E531" s="3" t="n">
        <v>69.21299999999999</v>
      </c>
      <c r="F531" s="4" t="n">
        <v>17</v>
      </c>
      <c r="G531" t="inlineStr">
        <is>
          <t>Tennis Alberta</t>
        </is>
      </c>
      <c r="H531" t="inlineStr">
        <is>
          <t>Osten &amp; Victor Alberta Tennis Centre</t>
        </is>
      </c>
      <c r="I531" t="n">
        <v>33.4</v>
      </c>
      <c r="J531" s="4" t="n">
        <v>142</v>
      </c>
      <c r="K531" t="inlineStr">
        <is>
          <t>76 / 66</t>
        </is>
      </c>
      <c r="L531" t="inlineStr">
        <is>
          <t>22 / 18</t>
        </is>
      </c>
      <c r="M531" s="5" t="n">
        <v>0.54</v>
      </c>
      <c r="N531" s="5" t="n">
        <v>0.55</v>
      </c>
    </row>
    <row r="532">
      <c r="A532" t="n">
        <v>531</v>
      </c>
      <c r="B532" t="n">
        <v>2014</v>
      </c>
      <c r="C532" t="inlineStr">
        <is>
          <t>Alexis Sokol</t>
        </is>
      </c>
      <c r="D532">
        <f>HYPERLINK("https://ota.tournamentsoftware.com/player-profile/8337D953-FBB9-45F2-B72A-FF18B572FA6A", "Link")</f>
        <v/>
      </c>
      <c r="E532" s="3" t="n">
        <v>68.806</v>
      </c>
      <c r="F532" s="4" t="n">
        <v>10</v>
      </c>
      <c r="G532" t="inlineStr">
        <is>
          <t>Tennis Alberta</t>
        </is>
      </c>
      <c r="H532" t="inlineStr">
        <is>
          <t>Saville Community Sports Centre</t>
        </is>
      </c>
      <c r="I532" t="n">
        <v>36.2</v>
      </c>
      <c r="J532" s="4" t="n">
        <v>23</v>
      </c>
      <c r="K532" t="inlineStr">
        <is>
          <t>9 / 14</t>
        </is>
      </c>
      <c r="L532" t="inlineStr">
        <is>
          <t>7 / 10</t>
        </is>
      </c>
      <c r="M532" s="5" t="n">
        <v>0.39</v>
      </c>
      <c r="N532" s="5" t="n">
        <v>0.41</v>
      </c>
    </row>
    <row r="533">
      <c r="A533" t="n">
        <v>532</v>
      </c>
      <c r="B533" t="n">
        <v>2014</v>
      </c>
      <c r="C533" t="inlineStr">
        <is>
          <t>Kaitlynn Xie</t>
        </is>
      </c>
      <c r="D533">
        <f>HYPERLINK("https://ota.tournamentsoftware.com/player-profile/25655CF4-99DC-4E1E-BE40-C11FF6785117", "Link")</f>
        <v/>
      </c>
      <c r="E533" s="3" t="n">
        <v>68.715</v>
      </c>
      <c r="F533" s="4" t="n">
        <v>8</v>
      </c>
      <c r="G533" t="inlineStr">
        <is>
          <t>Tennis Alberta</t>
        </is>
      </c>
      <c r="H533" t="inlineStr">
        <is>
          <t>Saville Community Sports Centre</t>
        </is>
      </c>
      <c r="I533" t="n">
        <v>34.2</v>
      </c>
      <c r="J533" s="4" t="n">
        <v>57</v>
      </c>
      <c r="K533" t="inlineStr">
        <is>
          <t>19 / 38</t>
        </is>
      </c>
      <c r="L533" t="inlineStr">
        <is>
          <t>7 / 12</t>
        </is>
      </c>
      <c r="M533" s="5" t="n">
        <v>0.33</v>
      </c>
      <c r="N533" s="5" t="n">
        <v>0.37</v>
      </c>
    </row>
    <row r="534">
      <c r="A534" t="n">
        <v>533</v>
      </c>
      <c r="B534" t="n">
        <v>2014</v>
      </c>
      <c r="C534" t="inlineStr">
        <is>
          <t>Hui-Xin Chen</t>
        </is>
      </c>
      <c r="D534">
        <f>HYPERLINK("https://ota.tournamentsoftware.com/player-profile/755E1358-E624-498A-A129-DA058D259A1E", "Link")</f>
        <v/>
      </c>
      <c r="E534" s="3" t="n">
        <v>67.884</v>
      </c>
      <c r="F534" s="4" t="n">
        <v>12</v>
      </c>
      <c r="G534" t="inlineStr">
        <is>
          <t>British Columbia</t>
        </is>
      </c>
      <c r="H534" t="inlineStr">
        <is>
          <t>No Club</t>
        </is>
      </c>
      <c r="I534" t="inlineStr">
        <is>
          <t>unavailable</t>
        </is>
      </c>
      <c r="J534" s="4" t="n">
        <v>108</v>
      </c>
      <c r="K534" t="inlineStr">
        <is>
          <t>37 / 71</t>
        </is>
      </c>
      <c r="L534" t="inlineStr">
        <is>
          <t>14 / 14</t>
        </is>
      </c>
      <c r="M534" s="5" t="n">
        <v>0.34</v>
      </c>
      <c r="N534" s="5" t="n">
        <v>0.5</v>
      </c>
    </row>
    <row r="535">
      <c r="A535" t="n">
        <v>534</v>
      </c>
      <c r="B535" t="n">
        <v>2014</v>
      </c>
      <c r="C535" t="inlineStr">
        <is>
          <t>Melissa Elena Rusu</t>
        </is>
      </c>
      <c r="D535">
        <f>HYPERLINK("https://ota.tournamentsoftware.com/player-profile/9F55033D-1DF5-465D-A3A2-401E58DF9FEB", "Link")</f>
        <v/>
      </c>
      <c r="E535" s="3" t="n">
        <v>67.018</v>
      </c>
      <c r="F535" s="4" t="n">
        <v>17</v>
      </c>
      <c r="G535" t="inlineStr">
        <is>
          <t>Tennis Québec</t>
        </is>
      </c>
      <c r="H535" t="inlineStr">
        <is>
          <t>Carrefour Multisports - Haute Performance</t>
        </is>
      </c>
      <c r="I535" t="n">
        <v>37.5</v>
      </c>
      <c r="J535" s="4" t="n">
        <v>58</v>
      </c>
      <c r="K535" t="inlineStr">
        <is>
          <t>19 / 39</t>
        </is>
      </c>
      <c r="L535" t="inlineStr">
        <is>
          <t>4 / 16</t>
        </is>
      </c>
      <c r="M535" s="5" t="n">
        <v>0.33</v>
      </c>
      <c r="N535" s="5" t="n">
        <v>0.2</v>
      </c>
    </row>
    <row r="536">
      <c r="A536" t="n">
        <v>535</v>
      </c>
      <c r="B536" t="n">
        <v>2014</v>
      </c>
      <c r="C536" t="inlineStr">
        <is>
          <t>Mioara Oulima Bouyela</t>
        </is>
      </c>
      <c r="D536">
        <f>HYPERLINK("https://ota.tournamentsoftware.com/player-profile/44DDF62F-2675-4E36-B215-8515347ABD9E", "Link")</f>
        <v/>
      </c>
      <c r="E536" s="3" t="n">
        <v>66.925</v>
      </c>
      <c r="F536" s="4" t="n">
        <v>12</v>
      </c>
      <c r="G536" t="inlineStr">
        <is>
          <t>Tennis Québec</t>
        </is>
      </c>
      <c r="H536" t="inlineStr">
        <is>
          <t>Tennis 13</t>
        </is>
      </c>
      <c r="I536" t="n">
        <v>37.1</v>
      </c>
      <c r="J536" s="4" t="n">
        <v>83</v>
      </c>
      <c r="K536" t="inlineStr">
        <is>
          <t>34 / 49</t>
        </is>
      </c>
      <c r="L536" t="inlineStr">
        <is>
          <t>10 / 13</t>
        </is>
      </c>
      <c r="M536" s="5" t="n">
        <v>0.41</v>
      </c>
      <c r="N536" s="5" t="n">
        <v>0.43</v>
      </c>
    </row>
    <row r="537">
      <c r="A537" t="n">
        <v>536</v>
      </c>
      <c r="B537" t="n">
        <v>2012</v>
      </c>
      <c r="C537" t="inlineStr">
        <is>
          <t>Daisy Brown</t>
        </is>
      </c>
      <c r="D537">
        <f>HYPERLINK("https://ota.tournamentsoftware.com/player-profile/9CF1A8A4-6BA5-46C8-92F4-3E802A738811", "Link")</f>
        <v/>
      </c>
      <c r="E537" s="3" t="n">
        <v>66.79900000000001</v>
      </c>
      <c r="F537" s="4" t="n">
        <v>5</v>
      </c>
      <c r="G537" t="inlineStr">
        <is>
          <t>British Columbia</t>
        </is>
      </c>
      <c r="H537" t="inlineStr">
        <is>
          <t>Oak Bay Recreation Centre</t>
        </is>
      </c>
      <c r="I537" t="n">
        <v>35.7</v>
      </c>
      <c r="J537" s="4" t="n">
        <v>62</v>
      </c>
      <c r="K537" t="inlineStr">
        <is>
          <t>34 / 28</t>
        </is>
      </c>
      <c r="L537" t="inlineStr">
        <is>
          <t>4 / 6</t>
        </is>
      </c>
      <c r="M537" s="5" t="n">
        <v>0.55</v>
      </c>
      <c r="N537" s="5" t="n">
        <v>0.4</v>
      </c>
    </row>
    <row r="538">
      <c r="A538" t="n">
        <v>537</v>
      </c>
      <c r="B538" t="n">
        <v>2014</v>
      </c>
      <c r="C538" t="inlineStr">
        <is>
          <t>Gabriella Geronimo</t>
        </is>
      </c>
      <c r="D538">
        <f>HYPERLINK("https://ota.tournamentsoftware.com/player-profile/E075895A-C22F-4FDB-9A95-CCD353169906", "Link")</f>
        <v/>
      </c>
      <c r="E538" s="3" t="n">
        <v>66.63200000000001</v>
      </c>
      <c r="F538" s="4" t="n">
        <v>5</v>
      </c>
      <c r="G538" t="inlineStr">
        <is>
          <t>Ontario Tennis Association</t>
        </is>
      </c>
      <c r="H538" t="inlineStr">
        <is>
          <t>Albion Gardens Tennis Club</t>
        </is>
      </c>
      <c r="I538" t="n">
        <v>34</v>
      </c>
      <c r="J538" s="4" t="n">
        <v>201</v>
      </c>
      <c r="K538" t="inlineStr">
        <is>
          <t>113 / 88</t>
        </is>
      </c>
      <c r="L538" t="inlineStr">
        <is>
          <t>5 / 2</t>
        </is>
      </c>
      <c r="M538" s="5" t="n">
        <v>0.5600000000000001</v>
      </c>
      <c r="N538" s="5" t="n">
        <v>0.71</v>
      </c>
    </row>
    <row r="539">
      <c r="A539" t="n">
        <v>538</v>
      </c>
      <c r="B539" t="n">
        <v>2013</v>
      </c>
      <c r="C539" t="inlineStr">
        <is>
          <t>Camélia Duong</t>
        </is>
      </c>
      <c r="D539">
        <f>HYPERLINK("https://ota.tournamentsoftware.com/player-profile/86B52BC3-1BF6-4334-8E35-8F6D2AF1C95B", "Link")</f>
        <v/>
      </c>
      <c r="E539" s="3" t="n">
        <v>66.614</v>
      </c>
      <c r="F539" s="4" t="n">
        <v>10</v>
      </c>
      <c r="G539" t="inlineStr">
        <is>
          <t>Tennis Québec</t>
        </is>
      </c>
      <c r="H539" t="inlineStr">
        <is>
          <t>Tennis Ile- des- Soeurs</t>
        </is>
      </c>
      <c r="I539" t="n">
        <v>36.9</v>
      </c>
      <c r="J539" s="4" t="n">
        <v>68</v>
      </c>
      <c r="K539" t="inlineStr">
        <is>
          <t>12 / 56</t>
        </is>
      </c>
      <c r="L539" t="inlineStr">
        <is>
          <t>4 / 8</t>
        </is>
      </c>
      <c r="M539" s="5" t="n">
        <v>0.18</v>
      </c>
      <c r="N539" s="5" t="n">
        <v>0.33</v>
      </c>
    </row>
    <row r="540">
      <c r="A540" t="n">
        <v>539</v>
      </c>
      <c r="B540" t="n">
        <v>2016</v>
      </c>
      <c r="C540" t="inlineStr">
        <is>
          <t>Lily Chen</t>
        </is>
      </c>
      <c r="D540">
        <f>HYPERLINK("https://ota.tournamentsoftware.com/player-profile/A6A0EB19-7DDD-4B25-B81C-FCA911081AB5", "Link")</f>
        <v/>
      </c>
      <c r="E540" s="3" t="n">
        <v>66.55200000000001</v>
      </c>
      <c r="F540" s="4" t="n">
        <v>18</v>
      </c>
      <c r="G540" t="inlineStr">
        <is>
          <t>British Columbia</t>
        </is>
      </c>
      <c r="H540" t="inlineStr">
        <is>
          <t>No Club</t>
        </is>
      </c>
      <c r="I540" t="n">
        <v>35.1</v>
      </c>
      <c r="J540" s="4" t="n">
        <v>111</v>
      </c>
      <c r="K540" t="inlineStr">
        <is>
          <t>42 / 69</t>
        </is>
      </c>
      <c r="L540" t="inlineStr">
        <is>
          <t>15 / 26</t>
        </is>
      </c>
      <c r="M540" s="5" t="n">
        <v>0.38</v>
      </c>
      <c r="N540" s="5" t="n">
        <v>0.37</v>
      </c>
    </row>
    <row r="541">
      <c r="A541" t="n">
        <v>540</v>
      </c>
      <c r="B541" t="n">
        <v>2015</v>
      </c>
      <c r="C541" t="inlineStr">
        <is>
          <t>Brielle Ramirez Balos</t>
        </is>
      </c>
      <c r="D541">
        <f>HYPERLINK("https://ota.tournamentsoftware.com/player-profile/2F36BC35-A108-44F9-B705-6F2246749033", "Link")</f>
        <v/>
      </c>
      <c r="E541" s="3" t="n">
        <v>66.29000000000001</v>
      </c>
      <c r="F541" s="4" t="n">
        <v>10</v>
      </c>
      <c r="G541" t="inlineStr">
        <is>
          <t>Tennis Alberta</t>
        </is>
      </c>
      <c r="H541" t="inlineStr">
        <is>
          <t>Saville Community Sports Centre</t>
        </is>
      </c>
      <c r="I541" t="inlineStr">
        <is>
          <t>unavailable</t>
        </is>
      </c>
      <c r="J541" s="4" t="n">
        <v>68</v>
      </c>
      <c r="K541" t="inlineStr">
        <is>
          <t>39 / 29</t>
        </is>
      </c>
      <c r="L541" t="inlineStr">
        <is>
          <t>17 / 10</t>
        </is>
      </c>
      <c r="M541" s="5" t="n">
        <v>0.57</v>
      </c>
      <c r="N541" s="5" t="n">
        <v>0.63</v>
      </c>
    </row>
    <row r="542">
      <c r="A542" t="n">
        <v>541</v>
      </c>
      <c r="B542" t="n">
        <v>2014</v>
      </c>
      <c r="C542" t="inlineStr">
        <is>
          <t>Sareen Kaur Hehar</t>
        </is>
      </c>
      <c r="D542">
        <f>HYPERLINK("https://ota.tournamentsoftware.com/player-profile/07D185FB-AE5B-444B-BAE8-058B536108E2", "Link")</f>
        <v/>
      </c>
      <c r="E542" s="3" t="n">
        <v>66.22499999999999</v>
      </c>
      <c r="F542" s="4" t="n">
        <v>11</v>
      </c>
      <c r="G542" t="inlineStr">
        <is>
          <t>British Columbia</t>
        </is>
      </c>
      <c r="H542" t="inlineStr">
        <is>
          <t>No Club</t>
        </is>
      </c>
      <c r="I542" t="n">
        <v>35.7</v>
      </c>
      <c r="J542" s="4" t="n">
        <v>197</v>
      </c>
      <c r="K542" t="inlineStr">
        <is>
          <t>75 / 122</t>
        </is>
      </c>
      <c r="L542" t="inlineStr">
        <is>
          <t>5 / 10</t>
        </is>
      </c>
      <c r="M542" s="5" t="n">
        <v>0.38</v>
      </c>
      <c r="N542" s="5" t="n">
        <v>0.33</v>
      </c>
    </row>
    <row r="543">
      <c r="A543" t="n">
        <v>542</v>
      </c>
      <c r="B543" t="n">
        <v>2016</v>
      </c>
      <c r="C543" t="inlineStr">
        <is>
          <t>Evelyn May</t>
        </is>
      </c>
      <c r="D543">
        <f>HYPERLINK("https://ota.tournamentsoftware.com/player-profile/ABFB9C06-ABE9-4B21-BF57-67179CC1CD5D", "Link")</f>
        <v/>
      </c>
      <c r="E543" s="3" t="n">
        <v>65.914</v>
      </c>
      <c r="F543" s="4" t="n">
        <v>13</v>
      </c>
      <c r="G543" t="inlineStr">
        <is>
          <t>Tennis Québec</t>
        </is>
      </c>
      <c r="H543" t="inlineStr">
        <is>
          <t>Tennis 13 / Académie Ménard et associé</t>
        </is>
      </c>
      <c r="I543" t="n">
        <v>33.6</v>
      </c>
      <c r="J543" s="4" t="n">
        <v>182</v>
      </c>
      <c r="K543" t="inlineStr">
        <is>
          <t>112 / 70</t>
        </is>
      </c>
      <c r="L543" t="inlineStr">
        <is>
          <t>15 / 14</t>
        </is>
      </c>
      <c r="M543" s="5" t="n">
        <v>0.62</v>
      </c>
      <c r="N543" s="5" t="n">
        <v>0.52</v>
      </c>
    </row>
    <row r="544">
      <c r="A544" t="n">
        <v>543</v>
      </c>
      <c r="B544" t="n">
        <v>2014</v>
      </c>
      <c r="C544" t="inlineStr">
        <is>
          <t>Victoria Guiral</t>
        </is>
      </c>
      <c r="D544">
        <f>HYPERLINK("https://ota.tournamentsoftware.com/player-profile/1DC3BD6C-A3EA-46CB-A6B3-CB5D3D2F1E7D", "Link")</f>
        <v/>
      </c>
      <c r="E544" s="3" t="n">
        <v>65.78400000000001</v>
      </c>
      <c r="F544" s="4" t="n">
        <v>7</v>
      </c>
      <c r="G544" t="inlineStr">
        <is>
          <t>Tennis Québec</t>
        </is>
      </c>
      <c r="H544" t="inlineStr">
        <is>
          <t>Tennis Interclub Piedmont</t>
        </is>
      </c>
      <c r="I544" t="n">
        <v>38.6</v>
      </c>
      <c r="J544" s="4" t="n">
        <v>23</v>
      </c>
      <c r="K544" t="inlineStr">
        <is>
          <t>6 / 17</t>
        </is>
      </c>
      <c r="L544" t="inlineStr">
        <is>
          <t>1 / 10</t>
        </is>
      </c>
      <c r="M544" s="5" t="n">
        <v>0.26</v>
      </c>
      <c r="N544" s="5" t="n">
        <v>0.09</v>
      </c>
    </row>
    <row r="545">
      <c r="A545" t="n">
        <v>544</v>
      </c>
      <c r="B545" t="n">
        <v>2012</v>
      </c>
      <c r="C545" t="inlineStr">
        <is>
          <t>Diya Anand</t>
        </is>
      </c>
      <c r="D545">
        <f>HYPERLINK("https://ota.tournamentsoftware.com/player-profile/3939C1EF-E95B-4DD4-9208-81F6E4D5387F", "Link")</f>
        <v/>
      </c>
      <c r="E545" s="3" t="n">
        <v>65.70999999999999</v>
      </c>
      <c r="F545" s="4" t="n">
        <v>5</v>
      </c>
      <c r="G545" t="inlineStr">
        <is>
          <t>Ontario Tennis Association</t>
        </is>
      </c>
      <c r="H545" t="inlineStr">
        <is>
          <t>Rosedale Tennis Club (Hamilton)</t>
        </is>
      </c>
      <c r="I545" t="inlineStr">
        <is>
          <t>unavailable</t>
        </is>
      </c>
      <c r="J545" s="4" t="n">
        <v>20</v>
      </c>
      <c r="K545" t="inlineStr">
        <is>
          <t>4 / 16</t>
        </is>
      </c>
      <c r="L545" t="inlineStr">
        <is>
          <t>1 / 6</t>
        </is>
      </c>
      <c r="M545" s="5" t="n">
        <v>0.2</v>
      </c>
      <c r="N545" s="5" t="n">
        <v>0.14</v>
      </c>
    </row>
    <row r="546">
      <c r="A546" t="n">
        <v>545</v>
      </c>
      <c r="B546" t="n">
        <v>2013</v>
      </c>
      <c r="C546" t="inlineStr">
        <is>
          <t>Robyn Abigail Allen</t>
        </is>
      </c>
      <c r="D546">
        <f>HYPERLINK("https://ota.tournamentsoftware.com/player-profile/248A3F67-26CE-43CB-A1BB-A426F8AC9211", "Link")</f>
        <v/>
      </c>
      <c r="E546" s="3" t="n">
        <v>65.42700000000001</v>
      </c>
      <c r="F546" s="4" t="n">
        <v>4</v>
      </c>
      <c r="G546" t="inlineStr">
        <is>
          <t>Ontario Tennis Association</t>
        </is>
      </c>
      <c r="H546" t="inlineStr">
        <is>
          <t>Waterloo Tennis Club</t>
        </is>
      </c>
      <c r="I546" t="inlineStr">
        <is>
          <t>unavailable</t>
        </is>
      </c>
      <c r="J546" s="4" t="n">
        <v>24</v>
      </c>
      <c r="K546" t="inlineStr">
        <is>
          <t>5 / 19</t>
        </is>
      </c>
      <c r="L546" t="inlineStr">
        <is>
          <t>2 / 12</t>
        </is>
      </c>
      <c r="M546" s="5" t="n">
        <v>0.21</v>
      </c>
      <c r="N546" s="5" t="n">
        <v>0.14</v>
      </c>
    </row>
    <row r="547">
      <c r="A547" t="n">
        <v>546</v>
      </c>
      <c r="B547" t="n">
        <v>2015</v>
      </c>
      <c r="C547" t="inlineStr">
        <is>
          <t>Aayushi Gautam</t>
        </is>
      </c>
      <c r="D547">
        <f>HYPERLINK("https://ota.tournamentsoftware.com/player-profile/A24CEE26-7629-46B9-89B0-12B054D2DFB9", "Link")</f>
        <v/>
      </c>
      <c r="E547" s="3" t="n">
        <v>64.93000000000001</v>
      </c>
      <c r="F547" s="4" t="n">
        <v>14</v>
      </c>
      <c r="G547" t="inlineStr">
        <is>
          <t>Tennis Alberta</t>
        </is>
      </c>
      <c r="H547" t="inlineStr">
        <is>
          <t>Saville Community Sports Centre</t>
        </is>
      </c>
      <c r="I547" t="n">
        <v>32.7</v>
      </c>
      <c r="J547" s="4" t="n">
        <v>156</v>
      </c>
      <c r="K547" t="inlineStr">
        <is>
          <t>94 / 62</t>
        </is>
      </c>
      <c r="L547" t="inlineStr">
        <is>
          <t>20 / 8</t>
        </is>
      </c>
      <c r="M547" s="5" t="n">
        <v>0.6</v>
      </c>
      <c r="N547" s="5" t="n">
        <v>0.71</v>
      </c>
    </row>
    <row r="548">
      <c r="A548" t="n">
        <v>547</v>
      </c>
      <c r="B548" t="n">
        <v>2015</v>
      </c>
      <c r="C548" t="inlineStr">
        <is>
          <t>Alexandria Gianvito</t>
        </is>
      </c>
      <c r="D548">
        <f>HYPERLINK("https://ota.tournamentsoftware.com/player-profile/4A4D327B-3019-4349-8F36-0769D584A4FA", "Link")</f>
        <v/>
      </c>
      <c r="E548" s="3" t="n">
        <v>64.84999999999999</v>
      </c>
      <c r="F548" s="4" t="n">
        <v>6</v>
      </c>
      <c r="G548" t="inlineStr">
        <is>
          <t>Tennis Québec</t>
        </is>
      </c>
      <c r="H548" t="inlineStr">
        <is>
          <t>No Club</t>
        </is>
      </c>
      <c r="I548" t="inlineStr">
        <is>
          <t>unavailable</t>
        </is>
      </c>
      <c r="J548" s="4" t="n">
        <v>50</v>
      </c>
      <c r="K548" t="inlineStr">
        <is>
          <t>13 / 37</t>
        </is>
      </c>
      <c r="L548" t="inlineStr">
        <is>
          <t>1 / 5</t>
        </is>
      </c>
      <c r="M548" s="5" t="n">
        <v>0.26</v>
      </c>
      <c r="N548" s="5" t="n">
        <v>0.17</v>
      </c>
    </row>
    <row r="549">
      <c r="A549" t="n">
        <v>548</v>
      </c>
      <c r="B549" t="n">
        <v>2012</v>
      </c>
      <c r="C549" t="inlineStr">
        <is>
          <t>kate zixi ye</t>
        </is>
      </c>
      <c r="D549">
        <f>HYPERLINK("https://ota.tournamentsoftware.com/player-profile/0A8F7797-88F4-49C6-8F3D-6079B8242406", "Link")</f>
        <v/>
      </c>
      <c r="E549" s="3" t="n">
        <v>64.583</v>
      </c>
      <c r="F549" s="4" t="n">
        <v>7</v>
      </c>
      <c r="G549" t="inlineStr">
        <is>
          <t>Ontario Tennis Association</t>
        </is>
      </c>
      <c r="H549" t="inlineStr">
        <is>
          <t>No Club</t>
        </is>
      </c>
      <c r="I549" t="n">
        <v>38</v>
      </c>
      <c r="J549" s="4" t="n">
        <v>13</v>
      </c>
      <c r="K549" t="inlineStr">
        <is>
          <t>2 / 11</t>
        </is>
      </c>
      <c r="L549" t="inlineStr">
        <is>
          <t>1 / 6</t>
        </is>
      </c>
      <c r="M549" s="5" t="n">
        <v>0.15</v>
      </c>
      <c r="N549" s="5" t="n">
        <v>0.14</v>
      </c>
    </row>
    <row r="550">
      <c r="A550" t="n">
        <v>549</v>
      </c>
      <c r="B550" t="n">
        <v>2015</v>
      </c>
      <c r="C550" t="inlineStr">
        <is>
          <t>Ziba Forooghian</t>
        </is>
      </c>
      <c r="D550">
        <f>HYPERLINK("https://ota.tournamentsoftware.com/player-profile/F7878057-CB20-46E1-B220-553040C8AC48", "Link")</f>
        <v/>
      </c>
      <c r="E550" s="3" t="n">
        <v>64.547</v>
      </c>
      <c r="F550" s="4" t="n">
        <v>21</v>
      </c>
      <c r="G550" t="inlineStr">
        <is>
          <t>British Columbia</t>
        </is>
      </c>
      <c r="H550" t="inlineStr">
        <is>
          <t>Aura Tennis Academy</t>
        </is>
      </c>
      <c r="I550" t="n">
        <v>35.9</v>
      </c>
      <c r="J550" s="4" t="n">
        <v>88</v>
      </c>
      <c r="K550" t="inlineStr">
        <is>
          <t>31 / 57</t>
        </is>
      </c>
      <c r="L550" t="inlineStr">
        <is>
          <t>18 / 34</t>
        </is>
      </c>
      <c r="M550" s="5" t="n">
        <v>0.35</v>
      </c>
      <c r="N550" s="5" t="n">
        <v>0.35</v>
      </c>
    </row>
    <row r="551">
      <c r="A551" t="n">
        <v>550</v>
      </c>
      <c r="B551" t="n">
        <v>2016</v>
      </c>
      <c r="C551" t="inlineStr">
        <is>
          <t>Melinna Yu Nuo Yang</t>
        </is>
      </c>
      <c r="D551">
        <f>HYPERLINK("https://ota.tournamentsoftware.com/player-profile/6BCCA5B4-7059-414C-A06D-D2936B6A3CC2", "Link")</f>
        <v/>
      </c>
      <c r="E551" s="3" t="n">
        <v>64.06399999999999</v>
      </c>
      <c r="F551" s="4" t="n">
        <v>9</v>
      </c>
      <c r="G551" t="inlineStr">
        <is>
          <t>Tennis Québec</t>
        </is>
      </c>
      <c r="H551" t="inlineStr">
        <is>
          <t>Club Sportif Côte-de-Liesse</t>
        </is>
      </c>
      <c r="I551" t="inlineStr">
        <is>
          <t>unavailable</t>
        </is>
      </c>
      <c r="J551" s="4" t="n">
        <v>97</v>
      </c>
      <c r="K551" t="inlineStr">
        <is>
          <t>40 / 57</t>
        </is>
      </c>
      <c r="L551" t="inlineStr">
        <is>
          <t>19 / 15</t>
        </is>
      </c>
      <c r="M551" s="5" t="n">
        <v>0.41</v>
      </c>
      <c r="N551" s="5" t="n">
        <v>0.5600000000000001</v>
      </c>
    </row>
    <row r="552">
      <c r="A552" t="n">
        <v>551</v>
      </c>
      <c r="B552" t="n">
        <v>2012</v>
      </c>
      <c r="C552" t="inlineStr">
        <is>
          <t>Jemima Edwards</t>
        </is>
      </c>
      <c r="D552">
        <f>HYPERLINK("https://ota.tournamentsoftware.com/player-profile/89C8AA4C-1698-4049-8B88-9B77FC5C4B9B", "Link")</f>
        <v/>
      </c>
      <c r="E552" s="3" t="n">
        <v>64</v>
      </c>
      <c r="F552" s="4" t="n">
        <v>2</v>
      </c>
      <c r="G552" t="inlineStr">
        <is>
          <t>Ontario Tennis Association</t>
        </is>
      </c>
      <c r="H552" t="inlineStr">
        <is>
          <t>Rideau Sports Centre</t>
        </is>
      </c>
      <c r="I552" t="n">
        <v>32.4</v>
      </c>
      <c r="J552" s="4" t="n">
        <v>78</v>
      </c>
      <c r="K552" t="inlineStr">
        <is>
          <t>39 / 39</t>
        </is>
      </c>
      <c r="L552" t="inlineStr">
        <is>
          <t>3 / 1</t>
        </is>
      </c>
      <c r="M552" s="5" t="n">
        <v>0.5</v>
      </c>
      <c r="N552" s="5" t="n">
        <v>0.75</v>
      </c>
    </row>
    <row r="553">
      <c r="A553" t="n">
        <v>552</v>
      </c>
      <c r="B553" t="n">
        <v>2016</v>
      </c>
      <c r="C553" t="inlineStr">
        <is>
          <t>Hayley Bryce</t>
        </is>
      </c>
      <c r="D553">
        <f>HYPERLINK("https://ota.tournamentsoftware.com/player-profile/B433F420-A779-4270-B32A-8DE5FF43BD05", "Link")</f>
        <v/>
      </c>
      <c r="E553" s="3" t="n">
        <v>63.547</v>
      </c>
      <c r="F553" s="4" t="n">
        <v>15</v>
      </c>
      <c r="G553" t="inlineStr">
        <is>
          <t>Ontario Tennis Association</t>
        </is>
      </c>
      <c r="H553" t="inlineStr">
        <is>
          <t>SmartVMC Racquetsports by ACE</t>
        </is>
      </c>
      <c r="I553" t="inlineStr">
        <is>
          <t>unavailable</t>
        </is>
      </c>
      <c r="J553" s="4" t="n">
        <v>81</v>
      </c>
      <c r="K553" t="inlineStr">
        <is>
          <t>36 / 45</t>
        </is>
      </c>
      <c r="L553" t="inlineStr">
        <is>
          <t>19 / 23</t>
        </is>
      </c>
      <c r="M553" s="5" t="n">
        <v>0.44</v>
      </c>
      <c r="N553" s="5" t="n">
        <v>0.45</v>
      </c>
    </row>
    <row r="554">
      <c r="A554" t="n">
        <v>553</v>
      </c>
      <c r="B554" t="n">
        <v>2013</v>
      </c>
      <c r="C554" t="inlineStr">
        <is>
          <t>Deborah Zhao</t>
        </is>
      </c>
      <c r="D554">
        <f>HYPERLINK("https://ota.tournamentsoftware.com/player-profile/F6904719-B024-412B-8805-0CEB145651FD", "Link")</f>
        <v/>
      </c>
      <c r="E554" s="3" t="n">
        <v>63.288</v>
      </c>
      <c r="F554" s="4" t="n">
        <v>3</v>
      </c>
      <c r="G554" t="inlineStr">
        <is>
          <t>Tennis Prince Edward Island</t>
        </is>
      </c>
      <c r="H554" t="inlineStr">
        <is>
          <t>Charlottetown Recreation Tennis Group</t>
        </is>
      </c>
      <c r="I554" t="n">
        <v>35.4</v>
      </c>
      <c r="J554" s="4" t="n">
        <v>139</v>
      </c>
      <c r="K554" t="inlineStr">
        <is>
          <t>67 / 72</t>
        </is>
      </c>
      <c r="L554" t="inlineStr">
        <is>
          <t>5 / 8</t>
        </is>
      </c>
      <c r="M554" s="5" t="n">
        <v>0.48</v>
      </c>
      <c r="N554" s="5" t="n">
        <v>0.38</v>
      </c>
    </row>
    <row r="555">
      <c r="A555" t="n">
        <v>554</v>
      </c>
      <c r="B555" t="n">
        <v>2015</v>
      </c>
      <c r="C555" t="inlineStr">
        <is>
          <t>Karina Lee Griffin</t>
        </is>
      </c>
      <c r="D555">
        <f>HYPERLINK("https://ota.tournamentsoftware.com/player-profile/51794C7A-992F-4A4D-9983-0483174644A1", "Link")</f>
        <v/>
      </c>
      <c r="E555" s="3" t="n">
        <v>62.799</v>
      </c>
      <c r="F555" s="4" t="n">
        <v>18</v>
      </c>
      <c r="G555" t="inlineStr">
        <is>
          <t>British Columbia</t>
        </is>
      </c>
      <c r="H555" t="inlineStr">
        <is>
          <t>North Vancouver Tennis Centre</t>
        </is>
      </c>
      <c r="I555" t="n">
        <v>35</v>
      </c>
      <c r="J555" s="4" t="n">
        <v>155</v>
      </c>
      <c r="K555" t="inlineStr">
        <is>
          <t>73 / 82</t>
        </is>
      </c>
      <c r="L555" t="inlineStr">
        <is>
          <t>12 / 20</t>
        </is>
      </c>
      <c r="M555" s="5" t="n">
        <v>0.47</v>
      </c>
      <c r="N555" s="5" t="n">
        <v>0.38</v>
      </c>
    </row>
    <row r="556">
      <c r="A556" t="n">
        <v>555</v>
      </c>
      <c r="B556" t="n">
        <v>2013</v>
      </c>
      <c r="C556" t="inlineStr">
        <is>
          <t>Anika Surtani</t>
        </is>
      </c>
      <c r="D556">
        <f>HYPERLINK("https://ota.tournamentsoftware.com/player-profile/8434E356-BD3E-4FDA-9513-46F335FD471C", "Link")</f>
        <v/>
      </c>
      <c r="E556" s="3" t="n">
        <v>62.78</v>
      </c>
      <c r="F556" s="4" t="n">
        <v>8</v>
      </c>
      <c r="G556" t="inlineStr">
        <is>
          <t>Ontario Tennis Association</t>
        </is>
      </c>
      <c r="H556" t="inlineStr">
        <is>
          <t>Boulevard Club</t>
        </is>
      </c>
      <c r="I556" t="inlineStr">
        <is>
          <t>unavailable</t>
        </is>
      </c>
      <c r="J556" s="4" t="n">
        <v>22</v>
      </c>
      <c r="K556" t="inlineStr">
        <is>
          <t>6 / 16</t>
        </is>
      </c>
      <c r="L556" t="inlineStr">
        <is>
          <t>4 / 8</t>
        </is>
      </c>
      <c r="M556" s="5" t="n">
        <v>0.27</v>
      </c>
      <c r="N556" s="5" t="n">
        <v>0.33</v>
      </c>
    </row>
    <row r="557">
      <c r="A557" t="n">
        <v>556</v>
      </c>
      <c r="B557" t="n">
        <v>2012</v>
      </c>
      <c r="C557" t="inlineStr">
        <is>
          <t>Hannah Ines Fischer-Kandelas</t>
        </is>
      </c>
      <c r="D557">
        <f>HYPERLINK("https://ota.tournamentsoftware.com/player-profile/672C977E-EE19-4DD0-AE73-F6FCDD2EE1E1", "Link")</f>
        <v/>
      </c>
      <c r="E557" s="3" t="n">
        <v>62.453</v>
      </c>
      <c r="F557" s="4" t="n">
        <v>4</v>
      </c>
      <c r="G557" t="inlineStr">
        <is>
          <t>Ontario Tennis Association</t>
        </is>
      </c>
      <c r="H557" t="inlineStr">
        <is>
          <t>Wychwood Tennis Club</t>
        </is>
      </c>
      <c r="I557" t="n">
        <v>39.1</v>
      </c>
      <c r="J557" s="4" t="n">
        <v>22</v>
      </c>
      <c r="K557" t="inlineStr">
        <is>
          <t>9 / 13</t>
        </is>
      </c>
      <c r="L557" t="inlineStr">
        <is>
          <t>2 / 7</t>
        </is>
      </c>
      <c r="M557" s="5" t="n">
        <v>0.41</v>
      </c>
      <c r="N557" s="5" t="n">
        <v>0.22</v>
      </c>
    </row>
    <row r="558">
      <c r="A558" t="n">
        <v>557</v>
      </c>
      <c r="B558" t="n">
        <v>2014</v>
      </c>
      <c r="C558" t="inlineStr">
        <is>
          <t>Chloe Huang</t>
        </is>
      </c>
      <c r="D558">
        <f>HYPERLINK("https://ota.tournamentsoftware.com/player-profile/F00195EB-06BF-48AD-9E24-7FA037871F13", "Link")</f>
        <v/>
      </c>
      <c r="E558" s="3" t="n">
        <v>62.111</v>
      </c>
      <c r="F558" s="4" t="n">
        <v>3</v>
      </c>
      <c r="G558" t="inlineStr">
        <is>
          <t>Ontario Tennis Association</t>
        </is>
      </c>
      <c r="H558" t="inlineStr">
        <is>
          <t>Richmond Hill Country Club</t>
        </is>
      </c>
      <c r="I558" t="n">
        <v>38.8</v>
      </c>
      <c r="J558" s="4" t="n">
        <v>54</v>
      </c>
      <c r="K558" t="inlineStr">
        <is>
          <t>20 / 34</t>
        </is>
      </c>
      <c r="L558" t="inlineStr">
        <is>
          <t>0 / 3</t>
        </is>
      </c>
      <c r="M558" s="5" t="n">
        <v>0.37</v>
      </c>
      <c r="N558" s="5" t="n">
        <v>0</v>
      </c>
    </row>
    <row r="559">
      <c r="A559" t="n">
        <v>558</v>
      </c>
      <c r="B559" t="n">
        <v>2012</v>
      </c>
      <c r="C559" t="inlineStr">
        <is>
          <t>Alice Zhang</t>
        </is>
      </c>
      <c r="D559">
        <f>HYPERLINK("https://ota.tournamentsoftware.com/player-profile/D65C72B6-843B-48BF-A073-AE5080F1EA2D", "Link")</f>
        <v/>
      </c>
      <c r="E559" s="3" t="n">
        <v>61.807</v>
      </c>
      <c r="F559" s="4" t="n">
        <v>4</v>
      </c>
      <c r="G559" t="inlineStr">
        <is>
          <t>Ontario Tennis Association</t>
        </is>
      </c>
      <c r="H559" t="inlineStr">
        <is>
          <t>ACE Tennis - Burlington</t>
        </is>
      </c>
      <c r="I559" t="n">
        <v>37.1</v>
      </c>
      <c r="J559" s="4" t="n">
        <v>10</v>
      </c>
      <c r="K559" t="inlineStr">
        <is>
          <t>2 / 8</t>
        </is>
      </c>
      <c r="L559" t="inlineStr">
        <is>
          <t>2 / 6</t>
        </is>
      </c>
      <c r="M559" s="5" t="n">
        <v>0.2</v>
      </c>
      <c r="N559" s="5" t="n">
        <v>0.25</v>
      </c>
    </row>
    <row r="560">
      <c r="A560" t="n">
        <v>559</v>
      </c>
      <c r="B560" t="n">
        <v>2016</v>
      </c>
      <c r="C560" t="inlineStr">
        <is>
          <t>Vianna Mostashari</t>
        </is>
      </c>
      <c r="D560">
        <f>HYPERLINK("https://ota.tournamentsoftware.com/player-profile/670B74EC-3F81-45DD-8F9B-AEE768B61639", "Link")</f>
        <v/>
      </c>
      <c r="E560" s="3" t="n">
        <v>60.995</v>
      </c>
      <c r="F560" s="4" t="n">
        <v>12</v>
      </c>
      <c r="G560" t="inlineStr">
        <is>
          <t>British Columbia</t>
        </is>
      </c>
      <c r="H560" t="inlineStr">
        <is>
          <t>North Vancouver Tennis Centre</t>
        </is>
      </c>
      <c r="I560" t="n">
        <v>35.5</v>
      </c>
      <c r="J560" s="4" t="n">
        <v>160</v>
      </c>
      <c r="K560" t="inlineStr">
        <is>
          <t>89 / 71</t>
        </is>
      </c>
      <c r="L560" t="inlineStr">
        <is>
          <t>9 / 18</t>
        </is>
      </c>
      <c r="M560" s="5" t="n">
        <v>0.5600000000000001</v>
      </c>
      <c r="N560" s="5" t="n">
        <v>0.33</v>
      </c>
    </row>
    <row r="561">
      <c r="A561" t="n">
        <v>560</v>
      </c>
      <c r="B561" t="n">
        <v>2016</v>
      </c>
      <c r="C561" t="inlineStr">
        <is>
          <t>Saanvi Sharma</t>
        </is>
      </c>
      <c r="D561">
        <f>HYPERLINK("https://ota.tournamentsoftware.com/player-profile/CE1D7CD8-1C3C-4F68-B568-48AC24E75437", "Link")</f>
        <v/>
      </c>
      <c r="E561" s="3" t="n">
        <v>60.845</v>
      </c>
      <c r="F561" s="4" t="n">
        <v>6</v>
      </c>
      <c r="G561" t="inlineStr">
        <is>
          <t>Tennis Québec</t>
        </is>
      </c>
      <c r="H561" t="inlineStr">
        <is>
          <t>Tennis Ile- des- Soeurs</t>
        </is>
      </c>
      <c r="I561" t="n">
        <v>36.3</v>
      </c>
      <c r="J561" s="4" t="n">
        <v>96</v>
      </c>
      <c r="K561" t="inlineStr">
        <is>
          <t>48 / 48</t>
        </is>
      </c>
      <c r="L561" t="inlineStr">
        <is>
          <t>14 / 10</t>
        </is>
      </c>
      <c r="M561" s="5" t="n">
        <v>0.5</v>
      </c>
      <c r="N561" s="5" t="n">
        <v>0.58</v>
      </c>
    </row>
    <row r="562">
      <c r="A562" t="n">
        <v>561</v>
      </c>
      <c r="B562" t="n">
        <v>2014</v>
      </c>
      <c r="C562" t="inlineStr">
        <is>
          <t>Mila Phoebe Madrid</t>
        </is>
      </c>
      <c r="D562">
        <f>HYPERLINK("https://ota.tournamentsoftware.com/player-profile/3994748B-2ED2-4F57-8907-B1AE9B874F9B", "Link")</f>
        <v/>
      </c>
      <c r="E562" s="3" t="n">
        <v>60.769</v>
      </c>
      <c r="F562" s="4" t="n">
        <v>6</v>
      </c>
      <c r="G562" t="inlineStr">
        <is>
          <t>Ontario Tennis Association</t>
        </is>
      </c>
      <c r="H562" t="inlineStr">
        <is>
          <t>Newmarket Winter Tennis Club</t>
        </is>
      </c>
      <c r="I562" t="n">
        <v>37</v>
      </c>
      <c r="J562" s="4" t="n">
        <v>53</v>
      </c>
      <c r="K562" t="inlineStr">
        <is>
          <t>20 / 33</t>
        </is>
      </c>
      <c r="L562" t="inlineStr">
        <is>
          <t>13 / 7</t>
        </is>
      </c>
      <c r="M562" s="5" t="n">
        <v>0.38</v>
      </c>
      <c r="N562" s="5" t="n">
        <v>0.65</v>
      </c>
    </row>
    <row r="563">
      <c r="A563" t="n">
        <v>562</v>
      </c>
      <c r="B563" t="n">
        <v>2015</v>
      </c>
      <c r="C563" t="inlineStr">
        <is>
          <t>Clara Surprenant</t>
        </is>
      </c>
      <c r="D563">
        <f>HYPERLINK("https://ota.tournamentsoftware.com/player-profile/82684D26-C7AE-41C6-893D-5E94585A41D7", "Link")</f>
        <v/>
      </c>
      <c r="E563" s="3" t="n">
        <v>60.705</v>
      </c>
      <c r="F563" s="4" t="n">
        <v>6</v>
      </c>
      <c r="G563" t="inlineStr">
        <is>
          <t>Tennis Québec</t>
        </is>
      </c>
      <c r="H563" t="inlineStr">
        <is>
          <t>SANI Sport</t>
        </is>
      </c>
      <c r="I563" t="n">
        <v>36.4</v>
      </c>
      <c r="J563" s="4" t="n">
        <v>87</v>
      </c>
      <c r="K563" t="inlineStr">
        <is>
          <t>41 / 46</t>
        </is>
      </c>
      <c r="L563" t="inlineStr">
        <is>
          <t>3 / 5</t>
        </is>
      </c>
      <c r="M563" s="5" t="n">
        <v>0.47</v>
      </c>
      <c r="N563" s="5" t="n">
        <v>0.38</v>
      </c>
    </row>
    <row r="564">
      <c r="A564" t="n">
        <v>563</v>
      </c>
      <c r="B564" t="n">
        <v>2014</v>
      </c>
      <c r="C564" t="inlineStr">
        <is>
          <t>Minnie Jinwen Xu</t>
        </is>
      </c>
      <c r="D564">
        <f>HYPERLINK("https://ota.tournamentsoftware.com/player-profile/617AABE9-B600-4656-9194-77743DDDC351", "Link")</f>
        <v/>
      </c>
      <c r="E564" s="3" t="n">
        <v>60.695</v>
      </c>
      <c r="F564" s="4" t="n">
        <v>11</v>
      </c>
      <c r="G564" t="inlineStr">
        <is>
          <t>British Columbia</t>
        </is>
      </c>
      <c r="H564" t="inlineStr">
        <is>
          <t>The Tennis Centre</t>
        </is>
      </c>
      <c r="I564" t="n">
        <v>35.4</v>
      </c>
      <c r="J564" s="4" t="n">
        <v>128</v>
      </c>
      <c r="K564" t="inlineStr">
        <is>
          <t>67 / 61</t>
        </is>
      </c>
      <c r="L564" t="inlineStr">
        <is>
          <t>13 / 12</t>
        </is>
      </c>
      <c r="M564" s="5" t="n">
        <v>0.52</v>
      </c>
      <c r="N564" s="5" t="n">
        <v>0.52</v>
      </c>
    </row>
    <row r="565">
      <c r="A565" t="n">
        <v>564</v>
      </c>
      <c r="B565" t="n">
        <v>2014</v>
      </c>
      <c r="C565" t="inlineStr">
        <is>
          <t>Sofia Morisette</t>
        </is>
      </c>
      <c r="D565">
        <f>HYPERLINK("https://ota.tournamentsoftware.com/player-profile/F99611AC-3485-4574-897D-68151916B40D", "Link")</f>
        <v/>
      </c>
      <c r="E565" s="3" t="n">
        <v>59.011</v>
      </c>
      <c r="F565" s="4" t="n">
        <v>5</v>
      </c>
      <c r="G565" t="inlineStr">
        <is>
          <t>British Columbia</t>
        </is>
      </c>
      <c r="H565" t="inlineStr">
        <is>
          <t>Tennis BC Hub @ Richmond</t>
        </is>
      </c>
      <c r="I565" t="n">
        <v>34.6</v>
      </c>
      <c r="J565" s="4" t="n">
        <v>131</v>
      </c>
      <c r="K565" t="inlineStr">
        <is>
          <t>52 / 79</t>
        </is>
      </c>
      <c r="L565" t="inlineStr">
        <is>
          <t>3 / 8</t>
        </is>
      </c>
      <c r="M565" s="5" t="n">
        <v>0.4</v>
      </c>
      <c r="N565" s="5" t="n">
        <v>0.27</v>
      </c>
    </row>
    <row r="566">
      <c r="A566" t="n">
        <v>565</v>
      </c>
      <c r="B566" t="n">
        <v>2015</v>
      </c>
      <c r="C566" t="inlineStr">
        <is>
          <t>Ava Gracia Hurley</t>
        </is>
      </c>
      <c r="D566">
        <f>HYPERLINK("https://ota.tournamentsoftware.com/player-profile/DC3D1043-9FBA-467F-8103-AE9D0DEEF066", "Link")</f>
        <v/>
      </c>
      <c r="E566" s="3" t="n">
        <v>58.941</v>
      </c>
      <c r="F566" s="4" t="n">
        <v>11</v>
      </c>
      <c r="G566" t="inlineStr">
        <is>
          <t>Ontario Tennis Association</t>
        </is>
      </c>
      <c r="H566" t="inlineStr">
        <is>
          <t>Manotick Tennis Club</t>
        </is>
      </c>
      <c r="I566" t="inlineStr">
        <is>
          <t>unavailable</t>
        </is>
      </c>
      <c r="J566" s="4" t="n">
        <v>36</v>
      </c>
      <c r="K566" t="inlineStr">
        <is>
          <t>15 / 21</t>
        </is>
      </c>
      <c r="L566" t="inlineStr">
        <is>
          <t>7 / 10</t>
        </is>
      </c>
      <c r="M566" s="5" t="n">
        <v>0.42</v>
      </c>
      <c r="N566" s="5" t="n">
        <v>0.41</v>
      </c>
    </row>
    <row r="567">
      <c r="A567" t="n">
        <v>566</v>
      </c>
      <c r="B567" t="n">
        <v>2013</v>
      </c>
      <c r="C567" t="inlineStr">
        <is>
          <t>Presley Pellegrino</t>
        </is>
      </c>
      <c r="D567">
        <f>HYPERLINK("https://ota.tournamentsoftware.com/player-profile/A7978533-179E-4FC4-8D48-C160FA6FF2E3", "Link")</f>
        <v/>
      </c>
      <c r="E567" s="3" t="n">
        <v>58.878</v>
      </c>
      <c r="F567" s="4" t="n">
        <v>3</v>
      </c>
      <c r="G567" t="inlineStr">
        <is>
          <t>Ontario Tennis Association</t>
        </is>
      </c>
      <c r="H567" t="inlineStr">
        <is>
          <t>No Club</t>
        </is>
      </c>
      <c r="I567" t="n">
        <v>35.1</v>
      </c>
      <c r="J567" s="4" t="n">
        <v>97</v>
      </c>
      <c r="K567" t="inlineStr">
        <is>
          <t>40 / 57</t>
        </is>
      </c>
      <c r="L567" t="inlineStr">
        <is>
          <t>2 / 2</t>
        </is>
      </c>
      <c r="M567" s="5" t="n">
        <v>0.41</v>
      </c>
      <c r="N567" s="5" t="n">
        <v>0.5</v>
      </c>
    </row>
    <row r="568">
      <c r="A568" t="n">
        <v>567</v>
      </c>
      <c r="B568" t="n">
        <v>2015</v>
      </c>
      <c r="C568" t="inlineStr">
        <is>
          <t>Aria MARTIN</t>
        </is>
      </c>
      <c r="D568">
        <f>HYPERLINK("https://ota.tournamentsoftware.com/player-profile/220708AF-B049-4C3B-83FA-C1AAC60269C5", "Link")</f>
        <v/>
      </c>
      <c r="E568" s="3" t="n">
        <v>58.434</v>
      </c>
      <c r="F568" s="4" t="n">
        <v>16</v>
      </c>
      <c r="G568" t="inlineStr">
        <is>
          <t>British Columbia</t>
        </is>
      </c>
      <c r="H568" t="inlineStr">
        <is>
          <t>Vancouver Lawn Tennis and Badminton Club</t>
        </is>
      </c>
      <c r="I568" t="n">
        <v>35.1</v>
      </c>
      <c r="J568" s="4" t="n">
        <v>133</v>
      </c>
      <c r="K568" t="inlineStr">
        <is>
          <t>53 / 80</t>
        </is>
      </c>
      <c r="L568" t="inlineStr">
        <is>
          <t>24 / 17</t>
        </is>
      </c>
      <c r="M568" s="5" t="n">
        <v>0.4</v>
      </c>
      <c r="N568" s="5" t="n">
        <v>0.59</v>
      </c>
    </row>
    <row r="569">
      <c r="A569" t="n">
        <v>568</v>
      </c>
      <c r="B569" t="n">
        <v>2012</v>
      </c>
      <c r="C569" t="inlineStr">
        <is>
          <t>Chloe Teng</t>
        </is>
      </c>
      <c r="D569">
        <f>HYPERLINK("https://ota.tournamentsoftware.com/player-profile/F5AC5875-4E89-4D3E-BF17-24986F702240", "Link")</f>
        <v/>
      </c>
      <c r="E569" s="3" t="n">
        <v>58.388</v>
      </c>
      <c r="F569" s="4" t="n">
        <v>12</v>
      </c>
      <c r="G569" t="inlineStr">
        <is>
          <t>Ontario Tennis Association</t>
        </is>
      </c>
      <c r="H569" t="inlineStr">
        <is>
          <t>Tennis Clubs of Canada</t>
        </is>
      </c>
      <c r="I569" t="n">
        <v>38</v>
      </c>
      <c r="J569" s="4" t="n">
        <v>48</v>
      </c>
      <c r="K569" t="inlineStr">
        <is>
          <t>12 / 36</t>
        </is>
      </c>
      <c r="L569" t="inlineStr">
        <is>
          <t>9 / 25</t>
        </is>
      </c>
      <c r="M569" s="5" t="n">
        <v>0.25</v>
      </c>
      <c r="N569" s="5" t="n">
        <v>0.26</v>
      </c>
    </row>
    <row r="570">
      <c r="A570" t="n">
        <v>569</v>
      </c>
      <c r="B570" t="n">
        <v>2015</v>
      </c>
      <c r="C570" t="inlineStr">
        <is>
          <t>Maeva Kaur Dhillon</t>
        </is>
      </c>
      <c r="D570">
        <f>HYPERLINK("https://ota.tournamentsoftware.com/player-profile/1E3A662C-1993-423F-99BB-0CD2F93CC62A", "Link")</f>
        <v/>
      </c>
      <c r="E570" s="3" t="n">
        <v>58.125</v>
      </c>
      <c r="F570" s="4" t="n">
        <v>12</v>
      </c>
      <c r="G570" t="inlineStr">
        <is>
          <t>Tennis Alberta</t>
        </is>
      </c>
      <c r="H570" t="inlineStr">
        <is>
          <t>Saville Community Sports Centre</t>
        </is>
      </c>
      <c r="I570" t="n">
        <v>36.8</v>
      </c>
      <c r="J570" s="4" t="n">
        <v>76</v>
      </c>
      <c r="K570" t="inlineStr">
        <is>
          <t>23 / 53</t>
        </is>
      </c>
      <c r="L570" t="inlineStr">
        <is>
          <t>6 / 10</t>
        </is>
      </c>
      <c r="M570" s="5" t="n">
        <v>0.3</v>
      </c>
      <c r="N570" s="5" t="n">
        <v>0.38</v>
      </c>
    </row>
    <row r="571">
      <c r="A571" t="n">
        <v>570</v>
      </c>
      <c r="B571" t="n">
        <v>2013</v>
      </c>
      <c r="C571" t="inlineStr">
        <is>
          <t>Gabrielle Galgay</t>
        </is>
      </c>
      <c r="D571">
        <f>HYPERLINK("https://ota.tournamentsoftware.com/player-profile/1A26365B-FAA0-4130-8F92-B67D497E82D9", "Link")</f>
        <v/>
      </c>
      <c r="E571" s="3" t="n">
        <v>57.069</v>
      </c>
      <c r="F571" s="4" t="n">
        <v>4</v>
      </c>
      <c r="G571" t="inlineStr">
        <is>
          <t>Ontario Tennis Association</t>
        </is>
      </c>
      <c r="H571" t="inlineStr">
        <is>
          <t>No Club</t>
        </is>
      </c>
      <c r="I571" t="n">
        <v>34.3</v>
      </c>
      <c r="J571" s="4" t="n">
        <v>10</v>
      </c>
      <c r="K571" t="inlineStr">
        <is>
          <t>4 / 6</t>
        </is>
      </c>
      <c r="L571" t="inlineStr">
        <is>
          <t>1 / 3</t>
        </is>
      </c>
      <c r="M571" s="5" t="n">
        <v>0.4</v>
      </c>
      <c r="N571" s="5" t="n">
        <v>0.25</v>
      </c>
    </row>
    <row r="572">
      <c r="A572" t="n">
        <v>571</v>
      </c>
      <c r="B572" t="n">
        <v>2013</v>
      </c>
      <c r="C572" t="inlineStr">
        <is>
          <t>Noa Anne Broere</t>
        </is>
      </c>
      <c r="D572">
        <f>HYPERLINK("https://ota.tournamentsoftware.com/player-profile/A5724AD9-99FF-4D46-A565-ED1BBCAE83F4", "Link")</f>
        <v/>
      </c>
      <c r="E572" s="3" t="n">
        <v>57.045</v>
      </c>
      <c r="F572" s="4" t="n">
        <v>15</v>
      </c>
      <c r="G572" t="inlineStr">
        <is>
          <t>British Columbia</t>
        </is>
      </c>
      <c r="H572" t="inlineStr">
        <is>
          <t>Vancouver Lawn Tennis and Badminton Club</t>
        </is>
      </c>
      <c r="I572" t="n">
        <v>34.4</v>
      </c>
      <c r="J572" s="4" t="n">
        <v>75</v>
      </c>
      <c r="K572" t="inlineStr">
        <is>
          <t>30 / 45</t>
        </is>
      </c>
      <c r="L572" t="inlineStr">
        <is>
          <t>9 / 14</t>
        </is>
      </c>
      <c r="M572" s="5" t="n">
        <v>0.4</v>
      </c>
      <c r="N572" s="5" t="n">
        <v>0.39</v>
      </c>
    </row>
    <row r="573">
      <c r="A573" t="n">
        <v>572</v>
      </c>
      <c r="B573" t="n">
        <v>2013</v>
      </c>
      <c r="C573" t="inlineStr">
        <is>
          <t>Grace Christina Lawrence</t>
        </is>
      </c>
      <c r="D573">
        <f>HYPERLINK("https://ota.tournamentsoftware.com/player-profile/9FEF2F9B-F202-41CF-8B36-42B1520055E0", "Link")</f>
        <v/>
      </c>
      <c r="E573" s="3" t="n">
        <v>57.027</v>
      </c>
      <c r="F573" s="4" t="n">
        <v>8</v>
      </c>
      <c r="G573" t="inlineStr">
        <is>
          <t>Ontario Tennis Association</t>
        </is>
      </c>
      <c r="H573" t="inlineStr">
        <is>
          <t>Toronto Lawn Tennis Club</t>
        </is>
      </c>
      <c r="I573" t="n">
        <v>35.9</v>
      </c>
      <c r="J573" s="4" t="n">
        <v>107</v>
      </c>
      <c r="K573" t="inlineStr">
        <is>
          <t>48 / 59</t>
        </is>
      </c>
      <c r="L573" t="inlineStr">
        <is>
          <t>4 / 4</t>
        </is>
      </c>
      <c r="M573" s="5" t="n">
        <v>0.45</v>
      </c>
      <c r="N573" s="5" t="n">
        <v>0.5</v>
      </c>
    </row>
    <row r="574">
      <c r="A574" t="n">
        <v>573</v>
      </c>
      <c r="B574" t="n">
        <v>2016</v>
      </c>
      <c r="C574" t="inlineStr">
        <is>
          <t>Madison Dionne</t>
        </is>
      </c>
      <c r="D574">
        <f>HYPERLINK("https://ota.tournamentsoftware.com/player-profile/E7A43ABD-96E4-46C3-84A5-BAF14D846E4C", "Link")</f>
        <v/>
      </c>
      <c r="E574" s="3" t="n">
        <v>56.517</v>
      </c>
      <c r="F574" s="4" t="n">
        <v>12</v>
      </c>
      <c r="G574" t="inlineStr">
        <is>
          <t>Ontario Tennis Association</t>
        </is>
      </c>
      <c r="H574" t="inlineStr">
        <is>
          <t>Ontario Racquet Club</t>
        </is>
      </c>
      <c r="I574" t="n">
        <v>36.3</v>
      </c>
      <c r="J574" s="4" t="n">
        <v>109</v>
      </c>
      <c r="K574" t="inlineStr">
        <is>
          <t>37 / 72</t>
        </is>
      </c>
      <c r="L574" t="inlineStr">
        <is>
          <t>21 / 18</t>
        </is>
      </c>
      <c r="M574" s="5" t="n">
        <v>0.34</v>
      </c>
      <c r="N574" s="5" t="n">
        <v>0.54</v>
      </c>
    </row>
    <row r="575">
      <c r="A575" t="n">
        <v>574</v>
      </c>
      <c r="B575" t="n">
        <v>2013</v>
      </c>
      <c r="C575" t="inlineStr">
        <is>
          <t>Daniella Adekoya</t>
        </is>
      </c>
      <c r="D575">
        <f>HYPERLINK("https://ota.tournamentsoftware.com/player-profile/1AE7E627-3ED1-4E93-9C7E-52183DBA7410", "Link")</f>
        <v/>
      </c>
      <c r="E575" s="3" t="n">
        <v>55.728</v>
      </c>
      <c r="F575" s="4" t="n">
        <v>2</v>
      </c>
      <c r="G575" t="inlineStr">
        <is>
          <t>Ontario Tennis Association</t>
        </is>
      </c>
      <c r="H575" t="inlineStr">
        <is>
          <t>Rideau Sports Centre</t>
        </is>
      </c>
      <c r="I575" t="n">
        <v>34.9</v>
      </c>
      <c r="J575" s="4" t="n">
        <v>31</v>
      </c>
      <c r="K575" t="inlineStr">
        <is>
          <t>10 / 21</t>
        </is>
      </c>
      <c r="L575" t="inlineStr">
        <is>
          <t>1 / 2</t>
        </is>
      </c>
      <c r="M575" s="5" t="n">
        <v>0.32</v>
      </c>
      <c r="N575" s="5" t="n">
        <v>0.33</v>
      </c>
    </row>
    <row r="576">
      <c r="A576" t="n">
        <v>575</v>
      </c>
      <c r="B576" t="n">
        <v>2015</v>
      </c>
      <c r="C576" t="inlineStr">
        <is>
          <t>Madeleine Penelope Haun</t>
        </is>
      </c>
      <c r="D576">
        <f>HYPERLINK("https://ota.tournamentsoftware.com/player-profile/6F8A0525-0D8F-4263-8F76-0B8CF4B34D42", "Link")</f>
        <v/>
      </c>
      <c r="E576" s="3" t="n">
        <v>55.31</v>
      </c>
      <c r="F576" s="4" t="n">
        <v>9</v>
      </c>
      <c r="G576" t="inlineStr">
        <is>
          <t>Tennis Alberta</t>
        </is>
      </c>
      <c r="H576" t="inlineStr">
        <is>
          <t>Osten &amp; Victor Alberta Tennis Centre</t>
        </is>
      </c>
      <c r="I576" t="n">
        <v>36.3</v>
      </c>
      <c r="J576" s="4" t="n">
        <v>156</v>
      </c>
      <c r="K576" t="inlineStr">
        <is>
          <t>85 / 71</t>
        </is>
      </c>
      <c r="L576" t="inlineStr">
        <is>
          <t>8 / 9</t>
        </is>
      </c>
      <c r="M576" s="5" t="n">
        <v>0.54</v>
      </c>
      <c r="N576" s="5" t="n">
        <v>0.47</v>
      </c>
    </row>
    <row r="577">
      <c r="A577" t="n">
        <v>576</v>
      </c>
      <c r="B577" t="n">
        <v>2014</v>
      </c>
      <c r="C577" t="inlineStr">
        <is>
          <t>Mia Krusarovski</t>
        </is>
      </c>
      <c r="D577">
        <f>HYPERLINK("https://ota.tournamentsoftware.com/player-profile/BE8F67EB-3C85-4EE8-8915-58C34DCD86C7", "Link")</f>
        <v/>
      </c>
      <c r="E577" s="3" t="n">
        <v>55.17</v>
      </c>
      <c r="F577" s="4" t="n">
        <v>4</v>
      </c>
      <c r="G577" t="inlineStr">
        <is>
          <t>Ontario Tennis Association</t>
        </is>
      </c>
      <c r="H577" t="inlineStr">
        <is>
          <t>Zekelman Tennis Centre</t>
        </is>
      </c>
      <c r="I577" t="n">
        <v>34.8</v>
      </c>
      <c r="J577" s="4" t="n">
        <v>18</v>
      </c>
      <c r="K577" t="inlineStr">
        <is>
          <t>6 / 12</t>
        </is>
      </c>
      <c r="L577" t="inlineStr">
        <is>
          <t>5 / 3</t>
        </is>
      </c>
      <c r="M577" s="5" t="n">
        <v>0.33</v>
      </c>
      <c r="N577" s="5" t="n">
        <v>0.62</v>
      </c>
    </row>
    <row r="578">
      <c r="A578" t="n">
        <v>577</v>
      </c>
      <c r="B578" t="n">
        <v>2012</v>
      </c>
      <c r="C578" t="inlineStr">
        <is>
          <t>Karmi Singh</t>
        </is>
      </c>
      <c r="D578">
        <f>HYPERLINK("https://ota.tournamentsoftware.com/player-profile/B68DC1C1-BC37-443E-AB03-601E1E7E72A2", "Link")</f>
        <v/>
      </c>
      <c r="E578" s="3" t="n">
        <v>54.499</v>
      </c>
      <c r="F578" s="4" t="n">
        <v>4</v>
      </c>
      <c r="G578" t="inlineStr">
        <is>
          <t>Ontario Tennis Association</t>
        </is>
      </c>
      <c r="H578" t="inlineStr">
        <is>
          <t>Ontario Racquet Club</t>
        </is>
      </c>
      <c r="I578" t="inlineStr">
        <is>
          <t>unavailable</t>
        </is>
      </c>
      <c r="J578" s="4" t="n">
        <v>59</v>
      </c>
      <c r="K578" t="inlineStr">
        <is>
          <t>26 / 33</t>
        </is>
      </c>
      <c r="L578" t="inlineStr">
        <is>
          <t>1 / 5</t>
        </is>
      </c>
      <c r="M578" s="5" t="n">
        <v>0.44</v>
      </c>
      <c r="N578" s="5" t="n">
        <v>0.17</v>
      </c>
    </row>
    <row r="579">
      <c r="A579" t="n">
        <v>578</v>
      </c>
      <c r="B579" t="n">
        <v>2016</v>
      </c>
      <c r="C579" t="inlineStr">
        <is>
          <t>Chloe Garikimukkula</t>
        </is>
      </c>
      <c r="D579">
        <f>HYPERLINK("https://ota.tournamentsoftware.com/player-profile/8B630DA5-F61E-4159-9316-7EA463790908", "Link")</f>
        <v/>
      </c>
      <c r="E579" s="3" t="n">
        <v>54.36</v>
      </c>
      <c r="F579" s="4" t="n">
        <v>13</v>
      </c>
      <c r="G579" t="inlineStr">
        <is>
          <t>Ontario Tennis Association</t>
        </is>
      </c>
      <c r="H579" t="inlineStr">
        <is>
          <t>Burlington Tennis Club</t>
        </is>
      </c>
      <c r="I579" t="n">
        <v>36.9</v>
      </c>
      <c r="J579" s="4" t="n">
        <v>104</v>
      </c>
      <c r="K579" t="inlineStr">
        <is>
          <t>59 / 45</t>
        </is>
      </c>
      <c r="L579" t="inlineStr">
        <is>
          <t>40 / 30</t>
        </is>
      </c>
      <c r="M579" s="5" t="n">
        <v>0.57</v>
      </c>
      <c r="N579" s="5" t="n">
        <v>0.57</v>
      </c>
    </row>
    <row r="580">
      <c r="A580" t="n">
        <v>579</v>
      </c>
      <c r="B580" t="n">
        <v>2016</v>
      </c>
      <c r="C580" t="inlineStr">
        <is>
          <t>Xirui Ding</t>
        </is>
      </c>
      <c r="D580">
        <f>HYPERLINK("https://ota.tournamentsoftware.com/player-profile/6DC46DF7-2964-4ED2-9C01-D39C773C942F", "Link")</f>
        <v/>
      </c>
      <c r="E580" s="3" t="n">
        <v>54.085</v>
      </c>
      <c r="F580" s="4" t="n">
        <v>7</v>
      </c>
      <c r="G580" t="inlineStr">
        <is>
          <t>Ontario Tennis Association</t>
        </is>
      </c>
      <c r="H580" t="inlineStr">
        <is>
          <t>Valan Tennis Academy</t>
        </is>
      </c>
      <c r="I580" t="n">
        <v>37.5</v>
      </c>
      <c r="J580" s="4" t="n">
        <v>124</v>
      </c>
      <c r="K580" t="inlineStr">
        <is>
          <t>79 / 45</t>
        </is>
      </c>
      <c r="L580" t="inlineStr">
        <is>
          <t>74 / 36</t>
        </is>
      </c>
      <c r="M580" s="5" t="n">
        <v>0.64</v>
      </c>
      <c r="N580" s="5" t="n">
        <v>0.67</v>
      </c>
    </row>
    <row r="581">
      <c r="A581" t="n">
        <v>580</v>
      </c>
      <c r="B581" t="n">
        <v>2015</v>
      </c>
      <c r="C581" t="inlineStr">
        <is>
          <t>Miadel Flores</t>
        </is>
      </c>
      <c r="D581">
        <f>HYPERLINK("https://ota.tournamentsoftware.com/player-profile/19F5DCB9-D4C1-477E-9443-DA276E9A30BC", "Link")</f>
        <v/>
      </c>
      <c r="E581" s="3" t="n">
        <v>53.935</v>
      </c>
      <c r="F581" s="4" t="n">
        <v>5</v>
      </c>
      <c r="G581" t="inlineStr">
        <is>
          <t>Tennis Québec</t>
        </is>
      </c>
      <c r="H581" t="inlineStr">
        <is>
          <t>No Club</t>
        </is>
      </c>
      <c r="I581" t="n">
        <v>40</v>
      </c>
      <c r="J581" s="4" t="n">
        <v>8</v>
      </c>
      <c r="K581" t="inlineStr">
        <is>
          <t>1 / 7</t>
        </is>
      </c>
      <c r="L581" t="inlineStr">
        <is>
          <t>1 / 7</t>
        </is>
      </c>
      <c r="M581" s="5" t="n">
        <v>0.12</v>
      </c>
      <c r="N581" s="5" t="n">
        <v>0.12</v>
      </c>
    </row>
    <row r="582">
      <c r="A582" t="n">
        <v>581</v>
      </c>
      <c r="B582" t="n">
        <v>2015</v>
      </c>
      <c r="C582" t="inlineStr">
        <is>
          <t>Alexia Lionis</t>
        </is>
      </c>
      <c r="D582">
        <f>HYPERLINK("https://ota.tournamentsoftware.com/player-profile/C2079715-4A8A-4F16-A5F2-10633FCB08AA", "Link")</f>
        <v/>
      </c>
      <c r="E582" s="3" t="n">
        <v>53.632</v>
      </c>
      <c r="F582" s="4" t="n">
        <v>7</v>
      </c>
      <c r="G582" t="inlineStr">
        <is>
          <t>Ontario Tennis Association</t>
        </is>
      </c>
      <c r="H582" t="inlineStr">
        <is>
          <t>Ontario Racquet Club</t>
        </is>
      </c>
      <c r="I582" t="inlineStr">
        <is>
          <t>unavailable</t>
        </is>
      </c>
      <c r="J582" s="4" t="n">
        <v>79</v>
      </c>
      <c r="K582" t="inlineStr">
        <is>
          <t>35 / 44</t>
        </is>
      </c>
      <c r="L582" t="inlineStr">
        <is>
          <t>6 / 10</t>
        </is>
      </c>
      <c r="M582" s="5" t="n">
        <v>0.44</v>
      </c>
      <c r="N582" s="5" t="n">
        <v>0.38</v>
      </c>
    </row>
    <row r="583">
      <c r="A583" t="n">
        <v>582</v>
      </c>
      <c r="B583" t="n">
        <v>2013</v>
      </c>
      <c r="C583" t="inlineStr">
        <is>
          <t>Julia Soldatov</t>
        </is>
      </c>
      <c r="D583">
        <f>HYPERLINK("https://ota.tournamentsoftware.com/player-profile/9CDD8F0E-2B06-4818-8B32-A0ED95A9E6DF", "Link")</f>
        <v/>
      </c>
      <c r="E583" s="3" t="n">
        <v>53.274</v>
      </c>
      <c r="F583" s="4" t="n">
        <v>5</v>
      </c>
      <c r="G583" t="inlineStr">
        <is>
          <t>Ontario Tennis Association</t>
        </is>
      </c>
      <c r="H583" t="inlineStr">
        <is>
          <t>Newmarket Community Tennis Club</t>
        </is>
      </c>
      <c r="I583" t="n">
        <v>38.7</v>
      </c>
      <c r="J583" s="4" t="n">
        <v>19</v>
      </c>
      <c r="K583" t="inlineStr">
        <is>
          <t>6 / 13</t>
        </is>
      </c>
      <c r="L583" t="inlineStr">
        <is>
          <t>6 / 13</t>
        </is>
      </c>
      <c r="M583" s="5" t="n">
        <v>0.32</v>
      </c>
      <c r="N583" s="5" t="n">
        <v>0.32</v>
      </c>
    </row>
    <row r="584">
      <c r="A584" t="n">
        <v>583</v>
      </c>
      <c r="B584" t="n">
        <v>2015</v>
      </c>
      <c r="C584" t="inlineStr">
        <is>
          <t>Dania Ahmed</t>
        </is>
      </c>
      <c r="D584">
        <f>HYPERLINK("https://ota.tournamentsoftware.com/player-profile/3A4EF5D7-2C40-4E2A-A979-D3231C03A93C", "Link")</f>
        <v/>
      </c>
      <c r="E584" s="3" t="n">
        <v>53.149</v>
      </c>
      <c r="F584" s="4" t="n">
        <v>13</v>
      </c>
      <c r="G584" t="inlineStr">
        <is>
          <t>Ontario Tennis Association</t>
        </is>
      </c>
      <c r="H584" t="inlineStr">
        <is>
          <t>Waterloo Tennis Club</t>
        </is>
      </c>
      <c r="I584" t="n">
        <v>37.7</v>
      </c>
      <c r="J584" s="4" t="n">
        <v>86</v>
      </c>
      <c r="K584" t="inlineStr">
        <is>
          <t>50 / 36</t>
        </is>
      </c>
      <c r="L584" t="inlineStr">
        <is>
          <t>3 / 11</t>
        </is>
      </c>
      <c r="M584" s="5" t="n">
        <v>0.58</v>
      </c>
      <c r="N584" s="5" t="n">
        <v>0.21</v>
      </c>
    </row>
    <row r="585">
      <c r="A585" t="n">
        <v>584</v>
      </c>
      <c r="B585" t="n">
        <v>2012</v>
      </c>
      <c r="C585" t="inlineStr">
        <is>
          <t>Naomi Lau</t>
        </is>
      </c>
      <c r="D585">
        <f>HYPERLINK("https://ota.tournamentsoftware.com/player-profile/0A97F4BF-4260-46FD-AB50-BFA06A31A239", "Link")</f>
        <v/>
      </c>
      <c r="E585" s="3" t="n">
        <v>53.057</v>
      </c>
      <c r="F585" s="4" t="n">
        <v>4</v>
      </c>
      <c r="G585" t="inlineStr">
        <is>
          <t>Ontario Tennis Association</t>
        </is>
      </c>
      <c r="H585" t="inlineStr">
        <is>
          <t>Central Tennis Club</t>
        </is>
      </c>
      <c r="I585" t="n">
        <v>37.6</v>
      </c>
      <c r="J585" s="4" t="n">
        <v>36</v>
      </c>
      <c r="K585" t="inlineStr">
        <is>
          <t>13 / 23</t>
        </is>
      </c>
      <c r="L585" t="inlineStr">
        <is>
          <t>7 / 9</t>
        </is>
      </c>
      <c r="M585" s="5" t="n">
        <v>0.36</v>
      </c>
      <c r="N585" s="5" t="n">
        <v>0.44</v>
      </c>
    </row>
    <row r="586">
      <c r="A586" t="n">
        <v>585</v>
      </c>
      <c r="B586" t="n">
        <v>2014</v>
      </c>
      <c r="C586" t="inlineStr">
        <is>
          <t>Julia Jzmati</t>
        </is>
      </c>
      <c r="D586">
        <f>HYPERLINK("https://ota.tournamentsoftware.com/player-profile/2AADF196-C892-43B1-9128-5338F8D87E95", "Link")</f>
        <v/>
      </c>
      <c r="E586" s="3" t="n">
        <v>52.454</v>
      </c>
      <c r="F586" s="4" t="n">
        <v>13</v>
      </c>
      <c r="G586" t="inlineStr">
        <is>
          <t>Ontario Tennis Association</t>
        </is>
      </c>
      <c r="H586" t="inlineStr">
        <is>
          <t>Rideau Sports Centre</t>
        </is>
      </c>
      <c r="I586" t="n">
        <v>38.9</v>
      </c>
      <c r="J586" s="4" t="n">
        <v>34</v>
      </c>
      <c r="K586" t="inlineStr">
        <is>
          <t>6 / 28</t>
        </is>
      </c>
      <c r="L586" t="inlineStr">
        <is>
          <t>2 / 13</t>
        </is>
      </c>
      <c r="M586" s="5" t="n">
        <v>0.18</v>
      </c>
      <c r="N586" s="5" t="n">
        <v>0.13</v>
      </c>
    </row>
    <row r="587">
      <c r="A587" t="n">
        <v>586</v>
      </c>
      <c r="B587" t="n">
        <v>2014</v>
      </c>
      <c r="C587" t="inlineStr">
        <is>
          <t>Tara Nastic</t>
        </is>
      </c>
      <c r="D587">
        <f>HYPERLINK("https://ota.tournamentsoftware.com/player-profile/43FF8AFD-A54E-4011-88C7-132B60B568E8", "Link")</f>
        <v/>
      </c>
      <c r="E587" s="3" t="n">
        <v>51.12</v>
      </c>
      <c r="F587" s="4" t="n">
        <v>4</v>
      </c>
      <c r="G587" t="inlineStr">
        <is>
          <t>Ontario Tennis Association</t>
        </is>
      </c>
      <c r="H587" t="inlineStr">
        <is>
          <t>Royal City Tennis Club</t>
        </is>
      </c>
      <c r="I587" t="inlineStr">
        <is>
          <t>unavailable</t>
        </is>
      </c>
      <c r="J587" s="4" t="n">
        <v>20</v>
      </c>
      <c r="K587" t="inlineStr">
        <is>
          <t>4 / 16</t>
        </is>
      </c>
      <c r="L587" t="inlineStr">
        <is>
          <t>1 / 4</t>
        </is>
      </c>
      <c r="M587" s="5" t="n">
        <v>0.2</v>
      </c>
      <c r="N587" s="5" t="n">
        <v>0.2</v>
      </c>
    </row>
    <row r="588">
      <c r="A588" t="n">
        <v>587</v>
      </c>
      <c r="B588" t="n">
        <v>2014</v>
      </c>
      <c r="C588" t="inlineStr">
        <is>
          <t>Ann Ha</t>
        </is>
      </c>
      <c r="D588">
        <f>HYPERLINK("https://ota.tournamentsoftware.com/player-profile/139E73DD-882F-4509-9B0C-BB790DA8399D", "Link")</f>
        <v/>
      </c>
      <c r="E588" s="3" t="n">
        <v>50.846</v>
      </c>
      <c r="F588" s="4" t="n">
        <v>3</v>
      </c>
      <c r="G588" t="inlineStr">
        <is>
          <t>Tennis Saskatchewan</t>
        </is>
      </c>
      <c r="H588" t="inlineStr">
        <is>
          <t>Lakewood Indoor Tennis Centre</t>
        </is>
      </c>
      <c r="I588" t="inlineStr">
        <is>
          <t>unavailable</t>
        </is>
      </c>
      <c r="J588" s="4" t="n">
        <v>9</v>
      </c>
      <c r="K588" t="inlineStr">
        <is>
          <t>1 / 8</t>
        </is>
      </c>
      <c r="L588" t="inlineStr">
        <is>
          <t>1 / 8</t>
        </is>
      </c>
      <c r="M588" s="5" t="n">
        <v>0.11</v>
      </c>
      <c r="N588" s="5" t="n">
        <v>0.11</v>
      </c>
    </row>
    <row r="589">
      <c r="A589" t="n">
        <v>588</v>
      </c>
      <c r="B589" t="n">
        <v>2012</v>
      </c>
      <c r="C589" t="inlineStr">
        <is>
          <t>Elise Chan</t>
        </is>
      </c>
      <c r="D589">
        <f>HYPERLINK("https://ota.tournamentsoftware.com/player-profile/74C14A51-A560-4368-85E6-96F13264726F", "Link")</f>
        <v/>
      </c>
      <c r="E589" s="3" t="n">
        <v>50.266</v>
      </c>
      <c r="F589" s="4" t="n">
        <v>4</v>
      </c>
      <c r="G589" t="inlineStr">
        <is>
          <t>Ontario Tennis Association</t>
        </is>
      </c>
      <c r="H589" t="inlineStr">
        <is>
          <t>Rideau Sports Centre</t>
        </is>
      </c>
      <c r="I589" t="n">
        <v>38.4</v>
      </c>
      <c r="J589" s="4" t="n">
        <v>3</v>
      </c>
      <c r="K589" t="inlineStr">
        <is>
          <t>0 / 3</t>
        </is>
      </c>
      <c r="L589" t="inlineStr">
        <is>
          <t>0 / 3</t>
        </is>
      </c>
      <c r="M589" s="5" t="n">
        <v>0</v>
      </c>
      <c r="N589" s="5" t="n">
        <v>0</v>
      </c>
    </row>
    <row r="590">
      <c r="A590" t="n">
        <v>589</v>
      </c>
      <c r="B590" t="n">
        <v>2014</v>
      </c>
      <c r="C590" t="inlineStr">
        <is>
          <t>Charlotte Adeline Ratchford</t>
        </is>
      </c>
      <c r="D590">
        <f>HYPERLINK("https://ota.tournamentsoftware.com/player-profile/552DF1FC-65F6-48FE-8B31-884C1DC273DB", "Link")</f>
        <v/>
      </c>
      <c r="E590" s="3" t="n">
        <v>49.765</v>
      </c>
      <c r="F590" s="4" t="n">
        <v>17</v>
      </c>
      <c r="G590" t="inlineStr">
        <is>
          <t>British Columbia</t>
        </is>
      </c>
      <c r="H590" t="inlineStr">
        <is>
          <t>Jericho Tennis Club</t>
        </is>
      </c>
      <c r="I590" t="n">
        <v>36.9</v>
      </c>
      <c r="J590" s="4" t="n">
        <v>45</v>
      </c>
      <c r="K590" t="inlineStr">
        <is>
          <t>14 / 31</t>
        </is>
      </c>
      <c r="L590" t="inlineStr">
        <is>
          <t>12 / 26</t>
        </is>
      </c>
      <c r="M590" s="5" t="n">
        <v>0.31</v>
      </c>
      <c r="N590" s="5" t="n">
        <v>0.32</v>
      </c>
    </row>
    <row r="591">
      <c r="A591" t="n">
        <v>590</v>
      </c>
      <c r="B591" t="n">
        <v>2014</v>
      </c>
      <c r="C591" t="inlineStr">
        <is>
          <t>Emma Ghantous</t>
        </is>
      </c>
      <c r="D591">
        <f>HYPERLINK("https://ota.tournamentsoftware.com/player-profile/0EA6BF71-F3BF-4EA7-95F6-B80CD551F4FB", "Link")</f>
        <v/>
      </c>
      <c r="E591" s="3" t="n">
        <v>49.68</v>
      </c>
      <c r="F591" s="4" t="n">
        <v>2</v>
      </c>
      <c r="G591" t="inlineStr">
        <is>
          <t>Tennis Québec</t>
        </is>
      </c>
      <c r="H591" t="inlineStr">
        <is>
          <t>Tennis 13</t>
        </is>
      </c>
      <c r="I591" t="n">
        <v>33.4</v>
      </c>
      <c r="J591" s="4" t="n">
        <v>126</v>
      </c>
      <c r="K591" t="inlineStr">
        <is>
          <t>77 / 49</t>
        </is>
      </c>
      <c r="L591" t="inlineStr">
        <is>
          <t>0 / 0</t>
        </is>
      </c>
      <c r="M591" s="5" t="n">
        <v>0.61</v>
      </c>
      <c r="N591" s="5" t="n">
        <v>0</v>
      </c>
    </row>
    <row r="592">
      <c r="A592" t="n">
        <v>591</v>
      </c>
      <c r="B592" t="n">
        <v>2015</v>
      </c>
      <c r="C592" t="inlineStr">
        <is>
          <t>Sofia Kiselenko</t>
        </is>
      </c>
      <c r="D592">
        <f>HYPERLINK("https://ota.tournamentsoftware.com/player-profile/8164E8EB-17A8-4270-A12B-31EFF18C9343", "Link")</f>
        <v/>
      </c>
      <c r="E592" s="3" t="n">
        <v>49.342</v>
      </c>
      <c r="F592" s="4" t="n">
        <v>15</v>
      </c>
      <c r="G592" t="inlineStr">
        <is>
          <t>Tennis Alberta</t>
        </is>
      </c>
      <c r="H592" t="inlineStr">
        <is>
          <t>Osten &amp; Victor Alberta Tennis Centre</t>
        </is>
      </c>
      <c r="I592" t="n">
        <v>36.9</v>
      </c>
      <c r="J592" s="4" t="n">
        <v>135</v>
      </c>
      <c r="K592" t="inlineStr">
        <is>
          <t>45 / 90</t>
        </is>
      </c>
      <c r="L592" t="inlineStr">
        <is>
          <t>13 / 16</t>
        </is>
      </c>
      <c r="M592" s="5" t="n">
        <v>0.33</v>
      </c>
      <c r="N592" s="5" t="n">
        <v>0.45</v>
      </c>
    </row>
    <row r="593">
      <c r="A593" t="n">
        <v>592</v>
      </c>
      <c r="B593" t="n">
        <v>2016</v>
      </c>
      <c r="C593" t="inlineStr">
        <is>
          <t>Olivia Yueer Hao</t>
        </is>
      </c>
      <c r="D593">
        <f>HYPERLINK("https://ota.tournamentsoftware.com/player-profile/61C0E090-4E32-499F-86FE-FFD674DD6128", "Link")</f>
        <v/>
      </c>
      <c r="E593" s="3" t="n">
        <v>49.177</v>
      </c>
      <c r="F593" s="4" t="n">
        <v>9</v>
      </c>
      <c r="G593" t="inlineStr">
        <is>
          <t>Ontario Tennis Association</t>
        </is>
      </c>
      <c r="H593" t="inlineStr">
        <is>
          <t>Valan Tennis Academy</t>
        </is>
      </c>
      <c r="I593" t="n">
        <v>38.1</v>
      </c>
      <c r="J593" s="4" t="n">
        <v>73</v>
      </c>
      <c r="K593" t="inlineStr">
        <is>
          <t>33 / 40</t>
        </is>
      </c>
      <c r="L593" t="inlineStr">
        <is>
          <t>29 / 25</t>
        </is>
      </c>
      <c r="M593" s="5" t="n">
        <v>0.45</v>
      </c>
      <c r="N593" s="5" t="n">
        <v>0.54</v>
      </c>
    </row>
    <row r="594">
      <c r="A594" t="n">
        <v>593</v>
      </c>
      <c r="B594" t="n">
        <v>2017</v>
      </c>
      <c r="C594" t="inlineStr">
        <is>
          <t>Vivian Spurrell</t>
        </is>
      </c>
      <c r="D594">
        <f>HYPERLINK("https://ota.tournamentsoftware.com/player-profile/9CFE670B-9D8C-4BC2-8DDB-1C78F17AE1FF", "Link")</f>
        <v/>
      </c>
      <c r="E594" s="3" t="n">
        <v>49.126</v>
      </c>
      <c r="F594" s="4" t="n">
        <v>3</v>
      </c>
      <c r="G594" t="inlineStr">
        <is>
          <t>Tennis Newfoundland &amp; Labrador</t>
        </is>
      </c>
      <c r="H594" t="inlineStr">
        <is>
          <t>Greenbelt Tennis Club</t>
        </is>
      </c>
      <c r="I594" t="inlineStr">
        <is>
          <t>unavailable</t>
        </is>
      </c>
      <c r="J594" s="4" t="n">
        <v>20</v>
      </c>
      <c r="K594" t="inlineStr">
        <is>
          <t>15 / 5</t>
        </is>
      </c>
      <c r="L594" t="inlineStr">
        <is>
          <t>11 / 3</t>
        </is>
      </c>
      <c r="M594" s="5" t="n">
        <v>0.75</v>
      </c>
      <c r="N594" s="5" t="n">
        <v>0.79</v>
      </c>
    </row>
    <row r="595">
      <c r="A595" t="n">
        <v>594</v>
      </c>
      <c r="B595" t="n">
        <v>2015</v>
      </c>
      <c r="C595" t="inlineStr">
        <is>
          <t>Scarlett Chan</t>
        </is>
      </c>
      <c r="D595">
        <f>HYPERLINK("https://ota.tournamentsoftware.com/player-profile/FC173056-E1A0-4194-9722-D15B8524262F", "Link")</f>
        <v/>
      </c>
      <c r="E595" s="3" t="n">
        <v>48.556</v>
      </c>
      <c r="F595" s="4" t="n">
        <v>5</v>
      </c>
      <c r="G595" t="inlineStr">
        <is>
          <t>Ontario Tennis Association</t>
        </is>
      </c>
      <c r="H595" t="inlineStr">
        <is>
          <t>Mayfair East Racquet Club</t>
        </is>
      </c>
      <c r="I595" t="n">
        <v>36.7</v>
      </c>
      <c r="J595" s="4" t="n">
        <v>81</v>
      </c>
      <c r="K595" t="inlineStr">
        <is>
          <t>48 / 33</t>
        </is>
      </c>
      <c r="L595" t="inlineStr">
        <is>
          <t>4 / 7</t>
        </is>
      </c>
      <c r="M595" s="5" t="n">
        <v>0.59</v>
      </c>
      <c r="N595" s="5" t="n">
        <v>0.36</v>
      </c>
    </row>
    <row r="596">
      <c r="A596" t="n">
        <v>595</v>
      </c>
      <c r="B596" t="n">
        <v>2015</v>
      </c>
      <c r="C596" t="inlineStr">
        <is>
          <t>Aubrey Baldinelli</t>
        </is>
      </c>
      <c r="D596">
        <f>HYPERLINK("https://ota.tournamentsoftware.com/player-profile/4C52D449-95CA-49A9-B524-B01117EAD86C", "Link")</f>
        <v/>
      </c>
      <c r="E596" s="3" t="n">
        <v>48.55</v>
      </c>
      <c r="F596" s="4" t="n">
        <v>10</v>
      </c>
      <c r="G596" t="inlineStr">
        <is>
          <t>Ontario Tennis Association</t>
        </is>
      </c>
      <c r="H596" t="inlineStr">
        <is>
          <t>Youngs Sportsplex</t>
        </is>
      </c>
      <c r="I596" t="n">
        <v>37.3</v>
      </c>
      <c r="J596" s="4" t="n">
        <v>43</v>
      </c>
      <c r="K596" t="inlineStr">
        <is>
          <t>22 / 21</t>
        </is>
      </c>
      <c r="L596" t="inlineStr">
        <is>
          <t>5 / 13</t>
        </is>
      </c>
      <c r="M596" s="5" t="n">
        <v>0.51</v>
      </c>
      <c r="N596" s="5" t="n">
        <v>0.28</v>
      </c>
    </row>
    <row r="597">
      <c r="A597" t="n">
        <v>596</v>
      </c>
      <c r="B597" t="n">
        <v>2014</v>
      </c>
      <c r="C597" t="inlineStr">
        <is>
          <t>Tess Marie Trenholm</t>
        </is>
      </c>
      <c r="D597">
        <f>HYPERLINK("https://ota.tournamentsoftware.com/player-profile/37DD9223-BE00-45F7-9DE9-3EA92F74CD7B", "Link")</f>
        <v/>
      </c>
      <c r="E597" s="3" t="n">
        <v>48.421</v>
      </c>
      <c r="F597" s="4" t="n">
        <v>17</v>
      </c>
      <c r="G597" t="inlineStr">
        <is>
          <t>Ontario Tennis Association</t>
        </is>
      </c>
      <c r="H597" t="inlineStr">
        <is>
          <t>Ontario Racquet Club</t>
        </is>
      </c>
      <c r="I597" t="n">
        <v>38.1</v>
      </c>
      <c r="J597" s="4" t="n">
        <v>97</v>
      </c>
      <c r="K597" t="inlineStr">
        <is>
          <t>27 / 70</t>
        </is>
      </c>
      <c r="L597" t="inlineStr">
        <is>
          <t>8 / 15</t>
        </is>
      </c>
      <c r="M597" s="5" t="n">
        <v>0.28</v>
      </c>
      <c r="N597" s="5" t="n">
        <v>0.35</v>
      </c>
    </row>
    <row r="598">
      <c r="A598" t="n">
        <v>597</v>
      </c>
      <c r="B598" t="n">
        <v>2014</v>
      </c>
      <c r="C598" t="inlineStr">
        <is>
          <t>Sophie Vivienne Ma</t>
        </is>
      </c>
      <c r="D598">
        <f>HYPERLINK("https://ota.tournamentsoftware.com/player-profile/5BFCC3E7-799D-4957-B35C-26164F771CAB", "Link")</f>
        <v/>
      </c>
      <c r="E598" s="3" t="n">
        <v>48.24</v>
      </c>
      <c r="F598" s="4" t="n">
        <v>10</v>
      </c>
      <c r="G598" t="inlineStr">
        <is>
          <t>Ontario Tennis Association</t>
        </is>
      </c>
      <c r="H598" t="inlineStr">
        <is>
          <t>NYTA Winter Tennis Club</t>
        </is>
      </c>
      <c r="I598" t="n">
        <v>37.5</v>
      </c>
      <c r="J598" s="4" t="n">
        <v>61</v>
      </c>
      <c r="K598" t="inlineStr">
        <is>
          <t>21 / 40</t>
        </is>
      </c>
      <c r="L598" t="inlineStr">
        <is>
          <t>6 / 13</t>
        </is>
      </c>
      <c r="M598" s="5" t="n">
        <v>0.34</v>
      </c>
      <c r="N598" s="5" t="n">
        <v>0.32</v>
      </c>
    </row>
    <row r="599">
      <c r="A599" t="n">
        <v>598</v>
      </c>
      <c r="B599" t="n">
        <v>2013</v>
      </c>
      <c r="C599" t="inlineStr">
        <is>
          <t>Gloria Yang</t>
        </is>
      </c>
      <c r="D599">
        <f>HYPERLINK("https://ota.tournamentsoftware.com/player-profile/93D03535-4A4B-4898-A531-8F0DB9BA8BD8", "Link")</f>
        <v/>
      </c>
      <c r="E599" s="3" t="n">
        <v>48.153</v>
      </c>
      <c r="F599" s="4" t="n">
        <v>2</v>
      </c>
      <c r="G599" t="inlineStr">
        <is>
          <t>Tennis Prince Edward Island</t>
        </is>
      </c>
      <c r="H599" t="inlineStr">
        <is>
          <t>Royalty Racquet Centre</t>
        </is>
      </c>
      <c r="I599" t="inlineStr">
        <is>
          <t>unavailable</t>
        </is>
      </c>
      <c r="J599" s="4" t="n">
        <v>24</v>
      </c>
      <c r="K599" t="inlineStr">
        <is>
          <t>11 / 13</t>
        </is>
      </c>
      <c r="L599" t="inlineStr">
        <is>
          <t>7 / 9</t>
        </is>
      </c>
      <c r="M599" s="5" t="n">
        <v>0.46</v>
      </c>
      <c r="N599" s="5" t="n">
        <v>0.44</v>
      </c>
    </row>
    <row r="600">
      <c r="A600" t="n">
        <v>599</v>
      </c>
      <c r="B600" t="n">
        <v>2015</v>
      </c>
      <c r="C600" t="inlineStr">
        <is>
          <t>LILLIAN LI</t>
        </is>
      </c>
      <c r="D600">
        <f>HYPERLINK("https://ota.tournamentsoftware.com/player-profile/6381808D-332A-4694-9A60-DD4214A2A2F0", "Link")</f>
        <v/>
      </c>
      <c r="E600" s="3" t="n">
        <v>47.962</v>
      </c>
      <c r="F600" s="4" t="n">
        <v>9</v>
      </c>
      <c r="G600" t="inlineStr">
        <is>
          <t>Ontario Tennis Association</t>
        </is>
      </c>
      <c r="H600" t="inlineStr">
        <is>
          <t>Rideau Sports Centre</t>
        </is>
      </c>
      <c r="I600" t="n">
        <v>40</v>
      </c>
      <c r="J600" s="4" t="n">
        <v>24</v>
      </c>
      <c r="K600" t="inlineStr">
        <is>
          <t>5 / 19</t>
        </is>
      </c>
      <c r="L600" t="inlineStr">
        <is>
          <t>1 / 10</t>
        </is>
      </c>
      <c r="M600" s="5" t="n">
        <v>0.21</v>
      </c>
      <c r="N600" s="5" t="n">
        <v>0.09</v>
      </c>
    </row>
    <row r="601">
      <c r="A601" t="n">
        <v>600</v>
      </c>
      <c r="B601" t="n">
        <v>2015</v>
      </c>
      <c r="C601" t="inlineStr">
        <is>
          <t>Allegra Gill</t>
        </is>
      </c>
      <c r="D601">
        <f>HYPERLINK("https://ota.tournamentsoftware.com/player-profile/74E5B02E-036C-4D6F-B122-5C8FEF79A927", "Link")</f>
        <v/>
      </c>
      <c r="E601" s="3" t="n">
        <v>47.923</v>
      </c>
      <c r="F601" s="4" t="n">
        <v>6</v>
      </c>
      <c r="G601" t="inlineStr">
        <is>
          <t>Ontario Tennis Association</t>
        </is>
      </c>
      <c r="H601" t="inlineStr">
        <is>
          <t>Zekelman Tennis Centre</t>
        </is>
      </c>
      <c r="I601" t="n">
        <v>39.8</v>
      </c>
      <c r="J601" s="4" t="n">
        <v>99</v>
      </c>
      <c r="K601" t="inlineStr">
        <is>
          <t>18 / 81</t>
        </is>
      </c>
      <c r="L601" t="inlineStr">
        <is>
          <t>11 / 19</t>
        </is>
      </c>
      <c r="M601" s="5" t="n">
        <v>0.18</v>
      </c>
      <c r="N601" s="5" t="n">
        <v>0.37</v>
      </c>
    </row>
    <row r="602">
      <c r="A602" t="n">
        <v>601</v>
      </c>
      <c r="B602" t="n">
        <v>2015</v>
      </c>
      <c r="C602" t="inlineStr">
        <is>
          <t>Anna Bella Grozdanovski</t>
        </is>
      </c>
      <c r="D602">
        <f>HYPERLINK("https://ota.tournamentsoftware.com/player-profile/C1BD78E7-5BB0-4BD0-9D53-DA02A232F8A0", "Link")</f>
        <v/>
      </c>
      <c r="E602" s="3" t="n">
        <v>46.908</v>
      </c>
      <c r="F602" s="4" t="n">
        <v>6</v>
      </c>
      <c r="G602" t="inlineStr">
        <is>
          <t>Ontario Tennis Association</t>
        </is>
      </c>
      <c r="H602" t="inlineStr">
        <is>
          <t>No Club</t>
        </is>
      </c>
      <c r="I602" t="n">
        <v>36.5</v>
      </c>
      <c r="J602" s="4" t="n">
        <v>40</v>
      </c>
      <c r="K602" t="inlineStr">
        <is>
          <t>19 / 21</t>
        </is>
      </c>
      <c r="L602" t="inlineStr">
        <is>
          <t>10 / 6</t>
        </is>
      </c>
      <c r="M602" s="5" t="n">
        <v>0.47</v>
      </c>
      <c r="N602" s="5" t="n">
        <v>0.62</v>
      </c>
    </row>
    <row r="603">
      <c r="A603" t="n">
        <v>602</v>
      </c>
      <c r="B603" t="n">
        <v>2014</v>
      </c>
      <c r="C603" t="inlineStr">
        <is>
          <t>Victoria Kycia Block</t>
        </is>
      </c>
      <c r="D603">
        <f>HYPERLINK("https://ota.tournamentsoftware.com/player-profile/1F978CA6-97AC-4A84-BBEB-B431DDD9A28B", "Link")</f>
        <v/>
      </c>
      <c r="E603" s="3" t="n">
        <v>46.53</v>
      </c>
      <c r="F603" s="4" t="n">
        <v>11</v>
      </c>
      <c r="G603" t="inlineStr">
        <is>
          <t>Tennis Alberta</t>
        </is>
      </c>
      <c r="H603" t="inlineStr">
        <is>
          <t>Saville Community Sports Centre</t>
        </is>
      </c>
      <c r="I603" t="n">
        <v>34.3</v>
      </c>
      <c r="J603" s="4" t="n">
        <v>50</v>
      </c>
      <c r="K603" t="inlineStr">
        <is>
          <t>17 / 33</t>
        </is>
      </c>
      <c r="L603" t="inlineStr">
        <is>
          <t>10 / 10</t>
        </is>
      </c>
      <c r="M603" s="5" t="n">
        <v>0.34</v>
      </c>
      <c r="N603" s="5" t="n">
        <v>0.5</v>
      </c>
    </row>
    <row r="604">
      <c r="A604" t="n">
        <v>603</v>
      </c>
      <c r="B604" t="n">
        <v>2014</v>
      </c>
      <c r="C604" t="inlineStr">
        <is>
          <t>Alena Sui</t>
        </is>
      </c>
      <c r="D604">
        <f>HYPERLINK("https://ota.tournamentsoftware.com/player-profile/92B690E9-D6C6-410C-A457-5AC3927E933A", "Link")</f>
        <v/>
      </c>
      <c r="E604" s="3" t="n">
        <v>46.443</v>
      </c>
      <c r="F604" s="4" t="n">
        <v>13</v>
      </c>
      <c r="G604" t="inlineStr">
        <is>
          <t>British Columbia</t>
        </is>
      </c>
      <c r="H604" t="inlineStr">
        <is>
          <t>No Club</t>
        </is>
      </c>
      <c r="I604" t="n">
        <v>37.7</v>
      </c>
      <c r="J604" s="4" t="n">
        <v>84</v>
      </c>
      <c r="K604" t="inlineStr">
        <is>
          <t>38 / 46</t>
        </is>
      </c>
      <c r="L604" t="inlineStr">
        <is>
          <t>18 / 24</t>
        </is>
      </c>
      <c r="M604" s="5" t="n">
        <v>0.45</v>
      </c>
      <c r="N604" s="5" t="n">
        <v>0.43</v>
      </c>
    </row>
    <row r="605">
      <c r="A605" t="n">
        <v>604</v>
      </c>
      <c r="B605" t="n">
        <v>2014</v>
      </c>
      <c r="C605" t="inlineStr">
        <is>
          <t>Laura Gyori</t>
        </is>
      </c>
      <c r="D605">
        <f>HYPERLINK("https://ota.tournamentsoftware.com/player-profile/5A55107A-8C3C-4255-8453-79017D4120E3", "Link")</f>
        <v/>
      </c>
      <c r="E605" s="3" t="n">
        <v>46.432</v>
      </c>
      <c r="F605" s="4" t="n">
        <v>5</v>
      </c>
      <c r="G605" t="inlineStr">
        <is>
          <t>Ontario Tennis Association</t>
        </is>
      </c>
      <c r="H605" t="inlineStr">
        <is>
          <t>Rideau Sports Centre</t>
        </is>
      </c>
      <c r="I605" t="inlineStr">
        <is>
          <t>unavailable</t>
        </is>
      </c>
      <c r="J605" s="4" t="n">
        <v>19</v>
      </c>
      <c r="K605" t="inlineStr">
        <is>
          <t>7 / 12</t>
        </is>
      </c>
      <c r="L605" t="inlineStr">
        <is>
          <t>3 / 5</t>
        </is>
      </c>
      <c r="M605" s="5" t="n">
        <v>0.37</v>
      </c>
      <c r="N605" s="5" t="n">
        <v>0.38</v>
      </c>
    </row>
    <row r="606">
      <c r="A606" t="n">
        <v>605</v>
      </c>
      <c r="B606" t="n">
        <v>2016</v>
      </c>
      <c r="C606" t="inlineStr">
        <is>
          <t>Stella Somerville</t>
        </is>
      </c>
      <c r="D606">
        <f>HYPERLINK("https://ota.tournamentsoftware.com/player-profile/87C92774-21A4-4A46-97F9-D656FA91A212", "Link")</f>
        <v/>
      </c>
      <c r="E606" s="3" t="n">
        <v>46.08</v>
      </c>
      <c r="F606" s="4" t="n">
        <v>7</v>
      </c>
      <c r="G606" t="inlineStr">
        <is>
          <t>Ontario Tennis Association</t>
        </is>
      </c>
      <c r="H606" t="inlineStr">
        <is>
          <t>Advantage Tennis International at Veneto</t>
        </is>
      </c>
      <c r="I606" t="n">
        <v>36.6</v>
      </c>
      <c r="J606" s="4" t="n">
        <v>89</v>
      </c>
      <c r="K606" t="inlineStr">
        <is>
          <t>41 / 48</t>
        </is>
      </c>
      <c r="L606" t="inlineStr">
        <is>
          <t>10 / 10</t>
        </is>
      </c>
      <c r="M606" s="5" t="n">
        <v>0.46</v>
      </c>
      <c r="N606" s="5" t="n">
        <v>0.5</v>
      </c>
    </row>
    <row r="607">
      <c r="A607" t="n">
        <v>606</v>
      </c>
      <c r="B607" t="n">
        <v>2015</v>
      </c>
      <c r="C607" t="inlineStr">
        <is>
          <t>Olivia Mary Hipwell</t>
        </is>
      </c>
      <c r="D607">
        <f>HYPERLINK("https://ota.tournamentsoftware.com/player-profile/1595D3E6-D4CF-4ADE-B136-FD5AC473C7F7", "Link")</f>
        <v/>
      </c>
      <c r="E607" s="3" t="n">
        <v>45.828</v>
      </c>
      <c r="F607" s="4" t="n">
        <v>10</v>
      </c>
      <c r="G607" t="inlineStr">
        <is>
          <t>Ontario Tennis Association</t>
        </is>
      </c>
      <c r="H607" t="inlineStr">
        <is>
          <t>Ontario Racquet Club</t>
        </is>
      </c>
      <c r="I607" t="inlineStr">
        <is>
          <t>unavailable</t>
        </is>
      </c>
      <c r="J607" s="4" t="n">
        <v>82</v>
      </c>
      <c r="K607" t="inlineStr">
        <is>
          <t>28 / 54</t>
        </is>
      </c>
      <c r="L607" t="inlineStr">
        <is>
          <t>4 / 12</t>
        </is>
      </c>
      <c r="M607" s="5" t="n">
        <v>0.34</v>
      </c>
      <c r="N607" s="5" t="n">
        <v>0.25</v>
      </c>
    </row>
    <row r="608">
      <c r="A608" t="n">
        <v>607</v>
      </c>
      <c r="B608" t="n">
        <v>2015</v>
      </c>
      <c r="C608" t="inlineStr">
        <is>
          <t>ALICE Wan yee Wong</t>
        </is>
      </c>
      <c r="D608">
        <f>HYPERLINK("https://ota.tournamentsoftware.com/player-profile/1B8AB01B-692B-4E5E-B513-A24155329374", "Link")</f>
        <v/>
      </c>
      <c r="E608" s="3" t="n">
        <v>45.818</v>
      </c>
      <c r="F608" s="4" t="n">
        <v>13</v>
      </c>
      <c r="G608" t="inlineStr">
        <is>
          <t>British Columbia</t>
        </is>
      </c>
      <c r="H608" t="inlineStr">
        <is>
          <t>The Tennis Centre</t>
        </is>
      </c>
      <c r="I608" t="n">
        <v>35</v>
      </c>
      <c r="J608" s="4" t="n">
        <v>125</v>
      </c>
      <c r="K608" t="inlineStr">
        <is>
          <t>60 / 65</t>
        </is>
      </c>
      <c r="L608" t="inlineStr">
        <is>
          <t>20 / 16</t>
        </is>
      </c>
      <c r="M608" s="5" t="n">
        <v>0.48</v>
      </c>
      <c r="N608" s="5" t="n">
        <v>0.5600000000000001</v>
      </c>
    </row>
    <row r="609">
      <c r="A609" t="n">
        <v>608</v>
      </c>
      <c r="B609" t="n">
        <v>2013</v>
      </c>
      <c r="C609" t="inlineStr">
        <is>
          <t>Blake Beck Sadler</t>
        </is>
      </c>
      <c r="D609">
        <f>HYPERLINK("https://ota.tournamentsoftware.com/player-profile/B44D5381-342B-4AF0-8200-EA0CEE1E54B7", "Link")</f>
        <v/>
      </c>
      <c r="E609" s="3" t="n">
        <v>45.78</v>
      </c>
      <c r="F609" s="4" t="n">
        <v>3</v>
      </c>
      <c r="G609" t="inlineStr">
        <is>
          <t>Ontario Tennis Association</t>
        </is>
      </c>
      <c r="H609" t="inlineStr">
        <is>
          <t>Ontario Racquet Club</t>
        </is>
      </c>
      <c r="I609" t="n">
        <v>37.1</v>
      </c>
      <c r="J609" s="4" t="n">
        <v>23</v>
      </c>
      <c r="K609" t="inlineStr">
        <is>
          <t>12 / 11</t>
        </is>
      </c>
      <c r="L609" t="inlineStr">
        <is>
          <t>1 / 2</t>
        </is>
      </c>
      <c r="M609" s="5" t="n">
        <v>0.52</v>
      </c>
      <c r="N609" s="5" t="n">
        <v>0.33</v>
      </c>
    </row>
    <row r="610">
      <c r="A610" t="n">
        <v>609</v>
      </c>
      <c r="B610" t="n">
        <v>2017</v>
      </c>
      <c r="C610" t="inlineStr">
        <is>
          <t>Arianna Fernanda Chacon</t>
        </is>
      </c>
      <c r="D610">
        <f>HYPERLINK("https://ota.tournamentsoftware.com/player-profile/3B36D99D-C9E7-48A2-BC06-6AD3725AC12E", "Link")</f>
        <v/>
      </c>
      <c r="E610" s="3" t="n">
        <v>45.016</v>
      </c>
      <c r="F610" s="4" t="n">
        <v>17</v>
      </c>
      <c r="G610" t="inlineStr">
        <is>
          <t>Tennis Alberta</t>
        </is>
      </c>
      <c r="H610" t="inlineStr">
        <is>
          <t>Aforza</t>
        </is>
      </c>
      <c r="I610" t="n">
        <v>34.9</v>
      </c>
      <c r="J610" s="4" t="n">
        <v>207</v>
      </c>
      <c r="K610" t="inlineStr">
        <is>
          <t>110 / 97</t>
        </is>
      </c>
      <c r="L610" t="inlineStr">
        <is>
          <t>37 / 21</t>
        </is>
      </c>
      <c r="M610" s="5" t="n">
        <v>0.53</v>
      </c>
      <c r="N610" s="5" t="n">
        <v>0.64</v>
      </c>
    </row>
    <row r="611">
      <c r="A611" t="n">
        <v>610</v>
      </c>
      <c r="B611" t="n">
        <v>2012</v>
      </c>
      <c r="C611" t="inlineStr">
        <is>
          <t>Selena Wazelle</t>
        </is>
      </c>
      <c r="D611">
        <f>HYPERLINK("https://ota.tournamentsoftware.com/player-profile/B596341F-BD27-43AF-8888-AAD072F39AFB", "Link")</f>
        <v/>
      </c>
      <c r="E611" s="3" t="n">
        <v>45</v>
      </c>
      <c r="F611" s="4" t="n">
        <v>1</v>
      </c>
      <c r="G611" t="inlineStr">
        <is>
          <t>British Columbia</t>
        </is>
      </c>
      <c r="H611" t="inlineStr">
        <is>
          <t>No Club</t>
        </is>
      </c>
      <c r="I611" t="n">
        <v>30.1</v>
      </c>
      <c r="J611" s="4" t="n">
        <v>159</v>
      </c>
      <c r="K611" t="inlineStr">
        <is>
          <t>89 / 70</t>
        </is>
      </c>
      <c r="L611" t="inlineStr">
        <is>
          <t>0 / 0</t>
        </is>
      </c>
      <c r="M611" s="5" t="n">
        <v>0.5600000000000001</v>
      </c>
      <c r="N611" s="5" t="n">
        <v>0</v>
      </c>
    </row>
    <row r="612">
      <c r="A612" t="n">
        <v>611</v>
      </c>
      <c r="B612" t="n">
        <v>2015</v>
      </c>
      <c r="C612" t="inlineStr">
        <is>
          <t>Kinsley Jade Lin</t>
        </is>
      </c>
      <c r="D612">
        <f>HYPERLINK("https://ota.tournamentsoftware.com/player-profile/1FF4FA2D-412B-4E4A-AE72-948C7BC68D73", "Link")</f>
        <v/>
      </c>
      <c r="E612" s="3" t="n">
        <v>44.956</v>
      </c>
      <c r="F612" s="4" t="n">
        <v>11</v>
      </c>
      <c r="G612" t="inlineStr">
        <is>
          <t>Ontario Tennis Association</t>
        </is>
      </c>
      <c r="H612" t="inlineStr">
        <is>
          <t>The Tennis School</t>
        </is>
      </c>
      <c r="I612" t="n">
        <v>37.5</v>
      </c>
      <c r="J612" s="4" t="n">
        <v>94</v>
      </c>
      <c r="K612" t="inlineStr">
        <is>
          <t>40 / 54</t>
        </is>
      </c>
      <c r="L612" t="inlineStr">
        <is>
          <t>5 / 11</t>
        </is>
      </c>
      <c r="M612" s="5" t="n">
        <v>0.43</v>
      </c>
      <c r="N612" s="5" t="n">
        <v>0.31</v>
      </c>
    </row>
    <row r="613">
      <c r="A613" t="n">
        <v>612</v>
      </c>
      <c r="B613" t="n">
        <v>2016</v>
      </c>
      <c r="C613" t="inlineStr">
        <is>
          <t>Jessie DONG</t>
        </is>
      </c>
      <c r="D613">
        <f>HYPERLINK("https://ota.tournamentsoftware.com/player-profile/DD46DDC2-A0FA-4A57-9C2B-207D02D3DFB6", "Link")</f>
        <v/>
      </c>
      <c r="E613" s="3" t="n">
        <v>44.76</v>
      </c>
      <c r="F613" s="4" t="n">
        <v>10</v>
      </c>
      <c r="G613" t="inlineStr">
        <is>
          <t>Ontario Tennis Association</t>
        </is>
      </c>
      <c r="H613" t="inlineStr">
        <is>
          <t>Premier Racquet Clubs – Mississauga</t>
        </is>
      </c>
      <c r="I613" t="n">
        <v>37.7</v>
      </c>
      <c r="J613" s="4" t="n">
        <v>62</v>
      </c>
      <c r="K613" t="inlineStr">
        <is>
          <t>25 / 37</t>
        </is>
      </c>
      <c r="L613" t="inlineStr">
        <is>
          <t>25 / 37</t>
        </is>
      </c>
      <c r="M613" s="5" t="n">
        <v>0.4</v>
      </c>
      <c r="N613" s="5" t="n">
        <v>0.4</v>
      </c>
    </row>
    <row r="614">
      <c r="A614" t="n">
        <v>613</v>
      </c>
      <c r="B614" t="n">
        <v>2015</v>
      </c>
      <c r="C614" t="inlineStr">
        <is>
          <t>Milana Maor</t>
        </is>
      </c>
      <c r="D614">
        <f>HYPERLINK("https://ota.tournamentsoftware.com/player-profile/EFC2E194-22E1-4017-A2E8-0B41E7DB9101", "Link")</f>
        <v/>
      </c>
      <c r="E614" s="3" t="n">
        <v>44.009</v>
      </c>
      <c r="F614" s="4" t="n">
        <v>10</v>
      </c>
      <c r="G614" t="inlineStr">
        <is>
          <t>Ontario Tennis Association</t>
        </is>
      </c>
      <c r="H614" t="inlineStr">
        <is>
          <t>No Club</t>
        </is>
      </c>
      <c r="I614" t="n">
        <v>36.7</v>
      </c>
      <c r="J614" s="4" t="n">
        <v>60</v>
      </c>
      <c r="K614" t="inlineStr">
        <is>
          <t>25 / 35</t>
        </is>
      </c>
      <c r="L614" t="inlineStr">
        <is>
          <t>8 / 16</t>
        </is>
      </c>
      <c r="M614" s="5" t="n">
        <v>0.42</v>
      </c>
      <c r="N614" s="5" t="n">
        <v>0.33</v>
      </c>
    </row>
    <row r="615">
      <c r="A615" t="n">
        <v>614</v>
      </c>
      <c r="B615" t="n">
        <v>2012</v>
      </c>
      <c r="C615" t="inlineStr">
        <is>
          <t>Adelaide Morgan</t>
        </is>
      </c>
      <c r="D615">
        <f>HYPERLINK("https://ota.tournamentsoftware.com/player-profile/349677AB-87B2-407B-BDFF-04EE8550EE87", "Link")</f>
        <v/>
      </c>
      <c r="E615" s="3" t="n">
        <v>43.891</v>
      </c>
      <c r="F615" s="4" t="n">
        <v>3</v>
      </c>
      <c r="G615" t="inlineStr">
        <is>
          <t>Ontario Tennis Association</t>
        </is>
      </c>
      <c r="H615" t="inlineStr">
        <is>
          <t>Eglinton Flats Winter Tennis Club</t>
        </is>
      </c>
      <c r="I615" t="inlineStr">
        <is>
          <t>unavailable</t>
        </is>
      </c>
      <c r="J615" s="4" t="n">
        <v>17</v>
      </c>
      <c r="K615" t="inlineStr">
        <is>
          <t>5 / 12</t>
        </is>
      </c>
      <c r="L615" t="inlineStr">
        <is>
          <t>0 / 6</t>
        </is>
      </c>
      <c r="M615" s="5" t="n">
        <v>0.29</v>
      </c>
      <c r="N615" s="5" t="n">
        <v>0</v>
      </c>
    </row>
    <row r="616">
      <c r="A616" t="n">
        <v>615</v>
      </c>
      <c r="B616" t="n">
        <v>2012</v>
      </c>
      <c r="C616" t="inlineStr">
        <is>
          <t>Stefaniia Petrova</t>
        </is>
      </c>
      <c r="D616">
        <f>HYPERLINK("https://ota.tournamentsoftware.com/player-profile/23727B96-731B-4DBB-9789-81399E2B9950", "Link")</f>
        <v/>
      </c>
      <c r="E616" s="3" t="n">
        <v>43.56</v>
      </c>
      <c r="F616" s="4" t="n">
        <v>1</v>
      </c>
      <c r="G616" t="inlineStr">
        <is>
          <t>Ontario Tennis Association</t>
        </is>
      </c>
      <c r="H616" t="inlineStr">
        <is>
          <t>No Club</t>
        </is>
      </c>
      <c r="I616" t="n">
        <v>28.9</v>
      </c>
      <c r="J616" s="4" t="n">
        <v>301</v>
      </c>
      <c r="K616" t="inlineStr">
        <is>
          <t>177 / 124</t>
        </is>
      </c>
      <c r="L616" t="inlineStr">
        <is>
          <t>0 / 0</t>
        </is>
      </c>
      <c r="M616" s="5" t="n">
        <v>0.59</v>
      </c>
      <c r="N616" s="5" t="n">
        <v>0</v>
      </c>
    </row>
    <row r="617">
      <c r="A617" t="n">
        <v>616</v>
      </c>
      <c r="B617" t="n">
        <v>2013</v>
      </c>
      <c r="C617" t="inlineStr">
        <is>
          <t>Emma Isabella Lamacchia</t>
        </is>
      </c>
      <c r="D617">
        <f>HYPERLINK("https://ota.tournamentsoftware.com/player-profile/13408327-82EC-4D4E-B3D1-9FA084C53782", "Link")</f>
        <v/>
      </c>
      <c r="E617" s="3" t="n">
        <v>43.33</v>
      </c>
      <c r="F617" s="4" t="n">
        <v>3</v>
      </c>
      <c r="G617" t="inlineStr">
        <is>
          <t>Ontario Tennis Association</t>
        </is>
      </c>
      <c r="H617" t="inlineStr">
        <is>
          <t>Advantage Tennis International at Veneto</t>
        </is>
      </c>
      <c r="I617" t="n">
        <v>39.9</v>
      </c>
      <c r="J617" s="4" t="n">
        <v>19</v>
      </c>
      <c r="K617" t="inlineStr">
        <is>
          <t>2 / 17</t>
        </is>
      </c>
      <c r="L617" t="inlineStr">
        <is>
          <t>2 / 17</t>
        </is>
      </c>
      <c r="M617" s="5" t="n">
        <v>0.11</v>
      </c>
      <c r="N617" s="5" t="n">
        <v>0.11</v>
      </c>
    </row>
    <row r="618">
      <c r="A618" t="n">
        <v>617</v>
      </c>
      <c r="B618" t="n">
        <v>2012</v>
      </c>
      <c r="C618" t="inlineStr">
        <is>
          <t>Valeria Taborda - Valverde</t>
        </is>
      </c>
      <c r="D618">
        <f>HYPERLINK("https://ota.tournamentsoftware.com/player-profile/E0201B38-AEE1-4BAC-B0FB-FA389A1FFEA8", "Link")</f>
        <v/>
      </c>
      <c r="E618" s="3" t="n">
        <v>43.272</v>
      </c>
      <c r="F618" s="4" t="n">
        <v>2</v>
      </c>
      <c r="G618" t="inlineStr">
        <is>
          <t>Ontario Tennis Association</t>
        </is>
      </c>
      <c r="H618" t="inlineStr">
        <is>
          <t>Port Hope Racquet Club</t>
        </is>
      </c>
      <c r="I618" t="inlineStr">
        <is>
          <t>unavailable</t>
        </is>
      </c>
      <c r="J618" s="4" t="n">
        <v>38</v>
      </c>
      <c r="K618" t="inlineStr">
        <is>
          <t>16 / 22</t>
        </is>
      </c>
      <c r="L618" t="inlineStr">
        <is>
          <t>4 / 1</t>
        </is>
      </c>
      <c r="M618" s="5" t="n">
        <v>0.42</v>
      </c>
      <c r="N618" s="5" t="n">
        <v>0.8</v>
      </c>
    </row>
    <row r="619">
      <c r="A619" t="n">
        <v>618</v>
      </c>
      <c r="B619" t="n">
        <v>2015</v>
      </c>
      <c r="C619" t="inlineStr">
        <is>
          <t>Charlotte Harvey</t>
        </is>
      </c>
      <c r="D619">
        <f>HYPERLINK("https://ota.tournamentsoftware.com/player-profile/222A5F1C-DAD0-4E2A-B035-6A15561C1E0A", "Link")</f>
        <v/>
      </c>
      <c r="E619" s="3" t="n">
        <v>43.248</v>
      </c>
      <c r="F619" s="4" t="n">
        <v>4</v>
      </c>
      <c r="G619" t="inlineStr">
        <is>
          <t>Tennis Québec</t>
        </is>
      </c>
      <c r="H619" t="inlineStr">
        <is>
          <t>Les Tennis de Rimouski (intérieur)</t>
        </is>
      </c>
      <c r="I619" t="n">
        <v>36.1</v>
      </c>
      <c r="J619" s="4" t="n">
        <v>14</v>
      </c>
      <c r="K619" t="inlineStr">
        <is>
          <t>8 / 6</t>
        </is>
      </c>
      <c r="L619" t="inlineStr">
        <is>
          <t>6 / 5</t>
        </is>
      </c>
      <c r="M619" s="5" t="n">
        <v>0.57</v>
      </c>
      <c r="N619" s="5" t="n">
        <v>0.55</v>
      </c>
    </row>
    <row r="620">
      <c r="A620" t="n">
        <v>619</v>
      </c>
      <c r="B620" t="n">
        <v>2014</v>
      </c>
      <c r="C620" t="inlineStr">
        <is>
          <t>Ann-Mayelle Veillard</t>
        </is>
      </c>
      <c r="D620">
        <f>HYPERLINK("https://ota.tournamentsoftware.com/player-profile/C734CB2A-2E7E-46C5-B1F0-69D754EF8527", "Link")</f>
        <v/>
      </c>
      <c r="E620" s="3" t="n">
        <v>42.328</v>
      </c>
      <c r="F620" s="4" t="n">
        <v>11</v>
      </c>
      <c r="G620" t="inlineStr">
        <is>
          <t>Tennis Québec</t>
        </is>
      </c>
      <c r="H620" t="inlineStr">
        <is>
          <t>No Club</t>
        </is>
      </c>
      <c r="I620" t="inlineStr">
        <is>
          <t>unavailable</t>
        </is>
      </c>
      <c r="J620" s="4" t="n">
        <v>22</v>
      </c>
      <c r="K620" t="inlineStr">
        <is>
          <t>10 / 12</t>
        </is>
      </c>
      <c r="L620" t="inlineStr">
        <is>
          <t>10 / 12</t>
        </is>
      </c>
      <c r="M620" s="5" t="n">
        <v>0.45</v>
      </c>
      <c r="N620" s="5" t="n">
        <v>0.45</v>
      </c>
    </row>
    <row r="621">
      <c r="A621" t="n">
        <v>620</v>
      </c>
      <c r="B621" t="n">
        <v>2012</v>
      </c>
      <c r="C621" t="inlineStr">
        <is>
          <t>Mackenzie Quek</t>
        </is>
      </c>
      <c r="D621">
        <f>HYPERLINK("https://ota.tournamentsoftware.com/player-profile/51407A91-7051-4BC3-B583-F0DC1E06E113", "Link")</f>
        <v/>
      </c>
      <c r="E621" s="3" t="n">
        <v>42.274</v>
      </c>
      <c r="F621" s="4" t="n">
        <v>4</v>
      </c>
      <c r="G621" t="inlineStr">
        <is>
          <t>Ontario Tennis Association</t>
        </is>
      </c>
      <c r="H621" t="inlineStr">
        <is>
          <t>Concord Tennis Academy</t>
        </is>
      </c>
      <c r="I621" t="inlineStr">
        <is>
          <t>unavailable</t>
        </is>
      </c>
      <c r="J621" s="4" t="n">
        <v>13</v>
      </c>
      <c r="K621" t="inlineStr">
        <is>
          <t>3 / 10</t>
        </is>
      </c>
      <c r="L621" t="inlineStr">
        <is>
          <t>3 / 10</t>
        </is>
      </c>
      <c r="M621" s="5" t="n">
        <v>0.23</v>
      </c>
      <c r="N621" s="5" t="n">
        <v>0.23</v>
      </c>
    </row>
    <row r="622">
      <c r="A622" t="n">
        <v>621</v>
      </c>
      <c r="B622" t="n">
        <v>2015</v>
      </c>
      <c r="C622" t="inlineStr">
        <is>
          <t>Juliette Tremblay</t>
        </is>
      </c>
      <c r="D622">
        <f>HYPERLINK("https://ota.tournamentsoftware.com/player-profile/94E82DA2-01EF-471F-BB0F-8CEAA1C42076", "Link")</f>
        <v/>
      </c>
      <c r="E622" s="3" t="n">
        <v>41.998</v>
      </c>
      <c r="F622" s="4" t="n">
        <v>11</v>
      </c>
      <c r="G622" t="inlineStr">
        <is>
          <t>Tennis Québec</t>
        </is>
      </c>
      <c r="H622" t="inlineStr">
        <is>
          <t>Tennis Outaouais Performance (TOP)</t>
        </is>
      </c>
      <c r="I622" t="n">
        <v>37.7</v>
      </c>
      <c r="J622" s="4" t="n">
        <v>54</v>
      </c>
      <c r="K622" t="inlineStr">
        <is>
          <t>16 / 38</t>
        </is>
      </c>
      <c r="L622" t="inlineStr">
        <is>
          <t>5 / 13</t>
        </is>
      </c>
      <c r="M622" s="5" t="n">
        <v>0.3</v>
      </c>
      <c r="N622" s="5" t="n">
        <v>0.28</v>
      </c>
    </row>
    <row r="623">
      <c r="A623" t="n">
        <v>622</v>
      </c>
      <c r="B623" t="n">
        <v>2015</v>
      </c>
      <c r="C623" t="inlineStr">
        <is>
          <t>Mia Kojic</t>
        </is>
      </c>
      <c r="D623">
        <f>HYPERLINK("https://ota.tournamentsoftware.com/player-profile/1573DFB3-8189-4CE9-AAAC-9ADF1738AD9C", "Link")</f>
        <v/>
      </c>
      <c r="E623" s="3" t="n">
        <v>41.917</v>
      </c>
      <c r="F623" s="4" t="n">
        <v>8</v>
      </c>
      <c r="G623" t="inlineStr">
        <is>
          <t>Ontario Tennis Association</t>
        </is>
      </c>
      <c r="H623" t="inlineStr">
        <is>
          <t>Ontario Racquet Club</t>
        </is>
      </c>
      <c r="I623" t="n">
        <v>36.7</v>
      </c>
      <c r="J623" s="4" t="n">
        <v>95</v>
      </c>
      <c r="K623" t="inlineStr">
        <is>
          <t>41 / 54</t>
        </is>
      </c>
      <c r="L623" t="inlineStr">
        <is>
          <t>5 / 9</t>
        </is>
      </c>
      <c r="M623" s="5" t="n">
        <v>0.43</v>
      </c>
      <c r="N623" s="5" t="n">
        <v>0.36</v>
      </c>
    </row>
    <row r="624">
      <c r="A624" t="n">
        <v>623</v>
      </c>
      <c r="B624" t="n">
        <v>2014</v>
      </c>
      <c r="C624" t="inlineStr">
        <is>
          <t>Melina Ioannidis</t>
        </is>
      </c>
      <c r="D624">
        <f>HYPERLINK("https://ota.tournamentsoftware.com/player-profile/7105A5E6-611D-4531-9016-F7FBEE3F6368", "Link")</f>
        <v/>
      </c>
      <c r="E624" s="3" t="n">
        <v>41.56</v>
      </c>
      <c r="F624" s="4" t="n">
        <v>6</v>
      </c>
      <c r="G624" t="inlineStr">
        <is>
          <t>Ontario Tennis Association</t>
        </is>
      </c>
      <c r="H624" t="inlineStr">
        <is>
          <t>Aurora Community Tennis Club</t>
        </is>
      </c>
      <c r="I624" t="n">
        <v>37</v>
      </c>
      <c r="J624" s="4" t="n">
        <v>61</v>
      </c>
      <c r="K624" t="inlineStr">
        <is>
          <t>34 / 27</t>
        </is>
      </c>
      <c r="L624" t="inlineStr">
        <is>
          <t>4 / 5</t>
        </is>
      </c>
      <c r="M624" s="5" t="n">
        <v>0.5600000000000001</v>
      </c>
      <c r="N624" s="5" t="n">
        <v>0.44</v>
      </c>
    </row>
    <row r="625">
      <c r="A625" t="n">
        <v>624</v>
      </c>
      <c r="B625" t="n">
        <v>2017</v>
      </c>
      <c r="C625" t="inlineStr">
        <is>
          <t>Aria Bloom</t>
        </is>
      </c>
      <c r="D625">
        <f>HYPERLINK("https://ota.tournamentsoftware.com/player-profile/7C30BE00-7F15-42B9-BA96-B3B2895898A0", "Link")</f>
        <v/>
      </c>
      <c r="E625" s="3" t="n">
        <v>41.346</v>
      </c>
      <c r="F625" s="4" t="n">
        <v>9</v>
      </c>
      <c r="G625" t="inlineStr">
        <is>
          <t>Tennis Alberta</t>
        </is>
      </c>
      <c r="H625" t="inlineStr">
        <is>
          <t>Osten &amp; Victor Alberta Tennis Centre</t>
        </is>
      </c>
      <c r="I625" t="n">
        <v>33.8</v>
      </c>
      <c r="J625" s="4" t="n">
        <v>127</v>
      </c>
      <c r="K625" t="inlineStr">
        <is>
          <t>97 / 30</t>
        </is>
      </c>
      <c r="L625" t="inlineStr">
        <is>
          <t>43 / 7</t>
        </is>
      </c>
      <c r="M625" s="5" t="n">
        <v>0.76</v>
      </c>
      <c r="N625" s="5" t="n">
        <v>0.86</v>
      </c>
    </row>
    <row r="626">
      <c r="A626" t="n">
        <v>625</v>
      </c>
      <c r="B626" t="n">
        <v>2015</v>
      </c>
      <c r="C626" t="inlineStr">
        <is>
          <t>Lillian Tooryani</t>
        </is>
      </c>
      <c r="D626">
        <f>HYPERLINK("https://ota.tournamentsoftware.com/player-profile/B149ED5D-E26B-4577-8AAB-620DB4A7A85F", "Link")</f>
        <v/>
      </c>
      <c r="E626" s="3" t="n">
        <v>41.04</v>
      </c>
      <c r="F626" s="4" t="n">
        <v>13</v>
      </c>
      <c r="G626" t="inlineStr">
        <is>
          <t>Ontario Tennis Association</t>
        </is>
      </c>
      <c r="H626" t="inlineStr">
        <is>
          <t>Mayfair West Fitness &amp; Racquet Club</t>
        </is>
      </c>
      <c r="I626" t="n">
        <v>37.4</v>
      </c>
      <c r="J626" s="4" t="n">
        <v>44</v>
      </c>
      <c r="K626" t="inlineStr">
        <is>
          <t>17 / 27</t>
        </is>
      </c>
      <c r="L626" t="inlineStr">
        <is>
          <t>14 / 14</t>
        </is>
      </c>
      <c r="M626" s="5" t="n">
        <v>0.39</v>
      </c>
      <c r="N626" s="5" t="n">
        <v>0.5</v>
      </c>
    </row>
    <row r="627">
      <c r="A627" t="n">
        <v>625</v>
      </c>
      <c r="B627" t="n">
        <v>2016</v>
      </c>
      <c r="C627" t="inlineStr">
        <is>
          <t>Kiara Krishnan</t>
        </is>
      </c>
      <c r="D627">
        <f>HYPERLINK("https://ota.tournamentsoftware.com/player-profile/50D3305E-63D5-4EFB-B53F-B64E463DE26E", "Link")</f>
        <v/>
      </c>
      <c r="E627" s="3" t="n">
        <v>41.04</v>
      </c>
      <c r="F627" s="4" t="n">
        <v>29</v>
      </c>
      <c r="G627" t="inlineStr">
        <is>
          <t>Ontario Tennis Association</t>
        </is>
      </c>
      <c r="H627" t="inlineStr">
        <is>
          <t>Toronto Tennis Academy</t>
        </is>
      </c>
      <c r="I627" t="n">
        <v>37.7</v>
      </c>
      <c r="J627" s="4" t="n">
        <v>248</v>
      </c>
      <c r="K627" t="inlineStr">
        <is>
          <t>98 / 150</t>
        </is>
      </c>
      <c r="L627" t="inlineStr">
        <is>
          <t>11 / 33</t>
        </is>
      </c>
      <c r="M627" s="5" t="n">
        <v>0.4</v>
      </c>
      <c r="N627" s="5" t="n">
        <v>0.25</v>
      </c>
    </row>
    <row r="628">
      <c r="A628" t="n">
        <v>627</v>
      </c>
      <c r="B628" t="n">
        <v>2013</v>
      </c>
      <c r="C628" t="inlineStr">
        <is>
          <t>Naia Luke</t>
        </is>
      </c>
      <c r="D628">
        <f>HYPERLINK("https://ota.tournamentsoftware.com/player-profile/E8620DEC-5B72-4D85-9171-1F914B105E62", "Link")</f>
        <v/>
      </c>
      <c r="E628" s="3" t="n">
        <v>40.629</v>
      </c>
      <c r="F628" s="4" t="n">
        <v>4</v>
      </c>
      <c r="G628" t="inlineStr">
        <is>
          <t>British Columbia</t>
        </is>
      </c>
      <c r="H628" t="inlineStr">
        <is>
          <t>Jericho Tennis Club</t>
        </is>
      </c>
      <c r="I628" t="n">
        <v>39.7</v>
      </c>
      <c r="J628" s="4" t="n">
        <v>43</v>
      </c>
      <c r="K628" t="inlineStr">
        <is>
          <t>9 / 34</t>
        </is>
      </c>
      <c r="L628" t="inlineStr">
        <is>
          <t>0 / 9</t>
        </is>
      </c>
      <c r="M628" s="5" t="n">
        <v>0.21</v>
      </c>
      <c r="N628" s="5" t="n">
        <v>0</v>
      </c>
    </row>
    <row r="629">
      <c r="A629" t="n">
        <v>628</v>
      </c>
      <c r="B629" t="n">
        <v>2015</v>
      </c>
      <c r="C629" t="inlineStr">
        <is>
          <t>Mila Anglade</t>
        </is>
      </c>
      <c r="D629">
        <f>HYPERLINK("https://ota.tournamentsoftware.com/player-profile/05635752-0D80-4827-BA70-1CECB2BE0528", "Link")</f>
        <v/>
      </c>
      <c r="E629" s="3" t="n">
        <v>40.12</v>
      </c>
      <c r="F629" s="4" t="n">
        <v>4</v>
      </c>
      <c r="G629" t="inlineStr">
        <is>
          <t>Tennis Québec</t>
        </is>
      </c>
      <c r="H629" t="inlineStr">
        <is>
          <t>Carrefour Multisports</t>
        </is>
      </c>
      <c r="I629" t="inlineStr">
        <is>
          <t>unavailable</t>
        </is>
      </c>
      <c r="J629" s="4" t="n">
        <v>64</v>
      </c>
      <c r="K629" t="inlineStr">
        <is>
          <t>39 / 25</t>
        </is>
      </c>
      <c r="L629" t="inlineStr">
        <is>
          <t>8 / 2</t>
        </is>
      </c>
      <c r="M629" s="5" t="n">
        <v>0.61</v>
      </c>
      <c r="N629" s="5" t="n">
        <v>0.8</v>
      </c>
    </row>
    <row r="630">
      <c r="A630" t="n">
        <v>629</v>
      </c>
      <c r="B630" t="n">
        <v>2014</v>
      </c>
      <c r="C630" t="inlineStr">
        <is>
          <t>Juliette Viel</t>
        </is>
      </c>
      <c r="D630">
        <f>HYPERLINK("https://ota.tournamentsoftware.com/player-profile/3C42B108-2BA4-41D7-8AE2-19A52170601F", "Link")</f>
        <v/>
      </c>
      <c r="E630" s="3" t="n">
        <v>39.422</v>
      </c>
      <c r="F630" s="4" t="n">
        <v>3</v>
      </c>
      <c r="G630" t="inlineStr">
        <is>
          <t>Tennis Québec</t>
        </is>
      </c>
      <c r="H630" t="inlineStr">
        <is>
          <t>Club de tennis de Rivière-du-Loup</t>
        </is>
      </c>
      <c r="I630" t="n">
        <v>34.2</v>
      </c>
      <c r="J630" s="4" t="n">
        <v>24</v>
      </c>
      <c r="K630" t="inlineStr">
        <is>
          <t>11 / 13</t>
        </is>
      </c>
      <c r="L630" t="inlineStr">
        <is>
          <t>4 / 3</t>
        </is>
      </c>
      <c r="M630" s="5" t="n">
        <v>0.46</v>
      </c>
      <c r="N630" s="5" t="n">
        <v>0.57</v>
      </c>
    </row>
    <row r="631">
      <c r="A631" t="n">
        <v>630</v>
      </c>
      <c r="B631" t="n">
        <v>2014</v>
      </c>
      <c r="C631" t="inlineStr">
        <is>
          <t>Chloe Leblond</t>
        </is>
      </c>
      <c r="D631">
        <f>HYPERLINK("https://ota.tournamentsoftware.com/player-profile/B25C8E1B-DD5B-45CB-A94E-27B9E436CCF5", "Link")</f>
        <v/>
      </c>
      <c r="E631" s="3" t="n">
        <v>38.706</v>
      </c>
      <c r="F631" s="4" t="n">
        <v>4</v>
      </c>
      <c r="G631" t="inlineStr">
        <is>
          <t>Ontario Tennis Association</t>
        </is>
      </c>
      <c r="H631" t="inlineStr">
        <is>
          <t>Tam Heather Tennis Club</t>
        </is>
      </c>
      <c r="I631" t="inlineStr">
        <is>
          <t>unavailable</t>
        </is>
      </c>
      <c r="J631" s="4" t="n">
        <v>59</v>
      </c>
      <c r="K631" t="inlineStr">
        <is>
          <t>31 / 28</t>
        </is>
      </c>
      <c r="L631" t="inlineStr">
        <is>
          <t>6 / 4</t>
        </is>
      </c>
      <c r="M631" s="5" t="n">
        <v>0.53</v>
      </c>
      <c r="N631" s="5" t="n">
        <v>0.6</v>
      </c>
    </row>
    <row r="632">
      <c r="A632" t="n">
        <v>631</v>
      </c>
      <c r="B632" t="n">
        <v>2015</v>
      </c>
      <c r="C632" t="inlineStr">
        <is>
          <t>Nya BLANCHARD</t>
        </is>
      </c>
      <c r="D632">
        <f>HYPERLINK("https://ota.tournamentsoftware.com/player-profile/E8E00722-2274-4657-BCF4-B20EEBB0EB21", "Link")</f>
        <v/>
      </c>
      <c r="E632" s="3" t="n">
        <v>38.25</v>
      </c>
      <c r="F632" s="4" t="n">
        <v>8</v>
      </c>
      <c r="G632" t="inlineStr">
        <is>
          <t>Ontario Tennis Association</t>
        </is>
      </c>
      <c r="H632" t="inlineStr">
        <is>
          <t>Ontario Racquet Club</t>
        </is>
      </c>
      <c r="I632" t="n">
        <v>35.6</v>
      </c>
      <c r="J632" s="4" t="n">
        <v>44</v>
      </c>
      <c r="K632" t="inlineStr">
        <is>
          <t>24 / 20</t>
        </is>
      </c>
      <c r="L632" t="inlineStr">
        <is>
          <t>9 / 9</t>
        </is>
      </c>
      <c r="M632" s="5" t="n">
        <v>0.55</v>
      </c>
      <c r="N632" s="5" t="n">
        <v>0.5</v>
      </c>
    </row>
    <row r="633">
      <c r="A633" t="n">
        <v>632</v>
      </c>
      <c r="B633" t="n">
        <v>2014</v>
      </c>
      <c r="C633" t="inlineStr">
        <is>
          <t>Ariella Naomi Shegelman</t>
        </is>
      </c>
      <c r="D633">
        <f>HYPERLINK("https://ota.tournamentsoftware.com/player-profile/F4A076BF-B4C6-4301-B22A-3E13FD483AD5", "Link")</f>
        <v/>
      </c>
      <c r="E633" s="3" t="n">
        <v>38.011</v>
      </c>
      <c r="F633" s="4" t="n">
        <v>5</v>
      </c>
      <c r="G633" t="inlineStr">
        <is>
          <t>Ontario Tennis Association</t>
        </is>
      </c>
      <c r="H633" t="inlineStr">
        <is>
          <t>Concord Tennis Academy</t>
        </is>
      </c>
      <c r="I633" t="n">
        <v>35.7</v>
      </c>
      <c r="J633" s="4" t="n">
        <v>32</v>
      </c>
      <c r="K633" t="inlineStr">
        <is>
          <t>16 / 16</t>
        </is>
      </c>
      <c r="L633" t="inlineStr">
        <is>
          <t>6 / 6</t>
        </is>
      </c>
      <c r="M633" s="5" t="n">
        <v>0.5</v>
      </c>
      <c r="N633" s="5" t="n">
        <v>0.5</v>
      </c>
    </row>
    <row r="634">
      <c r="A634" t="n">
        <v>633</v>
      </c>
      <c r="B634" t="n">
        <v>2015</v>
      </c>
      <c r="C634" t="inlineStr">
        <is>
          <t>Sloane Burdick</t>
        </is>
      </c>
      <c r="D634">
        <f>HYPERLINK("https://ota.tournamentsoftware.com/player-profile/B4ED1890-6E53-4FCC-9711-828BDD90CD1F", "Link")</f>
        <v/>
      </c>
      <c r="E634" s="3" t="n">
        <v>37.799</v>
      </c>
      <c r="F634" s="4" t="n">
        <v>9</v>
      </c>
      <c r="G634" t="inlineStr">
        <is>
          <t>British Columbia</t>
        </is>
      </c>
      <c r="H634" t="inlineStr">
        <is>
          <t>Vanguard Tennis Academy</t>
        </is>
      </c>
      <c r="I634" t="n">
        <v>36.9</v>
      </c>
      <c r="J634" s="4" t="n">
        <v>74</v>
      </c>
      <c r="K634" t="inlineStr">
        <is>
          <t>36 / 38</t>
        </is>
      </c>
      <c r="L634" t="inlineStr">
        <is>
          <t>9 / 11</t>
        </is>
      </c>
      <c r="M634" s="5" t="n">
        <v>0.49</v>
      </c>
      <c r="N634" s="5" t="n">
        <v>0.45</v>
      </c>
    </row>
    <row r="635">
      <c r="A635" t="n">
        <v>634</v>
      </c>
      <c r="B635" t="n">
        <v>2014</v>
      </c>
      <c r="C635" t="inlineStr">
        <is>
          <t>Mathilde Langis</t>
        </is>
      </c>
      <c r="D635">
        <f>HYPERLINK("https://ota.tournamentsoftware.com/player-profile/39929D79-FF7E-4461-9561-38C5D88AE666", "Link")</f>
        <v/>
      </c>
      <c r="E635" s="3" t="n">
        <v>37.752</v>
      </c>
      <c r="F635" s="4" t="n">
        <v>4</v>
      </c>
      <c r="G635" t="inlineStr">
        <is>
          <t>Tennis Québec</t>
        </is>
      </c>
      <c r="H635" t="inlineStr">
        <is>
          <t>Rouge et Or - Université Laval</t>
        </is>
      </c>
      <c r="I635" t="n">
        <v>36.2</v>
      </c>
      <c r="J635" s="4" t="n">
        <v>72</v>
      </c>
      <c r="K635" t="inlineStr">
        <is>
          <t>31 / 41</t>
        </is>
      </c>
      <c r="L635" t="inlineStr">
        <is>
          <t>1 / 2</t>
        </is>
      </c>
      <c r="M635" s="5" t="n">
        <v>0.43</v>
      </c>
      <c r="N635" s="5" t="n">
        <v>0.33</v>
      </c>
    </row>
    <row r="636">
      <c r="A636" t="n">
        <v>635</v>
      </c>
      <c r="B636" t="n">
        <v>2013</v>
      </c>
      <c r="C636" t="inlineStr">
        <is>
          <t>Alexa Ardeleanu</t>
        </is>
      </c>
      <c r="D636">
        <f>HYPERLINK("https://ota.tournamentsoftware.com/player-profile/109D0444-3430-4CBD-A2CA-522592228926", "Link")</f>
        <v/>
      </c>
      <c r="E636" s="3" t="n">
        <v>37.397</v>
      </c>
      <c r="F636" s="4" t="n">
        <v>3</v>
      </c>
      <c r="G636" t="inlineStr">
        <is>
          <t>Ontario Tennis Association</t>
        </is>
      </c>
      <c r="H636" t="inlineStr">
        <is>
          <t>No Club</t>
        </is>
      </c>
      <c r="I636" t="n">
        <v>37.8</v>
      </c>
      <c r="J636" s="4" t="n">
        <v>5</v>
      </c>
      <c r="K636" t="inlineStr">
        <is>
          <t>1 / 4</t>
        </is>
      </c>
      <c r="L636" t="inlineStr">
        <is>
          <t>1 / 4</t>
        </is>
      </c>
      <c r="M636" s="5" t="n">
        <v>0.2</v>
      </c>
      <c r="N636" s="5" t="n">
        <v>0.2</v>
      </c>
    </row>
    <row r="637">
      <c r="A637" t="n">
        <v>636</v>
      </c>
      <c r="B637" t="n">
        <v>2015</v>
      </c>
      <c r="C637" t="inlineStr">
        <is>
          <t>Tamara Amad</t>
        </is>
      </c>
      <c r="D637">
        <f>HYPERLINK("https://ota.tournamentsoftware.com/player-profile/4DB13A7D-F9F2-45DD-AAD4-FA9987D24AC9", "Link")</f>
        <v/>
      </c>
      <c r="E637" s="3" t="n">
        <v>36.8</v>
      </c>
      <c r="F637" s="4" t="n">
        <v>2</v>
      </c>
      <c r="G637" t="inlineStr">
        <is>
          <t>Ontario Tennis Association</t>
        </is>
      </c>
      <c r="H637" t="inlineStr">
        <is>
          <t>Ontario Racquet Club</t>
        </is>
      </c>
      <c r="I637" t="inlineStr">
        <is>
          <t>unavailable</t>
        </is>
      </c>
      <c r="J637" s="4" t="n">
        <v>23</v>
      </c>
      <c r="K637" t="inlineStr">
        <is>
          <t>15 / 8</t>
        </is>
      </c>
      <c r="L637" t="inlineStr">
        <is>
          <t>6 / 3</t>
        </is>
      </c>
      <c r="M637" s="5" t="n">
        <v>0.65</v>
      </c>
      <c r="N637" s="5" t="n">
        <v>0.67</v>
      </c>
    </row>
    <row r="638">
      <c r="A638" t="n">
        <v>637</v>
      </c>
      <c r="B638" t="n">
        <v>2012</v>
      </c>
      <c r="C638" t="inlineStr">
        <is>
          <t>Aurélie Houde</t>
        </is>
      </c>
      <c r="D638">
        <f>HYPERLINK("https://ota.tournamentsoftware.com/player-profile/F697AB49-11E9-42EF-B0E6-5DF0E77AF99C", "Link")</f>
        <v/>
      </c>
      <c r="E638" s="3" t="n">
        <v>35.857</v>
      </c>
      <c r="F638" s="4" t="n">
        <v>4</v>
      </c>
      <c r="G638" t="inlineStr">
        <is>
          <t>Tennis Québec</t>
        </is>
      </c>
      <c r="H638" t="inlineStr">
        <is>
          <t>Association de tennis de Drummondville</t>
        </is>
      </c>
      <c r="I638" t="n">
        <v>39.7</v>
      </c>
      <c r="J638" s="4" t="n">
        <v>22</v>
      </c>
      <c r="K638" t="inlineStr">
        <is>
          <t>1 / 21</t>
        </is>
      </c>
      <c r="L638" t="inlineStr">
        <is>
          <t>0 / 3</t>
        </is>
      </c>
      <c r="M638" s="5" t="n">
        <v>0.05</v>
      </c>
      <c r="N638" s="5" t="n">
        <v>0</v>
      </c>
    </row>
    <row r="639">
      <c r="A639" t="n">
        <v>638</v>
      </c>
      <c r="B639" t="n">
        <v>2013</v>
      </c>
      <c r="C639" t="inlineStr">
        <is>
          <t>Mariya Fedchyshyna</t>
        </is>
      </c>
      <c r="D639">
        <f>HYPERLINK("https://ota.tournamentsoftware.com/player-profile/5A64317A-A412-4DEB-A68D-94CE45EAE2DD", "Link")</f>
        <v/>
      </c>
      <c r="E639" s="3" t="n">
        <v>35.767</v>
      </c>
      <c r="F639" s="4" t="n">
        <v>3</v>
      </c>
      <c r="G639" t="inlineStr">
        <is>
          <t>British Columbia</t>
        </is>
      </c>
      <c r="H639" t="inlineStr">
        <is>
          <t>Oak Bay Recreation Centre</t>
        </is>
      </c>
      <c r="I639" t="inlineStr">
        <is>
          <t>unavailable</t>
        </is>
      </c>
      <c r="J639" s="4" t="n">
        <v>9</v>
      </c>
      <c r="K639" t="inlineStr">
        <is>
          <t>1 / 8</t>
        </is>
      </c>
      <c r="L639" t="inlineStr">
        <is>
          <t>1 / 6</t>
        </is>
      </c>
      <c r="M639" s="5" t="n">
        <v>0.11</v>
      </c>
      <c r="N639" s="5" t="n">
        <v>0.14</v>
      </c>
    </row>
    <row r="640">
      <c r="A640" t="n">
        <v>639</v>
      </c>
      <c r="B640" t="n">
        <v>2015</v>
      </c>
      <c r="C640" t="inlineStr">
        <is>
          <t>Victoria Guo</t>
        </is>
      </c>
      <c r="D640">
        <f>HYPERLINK("https://ota.tournamentsoftware.com/player-profile/54FA7561-0327-4A42-A5FE-A5519116069C", "Link")</f>
        <v/>
      </c>
      <c r="E640" s="3" t="n">
        <v>35.632</v>
      </c>
      <c r="F640" s="4" t="n">
        <v>4</v>
      </c>
      <c r="G640" t="inlineStr">
        <is>
          <t>Ontario Tennis Association</t>
        </is>
      </c>
      <c r="H640" t="inlineStr">
        <is>
          <t>Craig Henry</t>
        </is>
      </c>
      <c r="I640" t="n">
        <v>39.3</v>
      </c>
      <c r="J640" s="4" t="n">
        <v>27</v>
      </c>
      <c r="K640" t="inlineStr">
        <is>
          <t>10 / 17</t>
        </is>
      </c>
      <c r="L640" t="inlineStr">
        <is>
          <t>1 / 4</t>
        </is>
      </c>
      <c r="M640" s="5" t="n">
        <v>0.37</v>
      </c>
      <c r="N640" s="5" t="n">
        <v>0.2</v>
      </c>
    </row>
    <row r="641">
      <c r="A641" t="n">
        <v>640</v>
      </c>
      <c r="B641" t="n">
        <v>2013</v>
      </c>
      <c r="C641" t="inlineStr">
        <is>
          <t>Mehak Garg</t>
        </is>
      </c>
      <c r="D641">
        <f>HYPERLINK("https://ota.tournamentsoftware.com/player-profile/2FA47597-FC2B-4F26-80C4-912C2FC70064", "Link")</f>
        <v/>
      </c>
      <c r="E641" s="3" t="n">
        <v>35.51</v>
      </c>
      <c r="F641" s="4" t="n">
        <v>1</v>
      </c>
      <c r="G641" t="inlineStr">
        <is>
          <t>Tennis Saskatchewan</t>
        </is>
      </c>
      <c r="H641" t="inlineStr">
        <is>
          <t>Lakewood Indoor Tennis Centre</t>
        </is>
      </c>
      <c r="I641" t="n">
        <v>35.1</v>
      </c>
      <c r="J641" s="4" t="n">
        <v>13</v>
      </c>
      <c r="K641" t="inlineStr">
        <is>
          <t>5 / 8</t>
        </is>
      </c>
      <c r="L641" t="inlineStr">
        <is>
          <t>5 / 8</t>
        </is>
      </c>
      <c r="M641" s="5" t="n">
        <v>0.38</v>
      </c>
      <c r="N641" s="5" t="n">
        <v>0.38</v>
      </c>
    </row>
    <row r="642">
      <c r="A642" t="n">
        <v>641</v>
      </c>
      <c r="B642" t="n">
        <v>2014</v>
      </c>
      <c r="C642" t="inlineStr">
        <is>
          <t>Violette Hébert</t>
        </is>
      </c>
      <c r="D642">
        <f>HYPERLINK("https://ota.tournamentsoftware.com/player-profile/53615BF8-C3DB-4C99-8745-F5A7E4DC7C2E", "Link")</f>
        <v/>
      </c>
      <c r="E642" s="3" t="n">
        <v>35.466</v>
      </c>
      <c r="F642" s="4" t="n">
        <v>10</v>
      </c>
      <c r="G642" t="inlineStr">
        <is>
          <t>Tennis Québec</t>
        </is>
      </c>
      <c r="H642" t="inlineStr">
        <is>
          <t>EB Tennis inc.</t>
        </is>
      </c>
      <c r="I642" t="n">
        <v>39.2</v>
      </c>
      <c r="J642" s="4" t="n">
        <v>49</v>
      </c>
      <c r="K642" t="inlineStr">
        <is>
          <t>14 / 35</t>
        </is>
      </c>
      <c r="L642" t="inlineStr">
        <is>
          <t>4 / 13</t>
        </is>
      </c>
      <c r="M642" s="5" t="n">
        <v>0.29</v>
      </c>
      <c r="N642" s="5" t="n">
        <v>0.24</v>
      </c>
    </row>
    <row r="643">
      <c r="A643" t="n">
        <v>642</v>
      </c>
      <c r="B643" t="n">
        <v>2014</v>
      </c>
      <c r="C643" t="inlineStr">
        <is>
          <t>Olivia Duthoit</t>
        </is>
      </c>
      <c r="D643">
        <f>HYPERLINK("https://ota.tournamentsoftware.com/player-profile/7ADA0A6D-C257-4896-AEB0-8E053AAA4B48", "Link")</f>
        <v/>
      </c>
      <c r="E643" s="3" t="n">
        <v>35.342</v>
      </c>
      <c r="F643" s="4" t="n">
        <v>3</v>
      </c>
      <c r="G643" t="inlineStr">
        <is>
          <t>Tennis Québec</t>
        </is>
      </c>
      <c r="H643" t="inlineStr">
        <is>
          <t>Club Avantage Multi-sports / Académie de tennis Hérisset Bordeleau</t>
        </is>
      </c>
      <c r="I643" t="n">
        <v>36</v>
      </c>
      <c r="J643" s="4" t="n">
        <v>20</v>
      </c>
      <c r="K643" t="inlineStr">
        <is>
          <t>4 / 16</t>
        </is>
      </c>
      <c r="L643" t="inlineStr">
        <is>
          <t>3 / 4</t>
        </is>
      </c>
      <c r="M643" s="5" t="n">
        <v>0.2</v>
      </c>
      <c r="N643" s="5" t="n">
        <v>0.43</v>
      </c>
    </row>
    <row r="644">
      <c r="A644" t="n">
        <v>643</v>
      </c>
      <c r="B644" t="n">
        <v>2016</v>
      </c>
      <c r="C644" t="inlineStr">
        <is>
          <t>Eliana Gamboa Puentevella</t>
        </is>
      </c>
      <c r="D644">
        <f>HYPERLINK("https://ota.tournamentsoftware.com/player-profile/F092EBD2-5997-4E03-AED5-C7E2E614192B", "Link")</f>
        <v/>
      </c>
      <c r="E644" s="3" t="n">
        <v>35.102</v>
      </c>
      <c r="F644" s="4" t="n">
        <v>12</v>
      </c>
      <c r="G644" t="inlineStr">
        <is>
          <t>British Columbia</t>
        </is>
      </c>
      <c r="H644" t="inlineStr">
        <is>
          <t>Suncoast Racquet Club</t>
        </is>
      </c>
      <c r="I644" t="n">
        <v>36.3</v>
      </c>
      <c r="J644" s="4" t="n">
        <v>137</v>
      </c>
      <c r="K644" t="inlineStr">
        <is>
          <t>68 / 69</t>
        </is>
      </c>
      <c r="L644" t="inlineStr">
        <is>
          <t>38 / 25</t>
        </is>
      </c>
      <c r="M644" s="5" t="n">
        <v>0.5</v>
      </c>
      <c r="N644" s="5" t="n">
        <v>0.6</v>
      </c>
    </row>
    <row r="645">
      <c r="A645" t="n">
        <v>644</v>
      </c>
      <c r="B645" t="n">
        <v>2015</v>
      </c>
      <c r="C645" t="inlineStr">
        <is>
          <t>Parine Jani</t>
        </is>
      </c>
      <c r="D645">
        <f>HYPERLINK("https://ota.tournamentsoftware.com/player-profile/DEF6C92A-14C0-4DEB-A4E3-22B40C75E14A", "Link")</f>
        <v/>
      </c>
      <c r="E645" s="3" t="n">
        <v>35.012</v>
      </c>
      <c r="F645" s="4" t="n">
        <v>5</v>
      </c>
      <c r="G645" t="inlineStr">
        <is>
          <t>Ontario Tennis Association</t>
        </is>
      </c>
      <c r="H645" t="inlineStr">
        <is>
          <t>Premier Racquet Club - Markham</t>
        </is>
      </c>
      <c r="I645" t="n">
        <v>39.7</v>
      </c>
      <c r="J645" s="4" t="n">
        <v>43</v>
      </c>
      <c r="K645" t="inlineStr">
        <is>
          <t>7 / 36</t>
        </is>
      </c>
      <c r="L645" t="inlineStr">
        <is>
          <t>1 / 11</t>
        </is>
      </c>
      <c r="M645" s="5" t="n">
        <v>0.16</v>
      </c>
      <c r="N645" s="5" t="n">
        <v>0.08</v>
      </c>
    </row>
    <row r="646">
      <c r="A646" t="n">
        <v>645</v>
      </c>
      <c r="B646" t="n">
        <v>2015</v>
      </c>
      <c r="C646" t="inlineStr">
        <is>
          <t>Léa Anténor</t>
        </is>
      </c>
      <c r="D646">
        <f>HYPERLINK("https://ota.tournamentsoftware.com/player-profile/C5888674-E1AF-487D-88CD-4864B4B9365E", "Link")</f>
        <v/>
      </c>
      <c r="E646" s="3" t="n">
        <v>34.76</v>
      </c>
      <c r="F646" s="4" t="n">
        <v>6</v>
      </c>
      <c r="G646" t="inlineStr">
        <is>
          <t>Tennis Québec</t>
        </is>
      </c>
      <c r="H646" t="inlineStr">
        <is>
          <t>No Club</t>
        </is>
      </c>
      <c r="I646" t="inlineStr">
        <is>
          <t>unavailable</t>
        </is>
      </c>
      <c r="J646" s="4" t="n">
        <v>9</v>
      </c>
      <c r="K646" t="inlineStr">
        <is>
          <t>3 / 6</t>
        </is>
      </c>
      <c r="L646" t="inlineStr">
        <is>
          <t>3 / 6</t>
        </is>
      </c>
      <c r="M646" s="5" t="n">
        <v>0.33</v>
      </c>
      <c r="N646" s="5" t="n">
        <v>0.33</v>
      </c>
    </row>
    <row r="647">
      <c r="A647" t="n">
        <v>646</v>
      </c>
      <c r="B647" t="n">
        <v>2013</v>
      </c>
      <c r="C647" t="inlineStr">
        <is>
          <t>Caroline Chuyi Wang</t>
        </is>
      </c>
      <c r="D647">
        <f>HYPERLINK("https://ota.tournamentsoftware.com/player-profile/3F052198-DCE4-4852-8FA0-B0793E67B6FC", "Link")</f>
        <v/>
      </c>
      <c r="E647" s="3" t="n">
        <v>34.166</v>
      </c>
      <c r="F647" s="4" t="n">
        <v>4</v>
      </c>
      <c r="G647" t="inlineStr">
        <is>
          <t>British Columbia</t>
        </is>
      </c>
      <c r="H647" t="inlineStr">
        <is>
          <t>Richmond Country Club</t>
        </is>
      </c>
      <c r="I647" t="n">
        <v>37.8</v>
      </c>
      <c r="J647" s="4" t="n">
        <v>26</v>
      </c>
      <c r="K647" t="inlineStr">
        <is>
          <t>11 / 15</t>
        </is>
      </c>
      <c r="L647" t="inlineStr">
        <is>
          <t>11 / 15</t>
        </is>
      </c>
      <c r="M647" s="5" t="n">
        <v>0.42</v>
      </c>
      <c r="N647" s="5" t="n">
        <v>0.42</v>
      </c>
    </row>
    <row r="648">
      <c r="A648" t="n">
        <v>647</v>
      </c>
      <c r="B648" t="n">
        <v>2016</v>
      </c>
      <c r="C648" t="inlineStr">
        <is>
          <t>Emma Yu</t>
        </is>
      </c>
      <c r="D648">
        <f>HYPERLINK("https://ota.tournamentsoftware.com/player-profile/08E91FF6-D5E8-42FC-9B0D-2002B0263706", "Link")</f>
        <v/>
      </c>
      <c r="E648" s="3" t="n">
        <v>33.84</v>
      </c>
      <c r="F648" s="4" t="n">
        <v>6</v>
      </c>
      <c r="G648" t="inlineStr">
        <is>
          <t>Tennis Nova Scotia</t>
        </is>
      </c>
      <c r="H648" t="inlineStr">
        <is>
          <t>Atlantic Tennis Centre</t>
        </is>
      </c>
      <c r="I648" t="n">
        <v>35.4</v>
      </c>
      <c r="J648" s="4" t="n">
        <v>45</v>
      </c>
      <c r="K648" t="inlineStr">
        <is>
          <t>25 / 20</t>
        </is>
      </c>
      <c r="L648" t="inlineStr">
        <is>
          <t>17 / 9</t>
        </is>
      </c>
      <c r="M648" s="5" t="n">
        <v>0.5600000000000001</v>
      </c>
      <c r="N648" s="5" t="n">
        <v>0.65</v>
      </c>
    </row>
    <row r="649">
      <c r="A649" t="n">
        <v>648</v>
      </c>
      <c r="B649" t="n">
        <v>2014</v>
      </c>
      <c r="C649" t="inlineStr">
        <is>
          <t>Georgena Banquicio</t>
        </is>
      </c>
      <c r="D649">
        <f>HYPERLINK("https://ota.tournamentsoftware.com/player-profile/AB3893CF-B68D-4258-893E-E7C3FB601465", "Link")</f>
        <v/>
      </c>
      <c r="E649" s="3" t="n">
        <v>33.663</v>
      </c>
      <c r="F649" s="4" t="n">
        <v>5</v>
      </c>
      <c r="G649" t="inlineStr">
        <is>
          <t>Tennis New Brunswick</t>
        </is>
      </c>
      <c r="H649" t="inlineStr">
        <is>
          <t>Abony Family Tennis Center</t>
        </is>
      </c>
      <c r="I649" t="n">
        <v>37.4</v>
      </c>
      <c r="J649" s="4" t="n">
        <v>72</v>
      </c>
      <c r="K649" t="inlineStr">
        <is>
          <t>34 / 38</t>
        </is>
      </c>
      <c r="L649" t="inlineStr">
        <is>
          <t>2 / 6</t>
        </is>
      </c>
      <c r="M649" s="5" t="n">
        <v>0.47</v>
      </c>
      <c r="N649" s="5" t="n">
        <v>0.25</v>
      </c>
    </row>
    <row r="650">
      <c r="A650" t="n">
        <v>649</v>
      </c>
      <c r="B650" t="n">
        <v>2013</v>
      </c>
      <c r="C650" t="inlineStr">
        <is>
          <t>SOPHIA MARIA TRULESCU</t>
        </is>
      </c>
      <c r="D650">
        <f>HYPERLINK("https://ota.tournamentsoftware.com/player-profile/A41CCD9F-8BEB-4085-842F-8E5A7DA612FF", "Link")</f>
        <v/>
      </c>
      <c r="E650" s="3" t="n">
        <v>33.35</v>
      </c>
      <c r="F650" s="4" t="n">
        <v>2</v>
      </c>
      <c r="G650" t="inlineStr">
        <is>
          <t>Ontario Tennis Association</t>
        </is>
      </c>
      <c r="H650" t="inlineStr">
        <is>
          <t>Rosedale Tennis Club (Hamilton)</t>
        </is>
      </c>
      <c r="I650" t="n">
        <v>34.4</v>
      </c>
      <c r="J650" s="4" t="n">
        <v>55</v>
      </c>
      <c r="K650" t="inlineStr">
        <is>
          <t>41 / 14</t>
        </is>
      </c>
      <c r="L650" t="inlineStr">
        <is>
          <t>4 / 2</t>
        </is>
      </c>
      <c r="M650" s="5" t="n">
        <v>0.75</v>
      </c>
      <c r="N650" s="5" t="n">
        <v>0.67</v>
      </c>
    </row>
    <row r="651">
      <c r="A651" t="n">
        <v>650</v>
      </c>
      <c r="B651" t="n">
        <v>2014</v>
      </c>
      <c r="C651" t="inlineStr">
        <is>
          <t>Victoria Dorvius</t>
        </is>
      </c>
      <c r="D651">
        <f>HYPERLINK("https://ota.tournamentsoftware.com/player-profile/0742AD15-E29E-4761-9ABC-EF929E7499C5", "Link")</f>
        <v/>
      </c>
      <c r="E651" s="3" t="n">
        <v>33.305</v>
      </c>
      <c r="F651" s="4" t="n">
        <v>3</v>
      </c>
      <c r="G651" t="inlineStr">
        <is>
          <t>Tennis Québec</t>
        </is>
      </c>
      <c r="H651" t="inlineStr">
        <is>
          <t>No Club</t>
        </is>
      </c>
      <c r="I651" t="n">
        <v>40</v>
      </c>
      <c r="J651" s="4" t="n">
        <v>8</v>
      </c>
      <c r="K651" t="inlineStr">
        <is>
          <t>0 / 8</t>
        </is>
      </c>
      <c r="L651" t="inlineStr">
        <is>
          <t>0 / 3</t>
        </is>
      </c>
      <c r="M651" s="5" t="n">
        <v>0</v>
      </c>
      <c r="N651" s="5" t="n">
        <v>0</v>
      </c>
    </row>
    <row r="652">
      <c r="A652" t="n">
        <v>651</v>
      </c>
      <c r="B652" t="n">
        <v>2012</v>
      </c>
      <c r="C652" t="inlineStr">
        <is>
          <t>Elise Weaser</t>
        </is>
      </c>
      <c r="D652">
        <f>HYPERLINK("https://ota.tournamentsoftware.com/player-profile/DA22DB71-D6D8-4605-B329-E9AEA5B14695", "Link")</f>
        <v/>
      </c>
      <c r="E652" s="3" t="n">
        <v>33.264</v>
      </c>
      <c r="F652" s="4" t="n">
        <v>2</v>
      </c>
      <c r="G652" t="inlineStr">
        <is>
          <t>Ontario Tennis Association</t>
        </is>
      </c>
      <c r="H652" t="inlineStr">
        <is>
          <t>Ontario Racquet Club</t>
        </is>
      </c>
      <c r="I652" t="n">
        <v>37.6</v>
      </c>
      <c r="J652" s="4" t="n">
        <v>30</v>
      </c>
      <c r="K652" t="inlineStr">
        <is>
          <t>7 / 23</t>
        </is>
      </c>
      <c r="L652" t="inlineStr">
        <is>
          <t>2 / 2</t>
        </is>
      </c>
      <c r="M652" s="5" t="n">
        <v>0.23</v>
      </c>
      <c r="N652" s="5" t="n">
        <v>0.5</v>
      </c>
    </row>
    <row r="653">
      <c r="A653" t="n">
        <v>652</v>
      </c>
      <c r="B653" t="n">
        <v>2016</v>
      </c>
      <c r="C653" t="inlineStr">
        <is>
          <t>Yuetian Caroline Guo</t>
        </is>
      </c>
      <c r="D653">
        <f>HYPERLINK("https://ota.tournamentsoftware.com/player-profile/D9EEB088-31A0-4FD1-A91B-A82319998935", "Link")</f>
        <v/>
      </c>
      <c r="E653" s="3" t="n">
        <v>33.219</v>
      </c>
      <c r="F653" s="4" t="n">
        <v>13</v>
      </c>
      <c r="G653" t="inlineStr">
        <is>
          <t>British Columbia</t>
        </is>
      </c>
      <c r="H653" t="inlineStr">
        <is>
          <t>The Tennis Centre</t>
        </is>
      </c>
      <c r="I653" t="n">
        <v>36.5</v>
      </c>
      <c r="J653" s="4" t="n">
        <v>112</v>
      </c>
      <c r="K653" t="inlineStr">
        <is>
          <t>63 / 49</t>
        </is>
      </c>
      <c r="L653" t="inlineStr">
        <is>
          <t>33 / 23</t>
        </is>
      </c>
      <c r="M653" s="5" t="n">
        <v>0.5600000000000001</v>
      </c>
      <c r="N653" s="5" t="n">
        <v>0.59</v>
      </c>
    </row>
    <row r="654">
      <c r="A654" t="n">
        <v>653</v>
      </c>
      <c r="B654" t="n">
        <v>2015</v>
      </c>
      <c r="C654" t="inlineStr">
        <is>
          <t>Enlin Fan</t>
        </is>
      </c>
      <c r="D654">
        <f>HYPERLINK("https://ota.tournamentsoftware.com/player-profile/0F38D490-CA76-4A12-BE87-0BAC308EDC74", "Link")</f>
        <v/>
      </c>
      <c r="E654" s="3" t="n">
        <v>32.538</v>
      </c>
      <c r="F654" s="4" t="n">
        <v>6</v>
      </c>
      <c r="G654" t="inlineStr">
        <is>
          <t>British Columbia</t>
        </is>
      </c>
      <c r="H654" t="inlineStr">
        <is>
          <t>The Tennis Centre</t>
        </is>
      </c>
      <c r="I654" t="inlineStr">
        <is>
          <t>unavailable</t>
        </is>
      </c>
      <c r="J654" s="4" t="n">
        <v>93</v>
      </c>
      <c r="K654" t="inlineStr">
        <is>
          <t>42 / 51</t>
        </is>
      </c>
      <c r="L654" t="inlineStr">
        <is>
          <t>7 / 6</t>
        </is>
      </c>
      <c r="M654" s="5" t="n">
        <v>0.45</v>
      </c>
      <c r="N654" s="5" t="n">
        <v>0.54</v>
      </c>
    </row>
    <row r="655">
      <c r="A655" t="n">
        <v>654</v>
      </c>
      <c r="B655" t="n">
        <v>2015</v>
      </c>
      <c r="C655" t="inlineStr">
        <is>
          <t>GAURI BHARDWAJ</t>
        </is>
      </c>
      <c r="D655">
        <f>HYPERLINK("https://ota.tournamentsoftware.com/player-profile/7D0915D9-E26B-4DD0-AA8A-90DD2833C0F8", "Link")</f>
        <v/>
      </c>
      <c r="E655" s="3" t="n">
        <v>32.49</v>
      </c>
      <c r="F655" s="4" t="n">
        <v>6</v>
      </c>
      <c r="G655" t="inlineStr">
        <is>
          <t>Ontario Tennis Association</t>
        </is>
      </c>
      <c r="H655" t="inlineStr">
        <is>
          <t>Premier Racquet Clubs – Mississauga</t>
        </is>
      </c>
      <c r="I655" t="n">
        <v>37.6</v>
      </c>
      <c r="J655" s="4" t="n">
        <v>105</v>
      </c>
      <c r="K655" t="inlineStr">
        <is>
          <t>38 / 67</t>
        </is>
      </c>
      <c r="L655" t="inlineStr">
        <is>
          <t>3 / 3</t>
        </is>
      </c>
      <c r="M655" s="5" t="n">
        <v>0.36</v>
      </c>
      <c r="N655" s="5" t="n">
        <v>0.5</v>
      </c>
    </row>
    <row r="656">
      <c r="A656" t="n">
        <v>655</v>
      </c>
      <c r="B656" t="n">
        <v>2015</v>
      </c>
      <c r="C656" t="inlineStr">
        <is>
          <t>Meera Ramanathan</t>
        </is>
      </c>
      <c r="D656">
        <f>HYPERLINK("https://ota.tournamentsoftware.com/player-profile/4BFD1C94-F572-47D9-8892-3117B37D58A1", "Link")</f>
        <v/>
      </c>
      <c r="E656" s="3" t="n">
        <v>32.4</v>
      </c>
      <c r="F656" s="4" t="n">
        <v>3</v>
      </c>
      <c r="G656" t="inlineStr">
        <is>
          <t>Ontario Tennis Association</t>
        </is>
      </c>
      <c r="H656" t="inlineStr">
        <is>
          <t>Rideau Sports Centre</t>
        </is>
      </c>
      <c r="I656" t="n">
        <v>37.8</v>
      </c>
      <c r="J656" s="4" t="n">
        <v>13</v>
      </c>
      <c r="K656" t="inlineStr">
        <is>
          <t>7 / 6</t>
        </is>
      </c>
      <c r="L656" t="inlineStr">
        <is>
          <t>5 / 6</t>
        </is>
      </c>
      <c r="M656" s="5" t="n">
        <v>0.54</v>
      </c>
      <c r="N656" s="5" t="n">
        <v>0.45</v>
      </c>
    </row>
    <row r="657">
      <c r="A657" t="n">
        <v>655</v>
      </c>
      <c r="B657" t="n">
        <v>2017</v>
      </c>
      <c r="C657" t="inlineStr">
        <is>
          <t>Anastasia Savtchenko</t>
        </is>
      </c>
      <c r="D657">
        <f>HYPERLINK("https://ota.tournamentsoftware.com/player-profile/FF881545-63C4-4D7F-B9E4-0A8D65FB9607", "Link")</f>
        <v/>
      </c>
      <c r="E657" s="3" t="n">
        <v>32.4</v>
      </c>
      <c r="F657" s="4" t="n">
        <v>7</v>
      </c>
      <c r="G657" t="inlineStr">
        <is>
          <t>Ontario Tennis Association</t>
        </is>
      </c>
      <c r="H657" t="inlineStr">
        <is>
          <t>Valan Tennis Academy</t>
        </is>
      </c>
      <c r="I657" t="inlineStr">
        <is>
          <t>unavailable</t>
        </is>
      </c>
      <c r="J657" s="4" t="n">
        <v>95</v>
      </c>
      <c r="K657" t="inlineStr">
        <is>
          <t>53 / 42</t>
        </is>
      </c>
      <c r="L657" t="inlineStr">
        <is>
          <t>17 / 13</t>
        </is>
      </c>
      <c r="M657" s="5" t="n">
        <v>0.5600000000000001</v>
      </c>
      <c r="N657" s="5" t="n">
        <v>0.57</v>
      </c>
    </row>
    <row r="658">
      <c r="A658" t="n">
        <v>657</v>
      </c>
      <c r="B658" t="n">
        <v>2014</v>
      </c>
      <c r="C658" t="inlineStr">
        <is>
          <t>Ignatia Walsh</t>
        </is>
      </c>
      <c r="D658">
        <f>HYPERLINK("https://ota.tournamentsoftware.com/player-profile/AEC8F080-693E-4608-867A-22E590A9E567", "Link")</f>
        <v/>
      </c>
      <c r="E658" s="3" t="n">
        <v>32.307</v>
      </c>
      <c r="F658" s="4" t="n">
        <v>15</v>
      </c>
      <c r="G658" t="inlineStr">
        <is>
          <t>Ontario Tennis Association</t>
        </is>
      </c>
      <c r="H658" t="inlineStr">
        <is>
          <t>Premier Racquet Clubs – Mississauga</t>
        </is>
      </c>
      <c r="I658" t="inlineStr">
        <is>
          <t>unavailable</t>
        </is>
      </c>
      <c r="J658" s="4" t="n">
        <v>56</v>
      </c>
      <c r="K658" t="inlineStr">
        <is>
          <t>14 / 42</t>
        </is>
      </c>
      <c r="L658" t="inlineStr">
        <is>
          <t>7 / 18</t>
        </is>
      </c>
      <c r="M658" s="5" t="n">
        <v>0.25</v>
      </c>
      <c r="N658" s="5" t="n">
        <v>0.28</v>
      </c>
    </row>
    <row r="659">
      <c r="A659" t="n">
        <v>658</v>
      </c>
      <c r="B659" t="n">
        <v>2015</v>
      </c>
      <c r="C659" t="inlineStr">
        <is>
          <t>Piper Harrison</t>
        </is>
      </c>
      <c r="D659">
        <f>HYPERLINK("https://ota.tournamentsoftware.com/player-profile/8FD01254-4DB3-4BFF-A784-65DB87717C42", "Link")</f>
        <v/>
      </c>
      <c r="E659" s="3" t="n">
        <v>31.992</v>
      </c>
      <c r="F659" s="4" t="n">
        <v>7</v>
      </c>
      <c r="G659" t="inlineStr">
        <is>
          <t>Ontario Tennis Association</t>
        </is>
      </c>
      <c r="H659" t="inlineStr">
        <is>
          <t>Boulevard Club</t>
        </is>
      </c>
      <c r="I659" t="n">
        <v>38.6</v>
      </c>
      <c r="J659" s="4" t="n">
        <v>56</v>
      </c>
      <c r="K659" t="inlineStr">
        <is>
          <t>18 / 38</t>
        </is>
      </c>
      <c r="L659" t="inlineStr">
        <is>
          <t>6 / 10</t>
        </is>
      </c>
      <c r="M659" s="5" t="n">
        <v>0.32</v>
      </c>
      <c r="N659" s="5" t="n">
        <v>0.38</v>
      </c>
    </row>
    <row r="660">
      <c r="A660" t="n">
        <v>659</v>
      </c>
      <c r="B660" t="n">
        <v>2014</v>
      </c>
      <c r="C660" t="inlineStr">
        <is>
          <t>Adrianna Rajchel</t>
        </is>
      </c>
      <c r="D660">
        <f>HYPERLINK("https://ota.tournamentsoftware.com/player-profile/CF345FA9-9F2F-4BDB-8B66-131A15D8B231", "Link")</f>
        <v/>
      </c>
      <c r="E660" s="3" t="n">
        <v>31.982</v>
      </c>
      <c r="F660" s="4" t="n">
        <v>4</v>
      </c>
      <c r="G660" t="inlineStr">
        <is>
          <t>Ontario Tennis Association</t>
        </is>
      </c>
      <c r="H660" t="inlineStr">
        <is>
          <t>Carleton Tennis Centre</t>
        </is>
      </c>
      <c r="I660" t="n">
        <v>37.9</v>
      </c>
      <c r="J660" s="4" t="n">
        <v>16</v>
      </c>
      <c r="K660" t="inlineStr">
        <is>
          <t>4 / 12</t>
        </is>
      </c>
      <c r="L660" t="inlineStr">
        <is>
          <t>1 / 4</t>
        </is>
      </c>
      <c r="M660" s="5" t="n">
        <v>0.25</v>
      </c>
      <c r="N660" s="5" t="n">
        <v>0.2</v>
      </c>
    </row>
    <row r="661">
      <c r="A661" t="n">
        <v>660</v>
      </c>
      <c r="B661" t="n">
        <v>2012</v>
      </c>
      <c r="C661" t="inlineStr">
        <is>
          <t>Rosalie Lanthier</t>
        </is>
      </c>
      <c r="D661">
        <f>HYPERLINK("https://ota.tournamentsoftware.com/player-profile/7853B67E-AF4D-4FFF-9839-6455ACC0C941", "Link")</f>
        <v/>
      </c>
      <c r="E661" s="3" t="n">
        <v>31.759</v>
      </c>
      <c r="F661" s="4" t="n">
        <v>5</v>
      </c>
      <c r="G661" t="inlineStr">
        <is>
          <t>Tennis Québec</t>
        </is>
      </c>
      <c r="H661" t="inlineStr">
        <is>
          <t>EB Tennis inc.</t>
        </is>
      </c>
      <c r="I661" t="n">
        <v>40</v>
      </c>
      <c r="J661" s="4" t="n">
        <v>15</v>
      </c>
      <c r="K661" t="inlineStr">
        <is>
          <t>1 / 14</t>
        </is>
      </c>
      <c r="L661" t="inlineStr">
        <is>
          <t>0 / 4</t>
        </is>
      </c>
      <c r="M661" s="5" t="n">
        <v>0.07000000000000001</v>
      </c>
      <c r="N661" s="5" t="n">
        <v>0</v>
      </c>
    </row>
    <row r="662">
      <c r="A662" t="n">
        <v>661</v>
      </c>
      <c r="B662" t="n">
        <v>2012</v>
      </c>
      <c r="C662" t="inlineStr">
        <is>
          <t>Belen Aldana</t>
        </is>
      </c>
      <c r="D662">
        <f>HYPERLINK("https://ota.tournamentsoftware.com/player-profile/403664F3-E594-4FFF-BEC0-1AF63F2F73E4", "Link")</f>
        <v/>
      </c>
      <c r="E662" s="3" t="n">
        <v>31.724</v>
      </c>
      <c r="F662" s="4" t="n">
        <v>6</v>
      </c>
      <c r="G662" t="inlineStr">
        <is>
          <t>Tennis Québec</t>
        </is>
      </c>
      <c r="H662" t="inlineStr">
        <is>
          <t>SANI Sport</t>
        </is>
      </c>
      <c r="I662" t="n">
        <v>37.9</v>
      </c>
      <c r="J662" s="4" t="n">
        <v>11</v>
      </c>
      <c r="K662" t="inlineStr">
        <is>
          <t>1 / 10</t>
        </is>
      </c>
      <c r="L662" t="inlineStr">
        <is>
          <t>1 / 10</t>
        </is>
      </c>
      <c r="M662" s="5" t="n">
        <v>0.09</v>
      </c>
      <c r="N662" s="5" t="n">
        <v>0.09</v>
      </c>
    </row>
    <row r="663">
      <c r="A663" t="n">
        <v>662</v>
      </c>
      <c r="B663" t="n">
        <v>2012</v>
      </c>
      <c r="C663" t="inlineStr">
        <is>
          <t>Elise Landry</t>
        </is>
      </c>
      <c r="D663">
        <f>HYPERLINK("https://ota.tournamentsoftware.com/player-profile/E61A7837-F4EB-4DDA-B26F-2D7CE7910B80", "Link")</f>
        <v/>
      </c>
      <c r="E663" s="3" t="n">
        <v>31.456</v>
      </c>
      <c r="F663" s="4" t="n">
        <v>3</v>
      </c>
      <c r="G663" t="inlineStr">
        <is>
          <t>Ontario Tennis Association</t>
        </is>
      </c>
      <c r="H663" t="inlineStr">
        <is>
          <t>Toronto Tennis City</t>
        </is>
      </c>
      <c r="I663" t="inlineStr">
        <is>
          <t>unavailable</t>
        </is>
      </c>
      <c r="J663" s="4" t="n">
        <v>9</v>
      </c>
      <c r="K663" t="inlineStr">
        <is>
          <t>5 / 4</t>
        </is>
      </c>
      <c r="L663" t="inlineStr">
        <is>
          <t>5 / 4</t>
        </is>
      </c>
      <c r="M663" s="5" t="n">
        <v>0.5600000000000001</v>
      </c>
      <c r="N663" s="5" t="n">
        <v>0.5600000000000001</v>
      </c>
    </row>
    <row r="664">
      <c r="A664" t="n">
        <v>663</v>
      </c>
      <c r="B664" t="n">
        <v>2016</v>
      </c>
      <c r="C664" t="inlineStr">
        <is>
          <t>Eiman Javaid Khan</t>
        </is>
      </c>
      <c r="D664">
        <f>HYPERLINK("https://ota.tournamentsoftware.com/player-profile/417EBA88-24AB-42AB-9421-1764C4FCA777", "Link")</f>
        <v/>
      </c>
      <c r="E664" s="3" t="n">
        <v>31.4</v>
      </c>
      <c r="F664" s="4" t="n">
        <v>3</v>
      </c>
      <c r="G664" t="inlineStr">
        <is>
          <t>Tennis Newfoundland &amp; Labrador</t>
        </is>
      </c>
      <c r="H664" t="inlineStr">
        <is>
          <t>Greenbelt Tennis Club</t>
        </is>
      </c>
      <c r="I664" t="inlineStr">
        <is>
          <t>unavailable</t>
        </is>
      </c>
      <c r="J664" s="4" t="n">
        <v>19</v>
      </c>
      <c r="K664" t="inlineStr">
        <is>
          <t>7 / 12</t>
        </is>
      </c>
      <c r="L664" t="inlineStr">
        <is>
          <t>6 / 8</t>
        </is>
      </c>
      <c r="M664" s="5" t="n">
        <v>0.37</v>
      </c>
      <c r="N664" s="5" t="n">
        <v>0.43</v>
      </c>
    </row>
    <row r="665">
      <c r="A665" t="n">
        <v>664</v>
      </c>
      <c r="B665" t="n">
        <v>2016</v>
      </c>
      <c r="C665" t="inlineStr">
        <is>
          <t>Talia Petrovski</t>
        </is>
      </c>
      <c r="D665">
        <f>HYPERLINK("https://ota.tournamentsoftware.com/player-profile/85787F1F-708B-4576-AEFA-F82C6105B16E", "Link")</f>
        <v/>
      </c>
      <c r="E665" s="3" t="n">
        <v>31.234</v>
      </c>
      <c r="F665" s="4" t="n">
        <v>20</v>
      </c>
      <c r="G665" t="inlineStr">
        <is>
          <t>Tennis Alberta</t>
        </is>
      </c>
      <c r="H665" t="inlineStr">
        <is>
          <t>IQ Tennis and Pickleball Centre</t>
        </is>
      </c>
      <c r="I665" t="n">
        <v>35.4</v>
      </c>
      <c r="J665" s="4" t="n">
        <v>148</v>
      </c>
      <c r="K665" t="inlineStr">
        <is>
          <t>84 / 64</t>
        </is>
      </c>
      <c r="L665" t="inlineStr">
        <is>
          <t>54 / 26</t>
        </is>
      </c>
      <c r="M665" s="5" t="n">
        <v>0.57</v>
      </c>
      <c r="N665" s="5" t="n">
        <v>0.68</v>
      </c>
    </row>
    <row r="666">
      <c r="A666" t="n">
        <v>665</v>
      </c>
      <c r="B666" t="n">
        <v>2012</v>
      </c>
      <c r="C666" t="inlineStr">
        <is>
          <t>Capri Metelitsa</t>
        </is>
      </c>
      <c r="D666">
        <f>HYPERLINK("https://ota.tournamentsoftware.com/player-profile/AD54A68E-D415-4925-B832-8287172FB727", "Link")</f>
        <v/>
      </c>
      <c r="E666" s="3" t="n">
        <v>31.075</v>
      </c>
      <c r="F666" s="4" t="n">
        <v>8</v>
      </c>
      <c r="G666" t="inlineStr">
        <is>
          <t>Tennis Alberta</t>
        </is>
      </c>
      <c r="H666" t="inlineStr">
        <is>
          <t>Aforza</t>
        </is>
      </c>
      <c r="I666" t="n">
        <v>36.4</v>
      </c>
      <c r="J666" s="4" t="n">
        <v>50</v>
      </c>
      <c r="K666" t="inlineStr">
        <is>
          <t>23 / 27</t>
        </is>
      </c>
      <c r="L666" t="inlineStr">
        <is>
          <t>2 / 8</t>
        </is>
      </c>
      <c r="M666" s="5" t="n">
        <v>0.46</v>
      </c>
      <c r="N666" s="5" t="n">
        <v>0.2</v>
      </c>
    </row>
    <row r="667">
      <c r="A667" t="n">
        <v>666</v>
      </c>
      <c r="B667" t="n">
        <v>2015</v>
      </c>
      <c r="C667" t="inlineStr">
        <is>
          <t>Daisy Dai</t>
        </is>
      </c>
      <c r="D667">
        <f>HYPERLINK("https://ota.tournamentsoftware.com/player-profile/C64DEFB9-4BBC-4AA1-8CC8-9020440935AB", "Link")</f>
        <v/>
      </c>
      <c r="E667" s="3" t="n">
        <v>30.448</v>
      </c>
      <c r="F667" s="4" t="n">
        <v>2</v>
      </c>
      <c r="G667" t="inlineStr">
        <is>
          <t>Tennis Nova Scotia</t>
        </is>
      </c>
      <c r="H667" t="inlineStr">
        <is>
          <t>Atlantic Tennis Centre</t>
        </is>
      </c>
      <c r="I667" t="n">
        <v>33.2</v>
      </c>
      <c r="J667" s="4" t="n">
        <v>23</v>
      </c>
      <c r="K667" t="inlineStr">
        <is>
          <t>16 / 7</t>
        </is>
      </c>
      <c r="L667" t="inlineStr">
        <is>
          <t>4 / 2</t>
        </is>
      </c>
      <c r="M667" s="5" t="n">
        <v>0.7</v>
      </c>
      <c r="N667" s="5" t="n">
        <v>0.67</v>
      </c>
    </row>
    <row r="668">
      <c r="A668" t="n">
        <v>667</v>
      </c>
      <c r="B668" t="n">
        <v>2014</v>
      </c>
      <c r="C668" t="inlineStr">
        <is>
          <t>Bo Brisson</t>
        </is>
      </c>
      <c r="D668">
        <f>HYPERLINK("https://ota.tournamentsoftware.com/player-profile/836F9923-C4A5-42E1-8BF0-0788DAB02146", "Link")</f>
        <v/>
      </c>
      <c r="E668" s="3" t="n">
        <v>30.304</v>
      </c>
      <c r="F668" s="4" t="n">
        <v>3</v>
      </c>
      <c r="G668" t="inlineStr">
        <is>
          <t>Ontario Tennis Association</t>
        </is>
      </c>
      <c r="H668" t="inlineStr">
        <is>
          <t>GSM Tennis Club</t>
        </is>
      </c>
      <c r="I668" t="inlineStr">
        <is>
          <t>unavailable</t>
        </is>
      </c>
      <c r="J668" s="4" t="n">
        <v>117</v>
      </c>
      <c r="K668" t="inlineStr">
        <is>
          <t>38 / 79</t>
        </is>
      </c>
      <c r="L668" t="inlineStr">
        <is>
          <t>4 / 3</t>
        </is>
      </c>
      <c r="M668" s="5" t="n">
        <v>0.32</v>
      </c>
      <c r="N668" s="5" t="n">
        <v>0.57</v>
      </c>
    </row>
    <row r="669">
      <c r="A669" t="n">
        <v>668</v>
      </c>
      <c r="B669" t="n">
        <v>2015</v>
      </c>
      <c r="C669" t="inlineStr">
        <is>
          <t>Hannah Lewis</t>
        </is>
      </c>
      <c r="D669">
        <f>HYPERLINK("https://ota.tournamentsoftware.com/player-profile/B25290C5-DB82-4ED0-843D-33516AFF301F", "Link")</f>
        <v/>
      </c>
      <c r="E669" s="3" t="n">
        <v>30.058</v>
      </c>
      <c r="F669" s="4" t="n">
        <v>6</v>
      </c>
      <c r="G669" t="inlineStr">
        <is>
          <t>Ontario Tennis Association</t>
        </is>
      </c>
      <c r="H669" t="inlineStr">
        <is>
          <t>Tam Heather Tennis Club</t>
        </is>
      </c>
      <c r="I669" t="n">
        <v>38.7</v>
      </c>
      <c r="J669" s="4" t="n">
        <v>46</v>
      </c>
      <c r="K669" t="inlineStr">
        <is>
          <t>13 / 33</t>
        </is>
      </c>
      <c r="L669" t="inlineStr">
        <is>
          <t>12 / 16</t>
        </is>
      </c>
      <c r="M669" s="5" t="n">
        <v>0.28</v>
      </c>
      <c r="N669" s="5" t="n">
        <v>0.43</v>
      </c>
    </row>
    <row r="670">
      <c r="A670" t="n">
        <v>669</v>
      </c>
      <c r="B670" t="n">
        <v>2015</v>
      </c>
      <c r="C670" t="inlineStr">
        <is>
          <t>Diana Troitska</t>
        </is>
      </c>
      <c r="D670">
        <f>HYPERLINK("https://ota.tournamentsoftware.com/player-profile/6F22C01B-A1B6-4624-8606-C4D0FEB24026", "Link")</f>
        <v/>
      </c>
      <c r="E670" s="3" t="n">
        <v>29.666</v>
      </c>
      <c r="F670" s="4" t="n">
        <v>3</v>
      </c>
      <c r="G670" t="inlineStr">
        <is>
          <t>Tennis Québec</t>
        </is>
      </c>
      <c r="H670" t="inlineStr">
        <is>
          <t>No Club</t>
        </is>
      </c>
      <c r="I670" t="inlineStr">
        <is>
          <t>unavailable</t>
        </is>
      </c>
      <c r="J670" s="4" t="n">
        <v>16</v>
      </c>
      <c r="K670" t="inlineStr">
        <is>
          <t>3 / 13</t>
        </is>
      </c>
      <c r="L670" t="inlineStr">
        <is>
          <t>1 / 3</t>
        </is>
      </c>
      <c r="M670" s="5" t="n">
        <v>0.19</v>
      </c>
      <c r="N670" s="5" t="n">
        <v>0.25</v>
      </c>
    </row>
    <row r="671">
      <c r="A671" t="n">
        <v>670</v>
      </c>
      <c r="B671" t="n">
        <v>2012</v>
      </c>
      <c r="C671" t="inlineStr">
        <is>
          <t>Remy Quinn Durocher</t>
        </is>
      </c>
      <c r="D671">
        <f>HYPERLINK("https://ota.tournamentsoftware.com/player-profile/64BF8C80-3EDB-464A-896D-5D47CC387451", "Link")</f>
        <v/>
      </c>
      <c r="E671" s="3" t="n">
        <v>29.376</v>
      </c>
      <c r="F671" s="4" t="n">
        <v>1</v>
      </c>
      <c r="G671" t="inlineStr">
        <is>
          <t>Tennis Prince Edward Island</t>
        </is>
      </c>
      <c r="H671" t="inlineStr">
        <is>
          <t>Stratford Tennis Club</t>
        </is>
      </c>
      <c r="I671" t="n">
        <v>39.4</v>
      </c>
      <c r="J671" s="4" t="n">
        <v>13</v>
      </c>
      <c r="K671" t="inlineStr">
        <is>
          <t>2 / 11</t>
        </is>
      </c>
      <c r="L671" t="inlineStr">
        <is>
          <t>1 / 6</t>
        </is>
      </c>
      <c r="M671" s="5" t="n">
        <v>0.15</v>
      </c>
      <c r="N671" s="5" t="n">
        <v>0.14</v>
      </c>
    </row>
    <row r="672">
      <c r="A672" t="n">
        <v>671</v>
      </c>
      <c r="B672" t="n">
        <v>2014</v>
      </c>
      <c r="C672" t="inlineStr">
        <is>
          <t>Mila Levac</t>
        </is>
      </c>
      <c r="D672">
        <f>HYPERLINK("https://ota.tournamentsoftware.com/player-profile/7F793D8E-41D7-4B70-87B7-9D30B32ED35F", "Link")</f>
        <v/>
      </c>
      <c r="E672" s="3" t="n">
        <v>29.368</v>
      </c>
      <c r="F672" s="4" t="n">
        <v>4</v>
      </c>
      <c r="G672" t="inlineStr">
        <is>
          <t>Ontario Tennis Association</t>
        </is>
      </c>
      <c r="H672" t="inlineStr">
        <is>
          <t>Rideau Sports Centre</t>
        </is>
      </c>
      <c r="I672" t="n">
        <v>39.3</v>
      </c>
      <c r="J672" s="4" t="n">
        <v>79</v>
      </c>
      <c r="K672" t="inlineStr">
        <is>
          <t>15 / 64</t>
        </is>
      </c>
      <c r="L672" t="inlineStr">
        <is>
          <t>0 / 4</t>
        </is>
      </c>
      <c r="M672" s="5" t="n">
        <v>0.19</v>
      </c>
      <c r="N672" s="5" t="n">
        <v>0</v>
      </c>
    </row>
    <row r="673">
      <c r="A673" t="n">
        <v>672</v>
      </c>
      <c r="B673" t="n">
        <v>2015</v>
      </c>
      <c r="C673" t="inlineStr">
        <is>
          <t>Margaux Eile</t>
        </is>
      </c>
      <c r="D673">
        <f>HYPERLINK("https://ota.tournamentsoftware.com/player-profile/9023DCCB-FDAB-4759-A4C9-E99C2FD3C6AD", "Link")</f>
        <v/>
      </c>
      <c r="E673" s="3" t="n">
        <v>28.841</v>
      </c>
      <c r="F673" s="4" t="n">
        <v>8</v>
      </c>
      <c r="G673" t="inlineStr">
        <is>
          <t>Tennis Québec</t>
        </is>
      </c>
      <c r="H673" t="inlineStr">
        <is>
          <t>Midtown Le Sporting Club Sanctuaire</t>
        </is>
      </c>
      <c r="I673" t="n">
        <v>39.4</v>
      </c>
      <c r="J673" s="4" t="n">
        <v>28</v>
      </c>
      <c r="K673" t="inlineStr">
        <is>
          <t>3 / 25</t>
        </is>
      </c>
      <c r="L673" t="inlineStr">
        <is>
          <t>1 / 8</t>
        </is>
      </c>
      <c r="M673" s="5" t="n">
        <v>0.11</v>
      </c>
      <c r="N673" s="5" t="n">
        <v>0.11</v>
      </c>
    </row>
    <row r="674">
      <c r="A674" t="n">
        <v>673</v>
      </c>
      <c r="B674" t="n">
        <v>2015</v>
      </c>
      <c r="C674" t="inlineStr">
        <is>
          <t>Asena Kiamil</t>
        </is>
      </c>
      <c r="D674">
        <f>HYPERLINK("https://ota.tournamentsoftware.com/player-profile/E9A72281-6B76-4B36-9040-E802436447FA", "Link")</f>
        <v/>
      </c>
      <c r="E674" s="3" t="n">
        <v>28.824</v>
      </c>
      <c r="F674" s="4" t="n">
        <v>6</v>
      </c>
      <c r="G674" t="inlineStr">
        <is>
          <t>Ontario Tennis Association</t>
        </is>
      </c>
      <c r="H674" t="inlineStr">
        <is>
          <t>Royal City Tennis Club</t>
        </is>
      </c>
      <c r="I674" t="n">
        <v>37.8</v>
      </c>
      <c r="J674" s="4" t="n">
        <v>86</v>
      </c>
      <c r="K674" t="inlineStr">
        <is>
          <t>46 / 40</t>
        </is>
      </c>
      <c r="L674" t="inlineStr">
        <is>
          <t>4 / 6</t>
        </is>
      </c>
      <c r="M674" s="5" t="n">
        <v>0.53</v>
      </c>
      <c r="N674" s="5" t="n">
        <v>0.4</v>
      </c>
    </row>
    <row r="675">
      <c r="A675" t="n">
        <v>674</v>
      </c>
      <c r="B675" t="n">
        <v>2013</v>
      </c>
      <c r="C675" t="inlineStr">
        <is>
          <t>Nitya Myneni</t>
        </is>
      </c>
      <c r="D675">
        <f>HYPERLINK("https://ota.tournamentsoftware.com/player-profile/482EDD14-11AD-4221-B031-4CDB8348AC62", "Link")</f>
        <v/>
      </c>
      <c r="E675" s="3" t="n">
        <v>28.564</v>
      </c>
      <c r="F675" s="4" t="n">
        <v>4</v>
      </c>
      <c r="G675" t="inlineStr">
        <is>
          <t>British Columbia</t>
        </is>
      </c>
      <c r="H675" t="inlineStr">
        <is>
          <t>The Tennis Centre</t>
        </is>
      </c>
      <c r="I675" t="n">
        <v>39.7</v>
      </c>
      <c r="J675" s="4" t="n">
        <v>30</v>
      </c>
      <c r="K675" t="inlineStr">
        <is>
          <t>8 / 22</t>
        </is>
      </c>
      <c r="L675" t="inlineStr">
        <is>
          <t>0 / 8</t>
        </is>
      </c>
      <c r="M675" s="5" t="n">
        <v>0.27</v>
      </c>
      <c r="N675" s="5" t="n">
        <v>0</v>
      </c>
    </row>
    <row r="676">
      <c r="A676" t="n">
        <v>675</v>
      </c>
      <c r="B676" t="n">
        <v>2013</v>
      </c>
      <c r="C676" t="inlineStr">
        <is>
          <t>TIFFANY ZHENG</t>
        </is>
      </c>
      <c r="D676">
        <f>HYPERLINK("https://ota.tournamentsoftware.com/player-profile/59B34621-D499-450A-BDB3-B38C363BEAD1", "Link")</f>
        <v/>
      </c>
      <c r="E676" s="3" t="n">
        <v>28.481</v>
      </c>
      <c r="F676" s="4" t="n">
        <v>1</v>
      </c>
      <c r="G676" t="inlineStr">
        <is>
          <t>Ontario Tennis Association</t>
        </is>
      </c>
      <c r="H676" t="inlineStr">
        <is>
          <t>Carleton Tennis Centre</t>
        </is>
      </c>
      <c r="I676" t="n">
        <v>34</v>
      </c>
      <c r="J676" s="4" t="n">
        <v>1</v>
      </c>
      <c r="K676" t="inlineStr">
        <is>
          <t>1 / 0</t>
        </is>
      </c>
      <c r="L676" t="inlineStr">
        <is>
          <t>1 / 0</t>
        </is>
      </c>
      <c r="M676" s="5" t="n">
        <v>1</v>
      </c>
      <c r="N676" s="5" t="n">
        <v>1</v>
      </c>
    </row>
    <row r="677">
      <c r="A677" t="n">
        <v>676</v>
      </c>
      <c r="B677" t="n">
        <v>2013</v>
      </c>
      <c r="C677" t="inlineStr">
        <is>
          <t>Meryem Besri Besri</t>
        </is>
      </c>
      <c r="D677">
        <f>HYPERLINK("https://ota.tournamentsoftware.com/player-profile/24E638E5-93ED-46F3-95E6-F944EA4EAAE7", "Link")</f>
        <v/>
      </c>
      <c r="E677" s="3" t="n">
        <v>28.425</v>
      </c>
      <c r="F677" s="4" t="n">
        <v>3</v>
      </c>
      <c r="G677" t="inlineStr">
        <is>
          <t>Tennis Alberta</t>
        </is>
      </c>
      <c r="H677" t="inlineStr">
        <is>
          <t>Calgary - Public</t>
        </is>
      </c>
      <c r="I677" t="n">
        <v>31.9</v>
      </c>
      <c r="J677" s="4" t="n">
        <v>6</v>
      </c>
      <c r="K677" t="inlineStr">
        <is>
          <t>3 / 3</t>
        </is>
      </c>
      <c r="L677" t="inlineStr">
        <is>
          <t>3 / 3</t>
        </is>
      </c>
      <c r="M677" s="5" t="n">
        <v>0.5</v>
      </c>
      <c r="N677" s="5" t="n">
        <v>0.5</v>
      </c>
    </row>
    <row r="678">
      <c r="A678" t="n">
        <v>677</v>
      </c>
      <c r="B678" t="n">
        <v>2016</v>
      </c>
      <c r="C678" t="inlineStr">
        <is>
          <t>Flora Ziyue Wang</t>
        </is>
      </c>
      <c r="D678">
        <f>HYPERLINK("https://ota.tournamentsoftware.com/player-profile/65435931-BBD0-46BD-839E-4188787640BE", "Link")</f>
        <v/>
      </c>
      <c r="E678" s="3" t="n">
        <v>28.368</v>
      </c>
      <c r="F678" s="4" t="n">
        <v>7</v>
      </c>
      <c r="G678" t="inlineStr">
        <is>
          <t>Ontario Tennis Association</t>
        </is>
      </c>
      <c r="H678" t="inlineStr">
        <is>
          <t>Unionville Tennis Club</t>
        </is>
      </c>
      <c r="I678" t="n">
        <v>35.4</v>
      </c>
      <c r="J678" s="4" t="n">
        <v>82</v>
      </c>
      <c r="K678" t="inlineStr">
        <is>
          <t>42 / 40</t>
        </is>
      </c>
      <c r="L678" t="inlineStr">
        <is>
          <t>15 / 9</t>
        </is>
      </c>
      <c r="M678" s="5" t="n">
        <v>0.51</v>
      </c>
      <c r="N678" s="5" t="n">
        <v>0.62</v>
      </c>
    </row>
    <row r="679">
      <c r="A679" t="n">
        <v>678</v>
      </c>
      <c r="B679" t="n">
        <v>2014</v>
      </c>
      <c r="C679" t="inlineStr">
        <is>
          <t>Vira Beskupska</t>
        </is>
      </c>
      <c r="D679">
        <f>HYPERLINK("https://ota.tournamentsoftware.com/player-profile/116FA89C-68A6-4FE9-ADC6-34260809351C", "Link")</f>
        <v/>
      </c>
      <c r="E679" s="3" t="n">
        <v>28.08</v>
      </c>
      <c r="F679" s="4" t="n">
        <v>3</v>
      </c>
      <c r="G679" t="inlineStr">
        <is>
          <t>Ontario Tennis Association</t>
        </is>
      </c>
      <c r="H679" t="inlineStr">
        <is>
          <t>Tennis Centre West Ottawa</t>
        </is>
      </c>
      <c r="I679" t="n">
        <v>38.4</v>
      </c>
      <c r="J679" s="4" t="n">
        <v>7</v>
      </c>
      <c r="K679" t="inlineStr">
        <is>
          <t>2 / 5</t>
        </is>
      </c>
      <c r="L679" t="inlineStr">
        <is>
          <t>2 / 5</t>
        </is>
      </c>
      <c r="M679" s="5" t="n">
        <v>0.29</v>
      </c>
      <c r="N679" s="5" t="n">
        <v>0.29</v>
      </c>
    </row>
    <row r="680">
      <c r="A680" t="n">
        <v>679</v>
      </c>
      <c r="B680" t="n">
        <v>2015</v>
      </c>
      <c r="C680" t="inlineStr">
        <is>
          <t>Hattie Mengru Shi</t>
        </is>
      </c>
      <c r="D680">
        <f>HYPERLINK("https://ota.tournamentsoftware.com/player-profile/722E1AFC-349E-4E4B-8E5F-C3DF2E8CEECB", "Link")</f>
        <v/>
      </c>
      <c r="E680" s="3" t="n">
        <v>27.864</v>
      </c>
      <c r="F680" s="4" t="n">
        <v>2</v>
      </c>
      <c r="G680" t="inlineStr">
        <is>
          <t>Ontario Tennis Association</t>
        </is>
      </c>
      <c r="H680" t="inlineStr">
        <is>
          <t>Toronto Tennis Academy</t>
        </is>
      </c>
      <c r="I680" t="n">
        <v>34.3</v>
      </c>
      <c r="J680" s="4" t="n">
        <v>104</v>
      </c>
      <c r="K680" t="inlineStr">
        <is>
          <t>55 / 49</t>
        </is>
      </c>
      <c r="L680" t="inlineStr">
        <is>
          <t>1 / 3</t>
        </is>
      </c>
      <c r="M680" s="5" t="n">
        <v>0.53</v>
      </c>
      <c r="N680" s="5" t="n">
        <v>0.25</v>
      </c>
    </row>
    <row r="681">
      <c r="A681" t="n">
        <v>679</v>
      </c>
      <c r="B681" t="n">
        <v>2013</v>
      </c>
      <c r="C681" t="inlineStr">
        <is>
          <t>Phoebe Xu</t>
        </is>
      </c>
      <c r="D681">
        <f>HYPERLINK("https://ota.tournamentsoftware.com/player-profile/278C7B40-F6F9-4402-A8BF-F8069FAF9612", "Link")</f>
        <v/>
      </c>
      <c r="E681" s="3" t="n">
        <v>27.864</v>
      </c>
      <c r="F681" s="4" t="n">
        <v>1</v>
      </c>
      <c r="G681" t="inlineStr">
        <is>
          <t>Ontario Tennis Association</t>
        </is>
      </c>
      <c r="H681" t="inlineStr">
        <is>
          <t>Sandy Beach Tennis Club</t>
        </is>
      </c>
      <c r="I681" t="n">
        <v>31.9</v>
      </c>
      <c r="J681" s="4" t="n">
        <v>89</v>
      </c>
      <c r="K681" t="inlineStr">
        <is>
          <t>50 / 39</t>
        </is>
      </c>
      <c r="L681" t="inlineStr">
        <is>
          <t>1 / 1</t>
        </is>
      </c>
      <c r="M681" s="5" t="n">
        <v>0.5600000000000001</v>
      </c>
      <c r="N681" s="5" t="n">
        <v>0.5</v>
      </c>
    </row>
    <row r="682">
      <c r="A682" t="n">
        <v>681</v>
      </c>
      <c r="B682" t="n">
        <v>2014</v>
      </c>
      <c r="C682" t="inlineStr">
        <is>
          <t>kunyou Guan</t>
        </is>
      </c>
      <c r="D682">
        <f>HYPERLINK("https://ota.tournamentsoftware.com/player-profile/1F3E9C6C-8AD9-4B0B-B88C-410B372DBAF5", "Link")</f>
        <v/>
      </c>
      <c r="E682" s="3" t="n">
        <v>27.859</v>
      </c>
      <c r="F682" s="4" t="n">
        <v>7</v>
      </c>
      <c r="G682" t="inlineStr">
        <is>
          <t>Ontario Tennis Association</t>
        </is>
      </c>
      <c r="H682" t="inlineStr">
        <is>
          <t>Mayfair West Fitness &amp; Racquet Club</t>
        </is>
      </c>
      <c r="I682" t="n">
        <v>37.5</v>
      </c>
      <c r="J682" s="4" t="n">
        <v>38</v>
      </c>
      <c r="K682" t="inlineStr">
        <is>
          <t>19 / 19</t>
        </is>
      </c>
      <c r="L682" t="inlineStr">
        <is>
          <t>6 / 8</t>
        </is>
      </c>
      <c r="M682" s="5" t="n">
        <v>0.5</v>
      </c>
      <c r="N682" s="5" t="n">
        <v>0.43</v>
      </c>
    </row>
    <row r="683">
      <c r="A683" t="n">
        <v>682</v>
      </c>
      <c r="B683" t="n">
        <v>2016</v>
      </c>
      <c r="C683" t="inlineStr">
        <is>
          <t>Madison Prsa</t>
        </is>
      </c>
      <c r="D683">
        <f>HYPERLINK("https://ota.tournamentsoftware.com/player-profile/E90BB9E9-F58B-415B-8202-1B024EFB9E36", "Link")</f>
        <v/>
      </c>
      <c r="E683" s="3" t="n">
        <v>27.648</v>
      </c>
      <c r="F683" s="4" t="n">
        <v>6</v>
      </c>
      <c r="G683" t="inlineStr">
        <is>
          <t>Ontario Tennis Association</t>
        </is>
      </c>
      <c r="H683" t="inlineStr">
        <is>
          <t>Advantage Tennis International at Veneto</t>
        </is>
      </c>
      <c r="I683" t="n">
        <v>36.2</v>
      </c>
      <c r="J683" s="4" t="n">
        <v>145</v>
      </c>
      <c r="K683" t="inlineStr">
        <is>
          <t>56 / 89</t>
        </is>
      </c>
      <c r="L683" t="inlineStr">
        <is>
          <t>15 / 21</t>
        </is>
      </c>
      <c r="M683" s="5" t="n">
        <v>0.39</v>
      </c>
      <c r="N683" s="5" t="n">
        <v>0.42</v>
      </c>
    </row>
    <row r="684">
      <c r="A684" t="n">
        <v>683</v>
      </c>
      <c r="B684" t="n">
        <v>2015</v>
      </c>
      <c r="C684" t="inlineStr">
        <is>
          <t>Iris RuiYing Cen</t>
        </is>
      </c>
      <c r="D684">
        <f>HYPERLINK("https://ota.tournamentsoftware.com/player-profile/D53FD847-C5AE-41A6-BFB8-EE8B251EDFBF", "Link")</f>
        <v/>
      </c>
      <c r="E684" s="3" t="n">
        <v>27.609</v>
      </c>
      <c r="F684" s="4" t="n">
        <v>6</v>
      </c>
      <c r="G684" t="inlineStr">
        <is>
          <t>Ontario Tennis Association</t>
        </is>
      </c>
      <c r="H684" t="inlineStr">
        <is>
          <t>Meadowvale West Tennis Club</t>
        </is>
      </c>
      <c r="I684" t="n">
        <v>38</v>
      </c>
      <c r="J684" s="4" t="n">
        <v>77</v>
      </c>
      <c r="K684" t="inlineStr">
        <is>
          <t>20 / 57</t>
        </is>
      </c>
      <c r="L684" t="inlineStr">
        <is>
          <t>2 / 4</t>
        </is>
      </c>
      <c r="M684" s="5" t="n">
        <v>0.26</v>
      </c>
      <c r="N684" s="5" t="n">
        <v>0.33</v>
      </c>
    </row>
    <row r="685">
      <c r="A685" t="n">
        <v>684</v>
      </c>
      <c r="B685" t="n">
        <v>2016</v>
      </c>
      <c r="C685" t="inlineStr">
        <is>
          <t>Delia Stoian</t>
        </is>
      </c>
      <c r="D685">
        <f>HYPERLINK("https://ota.tournamentsoftware.com/player-profile/97BF71BC-EF3B-40A8-B2A8-4211E6570024", "Link")</f>
        <v/>
      </c>
      <c r="E685" s="3" t="n">
        <v>26.743</v>
      </c>
      <c r="F685" s="4" t="n">
        <v>4</v>
      </c>
      <c r="G685" t="inlineStr">
        <is>
          <t>Tennis Québec</t>
        </is>
      </c>
      <c r="H685" t="inlineStr">
        <is>
          <t>SANI Sport</t>
        </is>
      </c>
      <c r="I685" t="n">
        <v>36.7</v>
      </c>
      <c r="J685" s="4" t="n">
        <v>90</v>
      </c>
      <c r="K685" t="inlineStr">
        <is>
          <t>51 / 39</t>
        </is>
      </c>
      <c r="L685" t="inlineStr">
        <is>
          <t>23 / 18</t>
        </is>
      </c>
      <c r="M685" s="5" t="n">
        <v>0.57</v>
      </c>
      <c r="N685" s="5" t="n">
        <v>0.5600000000000001</v>
      </c>
    </row>
    <row r="686">
      <c r="A686" t="n">
        <v>685</v>
      </c>
      <c r="B686" t="n">
        <v>2012</v>
      </c>
      <c r="C686" t="inlineStr">
        <is>
          <t>Tallulah Oakes</t>
        </is>
      </c>
      <c r="D686">
        <f>HYPERLINK("https://ota.tournamentsoftware.com/player-profile/B5372F0A-C15A-4DDD-A97C-9E3BACE4A05E", "Link")</f>
        <v/>
      </c>
      <c r="E686" s="3" t="n">
        <v>26.613</v>
      </c>
      <c r="F686" s="4" t="n">
        <v>2</v>
      </c>
      <c r="G686" t="inlineStr">
        <is>
          <t>British Columbia</t>
        </is>
      </c>
      <c r="H686" t="inlineStr">
        <is>
          <t>Hollyburn Country Club</t>
        </is>
      </c>
      <c r="I686" t="n">
        <v>35.3</v>
      </c>
      <c r="J686" s="4" t="n">
        <v>72</v>
      </c>
      <c r="K686" t="inlineStr">
        <is>
          <t>27 / 45</t>
        </is>
      </c>
      <c r="L686" t="inlineStr">
        <is>
          <t>1 / 2</t>
        </is>
      </c>
      <c r="M686" s="5" t="n">
        <v>0.38</v>
      </c>
      <c r="N686" s="5" t="n">
        <v>0.33</v>
      </c>
    </row>
    <row r="687">
      <c r="A687" t="n">
        <v>686</v>
      </c>
      <c r="B687" t="n">
        <v>2012</v>
      </c>
      <c r="C687" t="inlineStr">
        <is>
          <t>Kira Karstoff</t>
        </is>
      </c>
      <c r="D687">
        <f>HYPERLINK("https://ota.tournamentsoftware.com/player-profile/1755679B-A50B-4F8F-B603-0578043F7638", "Link")</f>
        <v/>
      </c>
      <c r="E687" s="3" t="n">
        <v>26.611</v>
      </c>
      <c r="F687" s="4" t="n">
        <v>2</v>
      </c>
      <c r="G687" t="inlineStr">
        <is>
          <t>Ontario Tennis Association</t>
        </is>
      </c>
      <c r="H687" t="inlineStr">
        <is>
          <t>Toronto Cricket Skating &amp; Curling</t>
        </is>
      </c>
      <c r="I687" t="inlineStr">
        <is>
          <t>unavailable</t>
        </is>
      </c>
      <c r="J687" s="4" t="n">
        <v>48</v>
      </c>
      <c r="K687" t="inlineStr">
        <is>
          <t>21 / 27</t>
        </is>
      </c>
      <c r="L687" t="inlineStr">
        <is>
          <t>2 / 4</t>
        </is>
      </c>
      <c r="M687" s="5" t="n">
        <v>0.44</v>
      </c>
      <c r="N687" s="5" t="n">
        <v>0.33</v>
      </c>
    </row>
    <row r="688">
      <c r="A688" t="n">
        <v>687</v>
      </c>
      <c r="B688" t="n">
        <v>2013</v>
      </c>
      <c r="C688" t="inlineStr">
        <is>
          <t>Mayssa Maddouri</t>
        </is>
      </c>
      <c r="D688">
        <f>HYPERLINK("https://ota.tournamentsoftware.com/player-profile/911D4DB6-C985-4A43-8264-359A0386F2C5", "Link")</f>
        <v/>
      </c>
      <c r="E688" s="3" t="n">
        <v>26.568</v>
      </c>
      <c r="F688" s="4" t="n">
        <v>2</v>
      </c>
      <c r="G688" t="inlineStr">
        <is>
          <t>Tennis Québec</t>
        </is>
      </c>
      <c r="H688" t="inlineStr">
        <is>
          <t>EB Tennis inc.</t>
        </is>
      </c>
      <c r="I688" t="inlineStr">
        <is>
          <t>unavailable</t>
        </is>
      </c>
      <c r="J688" s="4" t="n">
        <v>3</v>
      </c>
      <c r="K688" t="inlineStr">
        <is>
          <t>0 / 3</t>
        </is>
      </c>
      <c r="L688" t="inlineStr">
        <is>
          <t>0 / 3</t>
        </is>
      </c>
      <c r="M688" s="5" t="n">
        <v>0</v>
      </c>
      <c r="N688" s="5" t="n">
        <v>0</v>
      </c>
    </row>
    <row r="689">
      <c r="A689" t="n">
        <v>687</v>
      </c>
      <c r="B689" t="n">
        <v>2013</v>
      </c>
      <c r="C689" t="inlineStr">
        <is>
          <t>Soély Expérience</t>
        </is>
      </c>
      <c r="D689">
        <f>HYPERLINK("https://ota.tournamentsoftware.com/player-profile/91892DC4-7E0E-400F-96DB-9DFFCE855771", "Link")</f>
        <v/>
      </c>
      <c r="E689" s="3" t="n">
        <v>26.568</v>
      </c>
      <c r="F689" s="4" t="n">
        <v>1</v>
      </c>
      <c r="G689" t="inlineStr">
        <is>
          <t>Tennis Québec</t>
        </is>
      </c>
      <c r="H689" t="inlineStr">
        <is>
          <t>Tennis Montréal Excellence</t>
        </is>
      </c>
      <c r="I689" t="n">
        <v>32.7</v>
      </c>
      <c r="J689" s="4" t="n">
        <v>163</v>
      </c>
      <c r="K689" t="inlineStr">
        <is>
          <t>95 / 68</t>
        </is>
      </c>
      <c r="L689" t="inlineStr">
        <is>
          <t>0 / 1</t>
        </is>
      </c>
      <c r="M689" s="5" t="n">
        <v>0.58</v>
      </c>
      <c r="N689" s="5" t="n">
        <v>0</v>
      </c>
    </row>
    <row r="690">
      <c r="A690" t="n">
        <v>689</v>
      </c>
      <c r="B690" t="n">
        <v>2012</v>
      </c>
      <c r="C690" t="inlineStr">
        <is>
          <t>Erica Amy Els</t>
        </is>
      </c>
      <c r="D690">
        <f>HYPERLINK("https://ota.tournamentsoftware.com/player-profile/2D6CC49A-BAE5-4768-9244-8FB4F1D2CABC", "Link")</f>
        <v/>
      </c>
      <c r="E690" s="3" t="n">
        <v>26.417</v>
      </c>
      <c r="F690" s="4" t="n">
        <v>5</v>
      </c>
      <c r="G690" t="inlineStr">
        <is>
          <t>Tennis Alberta</t>
        </is>
      </c>
      <c r="H690" t="inlineStr">
        <is>
          <t>No Club</t>
        </is>
      </c>
      <c r="I690" t="n">
        <v>39.2</v>
      </c>
      <c r="J690" s="4" t="n">
        <v>9</v>
      </c>
      <c r="K690" t="inlineStr">
        <is>
          <t>1 / 8</t>
        </is>
      </c>
      <c r="L690" t="inlineStr">
        <is>
          <t>1 / 8</t>
        </is>
      </c>
      <c r="M690" s="5" t="n">
        <v>0.11</v>
      </c>
      <c r="N690" s="5" t="n">
        <v>0.11</v>
      </c>
    </row>
    <row r="691">
      <c r="A691" t="n">
        <v>690</v>
      </c>
      <c r="B691" t="n">
        <v>2013</v>
      </c>
      <c r="C691" t="inlineStr">
        <is>
          <t>Kate Lalli</t>
        </is>
      </c>
      <c r="D691">
        <f>HYPERLINK("https://ota.tournamentsoftware.com/player-profile/37A0CF8B-C4DF-49F1-946F-E349A3E42015", "Link")</f>
        <v/>
      </c>
      <c r="E691" s="3" t="n">
        <v>26.327</v>
      </c>
      <c r="F691" s="4" t="n">
        <v>3</v>
      </c>
      <c r="G691" t="inlineStr">
        <is>
          <t>Tennis Québec</t>
        </is>
      </c>
      <c r="H691" t="inlineStr">
        <is>
          <t>No Club</t>
        </is>
      </c>
      <c r="I691" t="n">
        <v>37.5</v>
      </c>
      <c r="J691" s="4" t="n">
        <v>15</v>
      </c>
      <c r="K691" t="inlineStr">
        <is>
          <t>4 / 11</t>
        </is>
      </c>
      <c r="L691" t="inlineStr">
        <is>
          <t>1 / 6</t>
        </is>
      </c>
      <c r="M691" s="5" t="n">
        <v>0.27</v>
      </c>
      <c r="N691" s="5" t="n">
        <v>0.14</v>
      </c>
    </row>
    <row r="692">
      <c r="A692" t="n">
        <v>691</v>
      </c>
      <c r="B692" t="n">
        <v>2014</v>
      </c>
      <c r="C692" t="inlineStr">
        <is>
          <t>Mila Khayretdinova</t>
        </is>
      </c>
      <c r="D692">
        <f>HYPERLINK("https://ota.tournamentsoftware.com/player-profile/04DE0A72-CDB6-4637-88E8-378348327654", "Link")</f>
        <v/>
      </c>
      <c r="E692" s="3" t="n">
        <v>26.317</v>
      </c>
      <c r="F692" s="4" t="n">
        <v>5</v>
      </c>
      <c r="G692" t="inlineStr">
        <is>
          <t>Tennis Québec</t>
        </is>
      </c>
      <c r="H692" t="inlineStr">
        <is>
          <t>No Club</t>
        </is>
      </c>
      <c r="I692" t="n">
        <v>39.1</v>
      </c>
      <c r="J692" s="4" t="n">
        <v>42</v>
      </c>
      <c r="K692" t="inlineStr">
        <is>
          <t>3 / 39</t>
        </is>
      </c>
      <c r="L692" t="inlineStr">
        <is>
          <t>3 / 7</t>
        </is>
      </c>
      <c r="M692" s="5" t="n">
        <v>0.07000000000000001</v>
      </c>
      <c r="N692" s="5" t="n">
        <v>0.3</v>
      </c>
    </row>
    <row r="693">
      <c r="A693" t="n">
        <v>692</v>
      </c>
      <c r="B693" t="n">
        <v>2014</v>
      </c>
      <c r="C693" t="inlineStr">
        <is>
          <t>Audrey Lu</t>
        </is>
      </c>
      <c r="D693">
        <f>HYPERLINK("https://ota.tournamentsoftware.com/player-profile/01588371-7322-467B-AA75-DDD8230D1899", "Link")</f>
        <v/>
      </c>
      <c r="E693" s="3" t="n">
        <v>26.154</v>
      </c>
      <c r="F693" s="4" t="n">
        <v>6</v>
      </c>
      <c r="G693" t="inlineStr">
        <is>
          <t>Ontario Tennis Association</t>
        </is>
      </c>
      <c r="H693" t="inlineStr">
        <is>
          <t>Toronto Cricket Skating &amp; Curling</t>
        </is>
      </c>
      <c r="I693" t="inlineStr">
        <is>
          <t>unavailable</t>
        </is>
      </c>
      <c r="J693" s="4" t="n">
        <v>24</v>
      </c>
      <c r="K693" t="inlineStr">
        <is>
          <t>10 / 14</t>
        </is>
      </c>
      <c r="L693" t="inlineStr">
        <is>
          <t>10 / 11</t>
        </is>
      </c>
      <c r="M693" s="5" t="n">
        <v>0.42</v>
      </c>
      <c r="N693" s="5" t="n">
        <v>0.48</v>
      </c>
    </row>
    <row r="694">
      <c r="A694" t="n">
        <v>693</v>
      </c>
      <c r="B694" t="n">
        <v>2012</v>
      </c>
      <c r="C694" t="inlineStr">
        <is>
          <t>Daniella Maria SAUCEDO</t>
        </is>
      </c>
      <c r="D694">
        <f>HYPERLINK("https://ota.tournamentsoftware.com/player-profile/45A852A0-99BB-4449-9FC4-8CAEBA4B404C", "Link")</f>
        <v/>
      </c>
      <c r="E694" s="3" t="n">
        <v>26.136</v>
      </c>
      <c r="F694" s="4" t="n">
        <v>2</v>
      </c>
      <c r="G694" t="inlineStr">
        <is>
          <t>Ontario Tennis Association</t>
        </is>
      </c>
      <c r="H694" t="inlineStr">
        <is>
          <t>City of Oakville</t>
        </is>
      </c>
      <c r="I694" t="inlineStr">
        <is>
          <t>unavailable</t>
        </is>
      </c>
      <c r="J694" s="4" t="n">
        <v>137</v>
      </c>
      <c r="K694" t="inlineStr">
        <is>
          <t>72 / 65</t>
        </is>
      </c>
      <c r="L694" t="inlineStr">
        <is>
          <t>0 / 0</t>
        </is>
      </c>
      <c r="M694" s="5" t="n">
        <v>0.53</v>
      </c>
      <c r="N694" s="5" t="n">
        <v>0</v>
      </c>
    </row>
    <row r="695">
      <c r="A695" t="n">
        <v>693</v>
      </c>
      <c r="B695" t="n">
        <v>2016</v>
      </c>
      <c r="C695" t="inlineStr">
        <is>
          <t>Harper Whitehead</t>
        </is>
      </c>
      <c r="D695">
        <f>HYPERLINK("https://ota.tournamentsoftware.com/player-profile/11F4D113-D7D4-48BC-9EC5-3040B116C96D", "Link")</f>
        <v/>
      </c>
      <c r="E695" s="3" t="n">
        <v>26.136</v>
      </c>
      <c r="F695" s="4" t="n">
        <v>10</v>
      </c>
      <c r="G695" t="inlineStr">
        <is>
          <t>Tennis Nova Scotia</t>
        </is>
      </c>
      <c r="H695" t="inlineStr">
        <is>
          <t>Atlantic Tennis Centre</t>
        </is>
      </c>
      <c r="I695" t="n">
        <v>38</v>
      </c>
      <c r="J695" s="4" t="n">
        <v>84</v>
      </c>
      <c r="K695" t="inlineStr">
        <is>
          <t>37 / 47</t>
        </is>
      </c>
      <c r="L695" t="inlineStr">
        <is>
          <t>12 / 17</t>
        </is>
      </c>
      <c r="M695" s="5" t="n">
        <v>0.44</v>
      </c>
      <c r="N695" s="5" t="n">
        <v>0.41</v>
      </c>
    </row>
    <row r="696">
      <c r="A696" t="n">
        <v>695</v>
      </c>
      <c r="B696" t="n">
        <v>2015</v>
      </c>
      <c r="C696" t="inlineStr">
        <is>
          <t>Isadora Xu</t>
        </is>
      </c>
      <c r="D696">
        <f>HYPERLINK("https://ota.tournamentsoftware.com/player-profile/78173253-32AB-4E0D-8618-AEF874C973EC", "Link")</f>
        <v/>
      </c>
      <c r="E696" s="3" t="n">
        <v>25.746</v>
      </c>
      <c r="F696" s="4" t="n">
        <v>11</v>
      </c>
      <c r="G696" t="inlineStr">
        <is>
          <t>British Columbia</t>
        </is>
      </c>
      <c r="H696" t="inlineStr">
        <is>
          <t>Arbutus Club</t>
        </is>
      </c>
      <c r="I696" t="n">
        <v>39.3</v>
      </c>
      <c r="J696" s="4" t="n">
        <v>46</v>
      </c>
      <c r="K696" t="inlineStr">
        <is>
          <t>19 / 27</t>
        </is>
      </c>
      <c r="L696" t="inlineStr">
        <is>
          <t>15 / 21</t>
        </is>
      </c>
      <c r="M696" s="5" t="n">
        <v>0.41</v>
      </c>
      <c r="N696" s="5" t="n">
        <v>0.42</v>
      </c>
    </row>
    <row r="697">
      <c r="A697" t="n">
        <v>696</v>
      </c>
      <c r="B697" t="n">
        <v>2012</v>
      </c>
      <c r="C697" t="inlineStr">
        <is>
          <t>Harper Van Beveren</t>
        </is>
      </c>
      <c r="D697">
        <f>HYPERLINK("https://ota.tournamentsoftware.com/player-profile/5981FBA6-1FF9-4CF8-8DE2-DDB8BFEA4094", "Link")</f>
        <v/>
      </c>
      <c r="E697" s="3" t="n">
        <v>25.531</v>
      </c>
      <c r="F697" s="4" t="n">
        <v>2</v>
      </c>
      <c r="G697" t="inlineStr">
        <is>
          <t>Ontario Tennis Association</t>
        </is>
      </c>
      <c r="H697" t="inlineStr">
        <is>
          <t>Rosedale Tennis Club (Hamilton)</t>
        </is>
      </c>
      <c r="I697" t="inlineStr">
        <is>
          <t>unavailable</t>
        </is>
      </c>
      <c r="J697" s="4" t="n">
        <v>16</v>
      </c>
      <c r="K697" t="inlineStr">
        <is>
          <t>5 / 11</t>
        </is>
      </c>
      <c r="L697" t="inlineStr">
        <is>
          <t>1 / 1</t>
        </is>
      </c>
      <c r="M697" s="5" t="n">
        <v>0.31</v>
      </c>
      <c r="N697" s="5" t="n">
        <v>0.5</v>
      </c>
    </row>
    <row r="698">
      <c r="A698" t="n">
        <v>697</v>
      </c>
      <c r="B698" t="n">
        <v>2017</v>
      </c>
      <c r="C698" t="inlineStr">
        <is>
          <t>Kaja Gacanin</t>
        </is>
      </c>
      <c r="D698">
        <f>HYPERLINK("https://ota.tournamentsoftware.com/player-profile/51158AF8-F463-4974-AE1F-B1924D114B2F", "Link")</f>
        <v/>
      </c>
      <c r="E698" s="3" t="n">
        <v>24.84</v>
      </c>
      <c r="F698" s="4" t="n">
        <v>3</v>
      </c>
      <c r="G698" t="inlineStr">
        <is>
          <t>Ontario Tennis Association</t>
        </is>
      </c>
      <c r="H698" t="inlineStr">
        <is>
          <t>Zekelman Tennis Centre</t>
        </is>
      </c>
      <c r="I698" t="n">
        <v>38.5</v>
      </c>
      <c r="J698" s="4" t="n">
        <v>9</v>
      </c>
      <c r="K698" t="inlineStr">
        <is>
          <t>3 / 6</t>
        </is>
      </c>
      <c r="L698" t="inlineStr">
        <is>
          <t>3 / 6</t>
        </is>
      </c>
      <c r="M698" s="5" t="n">
        <v>0.33</v>
      </c>
      <c r="N698" s="5" t="n">
        <v>0.33</v>
      </c>
    </row>
    <row r="699">
      <c r="A699" t="n">
        <v>698</v>
      </c>
      <c r="B699" t="n">
        <v>2013</v>
      </c>
      <c r="C699" t="inlineStr">
        <is>
          <t>Aylin Iskenderova</t>
        </is>
      </c>
      <c r="D699">
        <f>HYPERLINK("https://ota.tournamentsoftware.com/player-profile/07B240E6-A596-4F2A-90A6-63993B9F2568", "Link")</f>
        <v/>
      </c>
      <c r="E699" s="3" t="n">
        <v>24.575</v>
      </c>
      <c r="F699" s="4" t="n">
        <v>2</v>
      </c>
      <c r="G699" t="inlineStr">
        <is>
          <t>Ontario Tennis Association</t>
        </is>
      </c>
      <c r="H699" t="inlineStr">
        <is>
          <t>Concord Tennis Academy</t>
        </is>
      </c>
      <c r="I699" t="n">
        <v>40</v>
      </c>
      <c r="J699" s="4" t="n">
        <v>16</v>
      </c>
      <c r="K699" t="inlineStr">
        <is>
          <t>6 / 10</t>
        </is>
      </c>
      <c r="L699" t="inlineStr">
        <is>
          <t>0 / 4</t>
        </is>
      </c>
      <c r="M699" s="5" t="n">
        <v>0.38</v>
      </c>
      <c r="N699" s="5" t="n">
        <v>0</v>
      </c>
    </row>
    <row r="700">
      <c r="A700" t="n">
        <v>699</v>
      </c>
      <c r="B700" t="n">
        <v>2013</v>
      </c>
      <c r="C700" t="inlineStr">
        <is>
          <t>Seher Sharma</t>
        </is>
      </c>
      <c r="D700">
        <f>HYPERLINK("https://ota.tournamentsoftware.com/player-profile/383B0843-9E5F-4A01-8304-C01EA147B7A2", "Link")</f>
        <v/>
      </c>
      <c r="E700" s="3" t="n">
        <v>24.524</v>
      </c>
      <c r="F700" s="4" t="n">
        <v>2</v>
      </c>
      <c r="G700" t="inlineStr">
        <is>
          <t>Ontario Tennis Association</t>
        </is>
      </c>
      <c r="H700" t="inlineStr">
        <is>
          <t>Glendale Tennis Club</t>
        </is>
      </c>
      <c r="I700" t="inlineStr">
        <is>
          <t>unavailable</t>
        </is>
      </c>
      <c r="J700" s="4" t="n">
        <v>17</v>
      </c>
      <c r="K700" t="inlineStr">
        <is>
          <t>4 / 13</t>
        </is>
      </c>
      <c r="L700" t="inlineStr">
        <is>
          <t>0 / 4</t>
        </is>
      </c>
      <c r="M700" s="5" t="n">
        <v>0.24</v>
      </c>
      <c r="N700" s="5" t="n">
        <v>0</v>
      </c>
    </row>
    <row r="701">
      <c r="A701" t="n">
        <v>700</v>
      </c>
      <c r="B701" t="n">
        <v>2013</v>
      </c>
      <c r="C701" t="inlineStr">
        <is>
          <t>Yu Nohara</t>
        </is>
      </c>
      <c r="D701">
        <f>HYPERLINK("https://ota.tournamentsoftware.com/player-profile/4AB57DE3-C832-4B9F-8F8F-AECBF5EE5A81", "Link")</f>
        <v/>
      </c>
      <c r="E701" s="3" t="n">
        <v>24.176</v>
      </c>
      <c r="F701" s="4" t="n">
        <v>3</v>
      </c>
      <c r="G701" t="inlineStr">
        <is>
          <t>British Columbia</t>
        </is>
      </c>
      <c r="H701" t="inlineStr">
        <is>
          <t>Tennis for Life</t>
        </is>
      </c>
      <c r="I701" t="n">
        <v>36.5</v>
      </c>
      <c r="J701" s="4" t="n">
        <v>20</v>
      </c>
      <c r="K701" t="inlineStr">
        <is>
          <t>9 / 11</t>
        </is>
      </c>
      <c r="L701" t="inlineStr">
        <is>
          <t>1 / 3</t>
        </is>
      </c>
      <c r="M701" s="5" t="n">
        <v>0.45</v>
      </c>
      <c r="N701" s="5" t="n">
        <v>0.25</v>
      </c>
    </row>
    <row r="702">
      <c r="A702" t="n">
        <v>701</v>
      </c>
      <c r="B702" t="n">
        <v>2016</v>
      </c>
      <c r="C702" t="inlineStr">
        <is>
          <t>Ama Marie Elvira Kouadio</t>
        </is>
      </c>
      <c r="D702">
        <f>HYPERLINK("https://ota.tournamentsoftware.com/player-profile/25362040-6649-44FF-A97B-DDFA8FFF0B73", "Link")</f>
        <v/>
      </c>
      <c r="E702" s="3" t="n">
        <v>24.103</v>
      </c>
      <c r="F702" s="4" t="n">
        <v>2</v>
      </c>
      <c r="G702" t="inlineStr">
        <is>
          <t>Tennis Québec</t>
        </is>
      </c>
      <c r="H702" t="inlineStr">
        <is>
          <t>Carrefour Multisports</t>
        </is>
      </c>
      <c r="I702" t="n">
        <v>34.4</v>
      </c>
      <c r="J702" s="4" t="n">
        <v>65</v>
      </c>
      <c r="K702" t="inlineStr">
        <is>
          <t>41 / 24</t>
        </is>
      </c>
      <c r="L702" t="inlineStr">
        <is>
          <t>5 / 4</t>
        </is>
      </c>
      <c r="M702" s="5" t="n">
        <v>0.63</v>
      </c>
      <c r="N702" s="5" t="n">
        <v>0.5600000000000001</v>
      </c>
    </row>
    <row r="703">
      <c r="A703" t="n">
        <v>702</v>
      </c>
      <c r="B703" t="n">
        <v>2015</v>
      </c>
      <c r="C703" t="inlineStr">
        <is>
          <t>Tara Sepahsalari</t>
        </is>
      </c>
      <c r="D703">
        <f>HYPERLINK("https://ota.tournamentsoftware.com/player-profile/EB26731B-07C8-4C3E-8214-7DD265D4A843", "Link")</f>
        <v/>
      </c>
      <c r="E703" s="3" t="n">
        <v>23.95</v>
      </c>
      <c r="F703" s="4" t="n">
        <v>6</v>
      </c>
      <c r="G703" t="inlineStr">
        <is>
          <t>Tennis Québec</t>
        </is>
      </c>
      <c r="H703" t="inlineStr">
        <is>
          <t>EB Tennis inc.</t>
        </is>
      </c>
      <c r="I703" t="n">
        <v>40</v>
      </c>
      <c r="J703" s="4" t="n">
        <v>36</v>
      </c>
      <c r="K703" t="inlineStr">
        <is>
          <t>5 / 31</t>
        </is>
      </c>
      <c r="L703" t="inlineStr">
        <is>
          <t>1 / 11</t>
        </is>
      </c>
      <c r="M703" s="5" t="n">
        <v>0.14</v>
      </c>
      <c r="N703" s="5" t="n">
        <v>0.08</v>
      </c>
    </row>
    <row r="704">
      <c r="A704" t="n">
        <v>703</v>
      </c>
      <c r="B704" t="n">
        <v>2014</v>
      </c>
      <c r="C704" t="inlineStr">
        <is>
          <t>Rehmat Kaur Sandhar</t>
        </is>
      </c>
      <c r="D704">
        <f>HYPERLINK("https://ota.tournamentsoftware.com/player-profile/F8357E3D-210F-40E0-BA8A-8FFDBD0DC17E", "Link")</f>
        <v/>
      </c>
      <c r="E704" s="3" t="n">
        <v>23.76</v>
      </c>
      <c r="F704" s="4" t="n">
        <v>3</v>
      </c>
      <c r="G704" t="inlineStr">
        <is>
          <t>Ontario Tennis Association</t>
        </is>
      </c>
      <c r="H704" t="inlineStr">
        <is>
          <t>ON Tennis Toronto No Club</t>
        </is>
      </c>
      <c r="I704" t="n">
        <v>36.7</v>
      </c>
      <c r="J704" s="4" t="n">
        <v>36</v>
      </c>
      <c r="K704" t="inlineStr">
        <is>
          <t>18 / 18</t>
        </is>
      </c>
      <c r="L704" t="inlineStr">
        <is>
          <t>18 / 15</t>
        </is>
      </c>
      <c r="M704" s="5" t="n">
        <v>0.5</v>
      </c>
      <c r="N704" s="5" t="n">
        <v>0.55</v>
      </c>
    </row>
    <row r="705">
      <c r="A705" t="n">
        <v>704</v>
      </c>
      <c r="B705" t="n">
        <v>2014</v>
      </c>
      <c r="C705" t="inlineStr">
        <is>
          <t>Emma Jingya Xi</t>
        </is>
      </c>
      <c r="D705">
        <f>HYPERLINK("https://ota.tournamentsoftware.com/player-profile/540C86FB-2BC4-4357-8C94-AA0A3EEBDC22", "Link")</f>
        <v/>
      </c>
      <c r="E705" s="3" t="n">
        <v>23.597</v>
      </c>
      <c r="F705" s="4" t="n">
        <v>4</v>
      </c>
      <c r="G705" t="inlineStr">
        <is>
          <t>Ontario Tennis Association</t>
        </is>
      </c>
      <c r="H705" t="inlineStr">
        <is>
          <t>ACE Tennis - Burlington</t>
        </is>
      </c>
      <c r="I705" t="inlineStr">
        <is>
          <t>unavailable</t>
        </is>
      </c>
      <c r="J705" s="4" t="n">
        <v>42</v>
      </c>
      <c r="K705" t="inlineStr">
        <is>
          <t>14 / 28</t>
        </is>
      </c>
      <c r="L705" t="inlineStr">
        <is>
          <t>1 / 6</t>
        </is>
      </c>
      <c r="M705" s="5" t="n">
        <v>0.33</v>
      </c>
      <c r="N705" s="5" t="n">
        <v>0.14</v>
      </c>
    </row>
    <row r="706">
      <c r="A706" t="n">
        <v>705</v>
      </c>
      <c r="B706" t="n">
        <v>2012</v>
      </c>
      <c r="C706" t="inlineStr">
        <is>
          <t>Nika Yaghoubi</t>
        </is>
      </c>
      <c r="D706">
        <f>HYPERLINK("https://ota.tournamentsoftware.com/player-profile/D6970753-702D-4123-8798-708EAC6B7E32", "Link")</f>
        <v/>
      </c>
      <c r="E706" s="3" t="n">
        <v>23.448</v>
      </c>
      <c r="F706" s="4" t="n">
        <v>3</v>
      </c>
      <c r="G706" t="inlineStr">
        <is>
          <t>Tennis Alberta</t>
        </is>
      </c>
      <c r="H706" t="inlineStr">
        <is>
          <t>Saville Community Sports Centre</t>
        </is>
      </c>
      <c r="I706" t="n">
        <v>35.2</v>
      </c>
      <c r="J706" s="4" t="n">
        <v>14</v>
      </c>
      <c r="K706" t="inlineStr">
        <is>
          <t>6 / 8</t>
        </is>
      </c>
      <c r="L706" t="inlineStr">
        <is>
          <t>6 / 8</t>
        </is>
      </c>
      <c r="M706" s="5" t="n">
        <v>0.43</v>
      </c>
      <c r="N706" s="5" t="n">
        <v>0.43</v>
      </c>
    </row>
    <row r="707">
      <c r="A707" t="n">
        <v>706</v>
      </c>
      <c r="B707" t="n">
        <v>2015</v>
      </c>
      <c r="C707" t="inlineStr">
        <is>
          <t>Cassia Contreras</t>
        </is>
      </c>
      <c r="D707">
        <f>HYPERLINK("https://ota.tournamentsoftware.com/player-profile/84692E6B-274F-4FC9-9179-D4BC6F34FCEE", "Link")</f>
        <v/>
      </c>
      <c r="E707" s="3" t="n">
        <v>23.208</v>
      </c>
      <c r="F707" s="4" t="n">
        <v>4</v>
      </c>
      <c r="G707" t="inlineStr">
        <is>
          <t>Ontario Tennis Association</t>
        </is>
      </c>
      <c r="H707" t="inlineStr">
        <is>
          <t>Toronto Tennis Academy</t>
        </is>
      </c>
      <c r="I707" t="inlineStr">
        <is>
          <t>unavailable</t>
        </is>
      </c>
      <c r="J707" s="4" t="n">
        <v>50</v>
      </c>
      <c r="K707" t="inlineStr">
        <is>
          <t>18 / 32</t>
        </is>
      </c>
      <c r="L707" t="inlineStr">
        <is>
          <t>5 / 7</t>
        </is>
      </c>
      <c r="M707" s="5" t="n">
        <v>0.36</v>
      </c>
      <c r="N707" s="5" t="n">
        <v>0.42</v>
      </c>
    </row>
    <row r="708">
      <c r="A708" t="n">
        <v>707</v>
      </c>
      <c r="B708" t="n">
        <v>2015</v>
      </c>
      <c r="C708" t="inlineStr">
        <is>
          <t>Margot Couture</t>
        </is>
      </c>
      <c r="D708">
        <f>HYPERLINK("https://ota.tournamentsoftware.com/player-profile/7DE265DB-E3E6-4C4E-90BD-199DB99DCAEB", "Link")</f>
        <v/>
      </c>
      <c r="E708" s="3" t="n">
        <v>23.186</v>
      </c>
      <c r="F708" s="4" t="n">
        <v>5</v>
      </c>
      <c r="G708" t="inlineStr">
        <is>
          <t>Tennis Québec</t>
        </is>
      </c>
      <c r="H708" t="inlineStr">
        <is>
          <t>SANI Sport</t>
        </is>
      </c>
      <c r="I708" t="n">
        <v>38.1</v>
      </c>
      <c r="J708" s="4" t="n">
        <v>27</v>
      </c>
      <c r="K708" t="inlineStr">
        <is>
          <t>7 / 20</t>
        </is>
      </c>
      <c r="L708" t="inlineStr">
        <is>
          <t>2 / 5</t>
        </is>
      </c>
      <c r="M708" s="5" t="n">
        <v>0.26</v>
      </c>
      <c r="N708" s="5" t="n">
        <v>0.29</v>
      </c>
    </row>
    <row r="709">
      <c r="A709" t="n">
        <v>708</v>
      </c>
      <c r="B709" t="n">
        <v>2015</v>
      </c>
      <c r="C709" t="inlineStr">
        <is>
          <t>Eliana Green</t>
        </is>
      </c>
      <c r="D709">
        <f>HYPERLINK("https://ota.tournamentsoftware.com/player-profile/6AF8FC12-BD58-4E7C-B446-1CAAB9ADE85D", "Link")</f>
        <v/>
      </c>
      <c r="E709" s="3" t="n">
        <v>23.112</v>
      </c>
      <c r="F709" s="4" t="n">
        <v>1</v>
      </c>
      <c r="G709" t="inlineStr">
        <is>
          <t>Tennis Saskatchewan</t>
        </is>
      </c>
      <c r="H709" t="inlineStr">
        <is>
          <t>Lakeshore Tennis Club</t>
        </is>
      </c>
      <c r="I709" t="n">
        <v>38.1</v>
      </c>
      <c r="J709" s="4" t="n">
        <v>32</v>
      </c>
      <c r="K709" t="inlineStr">
        <is>
          <t>5 / 27</t>
        </is>
      </c>
      <c r="L709" t="inlineStr">
        <is>
          <t>2 / 4</t>
        </is>
      </c>
      <c r="M709" s="5" t="n">
        <v>0.16</v>
      </c>
      <c r="N709" s="5" t="n">
        <v>0.33</v>
      </c>
    </row>
    <row r="710">
      <c r="A710" t="n">
        <v>709</v>
      </c>
      <c r="B710" t="n">
        <v>2014</v>
      </c>
      <c r="C710" t="inlineStr">
        <is>
          <t>Dina Chakri</t>
        </is>
      </c>
      <c r="D710">
        <f>HYPERLINK("https://ota.tournamentsoftware.com/player-profile/8824FD85-93E3-4F7D-8968-FC836D77769D", "Link")</f>
        <v/>
      </c>
      <c r="E710" s="3" t="n">
        <v>22.953</v>
      </c>
      <c r="F710" s="4" t="n">
        <v>7</v>
      </c>
      <c r="G710" t="inlineStr">
        <is>
          <t>Tennis Québec</t>
        </is>
      </c>
      <c r="H710" t="inlineStr">
        <is>
          <t>Tennis 13</t>
        </is>
      </c>
      <c r="I710" t="n">
        <v>38.9</v>
      </c>
      <c r="J710" s="4" t="n">
        <v>10</v>
      </c>
      <c r="K710" t="inlineStr">
        <is>
          <t>2 / 8</t>
        </is>
      </c>
      <c r="L710" t="inlineStr">
        <is>
          <t>2 / 8</t>
        </is>
      </c>
      <c r="M710" s="5" t="n">
        <v>0.2</v>
      </c>
      <c r="N710" s="5" t="n">
        <v>0.2</v>
      </c>
    </row>
    <row r="711">
      <c r="A711" t="n">
        <v>710</v>
      </c>
      <c r="B711" t="n">
        <v>2015</v>
      </c>
      <c r="C711" t="inlineStr">
        <is>
          <t>Laila Hilmi</t>
        </is>
      </c>
      <c r="D711">
        <f>HYPERLINK("https://ota.tournamentsoftware.com/player-profile/73A707F1-78B1-45FE-A608-D2E6AA82EA8F", "Link")</f>
        <v/>
      </c>
      <c r="E711" s="3" t="n">
        <v>22.595</v>
      </c>
      <c r="F711" s="4" t="n">
        <v>3</v>
      </c>
      <c r="G711" t="inlineStr">
        <is>
          <t>Tennis Québec</t>
        </is>
      </c>
      <c r="H711" t="inlineStr">
        <is>
          <t>Tennis Montréal Excellence</t>
        </is>
      </c>
      <c r="I711" t="inlineStr">
        <is>
          <t>unavailable</t>
        </is>
      </c>
      <c r="J711" s="4" t="n">
        <v>46</v>
      </c>
      <c r="K711" t="inlineStr">
        <is>
          <t>13 / 33</t>
        </is>
      </c>
      <c r="L711" t="inlineStr">
        <is>
          <t>4 / 3</t>
        </is>
      </c>
      <c r="M711" s="5" t="n">
        <v>0.28</v>
      </c>
      <c r="N711" s="5" t="n">
        <v>0.57</v>
      </c>
    </row>
    <row r="712">
      <c r="A712" t="n">
        <v>711</v>
      </c>
      <c r="B712" t="n">
        <v>2012</v>
      </c>
      <c r="C712" t="inlineStr">
        <is>
          <t>Angel Wen</t>
        </is>
      </c>
      <c r="D712">
        <f>HYPERLINK("https://ota.tournamentsoftware.com/player-profile/2BF37F0F-B2BA-4533-859D-5AFB82154AAC", "Link")</f>
        <v/>
      </c>
      <c r="E712" s="3" t="n">
        <v>22.248</v>
      </c>
      <c r="F712" s="4" t="n">
        <v>2</v>
      </c>
      <c r="G712" t="inlineStr">
        <is>
          <t>Tennis Nova Scotia</t>
        </is>
      </c>
      <c r="H712" t="inlineStr">
        <is>
          <t>Atlantic Tennis Centre</t>
        </is>
      </c>
      <c r="I712" t="n">
        <v>37.2</v>
      </c>
      <c r="J712" s="4" t="n">
        <v>4</v>
      </c>
      <c r="K712" t="inlineStr">
        <is>
          <t>0 / 4</t>
        </is>
      </c>
      <c r="L712" t="inlineStr">
        <is>
          <t>0 / 2</t>
        </is>
      </c>
      <c r="M712" s="5" t="n">
        <v>0</v>
      </c>
      <c r="N712" s="5" t="n">
        <v>0</v>
      </c>
    </row>
    <row r="713">
      <c r="A713" t="n">
        <v>712</v>
      </c>
      <c r="B713" t="n">
        <v>2014</v>
      </c>
      <c r="C713" t="inlineStr">
        <is>
          <t>Jasmine El Ouadi</t>
        </is>
      </c>
      <c r="D713">
        <f>HYPERLINK("https://ota.tournamentsoftware.com/player-profile/FBECFAB6-3ABF-4F1B-AD1C-230CB79A1119", "Link")</f>
        <v/>
      </c>
      <c r="E713" s="3" t="n">
        <v>21.997</v>
      </c>
      <c r="F713" s="4" t="n">
        <v>5</v>
      </c>
      <c r="G713" t="inlineStr">
        <is>
          <t>Tennis Alberta</t>
        </is>
      </c>
      <c r="H713" t="inlineStr">
        <is>
          <t>Calgary - Public</t>
        </is>
      </c>
      <c r="I713" t="n">
        <v>40</v>
      </c>
      <c r="J713" s="4" t="n">
        <v>11</v>
      </c>
      <c r="K713" t="inlineStr">
        <is>
          <t>0 / 11</t>
        </is>
      </c>
      <c r="L713" t="inlineStr">
        <is>
          <t>0 / 3</t>
        </is>
      </c>
      <c r="M713" s="5" t="n">
        <v>0</v>
      </c>
      <c r="N713" s="5" t="n">
        <v>0</v>
      </c>
    </row>
    <row r="714">
      <c r="A714" t="n">
        <v>713</v>
      </c>
      <c r="B714" t="n">
        <v>2015</v>
      </c>
      <c r="C714" t="inlineStr">
        <is>
          <t>Nalla Isabella Lteif</t>
        </is>
      </c>
      <c r="D714">
        <f>HYPERLINK("https://ota.tournamentsoftware.com/player-profile/B0DC1A2D-B87B-4E66-A5EE-9C9F6EC668D4", "Link")</f>
        <v/>
      </c>
      <c r="E714" s="3" t="n">
        <v>21.849</v>
      </c>
      <c r="F714" s="4" t="n">
        <v>4</v>
      </c>
      <c r="G714" t="inlineStr">
        <is>
          <t>Tennis Québec</t>
        </is>
      </c>
      <c r="H714" t="inlineStr">
        <is>
          <t>Carrefour Multisports</t>
        </is>
      </c>
      <c r="I714" t="n">
        <v>37.9</v>
      </c>
      <c r="J714" s="4" t="n">
        <v>12</v>
      </c>
      <c r="K714" t="inlineStr">
        <is>
          <t>5 / 7</t>
        </is>
      </c>
      <c r="L714" t="inlineStr">
        <is>
          <t>3 / 4</t>
        </is>
      </c>
      <c r="M714" s="5" t="n">
        <v>0.42</v>
      </c>
      <c r="N714" s="5" t="n">
        <v>0.43</v>
      </c>
    </row>
    <row r="715">
      <c r="A715" t="n">
        <v>714</v>
      </c>
      <c r="B715" t="n">
        <v>2014</v>
      </c>
      <c r="C715" t="inlineStr">
        <is>
          <t>Cheryl Elizabeth Ong</t>
        </is>
      </c>
      <c r="D715">
        <f>HYPERLINK("https://ota.tournamentsoftware.com/player-profile/11AC4E6A-0B03-4BB4-ACB7-333E7FD9064F", "Link")</f>
        <v/>
      </c>
      <c r="E715" s="3" t="n">
        <v>21.848</v>
      </c>
      <c r="F715" s="4" t="n">
        <v>10</v>
      </c>
      <c r="G715" t="inlineStr">
        <is>
          <t>British Columbia</t>
        </is>
      </c>
      <c r="H715" t="inlineStr">
        <is>
          <t>Tennis for Life</t>
        </is>
      </c>
      <c r="I715" t="inlineStr">
        <is>
          <t>unavailable</t>
        </is>
      </c>
      <c r="J715" s="4" t="n">
        <v>44</v>
      </c>
      <c r="K715" t="inlineStr">
        <is>
          <t>14 / 30</t>
        </is>
      </c>
      <c r="L715" t="inlineStr">
        <is>
          <t>10 / 14</t>
        </is>
      </c>
      <c r="M715" s="5" t="n">
        <v>0.32</v>
      </c>
      <c r="N715" s="5" t="n">
        <v>0.42</v>
      </c>
    </row>
    <row r="716">
      <c r="A716" t="n">
        <v>715</v>
      </c>
      <c r="B716" t="n">
        <v>2016</v>
      </c>
      <c r="C716" t="inlineStr">
        <is>
          <t>Samantha Bronwyn Daniell</t>
        </is>
      </c>
      <c r="D716">
        <f>HYPERLINK("https://ota.tournamentsoftware.com/player-profile/7D796AB4-F8DD-43AD-8451-41C0A3E3949A", "Link")</f>
        <v/>
      </c>
      <c r="E716" s="3" t="n">
        <v>21.771</v>
      </c>
      <c r="F716" s="4" t="n">
        <v>10</v>
      </c>
      <c r="G716" t="inlineStr">
        <is>
          <t>British Columbia</t>
        </is>
      </c>
      <c r="H716" t="inlineStr">
        <is>
          <t>The Tennis Centre</t>
        </is>
      </c>
      <c r="I716" t="n">
        <v>37.4</v>
      </c>
      <c r="J716" s="4" t="n">
        <v>130</v>
      </c>
      <c r="K716" t="inlineStr">
        <is>
          <t>64 / 66</t>
        </is>
      </c>
      <c r="L716" t="inlineStr">
        <is>
          <t>32 / 28</t>
        </is>
      </c>
      <c r="M716" s="5" t="n">
        <v>0.49</v>
      </c>
      <c r="N716" s="5" t="n">
        <v>0.53</v>
      </c>
    </row>
    <row r="717">
      <c r="A717" t="n">
        <v>716</v>
      </c>
      <c r="B717" t="n">
        <v>2016</v>
      </c>
      <c r="C717" t="inlineStr">
        <is>
          <t>Brielle Han</t>
        </is>
      </c>
      <c r="D717">
        <f>HYPERLINK("https://ota.tournamentsoftware.com/player-profile/76F58D78-6F14-462B-9C79-943F718FD16A", "Link")</f>
        <v/>
      </c>
      <c r="E717" s="3" t="n">
        <v>21.501</v>
      </c>
      <c r="F717" s="4" t="n">
        <v>9</v>
      </c>
      <c r="G717" t="inlineStr">
        <is>
          <t>British Columbia</t>
        </is>
      </c>
      <c r="H717" t="inlineStr">
        <is>
          <t>North Vancouver Tennis Centre</t>
        </is>
      </c>
      <c r="I717" t="inlineStr">
        <is>
          <t>unavailable</t>
        </is>
      </c>
      <c r="J717" s="4" t="n">
        <v>200</v>
      </c>
      <c r="K717" t="inlineStr">
        <is>
          <t>69 / 131</t>
        </is>
      </c>
      <c r="L717" t="inlineStr">
        <is>
          <t>21 / 19</t>
        </is>
      </c>
      <c r="M717" s="5" t="n">
        <v>0.34</v>
      </c>
      <c r="N717" s="5" t="n">
        <v>0.53</v>
      </c>
    </row>
    <row r="718">
      <c r="A718" t="n">
        <v>717</v>
      </c>
      <c r="B718" t="n">
        <v>2015</v>
      </c>
      <c r="C718" t="inlineStr">
        <is>
          <t>Élisa Deschatelets</t>
        </is>
      </c>
      <c r="D718">
        <f>HYPERLINK("https://ota.tournamentsoftware.com/player-profile/C5ECD0AF-5510-44E4-897A-6A3A4D73CDEF", "Link")</f>
        <v/>
      </c>
      <c r="E718" s="3" t="n">
        <v>21.501</v>
      </c>
      <c r="F718" s="4" t="n">
        <v>4</v>
      </c>
      <c r="G718" t="inlineStr">
        <is>
          <t>Tennis Québec</t>
        </is>
      </c>
      <c r="H718" t="inlineStr">
        <is>
          <t>Centre Récréatif Rock Forest / École Tennestrie</t>
        </is>
      </c>
      <c r="I718" t="n">
        <v>40</v>
      </c>
      <c r="J718" s="4" t="n">
        <v>25</v>
      </c>
      <c r="K718" t="inlineStr">
        <is>
          <t>4 / 21</t>
        </is>
      </c>
      <c r="L718" t="inlineStr">
        <is>
          <t>0 / 7</t>
        </is>
      </c>
      <c r="M718" s="5" t="n">
        <v>0.16</v>
      </c>
      <c r="N718" s="5" t="n">
        <v>0</v>
      </c>
    </row>
    <row r="719">
      <c r="A719" t="n">
        <v>718</v>
      </c>
      <c r="B719" t="n">
        <v>2014</v>
      </c>
      <c r="C719" t="inlineStr">
        <is>
          <t>Yuxin Bella Cao</t>
        </is>
      </c>
      <c r="D719">
        <f>HYPERLINK("https://ota.tournamentsoftware.com/player-profile/ECABBEB5-67C3-48F1-8CC6-A7628D8721E8", "Link")</f>
        <v/>
      </c>
      <c r="E719" s="3" t="n">
        <v>21.487</v>
      </c>
      <c r="F719" s="4" t="n">
        <v>4</v>
      </c>
      <c r="G719" t="inlineStr">
        <is>
          <t>Ontario Tennis Association</t>
        </is>
      </c>
      <c r="H719" t="inlineStr">
        <is>
          <t>ACE Tennis - Burlington</t>
        </is>
      </c>
      <c r="I719" t="n">
        <v>38.8</v>
      </c>
      <c r="J719" s="4" t="n">
        <v>41</v>
      </c>
      <c r="K719" t="inlineStr">
        <is>
          <t>12 / 29</t>
        </is>
      </c>
      <c r="L719" t="inlineStr">
        <is>
          <t>2 / 3</t>
        </is>
      </c>
      <c r="M719" s="5" t="n">
        <v>0.29</v>
      </c>
      <c r="N719" s="5" t="n">
        <v>0.4</v>
      </c>
    </row>
    <row r="720">
      <c r="A720" t="n">
        <v>719</v>
      </c>
      <c r="B720" t="n">
        <v>2016</v>
      </c>
      <c r="C720" t="inlineStr">
        <is>
          <t>Elena Vukovic</t>
        </is>
      </c>
      <c r="D720">
        <f>HYPERLINK("https://ota.tournamentsoftware.com/player-profile/80B75DE2-D271-4234-BD86-FA7911D1C524", "Link")</f>
        <v/>
      </c>
      <c r="E720" s="3" t="n">
        <v>21.357</v>
      </c>
      <c r="F720" s="4" t="n">
        <v>3</v>
      </c>
      <c r="G720" t="inlineStr">
        <is>
          <t>Ontario Tennis Association</t>
        </is>
      </c>
      <c r="H720" t="inlineStr">
        <is>
          <t>Mayfair West Fitness &amp; Racquet Club</t>
        </is>
      </c>
      <c r="I720" t="n">
        <v>37.9</v>
      </c>
      <c r="J720" s="4" t="n">
        <v>63</v>
      </c>
      <c r="K720" t="inlineStr">
        <is>
          <t>22 / 41</t>
        </is>
      </c>
      <c r="L720" t="inlineStr">
        <is>
          <t>14 / 23</t>
        </is>
      </c>
      <c r="M720" s="5" t="n">
        <v>0.35</v>
      </c>
      <c r="N720" s="5" t="n">
        <v>0.38</v>
      </c>
    </row>
    <row r="721">
      <c r="A721" t="n">
        <v>720</v>
      </c>
      <c r="B721" t="n">
        <v>2017</v>
      </c>
      <c r="C721" t="inlineStr">
        <is>
          <t>Safiatou Ntentie Nchange</t>
        </is>
      </c>
      <c r="D721">
        <f>HYPERLINK("https://ota.tournamentsoftware.com/player-profile/5B1E15AE-3503-449A-B482-B98077F40A43", "Link")</f>
        <v/>
      </c>
      <c r="E721" s="3" t="n">
        <v>20.962</v>
      </c>
      <c r="F721" s="4" t="n">
        <v>9</v>
      </c>
      <c r="G721" t="inlineStr">
        <is>
          <t>Tennis Alberta</t>
        </is>
      </c>
      <c r="H721" t="inlineStr">
        <is>
          <t>No Club</t>
        </is>
      </c>
      <c r="I721" t="n">
        <v>35.2</v>
      </c>
      <c r="J721" s="4" t="n">
        <v>46</v>
      </c>
      <c r="K721" t="inlineStr">
        <is>
          <t>32 / 14</t>
        </is>
      </c>
      <c r="L721" t="inlineStr">
        <is>
          <t>28 / 13</t>
        </is>
      </c>
      <c r="M721" s="5" t="n">
        <v>0.7</v>
      </c>
      <c r="N721" s="5" t="n">
        <v>0.68</v>
      </c>
    </row>
    <row r="722">
      <c r="A722" t="n">
        <v>721</v>
      </c>
      <c r="B722" t="n">
        <v>2015</v>
      </c>
      <c r="C722" t="inlineStr">
        <is>
          <t>Autumn VandeCoevering</t>
        </is>
      </c>
      <c r="D722">
        <f>HYPERLINK("https://ota.tournamentsoftware.com/player-profile/1CD9DDAD-A036-4365-A97E-F88D56D4B94B", "Link")</f>
        <v/>
      </c>
      <c r="E722" s="3" t="n">
        <v>20.946</v>
      </c>
      <c r="F722" s="4" t="n">
        <v>3</v>
      </c>
      <c r="G722" t="inlineStr">
        <is>
          <t>Ontario Tennis Association</t>
        </is>
      </c>
      <c r="H722" t="inlineStr">
        <is>
          <t>Greenhills Golf Club</t>
        </is>
      </c>
      <c r="I722" t="inlineStr">
        <is>
          <t>unavailable</t>
        </is>
      </c>
      <c r="J722" s="4" t="n">
        <v>8</v>
      </c>
      <c r="K722" t="inlineStr">
        <is>
          <t>3 / 5</t>
        </is>
      </c>
      <c r="L722" t="inlineStr">
        <is>
          <t>3 / 5</t>
        </is>
      </c>
      <c r="M722" s="5" t="n">
        <v>0.38</v>
      </c>
      <c r="N722" s="5" t="n">
        <v>0.38</v>
      </c>
    </row>
    <row r="723">
      <c r="A723" t="n">
        <v>722</v>
      </c>
      <c r="B723" t="n">
        <v>2014</v>
      </c>
      <c r="C723" t="inlineStr">
        <is>
          <t>Marie Renaud</t>
        </is>
      </c>
      <c r="D723">
        <f>HYPERLINK("https://ota.tournamentsoftware.com/player-profile/9538BC58-3E12-400B-B7A6-AA4E495D60F5", "Link")</f>
        <v/>
      </c>
      <c r="E723" s="3" t="n">
        <v>20.916</v>
      </c>
      <c r="F723" s="4" t="n">
        <v>2</v>
      </c>
      <c r="G723" t="inlineStr">
        <is>
          <t>Tennis Québec</t>
        </is>
      </c>
      <c r="H723" t="inlineStr">
        <is>
          <t>Les Tennis de Rimouski (intérieur)</t>
        </is>
      </c>
      <c r="I723" t="inlineStr">
        <is>
          <t>unavailable</t>
        </is>
      </c>
      <c r="J723" s="4" t="n">
        <v>6</v>
      </c>
      <c r="K723" t="inlineStr">
        <is>
          <t>2 / 4</t>
        </is>
      </c>
      <c r="L723" t="inlineStr">
        <is>
          <t>2 / 4</t>
        </is>
      </c>
      <c r="M723" s="5" t="n">
        <v>0.33</v>
      </c>
      <c r="N723" s="5" t="n">
        <v>0.33</v>
      </c>
    </row>
    <row r="724">
      <c r="A724" t="n">
        <v>723</v>
      </c>
      <c r="B724" t="n">
        <v>2013</v>
      </c>
      <c r="C724" t="inlineStr">
        <is>
          <t>Vedika P Sant</t>
        </is>
      </c>
      <c r="D724">
        <f>HYPERLINK("https://ota.tournamentsoftware.com/player-profile/37441797-5F95-4518-997F-3F1602AC6E85", "Link")</f>
        <v/>
      </c>
      <c r="E724" s="3" t="n">
        <v>20.667</v>
      </c>
      <c r="F724" s="4" t="n">
        <v>1</v>
      </c>
      <c r="G724" t="inlineStr">
        <is>
          <t>Ontario Tennis Association</t>
        </is>
      </c>
      <c r="H724" t="inlineStr">
        <is>
          <t>Martingrove Tennis Club</t>
        </is>
      </c>
      <c r="I724" t="inlineStr">
        <is>
          <t>unavailable</t>
        </is>
      </c>
      <c r="J724" s="4" t="n">
        <v>8</v>
      </c>
      <c r="K724" t="inlineStr">
        <is>
          <t>2 / 6</t>
        </is>
      </c>
      <c r="L724" t="inlineStr">
        <is>
          <t>0 / 1</t>
        </is>
      </c>
      <c r="M724" s="5" t="n">
        <v>0.25</v>
      </c>
      <c r="N724" s="5" t="n">
        <v>0</v>
      </c>
    </row>
    <row r="725">
      <c r="A725" t="n">
        <v>724</v>
      </c>
      <c r="B725" t="n">
        <v>2013</v>
      </c>
      <c r="C725" t="inlineStr">
        <is>
          <t>Aura Hayer</t>
        </is>
      </c>
      <c r="D725">
        <f>HYPERLINK("https://ota.tournamentsoftware.com/player-profile/969F22DA-6980-4E13-BAE2-6BD2D0C08F88", "Link")</f>
        <v/>
      </c>
      <c r="E725" s="3" t="n">
        <v>20.562</v>
      </c>
      <c r="F725" s="4" t="n">
        <v>3</v>
      </c>
      <c r="G725" t="inlineStr">
        <is>
          <t>British Columbia</t>
        </is>
      </c>
      <c r="H725" t="inlineStr">
        <is>
          <t>Sunshine Hills Tennis Club</t>
        </is>
      </c>
      <c r="I725" t="n">
        <v>38.3</v>
      </c>
      <c r="J725" s="4" t="n">
        <v>105</v>
      </c>
      <c r="K725" t="inlineStr">
        <is>
          <t>32 / 73</t>
        </is>
      </c>
      <c r="L725" t="inlineStr">
        <is>
          <t>2 / 7</t>
        </is>
      </c>
      <c r="M725" s="5" t="n">
        <v>0.3</v>
      </c>
      <c r="N725" s="5" t="n">
        <v>0.22</v>
      </c>
    </row>
    <row r="726">
      <c r="A726" t="n">
        <v>725</v>
      </c>
      <c r="B726" t="n">
        <v>2016</v>
      </c>
      <c r="C726" t="inlineStr">
        <is>
          <t>Hazel Geng</t>
        </is>
      </c>
      <c r="D726">
        <f>HYPERLINK("https://ota.tournamentsoftware.com/player-profile/00BB4A74-B4FB-4FAC-B874-79D9E778FAAE", "Link")</f>
        <v/>
      </c>
      <c r="E726" s="3" t="n">
        <v>20.417</v>
      </c>
      <c r="F726" s="4" t="n">
        <v>4</v>
      </c>
      <c r="G726" t="inlineStr">
        <is>
          <t>British Columbia</t>
        </is>
      </c>
      <c r="H726" t="inlineStr">
        <is>
          <t>Vancouver Lawn Tennis and Badminton Club</t>
        </is>
      </c>
      <c r="I726" t="n">
        <v>36.1</v>
      </c>
      <c r="J726" s="4" t="n">
        <v>48</v>
      </c>
      <c r="K726" t="inlineStr">
        <is>
          <t>15 / 33</t>
        </is>
      </c>
      <c r="L726" t="inlineStr">
        <is>
          <t>8 / 5</t>
        </is>
      </c>
      <c r="M726" s="5" t="n">
        <v>0.31</v>
      </c>
      <c r="N726" s="5" t="n">
        <v>0.62</v>
      </c>
    </row>
    <row r="727">
      <c r="A727" t="n">
        <v>726</v>
      </c>
      <c r="B727" t="n">
        <v>2013</v>
      </c>
      <c r="C727" t="inlineStr">
        <is>
          <t>Rebecca Maria Marcu</t>
        </is>
      </c>
      <c r="D727">
        <f>HYPERLINK("https://ota.tournamentsoftware.com/player-profile/1A9DB997-6193-4975-8534-F68D4F83BF32", "Link")</f>
        <v/>
      </c>
      <c r="E727" s="3" t="n">
        <v>20.131</v>
      </c>
      <c r="F727" s="4" t="n">
        <v>2</v>
      </c>
      <c r="G727" t="inlineStr">
        <is>
          <t>Ontario Tennis Association</t>
        </is>
      </c>
      <c r="H727" t="inlineStr">
        <is>
          <t>National Capital Tennis Association</t>
        </is>
      </c>
      <c r="I727" t="inlineStr">
        <is>
          <t>unavailable</t>
        </is>
      </c>
      <c r="J727" s="4" t="n">
        <v>4</v>
      </c>
      <c r="K727" t="inlineStr">
        <is>
          <t>1 / 3</t>
        </is>
      </c>
      <c r="L727" t="inlineStr">
        <is>
          <t>0 / 2</t>
        </is>
      </c>
      <c r="M727" s="5" t="n">
        <v>0.25</v>
      </c>
      <c r="N727" s="5" t="n">
        <v>0</v>
      </c>
    </row>
    <row r="728">
      <c r="A728" t="n">
        <v>727</v>
      </c>
      <c r="B728" t="n">
        <v>2015</v>
      </c>
      <c r="C728" t="inlineStr">
        <is>
          <t>Isla Cowper</t>
        </is>
      </c>
      <c r="D728">
        <f>HYPERLINK("https://ota.tournamentsoftware.com/player-profile/B4F82BC2-5552-446F-89FC-C5F7C7A674B7", "Link")</f>
        <v/>
      </c>
      <c r="E728" s="3" t="n">
        <v>20.032</v>
      </c>
      <c r="F728" s="4" t="n">
        <v>7</v>
      </c>
      <c r="G728" t="inlineStr">
        <is>
          <t>Ontario Tennis Association</t>
        </is>
      </c>
      <c r="H728" t="inlineStr">
        <is>
          <t>Tam Heather Tennis Club</t>
        </is>
      </c>
      <c r="I728" t="n">
        <v>38.9</v>
      </c>
      <c r="J728" s="4" t="n">
        <v>76</v>
      </c>
      <c r="K728" t="inlineStr">
        <is>
          <t>35 / 41</t>
        </is>
      </c>
      <c r="L728" t="inlineStr">
        <is>
          <t>15 / 17</t>
        </is>
      </c>
      <c r="M728" s="5" t="n">
        <v>0.46</v>
      </c>
      <c r="N728" s="5" t="n">
        <v>0.47</v>
      </c>
    </row>
    <row r="729">
      <c r="A729" t="n">
        <v>728</v>
      </c>
      <c r="B729" t="n">
        <v>2012</v>
      </c>
      <c r="C729" t="inlineStr">
        <is>
          <t>Emily Chai</t>
        </is>
      </c>
      <c r="D729">
        <f>HYPERLINK("https://ota.tournamentsoftware.com/player-profile/0DE38792-F237-4087-A5C1-369B6A3E0088", "Link")</f>
        <v/>
      </c>
      <c r="E729" s="3" t="n">
        <v>19.958</v>
      </c>
      <c r="F729" s="4" t="n">
        <v>2</v>
      </c>
      <c r="G729" t="inlineStr">
        <is>
          <t>Ontario Tennis Association</t>
        </is>
      </c>
      <c r="H729" t="inlineStr">
        <is>
          <t>ON Tennis Toronto No Club</t>
        </is>
      </c>
      <c r="I729" t="n">
        <v>38.4</v>
      </c>
      <c r="J729" s="4" t="n">
        <v>7</v>
      </c>
      <c r="K729" t="inlineStr">
        <is>
          <t>1 / 6</t>
        </is>
      </c>
      <c r="L729" t="inlineStr">
        <is>
          <t>1 / 6</t>
        </is>
      </c>
      <c r="M729" s="5" t="n">
        <v>0.14</v>
      </c>
      <c r="N729" s="5" t="n">
        <v>0.14</v>
      </c>
    </row>
    <row r="730">
      <c r="A730" t="n">
        <v>729</v>
      </c>
      <c r="B730" t="n">
        <v>2014</v>
      </c>
      <c r="C730" t="inlineStr">
        <is>
          <t>Saisha Sharma</t>
        </is>
      </c>
      <c r="D730">
        <f>HYPERLINK("https://ota.tournamentsoftware.com/player-profile/4141EEE9-8372-4477-B6C4-DE0E9616249B", "Link")</f>
        <v/>
      </c>
      <c r="E730" s="3" t="n">
        <v>19.895</v>
      </c>
      <c r="F730" s="4" t="n">
        <v>6</v>
      </c>
      <c r="G730" t="inlineStr">
        <is>
          <t>Ontario Tennis Association</t>
        </is>
      </c>
      <c r="H730" t="inlineStr">
        <is>
          <t>Premier Racquet Clubs – Brampton</t>
        </is>
      </c>
      <c r="I730" t="n">
        <v>38.9</v>
      </c>
      <c r="J730" s="4" t="n">
        <v>20</v>
      </c>
      <c r="K730" t="inlineStr">
        <is>
          <t>11 / 9</t>
        </is>
      </c>
      <c r="L730" t="inlineStr">
        <is>
          <t>11 / 9</t>
        </is>
      </c>
      <c r="M730" s="5" t="n">
        <v>0.55</v>
      </c>
      <c r="N730" s="5" t="n">
        <v>0.55</v>
      </c>
    </row>
    <row r="731">
      <c r="A731" t="n">
        <v>730</v>
      </c>
      <c r="B731" t="n">
        <v>2012</v>
      </c>
      <c r="C731" t="inlineStr">
        <is>
          <t>Yulli Anne Tsang</t>
        </is>
      </c>
      <c r="D731">
        <f>HYPERLINK("https://ota.tournamentsoftware.com/player-profile/E8CCFA74-9017-45A2-B403-724A9977CD1E", "Link")</f>
        <v/>
      </c>
      <c r="E731" s="3" t="n">
        <v>19.768</v>
      </c>
      <c r="F731" s="4" t="n">
        <v>5</v>
      </c>
      <c r="G731" t="inlineStr">
        <is>
          <t>Tennis Alberta</t>
        </is>
      </c>
      <c r="H731" t="inlineStr">
        <is>
          <t>Derrick Golf &amp; Winter Club</t>
        </is>
      </c>
      <c r="I731" t="n">
        <v>35.9</v>
      </c>
      <c r="J731" s="4" t="n">
        <v>28</v>
      </c>
      <c r="K731" t="inlineStr">
        <is>
          <t>9 / 19</t>
        </is>
      </c>
      <c r="L731" t="inlineStr">
        <is>
          <t>4 / 8</t>
        </is>
      </c>
      <c r="M731" s="5" t="n">
        <v>0.32</v>
      </c>
      <c r="N731" s="5" t="n">
        <v>0.33</v>
      </c>
    </row>
    <row r="732">
      <c r="A732" t="n">
        <v>731</v>
      </c>
      <c r="B732" t="n">
        <v>2014</v>
      </c>
      <c r="C732" t="inlineStr">
        <is>
          <t>Mia Baker</t>
        </is>
      </c>
      <c r="D732">
        <f>HYPERLINK("https://ota.tournamentsoftware.com/player-profile/ABFF2DBE-5CD7-451A-B77E-526F2DB67DA2", "Link")</f>
        <v/>
      </c>
      <c r="E732" s="3" t="n">
        <v>19.695</v>
      </c>
      <c r="F732" s="4" t="n">
        <v>9</v>
      </c>
      <c r="G732" t="inlineStr">
        <is>
          <t>Tennis Québec</t>
        </is>
      </c>
      <c r="H732" t="inlineStr">
        <is>
          <t>SANI Sport</t>
        </is>
      </c>
      <c r="I732" t="n">
        <v>39.6</v>
      </c>
      <c r="J732" s="4" t="n">
        <v>62</v>
      </c>
      <c r="K732" t="inlineStr">
        <is>
          <t>3 / 59</t>
        </is>
      </c>
      <c r="L732" t="inlineStr">
        <is>
          <t>1 / 14</t>
        </is>
      </c>
      <c r="M732" s="5" t="n">
        <v>0.05</v>
      </c>
      <c r="N732" s="5" t="n">
        <v>0.07000000000000001</v>
      </c>
    </row>
    <row r="733">
      <c r="A733" t="n">
        <v>732</v>
      </c>
      <c r="B733" t="n">
        <v>2016</v>
      </c>
      <c r="C733" t="inlineStr">
        <is>
          <t>Heidi Liu</t>
        </is>
      </c>
      <c r="D733">
        <f>HYPERLINK("https://ota.tournamentsoftware.com/player-profile/E3F0466B-50E4-4105-A35A-1BB6B1C1C09C", "Link")</f>
        <v/>
      </c>
      <c r="E733" s="3" t="n">
        <v>19.65</v>
      </c>
      <c r="F733" s="4" t="n">
        <v>7</v>
      </c>
      <c r="G733" t="inlineStr">
        <is>
          <t>British Columbia</t>
        </is>
      </c>
      <c r="H733" t="inlineStr">
        <is>
          <t>UBC Tennis Centre</t>
        </is>
      </c>
      <c r="I733" t="n">
        <v>37.9</v>
      </c>
      <c r="J733" s="4" t="n">
        <v>79</v>
      </c>
      <c r="K733" t="inlineStr">
        <is>
          <t>45 / 34</t>
        </is>
      </c>
      <c r="L733" t="inlineStr">
        <is>
          <t>22 / 21</t>
        </is>
      </c>
      <c r="M733" s="5" t="n">
        <v>0.57</v>
      </c>
      <c r="N733" s="5" t="n">
        <v>0.51</v>
      </c>
    </row>
    <row r="734">
      <c r="A734" t="n">
        <v>733</v>
      </c>
      <c r="B734" t="n">
        <v>2017</v>
      </c>
      <c r="C734" t="inlineStr">
        <is>
          <t>Mackenzie Alexandra Greer</t>
        </is>
      </c>
      <c r="D734">
        <f>HYPERLINK("https://ota.tournamentsoftware.com/player-profile/E975EEBE-CD33-46CE-BFFF-1BB5A6FB8672", "Link")</f>
        <v/>
      </c>
      <c r="E734" s="3" t="n">
        <v>19.44</v>
      </c>
      <c r="F734" s="4" t="n">
        <v>3</v>
      </c>
      <c r="G734" t="inlineStr">
        <is>
          <t>Ontario Tennis Association</t>
        </is>
      </c>
      <c r="H734" t="inlineStr">
        <is>
          <t>Stefanovic Tennis Academy</t>
        </is>
      </c>
      <c r="I734" t="n">
        <v>37.2</v>
      </c>
      <c r="J734" s="4" t="n">
        <v>168</v>
      </c>
      <c r="K734" t="inlineStr">
        <is>
          <t>138 / 30</t>
        </is>
      </c>
      <c r="L734" t="inlineStr">
        <is>
          <t>94 / 12</t>
        </is>
      </c>
      <c r="M734" s="5" t="n">
        <v>0.82</v>
      </c>
      <c r="N734" s="5" t="n">
        <v>0.89</v>
      </c>
    </row>
    <row r="735">
      <c r="A735" t="n">
        <v>734</v>
      </c>
      <c r="B735" t="n">
        <v>2012</v>
      </c>
      <c r="C735" t="inlineStr">
        <is>
          <t>Rachael Qing Xu</t>
        </is>
      </c>
      <c r="D735">
        <f>HYPERLINK("https://ota.tournamentsoftware.com/player-profile/EF0FB6C4-F27A-45FB-BD75-3C3F4D9EF188", "Link")</f>
        <v/>
      </c>
      <c r="E735" s="3" t="n">
        <v>19.385</v>
      </c>
      <c r="F735" s="4" t="n">
        <v>1</v>
      </c>
      <c r="G735" t="inlineStr">
        <is>
          <t>Ontario Tennis Association</t>
        </is>
      </c>
      <c r="H735" t="inlineStr">
        <is>
          <t>Rosedale Tennis Club (Hamilton)</t>
        </is>
      </c>
      <c r="I735" t="n">
        <v>37.2</v>
      </c>
      <c r="J735" s="4" t="n">
        <v>55</v>
      </c>
      <c r="K735" t="inlineStr">
        <is>
          <t>20 / 35</t>
        </is>
      </c>
      <c r="L735" t="inlineStr">
        <is>
          <t>0 / 0</t>
        </is>
      </c>
      <c r="M735" s="5" t="n">
        <v>0.36</v>
      </c>
      <c r="N735" s="5" t="n">
        <v>0</v>
      </c>
    </row>
    <row r="736">
      <c r="A736" t="n">
        <v>735</v>
      </c>
      <c r="B736" t="n">
        <v>2014</v>
      </c>
      <c r="C736" t="inlineStr">
        <is>
          <t>Camilia Aroub</t>
        </is>
      </c>
      <c r="D736">
        <f>HYPERLINK("https://ota.tournamentsoftware.com/player-profile/7CE0472D-53F2-438D-B060-8BB037C14F01", "Link")</f>
        <v/>
      </c>
      <c r="E736" s="3" t="n">
        <v>18.866</v>
      </c>
      <c r="F736" s="4" t="n">
        <v>8</v>
      </c>
      <c r="G736" t="inlineStr">
        <is>
          <t>Tennis Québec</t>
        </is>
      </c>
      <c r="H736" t="inlineStr">
        <is>
          <t>Club Sportif Côte-de-Liesse</t>
        </is>
      </c>
      <c r="I736" t="n">
        <v>40</v>
      </c>
      <c r="J736" s="4" t="n">
        <v>16</v>
      </c>
      <c r="K736" t="inlineStr">
        <is>
          <t>2 / 14</t>
        </is>
      </c>
      <c r="L736" t="inlineStr">
        <is>
          <t>2 / 11</t>
        </is>
      </c>
      <c r="M736" s="5" t="n">
        <v>0.12</v>
      </c>
      <c r="N736" s="5" t="n">
        <v>0.15</v>
      </c>
    </row>
    <row r="737">
      <c r="A737" t="n">
        <v>736</v>
      </c>
      <c r="B737" t="n">
        <v>2012</v>
      </c>
      <c r="C737" t="inlineStr">
        <is>
          <t>Maddy Frances Hughes</t>
        </is>
      </c>
      <c r="D737">
        <f>HYPERLINK("https://ota.tournamentsoftware.com/player-profile/78566C46-653E-4667-ADCE-638FA56C318F", "Link")</f>
        <v/>
      </c>
      <c r="E737" s="3" t="n">
        <v>18.771</v>
      </c>
      <c r="F737" s="4" t="n">
        <v>2</v>
      </c>
      <c r="G737" t="inlineStr">
        <is>
          <t>Ontario Tennis Association</t>
        </is>
      </c>
      <c r="H737" t="inlineStr">
        <is>
          <t>Boulevard Club</t>
        </is>
      </c>
      <c r="I737" t="n">
        <v>37.7</v>
      </c>
      <c r="J737" s="4" t="n">
        <v>41</v>
      </c>
      <c r="K737" t="inlineStr">
        <is>
          <t>16 / 25</t>
        </is>
      </c>
      <c r="L737" t="inlineStr">
        <is>
          <t>4 / 7</t>
        </is>
      </c>
      <c r="M737" s="5" t="n">
        <v>0.39</v>
      </c>
      <c r="N737" s="5" t="n">
        <v>0.36</v>
      </c>
    </row>
    <row r="738">
      <c r="A738" t="n">
        <v>737</v>
      </c>
      <c r="B738" t="n">
        <v>2012</v>
      </c>
      <c r="C738" t="inlineStr">
        <is>
          <t>Diya Parkash</t>
        </is>
      </c>
      <c r="D738">
        <f>HYPERLINK("https://ota.tournamentsoftware.com/player-profile/73A3C93B-23D0-4FC2-9B92-CA5DFE4335FD", "Link")</f>
        <v/>
      </c>
      <c r="E738" s="3" t="n">
        <v>18.484</v>
      </c>
      <c r="F738" s="4" t="n">
        <v>1</v>
      </c>
      <c r="G738" t="inlineStr">
        <is>
          <t>Tennis Nova Scotia</t>
        </is>
      </c>
      <c r="H738" t="inlineStr">
        <is>
          <t>HEADSTART</t>
        </is>
      </c>
      <c r="I738" t="n">
        <v>36.8</v>
      </c>
      <c r="J738" s="4" t="n">
        <v>6</v>
      </c>
      <c r="K738" t="inlineStr">
        <is>
          <t>3 / 3</t>
        </is>
      </c>
      <c r="L738" t="inlineStr">
        <is>
          <t>3 / 3</t>
        </is>
      </c>
      <c r="M738" s="5" t="n">
        <v>0.5</v>
      </c>
      <c r="N738" s="5" t="n">
        <v>0.5</v>
      </c>
    </row>
    <row r="739">
      <c r="A739" t="n">
        <v>738</v>
      </c>
      <c r="B739" t="n">
        <v>2013</v>
      </c>
      <c r="C739" t="inlineStr">
        <is>
          <t>Eve Fuemana</t>
        </is>
      </c>
      <c r="D739">
        <f>HYPERLINK("https://ota.tournamentsoftware.com/player-profile/C6B89948-0347-4A82-9588-926B794A08CE", "Link")</f>
        <v/>
      </c>
      <c r="E739" s="3" t="n">
        <v>18.447</v>
      </c>
      <c r="F739" s="4" t="n">
        <v>1</v>
      </c>
      <c r="G739" t="inlineStr">
        <is>
          <t>Ontario Tennis Association</t>
        </is>
      </c>
      <c r="H739" t="inlineStr">
        <is>
          <t>Toronto Tennis City</t>
        </is>
      </c>
      <c r="I739" t="n">
        <v>28.3</v>
      </c>
      <c r="J739" s="4" t="n">
        <v>3</v>
      </c>
      <c r="K739" t="inlineStr">
        <is>
          <t>0 / 3</t>
        </is>
      </c>
      <c r="L739" t="inlineStr">
        <is>
          <t>0 / 1</t>
        </is>
      </c>
      <c r="M739" s="5" t="n">
        <v>0</v>
      </c>
      <c r="N739" s="5" t="n">
        <v>0</v>
      </c>
    </row>
    <row r="740">
      <c r="A740" t="n">
        <v>739</v>
      </c>
      <c r="B740" t="n">
        <v>2014</v>
      </c>
      <c r="C740" t="inlineStr">
        <is>
          <t>Éloïse Renaud</t>
        </is>
      </c>
      <c r="D740">
        <f>HYPERLINK("https://ota.tournamentsoftware.com/player-profile/B18DE2B4-0E8A-4263-8136-FCC7F7A61D01", "Link")</f>
        <v/>
      </c>
      <c r="E740" s="3" t="n">
        <v>18.36</v>
      </c>
      <c r="F740" s="4" t="n">
        <v>4</v>
      </c>
      <c r="G740" t="inlineStr">
        <is>
          <t>Tennis Québec</t>
        </is>
      </c>
      <c r="H740" t="inlineStr">
        <is>
          <t>Tennis 13</t>
        </is>
      </c>
      <c r="I740" t="inlineStr">
        <is>
          <t>unavailable</t>
        </is>
      </c>
      <c r="J740" s="4" t="n">
        <v>8</v>
      </c>
      <c r="K740" t="inlineStr">
        <is>
          <t>4 / 4</t>
        </is>
      </c>
      <c r="L740" t="inlineStr">
        <is>
          <t>1 / 2</t>
        </is>
      </c>
      <c r="M740" s="5" t="n">
        <v>0.5</v>
      </c>
      <c r="N740" s="5" t="n">
        <v>0.33</v>
      </c>
    </row>
    <row r="741">
      <c r="A741" t="n">
        <v>740</v>
      </c>
      <c r="B741" t="n">
        <v>2015</v>
      </c>
      <c r="C741" t="inlineStr">
        <is>
          <t>Simone Tremblay-Roy</t>
        </is>
      </c>
      <c r="D741">
        <f>HYPERLINK("https://ota.tournamentsoftware.com/player-profile/E7E1A20D-ED12-47F1-913D-3022C4BE6070", "Link")</f>
        <v/>
      </c>
      <c r="E741" s="3" t="n">
        <v>18.332</v>
      </c>
      <c r="F741" s="4" t="n">
        <v>2</v>
      </c>
      <c r="G741" t="inlineStr">
        <is>
          <t>Tennis Québec</t>
        </is>
      </c>
      <c r="H741" t="inlineStr">
        <is>
          <t>Club de tennis intérieur Saguenay</t>
        </is>
      </c>
      <c r="I741" t="n">
        <v>37.4</v>
      </c>
      <c r="J741" s="4" t="n">
        <v>7</v>
      </c>
      <c r="K741" t="inlineStr">
        <is>
          <t>4 / 3</t>
        </is>
      </c>
      <c r="L741" t="inlineStr">
        <is>
          <t>1 / 3</t>
        </is>
      </c>
      <c r="M741" s="5" t="n">
        <v>0.57</v>
      </c>
      <c r="N741" s="5" t="n">
        <v>0.25</v>
      </c>
    </row>
    <row r="742">
      <c r="A742" t="n">
        <v>741</v>
      </c>
      <c r="B742" t="n">
        <v>2012</v>
      </c>
      <c r="C742" t="inlineStr">
        <is>
          <t>Emma Gao</t>
        </is>
      </c>
      <c r="D742">
        <f>HYPERLINK("https://ota.tournamentsoftware.com/player-profile/C88BC343-3DFB-493C-85F2-14F8A90F6D68", "Link")</f>
        <v/>
      </c>
      <c r="E742" s="3" t="n">
        <v>18.144</v>
      </c>
      <c r="F742" s="4" t="n">
        <v>2</v>
      </c>
      <c r="G742" t="inlineStr">
        <is>
          <t>British Columbia</t>
        </is>
      </c>
      <c r="H742" t="inlineStr">
        <is>
          <t>Tennis for Life</t>
        </is>
      </c>
      <c r="I742" t="inlineStr">
        <is>
          <t>unavailable</t>
        </is>
      </c>
      <c r="J742" s="4" t="n">
        <v>33</v>
      </c>
      <c r="K742" t="inlineStr">
        <is>
          <t>9 / 24</t>
        </is>
      </c>
      <c r="L742" t="inlineStr">
        <is>
          <t>0 / 5</t>
        </is>
      </c>
      <c r="M742" s="5" t="n">
        <v>0.27</v>
      </c>
      <c r="N742" s="5" t="n">
        <v>0</v>
      </c>
    </row>
    <row r="743">
      <c r="A743" t="n">
        <v>742</v>
      </c>
      <c r="B743" t="n">
        <v>2015</v>
      </c>
      <c r="C743" t="inlineStr">
        <is>
          <t>Valentina Barrera Salazar</t>
        </is>
      </c>
      <c r="D743">
        <f>HYPERLINK("https://ota.tournamentsoftware.com/player-profile/8BE2D3BB-B3F1-4BC1-82A2-EBFE82844920", "Link")</f>
        <v/>
      </c>
      <c r="E743" s="3" t="n">
        <v>18</v>
      </c>
      <c r="F743" s="4" t="n">
        <v>1</v>
      </c>
      <c r="G743" t="inlineStr">
        <is>
          <t>Tennis Québec</t>
        </is>
      </c>
      <c r="H743" t="inlineStr">
        <is>
          <t>No Club</t>
        </is>
      </c>
      <c r="I743" t="inlineStr">
        <is>
          <t>unavailable</t>
        </is>
      </c>
      <c r="J743" s="4" t="n">
        <v>3</v>
      </c>
      <c r="K743" t="inlineStr">
        <is>
          <t>0 / 3</t>
        </is>
      </c>
      <c r="L743" t="inlineStr">
        <is>
          <t>0 / 3</t>
        </is>
      </c>
      <c r="M743" s="5" t="n">
        <v>0</v>
      </c>
      <c r="N743" s="5" t="n">
        <v>0</v>
      </c>
    </row>
    <row r="744">
      <c r="A744" t="n">
        <v>743</v>
      </c>
      <c r="B744" t="n">
        <v>2014</v>
      </c>
      <c r="C744" t="inlineStr">
        <is>
          <t>Sophia Marietta Dee</t>
        </is>
      </c>
      <c r="D744">
        <f>HYPERLINK("https://ota.tournamentsoftware.com/player-profile/C69F5ADB-3749-4D97-A809-250A73BB30C1", "Link")</f>
        <v/>
      </c>
      <c r="E744" s="3" t="n">
        <v>17.903</v>
      </c>
      <c r="F744" s="4" t="n">
        <v>6</v>
      </c>
      <c r="G744" t="inlineStr">
        <is>
          <t>British Columbia</t>
        </is>
      </c>
      <c r="H744" t="inlineStr">
        <is>
          <t>Arbutus Club</t>
        </is>
      </c>
      <c r="I744" t="n">
        <v>36.8</v>
      </c>
      <c r="J744" s="4" t="n">
        <v>40</v>
      </c>
      <c r="K744" t="inlineStr">
        <is>
          <t>14 / 26</t>
        </is>
      </c>
      <c r="L744" t="inlineStr">
        <is>
          <t>5 / 7</t>
        </is>
      </c>
      <c r="M744" s="5" t="n">
        <v>0.35</v>
      </c>
      <c r="N744" s="5" t="n">
        <v>0.42</v>
      </c>
    </row>
    <row r="745">
      <c r="A745" t="n">
        <v>744</v>
      </c>
      <c r="B745" t="n">
        <v>2014</v>
      </c>
      <c r="C745" t="inlineStr">
        <is>
          <t>Olivia V. Jin</t>
        </is>
      </c>
      <c r="D745">
        <f>HYPERLINK("https://ota.tournamentsoftware.com/player-profile/88713252-C9AF-4DC4-B40D-11479A26EE47", "Link")</f>
        <v/>
      </c>
      <c r="E745" s="3" t="n">
        <v>17.821</v>
      </c>
      <c r="F745" s="4" t="n">
        <v>6</v>
      </c>
      <c r="G745" t="inlineStr">
        <is>
          <t>British Columbia</t>
        </is>
      </c>
      <c r="H745" t="inlineStr">
        <is>
          <t>Hollyburn Country Club</t>
        </is>
      </c>
      <c r="I745" t="n">
        <v>36</v>
      </c>
      <c r="J745" s="4" t="n">
        <v>88</v>
      </c>
      <c r="K745" t="inlineStr">
        <is>
          <t>27 / 61</t>
        </is>
      </c>
      <c r="L745" t="inlineStr">
        <is>
          <t>7 / 4</t>
        </is>
      </c>
      <c r="M745" s="5" t="n">
        <v>0.31</v>
      </c>
      <c r="N745" s="5" t="n">
        <v>0.64</v>
      </c>
    </row>
    <row r="746">
      <c r="A746" t="n">
        <v>745</v>
      </c>
      <c r="B746" t="n">
        <v>2014</v>
      </c>
      <c r="C746" t="inlineStr">
        <is>
          <t>Neiva George</t>
        </is>
      </c>
      <c r="D746">
        <f>HYPERLINK("https://ota.tournamentsoftware.com/player-profile/1A9BA311-0F1E-40A7-9341-ECED97AEEBBD", "Link")</f>
        <v/>
      </c>
      <c r="E746" s="3" t="n">
        <v>17.766</v>
      </c>
      <c r="F746" s="4" t="n">
        <v>3</v>
      </c>
      <c r="G746" t="inlineStr">
        <is>
          <t>Ontario Tennis Association</t>
        </is>
      </c>
      <c r="H746" t="inlineStr">
        <is>
          <t>Headwaters Racquet Club</t>
        </is>
      </c>
      <c r="I746" t="n">
        <v>38.2</v>
      </c>
      <c r="J746" s="4" t="n">
        <v>47</v>
      </c>
      <c r="K746" t="inlineStr">
        <is>
          <t>23 / 24</t>
        </is>
      </c>
      <c r="L746" t="inlineStr">
        <is>
          <t>7 / 6</t>
        </is>
      </c>
      <c r="M746" s="5" t="n">
        <v>0.49</v>
      </c>
      <c r="N746" s="5" t="n">
        <v>0.54</v>
      </c>
    </row>
    <row r="747">
      <c r="A747" t="n">
        <v>746</v>
      </c>
      <c r="B747" t="n">
        <v>2015</v>
      </c>
      <c r="C747" t="inlineStr">
        <is>
          <t>Juliette Merino</t>
        </is>
      </c>
      <c r="D747">
        <f>HYPERLINK("https://ota.tournamentsoftware.com/player-profile/E3FBD49F-6297-464B-AD97-8C82D2E93FB7", "Link")</f>
        <v/>
      </c>
      <c r="E747" s="3" t="n">
        <v>17.623</v>
      </c>
      <c r="F747" s="4" t="n">
        <v>3</v>
      </c>
      <c r="G747" t="inlineStr">
        <is>
          <t>Ontario Tennis Association</t>
        </is>
      </c>
      <c r="H747" t="inlineStr">
        <is>
          <t>Ontario Racquet Club</t>
        </is>
      </c>
      <c r="I747" t="inlineStr">
        <is>
          <t>unavailable</t>
        </is>
      </c>
      <c r="J747" s="4" t="n">
        <v>35</v>
      </c>
      <c r="K747" t="inlineStr">
        <is>
          <t>12 / 23</t>
        </is>
      </c>
      <c r="L747" t="inlineStr">
        <is>
          <t>3 / 9</t>
        </is>
      </c>
      <c r="M747" s="5" t="n">
        <v>0.34</v>
      </c>
      <c r="N747" s="5" t="n">
        <v>0.25</v>
      </c>
    </row>
    <row r="748">
      <c r="A748" t="n">
        <v>747</v>
      </c>
      <c r="B748" t="n">
        <v>2014</v>
      </c>
      <c r="C748" t="inlineStr">
        <is>
          <t>Camila Danielle Arias</t>
        </is>
      </c>
      <c r="D748">
        <f>HYPERLINK("https://ota.tournamentsoftware.com/player-profile/7E2B5B8F-95C7-4374-8F7F-D60E81CAB657", "Link")</f>
        <v/>
      </c>
      <c r="E748" s="3" t="n">
        <v>17.39</v>
      </c>
      <c r="F748" s="4" t="n">
        <v>5</v>
      </c>
      <c r="G748" t="inlineStr">
        <is>
          <t>Tennis Québec</t>
        </is>
      </c>
      <c r="H748" t="inlineStr">
        <is>
          <t>SANI Sport</t>
        </is>
      </c>
      <c r="I748" t="inlineStr">
        <is>
          <t>unavailable</t>
        </is>
      </c>
      <c r="J748" s="4" t="n">
        <v>40</v>
      </c>
      <c r="K748" t="inlineStr">
        <is>
          <t>13 / 27</t>
        </is>
      </c>
      <c r="L748" t="inlineStr">
        <is>
          <t>4 / 4</t>
        </is>
      </c>
      <c r="M748" s="5" t="n">
        <v>0.33</v>
      </c>
      <c r="N748" s="5" t="n">
        <v>0.5</v>
      </c>
    </row>
    <row r="749">
      <c r="A749" t="n">
        <v>748</v>
      </c>
      <c r="B749" t="n">
        <v>2016</v>
      </c>
      <c r="C749" t="inlineStr">
        <is>
          <t>Nourine Chebitou</t>
        </is>
      </c>
      <c r="D749">
        <f>HYPERLINK("https://ota.tournamentsoftware.com/player-profile/7B847012-F77E-40EE-A816-39ABE1031DA9", "Link")</f>
        <v/>
      </c>
      <c r="E749" s="3" t="n">
        <v>17.28</v>
      </c>
      <c r="F749" s="4" t="n">
        <v>1</v>
      </c>
      <c r="G749" t="inlineStr">
        <is>
          <t>Tennis Québec</t>
        </is>
      </c>
      <c r="H749" t="inlineStr">
        <is>
          <t>SANI Sport</t>
        </is>
      </c>
      <c r="I749" t="n">
        <v>37.3</v>
      </c>
      <c r="J749" s="4" t="n">
        <v>5</v>
      </c>
      <c r="K749" t="inlineStr">
        <is>
          <t>1 / 4</t>
        </is>
      </c>
      <c r="L749" t="inlineStr">
        <is>
          <t>1 / 1</t>
        </is>
      </c>
      <c r="M749" s="5" t="n">
        <v>0.2</v>
      </c>
      <c r="N749" s="5" t="n">
        <v>0.5</v>
      </c>
    </row>
    <row r="750">
      <c r="A750" t="n">
        <v>748</v>
      </c>
      <c r="B750" t="n">
        <v>2016</v>
      </c>
      <c r="C750" t="inlineStr">
        <is>
          <t>Yanya Zhao</t>
        </is>
      </c>
      <c r="D750">
        <f>HYPERLINK("https://ota.tournamentsoftware.com/player-profile/60E4C9B4-B466-467C-B9D3-335A318BE74C", "Link")</f>
        <v/>
      </c>
      <c r="E750" s="3" t="n">
        <v>17.28</v>
      </c>
      <c r="F750" s="4" t="n">
        <v>3</v>
      </c>
      <c r="G750" t="inlineStr">
        <is>
          <t>Ontario Tennis Association</t>
        </is>
      </c>
      <c r="H750" t="inlineStr">
        <is>
          <t>Valan Tennis Academy</t>
        </is>
      </c>
      <c r="I750" t="n">
        <v>36.4</v>
      </c>
      <c r="J750" s="4" t="n">
        <v>89</v>
      </c>
      <c r="K750" t="inlineStr">
        <is>
          <t>56 / 33</t>
        </is>
      </c>
      <c r="L750" t="inlineStr">
        <is>
          <t>56 / 33</t>
        </is>
      </c>
      <c r="M750" s="5" t="n">
        <v>0.63</v>
      </c>
      <c r="N750" s="5" t="n">
        <v>0.63</v>
      </c>
    </row>
    <row r="751">
      <c r="A751" t="n">
        <v>748</v>
      </c>
      <c r="B751" t="n">
        <v>2016</v>
      </c>
      <c r="C751" t="inlineStr">
        <is>
          <t>Liv Evangeline Bulfon</t>
        </is>
      </c>
      <c r="D751">
        <f>HYPERLINK("https://ota.tournamentsoftware.com/player-profile/237E5FDF-8DB1-4A71-A617-6A9246A16101", "Link")</f>
        <v/>
      </c>
      <c r="E751" s="3" t="n">
        <v>17.28</v>
      </c>
      <c r="F751" s="4" t="n">
        <v>2</v>
      </c>
      <c r="G751" t="inlineStr">
        <is>
          <t>Ontario Tennis Association</t>
        </is>
      </c>
      <c r="H751" t="inlineStr">
        <is>
          <t>Joshua Creek Golf &amp; Tennis</t>
        </is>
      </c>
      <c r="I751" t="n">
        <v>38.3</v>
      </c>
      <c r="J751" s="4" t="n">
        <v>34</v>
      </c>
      <c r="K751" t="inlineStr">
        <is>
          <t>19 / 15</t>
        </is>
      </c>
      <c r="L751" t="inlineStr">
        <is>
          <t>11 / 8</t>
        </is>
      </c>
      <c r="M751" s="5" t="n">
        <v>0.5600000000000001</v>
      </c>
      <c r="N751" s="5" t="n">
        <v>0.58</v>
      </c>
    </row>
    <row r="752">
      <c r="A752" t="n">
        <v>751</v>
      </c>
      <c r="B752" t="n">
        <v>2012</v>
      </c>
      <c r="C752" t="inlineStr">
        <is>
          <t>Emily Solc</t>
        </is>
      </c>
      <c r="D752">
        <f>HYPERLINK("https://ota.tournamentsoftware.com/player-profile/0117F9E7-8DFA-459F-859A-F7CFC440388D", "Link")</f>
        <v/>
      </c>
      <c r="E752" s="3" t="n">
        <v>17.16</v>
      </c>
      <c r="F752" s="4" t="n">
        <v>1</v>
      </c>
      <c r="G752" t="inlineStr">
        <is>
          <t>Ontario Tennis Association</t>
        </is>
      </c>
      <c r="H752" t="inlineStr">
        <is>
          <t>Ajax Tennis Club</t>
        </is>
      </c>
      <c r="I752" t="n">
        <v>35.6</v>
      </c>
      <c r="J752" s="4" t="n">
        <v>15</v>
      </c>
      <c r="K752" t="inlineStr">
        <is>
          <t>6 / 9</t>
        </is>
      </c>
      <c r="L752" t="inlineStr">
        <is>
          <t>0 / 0</t>
        </is>
      </c>
      <c r="M752" s="5" t="n">
        <v>0.4</v>
      </c>
      <c r="N752" s="5" t="n">
        <v>0</v>
      </c>
    </row>
    <row r="753">
      <c r="A753" t="n">
        <v>752</v>
      </c>
      <c r="B753" t="n">
        <v>2015</v>
      </c>
      <c r="C753" t="inlineStr">
        <is>
          <t>Maggie Yang</t>
        </is>
      </c>
      <c r="D753">
        <f>HYPERLINK("https://ota.tournamentsoftware.com/player-profile/1188855E-2EBD-473C-B3CD-74B3CDDF9042", "Link")</f>
        <v/>
      </c>
      <c r="E753" s="3" t="n">
        <v>17.037</v>
      </c>
      <c r="F753" s="4" t="n">
        <v>3</v>
      </c>
      <c r="G753" t="inlineStr">
        <is>
          <t>Ontario Tennis Association</t>
        </is>
      </c>
      <c r="H753" t="inlineStr">
        <is>
          <t>Royal City Tennis Club</t>
        </is>
      </c>
      <c r="I753" t="n">
        <v>35.7</v>
      </c>
      <c r="J753" s="4" t="n">
        <v>29</v>
      </c>
      <c r="K753" t="inlineStr">
        <is>
          <t>11 / 18</t>
        </is>
      </c>
      <c r="L753" t="inlineStr">
        <is>
          <t>2 / 3</t>
        </is>
      </c>
      <c r="M753" s="5" t="n">
        <v>0.38</v>
      </c>
      <c r="N753" s="5" t="n">
        <v>0.4</v>
      </c>
    </row>
    <row r="754">
      <c r="A754" t="n">
        <v>753</v>
      </c>
      <c r="B754" t="n">
        <v>2013</v>
      </c>
      <c r="C754" t="inlineStr">
        <is>
          <t>Zean Whyte Omayan Gerongco</t>
        </is>
      </c>
      <c r="D754">
        <f>HYPERLINK("https://ota.tournamentsoftware.com/player-profile/95E8FC8D-AC41-4C9F-8192-23788254309B", "Link")</f>
        <v/>
      </c>
      <c r="E754" s="3" t="n">
        <v>17</v>
      </c>
      <c r="F754" s="4" t="n">
        <v>2</v>
      </c>
      <c r="G754" t="inlineStr">
        <is>
          <t>Ontario Tennis Association</t>
        </is>
      </c>
      <c r="H754" t="inlineStr">
        <is>
          <t>Fountainhead Tennis Club</t>
        </is>
      </c>
      <c r="I754" t="n">
        <v>32.7</v>
      </c>
      <c r="J754" s="4" t="n">
        <v>167</v>
      </c>
      <c r="K754" t="inlineStr">
        <is>
          <t>95 / 72</t>
        </is>
      </c>
      <c r="L754" t="inlineStr">
        <is>
          <t>0 / 0</t>
        </is>
      </c>
      <c r="M754" s="5" t="n">
        <v>0.57</v>
      </c>
      <c r="N754" s="5" t="n">
        <v>0</v>
      </c>
    </row>
    <row r="755">
      <c r="A755" t="n">
        <v>754</v>
      </c>
      <c r="B755" t="n">
        <v>2015</v>
      </c>
      <c r="C755" t="inlineStr">
        <is>
          <t>Mirra Tverskaia</t>
        </is>
      </c>
      <c r="D755">
        <f>HYPERLINK("https://ota.tournamentsoftware.com/player-profile/A09D283B-5C23-4F54-A304-0C0125F7637B", "Link")</f>
        <v/>
      </c>
      <c r="E755" s="3" t="n">
        <v>16.736</v>
      </c>
      <c r="F755" s="4" t="n">
        <v>4</v>
      </c>
      <c r="G755" t="inlineStr">
        <is>
          <t>Tennis Prince Edward Island</t>
        </is>
      </c>
      <c r="H755" t="inlineStr">
        <is>
          <t>Royalty Racquet Centre</t>
        </is>
      </c>
      <c r="I755" t="inlineStr">
        <is>
          <t>unavailable</t>
        </is>
      </c>
      <c r="J755" s="4" t="n">
        <v>41</v>
      </c>
      <c r="K755" t="inlineStr">
        <is>
          <t>14 / 27</t>
        </is>
      </c>
      <c r="L755" t="inlineStr">
        <is>
          <t>0 / 3</t>
        </is>
      </c>
      <c r="M755" s="5" t="n">
        <v>0.34</v>
      </c>
      <c r="N755" s="5" t="n">
        <v>0</v>
      </c>
    </row>
    <row r="756">
      <c r="A756" t="n">
        <v>755</v>
      </c>
      <c r="B756" t="n">
        <v>2012</v>
      </c>
      <c r="C756" t="inlineStr">
        <is>
          <t>Alexandria Leah Fernandez</t>
        </is>
      </c>
      <c r="D756">
        <f>HYPERLINK("https://ota.tournamentsoftware.com/player-profile/42CC074A-F7BC-474A-AD80-389A35EF85E7", "Link")</f>
        <v/>
      </c>
      <c r="E756" s="3" t="n">
        <v>16.632</v>
      </c>
      <c r="F756" s="4" t="n">
        <v>1</v>
      </c>
      <c r="G756" t="inlineStr">
        <is>
          <t>Ontario Tennis Association</t>
        </is>
      </c>
      <c r="H756" t="inlineStr">
        <is>
          <t>Cambridge Tennis Club</t>
        </is>
      </c>
      <c r="I756" t="n">
        <v>35.2</v>
      </c>
      <c r="J756" s="4" t="n">
        <v>14</v>
      </c>
      <c r="K756" t="inlineStr">
        <is>
          <t>7 / 7</t>
        </is>
      </c>
      <c r="L756" t="inlineStr">
        <is>
          <t>7 / 1</t>
        </is>
      </c>
      <c r="M756" s="5" t="n">
        <v>0.5</v>
      </c>
      <c r="N756" s="5" t="n">
        <v>0.88</v>
      </c>
    </row>
    <row r="757">
      <c r="A757" t="n">
        <v>756</v>
      </c>
      <c r="B757" t="n">
        <v>2013</v>
      </c>
      <c r="C757" t="inlineStr">
        <is>
          <t>Vasta Keshavarz</t>
        </is>
      </c>
      <c r="D757">
        <f>HYPERLINK("https://ota.tournamentsoftware.com/player-profile/601A80FC-EABC-4AF6-9B13-BEBCF22814BA", "Link")</f>
        <v/>
      </c>
      <c r="E757" s="3" t="n">
        <v>16.603</v>
      </c>
      <c r="F757" s="4" t="n">
        <v>4</v>
      </c>
      <c r="G757" t="inlineStr">
        <is>
          <t>British Columbia</t>
        </is>
      </c>
      <c r="H757" t="inlineStr">
        <is>
          <t>North Vancouver Tennis Centre</t>
        </is>
      </c>
      <c r="I757" t="inlineStr">
        <is>
          <t>unavailable</t>
        </is>
      </c>
      <c r="J757" s="4" t="n">
        <v>43</v>
      </c>
      <c r="K757" t="inlineStr">
        <is>
          <t>16 / 27</t>
        </is>
      </c>
      <c r="L757" t="inlineStr">
        <is>
          <t>8 / 20</t>
        </is>
      </c>
      <c r="M757" s="5" t="n">
        <v>0.37</v>
      </c>
      <c r="N757" s="5" t="n">
        <v>0.29</v>
      </c>
    </row>
    <row r="758">
      <c r="A758" t="n">
        <v>757</v>
      </c>
      <c r="B758" t="n">
        <v>2015</v>
      </c>
      <c r="C758" t="inlineStr">
        <is>
          <t>Charlotte Huiyan Li</t>
        </is>
      </c>
      <c r="D758">
        <f>HYPERLINK("https://ota.tournamentsoftware.com/player-profile/150EC5E4-980E-4649-9619-E10B11D9BA5E", "Link")</f>
        <v/>
      </c>
      <c r="E758" s="3" t="n">
        <v>16.528</v>
      </c>
      <c r="F758" s="4" t="n">
        <v>4</v>
      </c>
      <c r="G758" t="inlineStr">
        <is>
          <t>British Columbia</t>
        </is>
      </c>
      <c r="H758" t="inlineStr">
        <is>
          <t>Tennis for Life</t>
        </is>
      </c>
      <c r="I758" t="n">
        <v>37.7</v>
      </c>
      <c r="J758" s="4" t="n">
        <v>42</v>
      </c>
      <c r="K758" t="inlineStr">
        <is>
          <t>15 / 27</t>
        </is>
      </c>
      <c r="L758" t="inlineStr">
        <is>
          <t>2 / 5</t>
        </is>
      </c>
      <c r="M758" s="5" t="n">
        <v>0.36</v>
      </c>
      <c r="N758" s="5" t="n">
        <v>0.29</v>
      </c>
    </row>
    <row r="759">
      <c r="A759" t="n">
        <v>758</v>
      </c>
      <c r="B759" t="n">
        <v>2014</v>
      </c>
      <c r="C759" t="inlineStr">
        <is>
          <t>Livia Hu</t>
        </is>
      </c>
      <c r="D759">
        <f>HYPERLINK("https://ota.tournamentsoftware.com/player-profile/F0626954-59DE-45D2-AE30-FCA903A00699", "Link")</f>
        <v/>
      </c>
      <c r="E759" s="3" t="n">
        <v>16.459</v>
      </c>
      <c r="F759" s="4" t="n">
        <v>2</v>
      </c>
      <c r="G759" t="inlineStr">
        <is>
          <t>Tennis Saskatchewan</t>
        </is>
      </c>
      <c r="H759" t="inlineStr">
        <is>
          <t>No Club</t>
        </is>
      </c>
      <c r="I759" t="n">
        <v>29.5</v>
      </c>
      <c r="J759" s="4" t="n">
        <v>41</v>
      </c>
      <c r="K759" t="inlineStr">
        <is>
          <t>25 / 16</t>
        </is>
      </c>
      <c r="L759" t="inlineStr">
        <is>
          <t>7 / 4</t>
        </is>
      </c>
      <c r="M759" s="5" t="n">
        <v>0.61</v>
      </c>
      <c r="N759" s="5" t="n">
        <v>0.64</v>
      </c>
    </row>
    <row r="760">
      <c r="A760" t="n">
        <v>759</v>
      </c>
      <c r="B760" t="n">
        <v>2012</v>
      </c>
      <c r="C760" t="inlineStr">
        <is>
          <t>Allison Wu</t>
        </is>
      </c>
      <c r="D760">
        <f>HYPERLINK("https://ota.tournamentsoftware.com/player-profile/5B6A5CCB-4E85-427C-99E0-E2078ED2493C", "Link")</f>
        <v/>
      </c>
      <c r="E760" s="3" t="n">
        <v>15.968</v>
      </c>
      <c r="F760" s="4" t="n">
        <v>3</v>
      </c>
      <c r="G760" t="inlineStr">
        <is>
          <t>British Columbia</t>
        </is>
      </c>
      <c r="H760" t="inlineStr">
        <is>
          <t>Coquitlam Tennis Club</t>
        </is>
      </c>
      <c r="I760" t="n">
        <v>39.4</v>
      </c>
      <c r="J760" s="4" t="n">
        <v>54</v>
      </c>
      <c r="K760" t="inlineStr">
        <is>
          <t>9 / 45</t>
        </is>
      </c>
      <c r="L760" t="inlineStr">
        <is>
          <t>0 / 4</t>
        </is>
      </c>
      <c r="M760" s="5" t="n">
        <v>0.17</v>
      </c>
      <c r="N760" s="5" t="n">
        <v>0</v>
      </c>
    </row>
    <row r="761">
      <c r="A761" t="n">
        <v>760</v>
      </c>
      <c r="B761" t="n">
        <v>2014</v>
      </c>
      <c r="C761" t="inlineStr">
        <is>
          <t>Anabelle Duchesne</t>
        </is>
      </c>
      <c r="D761">
        <f>HYPERLINK("https://ota.tournamentsoftware.com/player-profile/3D9B7A28-72A0-4133-925D-142C95DC7FA9", "Link")</f>
        <v/>
      </c>
      <c r="E761" s="3" t="n">
        <v>15.937</v>
      </c>
      <c r="F761" s="4" t="n">
        <v>2</v>
      </c>
      <c r="G761" t="inlineStr">
        <is>
          <t>Tennis Québec</t>
        </is>
      </c>
      <c r="H761" t="inlineStr">
        <is>
          <t>Les Tennis de Rimouski (intérieur)</t>
        </is>
      </c>
      <c r="I761" t="n">
        <v>40</v>
      </c>
      <c r="J761" s="4" t="n">
        <v>6</v>
      </c>
      <c r="K761" t="inlineStr">
        <is>
          <t>0 / 6</t>
        </is>
      </c>
      <c r="L761" t="inlineStr">
        <is>
          <t>0 / 6</t>
        </is>
      </c>
      <c r="M761" s="5" t="n">
        <v>0</v>
      </c>
      <c r="N761" s="5" t="n">
        <v>0</v>
      </c>
    </row>
    <row r="762">
      <c r="A762" t="n">
        <v>761</v>
      </c>
      <c r="B762" t="n">
        <v>2013</v>
      </c>
      <c r="C762" t="inlineStr">
        <is>
          <t>Amy Duo</t>
        </is>
      </c>
      <c r="D762">
        <f>HYPERLINK("https://ota.tournamentsoftware.com/player-profile/71495656-F9AD-402C-B368-62609F5D70B9", "Link")</f>
        <v/>
      </c>
      <c r="E762" s="3" t="n">
        <v>15.799</v>
      </c>
      <c r="F762" s="4" t="n">
        <v>2</v>
      </c>
      <c r="G762" t="inlineStr">
        <is>
          <t>British Columbia</t>
        </is>
      </c>
      <c r="H762" t="inlineStr">
        <is>
          <t>North Shore Winter Club</t>
        </is>
      </c>
      <c r="I762" t="inlineStr">
        <is>
          <t>unavailable</t>
        </is>
      </c>
      <c r="J762" s="4" t="n">
        <v>31</v>
      </c>
      <c r="K762" t="inlineStr">
        <is>
          <t>11 / 20</t>
        </is>
      </c>
      <c r="L762" t="inlineStr">
        <is>
          <t>3 / 3</t>
        </is>
      </c>
      <c r="M762" s="5" t="n">
        <v>0.35</v>
      </c>
      <c r="N762" s="5" t="n">
        <v>0.5</v>
      </c>
    </row>
    <row r="763">
      <c r="A763" t="n">
        <v>762</v>
      </c>
      <c r="B763" t="n">
        <v>2013</v>
      </c>
      <c r="C763" t="inlineStr">
        <is>
          <t>Lily Pilipowicz</t>
        </is>
      </c>
      <c r="D763">
        <f>HYPERLINK("https://ota.tournamentsoftware.com/player-profile/B42CFB1E-4A07-4108-A904-8512C36C48D8", "Link")</f>
        <v/>
      </c>
      <c r="E763" s="3" t="n">
        <v>15.153</v>
      </c>
      <c r="F763" s="4" t="n">
        <v>3</v>
      </c>
      <c r="G763" t="inlineStr">
        <is>
          <t>Tennis Alberta</t>
        </is>
      </c>
      <c r="H763" t="inlineStr">
        <is>
          <t>Aforza</t>
        </is>
      </c>
      <c r="I763" t="n">
        <v>33.9</v>
      </c>
      <c r="J763" s="4" t="n">
        <v>40</v>
      </c>
      <c r="K763" t="inlineStr">
        <is>
          <t>19 / 21</t>
        </is>
      </c>
      <c r="L763" t="inlineStr">
        <is>
          <t>0 / 1</t>
        </is>
      </c>
      <c r="M763" s="5" t="n">
        <v>0.47</v>
      </c>
      <c r="N763" s="5" t="n">
        <v>0</v>
      </c>
    </row>
    <row r="764">
      <c r="A764" t="n">
        <v>763</v>
      </c>
      <c r="B764" t="n">
        <v>2014</v>
      </c>
      <c r="C764" t="inlineStr">
        <is>
          <t>Adele Cui</t>
        </is>
      </c>
      <c r="D764">
        <f>HYPERLINK("https://ota.tournamentsoftware.com/player-profile/E096F094-0386-4439-807E-E147F97C754F", "Link")</f>
        <v/>
      </c>
      <c r="E764" s="3" t="n">
        <v>15.136</v>
      </c>
      <c r="F764" s="4" t="n">
        <v>4</v>
      </c>
      <c r="G764" t="inlineStr">
        <is>
          <t>British Columbia</t>
        </is>
      </c>
      <c r="H764" t="inlineStr">
        <is>
          <t>UBC Tennis Centre</t>
        </is>
      </c>
      <c r="I764" t="n">
        <v>35.8</v>
      </c>
      <c r="J764" s="4" t="n">
        <v>80</v>
      </c>
      <c r="K764" t="inlineStr">
        <is>
          <t>46 / 34</t>
        </is>
      </c>
      <c r="L764" t="inlineStr">
        <is>
          <t>1 / 4</t>
        </is>
      </c>
      <c r="M764" s="5" t="n">
        <v>0.57</v>
      </c>
      <c r="N764" s="5" t="n">
        <v>0.2</v>
      </c>
    </row>
    <row r="765">
      <c r="A765" t="n">
        <v>764</v>
      </c>
      <c r="B765" t="n">
        <v>2014</v>
      </c>
      <c r="C765" t="inlineStr">
        <is>
          <t>Precious J. Mutiku</t>
        </is>
      </c>
      <c r="D765">
        <f>HYPERLINK("https://ota.tournamentsoftware.com/player-profile/60A61325-C72A-4622-B3AF-5291E7A5657A", "Link")</f>
        <v/>
      </c>
      <c r="E765" s="3" t="n">
        <v>15.059</v>
      </c>
      <c r="F765" s="4" t="n">
        <v>1</v>
      </c>
      <c r="G765" t="inlineStr">
        <is>
          <t>Tennis Manitoba</t>
        </is>
      </c>
      <c r="H765" t="inlineStr">
        <is>
          <t>Taylor Tennis</t>
        </is>
      </c>
      <c r="I765" t="n">
        <v>37</v>
      </c>
      <c r="J765" s="4" t="n">
        <v>3</v>
      </c>
      <c r="K765" t="inlineStr">
        <is>
          <t>1 / 2</t>
        </is>
      </c>
      <c r="L765" t="inlineStr">
        <is>
          <t>0 / 1</t>
        </is>
      </c>
      <c r="M765" s="5" t="n">
        <v>0.33</v>
      </c>
      <c r="N765" s="5" t="n">
        <v>0</v>
      </c>
    </row>
    <row r="766">
      <c r="A766" t="n">
        <v>765</v>
      </c>
      <c r="B766" t="n">
        <v>2016</v>
      </c>
      <c r="C766" t="inlineStr">
        <is>
          <t>Keira El-Kettaneh</t>
        </is>
      </c>
      <c r="D766">
        <f>HYPERLINK("https://ota.tournamentsoftware.com/player-profile/A820994B-A350-4155-A437-EF3139C3E02A", "Link")</f>
        <v/>
      </c>
      <c r="E766" s="3" t="n">
        <v>14.877</v>
      </c>
      <c r="F766" s="4" t="n">
        <v>5</v>
      </c>
      <c r="G766" t="inlineStr">
        <is>
          <t>Ontario Tennis Association</t>
        </is>
      </c>
      <c r="H766" t="inlineStr">
        <is>
          <t>Toronto Tennis City</t>
        </is>
      </c>
      <c r="I766" t="n">
        <v>38.1</v>
      </c>
      <c r="J766" s="4" t="n">
        <v>79</v>
      </c>
      <c r="K766" t="inlineStr">
        <is>
          <t>33 / 46</t>
        </is>
      </c>
      <c r="L766" t="inlineStr">
        <is>
          <t>15 / 23</t>
        </is>
      </c>
      <c r="M766" s="5" t="n">
        <v>0.42</v>
      </c>
      <c r="N766" s="5" t="n">
        <v>0.39</v>
      </c>
    </row>
    <row r="767">
      <c r="A767" t="n">
        <v>766</v>
      </c>
      <c r="B767" t="n">
        <v>2014</v>
      </c>
      <c r="C767" t="inlineStr">
        <is>
          <t>Avery Rose Kon</t>
        </is>
      </c>
      <c r="D767">
        <f>HYPERLINK("https://ota.tournamentsoftware.com/player-profile/3F621439-578C-4BDD-A8A2-880ECC795615", "Link")</f>
        <v/>
      </c>
      <c r="E767" s="3" t="n">
        <v>14.829</v>
      </c>
      <c r="F767" s="4" t="n">
        <v>3</v>
      </c>
      <c r="G767" t="inlineStr">
        <is>
          <t>Ontario Tennis Association</t>
        </is>
      </c>
      <c r="H767" t="inlineStr">
        <is>
          <t>Toronto Lawn Tennis Club</t>
        </is>
      </c>
      <c r="I767" t="n">
        <v>37.7</v>
      </c>
      <c r="J767" s="4" t="n">
        <v>9</v>
      </c>
      <c r="K767" t="inlineStr">
        <is>
          <t>1 / 8</t>
        </is>
      </c>
      <c r="L767" t="inlineStr">
        <is>
          <t>0 / 3</t>
        </is>
      </c>
      <c r="M767" s="5" t="n">
        <v>0.11</v>
      </c>
      <c r="N767" s="5" t="n">
        <v>0</v>
      </c>
    </row>
    <row r="768">
      <c r="A768" t="n">
        <v>767</v>
      </c>
      <c r="B768" t="n">
        <v>2012</v>
      </c>
      <c r="C768" t="inlineStr">
        <is>
          <t>Saaya Isabella Thompson</t>
        </is>
      </c>
      <c r="D768">
        <f>HYPERLINK("https://ota.tournamentsoftware.com/player-profile/E9B78A0F-EA3C-42B6-B795-AA591E989391", "Link")</f>
        <v/>
      </c>
      <c r="E768" s="3" t="n">
        <v>14.686</v>
      </c>
      <c r="F768" s="4" t="n">
        <v>2</v>
      </c>
      <c r="G768" t="inlineStr">
        <is>
          <t>British Columbia</t>
        </is>
      </c>
      <c r="H768" t="inlineStr">
        <is>
          <t>UBC Tennis Centre</t>
        </is>
      </c>
      <c r="I768" t="n">
        <v>38.8</v>
      </c>
      <c r="J768" s="4" t="n">
        <v>7</v>
      </c>
      <c r="K768" t="inlineStr">
        <is>
          <t>1 / 6</t>
        </is>
      </c>
      <c r="L768" t="inlineStr">
        <is>
          <t>0 / 3</t>
        </is>
      </c>
      <c r="M768" s="5" t="n">
        <v>0.14</v>
      </c>
      <c r="N768" s="5" t="n">
        <v>0</v>
      </c>
    </row>
    <row r="769">
      <c r="A769" t="n">
        <v>768</v>
      </c>
      <c r="B769" t="n">
        <v>2015</v>
      </c>
      <c r="C769" t="inlineStr">
        <is>
          <t>ALYSSA MA</t>
        </is>
      </c>
      <c r="D769">
        <f>HYPERLINK("https://ota.tournamentsoftware.com/player-profile/7C80CDC4-31A2-4667-A2A3-AE7AD2699300", "Link")</f>
        <v/>
      </c>
      <c r="E769" s="3" t="n">
        <v>14.658</v>
      </c>
      <c r="F769" s="4" t="n">
        <v>3</v>
      </c>
      <c r="G769" t="inlineStr">
        <is>
          <t>Ontario Tennis Association</t>
        </is>
      </c>
      <c r="H769" t="inlineStr">
        <is>
          <t>Blackmore Tennis Club</t>
        </is>
      </c>
      <c r="I769" t="n">
        <v>37.4</v>
      </c>
      <c r="J769" s="4" t="n">
        <v>15</v>
      </c>
      <c r="K769" t="inlineStr">
        <is>
          <t>7 / 8</t>
        </is>
      </c>
      <c r="L769" t="inlineStr">
        <is>
          <t>1 / 5</t>
        </is>
      </c>
      <c r="M769" s="5" t="n">
        <v>0.47</v>
      </c>
      <c r="N769" s="5" t="n">
        <v>0.17</v>
      </c>
    </row>
    <row r="770">
      <c r="A770" t="n">
        <v>769</v>
      </c>
      <c r="B770" t="n">
        <v>2012</v>
      </c>
      <c r="C770" t="inlineStr">
        <is>
          <t>Navia Kaylynn Barlow</t>
        </is>
      </c>
      <c r="D770">
        <f>HYPERLINK("https://ota.tournamentsoftware.com/player-profile/44A25362-E73B-4E09-954B-7A375954482B", "Link")</f>
        <v/>
      </c>
      <c r="E770" s="3" t="n">
        <v>14.647</v>
      </c>
      <c r="F770" s="4" t="n">
        <v>3</v>
      </c>
      <c r="G770" t="inlineStr">
        <is>
          <t>Tennis Alberta</t>
        </is>
      </c>
      <c r="H770" t="inlineStr">
        <is>
          <t>Derrick Golf &amp; Winter Club</t>
        </is>
      </c>
      <c r="I770" t="inlineStr">
        <is>
          <t>unavailable</t>
        </is>
      </c>
      <c r="J770" s="4" t="n">
        <v>6</v>
      </c>
      <c r="K770" t="inlineStr">
        <is>
          <t>2 / 4</t>
        </is>
      </c>
      <c r="L770" t="inlineStr">
        <is>
          <t>2 / 4</t>
        </is>
      </c>
      <c r="M770" s="5" t="n">
        <v>0.33</v>
      </c>
      <c r="N770" s="5" t="n">
        <v>0.33</v>
      </c>
    </row>
    <row r="771">
      <c r="A771" t="n">
        <v>770</v>
      </c>
      <c r="B771" t="n">
        <v>2015</v>
      </c>
      <c r="C771" t="inlineStr">
        <is>
          <t>Mira Akhoundova</t>
        </is>
      </c>
      <c r="D771">
        <f>HYPERLINK("https://ota.tournamentsoftware.com/player-profile/DFAA2C12-ED04-42F9-9711-F91A6745B43A", "Link")</f>
        <v/>
      </c>
      <c r="E771" s="3" t="n">
        <v>14.585</v>
      </c>
      <c r="F771" s="4" t="n">
        <v>3</v>
      </c>
      <c r="G771" t="inlineStr">
        <is>
          <t>Ontario Tennis Association</t>
        </is>
      </c>
      <c r="H771" t="inlineStr">
        <is>
          <t>Marilyn Redvers Tennis Club</t>
        </is>
      </c>
      <c r="I771" t="n">
        <v>40</v>
      </c>
      <c r="J771" s="4" t="n">
        <v>28</v>
      </c>
      <c r="K771" t="inlineStr">
        <is>
          <t>14 / 14</t>
        </is>
      </c>
      <c r="L771" t="inlineStr">
        <is>
          <t>5 / 9</t>
        </is>
      </c>
      <c r="M771" s="5" t="n">
        <v>0.5</v>
      </c>
      <c r="N771" s="5" t="n">
        <v>0.36</v>
      </c>
    </row>
    <row r="772">
      <c r="A772" t="n">
        <v>771</v>
      </c>
      <c r="B772" t="n">
        <v>2016</v>
      </c>
      <c r="C772" t="inlineStr">
        <is>
          <t>Celeste Daphne Waye</t>
        </is>
      </c>
      <c r="D772">
        <f>HYPERLINK("https://ota.tournamentsoftware.com/player-profile/1EC2A81F-62E0-4E67-B0BD-B23E18D7220B", "Link")</f>
        <v/>
      </c>
      <c r="E772" s="3" t="n">
        <v>14.4</v>
      </c>
      <c r="F772" s="4" t="n">
        <v>4</v>
      </c>
      <c r="G772" t="inlineStr">
        <is>
          <t>Tennis Newfoundland &amp; Labrador</t>
        </is>
      </c>
      <c r="H772" t="inlineStr">
        <is>
          <t>Greenbelt Tennis Club</t>
        </is>
      </c>
      <c r="I772" t="inlineStr">
        <is>
          <t>unavailable</t>
        </is>
      </c>
      <c r="J772" s="4" t="n">
        <v>38</v>
      </c>
      <c r="K772" t="inlineStr">
        <is>
          <t>15 / 23</t>
        </is>
      </c>
      <c r="L772" t="inlineStr">
        <is>
          <t>6 / 14</t>
        </is>
      </c>
      <c r="M772" s="5" t="n">
        <v>0.39</v>
      </c>
      <c r="N772" s="5" t="n">
        <v>0.3</v>
      </c>
    </row>
    <row r="773">
      <c r="A773" t="n">
        <v>771</v>
      </c>
      <c r="B773" t="n">
        <v>2017</v>
      </c>
      <c r="C773" t="inlineStr">
        <is>
          <t>Erika ko</t>
        </is>
      </c>
      <c r="D773">
        <f>HYPERLINK("https://ota.tournamentsoftware.com/player-profile/63E3DB95-CFC7-47F5-8461-E32C50FD6342", "Link")</f>
        <v/>
      </c>
      <c r="E773" s="3" t="n">
        <v>14.4</v>
      </c>
      <c r="F773" s="4" t="n">
        <v>6</v>
      </c>
      <c r="G773" t="inlineStr">
        <is>
          <t>British Columbia</t>
        </is>
      </c>
      <c r="H773" t="inlineStr">
        <is>
          <t>Richmond Country Club</t>
        </is>
      </c>
      <c r="I773" t="n">
        <v>37.9</v>
      </c>
      <c r="J773" s="4" t="n">
        <v>135</v>
      </c>
      <c r="K773" t="inlineStr">
        <is>
          <t>61 / 74</t>
        </is>
      </c>
      <c r="L773" t="inlineStr">
        <is>
          <t>4 / 8</t>
        </is>
      </c>
      <c r="M773" s="5" t="n">
        <v>0.45</v>
      </c>
      <c r="N773" s="5" t="n">
        <v>0.33</v>
      </c>
    </row>
    <row r="774">
      <c r="A774" t="n">
        <v>773</v>
      </c>
      <c r="B774" t="n">
        <v>2015</v>
      </c>
      <c r="C774" t="inlineStr">
        <is>
          <t>Nadia Mnyusiwalla</t>
        </is>
      </c>
      <c r="D774">
        <f>HYPERLINK("https://ota.tournamentsoftware.com/player-profile/0DB52458-FB00-472A-BE89-03A77FEBF08E", "Link")</f>
        <v/>
      </c>
      <c r="E774" s="3" t="n">
        <v>14.381</v>
      </c>
      <c r="F774" s="4" t="n">
        <v>3</v>
      </c>
      <c r="G774" t="inlineStr">
        <is>
          <t>Ontario Tennis Association</t>
        </is>
      </c>
      <c r="H774" t="inlineStr">
        <is>
          <t>Waterloo Tennis Club</t>
        </is>
      </c>
      <c r="I774" t="inlineStr">
        <is>
          <t>unavailable</t>
        </is>
      </c>
      <c r="J774" s="4" t="n">
        <v>54</v>
      </c>
      <c r="K774" t="inlineStr">
        <is>
          <t>15 / 39</t>
        </is>
      </c>
      <c r="L774" t="inlineStr">
        <is>
          <t>2 / 14</t>
        </is>
      </c>
      <c r="M774" s="5" t="n">
        <v>0.28</v>
      </c>
      <c r="N774" s="5" t="n">
        <v>0.12</v>
      </c>
    </row>
    <row r="775">
      <c r="A775" t="n">
        <v>774</v>
      </c>
      <c r="B775" t="n">
        <v>2014</v>
      </c>
      <c r="C775" t="inlineStr">
        <is>
          <t>Elise Hiu-Wing Lin</t>
        </is>
      </c>
      <c r="D775">
        <f>HYPERLINK("https://ota.tournamentsoftware.com/player-profile/6079C290-F004-492F-BD70-120B06A08264", "Link")</f>
        <v/>
      </c>
      <c r="E775" s="3" t="n">
        <v>14.283</v>
      </c>
      <c r="F775" s="4" t="n">
        <v>4</v>
      </c>
      <c r="G775" t="inlineStr">
        <is>
          <t>British Columbia</t>
        </is>
      </c>
      <c r="H775" t="inlineStr">
        <is>
          <t>No Club</t>
        </is>
      </c>
      <c r="I775" t="n">
        <v>36.2</v>
      </c>
      <c r="J775" s="4" t="n">
        <v>47</v>
      </c>
      <c r="K775" t="inlineStr">
        <is>
          <t>17 / 30</t>
        </is>
      </c>
      <c r="L775" t="inlineStr">
        <is>
          <t>4 / 5</t>
        </is>
      </c>
      <c r="M775" s="5" t="n">
        <v>0.36</v>
      </c>
      <c r="N775" s="5" t="n">
        <v>0.44</v>
      </c>
    </row>
    <row r="776">
      <c r="A776" t="n">
        <v>775</v>
      </c>
      <c r="B776" t="n">
        <v>2012</v>
      </c>
      <c r="C776" t="inlineStr">
        <is>
          <t>Nora Skogen</t>
        </is>
      </c>
      <c r="D776">
        <f>HYPERLINK("https://ota.tournamentsoftware.com/player-profile/84E488EE-ABCE-4936-AC77-DCF33DA7BE52", "Link")</f>
        <v/>
      </c>
      <c r="E776" s="3" t="n">
        <v>14.256</v>
      </c>
      <c r="F776" s="4" t="n">
        <v>1</v>
      </c>
      <c r="G776" t="inlineStr">
        <is>
          <t>British Columbia</t>
        </is>
      </c>
      <c r="H776" t="inlineStr">
        <is>
          <t>Hollyburn Country Club</t>
        </is>
      </c>
      <c r="I776" t="n">
        <v>32.2</v>
      </c>
      <c r="J776" s="4" t="n">
        <v>164</v>
      </c>
      <c r="K776" t="inlineStr">
        <is>
          <t>79 / 85</t>
        </is>
      </c>
      <c r="L776" t="inlineStr">
        <is>
          <t>1 / 1</t>
        </is>
      </c>
      <c r="M776" s="5" t="n">
        <v>0.48</v>
      </c>
      <c r="N776" s="5" t="n">
        <v>0.5</v>
      </c>
    </row>
    <row r="777">
      <c r="A777" t="n">
        <v>776</v>
      </c>
      <c r="B777" t="n">
        <v>2012</v>
      </c>
      <c r="C777" t="inlineStr">
        <is>
          <t>Renee Burton</t>
        </is>
      </c>
      <c r="D777">
        <f>HYPERLINK("https://ota.tournamentsoftware.com/player-profile/88D51E75-4EAF-4390-8A85-9E01D5A7B97C", "Link")</f>
        <v/>
      </c>
      <c r="E777" s="3" t="n">
        <v>14.11</v>
      </c>
      <c r="F777" s="4" t="n">
        <v>1</v>
      </c>
      <c r="G777" t="inlineStr">
        <is>
          <t>Ontario Tennis Association</t>
        </is>
      </c>
      <c r="H777" t="inlineStr">
        <is>
          <t>ACE Tennis - Burlington</t>
        </is>
      </c>
      <c r="I777" t="n">
        <v>35.8</v>
      </c>
      <c r="J777" s="4" t="n">
        <v>13</v>
      </c>
      <c r="K777" t="inlineStr">
        <is>
          <t>9 / 4</t>
        </is>
      </c>
      <c r="L777" t="inlineStr">
        <is>
          <t>9 / 4</t>
        </is>
      </c>
      <c r="M777" s="5" t="n">
        <v>0.6899999999999999</v>
      </c>
      <c r="N777" s="5" t="n">
        <v>0.6899999999999999</v>
      </c>
    </row>
    <row r="778">
      <c r="A778" t="n">
        <v>777</v>
      </c>
      <c r="B778" t="n">
        <v>2012</v>
      </c>
      <c r="C778" t="inlineStr">
        <is>
          <t>Alice Le</t>
        </is>
      </c>
      <c r="D778">
        <f>HYPERLINK("https://ota.tournamentsoftware.com/player-profile/762C717D-CB5B-4A61-877E-C235D5E4911F", "Link")</f>
        <v/>
      </c>
      <c r="E778" s="3" t="n">
        <v>14.04</v>
      </c>
      <c r="F778" s="4" t="n">
        <v>1</v>
      </c>
      <c r="G778" t="inlineStr">
        <is>
          <t>British Columbia</t>
        </is>
      </c>
      <c r="H778" t="inlineStr">
        <is>
          <t>City of Vancouver</t>
        </is>
      </c>
      <c r="I778" t="inlineStr">
        <is>
          <t>unavailable</t>
        </is>
      </c>
      <c r="J778" s="4" t="n">
        <v>10</v>
      </c>
      <c r="K778" t="inlineStr">
        <is>
          <t>7 / 3</t>
        </is>
      </c>
      <c r="L778" t="inlineStr">
        <is>
          <t>1 / 1</t>
        </is>
      </c>
      <c r="M778" s="5" t="n">
        <v>0.7</v>
      </c>
      <c r="N778" s="5" t="n">
        <v>0.5</v>
      </c>
    </row>
    <row r="779">
      <c r="A779" t="n">
        <v>778</v>
      </c>
      <c r="B779" t="n">
        <v>2012</v>
      </c>
      <c r="C779" t="inlineStr">
        <is>
          <t>Julia Michelle Cipriano</t>
        </is>
      </c>
      <c r="D779">
        <f>HYPERLINK("https://ota.tournamentsoftware.com/player-profile/EC29FADF-ECEA-4CC3-AE9B-2987D1E47266", "Link")</f>
        <v/>
      </c>
      <c r="E779" s="3" t="n">
        <v>13.725</v>
      </c>
      <c r="F779" s="4" t="n">
        <v>2</v>
      </c>
      <c r="G779" t="inlineStr">
        <is>
          <t>British Columbia</t>
        </is>
      </c>
      <c r="H779" t="inlineStr">
        <is>
          <t>West Vancouver Tennis Club</t>
        </is>
      </c>
      <c r="I779" t="n">
        <v>37</v>
      </c>
      <c r="J779" s="4" t="n">
        <v>18</v>
      </c>
      <c r="K779" t="inlineStr">
        <is>
          <t>8 / 10</t>
        </is>
      </c>
      <c r="L779" t="inlineStr">
        <is>
          <t>6 / 6</t>
        </is>
      </c>
      <c r="M779" s="5" t="n">
        <v>0.44</v>
      </c>
      <c r="N779" s="5" t="n">
        <v>0.5</v>
      </c>
    </row>
    <row r="780">
      <c r="A780" t="n">
        <v>779</v>
      </c>
      <c r="B780" t="n">
        <v>2016</v>
      </c>
      <c r="C780" t="inlineStr">
        <is>
          <t>Joud Marmash</t>
        </is>
      </c>
      <c r="D780">
        <f>HYPERLINK("https://ota.tournamentsoftware.com/player-profile/7F8FB01C-3EB1-48B9-B051-119BB01F4118", "Link")</f>
        <v/>
      </c>
      <c r="E780" s="3" t="n">
        <v>13.68</v>
      </c>
      <c r="F780" s="4" t="n">
        <v>7</v>
      </c>
      <c r="G780" t="inlineStr">
        <is>
          <t>Ontario Tennis Association</t>
        </is>
      </c>
      <c r="H780" t="inlineStr">
        <is>
          <t>Zekelman Tennis Centre</t>
        </is>
      </c>
      <c r="I780" t="n">
        <v>37.7</v>
      </c>
      <c r="J780" s="4" t="n">
        <v>19</v>
      </c>
      <c r="K780" t="inlineStr">
        <is>
          <t>5 / 14</t>
        </is>
      </c>
      <c r="L780" t="inlineStr">
        <is>
          <t>5 / 14</t>
        </is>
      </c>
      <c r="M780" s="5" t="n">
        <v>0.26</v>
      </c>
      <c r="N780" s="5" t="n">
        <v>0.26</v>
      </c>
    </row>
    <row r="781">
      <c r="A781" t="n">
        <v>780</v>
      </c>
      <c r="B781" t="n">
        <v>2014</v>
      </c>
      <c r="C781" t="inlineStr">
        <is>
          <t>Mia Mengchen Sun</t>
        </is>
      </c>
      <c r="D781">
        <f>HYPERLINK("https://ota.tournamentsoftware.com/player-profile/BFD3D157-D2B6-45BF-BE92-CACB69CCC59C", "Link")</f>
        <v/>
      </c>
      <c r="E781" s="3" t="n">
        <v>13.578</v>
      </c>
      <c r="F781" s="4" t="n">
        <v>4</v>
      </c>
      <c r="G781" t="inlineStr">
        <is>
          <t>Ontario Tennis Association</t>
        </is>
      </c>
      <c r="H781" t="inlineStr">
        <is>
          <t>Markham Tennis Club</t>
        </is>
      </c>
      <c r="I781" t="n">
        <v>37.9</v>
      </c>
      <c r="J781" s="4" t="n">
        <v>51</v>
      </c>
      <c r="K781" t="inlineStr">
        <is>
          <t>32 / 19</t>
        </is>
      </c>
      <c r="L781" t="inlineStr">
        <is>
          <t>0 / 0</t>
        </is>
      </c>
      <c r="M781" s="5" t="n">
        <v>0.63</v>
      </c>
      <c r="N781" s="5" t="n">
        <v>0</v>
      </c>
    </row>
    <row r="782">
      <c r="A782" t="n">
        <v>781</v>
      </c>
      <c r="B782" t="n">
        <v>2013</v>
      </c>
      <c r="C782" t="inlineStr">
        <is>
          <t>Hailey Johnson</t>
        </is>
      </c>
      <c r="D782">
        <f>HYPERLINK("https://ota.tournamentsoftware.com/player-profile/D4247C6C-DBD8-41D1-867E-D35290341BA8", "Link")</f>
        <v/>
      </c>
      <c r="E782" s="3" t="n">
        <v>13.23</v>
      </c>
      <c r="F782" s="4" t="n">
        <v>2</v>
      </c>
      <c r="G782" t="inlineStr">
        <is>
          <t>British Columbia</t>
        </is>
      </c>
      <c r="H782" t="inlineStr">
        <is>
          <t>Tennis for Life</t>
        </is>
      </c>
      <c r="I782" t="inlineStr">
        <is>
          <t>unavailable</t>
        </is>
      </c>
      <c r="J782" s="4" t="n">
        <v>49</v>
      </c>
      <c r="K782" t="inlineStr">
        <is>
          <t>28 / 21</t>
        </is>
      </c>
      <c r="L782" t="inlineStr">
        <is>
          <t>1 / 1</t>
        </is>
      </c>
      <c r="M782" s="5" t="n">
        <v>0.57</v>
      </c>
      <c r="N782" s="5" t="n">
        <v>0.5</v>
      </c>
    </row>
    <row r="783">
      <c r="A783" t="n">
        <v>782</v>
      </c>
      <c r="B783" t="n">
        <v>2013</v>
      </c>
      <c r="C783" t="inlineStr">
        <is>
          <t>caitlin wong</t>
        </is>
      </c>
      <c r="D783">
        <f>HYPERLINK("https://ota.tournamentsoftware.com/player-profile/A6697051-116D-4981-AA23-11E1BF963FD3", "Link")</f>
        <v/>
      </c>
      <c r="E783" s="3" t="n">
        <v>13</v>
      </c>
      <c r="F783" s="4" t="n">
        <v>1</v>
      </c>
      <c r="G783" t="inlineStr">
        <is>
          <t>Ontario Tennis Association</t>
        </is>
      </c>
      <c r="H783" t="inlineStr">
        <is>
          <t>Blackmore Tennis Club</t>
        </is>
      </c>
      <c r="I783" t="n">
        <v>37.2</v>
      </c>
      <c r="J783" s="4" t="n">
        <v>56</v>
      </c>
      <c r="K783" t="inlineStr">
        <is>
          <t>29 / 27</t>
        </is>
      </c>
      <c r="L783" t="inlineStr">
        <is>
          <t>0 / 0</t>
        </is>
      </c>
      <c r="M783" s="5" t="n">
        <v>0.52</v>
      </c>
      <c r="N783" s="5" t="n">
        <v>0</v>
      </c>
    </row>
    <row r="784">
      <c r="A784" t="n">
        <v>783</v>
      </c>
      <c r="B784" t="n">
        <v>2016</v>
      </c>
      <c r="C784" t="inlineStr">
        <is>
          <t>Scarlett Prsa</t>
        </is>
      </c>
      <c r="D784">
        <f>HYPERLINK("https://ota.tournamentsoftware.com/player-profile/CDBDFDF5-0DDE-4F1C-B33B-F163CF134B52", "Link")</f>
        <v/>
      </c>
      <c r="E784" s="3" t="n">
        <v>12.911</v>
      </c>
      <c r="F784" s="4" t="n">
        <v>6</v>
      </c>
      <c r="G784" t="inlineStr">
        <is>
          <t>Ontario Tennis Association</t>
        </is>
      </c>
      <c r="H784" t="inlineStr">
        <is>
          <t>Advantage Tennis International at Veneto</t>
        </is>
      </c>
      <c r="I784" t="n">
        <v>38.4</v>
      </c>
      <c r="J784" s="4" t="n">
        <v>140</v>
      </c>
      <c r="K784" t="inlineStr">
        <is>
          <t>53 / 87</t>
        </is>
      </c>
      <c r="L784" t="inlineStr">
        <is>
          <t>17 / 21</t>
        </is>
      </c>
      <c r="M784" s="5" t="n">
        <v>0.38</v>
      </c>
      <c r="N784" s="5" t="n">
        <v>0.45</v>
      </c>
    </row>
    <row r="785">
      <c r="A785" t="n">
        <v>784</v>
      </c>
      <c r="B785" t="n">
        <v>2012</v>
      </c>
      <c r="C785" t="inlineStr">
        <is>
          <t>Ai-Ni Amelia Cheng</t>
        </is>
      </c>
      <c r="D785">
        <f>HYPERLINK("https://ota.tournamentsoftware.com/player-profile/040F8D36-CAF3-4E90-85FB-8F17F2F92E8F", "Link")</f>
        <v/>
      </c>
      <c r="E785" s="3" t="n">
        <v>12.906</v>
      </c>
      <c r="F785" s="4" t="n">
        <v>1</v>
      </c>
      <c r="G785" t="inlineStr">
        <is>
          <t>Ontario Tennis Association</t>
        </is>
      </c>
      <c r="H785" t="inlineStr">
        <is>
          <t>ON West Central No Club</t>
        </is>
      </c>
      <c r="I785" t="n">
        <v>38.5</v>
      </c>
      <c r="J785" s="4" t="n">
        <v>7</v>
      </c>
      <c r="K785" t="inlineStr">
        <is>
          <t>4 / 3</t>
        </is>
      </c>
      <c r="L785" t="inlineStr">
        <is>
          <t>0 / 2</t>
        </is>
      </c>
      <c r="M785" s="5" t="n">
        <v>0.57</v>
      </c>
      <c r="N785" s="5" t="n">
        <v>0</v>
      </c>
    </row>
    <row r="786">
      <c r="A786" t="n">
        <v>785</v>
      </c>
      <c r="B786" t="n">
        <v>2015</v>
      </c>
      <c r="C786" t="inlineStr">
        <is>
          <t>Olive Allen</t>
        </is>
      </c>
      <c r="D786">
        <f>HYPERLINK("https://ota.tournamentsoftware.com/player-profile/B0709DF4-F657-4BE5-870B-1467DB919D18", "Link")</f>
        <v/>
      </c>
      <c r="E786" s="3" t="n">
        <v>12.745</v>
      </c>
      <c r="F786" s="4" t="n">
        <v>4</v>
      </c>
      <c r="G786" t="inlineStr">
        <is>
          <t>British Columbia</t>
        </is>
      </c>
      <c r="H786" t="inlineStr">
        <is>
          <t>Hollyburn Country Club</t>
        </is>
      </c>
      <c r="I786" t="n">
        <v>39.6</v>
      </c>
      <c r="J786" s="4" t="n">
        <v>41</v>
      </c>
      <c r="K786" t="inlineStr">
        <is>
          <t>13 / 28</t>
        </is>
      </c>
      <c r="L786" t="inlineStr">
        <is>
          <t>4 / 12</t>
        </is>
      </c>
      <c r="M786" s="5" t="n">
        <v>0.32</v>
      </c>
      <c r="N786" s="5" t="n">
        <v>0.25</v>
      </c>
    </row>
    <row r="787">
      <c r="A787" t="n">
        <v>786</v>
      </c>
      <c r="B787" t="n">
        <v>2013</v>
      </c>
      <c r="C787" t="inlineStr">
        <is>
          <t>Felicia Mingfei Li</t>
        </is>
      </c>
      <c r="D787">
        <f>HYPERLINK("https://ota.tournamentsoftware.com/player-profile/32F60D7D-3E57-4800-9C5C-282147021863", "Link")</f>
        <v/>
      </c>
      <c r="E787" s="3" t="n">
        <v>12.378</v>
      </c>
      <c r="F787" s="4" t="n">
        <v>2</v>
      </c>
      <c r="G787" t="inlineStr">
        <is>
          <t>Ontario Tennis Association</t>
        </is>
      </c>
      <c r="H787" t="inlineStr">
        <is>
          <t>Marilyn Redvers Tennis Club</t>
        </is>
      </c>
      <c r="I787" t="n">
        <v>39.7</v>
      </c>
      <c r="J787" s="4" t="n">
        <v>31</v>
      </c>
      <c r="K787" t="inlineStr">
        <is>
          <t>9 / 22</t>
        </is>
      </c>
      <c r="L787" t="inlineStr">
        <is>
          <t>0 / 2</t>
        </is>
      </c>
      <c r="M787" s="5" t="n">
        <v>0.29</v>
      </c>
      <c r="N787" s="5" t="n">
        <v>0</v>
      </c>
    </row>
    <row r="788">
      <c r="A788" t="n">
        <v>787</v>
      </c>
      <c r="B788" t="n">
        <v>2012</v>
      </c>
      <c r="C788" t="inlineStr">
        <is>
          <t>Erika Vanessa Petko</t>
        </is>
      </c>
      <c r="D788">
        <f>HYPERLINK("https://ota.tournamentsoftware.com/player-profile/F03891C3-70EF-4EDD-962E-3C87823000BE", "Link")</f>
        <v/>
      </c>
      <c r="E788" s="3" t="n">
        <v>12.336</v>
      </c>
      <c r="F788" s="4" t="n">
        <v>1</v>
      </c>
      <c r="G788" t="inlineStr">
        <is>
          <t>Ontario Tennis Association</t>
        </is>
      </c>
      <c r="H788" t="inlineStr">
        <is>
          <t>Applewood Tennis Club</t>
        </is>
      </c>
      <c r="I788" t="n">
        <v>37</v>
      </c>
      <c r="J788" s="4" t="n">
        <v>11</v>
      </c>
      <c r="K788" t="inlineStr">
        <is>
          <t>3 / 8</t>
        </is>
      </c>
      <c r="L788" t="inlineStr">
        <is>
          <t>0 / 3</t>
        </is>
      </c>
      <c r="M788" s="5" t="n">
        <v>0.27</v>
      </c>
      <c r="N788" s="5" t="n">
        <v>0</v>
      </c>
    </row>
    <row r="789">
      <c r="A789" t="n">
        <v>787</v>
      </c>
      <c r="B789" t="n">
        <v>2012</v>
      </c>
      <c r="C789" t="inlineStr">
        <is>
          <t>Anzhuo Yi</t>
        </is>
      </c>
      <c r="D789">
        <f>HYPERLINK("https://ota.tournamentsoftware.com/player-profile/60444867-D5FF-4226-8841-4058D520099B", "Link")</f>
        <v/>
      </c>
      <c r="E789" s="3" t="n">
        <v>12.336</v>
      </c>
      <c r="F789" s="4" t="n">
        <v>1</v>
      </c>
      <c r="G789" t="inlineStr">
        <is>
          <t>Ontario Tennis Association</t>
        </is>
      </c>
      <c r="H789" t="inlineStr">
        <is>
          <t>Premier Racquet Clubs – Mississauga</t>
        </is>
      </c>
      <c r="I789" t="n">
        <v>37.6</v>
      </c>
      <c r="J789" s="4" t="n">
        <v>8</v>
      </c>
      <c r="K789" t="inlineStr">
        <is>
          <t>2 / 6</t>
        </is>
      </c>
      <c r="L789" t="inlineStr">
        <is>
          <t>2 / 6</t>
        </is>
      </c>
      <c r="M789" s="5" t="n">
        <v>0.25</v>
      </c>
      <c r="N789" s="5" t="n">
        <v>0.25</v>
      </c>
    </row>
    <row r="790">
      <c r="A790" t="n">
        <v>787</v>
      </c>
      <c r="B790" t="n">
        <v>2013</v>
      </c>
      <c r="C790" t="inlineStr">
        <is>
          <t>Julia Oliveira</t>
        </is>
      </c>
      <c r="D790">
        <f>HYPERLINK("https://ota.tournamentsoftware.com/player-profile/8FA709B7-042D-441D-AE4D-A4E0320D6B65", "Link")</f>
        <v/>
      </c>
      <c r="E790" s="3" t="n">
        <v>12.336</v>
      </c>
      <c r="F790" s="4" t="n">
        <v>1</v>
      </c>
      <c r="G790" t="inlineStr">
        <is>
          <t>Ontario Tennis Association</t>
        </is>
      </c>
      <c r="H790" t="inlineStr">
        <is>
          <t>No Club</t>
        </is>
      </c>
      <c r="I790" t="n">
        <v>36.6</v>
      </c>
      <c r="J790" s="4" t="n">
        <v>20</v>
      </c>
      <c r="K790" t="inlineStr">
        <is>
          <t>7 / 13</t>
        </is>
      </c>
      <c r="L790" t="inlineStr">
        <is>
          <t>6 / 11</t>
        </is>
      </c>
      <c r="M790" s="5" t="n">
        <v>0.35</v>
      </c>
      <c r="N790" s="5" t="n">
        <v>0.35</v>
      </c>
    </row>
    <row r="791">
      <c r="A791" t="n">
        <v>790</v>
      </c>
      <c r="B791" t="n">
        <v>2013</v>
      </c>
      <c r="C791" t="inlineStr">
        <is>
          <t>Addison Gilbertson</t>
        </is>
      </c>
      <c r="D791">
        <f>HYPERLINK("https://ota.tournamentsoftware.com/player-profile/C50AF072-EF16-4516-9D5D-42DF1D345F44", "Link")</f>
        <v/>
      </c>
      <c r="E791" s="3" t="n">
        <v>11.909</v>
      </c>
      <c r="F791" s="4" t="n">
        <v>4</v>
      </c>
      <c r="G791" t="inlineStr">
        <is>
          <t>Tennis Alberta</t>
        </is>
      </c>
      <c r="H791" t="inlineStr">
        <is>
          <t>IQ Tennis and Pickleball Centre</t>
        </is>
      </c>
      <c r="I791" t="n">
        <v>38.1</v>
      </c>
      <c r="J791" s="4" t="n">
        <v>48</v>
      </c>
      <c r="K791" t="inlineStr">
        <is>
          <t>18 / 30</t>
        </is>
      </c>
      <c r="L791" t="inlineStr">
        <is>
          <t>1 / 4</t>
        </is>
      </c>
      <c r="M791" s="5" t="n">
        <v>0.38</v>
      </c>
      <c r="N791" s="5" t="n">
        <v>0.2</v>
      </c>
    </row>
    <row r="792">
      <c r="A792" t="n">
        <v>791</v>
      </c>
      <c r="B792" t="n">
        <v>2014</v>
      </c>
      <c r="C792" t="inlineStr">
        <is>
          <t>Kayla Caden</t>
        </is>
      </c>
      <c r="D792">
        <f>HYPERLINK("https://ota.tournamentsoftware.com/player-profile/EB31E71A-90E6-4B10-9538-33BC7B66EA6E", "Link")</f>
        <v/>
      </c>
      <c r="E792" s="3" t="n">
        <v>11.809</v>
      </c>
      <c r="F792" s="4" t="n">
        <v>3</v>
      </c>
      <c r="G792" t="inlineStr">
        <is>
          <t>Tennis Québec</t>
        </is>
      </c>
      <c r="H792" t="inlineStr">
        <is>
          <t>Club de tennis St-Lambert</t>
        </is>
      </c>
      <c r="I792" t="n">
        <v>38.1</v>
      </c>
      <c r="J792" s="4" t="n">
        <v>11</v>
      </c>
      <c r="K792" t="inlineStr">
        <is>
          <t>4 / 7</t>
        </is>
      </c>
      <c r="L792" t="inlineStr">
        <is>
          <t>2 / 3</t>
        </is>
      </c>
      <c r="M792" s="5" t="n">
        <v>0.36</v>
      </c>
      <c r="N792" s="5" t="n">
        <v>0.4</v>
      </c>
    </row>
    <row r="793">
      <c r="A793" t="n">
        <v>792</v>
      </c>
      <c r="B793" t="n">
        <v>2013</v>
      </c>
      <c r="C793" t="inlineStr">
        <is>
          <t>Robin Lee</t>
        </is>
      </c>
      <c r="D793">
        <f>HYPERLINK("https://ota.tournamentsoftware.com/player-profile/0DB12770-F2FF-469C-87ED-5B5A242C6A08", "Link")</f>
        <v/>
      </c>
      <c r="E793" s="3" t="n">
        <v>11.657</v>
      </c>
      <c r="F793" s="4" t="n">
        <v>2</v>
      </c>
      <c r="G793" t="inlineStr">
        <is>
          <t>Ontario Tennis Association</t>
        </is>
      </c>
      <c r="H793" t="inlineStr">
        <is>
          <t>No Club</t>
        </is>
      </c>
      <c r="I793" t="n">
        <v>39.2</v>
      </c>
      <c r="J793" s="4" t="n">
        <v>58</v>
      </c>
      <c r="K793" t="inlineStr">
        <is>
          <t>11 / 47</t>
        </is>
      </c>
      <c r="L793" t="inlineStr">
        <is>
          <t>0 / 0</t>
        </is>
      </c>
      <c r="M793" s="5" t="n">
        <v>0.19</v>
      </c>
      <c r="N793" s="5" t="n">
        <v>0</v>
      </c>
    </row>
    <row r="794">
      <c r="A794" t="n">
        <v>793</v>
      </c>
      <c r="B794" t="n">
        <v>2015</v>
      </c>
      <c r="C794" t="inlineStr">
        <is>
          <t>Cléony Le</t>
        </is>
      </c>
      <c r="D794">
        <f>HYPERLINK("https://ota.tournamentsoftware.com/player-profile/D1C4971B-CB54-436E-9303-C69424DC84AC", "Link")</f>
        <v/>
      </c>
      <c r="E794" s="3" t="n">
        <v>11.429</v>
      </c>
      <c r="F794" s="4" t="n">
        <v>1</v>
      </c>
      <c r="G794" t="inlineStr">
        <is>
          <t>Tennis Québec</t>
        </is>
      </c>
      <c r="H794" t="inlineStr">
        <is>
          <t>Centre récréatif de Repentigny / Académie Tennis Momentum</t>
        </is>
      </c>
      <c r="I794" t="n">
        <v>37</v>
      </c>
      <c r="J794" s="4" t="n">
        <v>32</v>
      </c>
      <c r="K794" t="inlineStr">
        <is>
          <t>15 / 17</t>
        </is>
      </c>
      <c r="L794" t="inlineStr">
        <is>
          <t>0 / 1</t>
        </is>
      </c>
      <c r="M794" s="5" t="n">
        <v>0.47</v>
      </c>
      <c r="N794" s="5" t="n">
        <v>0</v>
      </c>
    </row>
    <row r="795">
      <c r="A795" t="n">
        <v>794</v>
      </c>
      <c r="B795" t="n">
        <v>2016</v>
      </c>
      <c r="C795" t="inlineStr">
        <is>
          <t>Emma Hao</t>
        </is>
      </c>
      <c r="D795">
        <f>HYPERLINK("https://ota.tournamentsoftware.com/player-profile/144D222A-CD06-4355-817D-B27D5DB62B85", "Link")</f>
        <v/>
      </c>
      <c r="E795" s="3" t="n">
        <v>11.141</v>
      </c>
      <c r="F795" s="4" t="n">
        <v>5</v>
      </c>
      <c r="G795" t="inlineStr">
        <is>
          <t>Ontario Tennis Association</t>
        </is>
      </c>
      <c r="H795" t="inlineStr">
        <is>
          <t>Toronto Tennis City</t>
        </is>
      </c>
      <c r="I795" t="n">
        <v>38.1</v>
      </c>
      <c r="J795" s="4" t="n">
        <v>76</v>
      </c>
      <c r="K795" t="inlineStr">
        <is>
          <t>40 / 36</t>
        </is>
      </c>
      <c r="L795" t="inlineStr">
        <is>
          <t>20 / 12</t>
        </is>
      </c>
      <c r="M795" s="5" t="n">
        <v>0.53</v>
      </c>
      <c r="N795" s="5" t="n">
        <v>0.62</v>
      </c>
    </row>
    <row r="796">
      <c r="A796" t="n">
        <v>795</v>
      </c>
      <c r="B796" t="n">
        <v>2015</v>
      </c>
      <c r="C796" t="inlineStr">
        <is>
          <t>Marissa Grisedale</t>
        </is>
      </c>
      <c r="D796">
        <f>HYPERLINK("https://ota.tournamentsoftware.com/player-profile/FACB5C24-4DB7-463B-A373-69C70E1AC8E4", "Link")</f>
        <v/>
      </c>
      <c r="E796" s="3" t="n">
        <v>11.043</v>
      </c>
      <c r="F796" s="4" t="n">
        <v>3</v>
      </c>
      <c r="G796" t="inlineStr">
        <is>
          <t>British Columbia</t>
        </is>
      </c>
      <c r="H796" t="inlineStr">
        <is>
          <t>Commons Racquet Club at Predator Ridge</t>
        </is>
      </c>
      <c r="I796" t="n">
        <v>37.2</v>
      </c>
      <c r="J796" s="4" t="n">
        <v>40</v>
      </c>
      <c r="K796" t="inlineStr">
        <is>
          <t>20 / 20</t>
        </is>
      </c>
      <c r="L796" t="inlineStr">
        <is>
          <t>3 / 5</t>
        </is>
      </c>
      <c r="M796" s="5" t="n">
        <v>0.5</v>
      </c>
      <c r="N796" s="5" t="n">
        <v>0.38</v>
      </c>
    </row>
    <row r="797">
      <c r="A797" t="n">
        <v>796</v>
      </c>
      <c r="B797" t="n">
        <v>2012</v>
      </c>
      <c r="C797" t="inlineStr">
        <is>
          <t>Maya Chow</t>
        </is>
      </c>
      <c r="D797">
        <f>HYPERLINK("https://ota.tournamentsoftware.com/player-profile/FE33DD51-BEAF-4E17-BDBB-2558B4A2AFE6", "Link")</f>
        <v/>
      </c>
      <c r="E797" s="3" t="n">
        <v>11.011</v>
      </c>
      <c r="F797" s="4" t="n">
        <v>1</v>
      </c>
      <c r="G797" t="inlineStr">
        <is>
          <t>Ontario Tennis Association</t>
        </is>
      </c>
      <c r="H797" t="inlineStr">
        <is>
          <t>ACE Tennis - Toronto Tennis City</t>
        </is>
      </c>
      <c r="I797" t="n">
        <v>34.6</v>
      </c>
      <c r="J797" s="4" t="n">
        <v>16</v>
      </c>
      <c r="K797" t="inlineStr">
        <is>
          <t>10 / 6</t>
        </is>
      </c>
      <c r="L797" t="inlineStr">
        <is>
          <t>10 / 6</t>
        </is>
      </c>
      <c r="M797" s="5" t="n">
        <v>0.62</v>
      </c>
      <c r="N797" s="5" t="n">
        <v>0.62</v>
      </c>
    </row>
    <row r="798">
      <c r="A798" t="n">
        <v>797</v>
      </c>
      <c r="B798" t="n">
        <v>2015</v>
      </c>
      <c r="C798" t="inlineStr">
        <is>
          <t>Fabiola Antonella Sanchez Ferreyra</t>
        </is>
      </c>
      <c r="D798">
        <f>HYPERLINK("https://ota.tournamentsoftware.com/player-profile/B37A6388-D965-4303-A37E-1111875A98DF", "Link")</f>
        <v/>
      </c>
      <c r="E798" s="3" t="n">
        <v>10.873</v>
      </c>
      <c r="F798" s="4" t="n">
        <v>1</v>
      </c>
      <c r="G798" t="inlineStr">
        <is>
          <t>Tennis Québec</t>
        </is>
      </c>
      <c r="H798" t="inlineStr">
        <is>
          <t>SANI Sport</t>
        </is>
      </c>
      <c r="I798" t="n">
        <v>39.4</v>
      </c>
      <c r="J798" s="4" t="n">
        <v>12</v>
      </c>
      <c r="K798" t="inlineStr">
        <is>
          <t>7 / 5</t>
        </is>
      </c>
      <c r="L798" t="inlineStr">
        <is>
          <t>0 / 1</t>
        </is>
      </c>
      <c r="M798" s="5" t="n">
        <v>0.58</v>
      </c>
      <c r="N798" s="5" t="n">
        <v>0</v>
      </c>
    </row>
    <row r="799">
      <c r="A799" t="n">
        <v>798</v>
      </c>
      <c r="B799" t="n">
        <v>2016</v>
      </c>
      <c r="C799" t="inlineStr">
        <is>
          <t>Archini Bera</t>
        </is>
      </c>
      <c r="D799">
        <f>HYPERLINK("https://ota.tournamentsoftware.com/player-profile/6FA68B83-6E0E-4A78-81A0-6004576A8E6E", "Link")</f>
        <v/>
      </c>
      <c r="E799" s="3" t="n">
        <v>10.8</v>
      </c>
      <c r="F799" s="4" t="n">
        <v>3</v>
      </c>
      <c r="G799" t="inlineStr">
        <is>
          <t>Ontario Tennis Association</t>
        </is>
      </c>
      <c r="H799" t="inlineStr">
        <is>
          <t>Rideau Sports Centre</t>
        </is>
      </c>
      <c r="I799" t="inlineStr">
        <is>
          <t>unavailable</t>
        </is>
      </c>
      <c r="J799" s="4" t="n">
        <v>50</v>
      </c>
      <c r="K799" t="inlineStr">
        <is>
          <t>30 / 20</t>
        </is>
      </c>
      <c r="L799" t="inlineStr">
        <is>
          <t>27 / 11</t>
        </is>
      </c>
      <c r="M799" s="5" t="n">
        <v>0.6</v>
      </c>
      <c r="N799" s="5" t="n">
        <v>0.71</v>
      </c>
    </row>
    <row r="800">
      <c r="A800" t="n">
        <v>798</v>
      </c>
      <c r="B800" t="n">
        <v>2012</v>
      </c>
      <c r="C800" t="inlineStr">
        <is>
          <t>Jiayi Emma Wang</t>
        </is>
      </c>
      <c r="D800">
        <f>HYPERLINK("https://ota.tournamentsoftware.com/player-profile/C6ED9D5C-83AD-4AC9-9DCE-1D21A2304573", "Link")</f>
        <v/>
      </c>
      <c r="E800" s="3" t="n">
        <v>10.8</v>
      </c>
      <c r="F800" s="4" t="n">
        <v>1</v>
      </c>
      <c r="G800" t="inlineStr">
        <is>
          <t>British Columbia</t>
        </is>
      </c>
      <c r="H800" t="inlineStr">
        <is>
          <t>No Club</t>
        </is>
      </c>
      <c r="I800" t="inlineStr">
        <is>
          <t>unavailable</t>
        </is>
      </c>
      <c r="J800" s="4" t="n">
        <v>12</v>
      </c>
      <c r="K800" t="inlineStr">
        <is>
          <t>2 / 10</t>
        </is>
      </c>
      <c r="L800" t="inlineStr">
        <is>
          <t>1 / 1</t>
        </is>
      </c>
      <c r="M800" s="5" t="n">
        <v>0.17</v>
      </c>
      <c r="N800" s="5" t="n">
        <v>0.5</v>
      </c>
    </row>
    <row r="801">
      <c r="A801" t="n">
        <v>798</v>
      </c>
      <c r="B801" t="n">
        <v>2016</v>
      </c>
      <c r="C801" t="inlineStr">
        <is>
          <t>Christina Chen</t>
        </is>
      </c>
      <c r="D801">
        <f>HYPERLINK("https://ota.tournamentsoftware.com/player-profile/77F19A45-EF05-4CCE-896B-44A6BEF594C7", "Link")</f>
        <v/>
      </c>
      <c r="E801" s="3" t="n">
        <v>10.8</v>
      </c>
      <c r="F801" s="4" t="n">
        <v>3</v>
      </c>
      <c r="G801" t="inlineStr">
        <is>
          <t>Ontario Tennis Association</t>
        </is>
      </c>
      <c r="H801" t="inlineStr">
        <is>
          <t>No Club</t>
        </is>
      </c>
      <c r="I801" t="n">
        <v>39.9</v>
      </c>
      <c r="J801" s="4" t="n">
        <v>74</v>
      </c>
      <c r="K801" t="inlineStr">
        <is>
          <t>7 / 67</t>
        </is>
      </c>
      <c r="L801" t="inlineStr">
        <is>
          <t>3 / 14</t>
        </is>
      </c>
      <c r="M801" s="5" t="n">
        <v>0.09</v>
      </c>
      <c r="N801" s="5" t="n">
        <v>0.18</v>
      </c>
    </row>
    <row r="802">
      <c r="A802" t="n">
        <v>801</v>
      </c>
      <c r="B802" t="n">
        <v>2013</v>
      </c>
      <c r="C802" t="inlineStr">
        <is>
          <t>Alice Xinlan Zhang</t>
        </is>
      </c>
      <c r="D802">
        <f>HYPERLINK("https://ota.tournamentsoftware.com/player-profile/5AB3ED93-EFEA-4CB0-A2FB-B5B93AA6A37B", "Link")</f>
        <v/>
      </c>
      <c r="E802" s="3" t="n">
        <v>10.68</v>
      </c>
      <c r="F802" s="4" t="n">
        <v>1</v>
      </c>
      <c r="G802" t="inlineStr">
        <is>
          <t>Tennis Newfoundland &amp; Labrador</t>
        </is>
      </c>
      <c r="H802" t="inlineStr">
        <is>
          <t>Greenbelt Tennis Club</t>
        </is>
      </c>
      <c r="I802" t="n">
        <v>38.5</v>
      </c>
      <c r="J802" s="4" t="n">
        <v>2</v>
      </c>
      <c r="K802" t="inlineStr">
        <is>
          <t>0 / 2</t>
        </is>
      </c>
      <c r="L802" t="inlineStr">
        <is>
          <t>0 / 2</t>
        </is>
      </c>
      <c r="M802" s="5" t="n">
        <v>0</v>
      </c>
      <c r="N802" s="5" t="n">
        <v>0</v>
      </c>
    </row>
    <row r="803">
      <c r="A803" t="n">
        <v>802</v>
      </c>
      <c r="B803" t="n">
        <v>2016</v>
      </c>
      <c r="C803" t="inlineStr">
        <is>
          <t>Jaclyn Zhang</t>
        </is>
      </c>
      <c r="D803">
        <f>HYPERLINK("https://ota.tournamentsoftware.com/player-profile/E6E9780C-ACDE-4CFD-B134-4984C266BCEB", "Link")</f>
        <v/>
      </c>
      <c r="E803" s="3" t="n">
        <v>10.48</v>
      </c>
      <c r="F803" s="4" t="n">
        <v>6</v>
      </c>
      <c r="G803" t="inlineStr">
        <is>
          <t>British Columbia</t>
        </is>
      </c>
      <c r="H803" t="inlineStr">
        <is>
          <t>UBC Tennis Centre</t>
        </is>
      </c>
      <c r="I803" t="n">
        <v>39.1</v>
      </c>
      <c r="J803" s="4" t="n">
        <v>79</v>
      </c>
      <c r="K803" t="inlineStr">
        <is>
          <t>44 / 35</t>
        </is>
      </c>
      <c r="L803" t="inlineStr">
        <is>
          <t>18 / 23</t>
        </is>
      </c>
      <c r="M803" s="5" t="n">
        <v>0.5600000000000001</v>
      </c>
      <c r="N803" s="5" t="n">
        <v>0.44</v>
      </c>
    </row>
    <row r="804">
      <c r="A804" t="n">
        <v>803</v>
      </c>
      <c r="B804" t="n">
        <v>2014</v>
      </c>
      <c r="C804" t="inlineStr">
        <is>
          <t>Madelyn Palsat</t>
        </is>
      </c>
      <c r="D804">
        <f>HYPERLINK("https://ota.tournamentsoftware.com/player-profile/B7A28D92-CC5D-460E-A752-75C63DAB2E9F", "Link")</f>
        <v/>
      </c>
      <c r="E804" s="3" t="n">
        <v>10.44</v>
      </c>
      <c r="F804" s="4" t="n">
        <v>9</v>
      </c>
      <c r="G804" t="inlineStr">
        <is>
          <t>Tennis Alberta</t>
        </is>
      </c>
      <c r="H804" t="inlineStr">
        <is>
          <t>Royal Glenora Club</t>
        </is>
      </c>
      <c r="I804" t="n">
        <v>37</v>
      </c>
      <c r="J804" s="4" t="n">
        <v>21</v>
      </c>
      <c r="K804" t="inlineStr">
        <is>
          <t>10 / 11</t>
        </is>
      </c>
      <c r="L804" t="inlineStr">
        <is>
          <t>10 / 11</t>
        </is>
      </c>
      <c r="M804" s="5" t="n">
        <v>0.48</v>
      </c>
      <c r="N804" s="5" t="n">
        <v>0.48</v>
      </c>
    </row>
    <row r="805">
      <c r="A805" t="n">
        <v>804</v>
      </c>
      <c r="B805" t="n">
        <v>2013</v>
      </c>
      <c r="C805" t="inlineStr">
        <is>
          <t>Lingxi Li</t>
        </is>
      </c>
      <c r="D805">
        <f>HYPERLINK("https://ota.tournamentsoftware.com/player-profile/5F3C2697-7DC3-404F-86B1-B1440B580069", "Link")</f>
        <v/>
      </c>
      <c r="E805" s="3" t="n">
        <v>10.413</v>
      </c>
      <c r="F805" s="4" t="n">
        <v>2</v>
      </c>
      <c r="G805" t="inlineStr">
        <is>
          <t>British Columbia</t>
        </is>
      </c>
      <c r="H805" t="inlineStr">
        <is>
          <t>No Club</t>
        </is>
      </c>
      <c r="I805" t="n">
        <v>38.4</v>
      </c>
      <c r="J805" s="4" t="n">
        <v>3</v>
      </c>
      <c r="K805" t="inlineStr">
        <is>
          <t>1 / 2</t>
        </is>
      </c>
      <c r="L805" t="inlineStr">
        <is>
          <t>1 / 2</t>
        </is>
      </c>
      <c r="M805" s="5" t="n">
        <v>0.33</v>
      </c>
      <c r="N805" s="5" t="n">
        <v>0.33</v>
      </c>
    </row>
    <row r="806">
      <c r="A806" t="n">
        <v>805</v>
      </c>
      <c r="B806" t="n">
        <v>2015</v>
      </c>
      <c r="C806" t="inlineStr">
        <is>
          <t>Emmanuelle Farah Kwin Onana</t>
        </is>
      </c>
      <c r="D806">
        <f>HYPERLINK("https://ota.tournamentsoftware.com/player-profile/7931DDBA-D7CA-40E8-97CF-DF1CA8113B24", "Link")</f>
        <v/>
      </c>
      <c r="E806" s="3" t="n">
        <v>10.368</v>
      </c>
      <c r="F806" s="4" t="n">
        <v>1</v>
      </c>
      <c r="G806" t="inlineStr">
        <is>
          <t>Tennis Québec</t>
        </is>
      </c>
      <c r="H806" t="inlineStr">
        <is>
          <t>Tennis Outaouais Performance (TOP)</t>
        </is>
      </c>
      <c r="I806" t="inlineStr">
        <is>
          <t>unavailable</t>
        </is>
      </c>
      <c r="J806" s="4" t="n">
        <v>13</v>
      </c>
      <c r="K806" t="inlineStr">
        <is>
          <t>6 / 7</t>
        </is>
      </c>
      <c r="L806" t="inlineStr">
        <is>
          <t>0 / 1</t>
        </is>
      </c>
      <c r="M806" s="5" t="n">
        <v>0.46</v>
      </c>
      <c r="N806" s="5" t="n">
        <v>0</v>
      </c>
    </row>
    <row r="807">
      <c r="A807" t="n">
        <v>805</v>
      </c>
      <c r="B807" t="n">
        <v>2016</v>
      </c>
      <c r="C807" t="inlineStr">
        <is>
          <t>Alice Trépanier</t>
        </is>
      </c>
      <c r="D807">
        <f>HYPERLINK("https://ota.tournamentsoftware.com/player-profile/005FD3B5-057F-4BFE-B6D1-1D3CC87FBA27", "Link")</f>
        <v/>
      </c>
      <c r="E807" s="3" t="n">
        <v>10.368</v>
      </c>
      <c r="F807" s="4" t="n">
        <v>1</v>
      </c>
      <c r="G807" t="inlineStr">
        <is>
          <t>Tennis Québec</t>
        </is>
      </c>
      <c r="H807" t="inlineStr">
        <is>
          <t>Centre Récréatif Rock Forest</t>
        </is>
      </c>
      <c r="I807" t="inlineStr">
        <is>
          <t>unavailable</t>
        </is>
      </c>
      <c r="J807" s="4" t="n">
        <v>33</v>
      </c>
      <c r="K807" t="inlineStr">
        <is>
          <t>14 / 19</t>
        </is>
      </c>
      <c r="L807" t="inlineStr">
        <is>
          <t>10 / 11</t>
        </is>
      </c>
      <c r="M807" s="5" t="n">
        <v>0.42</v>
      </c>
      <c r="N807" s="5" t="n">
        <v>0.48</v>
      </c>
    </row>
    <row r="808">
      <c r="A808" t="n">
        <v>807</v>
      </c>
      <c r="B808" t="n">
        <v>2016</v>
      </c>
      <c r="C808" t="inlineStr">
        <is>
          <t>Lexie Lapierre</t>
        </is>
      </c>
      <c r="D808">
        <f>HYPERLINK("https://ota.tournamentsoftware.com/player-profile/06ECEE5E-F58C-4E2A-9649-F258137798CC", "Link")</f>
        <v/>
      </c>
      <c r="E808" s="3" t="n">
        <v>10.2</v>
      </c>
      <c r="F808" s="4" t="n">
        <v>1</v>
      </c>
      <c r="G808" t="inlineStr">
        <is>
          <t>Tennis Québec</t>
        </is>
      </c>
      <c r="H808" t="inlineStr">
        <is>
          <t>Tennis Ile- des- Soeurs</t>
        </is>
      </c>
      <c r="I808" t="n">
        <v>35.2</v>
      </c>
      <c r="J808" s="4" t="n">
        <v>115</v>
      </c>
      <c r="K808" t="inlineStr">
        <is>
          <t>66 / 49</t>
        </is>
      </c>
      <c r="L808" t="inlineStr">
        <is>
          <t>29 / 17</t>
        </is>
      </c>
      <c r="M808" s="5" t="n">
        <v>0.57</v>
      </c>
      <c r="N808" s="5" t="n">
        <v>0.63</v>
      </c>
    </row>
    <row r="809">
      <c r="A809" t="n">
        <v>808</v>
      </c>
      <c r="B809" t="n">
        <v>2014</v>
      </c>
      <c r="C809" t="inlineStr">
        <is>
          <t>Flore Laferrière</t>
        </is>
      </c>
      <c r="D809">
        <f>HYPERLINK("https://ota.tournamentsoftware.com/player-profile/14AB607F-E600-4113-85A8-3FA78DC9A248", "Link")</f>
        <v/>
      </c>
      <c r="E809" s="3" t="n">
        <v>10.149</v>
      </c>
      <c r="F809" s="4" t="n">
        <v>3</v>
      </c>
      <c r="G809" t="inlineStr">
        <is>
          <t>Tennis Québec</t>
        </is>
      </c>
      <c r="H809" t="inlineStr">
        <is>
          <t>Tennis 3R- l’Academie l’échange</t>
        </is>
      </c>
      <c r="I809" t="n">
        <v>39.6</v>
      </c>
      <c r="J809" s="4" t="n">
        <v>8</v>
      </c>
      <c r="K809" t="inlineStr">
        <is>
          <t>1 / 7</t>
        </is>
      </c>
      <c r="L809" t="inlineStr">
        <is>
          <t>0 / 3</t>
        </is>
      </c>
      <c r="M809" s="5" t="n">
        <v>0.12</v>
      </c>
      <c r="N809" s="5" t="n">
        <v>0</v>
      </c>
    </row>
    <row r="810">
      <c r="A810" t="n">
        <v>809</v>
      </c>
      <c r="B810" t="n">
        <v>2015</v>
      </c>
      <c r="C810" t="inlineStr">
        <is>
          <t>Jaelynn Lumandas</t>
        </is>
      </c>
      <c r="D810">
        <f>HYPERLINK("https://ota.tournamentsoftware.com/player-profile/586CE1E5-E974-4A42-B919-DE1FC94F6144", "Link")</f>
        <v/>
      </c>
      <c r="E810" s="3" t="n">
        <v>10.137</v>
      </c>
      <c r="F810" s="4" t="n">
        <v>3</v>
      </c>
      <c r="G810" t="inlineStr">
        <is>
          <t>Tennis Alberta</t>
        </is>
      </c>
      <c r="H810" t="inlineStr">
        <is>
          <t>Saville Community Sports Centre</t>
        </is>
      </c>
      <c r="I810" t="n">
        <v>40</v>
      </c>
      <c r="J810" s="4" t="n">
        <v>25</v>
      </c>
      <c r="K810" t="inlineStr">
        <is>
          <t>1 / 24</t>
        </is>
      </c>
      <c r="L810" t="inlineStr">
        <is>
          <t>0 / 4</t>
        </is>
      </c>
      <c r="M810" s="5" t="n">
        <v>0.04</v>
      </c>
      <c r="N810" s="5" t="n">
        <v>0</v>
      </c>
    </row>
    <row r="811">
      <c r="A811" t="n">
        <v>810</v>
      </c>
      <c r="B811" t="n">
        <v>2013</v>
      </c>
      <c r="C811" t="inlineStr">
        <is>
          <t>Kate Sumner</t>
        </is>
      </c>
      <c r="D811">
        <f>HYPERLINK("https://ota.tournamentsoftware.com/player-profile/42BF9410-8926-4C81-9B50-F1262CEF0360", "Link")</f>
        <v/>
      </c>
      <c r="E811" s="3" t="n">
        <v>9.978999999999999</v>
      </c>
      <c r="F811" s="4" t="n">
        <v>2</v>
      </c>
      <c r="G811" t="inlineStr">
        <is>
          <t>Ontario Tennis Association</t>
        </is>
      </c>
      <c r="H811" t="inlineStr">
        <is>
          <t>Toronto Cricket Skating &amp; Curling</t>
        </is>
      </c>
      <c r="I811" t="inlineStr">
        <is>
          <t>unavailable</t>
        </is>
      </c>
      <c r="J811" s="4" t="n">
        <v>33</v>
      </c>
      <c r="K811" t="inlineStr">
        <is>
          <t>11 / 22</t>
        </is>
      </c>
      <c r="L811" t="inlineStr">
        <is>
          <t>1 / 1</t>
        </is>
      </c>
      <c r="M811" s="5" t="n">
        <v>0.33</v>
      </c>
      <c r="N811" s="5" t="n">
        <v>0.5</v>
      </c>
    </row>
    <row r="812">
      <c r="A812" t="n">
        <v>811</v>
      </c>
      <c r="B812" t="n">
        <v>2015</v>
      </c>
      <c r="C812" t="inlineStr">
        <is>
          <t>Eleonore Dufour-McIver</t>
        </is>
      </c>
      <c r="D812">
        <f>HYPERLINK("https://ota.tournamentsoftware.com/player-profile/FF50EDFA-9603-4690-8980-1D1C475C4752", "Link")</f>
        <v/>
      </c>
      <c r="E812" s="3" t="n">
        <v>9.685</v>
      </c>
      <c r="F812" s="4" t="n">
        <v>2</v>
      </c>
      <c r="G812" t="inlineStr">
        <is>
          <t>Tennis Québec</t>
        </is>
      </c>
      <c r="H812" t="inlineStr">
        <is>
          <t>GRINDTENNIS</t>
        </is>
      </c>
      <c r="I812" t="n">
        <v>36</v>
      </c>
      <c r="J812" s="4" t="n">
        <v>12</v>
      </c>
      <c r="K812" t="inlineStr">
        <is>
          <t>9 / 3</t>
        </is>
      </c>
      <c r="L812" t="inlineStr">
        <is>
          <t>0 / 2</t>
        </is>
      </c>
      <c r="M812" s="5" t="n">
        <v>0.75</v>
      </c>
      <c r="N812" s="5" t="n">
        <v>0</v>
      </c>
    </row>
    <row r="813">
      <c r="A813" t="n">
        <v>812</v>
      </c>
      <c r="B813" t="n">
        <v>2013</v>
      </c>
      <c r="C813" t="inlineStr">
        <is>
          <t>Anastasia Gorceac</t>
        </is>
      </c>
      <c r="D813">
        <f>HYPERLINK("https://ota.tournamentsoftware.com/player-profile/34DB6E68-DC2D-46A3-9FCF-82A58A1EDBE3", "Link")</f>
        <v/>
      </c>
      <c r="E813" s="3" t="n">
        <v>9.612</v>
      </c>
      <c r="F813" s="4" t="n">
        <v>2</v>
      </c>
      <c r="G813" t="inlineStr">
        <is>
          <t>Tennis Québec</t>
        </is>
      </c>
      <c r="H813" t="inlineStr">
        <is>
          <t>No Club</t>
        </is>
      </c>
      <c r="I813" t="n">
        <v>37.9</v>
      </c>
      <c r="J813" s="4" t="n">
        <v>8</v>
      </c>
      <c r="K813" t="inlineStr">
        <is>
          <t>4 / 4</t>
        </is>
      </c>
      <c r="L813" t="inlineStr">
        <is>
          <t>0 / 0</t>
        </is>
      </c>
      <c r="M813" s="5" t="n">
        <v>0.5</v>
      </c>
      <c r="N813" s="5" t="n">
        <v>0</v>
      </c>
    </row>
    <row r="814">
      <c r="A814" t="n">
        <v>813</v>
      </c>
      <c r="B814" t="n">
        <v>2015</v>
      </c>
      <c r="C814" t="inlineStr">
        <is>
          <t>Violet Rose Divell</t>
        </is>
      </c>
      <c r="D814">
        <f>HYPERLINK("https://ota.tournamentsoftware.com/player-profile/264EFCE5-2D5B-4014-A1E4-CF0F958237B9", "Link")</f>
        <v/>
      </c>
      <c r="E814" s="3" t="n">
        <v>9.598000000000001</v>
      </c>
      <c r="F814" s="4" t="n">
        <v>3</v>
      </c>
      <c r="G814" t="inlineStr">
        <is>
          <t>Tennis Québec</t>
        </is>
      </c>
      <c r="H814" t="inlineStr">
        <is>
          <t>Académie de tennis UNI(T)</t>
        </is>
      </c>
      <c r="I814" t="n">
        <v>39.4</v>
      </c>
      <c r="J814" s="4" t="n">
        <v>6</v>
      </c>
      <c r="K814" t="inlineStr">
        <is>
          <t>1 / 5</t>
        </is>
      </c>
      <c r="L814" t="inlineStr">
        <is>
          <t>1 / 5</t>
        </is>
      </c>
      <c r="M814" s="5" t="n">
        <v>0.17</v>
      </c>
      <c r="N814" s="5" t="n">
        <v>0.17</v>
      </c>
    </row>
    <row r="815">
      <c r="A815" t="n">
        <v>814</v>
      </c>
      <c r="B815" t="n">
        <v>2013</v>
      </c>
      <c r="C815" t="inlineStr">
        <is>
          <t>Yujin Cao</t>
        </is>
      </c>
      <c r="D815">
        <f>HYPERLINK("https://ota.tournamentsoftware.com/player-profile/8260D181-2742-4015-AD52-73D66B6FD70A", "Link")</f>
        <v/>
      </c>
      <c r="E815" s="3" t="n">
        <v>9.59</v>
      </c>
      <c r="F815" s="4" t="n">
        <v>2</v>
      </c>
      <c r="G815" t="inlineStr">
        <is>
          <t>Tennis Québec</t>
        </is>
      </c>
      <c r="H815" t="inlineStr">
        <is>
          <t>Tennis 13</t>
        </is>
      </c>
      <c r="I815" t="inlineStr">
        <is>
          <t>unavailable</t>
        </is>
      </c>
      <c r="J815" s="4" t="n">
        <v>5</v>
      </c>
      <c r="K815" t="inlineStr">
        <is>
          <t>2 / 3</t>
        </is>
      </c>
      <c r="L815" t="inlineStr">
        <is>
          <t>0 / 1</t>
        </is>
      </c>
      <c r="M815" s="5" t="n">
        <v>0.4</v>
      </c>
      <c r="N815" s="5" t="n">
        <v>0</v>
      </c>
    </row>
    <row r="816">
      <c r="A816" t="n">
        <v>815</v>
      </c>
      <c r="B816" t="n">
        <v>2012</v>
      </c>
      <c r="C816" t="inlineStr">
        <is>
          <t>Eya Louati</t>
        </is>
      </c>
      <c r="D816">
        <f>HYPERLINK("https://ota.tournamentsoftware.com/player-profile/679317D4-2CCC-4345-A8E0-4E4AB637C148", "Link")</f>
        <v/>
      </c>
      <c r="E816" s="3" t="n">
        <v>9.504</v>
      </c>
      <c r="F816" s="4" t="n">
        <v>1</v>
      </c>
      <c r="G816" t="inlineStr">
        <is>
          <t>Tennis Québec</t>
        </is>
      </c>
      <c r="H816" t="inlineStr">
        <is>
          <t>SANI Sport</t>
        </is>
      </c>
      <c r="I816" t="inlineStr">
        <is>
          <t>unavailable</t>
        </is>
      </c>
      <c r="J816" s="4" t="n">
        <v>90</v>
      </c>
      <c r="K816" t="inlineStr">
        <is>
          <t>28 / 62</t>
        </is>
      </c>
      <c r="L816" t="inlineStr">
        <is>
          <t>1 / 2</t>
        </is>
      </c>
      <c r="M816" s="5" t="n">
        <v>0.31</v>
      </c>
      <c r="N816" s="5" t="n">
        <v>0.33</v>
      </c>
    </row>
    <row r="817">
      <c r="A817" t="n">
        <v>816</v>
      </c>
      <c r="B817" t="n">
        <v>2014</v>
      </c>
      <c r="C817" t="inlineStr">
        <is>
          <t>Yingshan Zoey Chen</t>
        </is>
      </c>
      <c r="D817">
        <f>HYPERLINK("https://ota.tournamentsoftware.com/player-profile/A4F9AF2C-7FB4-474F-BA3A-0E1AB32672E3", "Link")</f>
        <v/>
      </c>
      <c r="E817" s="3" t="n">
        <v>9.414999999999999</v>
      </c>
      <c r="F817" s="4" t="n">
        <v>3</v>
      </c>
      <c r="G817" t="inlineStr">
        <is>
          <t>Ontario Tennis Association</t>
        </is>
      </c>
      <c r="H817" t="inlineStr">
        <is>
          <t>Thornhill Country Club</t>
        </is>
      </c>
      <c r="I817" t="n">
        <v>38.5</v>
      </c>
      <c r="J817" s="4" t="n">
        <v>24</v>
      </c>
      <c r="K817" t="inlineStr">
        <is>
          <t>5 / 19</t>
        </is>
      </c>
      <c r="L817" t="inlineStr">
        <is>
          <t>2 / 4</t>
        </is>
      </c>
      <c r="M817" s="5" t="n">
        <v>0.21</v>
      </c>
      <c r="N817" s="5" t="n">
        <v>0.33</v>
      </c>
    </row>
    <row r="818">
      <c r="A818" t="n">
        <v>817</v>
      </c>
      <c r="B818" t="n">
        <v>2012</v>
      </c>
      <c r="C818" t="inlineStr">
        <is>
          <t>Charley Burgess</t>
        </is>
      </c>
      <c r="D818">
        <f>HYPERLINK("https://ota.tournamentsoftware.com/player-profile/F7818ED5-A370-4D5D-9CAE-03309F03D5FD", "Link")</f>
        <v/>
      </c>
      <c r="E818" s="3" t="n">
        <v>9.228</v>
      </c>
      <c r="F818" s="4" t="n">
        <v>2</v>
      </c>
      <c r="G818" t="inlineStr">
        <is>
          <t>Tennis Alberta</t>
        </is>
      </c>
      <c r="H818" t="inlineStr">
        <is>
          <t>The Glencoe Club</t>
        </is>
      </c>
      <c r="I818" t="inlineStr">
        <is>
          <t>unavailable</t>
        </is>
      </c>
      <c r="J818" s="4" t="n">
        <v>52</v>
      </c>
      <c r="K818" t="inlineStr">
        <is>
          <t>23 / 29</t>
        </is>
      </c>
      <c r="L818" t="inlineStr">
        <is>
          <t>0 / 0</t>
        </is>
      </c>
      <c r="M818" s="5" t="n">
        <v>0.44</v>
      </c>
      <c r="N818" s="5" t="n">
        <v>0</v>
      </c>
    </row>
    <row r="819">
      <c r="A819" t="n">
        <v>818</v>
      </c>
      <c r="B819" t="n">
        <v>2014</v>
      </c>
      <c r="C819" t="inlineStr">
        <is>
          <t>Annabelle Zhao</t>
        </is>
      </c>
      <c r="D819">
        <f>HYPERLINK("https://ota.tournamentsoftware.com/player-profile/F9367D16-E3B7-41BB-810F-85E4C6371542", "Link")</f>
        <v/>
      </c>
      <c r="E819" s="3" t="n">
        <v>8.882999999999999</v>
      </c>
      <c r="F819" s="4" t="n">
        <v>3</v>
      </c>
      <c r="G819" t="inlineStr">
        <is>
          <t>British Columbia</t>
        </is>
      </c>
      <c r="H819" t="inlineStr">
        <is>
          <t>The Tennis Centre</t>
        </is>
      </c>
      <c r="I819" t="n">
        <v>39</v>
      </c>
      <c r="J819" s="4" t="n">
        <v>61</v>
      </c>
      <c r="K819" t="inlineStr">
        <is>
          <t>30 / 31</t>
        </is>
      </c>
      <c r="L819" t="inlineStr">
        <is>
          <t>10 / 8</t>
        </is>
      </c>
      <c r="M819" s="5" t="n">
        <v>0.49</v>
      </c>
      <c r="N819" s="5" t="n">
        <v>0.5600000000000001</v>
      </c>
    </row>
    <row r="820">
      <c r="A820" t="n">
        <v>819</v>
      </c>
      <c r="B820" t="n">
        <v>2014</v>
      </c>
      <c r="C820" t="inlineStr">
        <is>
          <t>Jylian May II Mauricio Luces</t>
        </is>
      </c>
      <c r="D820">
        <f>HYPERLINK("https://ota.tournamentsoftware.com/player-profile/EE4C1547-2DEF-4E96-BA65-F8069863F09D", "Link")</f>
        <v/>
      </c>
      <c r="E820" s="3" t="n">
        <v>8.698</v>
      </c>
      <c r="F820" s="4" t="n">
        <v>6</v>
      </c>
      <c r="G820" t="inlineStr">
        <is>
          <t>Tennis Alberta</t>
        </is>
      </c>
      <c r="H820" t="inlineStr">
        <is>
          <t>Osten &amp; Victor Alberta Tennis Centre</t>
        </is>
      </c>
      <c r="I820" t="inlineStr">
        <is>
          <t>unavailable</t>
        </is>
      </c>
      <c r="J820" s="4" t="n">
        <v>33</v>
      </c>
      <c r="K820" t="inlineStr">
        <is>
          <t>6 / 27</t>
        </is>
      </c>
      <c r="L820" t="inlineStr">
        <is>
          <t>2 / 8</t>
        </is>
      </c>
      <c r="M820" s="5" t="n">
        <v>0.18</v>
      </c>
      <c r="N820" s="5" t="n">
        <v>0.2</v>
      </c>
    </row>
    <row r="821">
      <c r="A821" t="n">
        <v>820</v>
      </c>
      <c r="B821" t="n">
        <v>2015</v>
      </c>
      <c r="C821" t="inlineStr">
        <is>
          <t>Isabella Maria Galati</t>
        </is>
      </c>
      <c r="D821">
        <f>HYPERLINK("https://ota.tournamentsoftware.com/player-profile/401ED85D-9EDD-4DED-B064-33902C7F4DF4", "Link")</f>
        <v/>
      </c>
      <c r="E821" s="3" t="n">
        <v>8.694000000000001</v>
      </c>
      <c r="F821" s="4" t="n">
        <v>2</v>
      </c>
      <c r="G821" t="inlineStr">
        <is>
          <t>Ontario Tennis Association</t>
        </is>
      </c>
      <c r="H821" t="inlineStr">
        <is>
          <t>Pickering Tennis Academy</t>
        </is>
      </c>
      <c r="I821" t="n">
        <v>37.7</v>
      </c>
      <c r="J821" s="4" t="n">
        <v>24</v>
      </c>
      <c r="K821" t="inlineStr">
        <is>
          <t>11 / 13</t>
        </is>
      </c>
      <c r="L821" t="inlineStr">
        <is>
          <t>5 / 2</t>
        </is>
      </c>
      <c r="M821" s="5" t="n">
        <v>0.46</v>
      </c>
      <c r="N821" s="5" t="n">
        <v>0.71</v>
      </c>
    </row>
    <row r="822">
      <c r="A822" t="n">
        <v>821</v>
      </c>
      <c r="B822" t="n">
        <v>2014</v>
      </c>
      <c r="C822" t="inlineStr">
        <is>
          <t>Candice Cui</t>
        </is>
      </c>
      <c r="D822">
        <f>HYPERLINK("https://ota.tournamentsoftware.com/player-profile/389A79F0-4AEE-4BAD-A33E-98A21CD35738", "Link")</f>
        <v/>
      </c>
      <c r="E822" s="3" t="n">
        <v>8.640000000000001</v>
      </c>
      <c r="F822" s="4" t="n">
        <v>2</v>
      </c>
      <c r="G822" t="inlineStr">
        <is>
          <t>British Columbia</t>
        </is>
      </c>
      <c r="H822" t="inlineStr">
        <is>
          <t>Okanagan Mission Tennis Club Kelowna</t>
        </is>
      </c>
      <c r="I822" t="inlineStr">
        <is>
          <t>unavailable</t>
        </is>
      </c>
      <c r="J822" s="4" t="n">
        <v>30</v>
      </c>
      <c r="K822" t="inlineStr">
        <is>
          <t>11 / 19</t>
        </is>
      </c>
      <c r="L822" t="inlineStr">
        <is>
          <t>2 / 2</t>
        </is>
      </c>
      <c r="M822" s="5" t="n">
        <v>0.37</v>
      </c>
      <c r="N822" s="5" t="n">
        <v>0.5</v>
      </c>
    </row>
    <row r="823">
      <c r="A823" t="n">
        <v>821</v>
      </c>
      <c r="B823" t="n">
        <v>2015</v>
      </c>
      <c r="C823" t="inlineStr">
        <is>
          <t>Chloe Brown</t>
        </is>
      </c>
      <c r="D823">
        <f>HYPERLINK("https://ota.tournamentsoftware.com/player-profile/E3B2C995-F41E-4C95-81DE-7B219EF03CBD", "Link")</f>
        <v/>
      </c>
      <c r="E823" s="3" t="n">
        <v>8.640000000000001</v>
      </c>
      <c r="F823" s="4" t="n">
        <v>3</v>
      </c>
      <c r="G823" t="inlineStr">
        <is>
          <t>British Columbia</t>
        </is>
      </c>
      <c r="H823" t="inlineStr">
        <is>
          <t>Commons Racquet Club at Predator Ridge</t>
        </is>
      </c>
      <c r="I823" t="n">
        <v>38.5</v>
      </c>
      <c r="J823" s="4" t="n">
        <v>25</v>
      </c>
      <c r="K823" t="inlineStr">
        <is>
          <t>10 / 15</t>
        </is>
      </c>
      <c r="L823" t="inlineStr">
        <is>
          <t>7 / 5</t>
        </is>
      </c>
      <c r="M823" s="5" t="n">
        <v>0.4</v>
      </c>
      <c r="N823" s="5" t="n">
        <v>0.58</v>
      </c>
    </row>
    <row r="824">
      <c r="A824" t="n">
        <v>823</v>
      </c>
      <c r="B824" t="n">
        <v>2015</v>
      </c>
      <c r="C824" t="inlineStr">
        <is>
          <t>Ivana Novatus Nguma</t>
        </is>
      </c>
      <c r="D824">
        <f>HYPERLINK("https://ota.tournamentsoftware.com/player-profile/152EACD1-B447-4FFD-B45D-419526079F6E", "Link")</f>
        <v/>
      </c>
      <c r="E824" s="3" t="n">
        <v>8.598000000000001</v>
      </c>
      <c r="F824" s="4" t="n">
        <v>3</v>
      </c>
      <c r="G824" t="inlineStr">
        <is>
          <t>Tennis Alberta</t>
        </is>
      </c>
      <c r="H824" t="inlineStr">
        <is>
          <t>Calgary Tennis Society</t>
        </is>
      </c>
      <c r="I824" t="n">
        <v>37.2</v>
      </c>
      <c r="J824" s="4" t="n">
        <v>29</v>
      </c>
      <c r="K824" t="inlineStr">
        <is>
          <t>15 / 14</t>
        </is>
      </c>
      <c r="L824" t="inlineStr">
        <is>
          <t>11 / 6</t>
        </is>
      </c>
      <c r="M824" s="5" t="n">
        <v>0.52</v>
      </c>
      <c r="N824" s="5" t="n">
        <v>0.65</v>
      </c>
    </row>
    <row r="825">
      <c r="A825" t="n">
        <v>824</v>
      </c>
      <c r="B825" t="n">
        <v>2012</v>
      </c>
      <c r="C825" t="inlineStr">
        <is>
          <t>Elisha Lee</t>
        </is>
      </c>
      <c r="D825">
        <f>HYPERLINK("https://ota.tournamentsoftware.com/player-profile/0D8F1552-F5AE-4BBB-B462-7DFD495EA5D1", "Link")</f>
        <v/>
      </c>
      <c r="E825" s="3" t="n">
        <v>8.423999999999999</v>
      </c>
      <c r="F825" s="4" t="n">
        <v>1</v>
      </c>
      <c r="G825" t="inlineStr">
        <is>
          <t>British Columbia</t>
        </is>
      </c>
      <c r="H825" t="inlineStr">
        <is>
          <t>Great West Fitness and Racquets Club</t>
        </is>
      </c>
      <c r="I825" t="n">
        <v>37.8</v>
      </c>
      <c r="J825" s="4" t="n">
        <v>52</v>
      </c>
      <c r="K825" t="inlineStr">
        <is>
          <t>21 / 31</t>
        </is>
      </c>
      <c r="L825" t="inlineStr">
        <is>
          <t>11 / 14</t>
        </is>
      </c>
      <c r="M825" s="5" t="n">
        <v>0.4</v>
      </c>
      <c r="N825" s="5" t="n">
        <v>0.44</v>
      </c>
    </row>
    <row r="826">
      <c r="A826" t="n">
        <v>824</v>
      </c>
      <c r="B826" t="n">
        <v>2013</v>
      </c>
      <c r="C826" t="inlineStr">
        <is>
          <t>KIanna Jia Christianson</t>
        </is>
      </c>
      <c r="D826">
        <f>HYPERLINK("https://ota.tournamentsoftware.com/player-profile/A76E75A0-5CAF-4017-8B3C-2D69366CF0FB", "Link")</f>
        <v/>
      </c>
      <c r="E826" s="3" t="n">
        <v>8.423999999999999</v>
      </c>
      <c r="F826" s="4" t="n">
        <v>1</v>
      </c>
      <c r="G826" t="inlineStr">
        <is>
          <t>British Columbia</t>
        </is>
      </c>
      <c r="H826" t="inlineStr">
        <is>
          <t>City of Burnaby</t>
        </is>
      </c>
      <c r="I826" t="n">
        <v>40</v>
      </c>
      <c r="J826" s="4" t="n">
        <v>10</v>
      </c>
      <c r="K826" t="inlineStr">
        <is>
          <t>5 / 5</t>
        </is>
      </c>
      <c r="L826" t="inlineStr">
        <is>
          <t>2 / 3</t>
        </is>
      </c>
      <c r="M826" s="5" t="n">
        <v>0.5</v>
      </c>
      <c r="N826" s="5" t="n">
        <v>0.4</v>
      </c>
    </row>
    <row r="827">
      <c r="A827" t="n">
        <v>824</v>
      </c>
      <c r="B827" t="n">
        <v>2012</v>
      </c>
      <c r="C827" t="inlineStr">
        <is>
          <t>Ruike Ni</t>
        </is>
      </c>
      <c r="D827">
        <f>HYPERLINK("https://ota.tournamentsoftware.com/player-profile/862000EB-CE8E-4CA2-BA1E-5441407CA2E5", "Link")</f>
        <v/>
      </c>
      <c r="E827" s="3" t="n">
        <v>8.423999999999999</v>
      </c>
      <c r="F827" s="4" t="n">
        <v>1</v>
      </c>
      <c r="G827" t="inlineStr">
        <is>
          <t>British Columbia</t>
        </is>
      </c>
      <c r="H827" t="inlineStr">
        <is>
          <t>Tennis for Life</t>
        </is>
      </c>
      <c r="I827" t="n">
        <v>38.4</v>
      </c>
      <c r="J827" s="4" t="n">
        <v>7</v>
      </c>
      <c r="K827" t="inlineStr">
        <is>
          <t>2 / 5</t>
        </is>
      </c>
      <c r="L827" t="inlineStr">
        <is>
          <t>0 / 2</t>
        </is>
      </c>
      <c r="M827" s="5" t="n">
        <v>0.29</v>
      </c>
      <c r="N827" s="5" t="n">
        <v>0</v>
      </c>
    </row>
    <row r="828">
      <c r="A828" t="n">
        <v>824</v>
      </c>
      <c r="B828" t="n">
        <v>2012</v>
      </c>
      <c r="C828" t="inlineStr">
        <is>
          <t>LUCY HA</t>
        </is>
      </c>
      <c r="D828">
        <f>HYPERLINK("https://ota.tournamentsoftware.com/player-profile/5289FB1D-8B94-446A-83C5-187068CE2F5D", "Link")</f>
        <v/>
      </c>
      <c r="E828" s="3" t="n">
        <v>8.423999999999999</v>
      </c>
      <c r="F828" s="4" t="n">
        <v>2</v>
      </c>
      <c r="G828" t="inlineStr">
        <is>
          <t>British Columbia</t>
        </is>
      </c>
      <c r="H828" t="inlineStr">
        <is>
          <t>Tennis BC Hub @ Richmond</t>
        </is>
      </c>
      <c r="I828" t="n">
        <v>37.7</v>
      </c>
      <c r="J828" s="4" t="n">
        <v>28</v>
      </c>
      <c r="K828" t="inlineStr">
        <is>
          <t>4 / 24</t>
        </is>
      </c>
      <c r="L828" t="inlineStr">
        <is>
          <t>0 / 2</t>
        </is>
      </c>
      <c r="M828" s="5" t="n">
        <v>0.14</v>
      </c>
      <c r="N828" s="5" t="n">
        <v>0</v>
      </c>
    </row>
    <row r="829">
      <c r="A829" t="n">
        <v>828</v>
      </c>
      <c r="B829" t="n">
        <v>2015</v>
      </c>
      <c r="C829" t="inlineStr">
        <is>
          <t>Mila Sofia Galvez Bourgeois-Charbonneau</t>
        </is>
      </c>
      <c r="D829">
        <f>HYPERLINK("https://ota.tournamentsoftware.com/player-profile/4F9CCD8C-A7BD-4FA0-B17A-3689BD230A0C", "Link")</f>
        <v/>
      </c>
      <c r="E829" s="3" t="n">
        <v>8.298</v>
      </c>
      <c r="F829" s="4" t="n">
        <v>2</v>
      </c>
      <c r="G829" t="inlineStr">
        <is>
          <t>Tennis Québec</t>
        </is>
      </c>
      <c r="H829" t="inlineStr">
        <is>
          <t>AA Autre club</t>
        </is>
      </c>
      <c r="I829" t="n">
        <v>37.3</v>
      </c>
      <c r="J829" s="4" t="n">
        <v>10</v>
      </c>
      <c r="K829" t="inlineStr">
        <is>
          <t>5 / 5</t>
        </is>
      </c>
      <c r="L829" t="inlineStr">
        <is>
          <t>5 / 2</t>
        </is>
      </c>
      <c r="M829" s="5" t="n">
        <v>0.5</v>
      </c>
      <c r="N829" s="5" t="n">
        <v>0.71</v>
      </c>
    </row>
    <row r="830">
      <c r="A830" t="n">
        <v>829</v>
      </c>
      <c r="B830" t="n">
        <v>2016</v>
      </c>
      <c r="C830" t="inlineStr">
        <is>
          <t>Peiyu(Cici) Li</t>
        </is>
      </c>
      <c r="D830">
        <f>HYPERLINK("https://ota.tournamentsoftware.com/player-profile/C4571297-B444-4579-A011-D24753628021", "Link")</f>
        <v/>
      </c>
      <c r="E830" s="3" t="n">
        <v>8.156000000000001</v>
      </c>
      <c r="F830" s="4" t="n">
        <v>8</v>
      </c>
      <c r="G830" t="inlineStr">
        <is>
          <t>Tennis Nova Scotia</t>
        </is>
      </c>
      <c r="H830" t="inlineStr">
        <is>
          <t>Atlantic Tennis Centre</t>
        </is>
      </c>
      <c r="I830" t="n">
        <v>39.3</v>
      </c>
      <c r="J830" s="4" t="n">
        <v>51</v>
      </c>
      <c r="K830" t="inlineStr">
        <is>
          <t>18 / 33</t>
        </is>
      </c>
      <c r="L830" t="inlineStr">
        <is>
          <t>10 / 23</t>
        </is>
      </c>
      <c r="M830" s="5" t="n">
        <v>0.35</v>
      </c>
      <c r="N830" s="5" t="n">
        <v>0.3</v>
      </c>
    </row>
    <row r="831">
      <c r="A831" t="n">
        <v>830</v>
      </c>
      <c r="B831" t="n">
        <v>2015</v>
      </c>
      <c r="C831" t="inlineStr">
        <is>
          <t>Sofia Belyavskaya</t>
        </is>
      </c>
      <c r="D831">
        <f>HYPERLINK("https://ota.tournamentsoftware.com/player-profile/103C1284-54D3-4E14-8B3B-D860AD353A8C", "Link")</f>
        <v/>
      </c>
      <c r="E831" s="3" t="n">
        <v>8.045999999999999</v>
      </c>
      <c r="F831" s="4" t="n">
        <v>3</v>
      </c>
      <c r="G831" t="inlineStr">
        <is>
          <t>British Columbia</t>
        </is>
      </c>
      <c r="H831" t="inlineStr">
        <is>
          <t>The Tennis Centre</t>
        </is>
      </c>
      <c r="I831" t="n">
        <v>37.2</v>
      </c>
      <c r="J831" s="4" t="n">
        <v>88</v>
      </c>
      <c r="K831" t="inlineStr">
        <is>
          <t>35 / 53</t>
        </is>
      </c>
      <c r="L831" t="inlineStr">
        <is>
          <t>2 / 5</t>
        </is>
      </c>
      <c r="M831" s="5" t="n">
        <v>0.4</v>
      </c>
      <c r="N831" s="5" t="n">
        <v>0.29</v>
      </c>
    </row>
    <row r="832">
      <c r="A832" t="n">
        <v>831</v>
      </c>
      <c r="B832" t="n">
        <v>2013</v>
      </c>
      <c r="C832" t="inlineStr">
        <is>
          <t>Harper Thompson</t>
        </is>
      </c>
      <c r="D832">
        <f>HYPERLINK("https://ota.tournamentsoftware.com/player-profile/D930EA05-6917-4BB8-9AD8-DE7F29C99324", "Link")</f>
        <v/>
      </c>
      <c r="E832" s="3" t="n">
        <v>8.032</v>
      </c>
      <c r="F832" s="4" t="n">
        <v>2</v>
      </c>
      <c r="G832" t="inlineStr">
        <is>
          <t>Tennis Alberta</t>
        </is>
      </c>
      <c r="H832" t="inlineStr">
        <is>
          <t>The Glencoe Club</t>
        </is>
      </c>
      <c r="I832" t="inlineStr">
        <is>
          <t>unavailable</t>
        </is>
      </c>
      <c r="J832" s="4" t="n">
        <v>44</v>
      </c>
      <c r="K832" t="inlineStr">
        <is>
          <t>2 / 42</t>
        </is>
      </c>
      <c r="L832" t="inlineStr">
        <is>
          <t>0 / 2</t>
        </is>
      </c>
      <c r="M832" s="5" t="n">
        <v>0.05</v>
      </c>
      <c r="N832" s="5" t="n">
        <v>0</v>
      </c>
    </row>
    <row r="833">
      <c r="A833" t="n">
        <v>832</v>
      </c>
      <c r="B833" t="n">
        <v>2013</v>
      </c>
      <c r="C833" t="inlineStr">
        <is>
          <t>Anaya Mohammed Shurrab</t>
        </is>
      </c>
      <c r="D833">
        <f>HYPERLINK("https://ota.tournamentsoftware.com/player-profile/A4BA7F79-3B20-4355-B83D-7B81774D6C97", "Link")</f>
        <v/>
      </c>
      <c r="E833" s="3" t="n">
        <v>8.01</v>
      </c>
      <c r="F833" s="4" t="n">
        <v>1</v>
      </c>
      <c r="G833" t="inlineStr">
        <is>
          <t>Ontario Tennis Association</t>
        </is>
      </c>
      <c r="H833" t="inlineStr">
        <is>
          <t>Sudbury Indoor Tennis Centre</t>
        </is>
      </c>
      <c r="I833" t="n">
        <v>38.8</v>
      </c>
      <c r="J833" s="4" t="n">
        <v>2</v>
      </c>
      <c r="K833" t="inlineStr">
        <is>
          <t>0 / 2</t>
        </is>
      </c>
      <c r="L833" t="inlineStr">
        <is>
          <t>0 / 0</t>
        </is>
      </c>
      <c r="M833" s="5" t="n">
        <v>0</v>
      </c>
      <c r="N833" s="5" t="n">
        <v>0</v>
      </c>
    </row>
    <row r="834">
      <c r="A834" t="n">
        <v>833</v>
      </c>
      <c r="B834" t="n">
        <v>2016</v>
      </c>
      <c r="C834" t="inlineStr">
        <is>
          <t>Adele Birry</t>
        </is>
      </c>
      <c r="D834">
        <f>HYPERLINK("https://ota.tournamentsoftware.com/player-profile/0BCEA3D0-AE8B-4246-BED0-94C9920C9B7E", "Link")</f>
        <v/>
      </c>
      <c r="E834" s="3" t="n">
        <v>7.906</v>
      </c>
      <c r="F834" s="4" t="n">
        <v>2</v>
      </c>
      <c r="G834" t="inlineStr">
        <is>
          <t>Tennis Québec</t>
        </is>
      </c>
      <c r="H834" t="inlineStr">
        <is>
          <t>Club de tennis intérieur Saguenay</t>
        </is>
      </c>
      <c r="I834" t="inlineStr">
        <is>
          <t>unavailable</t>
        </is>
      </c>
      <c r="J834" s="4" t="n">
        <v>23</v>
      </c>
      <c r="K834" t="inlineStr">
        <is>
          <t>9 / 14</t>
        </is>
      </c>
      <c r="L834" t="inlineStr">
        <is>
          <t>7 / 13</t>
        </is>
      </c>
      <c r="M834" s="5" t="n">
        <v>0.39</v>
      </c>
      <c r="N834" s="5" t="n">
        <v>0.35</v>
      </c>
    </row>
    <row r="835">
      <c r="A835" t="n">
        <v>833</v>
      </c>
      <c r="B835" t="n">
        <v>2015</v>
      </c>
      <c r="C835" t="inlineStr">
        <is>
          <t>Lyskha Ann Louis</t>
        </is>
      </c>
      <c r="D835">
        <f>HYPERLINK("https://ota.tournamentsoftware.com/player-profile/E63460EF-56D0-4F3C-845C-D047E7B9C366", "Link")</f>
        <v/>
      </c>
      <c r="E835" s="3" t="n">
        <v>7.906</v>
      </c>
      <c r="F835" s="4" t="n">
        <v>2</v>
      </c>
      <c r="G835" t="inlineStr">
        <is>
          <t>Tennis Québec</t>
        </is>
      </c>
      <c r="H835" t="inlineStr">
        <is>
          <t>Tennis 13</t>
        </is>
      </c>
      <c r="I835" t="n">
        <v>36.4</v>
      </c>
      <c r="J835" s="4" t="n">
        <v>9</v>
      </c>
      <c r="K835" t="inlineStr">
        <is>
          <t>4 / 5</t>
        </is>
      </c>
      <c r="L835" t="inlineStr">
        <is>
          <t>4 / 2</t>
        </is>
      </c>
      <c r="M835" s="5" t="n">
        <v>0.44</v>
      </c>
      <c r="N835" s="5" t="n">
        <v>0.67</v>
      </c>
    </row>
    <row r="836">
      <c r="A836" t="n">
        <v>835</v>
      </c>
      <c r="B836" t="n">
        <v>2014</v>
      </c>
      <c r="C836" t="inlineStr">
        <is>
          <t>Abigale Julia Dioszeghy Beatty</t>
        </is>
      </c>
      <c r="D836">
        <f>HYPERLINK("https://ota.tournamentsoftware.com/player-profile/3376BA08-B4B7-40B5-A81E-8F995772526B", "Link")</f>
        <v/>
      </c>
      <c r="E836" s="3" t="n">
        <v>7.827</v>
      </c>
      <c r="F836" s="4" t="n">
        <v>7</v>
      </c>
      <c r="G836" t="inlineStr">
        <is>
          <t>Tennis Alberta</t>
        </is>
      </c>
      <c r="H836" t="inlineStr">
        <is>
          <t>Royal Glenora Club</t>
        </is>
      </c>
      <c r="I836" t="n">
        <v>37.2</v>
      </c>
      <c r="J836" s="4" t="n">
        <v>18</v>
      </c>
      <c r="K836" t="inlineStr">
        <is>
          <t>9 / 9</t>
        </is>
      </c>
      <c r="L836" t="inlineStr">
        <is>
          <t>9 / 9</t>
        </is>
      </c>
      <c r="M836" s="5" t="n">
        <v>0.5</v>
      </c>
      <c r="N836" s="5" t="n">
        <v>0.5</v>
      </c>
    </row>
    <row r="837">
      <c r="A837" t="n">
        <v>836</v>
      </c>
      <c r="B837" t="n">
        <v>2014</v>
      </c>
      <c r="C837" t="inlineStr">
        <is>
          <t>Gloriana Shiqi Zhang</t>
        </is>
      </c>
      <c r="D837">
        <f>HYPERLINK("https://ota.tournamentsoftware.com/player-profile/2717E828-0882-43B7-ADDB-D078FFA580CF", "Link")</f>
        <v/>
      </c>
      <c r="E837" s="3" t="n">
        <v>7.776</v>
      </c>
      <c r="F837" s="4" t="n">
        <v>2</v>
      </c>
      <c r="G837" t="inlineStr">
        <is>
          <t>British Columbia</t>
        </is>
      </c>
      <c r="H837" t="inlineStr">
        <is>
          <t>Hollyburn Country Club</t>
        </is>
      </c>
      <c r="I837" t="inlineStr">
        <is>
          <t>unavailable</t>
        </is>
      </c>
      <c r="J837" s="4" t="n">
        <v>32</v>
      </c>
      <c r="K837" t="inlineStr">
        <is>
          <t>5 / 27</t>
        </is>
      </c>
      <c r="L837" t="inlineStr">
        <is>
          <t>0 / 0</t>
        </is>
      </c>
      <c r="M837" s="5" t="n">
        <v>0.16</v>
      </c>
      <c r="N837" s="5" t="n">
        <v>0</v>
      </c>
    </row>
    <row r="838">
      <c r="A838" t="n">
        <v>837</v>
      </c>
      <c r="B838" t="n">
        <v>2013</v>
      </c>
      <c r="C838" t="inlineStr">
        <is>
          <t>Nya Robinson</t>
        </is>
      </c>
      <c r="D838">
        <f>HYPERLINK("https://ota.tournamentsoftware.com/player-profile/FCE45E04-6DF1-4A68-89D1-ACB65286BF31", "Link")</f>
        <v/>
      </c>
      <c r="E838" s="3" t="n">
        <v>7.672</v>
      </c>
      <c r="F838" s="4" t="n">
        <v>4</v>
      </c>
      <c r="G838" t="inlineStr">
        <is>
          <t>Tennis Alberta</t>
        </is>
      </c>
      <c r="H838" t="inlineStr">
        <is>
          <t>Osten &amp; Victor Alberta Tennis Centre</t>
        </is>
      </c>
      <c r="I838" t="n">
        <v>38</v>
      </c>
      <c r="J838" s="4" t="n">
        <v>17</v>
      </c>
      <c r="K838" t="inlineStr">
        <is>
          <t>7 / 10</t>
        </is>
      </c>
      <c r="L838" t="inlineStr">
        <is>
          <t>2 / 1</t>
        </is>
      </c>
      <c r="M838" s="5" t="n">
        <v>0.41</v>
      </c>
      <c r="N838" s="5" t="n">
        <v>0.67</v>
      </c>
    </row>
    <row r="839">
      <c r="A839" t="n">
        <v>838</v>
      </c>
      <c r="B839" t="n">
        <v>2015</v>
      </c>
      <c r="C839" t="inlineStr">
        <is>
          <t>Dani Banquicio</t>
        </is>
      </c>
      <c r="D839">
        <f>HYPERLINK("https://ota.tournamentsoftware.com/player-profile/46430071-90F3-4471-A44B-9BE4F31E2D72", "Link")</f>
        <v/>
      </c>
      <c r="E839" s="3" t="n">
        <v>7.652</v>
      </c>
      <c r="F839" s="4" t="n">
        <v>2</v>
      </c>
      <c r="G839" t="inlineStr">
        <is>
          <t>Tennis New Brunswick</t>
        </is>
      </c>
      <c r="H839" t="inlineStr">
        <is>
          <t>Abony Family Tennis Center</t>
        </is>
      </c>
      <c r="I839" t="n">
        <v>40</v>
      </c>
      <c r="J839" s="4" t="n">
        <v>54</v>
      </c>
      <c r="K839" t="inlineStr">
        <is>
          <t>17 / 37</t>
        </is>
      </c>
      <c r="L839" t="inlineStr">
        <is>
          <t>3 / 7</t>
        </is>
      </c>
      <c r="M839" s="5" t="n">
        <v>0.31</v>
      </c>
      <c r="N839" s="5" t="n">
        <v>0.3</v>
      </c>
    </row>
    <row r="840">
      <c r="A840" t="n">
        <v>839</v>
      </c>
      <c r="B840" t="n">
        <v>2014</v>
      </c>
      <c r="C840" t="inlineStr">
        <is>
          <t>Audrey Dionne-Chen</t>
        </is>
      </c>
      <c r="D840">
        <f>HYPERLINK("https://ota.tournamentsoftware.com/player-profile/7AE565BD-506E-4133-AA69-F89B361E38C0", "Link")</f>
        <v/>
      </c>
      <c r="E840" s="3" t="n">
        <v>7.552</v>
      </c>
      <c r="F840" s="4" t="n">
        <v>1</v>
      </c>
      <c r="G840" t="inlineStr">
        <is>
          <t>Ontario Tennis Association</t>
        </is>
      </c>
      <c r="H840" t="inlineStr">
        <is>
          <t>Rideau Sports Centre</t>
        </is>
      </c>
      <c r="I840" t="n">
        <v>39.4</v>
      </c>
      <c r="J840" s="4" t="n">
        <v>14</v>
      </c>
      <c r="K840" t="inlineStr">
        <is>
          <t>4 / 10</t>
        </is>
      </c>
      <c r="L840" t="inlineStr">
        <is>
          <t>0 / 1</t>
        </is>
      </c>
      <c r="M840" s="5" t="n">
        <v>0.29</v>
      </c>
      <c r="N840" s="5" t="n">
        <v>0</v>
      </c>
    </row>
    <row r="841">
      <c r="A841" t="n">
        <v>840</v>
      </c>
      <c r="B841" t="n">
        <v>2012</v>
      </c>
      <c r="C841" t="inlineStr">
        <is>
          <t>Ava Woo</t>
        </is>
      </c>
      <c r="D841">
        <f>HYPERLINK("https://ota.tournamentsoftware.com/player-profile/2861CC9E-4474-476F-9204-9CCFF0C57778", "Link")</f>
        <v/>
      </c>
      <c r="E841" s="3" t="n">
        <v>7.517</v>
      </c>
      <c r="F841" s="4" t="n">
        <v>1</v>
      </c>
      <c r="G841" t="inlineStr">
        <is>
          <t>Tennis Alberta</t>
        </is>
      </c>
      <c r="H841" t="inlineStr">
        <is>
          <t>IQ Tennis and Pickleball Centre</t>
        </is>
      </c>
      <c r="I841" t="inlineStr">
        <is>
          <t>unavailable</t>
        </is>
      </c>
      <c r="J841" s="4" t="n">
        <v>2</v>
      </c>
      <c r="K841" t="inlineStr">
        <is>
          <t>1 / 1</t>
        </is>
      </c>
      <c r="L841" t="inlineStr">
        <is>
          <t>1 / 1</t>
        </is>
      </c>
      <c r="M841" s="5" t="n">
        <v>0.5</v>
      </c>
      <c r="N841" s="5" t="n">
        <v>0.5</v>
      </c>
    </row>
    <row r="842">
      <c r="A842" t="n">
        <v>841</v>
      </c>
      <c r="B842" t="n">
        <v>2012</v>
      </c>
      <c r="C842" t="inlineStr">
        <is>
          <t>Sofia Kalchenko</t>
        </is>
      </c>
      <c r="D842">
        <f>HYPERLINK("https://ota.tournamentsoftware.com/player-profile/95371403-EC89-475C-B20A-60F935026FFA", "Link")</f>
        <v/>
      </c>
      <c r="E842" s="3" t="n">
        <v>7.171</v>
      </c>
      <c r="F842" s="4" t="n">
        <v>3</v>
      </c>
      <c r="G842" t="inlineStr">
        <is>
          <t>Tennis Alberta</t>
        </is>
      </c>
      <c r="H842" t="inlineStr">
        <is>
          <t>Aforza</t>
        </is>
      </c>
      <c r="I842" t="inlineStr">
        <is>
          <t>unavailable</t>
        </is>
      </c>
      <c r="J842" s="4" t="n">
        <v>41</v>
      </c>
      <c r="K842" t="inlineStr">
        <is>
          <t>20 / 21</t>
        </is>
      </c>
      <c r="L842" t="inlineStr">
        <is>
          <t>3 / 1</t>
        </is>
      </c>
      <c r="M842" s="5" t="n">
        <v>0.49</v>
      </c>
      <c r="N842" s="5" t="n">
        <v>0.75</v>
      </c>
    </row>
    <row r="843">
      <c r="A843" t="n">
        <v>842</v>
      </c>
      <c r="B843" t="n">
        <v>2015</v>
      </c>
      <c r="C843" t="inlineStr">
        <is>
          <t>marguerite yuruk</t>
        </is>
      </c>
      <c r="D843">
        <f>HYPERLINK("https://ota.tournamentsoftware.com/player-profile/9999A3D6-24BE-4317-B958-895DE1DECB34", "Link")</f>
        <v/>
      </c>
      <c r="E843" s="3" t="n">
        <v>6.956</v>
      </c>
      <c r="F843" s="4" t="n">
        <v>2</v>
      </c>
      <c r="G843" t="inlineStr">
        <is>
          <t>Tennis Québec</t>
        </is>
      </c>
      <c r="H843" t="inlineStr">
        <is>
          <t>Tennis 13</t>
        </is>
      </c>
      <c r="I843" t="n">
        <v>39.5</v>
      </c>
      <c r="J843" s="4" t="n">
        <v>5</v>
      </c>
      <c r="K843" t="inlineStr">
        <is>
          <t>1 / 4</t>
        </is>
      </c>
      <c r="L843" t="inlineStr">
        <is>
          <t>1 / 4</t>
        </is>
      </c>
      <c r="M843" s="5" t="n">
        <v>0.2</v>
      </c>
      <c r="N843" s="5" t="n">
        <v>0.2</v>
      </c>
    </row>
    <row r="844">
      <c r="A844" t="n">
        <v>843</v>
      </c>
      <c r="B844" t="n">
        <v>2015</v>
      </c>
      <c r="C844" t="inlineStr">
        <is>
          <t>Ruby Mika Szakacs</t>
        </is>
      </c>
      <c r="D844">
        <f>HYPERLINK("https://ota.tournamentsoftware.com/player-profile/200B8C95-20A4-4F60-90C6-7E30A84EAEA7", "Link")</f>
        <v/>
      </c>
      <c r="E844" s="3" t="n">
        <v>6.607</v>
      </c>
      <c r="F844" s="4" t="n">
        <v>2</v>
      </c>
      <c r="G844" t="inlineStr">
        <is>
          <t>Ontario Tennis Association</t>
        </is>
      </c>
      <c r="H844" t="inlineStr">
        <is>
          <t>No Club</t>
        </is>
      </c>
      <c r="I844" t="n">
        <v>39.4</v>
      </c>
      <c r="J844" s="4" t="n">
        <v>55</v>
      </c>
      <c r="K844" t="inlineStr">
        <is>
          <t>28 / 27</t>
        </is>
      </c>
      <c r="L844" t="inlineStr">
        <is>
          <t>0 / 4</t>
        </is>
      </c>
      <c r="M844" s="5" t="n">
        <v>0.51</v>
      </c>
      <c r="N844" s="5" t="n">
        <v>0</v>
      </c>
    </row>
    <row r="845">
      <c r="A845" t="n">
        <v>843</v>
      </c>
      <c r="B845" t="n">
        <v>2014</v>
      </c>
      <c r="C845" t="inlineStr">
        <is>
          <t>Mantian Ellie Ni</t>
        </is>
      </c>
      <c r="D845">
        <f>HYPERLINK("https://ota.tournamentsoftware.com/player-profile/7FD8D72E-3679-4613-A482-A282508BEA32", "Link")</f>
        <v/>
      </c>
      <c r="E845" s="3" t="n">
        <v>6.607</v>
      </c>
      <c r="F845" s="4" t="n">
        <v>2</v>
      </c>
      <c r="G845" t="inlineStr">
        <is>
          <t>Ontario Tennis Association</t>
        </is>
      </c>
      <c r="H845" t="inlineStr">
        <is>
          <t>Premier Racquet Club - Markham</t>
        </is>
      </c>
      <c r="I845" t="n">
        <v>39.5</v>
      </c>
      <c r="J845" s="4" t="n">
        <v>23</v>
      </c>
      <c r="K845" t="inlineStr">
        <is>
          <t>7 / 16</t>
        </is>
      </c>
      <c r="L845" t="inlineStr">
        <is>
          <t>3 / 4</t>
        </is>
      </c>
      <c r="M845" s="5" t="n">
        <v>0.3</v>
      </c>
      <c r="N845" s="5" t="n">
        <v>0.43</v>
      </c>
    </row>
    <row r="846">
      <c r="A846" t="n">
        <v>845</v>
      </c>
      <c r="B846" t="n">
        <v>2013</v>
      </c>
      <c r="C846" t="inlineStr">
        <is>
          <t>Giselle Christine Lambert</t>
        </is>
      </c>
      <c r="D846">
        <f>HYPERLINK("https://ota.tournamentsoftware.com/player-profile/2E2CA1C3-86CC-418F-BF1B-9B9E4D99F292", "Link")</f>
        <v/>
      </c>
      <c r="E846" s="3" t="n">
        <v>6.48</v>
      </c>
      <c r="F846" s="4" t="n">
        <v>1</v>
      </c>
      <c r="G846" t="inlineStr">
        <is>
          <t>British Columbia</t>
        </is>
      </c>
      <c r="H846" t="inlineStr">
        <is>
          <t>Hollyburn Country Club</t>
        </is>
      </c>
      <c r="I846" t="n">
        <v>36.9</v>
      </c>
      <c r="J846" s="4" t="n">
        <v>44</v>
      </c>
      <c r="K846" t="inlineStr">
        <is>
          <t>10 / 34</t>
        </is>
      </c>
      <c r="L846" t="inlineStr">
        <is>
          <t>0 / 0</t>
        </is>
      </c>
      <c r="M846" s="5" t="n">
        <v>0.23</v>
      </c>
      <c r="N846" s="5" t="n">
        <v>0</v>
      </c>
    </row>
    <row r="847">
      <c r="A847" t="n">
        <v>845</v>
      </c>
      <c r="B847" t="n">
        <v>2014</v>
      </c>
      <c r="C847" t="inlineStr">
        <is>
          <t>Mila Isaeva</t>
        </is>
      </c>
      <c r="D847">
        <f>HYPERLINK("https://ota.tournamentsoftware.com/player-profile/318B72C3-8E32-46E5-B532-524E3B59755C", "Link")</f>
        <v/>
      </c>
      <c r="E847" s="3" t="n">
        <v>6.48</v>
      </c>
      <c r="F847" s="4" t="n">
        <v>1</v>
      </c>
      <c r="G847" t="inlineStr">
        <is>
          <t>Ontario Tennis Association</t>
        </is>
      </c>
      <c r="H847" t="inlineStr">
        <is>
          <t>Tam Heather Tennis Club</t>
        </is>
      </c>
      <c r="I847" t="n">
        <v>38.3</v>
      </c>
      <c r="J847" s="4" t="n">
        <v>18</v>
      </c>
      <c r="K847" t="inlineStr">
        <is>
          <t>10 / 8</t>
        </is>
      </c>
      <c r="L847" t="inlineStr">
        <is>
          <t>8 / 5</t>
        </is>
      </c>
      <c r="M847" s="5" t="n">
        <v>0.5600000000000001</v>
      </c>
      <c r="N847" s="5" t="n">
        <v>0.62</v>
      </c>
    </row>
    <row r="848">
      <c r="A848" t="n">
        <v>845</v>
      </c>
      <c r="B848" t="n">
        <v>2014</v>
      </c>
      <c r="C848" t="inlineStr">
        <is>
          <t>Elina Chai</t>
        </is>
      </c>
      <c r="D848">
        <f>HYPERLINK("https://ota.tournamentsoftware.com/player-profile/93EB3F3A-118C-460C-AB18-42D8F042E5A9", "Link")</f>
        <v/>
      </c>
      <c r="E848" s="3" t="n">
        <v>6.48</v>
      </c>
      <c r="F848" s="4" t="n">
        <v>1</v>
      </c>
      <c r="G848" t="inlineStr">
        <is>
          <t>Ontario Tennis Association</t>
        </is>
      </c>
      <c r="H848" t="inlineStr">
        <is>
          <t>ACE Tennis - Toronto Tennis City</t>
        </is>
      </c>
      <c r="I848" t="n">
        <v>38.5</v>
      </c>
      <c r="J848" s="4" t="n">
        <v>6</v>
      </c>
      <c r="K848" t="inlineStr">
        <is>
          <t>4 / 2</t>
        </is>
      </c>
      <c r="L848" t="inlineStr">
        <is>
          <t>4 / 2</t>
        </is>
      </c>
      <c r="M848" s="5" t="n">
        <v>0.67</v>
      </c>
      <c r="N848" s="5" t="n">
        <v>0.67</v>
      </c>
    </row>
    <row r="849">
      <c r="A849" t="n">
        <v>845</v>
      </c>
      <c r="B849" t="n">
        <v>2015</v>
      </c>
      <c r="C849" t="inlineStr">
        <is>
          <t>Catherine Qu</t>
        </is>
      </c>
      <c r="D849">
        <f>HYPERLINK("https://ota.tournamentsoftware.com/player-profile/6BFBAA24-1779-441C-B7FC-7EF81219D270", "Link")</f>
        <v/>
      </c>
      <c r="E849" s="3" t="n">
        <v>6.48</v>
      </c>
      <c r="F849" s="4" t="n">
        <v>1</v>
      </c>
      <c r="G849" t="inlineStr">
        <is>
          <t>Ontario Tennis Association</t>
        </is>
      </c>
      <c r="H849" t="inlineStr">
        <is>
          <t>Royal City Tennis Club</t>
        </is>
      </c>
      <c r="I849" t="n">
        <v>36.4</v>
      </c>
      <c r="J849" s="4" t="n">
        <v>19</v>
      </c>
      <c r="K849" t="inlineStr">
        <is>
          <t>3 / 16</t>
        </is>
      </c>
      <c r="L849" t="inlineStr">
        <is>
          <t>1 / 1</t>
        </is>
      </c>
      <c r="M849" s="5" t="n">
        <v>0.16</v>
      </c>
      <c r="N849" s="5" t="n">
        <v>0.5</v>
      </c>
    </row>
    <row r="850">
      <c r="A850" t="n">
        <v>845</v>
      </c>
      <c r="B850" t="n">
        <v>2013</v>
      </c>
      <c r="C850" t="inlineStr">
        <is>
          <t>Juliana Pena</t>
        </is>
      </c>
      <c r="D850">
        <f>HYPERLINK("https://ota.tournamentsoftware.com/player-profile/8F1CA811-953C-4FAC-980B-55D7FE7A6E50", "Link")</f>
        <v/>
      </c>
      <c r="E850" s="3" t="n">
        <v>6.48</v>
      </c>
      <c r="F850" s="4" t="n">
        <v>1</v>
      </c>
      <c r="G850" t="inlineStr">
        <is>
          <t>Tennis Québec</t>
        </is>
      </c>
      <c r="H850" t="inlineStr">
        <is>
          <t>Tennis Québec (région Montréal Ouest)</t>
        </is>
      </c>
      <c r="I850" t="inlineStr">
        <is>
          <t>unavailable</t>
        </is>
      </c>
      <c r="J850" s="4" t="n">
        <v>10</v>
      </c>
      <c r="K850" t="inlineStr">
        <is>
          <t>3 / 7</t>
        </is>
      </c>
      <c r="L850" t="inlineStr">
        <is>
          <t>0 / 0</t>
        </is>
      </c>
      <c r="M850" s="5" t="n">
        <v>0.3</v>
      </c>
      <c r="N850" s="5" t="n">
        <v>0</v>
      </c>
    </row>
    <row r="851">
      <c r="A851" t="n">
        <v>845</v>
      </c>
      <c r="B851" t="n">
        <v>2016</v>
      </c>
      <c r="C851" t="inlineStr">
        <is>
          <t>Charlotte Gordovin</t>
        </is>
      </c>
      <c r="D851">
        <f>HYPERLINK("https://ota.tournamentsoftware.com/player-profile/961D5F8B-09E8-477B-A5D4-F4815570D913", "Link")</f>
        <v/>
      </c>
      <c r="E851" s="3" t="n">
        <v>6.48</v>
      </c>
      <c r="F851" s="4" t="n">
        <v>3</v>
      </c>
      <c r="G851" t="inlineStr">
        <is>
          <t>Ontario Tennis Association</t>
        </is>
      </c>
      <c r="H851" t="inlineStr">
        <is>
          <t>ON Tennis Toronto No Club</t>
        </is>
      </c>
      <c r="I851" t="inlineStr">
        <is>
          <t>unavailable</t>
        </is>
      </c>
      <c r="J851" s="4" t="n">
        <v>84</v>
      </c>
      <c r="K851" t="inlineStr">
        <is>
          <t>41 / 43</t>
        </is>
      </c>
      <c r="L851" t="inlineStr">
        <is>
          <t>14 / 16</t>
        </is>
      </c>
      <c r="M851" s="5" t="n">
        <v>0.49</v>
      </c>
      <c r="N851" s="5" t="n">
        <v>0.47</v>
      </c>
    </row>
    <row r="852">
      <c r="A852" t="n">
        <v>845</v>
      </c>
      <c r="B852" t="n">
        <v>2017</v>
      </c>
      <c r="C852" t="inlineStr">
        <is>
          <t>Riley Yang</t>
        </is>
      </c>
      <c r="D852">
        <f>HYPERLINK("https://ota.tournamentsoftware.com/player-profile/26AD4F6A-B4DE-4D98-85C5-1F82427AD36B", "Link")</f>
        <v/>
      </c>
      <c r="E852" s="3" t="n">
        <v>6.48</v>
      </c>
      <c r="F852" s="4" t="n">
        <v>1</v>
      </c>
      <c r="G852" t="inlineStr">
        <is>
          <t>Ontario Tennis Association</t>
        </is>
      </c>
      <c r="H852" t="inlineStr">
        <is>
          <t>Mayfair West Fitness &amp; Racquet Club</t>
        </is>
      </c>
      <c r="I852" t="inlineStr">
        <is>
          <t>unavailable</t>
        </is>
      </c>
      <c r="J852" s="4" t="n">
        <v>184</v>
      </c>
      <c r="K852" t="inlineStr">
        <is>
          <t>96 / 88</t>
        </is>
      </c>
      <c r="L852" t="inlineStr">
        <is>
          <t>60 / 44</t>
        </is>
      </c>
      <c r="M852" s="5" t="n">
        <v>0.52</v>
      </c>
      <c r="N852" s="5" t="n">
        <v>0.58</v>
      </c>
    </row>
    <row r="853">
      <c r="A853" t="n">
        <v>852</v>
      </c>
      <c r="B853" t="n">
        <v>2015</v>
      </c>
      <c r="C853" t="inlineStr">
        <is>
          <t>Rowan Ferris</t>
        </is>
      </c>
      <c r="D853">
        <f>HYPERLINK("https://ota.tournamentsoftware.com/player-profile/48292DD6-1A8C-41C7-997E-9A5C5BD68EFF", "Link")</f>
        <v/>
      </c>
      <c r="E853" s="3" t="n">
        <v>6.478</v>
      </c>
      <c r="F853" s="4" t="n">
        <v>2</v>
      </c>
      <c r="G853" t="inlineStr">
        <is>
          <t>Tennis Alberta</t>
        </is>
      </c>
      <c r="H853" t="inlineStr">
        <is>
          <t>Medicine Hat Tennis Club</t>
        </is>
      </c>
      <c r="I853" t="n">
        <v>39.3</v>
      </c>
      <c r="J853" s="4" t="n">
        <v>10</v>
      </c>
      <c r="K853" t="inlineStr">
        <is>
          <t>3 / 7</t>
        </is>
      </c>
      <c r="L853" t="inlineStr">
        <is>
          <t>1 / 3</t>
        </is>
      </c>
      <c r="M853" s="5" t="n">
        <v>0.3</v>
      </c>
      <c r="N853" s="5" t="n">
        <v>0.25</v>
      </c>
    </row>
    <row r="854">
      <c r="A854" t="n">
        <v>853</v>
      </c>
      <c r="B854" t="n">
        <v>2015</v>
      </c>
      <c r="C854" t="inlineStr">
        <is>
          <t>Niveah Watt-Shelton</t>
        </is>
      </c>
      <c r="D854">
        <f>HYPERLINK("https://ota.tournamentsoftware.com/player-profile/2142B288-43FF-46B4-8037-BD18E957E823", "Link")</f>
        <v/>
      </c>
      <c r="E854" s="3" t="n">
        <v>6.33</v>
      </c>
      <c r="F854" s="4" t="n">
        <v>2</v>
      </c>
      <c r="G854" t="inlineStr">
        <is>
          <t>British Columbia</t>
        </is>
      </c>
      <c r="H854" t="inlineStr">
        <is>
          <t>UBC Tennis Centre</t>
        </is>
      </c>
      <c r="I854" t="inlineStr">
        <is>
          <t>unavailable</t>
        </is>
      </c>
      <c r="J854" s="4" t="n">
        <v>58</v>
      </c>
      <c r="K854" t="inlineStr">
        <is>
          <t>28 / 30</t>
        </is>
      </c>
      <c r="L854" t="inlineStr">
        <is>
          <t>8 / 8</t>
        </is>
      </c>
      <c r="M854" s="5" t="n">
        <v>0.48</v>
      </c>
      <c r="N854" s="5" t="n">
        <v>0.5</v>
      </c>
    </row>
    <row r="855">
      <c r="A855" t="n">
        <v>854</v>
      </c>
      <c r="B855" t="n">
        <v>2016</v>
      </c>
      <c r="C855" t="inlineStr">
        <is>
          <t>Victoire Gayet</t>
        </is>
      </c>
      <c r="D855">
        <f>HYPERLINK("https://ota.tournamentsoftware.com/player-profile/DBBAA257-D054-46DF-AD87-43BF983BBD0C", "Link")</f>
        <v/>
      </c>
      <c r="E855" s="3" t="n">
        <v>6.264</v>
      </c>
      <c r="F855" s="4" t="n">
        <v>1</v>
      </c>
      <c r="G855" t="inlineStr">
        <is>
          <t>Tennis Québec</t>
        </is>
      </c>
      <c r="H855" t="inlineStr">
        <is>
          <t>Tennis Montréal Excellence</t>
        </is>
      </c>
      <c r="I855" t="n">
        <v>34.2</v>
      </c>
      <c r="J855" s="4" t="n">
        <v>47</v>
      </c>
      <c r="K855" t="inlineStr">
        <is>
          <t>27 / 20</t>
        </is>
      </c>
      <c r="L855" t="inlineStr">
        <is>
          <t>21 / 9</t>
        </is>
      </c>
      <c r="M855" s="5" t="n">
        <v>0.57</v>
      </c>
      <c r="N855" s="5" t="n">
        <v>0.7</v>
      </c>
    </row>
    <row r="856">
      <c r="A856" t="n">
        <v>855</v>
      </c>
      <c r="B856" t="n">
        <v>2012</v>
      </c>
      <c r="C856" t="inlineStr">
        <is>
          <t>Feiran Zhang</t>
        </is>
      </c>
      <c r="D856">
        <f>HYPERLINK("https://ota.tournamentsoftware.com/player-profile/8FFC114F-FEF3-40BF-AF97-E338D1EA4209", "Link")</f>
        <v/>
      </c>
      <c r="E856" s="3" t="n">
        <v>6.248</v>
      </c>
      <c r="F856" s="4" t="n">
        <v>1</v>
      </c>
      <c r="G856" t="inlineStr">
        <is>
          <t>British Columbia</t>
        </is>
      </c>
      <c r="H856" t="inlineStr">
        <is>
          <t>No Club</t>
        </is>
      </c>
      <c r="I856" t="n">
        <v>38.1</v>
      </c>
      <c r="J856" s="4" t="n">
        <v>14</v>
      </c>
      <c r="K856" t="inlineStr">
        <is>
          <t>5 / 9</t>
        </is>
      </c>
      <c r="L856" t="inlineStr">
        <is>
          <t>2 / 3</t>
        </is>
      </c>
      <c r="M856" s="5" t="n">
        <v>0.36</v>
      </c>
      <c r="N856" s="5" t="n">
        <v>0.4</v>
      </c>
    </row>
    <row r="857">
      <c r="A857" t="n">
        <v>855</v>
      </c>
      <c r="B857" t="n">
        <v>2012</v>
      </c>
      <c r="C857" t="inlineStr">
        <is>
          <t>Huiran Zhang</t>
        </is>
      </c>
      <c r="D857">
        <f>HYPERLINK("https://ota.tournamentsoftware.com/player-profile/1E917C5C-2B33-48E2-908B-A812DD532CD4", "Link")</f>
        <v/>
      </c>
      <c r="E857" s="3" t="n">
        <v>6.248</v>
      </c>
      <c r="F857" s="4" t="n">
        <v>1</v>
      </c>
      <c r="G857" t="inlineStr">
        <is>
          <t>British Columbia</t>
        </is>
      </c>
      <c r="H857" t="inlineStr">
        <is>
          <t>No Club</t>
        </is>
      </c>
      <c r="I857" t="n">
        <v>37.6</v>
      </c>
      <c r="J857" s="4" t="n">
        <v>13</v>
      </c>
      <c r="K857" t="inlineStr">
        <is>
          <t>2 / 11</t>
        </is>
      </c>
      <c r="L857" t="inlineStr">
        <is>
          <t>1 / 4</t>
        </is>
      </c>
      <c r="M857" s="5" t="n">
        <v>0.15</v>
      </c>
      <c r="N857" s="5" t="n">
        <v>0.2</v>
      </c>
    </row>
    <row r="858">
      <c r="A858" t="n">
        <v>857</v>
      </c>
      <c r="B858" t="n">
        <v>2014</v>
      </c>
      <c r="C858" t="inlineStr">
        <is>
          <t>Tillya Villeneuve</t>
        </is>
      </c>
      <c r="D858">
        <f>HYPERLINK("https://ota.tournamentsoftware.com/player-profile/B96926BC-0825-4914-B6C7-E7906E4AC960", "Link")</f>
        <v/>
      </c>
      <c r="E858" s="3" t="n">
        <v>6.178</v>
      </c>
      <c r="F858" s="4" t="n">
        <v>7</v>
      </c>
      <c r="G858" t="inlineStr">
        <is>
          <t>Tennis Alberta</t>
        </is>
      </c>
      <c r="H858" t="inlineStr">
        <is>
          <t>Aforza</t>
        </is>
      </c>
      <c r="I858" t="inlineStr">
        <is>
          <t>unavailable</t>
        </is>
      </c>
      <c r="J858" s="4" t="n">
        <v>15</v>
      </c>
      <c r="K858" t="inlineStr">
        <is>
          <t>6 / 9</t>
        </is>
      </c>
      <c r="L858" t="inlineStr">
        <is>
          <t>6 / 9</t>
        </is>
      </c>
      <c r="M858" s="5" t="n">
        <v>0.4</v>
      </c>
      <c r="N858" s="5" t="n">
        <v>0.4</v>
      </c>
    </row>
    <row r="859">
      <c r="A859" t="n">
        <v>858</v>
      </c>
      <c r="B859" t="n">
        <v>2016</v>
      </c>
      <c r="C859" t="inlineStr">
        <is>
          <t>Michelle Hiu Tung Law</t>
        </is>
      </c>
      <c r="D859">
        <f>HYPERLINK("https://ota.tournamentsoftware.com/player-profile/6B7246D7-C656-43B4-A93A-54E15E04D73D", "Link")</f>
        <v/>
      </c>
      <c r="E859" s="3" t="n">
        <v>6.048</v>
      </c>
      <c r="F859" s="4" t="n">
        <v>10</v>
      </c>
      <c r="G859" t="inlineStr">
        <is>
          <t>Tennis Alberta</t>
        </is>
      </c>
      <c r="H859" t="inlineStr">
        <is>
          <t>Saville Community Sports Centre</t>
        </is>
      </c>
      <c r="I859" t="n">
        <v>37.9</v>
      </c>
      <c r="J859" s="4" t="n">
        <v>79</v>
      </c>
      <c r="K859" t="inlineStr">
        <is>
          <t>32 / 47</t>
        </is>
      </c>
      <c r="L859" t="inlineStr">
        <is>
          <t>13 / 19</t>
        </is>
      </c>
      <c r="M859" s="5" t="n">
        <v>0.41</v>
      </c>
      <c r="N859" s="5" t="n">
        <v>0.41</v>
      </c>
    </row>
    <row r="860">
      <c r="A860" t="n">
        <v>859</v>
      </c>
      <c r="B860" t="n">
        <v>2015</v>
      </c>
      <c r="C860" t="inlineStr">
        <is>
          <t>Allison Zhang</t>
        </is>
      </c>
      <c r="D860">
        <f>HYPERLINK("https://ota.tournamentsoftware.com/player-profile/7EED065B-4139-4D18-B6C0-4800BB20D171", "Link")</f>
        <v/>
      </c>
      <c r="E860" s="3" t="n">
        <v>6</v>
      </c>
      <c r="F860" s="4" t="n">
        <v>1</v>
      </c>
      <c r="G860" t="inlineStr">
        <is>
          <t>Ontario Tennis Association</t>
        </is>
      </c>
      <c r="H860" t="inlineStr">
        <is>
          <t>No Club</t>
        </is>
      </c>
      <c r="I860" t="inlineStr">
        <is>
          <t>unavailable</t>
        </is>
      </c>
      <c r="J860" s="4" t="n">
        <v>23</v>
      </c>
      <c r="K860" t="inlineStr">
        <is>
          <t>4 / 19</t>
        </is>
      </c>
      <c r="L860" t="inlineStr">
        <is>
          <t>0 / 0</t>
        </is>
      </c>
      <c r="M860" s="5" t="n">
        <v>0.17</v>
      </c>
      <c r="N860" s="5" t="n">
        <v>0</v>
      </c>
    </row>
    <row r="861">
      <c r="A861" t="n">
        <v>859</v>
      </c>
      <c r="B861" t="n">
        <v>2014</v>
      </c>
      <c r="C861" t="inlineStr">
        <is>
          <t>Dina Karahotzitis</t>
        </is>
      </c>
      <c r="D861">
        <f>HYPERLINK("https://ota.tournamentsoftware.com/player-profile/741C9055-B842-4064-A339-E591B8FD72C4", "Link")</f>
        <v/>
      </c>
      <c r="E861" s="3" t="n">
        <v>6</v>
      </c>
      <c r="F861" s="4" t="n">
        <v>1</v>
      </c>
      <c r="G861" t="inlineStr">
        <is>
          <t>Ontario Tennis Association</t>
        </is>
      </c>
      <c r="H861" t="inlineStr">
        <is>
          <t>Mayfair West Fitness &amp; Racquet Club</t>
        </is>
      </c>
      <c r="I861" t="n">
        <v>34.9</v>
      </c>
      <c r="J861" s="4" t="n">
        <v>19</v>
      </c>
      <c r="K861" t="inlineStr">
        <is>
          <t>0 / 19</t>
        </is>
      </c>
      <c r="L861" t="inlineStr">
        <is>
          <t>0 / 0</t>
        </is>
      </c>
      <c r="M861" s="5" t="n">
        <v>0</v>
      </c>
      <c r="N861" s="5" t="n">
        <v>0</v>
      </c>
    </row>
    <row r="862">
      <c r="A862" t="n">
        <v>861</v>
      </c>
      <c r="B862" t="n">
        <v>2015</v>
      </c>
      <c r="C862" t="inlineStr">
        <is>
          <t>Vera Nino</t>
        </is>
      </c>
      <c r="D862">
        <f>HYPERLINK("https://ota.tournamentsoftware.com/player-profile/081EF9A9-B991-431D-B2FC-AC8426BD2711", "Link")</f>
        <v/>
      </c>
      <c r="E862" s="3" t="n">
        <v>5.803</v>
      </c>
      <c r="F862" s="4" t="n">
        <v>1</v>
      </c>
      <c r="G862" t="inlineStr">
        <is>
          <t>Ontario Tennis Association</t>
        </is>
      </c>
      <c r="H862" t="inlineStr">
        <is>
          <t>Zekelman Tennis Centre</t>
        </is>
      </c>
      <c r="I862" t="inlineStr">
        <is>
          <t>unavailable</t>
        </is>
      </c>
      <c r="J862" s="4" t="n">
        <v>8</v>
      </c>
      <c r="K862" t="inlineStr">
        <is>
          <t>1 / 7</t>
        </is>
      </c>
      <c r="L862" t="inlineStr">
        <is>
          <t>1 / 7</t>
        </is>
      </c>
      <c r="M862" s="5" t="n">
        <v>0.12</v>
      </c>
      <c r="N862" s="5" t="n">
        <v>0.12</v>
      </c>
    </row>
    <row r="863">
      <c r="A863" t="n">
        <v>862</v>
      </c>
      <c r="B863" t="n">
        <v>2015</v>
      </c>
      <c r="C863" t="inlineStr">
        <is>
          <t>Anaïs Abraham</t>
        </is>
      </c>
      <c r="D863">
        <f>HYPERLINK("https://ota.tournamentsoftware.com/player-profile/39B18892-7698-4742-BF55-CFCBEC0847D1", "Link")</f>
        <v/>
      </c>
      <c r="E863" s="3" t="n">
        <v>5.192</v>
      </c>
      <c r="F863" s="4" t="n">
        <v>1</v>
      </c>
      <c r="G863" t="inlineStr">
        <is>
          <t>Tennis Québec</t>
        </is>
      </c>
      <c r="H863" t="inlineStr">
        <is>
          <t>Association de tennis de Drummondville</t>
        </is>
      </c>
      <c r="I863" t="n">
        <v>36.6</v>
      </c>
      <c r="J863" s="4" t="n">
        <v>3</v>
      </c>
      <c r="K863" t="inlineStr">
        <is>
          <t>1 / 2</t>
        </is>
      </c>
      <c r="L863" t="inlineStr">
        <is>
          <t>1 / 2</t>
        </is>
      </c>
      <c r="M863" s="5" t="n">
        <v>0.33</v>
      </c>
      <c r="N863" s="5" t="n">
        <v>0.33</v>
      </c>
    </row>
    <row r="864">
      <c r="A864" t="n">
        <v>863</v>
      </c>
      <c r="B864" t="n">
        <v>2016</v>
      </c>
      <c r="C864" t="inlineStr">
        <is>
          <t>Marusya Bakaeva</t>
        </is>
      </c>
      <c r="D864">
        <f>HYPERLINK("https://ota.tournamentsoftware.com/player-profile/B7C51186-F387-4E99-B849-E8275BB7C0E9", "Link")</f>
        <v/>
      </c>
      <c r="E864" s="3" t="n">
        <v>5.125</v>
      </c>
      <c r="F864" s="4" t="n">
        <v>2</v>
      </c>
      <c r="G864" t="inlineStr">
        <is>
          <t>Ontario Tennis Association</t>
        </is>
      </c>
      <c r="H864" t="inlineStr">
        <is>
          <t>Toronto Tennis City</t>
        </is>
      </c>
      <c r="I864" t="n">
        <v>37.2</v>
      </c>
      <c r="J864" s="4" t="n">
        <v>20</v>
      </c>
      <c r="K864" t="inlineStr">
        <is>
          <t>9 / 11</t>
        </is>
      </c>
      <c r="L864" t="inlineStr">
        <is>
          <t>6 / 7</t>
        </is>
      </c>
      <c r="M864" s="5" t="n">
        <v>0.45</v>
      </c>
      <c r="N864" s="5" t="n">
        <v>0.46</v>
      </c>
    </row>
    <row r="865">
      <c r="A865" t="n">
        <v>863</v>
      </c>
      <c r="B865" t="n">
        <v>2014</v>
      </c>
      <c r="C865" t="inlineStr">
        <is>
          <t>Alexandra Ciacoi-Pop</t>
        </is>
      </c>
      <c r="D865">
        <f>HYPERLINK("https://ota.tournamentsoftware.com/player-profile/4F87B1A1-F52A-4C8C-8C6B-776A59CC6D03", "Link")</f>
        <v/>
      </c>
      <c r="E865" s="3" t="n">
        <v>5.125</v>
      </c>
      <c r="F865" s="4" t="n">
        <v>1</v>
      </c>
      <c r="G865" t="inlineStr">
        <is>
          <t>Ontario Tennis Association</t>
        </is>
      </c>
      <c r="H865" t="inlineStr">
        <is>
          <t>Parkway Valley Tennis Club</t>
        </is>
      </c>
      <c r="I865" t="n">
        <v>38.8</v>
      </c>
      <c r="J865" s="4" t="n">
        <v>28</v>
      </c>
      <c r="K865" t="inlineStr">
        <is>
          <t>11 / 17</t>
        </is>
      </c>
      <c r="L865" t="inlineStr">
        <is>
          <t>7 / 12</t>
        </is>
      </c>
      <c r="M865" s="5" t="n">
        <v>0.39</v>
      </c>
      <c r="N865" s="5" t="n">
        <v>0.37</v>
      </c>
    </row>
    <row r="866">
      <c r="A866" t="n">
        <v>865</v>
      </c>
      <c r="B866" t="n">
        <v>2015</v>
      </c>
      <c r="C866" t="inlineStr">
        <is>
          <t>Ruhi Juneja</t>
        </is>
      </c>
      <c r="D866">
        <f>HYPERLINK("https://ota.tournamentsoftware.com/player-profile/E7A03006-4960-4A35-8B80-22CB122EB413", "Link")</f>
        <v/>
      </c>
      <c r="E866" s="3" t="n">
        <v>5.073</v>
      </c>
      <c r="F866" s="4" t="n">
        <v>6</v>
      </c>
      <c r="G866" t="inlineStr">
        <is>
          <t>Tennis Alberta</t>
        </is>
      </c>
      <c r="H866" t="inlineStr">
        <is>
          <t>IQ Tennis and Pickleball Centre</t>
        </is>
      </c>
      <c r="I866" t="n">
        <v>39.7</v>
      </c>
      <c r="J866" s="4" t="n">
        <v>10</v>
      </c>
      <c r="K866" t="inlineStr">
        <is>
          <t>1 / 9</t>
        </is>
      </c>
      <c r="L866" t="inlineStr">
        <is>
          <t>1 / 9</t>
        </is>
      </c>
      <c r="M866" s="5" t="n">
        <v>0.1</v>
      </c>
      <c r="N866" s="5" t="n">
        <v>0.1</v>
      </c>
    </row>
    <row r="867">
      <c r="A867" t="n">
        <v>866</v>
      </c>
      <c r="B867" t="n">
        <v>2012</v>
      </c>
      <c r="C867" t="inlineStr">
        <is>
          <t>Frankie Hunsberger</t>
        </is>
      </c>
      <c r="D867">
        <f>HYPERLINK("https://ota.tournamentsoftware.com/player-profile/288F03A3-20CB-46BE-B35D-7428B5B7FA35", "Link")</f>
        <v/>
      </c>
      <c r="E867" s="3" t="n">
        <v>5.054</v>
      </c>
      <c r="F867" s="4" t="n">
        <v>2</v>
      </c>
      <c r="G867" t="inlineStr">
        <is>
          <t>British Columbia</t>
        </is>
      </c>
      <c r="H867" t="inlineStr">
        <is>
          <t>North Shore Winter Club</t>
        </is>
      </c>
      <c r="I867" t="n">
        <v>38.6</v>
      </c>
      <c r="J867" s="4" t="n">
        <v>18</v>
      </c>
      <c r="K867" t="inlineStr">
        <is>
          <t>10 / 8</t>
        </is>
      </c>
      <c r="L867" t="inlineStr">
        <is>
          <t>3 / 2</t>
        </is>
      </c>
      <c r="M867" s="5" t="n">
        <v>0.5600000000000001</v>
      </c>
      <c r="N867" s="5" t="n">
        <v>0.6</v>
      </c>
    </row>
    <row r="868">
      <c r="A868" t="n">
        <v>867</v>
      </c>
      <c r="B868" t="n">
        <v>2014</v>
      </c>
      <c r="C868" t="inlineStr">
        <is>
          <t>Freya Run Rutledge</t>
        </is>
      </c>
      <c r="D868">
        <f>HYPERLINK("https://ota.tournamentsoftware.com/player-profile/76B60137-7272-4F42-A455-109E20840062", "Link")</f>
        <v/>
      </c>
      <c r="E868" s="3" t="n">
        <v>5</v>
      </c>
      <c r="F868" s="4" t="n">
        <v>1</v>
      </c>
      <c r="G868" t="inlineStr">
        <is>
          <t>Ontario Tennis Association</t>
        </is>
      </c>
      <c r="H868" t="inlineStr">
        <is>
          <t>Boulevard Club</t>
        </is>
      </c>
      <c r="I868" t="n">
        <v>34.9</v>
      </c>
      <c r="J868" s="4" t="n">
        <v>14</v>
      </c>
      <c r="K868" t="inlineStr">
        <is>
          <t>0 / 14</t>
        </is>
      </c>
      <c r="L868" t="inlineStr">
        <is>
          <t>0 / 1</t>
        </is>
      </c>
      <c r="M868" s="5" t="n">
        <v>0</v>
      </c>
      <c r="N868" s="5" t="n">
        <v>0</v>
      </c>
    </row>
    <row r="869">
      <c r="A869" t="n">
        <v>867</v>
      </c>
      <c r="B869" t="n">
        <v>2015</v>
      </c>
      <c r="C869" t="inlineStr">
        <is>
          <t>Cynthia Wang</t>
        </is>
      </c>
      <c r="D869">
        <f>HYPERLINK("https://ota.tournamentsoftware.com/player-profile/C8736B80-1071-4F4F-86B0-CA7FB630F618", "Link")</f>
        <v/>
      </c>
      <c r="E869" s="3" t="n">
        <v>5</v>
      </c>
      <c r="F869" s="4" t="n">
        <v>1</v>
      </c>
      <c r="G869" t="inlineStr">
        <is>
          <t>Ontario Tennis Association</t>
        </is>
      </c>
      <c r="H869" t="inlineStr">
        <is>
          <t>SmartVMC Racquetsports by ACE</t>
        </is>
      </c>
      <c r="I869" t="n">
        <v>37.3</v>
      </c>
      <c r="J869" s="4" t="n">
        <v>3</v>
      </c>
      <c r="K869" t="inlineStr">
        <is>
          <t>0 / 3</t>
        </is>
      </c>
      <c r="L869" t="inlineStr">
        <is>
          <t>0 / 0</t>
        </is>
      </c>
      <c r="M869" s="5" t="n">
        <v>0</v>
      </c>
      <c r="N869" s="5" t="n">
        <v>0</v>
      </c>
    </row>
    <row r="870">
      <c r="A870" t="n">
        <v>867</v>
      </c>
      <c r="B870" t="n">
        <v>2014</v>
      </c>
      <c r="C870" t="inlineStr">
        <is>
          <t>Mackenzie Lee</t>
        </is>
      </c>
      <c r="D870">
        <f>HYPERLINK("https://ota.tournamentsoftware.com/player-profile/7734E749-B5B7-4067-9AE1-B5CB58EFDC1A", "Link")</f>
        <v/>
      </c>
      <c r="E870" s="3" t="n">
        <v>5</v>
      </c>
      <c r="F870" s="4" t="n">
        <v>1</v>
      </c>
      <c r="G870" t="inlineStr">
        <is>
          <t>Ontario Tennis Association</t>
        </is>
      </c>
      <c r="H870" t="inlineStr">
        <is>
          <t>Toronto Lawn Tennis Club</t>
        </is>
      </c>
      <c r="I870" t="inlineStr">
        <is>
          <t>unavailable</t>
        </is>
      </c>
      <c r="J870" s="4" t="n">
        <v>13</v>
      </c>
      <c r="K870" t="inlineStr">
        <is>
          <t>5 / 8</t>
        </is>
      </c>
      <c r="L870" t="inlineStr">
        <is>
          <t>4 / 3</t>
        </is>
      </c>
      <c r="M870" s="5" t="n">
        <v>0.38</v>
      </c>
      <c r="N870" s="5" t="n">
        <v>0.57</v>
      </c>
    </row>
    <row r="871">
      <c r="A871" t="n">
        <v>870</v>
      </c>
      <c r="B871" t="n">
        <v>2014</v>
      </c>
      <c r="C871" t="inlineStr">
        <is>
          <t>Alicia Januario</t>
        </is>
      </c>
      <c r="D871">
        <f>HYPERLINK("https://ota.tournamentsoftware.com/player-profile/C042725A-21A9-463F-848F-04CEA3B56FE5", "Link")</f>
        <v/>
      </c>
      <c r="E871" s="3" t="n">
        <v>4.927</v>
      </c>
      <c r="F871" s="4" t="n">
        <v>2</v>
      </c>
      <c r="G871" t="inlineStr">
        <is>
          <t>Tennis Québec</t>
        </is>
      </c>
      <c r="H871" t="inlineStr">
        <is>
          <t>No Club</t>
        </is>
      </c>
      <c r="I871" t="n">
        <v>37.7</v>
      </c>
      <c r="J871" s="4" t="n">
        <v>6</v>
      </c>
      <c r="K871" t="inlineStr">
        <is>
          <t>1 / 5</t>
        </is>
      </c>
      <c r="L871" t="inlineStr">
        <is>
          <t>1 / 5</t>
        </is>
      </c>
      <c r="M871" s="5" t="n">
        <v>0.17</v>
      </c>
      <c r="N871" s="5" t="n">
        <v>0.17</v>
      </c>
    </row>
    <row r="872">
      <c r="A872" t="n">
        <v>871</v>
      </c>
      <c r="B872" t="n">
        <v>2016</v>
      </c>
      <c r="C872" t="inlineStr">
        <is>
          <t>Ella Luo</t>
        </is>
      </c>
      <c r="D872">
        <f>HYPERLINK("https://ota.tournamentsoftware.com/player-profile/3031CAE1-D7FD-42C8-B04F-2247B30476FE", "Link")</f>
        <v/>
      </c>
      <c r="E872" s="3" t="n">
        <v>4.838</v>
      </c>
      <c r="F872" s="4" t="n">
        <v>4</v>
      </c>
      <c r="G872" t="inlineStr">
        <is>
          <t>Tennis Alberta</t>
        </is>
      </c>
      <c r="H872" t="inlineStr">
        <is>
          <t>Saville Community Sports Centre</t>
        </is>
      </c>
      <c r="I872" t="n">
        <v>37.9</v>
      </c>
      <c r="J872" s="4" t="n">
        <v>32</v>
      </c>
      <c r="K872" t="inlineStr">
        <is>
          <t>13 / 19</t>
        </is>
      </c>
      <c r="L872" t="inlineStr">
        <is>
          <t>13 / 15</t>
        </is>
      </c>
      <c r="M872" s="5" t="n">
        <v>0.41</v>
      </c>
      <c r="N872" s="5" t="n">
        <v>0.46</v>
      </c>
    </row>
    <row r="873">
      <c r="A873" t="n">
        <v>872</v>
      </c>
      <c r="B873" t="n">
        <v>2014</v>
      </c>
      <c r="C873" t="inlineStr">
        <is>
          <t>Hannah Kucherawy</t>
        </is>
      </c>
      <c r="D873">
        <f>HYPERLINK("https://ota.tournamentsoftware.com/player-profile/E2ACD595-E7E5-40E3-935D-57DCECB8E04C", "Link")</f>
        <v/>
      </c>
      <c r="E873" s="3" t="n">
        <v>4.806</v>
      </c>
      <c r="F873" s="4" t="n">
        <v>1</v>
      </c>
      <c r="G873" t="inlineStr">
        <is>
          <t>Ontario Tennis Association</t>
        </is>
      </c>
      <c r="H873" t="inlineStr">
        <is>
          <t>Simcoe Tennis</t>
        </is>
      </c>
      <c r="I873" t="n">
        <v>35.6</v>
      </c>
      <c r="J873" s="4" t="n">
        <v>23</v>
      </c>
      <c r="K873" t="inlineStr">
        <is>
          <t>3 / 20</t>
        </is>
      </c>
      <c r="L873" t="inlineStr">
        <is>
          <t>1 / 1</t>
        </is>
      </c>
      <c r="M873" s="5" t="n">
        <v>0.13</v>
      </c>
      <c r="N873" s="5" t="n">
        <v>0.5</v>
      </c>
    </row>
    <row r="874">
      <c r="A874" t="n">
        <v>872</v>
      </c>
      <c r="B874" t="n">
        <v>2013</v>
      </c>
      <c r="C874" t="inlineStr">
        <is>
          <t>Grâce-David Adzo TRAORÉ</t>
        </is>
      </c>
      <c r="D874">
        <f>HYPERLINK("https://ota.tournamentsoftware.com/player-profile/2A96F5BB-709B-450E-A0CA-0442985A8D03", "Link")</f>
        <v/>
      </c>
      <c r="E874" s="3" t="n">
        <v>4.806</v>
      </c>
      <c r="F874" s="4" t="n">
        <v>1</v>
      </c>
      <c r="G874" t="inlineStr">
        <is>
          <t>Tennis Québec</t>
        </is>
      </c>
      <c r="H874" t="inlineStr">
        <is>
          <t>QC AutreClub</t>
        </is>
      </c>
      <c r="I874" t="inlineStr">
        <is>
          <t>unavailable</t>
        </is>
      </c>
      <c r="J874" s="4" t="n">
        <v>1</v>
      </c>
      <c r="K874" t="inlineStr">
        <is>
          <t>0 / 1</t>
        </is>
      </c>
      <c r="L874" t="inlineStr">
        <is>
          <t>0 / 0</t>
        </is>
      </c>
      <c r="M874" s="5" t="n">
        <v>0</v>
      </c>
      <c r="N874" s="5" t="n">
        <v>0</v>
      </c>
    </row>
    <row r="875">
      <c r="A875" t="n">
        <v>872</v>
      </c>
      <c r="B875" t="n">
        <v>2014</v>
      </c>
      <c r="C875" t="inlineStr">
        <is>
          <t>Emma Sun</t>
        </is>
      </c>
      <c r="D875">
        <f>HYPERLINK("https://ota.tournamentsoftware.com/player-profile/872E410F-742F-4F80-9387-6C15C73FE92E", "Link")</f>
        <v/>
      </c>
      <c r="E875" s="3" t="n">
        <v>4.806</v>
      </c>
      <c r="F875" s="4" t="n">
        <v>1</v>
      </c>
      <c r="G875" t="inlineStr">
        <is>
          <t>Ontario Tennis Association</t>
        </is>
      </c>
      <c r="H875" t="inlineStr">
        <is>
          <t>Valan Tennis Academy</t>
        </is>
      </c>
      <c r="I875" t="n">
        <v>38.5</v>
      </c>
      <c r="J875" s="4" t="n">
        <v>18</v>
      </c>
      <c r="K875" t="inlineStr">
        <is>
          <t>10 / 8</t>
        </is>
      </c>
      <c r="L875" t="inlineStr">
        <is>
          <t>1 / 1</t>
        </is>
      </c>
      <c r="M875" s="5" t="n">
        <v>0.5600000000000001</v>
      </c>
      <c r="N875" s="5" t="n">
        <v>0.5</v>
      </c>
    </row>
    <row r="876">
      <c r="A876" t="n">
        <v>872</v>
      </c>
      <c r="B876" t="n">
        <v>2014</v>
      </c>
      <c r="C876" t="inlineStr">
        <is>
          <t>Iris Li</t>
        </is>
      </c>
      <c r="D876">
        <f>HYPERLINK("https://ota.tournamentsoftware.com/player-profile/CC36F5CC-203F-4A28-B27C-068A0E15610C", "Link")</f>
        <v/>
      </c>
      <c r="E876" s="3" t="n">
        <v>4.806</v>
      </c>
      <c r="F876" s="4" t="n">
        <v>2</v>
      </c>
      <c r="G876" t="inlineStr">
        <is>
          <t>British Columbia</t>
        </is>
      </c>
      <c r="H876" t="inlineStr">
        <is>
          <t>Tennis for Life</t>
        </is>
      </c>
      <c r="I876" t="n">
        <v>39.5</v>
      </c>
      <c r="J876" s="4" t="n">
        <v>43</v>
      </c>
      <c r="K876" t="inlineStr">
        <is>
          <t>17 / 26</t>
        </is>
      </c>
      <c r="L876" t="inlineStr">
        <is>
          <t>8 / 4</t>
        </is>
      </c>
      <c r="M876" s="5" t="n">
        <v>0.4</v>
      </c>
      <c r="N876" s="5" t="n">
        <v>0.67</v>
      </c>
    </row>
    <row r="877">
      <c r="A877" t="n">
        <v>876</v>
      </c>
      <c r="B877" t="n">
        <v>2015</v>
      </c>
      <c r="C877" t="inlineStr">
        <is>
          <t>Jade Adepetu</t>
        </is>
      </c>
      <c r="D877">
        <f>HYPERLINK("https://ota.tournamentsoftware.com/player-profile/44B25337-8306-4D62-BB4F-8BAB0C726BA7", "Link")</f>
        <v/>
      </c>
      <c r="E877" s="3" t="n">
        <v>4.418</v>
      </c>
      <c r="F877" s="4" t="n">
        <v>4</v>
      </c>
      <c r="G877" t="inlineStr">
        <is>
          <t>Tennis Alberta</t>
        </is>
      </c>
      <c r="H877" t="inlineStr">
        <is>
          <t>Osten &amp; Victor Alberta Tennis Centre</t>
        </is>
      </c>
      <c r="I877" t="inlineStr">
        <is>
          <t>unavailable</t>
        </is>
      </c>
      <c r="J877" s="4" t="n">
        <v>27</v>
      </c>
      <c r="K877" t="inlineStr">
        <is>
          <t>6 / 21</t>
        </is>
      </c>
      <c r="L877" t="inlineStr">
        <is>
          <t>5 / 11</t>
        </is>
      </c>
      <c r="M877" s="5" t="n">
        <v>0.22</v>
      </c>
      <c r="N877" s="5" t="n">
        <v>0.31</v>
      </c>
    </row>
    <row r="878">
      <c r="A878" t="n">
        <v>877</v>
      </c>
      <c r="B878" t="n">
        <v>2013</v>
      </c>
      <c r="C878" t="inlineStr">
        <is>
          <t>rafaela pena</t>
        </is>
      </c>
      <c r="D878">
        <f>HYPERLINK("https://ota.tournamentsoftware.com/player-profile/A4EAF82E-5402-4B2B-B03B-0E790D9A9F99", "Link")</f>
        <v/>
      </c>
      <c r="E878" s="3" t="n">
        <v>4.29</v>
      </c>
      <c r="F878" s="4" t="n">
        <v>1</v>
      </c>
      <c r="G878" t="inlineStr">
        <is>
          <t>Tennis Québec</t>
        </is>
      </c>
      <c r="H878" t="inlineStr">
        <is>
          <t>Tennis Québec (région Montréal Ouest)</t>
        </is>
      </c>
      <c r="I878" t="inlineStr">
        <is>
          <t>unavailable</t>
        </is>
      </c>
      <c r="J878" s="4" t="n">
        <v>10</v>
      </c>
      <c r="K878" t="inlineStr">
        <is>
          <t>4 / 6</t>
        </is>
      </c>
      <c r="L878" t="inlineStr">
        <is>
          <t>0 / 0</t>
        </is>
      </c>
      <c r="M878" s="5" t="n">
        <v>0.4</v>
      </c>
      <c r="N878" s="5" t="n">
        <v>0</v>
      </c>
    </row>
    <row r="879">
      <c r="A879" t="n">
        <v>878</v>
      </c>
      <c r="B879" t="n">
        <v>2014</v>
      </c>
      <c r="C879" t="inlineStr">
        <is>
          <t>Leonor Carolina Villarroel</t>
        </is>
      </c>
      <c r="D879">
        <f>HYPERLINK("https://ota.tournamentsoftware.com/player-profile/EC7FA318-1E25-4F5B-B01E-8B6C88C02638", "Link")</f>
        <v/>
      </c>
      <c r="E879" s="3" t="n">
        <v>4.104</v>
      </c>
      <c r="F879" s="4" t="n">
        <v>1</v>
      </c>
      <c r="G879" t="inlineStr">
        <is>
          <t>Tennis Nova Scotia</t>
        </is>
      </c>
      <c r="H879" t="inlineStr">
        <is>
          <t>The Cougar Dome</t>
        </is>
      </c>
      <c r="I879" t="n">
        <v>37</v>
      </c>
      <c r="J879" s="4" t="n">
        <v>1</v>
      </c>
      <c r="K879" t="inlineStr">
        <is>
          <t>0 / 1</t>
        </is>
      </c>
      <c r="L879" t="inlineStr">
        <is>
          <t>0 / 1</t>
        </is>
      </c>
      <c r="M879" s="5" t="n">
        <v>0</v>
      </c>
      <c r="N879" s="5" t="n">
        <v>0</v>
      </c>
    </row>
    <row r="880">
      <c r="A880" t="n">
        <v>879</v>
      </c>
      <c r="B880" t="n">
        <v>2015</v>
      </c>
      <c r="C880" t="inlineStr">
        <is>
          <t>Emmy Judge</t>
        </is>
      </c>
      <c r="D880">
        <f>HYPERLINK("https://ota.tournamentsoftware.com/player-profile/553284DE-2D65-4837-B86A-2230DB300AC5", "Link")</f>
        <v/>
      </c>
      <c r="E880" s="3" t="n">
        <v>4.077</v>
      </c>
      <c r="F880" s="4" t="n">
        <v>1</v>
      </c>
      <c r="G880" t="inlineStr">
        <is>
          <t>Ontario Tennis Association</t>
        </is>
      </c>
      <c r="H880" t="inlineStr">
        <is>
          <t>No Club</t>
        </is>
      </c>
      <c r="I880" t="inlineStr">
        <is>
          <t>unavailable</t>
        </is>
      </c>
      <c r="J880" s="4" t="n">
        <v>4</v>
      </c>
      <c r="K880" t="inlineStr">
        <is>
          <t>0 / 4</t>
        </is>
      </c>
      <c r="L880" t="inlineStr">
        <is>
          <t>0 / 4</t>
        </is>
      </c>
      <c r="M880" s="5" t="n">
        <v>0</v>
      </c>
      <c r="N880" s="5" t="n">
        <v>0</v>
      </c>
    </row>
    <row r="881">
      <c r="A881" t="n">
        <v>880</v>
      </c>
      <c r="B881" t="n">
        <v>2015</v>
      </c>
      <c r="C881" t="inlineStr">
        <is>
          <t>Sophie Wu</t>
        </is>
      </c>
      <c r="D881">
        <f>HYPERLINK("https://ota.tournamentsoftware.com/player-profile/86FD02FE-3422-4F25-8D27-A4FD05572855", "Link")</f>
        <v/>
      </c>
      <c r="E881" s="3" t="n">
        <v>3.942</v>
      </c>
      <c r="F881" s="4" t="n">
        <v>1</v>
      </c>
      <c r="G881" t="inlineStr">
        <is>
          <t>Tennis Québec</t>
        </is>
      </c>
      <c r="H881" t="inlineStr">
        <is>
          <t>No Club</t>
        </is>
      </c>
      <c r="I881" t="n">
        <v>38.7</v>
      </c>
      <c r="J881" s="4" t="n">
        <v>1</v>
      </c>
      <c r="K881" t="inlineStr">
        <is>
          <t>0 / 1</t>
        </is>
      </c>
      <c r="L881" t="inlineStr">
        <is>
          <t>0 / 1</t>
        </is>
      </c>
      <c r="M881" s="5" t="n">
        <v>0</v>
      </c>
      <c r="N881" s="5" t="n">
        <v>0</v>
      </c>
    </row>
    <row r="882">
      <c r="A882" t="n">
        <v>881</v>
      </c>
      <c r="B882" t="n">
        <v>2013</v>
      </c>
      <c r="C882" t="inlineStr">
        <is>
          <t>Vittoria Veronica Noce</t>
        </is>
      </c>
      <c r="D882">
        <f>HYPERLINK("https://ota.tournamentsoftware.com/player-profile/00D388D4-0B24-4339-9B51-BDB96207A30D", "Link")</f>
        <v/>
      </c>
      <c r="E882" s="3" t="n">
        <v>3.889</v>
      </c>
      <c r="F882" s="4" t="n">
        <v>3</v>
      </c>
      <c r="G882" t="inlineStr">
        <is>
          <t>Tennis Alberta</t>
        </is>
      </c>
      <c r="H882" t="inlineStr">
        <is>
          <t>Saville Community Sports Centre</t>
        </is>
      </c>
      <c r="I882" t="n">
        <v>37.1</v>
      </c>
      <c r="J882" s="4" t="n">
        <v>51</v>
      </c>
      <c r="K882" t="inlineStr">
        <is>
          <t>13 / 38</t>
        </is>
      </c>
      <c r="L882" t="inlineStr">
        <is>
          <t>3 / 5</t>
        </is>
      </c>
      <c r="M882" s="5" t="n">
        <v>0.25</v>
      </c>
      <c r="N882" s="5" t="n">
        <v>0.38</v>
      </c>
    </row>
    <row r="883">
      <c r="A883" t="n">
        <v>882</v>
      </c>
      <c r="B883" t="n">
        <v>2016</v>
      </c>
      <c r="C883" t="inlineStr">
        <is>
          <t>Yuxuan Niu</t>
        </is>
      </c>
      <c r="D883">
        <f>HYPERLINK("https://ota.tournamentsoftware.com/player-profile/49C2723D-DBBA-48CA-B20D-69A550E45FB4", "Link")</f>
        <v/>
      </c>
      <c r="E883" s="3" t="n">
        <v>3.888</v>
      </c>
      <c r="F883" s="4" t="n">
        <v>2</v>
      </c>
      <c r="G883" t="inlineStr">
        <is>
          <t>Ontario Tennis Association</t>
        </is>
      </c>
      <c r="H883" t="inlineStr">
        <is>
          <t>Premier Racquet Clubs – Mississauga</t>
        </is>
      </c>
      <c r="I883" t="inlineStr">
        <is>
          <t>unavailable</t>
        </is>
      </c>
      <c r="J883" s="4" t="n">
        <v>19</v>
      </c>
      <c r="K883" t="inlineStr">
        <is>
          <t>13 / 6</t>
        </is>
      </c>
      <c r="L883" t="inlineStr">
        <is>
          <t>13 / 6</t>
        </is>
      </c>
      <c r="M883" s="5" t="n">
        <v>0.68</v>
      </c>
      <c r="N883" s="5" t="n">
        <v>0.68</v>
      </c>
    </row>
    <row r="884">
      <c r="A884" t="n">
        <v>882</v>
      </c>
      <c r="B884" t="n">
        <v>2017</v>
      </c>
      <c r="C884" t="inlineStr">
        <is>
          <t>Nysa Iyer</t>
        </is>
      </c>
      <c r="D884">
        <f>HYPERLINK("https://ota.tournamentsoftware.com/player-profile/7133F3A1-6724-4B35-BBF9-2DFB20E0D933", "Link")</f>
        <v/>
      </c>
      <c r="E884" s="3" t="n">
        <v>3.888</v>
      </c>
      <c r="F884" s="4" t="n">
        <v>4</v>
      </c>
      <c r="G884" t="inlineStr">
        <is>
          <t>Tennis Alberta</t>
        </is>
      </c>
      <c r="H884" t="inlineStr">
        <is>
          <t>No Club</t>
        </is>
      </c>
      <c r="I884" t="n">
        <v>38.4</v>
      </c>
      <c r="J884" s="4" t="n">
        <v>67</v>
      </c>
      <c r="K884" t="inlineStr">
        <is>
          <t>32 / 35</t>
        </is>
      </c>
      <c r="L884" t="inlineStr">
        <is>
          <t>15 / 14</t>
        </is>
      </c>
      <c r="M884" s="5" t="n">
        <v>0.48</v>
      </c>
      <c r="N884" s="5" t="n">
        <v>0.52</v>
      </c>
    </row>
    <row r="885">
      <c r="A885" t="n">
        <v>882</v>
      </c>
      <c r="B885" t="n">
        <v>2014</v>
      </c>
      <c r="C885" t="inlineStr">
        <is>
          <t>Yanxi Chen</t>
        </is>
      </c>
      <c r="D885">
        <f>HYPERLINK("https://ota.tournamentsoftware.com/player-profile/E6571B14-6651-4CD3-A420-8263947DBA1E", "Link")</f>
        <v/>
      </c>
      <c r="E885" s="3" t="n">
        <v>3.888</v>
      </c>
      <c r="F885" s="4" t="n">
        <v>1</v>
      </c>
      <c r="G885" t="inlineStr">
        <is>
          <t>British Columbia</t>
        </is>
      </c>
      <c r="H885" t="inlineStr">
        <is>
          <t>West Vancouver Tennis Club</t>
        </is>
      </c>
      <c r="I885" t="n">
        <v>38.6</v>
      </c>
      <c r="J885" s="4" t="n">
        <v>10</v>
      </c>
      <c r="K885" t="inlineStr">
        <is>
          <t>5 / 5</t>
        </is>
      </c>
      <c r="L885" t="inlineStr">
        <is>
          <t>3 / 3</t>
        </is>
      </c>
      <c r="M885" s="5" t="n">
        <v>0.5</v>
      </c>
      <c r="N885" s="5" t="n">
        <v>0.5</v>
      </c>
    </row>
    <row r="886">
      <c r="A886" t="n">
        <v>882</v>
      </c>
      <c r="B886" t="n">
        <v>2015</v>
      </c>
      <c r="C886" t="inlineStr">
        <is>
          <t>JIAYI LIN</t>
        </is>
      </c>
      <c r="D886">
        <f>HYPERLINK("https://ota.tournamentsoftware.com/player-profile/9025A036-DFDA-4A69-B03F-EEE43D14A3C3", "Link")</f>
        <v/>
      </c>
      <c r="E886" s="3" t="n">
        <v>3.888</v>
      </c>
      <c r="F886" s="4" t="n">
        <v>1</v>
      </c>
      <c r="G886" t="inlineStr">
        <is>
          <t>Ontario Tennis Association</t>
        </is>
      </c>
      <c r="H886" t="inlineStr">
        <is>
          <t>Mayfair Parkway Racquet Club</t>
        </is>
      </c>
      <c r="I886" t="n">
        <v>39.1</v>
      </c>
      <c r="J886" s="4" t="n">
        <v>2</v>
      </c>
      <c r="K886" t="inlineStr">
        <is>
          <t>0 / 2</t>
        </is>
      </c>
      <c r="L886" t="inlineStr">
        <is>
          <t>0 / 2</t>
        </is>
      </c>
      <c r="M886" s="5" t="n">
        <v>0</v>
      </c>
      <c r="N886" s="5" t="n">
        <v>0</v>
      </c>
    </row>
    <row r="887">
      <c r="A887" t="n">
        <v>882</v>
      </c>
      <c r="B887" t="n">
        <v>2015</v>
      </c>
      <c r="C887" t="inlineStr">
        <is>
          <t>Olivia Franchi</t>
        </is>
      </c>
      <c r="D887">
        <f>HYPERLINK("https://ota.tournamentsoftware.com/player-profile/71DEE53D-92D1-4C5D-A9AE-0F02860DD189", "Link")</f>
        <v/>
      </c>
      <c r="E887" s="3" t="n">
        <v>3.888</v>
      </c>
      <c r="F887" s="4" t="n">
        <v>1</v>
      </c>
      <c r="G887" t="inlineStr">
        <is>
          <t>Ontario Tennis Association</t>
        </is>
      </c>
      <c r="H887" t="inlineStr">
        <is>
          <t>Barrie North Winter Tennis</t>
        </is>
      </c>
      <c r="I887" t="n">
        <v>37.6</v>
      </c>
      <c r="J887" s="4" t="n">
        <v>14</v>
      </c>
      <c r="K887" t="inlineStr">
        <is>
          <t>0 / 14</t>
        </is>
      </c>
      <c r="L887" t="inlineStr">
        <is>
          <t>0 / 2</t>
        </is>
      </c>
      <c r="M887" s="5" t="n">
        <v>0</v>
      </c>
      <c r="N887" s="5" t="n">
        <v>0</v>
      </c>
    </row>
    <row r="888">
      <c r="A888" t="n">
        <v>882</v>
      </c>
      <c r="B888" t="n">
        <v>2015</v>
      </c>
      <c r="C888" t="inlineStr">
        <is>
          <t>Maya Clara Shakra</t>
        </is>
      </c>
      <c r="D888">
        <f>HYPERLINK("https://ota.tournamentsoftware.com/player-profile/50FA5A17-1808-42C0-B8C3-34766E9151A2", "Link")</f>
        <v/>
      </c>
      <c r="E888" s="3" t="n">
        <v>3.888</v>
      </c>
      <c r="F888" s="4" t="n">
        <v>1</v>
      </c>
      <c r="G888" t="inlineStr">
        <is>
          <t>Ontario Tennis Association</t>
        </is>
      </c>
      <c r="H888" t="inlineStr">
        <is>
          <t>Toronto Tennis Academy</t>
        </is>
      </c>
      <c r="I888" t="inlineStr">
        <is>
          <t>unavailable</t>
        </is>
      </c>
      <c r="J888" s="4" t="n">
        <v>44</v>
      </c>
      <c r="K888" t="inlineStr">
        <is>
          <t>14 / 30</t>
        </is>
      </c>
      <c r="L888" t="inlineStr">
        <is>
          <t>3 / 6</t>
        </is>
      </c>
      <c r="M888" s="5" t="n">
        <v>0.32</v>
      </c>
      <c r="N888" s="5" t="n">
        <v>0.33</v>
      </c>
    </row>
    <row r="889">
      <c r="A889" t="n">
        <v>882</v>
      </c>
      <c r="B889" t="n">
        <v>2013</v>
      </c>
      <c r="C889" t="inlineStr">
        <is>
          <t>Brooklyn Desjardins</t>
        </is>
      </c>
      <c r="D889">
        <f>HYPERLINK("https://ota.tournamentsoftware.com/player-profile/EDCAF363-81B5-4378-83DC-E36CD3ACC539", "Link")</f>
        <v/>
      </c>
      <c r="E889" s="3" t="n">
        <v>3.888</v>
      </c>
      <c r="F889" s="4" t="n">
        <v>1</v>
      </c>
      <c r="G889" t="inlineStr">
        <is>
          <t>Tennis Québec</t>
        </is>
      </c>
      <c r="H889" t="inlineStr">
        <is>
          <t>Club Sportif Côte-de-Liesse</t>
        </is>
      </c>
      <c r="I889" t="n">
        <v>37.7</v>
      </c>
      <c r="J889" s="4" t="n">
        <v>49</v>
      </c>
      <c r="K889" t="inlineStr">
        <is>
          <t>19 / 30</t>
        </is>
      </c>
      <c r="L889" t="inlineStr">
        <is>
          <t>0 / 0</t>
        </is>
      </c>
      <c r="M889" s="5" t="n">
        <v>0.39</v>
      </c>
      <c r="N889" s="5" t="n">
        <v>0</v>
      </c>
    </row>
    <row r="890">
      <c r="A890" t="n">
        <v>889</v>
      </c>
      <c r="B890" t="n">
        <v>2015</v>
      </c>
      <c r="C890" t="inlineStr">
        <is>
          <t>Isla Lynn Wong</t>
        </is>
      </c>
      <c r="D890">
        <f>HYPERLINK("https://ota.tournamentsoftware.com/player-profile/315A4D2D-63EA-4161-B14B-B850BA3784AF", "Link")</f>
        <v/>
      </c>
      <c r="E890" s="3" t="n">
        <v>3.845</v>
      </c>
      <c r="F890" s="4" t="n">
        <v>3</v>
      </c>
      <c r="G890" t="inlineStr">
        <is>
          <t>Tennis Alberta</t>
        </is>
      </c>
      <c r="H890" t="inlineStr">
        <is>
          <t>No Club</t>
        </is>
      </c>
      <c r="I890" t="n">
        <v>37.3</v>
      </c>
      <c r="J890" s="4" t="n">
        <v>21</v>
      </c>
      <c r="K890" t="inlineStr">
        <is>
          <t>12 / 9</t>
        </is>
      </c>
      <c r="L890" t="inlineStr">
        <is>
          <t>8 / 4</t>
        </is>
      </c>
      <c r="M890" s="5" t="n">
        <v>0.57</v>
      </c>
      <c r="N890" s="5" t="n">
        <v>0.67</v>
      </c>
    </row>
    <row r="891">
      <c r="A891" t="n">
        <v>890</v>
      </c>
      <c r="B891" t="n">
        <v>2014</v>
      </c>
      <c r="C891" t="inlineStr">
        <is>
          <t>Baani Kaur Saini</t>
        </is>
      </c>
      <c r="D891">
        <f>HYPERLINK("https://ota.tournamentsoftware.com/player-profile/F8A85050-87CB-4D78-BB4D-4D11F0D18229", "Link")</f>
        <v/>
      </c>
      <c r="E891" s="3" t="n">
        <v>3.806</v>
      </c>
      <c r="F891" s="4" t="n">
        <v>1</v>
      </c>
      <c r="G891" t="inlineStr">
        <is>
          <t>Ontario Tennis Association</t>
        </is>
      </c>
      <c r="H891" t="inlineStr">
        <is>
          <t>Bramalea Tennis Club</t>
        </is>
      </c>
      <c r="I891" t="n">
        <v>39.2</v>
      </c>
      <c r="J891" s="4" t="n">
        <v>5</v>
      </c>
      <c r="K891" t="inlineStr">
        <is>
          <t>0 / 5</t>
        </is>
      </c>
      <c r="L891" t="inlineStr">
        <is>
          <t>0 / 0</t>
        </is>
      </c>
      <c r="M891" s="5" t="n">
        <v>0</v>
      </c>
      <c r="N891" s="5" t="n">
        <v>0</v>
      </c>
    </row>
    <row r="892">
      <c r="A892" t="n">
        <v>891</v>
      </c>
      <c r="B892" t="n">
        <v>2014</v>
      </c>
      <c r="C892" t="inlineStr">
        <is>
          <t>Della Lynn Bulmer</t>
        </is>
      </c>
      <c r="D892">
        <f>HYPERLINK("https://ota.tournamentsoftware.com/player-profile/6487BDBD-D547-439D-A14A-BDB7B38FD35A", "Link")</f>
        <v/>
      </c>
      <c r="E892" s="3" t="n">
        <v>3.763</v>
      </c>
      <c r="F892" s="4" t="n">
        <v>1</v>
      </c>
      <c r="G892" t="inlineStr">
        <is>
          <t>British Columbia</t>
        </is>
      </c>
      <c r="H892" t="inlineStr">
        <is>
          <t>Nelson Tennis Club</t>
        </is>
      </c>
      <c r="I892" t="n">
        <v>39.5</v>
      </c>
      <c r="J892" s="4" t="n">
        <v>2</v>
      </c>
      <c r="K892" t="inlineStr">
        <is>
          <t>0 / 2</t>
        </is>
      </c>
      <c r="L892" t="inlineStr">
        <is>
          <t>0 / 2</t>
        </is>
      </c>
      <c r="M892" s="5" t="n">
        <v>0</v>
      </c>
      <c r="N892" s="5" t="n">
        <v>0</v>
      </c>
    </row>
    <row r="893">
      <c r="A893" t="n">
        <v>892</v>
      </c>
      <c r="B893" t="n">
        <v>2014</v>
      </c>
      <c r="C893" t="inlineStr">
        <is>
          <t>Charlotte Lanthier</t>
        </is>
      </c>
      <c r="D893">
        <f>HYPERLINK("https://ota.tournamentsoftware.com/player-profile/930A92EC-BBE2-40FD-8684-CB6F18EAD19A", "Link")</f>
        <v/>
      </c>
      <c r="E893" s="3" t="n">
        <v>3.758</v>
      </c>
      <c r="F893" s="4" t="n">
        <v>5</v>
      </c>
      <c r="G893" t="inlineStr">
        <is>
          <t>Tennis Québec</t>
        </is>
      </c>
      <c r="H893" t="inlineStr">
        <is>
          <t>EB Tennis inc.</t>
        </is>
      </c>
      <c r="I893" t="n">
        <v>39.6</v>
      </c>
      <c r="J893" s="4" t="n">
        <v>6</v>
      </c>
      <c r="K893" t="inlineStr">
        <is>
          <t>0 / 6</t>
        </is>
      </c>
      <c r="L893" t="inlineStr">
        <is>
          <t>0 / 4</t>
        </is>
      </c>
      <c r="M893" s="5" t="n">
        <v>0</v>
      </c>
      <c r="N893" s="5" t="n">
        <v>0</v>
      </c>
    </row>
    <row r="894">
      <c r="A894" t="n">
        <v>892</v>
      </c>
      <c r="B894" t="n">
        <v>2015</v>
      </c>
      <c r="C894" t="inlineStr">
        <is>
          <t>Tamara Skayem</t>
        </is>
      </c>
      <c r="D894">
        <f>HYPERLINK("https://ota.tournamentsoftware.com/player-profile/C90206C3-DC6E-4BE3-938F-C8608F20CDD6", "Link")</f>
        <v/>
      </c>
      <c r="E894" s="3" t="n">
        <v>3.758</v>
      </c>
      <c r="F894" s="4" t="n">
        <v>1</v>
      </c>
      <c r="G894" t="inlineStr">
        <is>
          <t>Tennis Québec</t>
        </is>
      </c>
      <c r="H894" t="inlineStr">
        <is>
          <t>Club Sportif Côte-de-Liesse</t>
        </is>
      </c>
      <c r="I894" t="inlineStr">
        <is>
          <t>unavailable</t>
        </is>
      </c>
      <c r="J894" s="4" t="n">
        <v>3</v>
      </c>
      <c r="K894" t="inlineStr">
        <is>
          <t>1 / 2</t>
        </is>
      </c>
      <c r="L894" t="inlineStr">
        <is>
          <t>1 / 2</t>
        </is>
      </c>
      <c r="M894" s="5" t="n">
        <v>0.33</v>
      </c>
      <c r="N894" s="5" t="n">
        <v>0.33</v>
      </c>
    </row>
    <row r="895">
      <c r="A895" t="n">
        <v>894</v>
      </c>
      <c r="B895" t="n">
        <v>2015</v>
      </c>
      <c r="C895" t="inlineStr">
        <is>
          <t>Kennedy Charles</t>
        </is>
      </c>
      <c r="D895">
        <f>HYPERLINK("https://ota.tournamentsoftware.com/player-profile/9CB721EE-6588-4444-806B-53B18FAAEBA9", "Link")</f>
        <v/>
      </c>
      <c r="E895" s="3" t="n">
        <v>3.672</v>
      </c>
      <c r="F895" s="4" t="n">
        <v>1</v>
      </c>
      <c r="G895" t="inlineStr">
        <is>
          <t>Tennis Québec</t>
        </is>
      </c>
      <c r="H895" t="inlineStr">
        <is>
          <t>Tennis 13</t>
        </is>
      </c>
      <c r="I895" t="n">
        <v>38</v>
      </c>
      <c r="J895" s="4" t="n">
        <v>5</v>
      </c>
      <c r="K895" t="inlineStr">
        <is>
          <t>2 / 3</t>
        </is>
      </c>
      <c r="L895" t="inlineStr">
        <is>
          <t>2 / 3</t>
        </is>
      </c>
      <c r="M895" s="5" t="n">
        <v>0.4</v>
      </c>
      <c r="N895" s="5" t="n">
        <v>0.4</v>
      </c>
    </row>
    <row r="896">
      <c r="A896" t="n">
        <v>895</v>
      </c>
      <c r="B896" t="n">
        <v>2013</v>
      </c>
      <c r="C896" t="inlineStr">
        <is>
          <t>Apphia Anderson</t>
        </is>
      </c>
      <c r="D896">
        <f>HYPERLINK("https://ota.tournamentsoftware.com/player-profile/557E4D67-D9E9-47B3-800F-DB2194C8FCA3", "Link")</f>
        <v/>
      </c>
      <c r="E896" s="3" t="n">
        <v>3.629</v>
      </c>
      <c r="F896" s="4" t="n">
        <v>2</v>
      </c>
      <c r="G896" t="inlineStr">
        <is>
          <t>Tennis Alberta</t>
        </is>
      </c>
      <c r="H896" t="inlineStr">
        <is>
          <t>No Club</t>
        </is>
      </c>
      <c r="I896" t="inlineStr">
        <is>
          <t>unavailable</t>
        </is>
      </c>
      <c r="J896" s="4" t="n">
        <v>3</v>
      </c>
      <c r="K896" t="inlineStr">
        <is>
          <t>0 / 3</t>
        </is>
      </c>
      <c r="L896" t="inlineStr">
        <is>
          <t>0 / 3</t>
        </is>
      </c>
      <c r="M896" s="5" t="n">
        <v>0</v>
      </c>
      <c r="N896" s="5" t="n">
        <v>0</v>
      </c>
    </row>
    <row r="897">
      <c r="A897" t="n">
        <v>895</v>
      </c>
      <c r="B897" t="n">
        <v>2014</v>
      </c>
      <c r="C897" t="inlineStr">
        <is>
          <t>Kaira Ankit Arora</t>
        </is>
      </c>
      <c r="D897">
        <f>HYPERLINK("https://ota.tournamentsoftware.com/player-profile/48CDC473-6B50-4781-BB3F-2B72F12C6320", "Link")</f>
        <v/>
      </c>
      <c r="E897" s="3" t="n">
        <v>3.629</v>
      </c>
      <c r="F897" s="4" t="n">
        <v>1</v>
      </c>
      <c r="G897" t="inlineStr">
        <is>
          <t>Ontario Tennis Association</t>
        </is>
      </c>
      <c r="H897" t="inlineStr">
        <is>
          <t>The Tennis School</t>
        </is>
      </c>
      <c r="I897" t="n">
        <v>39</v>
      </c>
      <c r="J897" s="4" t="n">
        <v>29</v>
      </c>
      <c r="K897" t="inlineStr">
        <is>
          <t>3 / 26</t>
        </is>
      </c>
      <c r="L897" t="inlineStr">
        <is>
          <t>1 / 5</t>
        </is>
      </c>
      <c r="M897" s="5" t="n">
        <v>0.1</v>
      </c>
      <c r="N897" s="5" t="n">
        <v>0.17</v>
      </c>
    </row>
    <row r="898">
      <c r="A898" t="n">
        <v>897</v>
      </c>
      <c r="B898" t="n">
        <v>2015</v>
      </c>
      <c r="C898" t="inlineStr">
        <is>
          <t>Lea Youssef</t>
        </is>
      </c>
      <c r="D898">
        <f>HYPERLINK("https://ota.tournamentsoftware.com/player-profile/DC3DBF03-8EF5-4959-B08E-EE226DB25DE6", "Link")</f>
        <v/>
      </c>
      <c r="E898" s="3" t="n">
        <v>3.471</v>
      </c>
      <c r="F898" s="4" t="n">
        <v>1</v>
      </c>
      <c r="G898" t="inlineStr">
        <is>
          <t>Tennis Québec</t>
        </is>
      </c>
      <c r="H898" t="inlineStr">
        <is>
          <t>Tennis 13</t>
        </is>
      </c>
      <c r="I898" t="inlineStr">
        <is>
          <t>unavailable</t>
        </is>
      </c>
      <c r="J898" s="4" t="n">
        <v>2</v>
      </c>
      <c r="K898" t="inlineStr">
        <is>
          <t>0 / 2</t>
        </is>
      </c>
      <c r="L898" t="inlineStr">
        <is>
          <t>0 / 2</t>
        </is>
      </c>
      <c r="M898" s="5" t="n">
        <v>0</v>
      </c>
      <c r="N898" s="5" t="n">
        <v>0</v>
      </c>
    </row>
    <row r="899">
      <c r="A899" t="n">
        <v>898</v>
      </c>
      <c r="B899" t="n">
        <v>2012</v>
      </c>
      <c r="C899" t="inlineStr">
        <is>
          <t>Emma Thomson</t>
        </is>
      </c>
      <c r="D899">
        <f>HYPERLINK("https://ota.tournamentsoftware.com/player-profile/EE28DE8E-EE8A-4FBB-885B-733BCB8A08C4", "Link")</f>
        <v/>
      </c>
      <c r="E899" s="3" t="n">
        <v>3.421</v>
      </c>
      <c r="F899" s="4" t="n">
        <v>2</v>
      </c>
      <c r="G899" t="inlineStr">
        <is>
          <t>Tennis Alberta</t>
        </is>
      </c>
      <c r="H899" t="inlineStr">
        <is>
          <t>Osten &amp; Victor Alberta Tennis Centre</t>
        </is>
      </c>
      <c r="I899" t="inlineStr">
        <is>
          <t>unavailable</t>
        </is>
      </c>
      <c r="J899" s="4" t="n">
        <v>6</v>
      </c>
      <c r="K899" t="inlineStr">
        <is>
          <t>1 / 5</t>
        </is>
      </c>
      <c r="L899" t="inlineStr">
        <is>
          <t>1 / 1</t>
        </is>
      </c>
      <c r="M899" s="5" t="n">
        <v>0.17</v>
      </c>
      <c r="N899" s="5" t="n">
        <v>0.5</v>
      </c>
    </row>
    <row r="900">
      <c r="A900" t="n">
        <v>898</v>
      </c>
      <c r="B900" t="n">
        <v>2012</v>
      </c>
      <c r="C900" t="inlineStr">
        <is>
          <t>Hannah Grace Burrows</t>
        </is>
      </c>
      <c r="D900">
        <f>HYPERLINK("https://ota.tournamentsoftware.com/player-profile/A4FFA0A4-EAE7-43E6-AF92-E22114BE5D8B", "Link")</f>
        <v/>
      </c>
      <c r="E900" s="3" t="n">
        <v>3.421</v>
      </c>
      <c r="F900" s="4" t="n">
        <v>2</v>
      </c>
      <c r="G900" t="inlineStr">
        <is>
          <t>Tennis Alberta</t>
        </is>
      </c>
      <c r="H900" t="inlineStr">
        <is>
          <t>The Glencoe Club</t>
        </is>
      </c>
      <c r="I900" t="n">
        <v>38.8</v>
      </c>
      <c r="J900" s="4" t="n">
        <v>28</v>
      </c>
      <c r="K900" t="inlineStr">
        <is>
          <t>6 / 22</t>
        </is>
      </c>
      <c r="L900" t="inlineStr">
        <is>
          <t>0 / 2</t>
        </is>
      </c>
      <c r="M900" s="5" t="n">
        <v>0.21</v>
      </c>
      <c r="N900" s="5" t="n">
        <v>0</v>
      </c>
    </row>
    <row r="901">
      <c r="A901" t="n">
        <v>900</v>
      </c>
      <c r="B901" t="n">
        <v>2015</v>
      </c>
      <c r="C901" t="inlineStr">
        <is>
          <t>Mischa Simone Teotico</t>
        </is>
      </c>
      <c r="D901">
        <f>HYPERLINK("https://ota.tournamentsoftware.com/player-profile/E41BBBEF-6912-4E0D-BF5C-BBB0CBC74249", "Link")</f>
        <v/>
      </c>
      <c r="E901" s="3" t="n">
        <v>3.294</v>
      </c>
      <c r="F901" s="4" t="n">
        <v>4</v>
      </c>
      <c r="G901" t="inlineStr">
        <is>
          <t>Tennis Alberta</t>
        </is>
      </c>
      <c r="H901" t="inlineStr">
        <is>
          <t>Aforza</t>
        </is>
      </c>
      <c r="I901" t="n">
        <v>38.9</v>
      </c>
      <c r="J901" s="4" t="n">
        <v>61</v>
      </c>
      <c r="K901" t="inlineStr">
        <is>
          <t>13 / 48</t>
        </is>
      </c>
      <c r="L901" t="inlineStr">
        <is>
          <t>0 / 3</t>
        </is>
      </c>
      <c r="M901" s="5" t="n">
        <v>0.21</v>
      </c>
      <c r="N901" s="5" t="n">
        <v>0</v>
      </c>
    </row>
  </sheetData>
  <autoFilter ref="A1:N9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3" customWidth="1" min="3" max="3"/>
    <col width="12" customWidth="1" min="4" max="4"/>
    <col width="13" customWidth="1" min="5" max="5"/>
    <col width="15" customWidth="1" min="6" max="6"/>
    <col width="34" customWidth="1" min="7" max="7"/>
    <col width="70" customWidth="1" min="8" max="8"/>
    <col width="15" customWidth="1" min="9" max="9"/>
    <col width="18" customWidth="1" min="10" max="10"/>
    <col width="22" customWidth="1" min="11" max="11"/>
    <col width="19" customWidth="1" min="12" max="12"/>
    <col width="24" customWidth="1" min="13" max="13"/>
    <col width="21" customWidth="1" min="14" max="14"/>
  </cols>
  <sheetData>
    <row r="1">
      <c r="A1" s="2" t="inlineStr">
        <is>
          <t>Rank</t>
        </is>
      </c>
      <c r="B1" s="2" t="inlineStr">
        <is>
          <t>Year of Birth</t>
        </is>
      </c>
      <c r="C1" s="2" t="inlineStr">
        <is>
          <t>Player</t>
        </is>
      </c>
      <c r="D1" s="2" t="inlineStr">
        <is>
          <t>Profile</t>
        </is>
      </c>
      <c r="E1" s="2" t="inlineStr">
        <is>
          <t>Points</t>
        </is>
      </c>
      <c r="F1" s="2" t="inlineStr">
        <is>
          <t>Tournaments</t>
        </is>
      </c>
      <c r="G1" s="2" t="inlineStr">
        <is>
          <t>Province</t>
        </is>
      </c>
      <c r="H1" s="2" t="inlineStr">
        <is>
          <t>Club</t>
        </is>
      </c>
      <c r="I1" s="2" t="inlineStr">
        <is>
          <t>Singles WTN</t>
        </is>
      </c>
      <c r="J1" s="2" t="inlineStr">
        <is>
          <t>Career Matches</t>
        </is>
      </c>
      <c r="K1" s="2" t="inlineStr">
        <is>
          <t>Singles W/L-Career</t>
        </is>
      </c>
      <c r="L1" s="2" t="inlineStr">
        <is>
          <t>Singles W/L-YTD</t>
        </is>
      </c>
      <c r="M1" s="2" t="inlineStr">
        <is>
          <t>Singles W/L Career %</t>
        </is>
      </c>
      <c r="N1" s="2" t="inlineStr">
        <is>
          <t>Singles W/L-YTD %</t>
        </is>
      </c>
    </row>
    <row r="2">
      <c r="A2" t="n">
        <v>1</v>
      </c>
      <c r="B2" t="n">
        <v>2012</v>
      </c>
      <c r="C2" t="inlineStr">
        <is>
          <t>Alexie Duclair</t>
        </is>
      </c>
      <c r="D2">
        <f>HYPERLINK("https://ota.tournamentsoftware.com/player-profile/8FD3BC1D-AB9E-4EDC-9032-E500E16339DF", "Link")</f>
        <v/>
      </c>
      <c r="E2" s="3" t="n">
        <v>18720</v>
      </c>
      <c r="F2" s="4" t="n">
        <v>18</v>
      </c>
      <c r="G2" t="inlineStr">
        <is>
          <t>Tennis Québec</t>
        </is>
      </c>
      <c r="H2" t="inlineStr">
        <is>
          <t>No Club</t>
        </is>
      </c>
      <c r="I2" t="n">
        <v>19.8</v>
      </c>
      <c r="J2" s="4" t="n">
        <v>340</v>
      </c>
      <c r="K2" t="inlineStr">
        <is>
          <t>183 / 157</t>
        </is>
      </c>
      <c r="L2" t="inlineStr">
        <is>
          <t>7 / 5</t>
        </is>
      </c>
      <c r="M2" s="5" t="n">
        <v>0.54</v>
      </c>
      <c r="N2" s="5" t="n">
        <v>0.58</v>
      </c>
    </row>
    <row r="3">
      <c r="A3" t="n">
        <v>2</v>
      </c>
      <c r="B3" t="n">
        <v>2012</v>
      </c>
      <c r="C3" t="inlineStr">
        <is>
          <t>Evelina Nicolaeva</t>
        </is>
      </c>
      <c r="D3">
        <f>HYPERLINK("https://ota.tournamentsoftware.com/player-profile/3DD5F9FE-D79D-4724-986A-242306325733", "Link")</f>
        <v/>
      </c>
      <c r="E3" s="3" t="n">
        <v>12800</v>
      </c>
      <c r="F3" s="4" t="n">
        <v>22</v>
      </c>
      <c r="G3" t="inlineStr">
        <is>
          <t>Ontario Tennis Association</t>
        </is>
      </c>
      <c r="H3" t="inlineStr">
        <is>
          <t>Valan Tennis Academy</t>
        </is>
      </c>
      <c r="I3" t="n">
        <v>20.6</v>
      </c>
      <c r="J3" s="4" t="n">
        <v>338</v>
      </c>
      <c r="K3" t="inlineStr">
        <is>
          <t>202 / 136</t>
        </is>
      </c>
      <c r="L3" t="inlineStr">
        <is>
          <t>10 / 9</t>
        </is>
      </c>
      <c r="M3" s="5" t="n">
        <v>0.6</v>
      </c>
      <c r="N3" s="5" t="n">
        <v>0.53</v>
      </c>
    </row>
    <row r="4">
      <c r="A4" t="n">
        <v>3</v>
      </c>
      <c r="B4" t="n">
        <v>2012</v>
      </c>
      <c r="C4" t="inlineStr">
        <is>
          <t>kendra zhang</t>
        </is>
      </c>
      <c r="D4">
        <f>HYPERLINK("https://ota.tournamentsoftware.com/player-profile/23508257-17E1-4A1F-A208-90A41A8C5BC8", "Link")</f>
        <v/>
      </c>
      <c r="E4" s="3" t="n">
        <v>12761.107</v>
      </c>
      <c r="F4" s="4" t="n">
        <v>18</v>
      </c>
      <c r="G4" t="inlineStr">
        <is>
          <t>Tennis Alberta</t>
        </is>
      </c>
      <c r="H4" t="inlineStr">
        <is>
          <t>Osten &amp; Victor Alberta Tennis Centre</t>
        </is>
      </c>
      <c r="I4" t="n">
        <v>18.6</v>
      </c>
      <c r="J4" s="4" t="n">
        <v>315</v>
      </c>
      <c r="K4" t="inlineStr">
        <is>
          <t>248 / 67</t>
        </is>
      </c>
      <c r="L4" t="inlineStr">
        <is>
          <t>39 / 5</t>
        </is>
      </c>
      <c r="M4" s="5" t="n">
        <v>0.79</v>
      </c>
      <c r="N4" s="5" t="n">
        <v>0.89</v>
      </c>
    </row>
    <row r="5">
      <c r="A5" t="n">
        <v>4</v>
      </c>
      <c r="B5" t="n">
        <v>2012</v>
      </c>
      <c r="C5" t="inlineStr">
        <is>
          <t>Brielle Amey</t>
        </is>
      </c>
      <c r="D5">
        <f>HYPERLINK("https://ota.tournamentsoftware.com/player-profile/11C037E9-F5E8-42BC-A8A0-6F4982B8329D", "Link")</f>
        <v/>
      </c>
      <c r="E5" s="3" t="n">
        <v>10198.4</v>
      </c>
      <c r="F5" s="4" t="n">
        <v>11</v>
      </c>
      <c r="G5" t="inlineStr">
        <is>
          <t>Ontario Tennis Association</t>
        </is>
      </c>
      <c r="H5" t="inlineStr">
        <is>
          <t>City of Kitchener</t>
        </is>
      </c>
      <c r="I5" t="n">
        <v>18</v>
      </c>
      <c r="J5" s="4" t="n">
        <v>31</v>
      </c>
      <c r="K5" t="inlineStr">
        <is>
          <t>23 / 8</t>
        </is>
      </c>
      <c r="L5" t="inlineStr">
        <is>
          <t>0 / 0</t>
        </is>
      </c>
      <c r="M5" s="5" t="n">
        <v>0.74</v>
      </c>
      <c r="N5" s="5" t="n">
        <v>0</v>
      </c>
    </row>
    <row r="6">
      <c r="A6" t="n">
        <v>5</v>
      </c>
      <c r="B6" t="n">
        <v>2012</v>
      </c>
      <c r="C6" t="inlineStr">
        <is>
          <t>Emma Cuirassier</t>
        </is>
      </c>
      <c r="D6">
        <f>HYPERLINK("https://ota.tournamentsoftware.com/player-profile/88442A27-D4CA-4614-86BE-89F6BAFA4C36", "Link")</f>
        <v/>
      </c>
      <c r="E6" s="3" t="n">
        <v>9635.891</v>
      </c>
      <c r="F6" s="4" t="n">
        <v>10</v>
      </c>
      <c r="G6" t="inlineStr">
        <is>
          <t>Tennis Québec</t>
        </is>
      </c>
      <c r="H6" t="inlineStr">
        <is>
          <t>Tennis Montréal Excellence</t>
        </is>
      </c>
      <c r="I6" t="n">
        <v>19.1</v>
      </c>
      <c r="J6" s="4" t="n">
        <v>304</v>
      </c>
      <c r="K6" t="inlineStr">
        <is>
          <t>198 / 106</t>
        </is>
      </c>
      <c r="L6" t="inlineStr">
        <is>
          <t>10 / 4</t>
        </is>
      </c>
      <c r="M6" s="5" t="n">
        <v>0.65</v>
      </c>
      <c r="N6" s="5" t="n">
        <v>0.71</v>
      </c>
    </row>
    <row r="7">
      <c r="A7" t="n">
        <v>6</v>
      </c>
      <c r="B7" t="n">
        <v>2012</v>
      </c>
      <c r="C7" t="inlineStr">
        <is>
          <t>Zimo Xiang</t>
        </is>
      </c>
      <c r="D7">
        <f>HYPERLINK("https://ota.tournamentsoftware.com/player-profile/16758178-BB4B-49F9-847E-3024E74D5A86", "Link")</f>
        <v/>
      </c>
      <c r="E7" s="3" t="n">
        <v>9097.876</v>
      </c>
      <c r="F7" s="4" t="n">
        <v>21</v>
      </c>
      <c r="G7" t="inlineStr">
        <is>
          <t>Tennis Alberta</t>
        </is>
      </c>
      <c r="H7" t="inlineStr">
        <is>
          <t>Osten &amp; Victor Alberta Tennis Centre</t>
        </is>
      </c>
      <c r="I7" t="n">
        <v>17.8</v>
      </c>
      <c r="J7" s="4" t="n">
        <v>348</v>
      </c>
      <c r="K7" t="inlineStr">
        <is>
          <t>266 / 82</t>
        </is>
      </c>
      <c r="L7" t="inlineStr">
        <is>
          <t>52 / 9</t>
        </is>
      </c>
      <c r="M7" s="5" t="n">
        <v>0.76</v>
      </c>
      <c r="N7" s="5" t="n">
        <v>0.85</v>
      </c>
    </row>
    <row r="8">
      <c r="A8" t="n">
        <v>7</v>
      </c>
      <c r="B8" t="n">
        <v>2012</v>
      </c>
      <c r="C8" t="inlineStr">
        <is>
          <t>Emma Ciobanu</t>
        </is>
      </c>
      <c r="D8">
        <f>HYPERLINK("https://ota.tournamentsoftware.com/player-profile/3FF64A25-D930-4C5E-8E36-3F04D7602157", "Link")</f>
        <v/>
      </c>
      <c r="E8" s="3" t="n">
        <v>8554.24</v>
      </c>
      <c r="F8" s="4" t="n">
        <v>16</v>
      </c>
      <c r="G8" t="inlineStr">
        <is>
          <t>Tennis Québec</t>
        </is>
      </c>
      <c r="H8" t="inlineStr">
        <is>
          <t>No Club</t>
        </is>
      </c>
      <c r="I8" t="n">
        <v>21.6</v>
      </c>
      <c r="J8" s="4" t="n">
        <v>445</v>
      </c>
      <c r="K8" t="inlineStr">
        <is>
          <t>254 / 191</t>
        </is>
      </c>
      <c r="L8" t="inlineStr">
        <is>
          <t>12 / 9</t>
        </is>
      </c>
      <c r="M8" s="5" t="n">
        <v>0.57</v>
      </c>
      <c r="N8" s="5" t="n">
        <v>0.57</v>
      </c>
    </row>
    <row r="9">
      <c r="A9" t="n">
        <v>8</v>
      </c>
      <c r="B9" t="n">
        <v>2012</v>
      </c>
      <c r="C9" t="inlineStr">
        <is>
          <t>Ruijing Chen</t>
        </is>
      </c>
      <c r="D9">
        <f>HYPERLINK("https://ota.tournamentsoftware.com/player-profile/CF3F9020-5B8A-4448-8412-B206DFD70D34", "Link")</f>
        <v/>
      </c>
      <c r="E9" s="3" t="n">
        <v>8248.066999999999</v>
      </c>
      <c r="F9" s="4" t="n">
        <v>21</v>
      </c>
      <c r="G9" t="inlineStr">
        <is>
          <t>British Columbia</t>
        </is>
      </c>
      <c r="H9" t="inlineStr">
        <is>
          <t>North Vancouver Tennis Centre</t>
        </is>
      </c>
      <c r="I9" t="n">
        <v>20.2</v>
      </c>
      <c r="J9" s="4" t="n">
        <v>276</v>
      </c>
      <c r="K9" t="inlineStr">
        <is>
          <t>162 / 114</t>
        </is>
      </c>
      <c r="L9" t="inlineStr">
        <is>
          <t>44 / 19</t>
        </is>
      </c>
      <c r="M9" s="5" t="n">
        <v>0.59</v>
      </c>
      <c r="N9" s="5" t="n">
        <v>0.7</v>
      </c>
    </row>
    <row r="10">
      <c r="A10" t="n">
        <v>9</v>
      </c>
      <c r="B10" t="n">
        <v>2012</v>
      </c>
      <c r="C10" t="inlineStr">
        <is>
          <t>Victoria Koniouchine</t>
        </is>
      </c>
      <c r="D10">
        <f>HYPERLINK("https://ota.tournamentsoftware.com/player-profile/4F2575CB-84B4-4072-ABEF-7652A7E74DBA", "Link")</f>
        <v/>
      </c>
      <c r="E10" s="3" t="n">
        <v>7921.24</v>
      </c>
      <c r="F10" s="4" t="n">
        <v>13</v>
      </c>
      <c r="G10" t="inlineStr">
        <is>
          <t>Tennis Québec</t>
        </is>
      </c>
      <c r="H10" t="inlineStr">
        <is>
          <t>Tennis Montréal Excellence</t>
        </is>
      </c>
      <c r="I10" t="n">
        <v>20.9</v>
      </c>
      <c r="J10" s="4" t="n">
        <v>380</v>
      </c>
      <c r="K10" t="inlineStr">
        <is>
          <t>244 / 136</t>
        </is>
      </c>
      <c r="L10" t="inlineStr">
        <is>
          <t>22 / 6</t>
        </is>
      </c>
      <c r="M10" s="5" t="n">
        <v>0.64</v>
      </c>
      <c r="N10" s="5" t="n">
        <v>0.79</v>
      </c>
    </row>
    <row r="11">
      <c r="A11" t="n">
        <v>10</v>
      </c>
      <c r="B11" t="n">
        <v>2012</v>
      </c>
      <c r="C11" t="inlineStr">
        <is>
          <t>Karina Swaminath</t>
        </is>
      </c>
      <c r="D11">
        <f>HYPERLINK("https://ota.tournamentsoftware.com/player-profile/4DB9D061-D74F-4482-87A3-9C7480D14EFD", "Link")</f>
        <v/>
      </c>
      <c r="E11" s="3" t="n">
        <v>7284.4</v>
      </c>
      <c r="F11" s="4" t="n">
        <v>19</v>
      </c>
      <c r="G11" t="inlineStr">
        <is>
          <t>Ontario Tennis Association</t>
        </is>
      </c>
      <c r="H11" t="inlineStr">
        <is>
          <t>Premier Racquet Clubs – Mississauga</t>
        </is>
      </c>
      <c r="I11" t="n">
        <v>20.9</v>
      </c>
      <c r="J11" s="4" t="n">
        <v>318</v>
      </c>
      <c r="K11" t="inlineStr">
        <is>
          <t>206 / 112</t>
        </is>
      </c>
      <c r="L11" t="inlineStr">
        <is>
          <t>43 / 19</t>
        </is>
      </c>
      <c r="M11" s="5" t="n">
        <v>0.65</v>
      </c>
      <c r="N11" s="5" t="n">
        <v>0.6899999999999999</v>
      </c>
    </row>
    <row r="12">
      <c r="A12" t="n">
        <v>11</v>
      </c>
      <c r="B12" t="n">
        <v>2013</v>
      </c>
      <c r="C12" t="inlineStr">
        <is>
          <t>Callie Raharinosy</t>
        </is>
      </c>
      <c r="D12">
        <f>HYPERLINK("https://ota.tournamentsoftware.com/player-profile/C3BB19C9-39F8-4DF4-A576-AAB3D92B85C3", "Link")</f>
        <v/>
      </c>
      <c r="E12" s="3" t="n">
        <v>7178.294</v>
      </c>
      <c r="F12" s="4" t="n">
        <v>15</v>
      </c>
      <c r="G12" t="inlineStr">
        <is>
          <t>Ontario Tennis Association</t>
        </is>
      </c>
      <c r="H12" t="inlineStr">
        <is>
          <t>Richmondhill Golf &amp; Country Club</t>
        </is>
      </c>
      <c r="I12" t="n">
        <v>20.5</v>
      </c>
      <c r="J12" s="4" t="n">
        <v>243</v>
      </c>
      <c r="K12" t="inlineStr">
        <is>
          <t>157 / 86</t>
        </is>
      </c>
      <c r="L12" t="inlineStr">
        <is>
          <t>26 / 11</t>
        </is>
      </c>
      <c r="M12" s="5" t="n">
        <v>0.65</v>
      </c>
      <c r="N12" s="5" t="n">
        <v>0.7</v>
      </c>
    </row>
    <row r="13">
      <c r="A13" t="n">
        <v>12</v>
      </c>
      <c r="B13" t="n">
        <v>2013</v>
      </c>
      <c r="C13" t="inlineStr">
        <is>
          <t>Olivia Ma</t>
        </is>
      </c>
      <c r="D13">
        <f>HYPERLINK("https://ota.tournamentsoftware.com/player-profile/8DB93BEF-9FF1-4A58-A4CC-C5E09482F693", "Link")</f>
        <v/>
      </c>
      <c r="E13" s="3" t="n">
        <v>6870.005</v>
      </c>
      <c r="F13" s="4" t="n">
        <v>22</v>
      </c>
      <c r="G13" t="inlineStr">
        <is>
          <t>British Columbia</t>
        </is>
      </c>
      <c r="H13" t="inlineStr">
        <is>
          <t>Kamloops Tennis Centre</t>
        </is>
      </c>
      <c r="I13" t="n">
        <v>20.4</v>
      </c>
      <c r="J13" s="4" t="n">
        <v>240</v>
      </c>
      <c r="K13" t="inlineStr">
        <is>
          <t>161 / 79</t>
        </is>
      </c>
      <c r="L13" t="inlineStr">
        <is>
          <t>40 / 17</t>
        </is>
      </c>
      <c r="M13" s="5" t="n">
        <v>0.67</v>
      </c>
      <c r="N13" s="5" t="n">
        <v>0.7</v>
      </c>
    </row>
    <row r="14">
      <c r="A14" t="n">
        <v>13</v>
      </c>
      <c r="B14" t="n">
        <v>2012</v>
      </c>
      <c r="C14" t="inlineStr">
        <is>
          <t>Elise Chen</t>
        </is>
      </c>
      <c r="D14">
        <f>HYPERLINK("https://ota.tournamentsoftware.com/player-profile/8E8A2CD5-37E0-4690-A780-846D1895BB0A", "Link")</f>
        <v/>
      </c>
      <c r="E14" s="3" t="n">
        <v>6210.149</v>
      </c>
      <c r="F14" s="4" t="n">
        <v>18</v>
      </c>
      <c r="G14" t="inlineStr">
        <is>
          <t>Tennis Québec</t>
        </is>
      </c>
      <c r="H14" t="inlineStr">
        <is>
          <t>AA Autre club</t>
        </is>
      </c>
      <c r="I14" t="n">
        <v>21.5</v>
      </c>
      <c r="J14" s="4" t="n">
        <v>345</v>
      </c>
      <c r="K14" t="inlineStr">
        <is>
          <t>227 / 118</t>
        </is>
      </c>
      <c r="L14" t="inlineStr">
        <is>
          <t>46 / 16</t>
        </is>
      </c>
      <c r="M14" s="5" t="n">
        <v>0.66</v>
      </c>
      <c r="N14" s="5" t="n">
        <v>0.74</v>
      </c>
    </row>
    <row r="15">
      <c r="A15" t="n">
        <v>14</v>
      </c>
      <c r="B15" t="n">
        <v>2013</v>
      </c>
      <c r="C15" t="inlineStr">
        <is>
          <t>Paris Radovic</t>
        </is>
      </c>
      <c r="D15">
        <f>HYPERLINK("https://ota.tournamentsoftware.com/player-profile/F1F29E41-D080-473C-93A3-FEF9F1122EE3", "Link")</f>
        <v/>
      </c>
      <c r="E15" s="3" t="n">
        <v>6019.129</v>
      </c>
      <c r="F15" s="4" t="n">
        <v>15</v>
      </c>
      <c r="G15" t="inlineStr">
        <is>
          <t>Ontario Tennis Association</t>
        </is>
      </c>
      <c r="H15" t="inlineStr">
        <is>
          <t>Advantage Tennis International at Veneto</t>
        </is>
      </c>
      <c r="I15" t="n">
        <v>20.1</v>
      </c>
      <c r="J15" s="4" t="n">
        <v>290</v>
      </c>
      <c r="K15" t="inlineStr">
        <is>
          <t>188 / 102</t>
        </is>
      </c>
      <c r="L15" t="inlineStr">
        <is>
          <t>32 / 12</t>
        </is>
      </c>
      <c r="M15" s="5" t="n">
        <v>0.65</v>
      </c>
      <c r="N15" s="5" t="n">
        <v>0.73</v>
      </c>
    </row>
    <row r="16">
      <c r="A16" t="n">
        <v>15</v>
      </c>
      <c r="B16" t="n">
        <v>2013</v>
      </c>
      <c r="C16" t="inlineStr">
        <is>
          <t>Urvi Singh</t>
        </is>
      </c>
      <c r="D16">
        <f>HYPERLINK("https://ota.tournamentsoftware.com/player-profile/20590827-22F8-402F-BC87-449928EE4236", "Link")</f>
        <v/>
      </c>
      <c r="E16" s="3" t="n">
        <v>5954.96</v>
      </c>
      <c r="F16" s="4" t="n">
        <v>17</v>
      </c>
      <c r="G16" t="inlineStr">
        <is>
          <t>Ontario Tennis Association</t>
        </is>
      </c>
      <c r="H16" t="inlineStr">
        <is>
          <t>Guildwood Tennis Club</t>
        </is>
      </c>
      <c r="I16" t="n">
        <v>19.3</v>
      </c>
      <c r="J16" s="4" t="n">
        <v>265</v>
      </c>
      <c r="K16" t="inlineStr">
        <is>
          <t>167 / 98</t>
        </is>
      </c>
      <c r="L16" t="inlineStr">
        <is>
          <t>39 / 16</t>
        </is>
      </c>
      <c r="M16" s="5" t="n">
        <v>0.63</v>
      </c>
      <c r="N16" s="5" t="n">
        <v>0.71</v>
      </c>
    </row>
    <row r="17">
      <c r="A17" t="n">
        <v>16</v>
      </c>
      <c r="B17" t="n">
        <v>2012</v>
      </c>
      <c r="C17" t="inlineStr">
        <is>
          <t>Angelica Panzieri</t>
        </is>
      </c>
      <c r="D17">
        <f>HYPERLINK("https://ota.tournamentsoftware.com/player-profile/E0ECCDC8-BEA7-4546-BAF7-5DF193FA2378", "Link")</f>
        <v/>
      </c>
      <c r="E17" s="3" t="n">
        <v>5079.44</v>
      </c>
      <c r="F17" s="4" t="n">
        <v>24</v>
      </c>
      <c r="G17" t="inlineStr">
        <is>
          <t>British Columbia</t>
        </is>
      </c>
      <c r="H17" t="inlineStr">
        <is>
          <t>North Vancouver Tennis Centre</t>
        </is>
      </c>
      <c r="I17" t="n">
        <v>21.5</v>
      </c>
      <c r="J17" s="4" t="n">
        <v>354</v>
      </c>
      <c r="K17" t="inlineStr">
        <is>
          <t>203 / 151</t>
        </is>
      </c>
      <c r="L17" t="inlineStr">
        <is>
          <t>46 / 24</t>
        </is>
      </c>
      <c r="M17" s="5" t="n">
        <v>0.57</v>
      </c>
      <c r="N17" s="5" t="n">
        <v>0.66</v>
      </c>
    </row>
    <row r="18">
      <c r="A18" t="n">
        <v>17</v>
      </c>
      <c r="B18" t="n">
        <v>2012</v>
      </c>
      <c r="C18" t="inlineStr">
        <is>
          <t>Amelia Mishelle Simutin</t>
        </is>
      </c>
      <c r="D18">
        <f>HYPERLINK("https://ota.tournamentsoftware.com/player-profile/35C4C9E4-BC47-4EAA-A89B-06AB12C19B49", "Link")</f>
        <v/>
      </c>
      <c r="E18" s="3" t="n">
        <v>4877.64</v>
      </c>
      <c r="F18" s="4" t="n">
        <v>22</v>
      </c>
      <c r="G18" t="inlineStr">
        <is>
          <t>Ontario Tennis Association</t>
        </is>
      </c>
      <c r="H18" t="inlineStr">
        <is>
          <t>North Toronto Tennis Club</t>
        </is>
      </c>
      <c r="I18" t="n">
        <v>20</v>
      </c>
      <c r="J18" s="4" t="n">
        <v>306</v>
      </c>
      <c r="K18" t="inlineStr">
        <is>
          <t>209 / 97</t>
        </is>
      </c>
      <c r="L18" t="inlineStr">
        <is>
          <t>37 / 22</t>
        </is>
      </c>
      <c r="M18" s="5" t="n">
        <v>0.68</v>
      </c>
      <c r="N18" s="5" t="n">
        <v>0.63</v>
      </c>
    </row>
    <row r="19">
      <c r="A19" t="n">
        <v>18</v>
      </c>
      <c r="B19" t="n">
        <v>2014</v>
      </c>
      <c r="C19" t="inlineStr">
        <is>
          <t>Zoe Mao</t>
        </is>
      </c>
      <c r="D19">
        <f>HYPERLINK("https://ota.tournamentsoftware.com/player-profile/9C661BB4-74A2-44E0-A97C-93470EF4AE2B", "Link")</f>
        <v/>
      </c>
      <c r="E19" s="3" t="n">
        <v>4747.12</v>
      </c>
      <c r="F19" s="4" t="n">
        <v>22</v>
      </c>
      <c r="G19" t="inlineStr">
        <is>
          <t>Tennis Alberta</t>
        </is>
      </c>
      <c r="H19" t="inlineStr">
        <is>
          <t>No Club</t>
        </is>
      </c>
      <c r="I19" t="n">
        <v>23.3</v>
      </c>
      <c r="J19" s="4" t="n">
        <v>217</v>
      </c>
      <c r="K19" t="inlineStr">
        <is>
          <t>150 / 67</t>
        </is>
      </c>
      <c r="L19" t="inlineStr">
        <is>
          <t>67 / 13</t>
        </is>
      </c>
      <c r="M19" s="5" t="n">
        <v>0.6899999999999999</v>
      </c>
      <c r="N19" s="5" t="n">
        <v>0.84</v>
      </c>
    </row>
    <row r="20">
      <c r="A20" t="n">
        <v>19</v>
      </c>
      <c r="B20" t="n">
        <v>2013</v>
      </c>
      <c r="C20" t="inlineStr">
        <is>
          <t>Charlotte MacDonald</t>
        </is>
      </c>
      <c r="D20">
        <f>HYPERLINK("https://ota.tournamentsoftware.com/player-profile/C865FA15-1CF7-4628-A8F7-6AB8ED124599", "Link")</f>
        <v/>
      </c>
      <c r="E20" s="3" t="n">
        <v>4700.49</v>
      </c>
      <c r="F20" s="4" t="n">
        <v>18</v>
      </c>
      <c r="G20" t="inlineStr">
        <is>
          <t>Ontario Tennis Association</t>
        </is>
      </c>
      <c r="H20" t="inlineStr">
        <is>
          <t>10XTO</t>
        </is>
      </c>
      <c r="I20" t="n">
        <v>20.9</v>
      </c>
      <c r="J20" s="4" t="n">
        <v>343</v>
      </c>
      <c r="K20" t="inlineStr">
        <is>
          <t>237 / 106</t>
        </is>
      </c>
      <c r="L20" t="inlineStr">
        <is>
          <t>45 / 22</t>
        </is>
      </c>
      <c r="M20" s="5" t="n">
        <v>0.6899999999999999</v>
      </c>
      <c r="N20" s="5" t="n">
        <v>0.67</v>
      </c>
    </row>
    <row r="21">
      <c r="A21" t="n">
        <v>20</v>
      </c>
      <c r="B21" t="n">
        <v>2012</v>
      </c>
      <c r="C21" t="inlineStr">
        <is>
          <t>Clara Vicol</t>
        </is>
      </c>
      <c r="D21">
        <f>HYPERLINK("https://ota.tournamentsoftware.com/player-profile/A71836FF-9A71-48AD-96B3-DD39B38970B6", "Link")</f>
        <v/>
      </c>
      <c r="E21" s="3" t="n">
        <v>4462.04</v>
      </c>
      <c r="F21" s="4" t="n">
        <v>14</v>
      </c>
      <c r="G21" t="inlineStr">
        <is>
          <t>British Columbia</t>
        </is>
      </c>
      <c r="H21" t="inlineStr">
        <is>
          <t>Jericho Tennis Club</t>
        </is>
      </c>
      <c r="I21" t="n">
        <v>21.2</v>
      </c>
      <c r="J21" s="4" t="n">
        <v>406</v>
      </c>
      <c r="K21" t="inlineStr">
        <is>
          <t>251 / 155</t>
        </is>
      </c>
      <c r="L21" t="inlineStr">
        <is>
          <t>19 / 7</t>
        </is>
      </c>
      <c r="M21" s="5" t="n">
        <v>0.62</v>
      </c>
      <c r="N21" s="5" t="n">
        <v>0.73</v>
      </c>
    </row>
    <row r="22">
      <c r="A22" t="n">
        <v>21</v>
      </c>
      <c r="B22" t="n">
        <v>2012</v>
      </c>
      <c r="C22" t="inlineStr">
        <is>
          <t>Olivia Laberge</t>
        </is>
      </c>
      <c r="D22">
        <f>HYPERLINK("https://ota.tournamentsoftware.com/player-profile/A7EF36D6-49FF-4272-A982-22FEC5F0ECCD", "Link")</f>
        <v/>
      </c>
      <c r="E22" s="3" t="n">
        <v>4352.634</v>
      </c>
      <c r="F22" s="4" t="n">
        <v>23</v>
      </c>
      <c r="G22" t="inlineStr">
        <is>
          <t>Tennis Québec</t>
        </is>
      </c>
      <c r="H22" t="inlineStr">
        <is>
          <t>Tennis 13</t>
        </is>
      </c>
      <c r="I22" t="n">
        <v>22.3</v>
      </c>
      <c r="J22" s="4" t="n">
        <v>315</v>
      </c>
      <c r="K22" t="inlineStr">
        <is>
          <t>198 / 117</t>
        </is>
      </c>
      <c r="L22" t="inlineStr">
        <is>
          <t>53 / 23</t>
        </is>
      </c>
      <c r="M22" s="5" t="n">
        <v>0.63</v>
      </c>
      <c r="N22" s="5" t="n">
        <v>0.7</v>
      </c>
    </row>
    <row r="23">
      <c r="A23" t="n">
        <v>22</v>
      </c>
      <c r="B23" t="n">
        <v>2013</v>
      </c>
      <c r="C23" t="inlineStr">
        <is>
          <t>Bishop Yonna Grossutti</t>
        </is>
      </c>
      <c r="D23">
        <f>HYPERLINK("https://ota.tournamentsoftware.com/player-profile/3FE8248C-2DBE-46EB-8C24-0AC82A0EC942", "Link")</f>
        <v/>
      </c>
      <c r="E23" s="3" t="n">
        <v>4342.587</v>
      </c>
      <c r="F23" s="4" t="n">
        <v>15</v>
      </c>
      <c r="G23" t="inlineStr">
        <is>
          <t>British Columbia</t>
        </is>
      </c>
      <c r="H23" t="inlineStr">
        <is>
          <t>No Club</t>
        </is>
      </c>
      <c r="I23" t="n">
        <v>21.8</v>
      </c>
      <c r="J23" s="4" t="n">
        <v>221</v>
      </c>
      <c r="K23" t="inlineStr">
        <is>
          <t>149 / 72</t>
        </is>
      </c>
      <c r="L23" t="inlineStr">
        <is>
          <t>39 / 14</t>
        </is>
      </c>
      <c r="M23" s="5" t="n">
        <v>0.67</v>
      </c>
      <c r="N23" s="5" t="n">
        <v>0.74</v>
      </c>
    </row>
    <row r="24">
      <c r="A24" t="n">
        <v>23</v>
      </c>
      <c r="B24" t="n">
        <v>2012</v>
      </c>
      <c r="C24" t="inlineStr">
        <is>
          <t>Victoria Cui</t>
        </is>
      </c>
      <c r="D24">
        <f>HYPERLINK("https://ota.tournamentsoftware.com/player-profile/0645977B-E01D-437B-A80F-04D3BC7B5871", "Link")</f>
        <v/>
      </c>
      <c r="E24" s="3" t="n">
        <v>4096.6</v>
      </c>
      <c r="F24" s="4" t="n">
        <v>23</v>
      </c>
      <c r="G24" t="inlineStr">
        <is>
          <t>Ontario Tennis Association</t>
        </is>
      </c>
      <c r="H24" t="inlineStr">
        <is>
          <t>Mayfair East Racquet Club</t>
        </is>
      </c>
      <c r="I24" t="n">
        <v>23.3</v>
      </c>
      <c r="J24" s="4" t="n">
        <v>267</v>
      </c>
      <c r="K24" t="inlineStr">
        <is>
          <t>173 / 94</t>
        </is>
      </c>
      <c r="L24" t="inlineStr">
        <is>
          <t>45 / 21</t>
        </is>
      </c>
      <c r="M24" s="5" t="n">
        <v>0.65</v>
      </c>
      <c r="N24" s="5" t="n">
        <v>0.68</v>
      </c>
    </row>
    <row r="25">
      <c r="A25" t="n">
        <v>24</v>
      </c>
      <c r="B25" t="n">
        <v>2012</v>
      </c>
      <c r="C25" t="inlineStr">
        <is>
          <t>Tabitha Olivia Morisette</t>
        </is>
      </c>
      <c r="D25">
        <f>HYPERLINK("https://ota.tournamentsoftware.com/player-profile/805BE387-8522-4C5E-A95F-857E21DC38E1", "Link")</f>
        <v/>
      </c>
      <c r="E25" s="3" t="n">
        <v>3960.808</v>
      </c>
      <c r="F25" s="4" t="n">
        <v>14</v>
      </c>
      <c r="G25" t="inlineStr">
        <is>
          <t>British Columbia</t>
        </is>
      </c>
      <c r="H25" t="inlineStr">
        <is>
          <t>Burnaby Tennis Club</t>
        </is>
      </c>
      <c r="I25" t="n">
        <v>22.3</v>
      </c>
      <c r="J25" s="4" t="n">
        <v>303</v>
      </c>
      <c r="K25" t="inlineStr">
        <is>
          <t>177 / 126</t>
        </is>
      </c>
      <c r="L25" t="inlineStr">
        <is>
          <t>19 / 12</t>
        </is>
      </c>
      <c r="M25" s="5" t="n">
        <v>0.58</v>
      </c>
      <c r="N25" s="5" t="n">
        <v>0.61</v>
      </c>
    </row>
    <row r="26">
      <c r="A26" t="n">
        <v>25</v>
      </c>
      <c r="B26" t="n">
        <v>2012</v>
      </c>
      <c r="C26" t="inlineStr">
        <is>
          <t>mackenzie zeidel</t>
        </is>
      </c>
      <c r="D26">
        <f>HYPERLINK("https://ota.tournamentsoftware.com/player-profile/3BADD9C6-CD9A-4858-8E91-EA11AA267135", "Link")</f>
        <v/>
      </c>
      <c r="E26" s="3" t="n">
        <v>3810.447</v>
      </c>
      <c r="F26" s="4" t="n">
        <v>10</v>
      </c>
      <c r="G26" t="inlineStr">
        <is>
          <t>Ontario Tennis Association</t>
        </is>
      </c>
      <c r="H26" t="inlineStr">
        <is>
          <t>Toronto Cricket Skating &amp; Curling</t>
        </is>
      </c>
      <c r="I26" t="n">
        <v>20.9</v>
      </c>
      <c r="J26" s="4" t="n">
        <v>258</v>
      </c>
      <c r="K26" t="inlineStr">
        <is>
          <t>172 / 86</t>
        </is>
      </c>
      <c r="L26" t="inlineStr">
        <is>
          <t>25 / 13</t>
        </is>
      </c>
      <c r="M26" s="5" t="n">
        <v>0.67</v>
      </c>
      <c r="N26" s="5" t="n">
        <v>0.66</v>
      </c>
    </row>
    <row r="27">
      <c r="A27" t="n">
        <v>26</v>
      </c>
      <c r="B27" t="n">
        <v>2013</v>
      </c>
      <c r="C27" t="inlineStr">
        <is>
          <t>Nadine Belmabrouk</t>
        </is>
      </c>
      <c r="D27">
        <f>HYPERLINK("https://ota.tournamentsoftware.com/player-profile/D855A2D9-8E65-4961-858B-62D00F053DDA", "Link")</f>
        <v/>
      </c>
      <c r="E27" s="3" t="n">
        <v>3620.089</v>
      </c>
      <c r="F27" s="4" t="n">
        <v>15</v>
      </c>
      <c r="G27" t="inlineStr">
        <is>
          <t>Tennis Québec</t>
        </is>
      </c>
      <c r="H27" t="inlineStr">
        <is>
          <t>Tennis Ile- des- Soeurs</t>
        </is>
      </c>
      <c r="I27" t="n">
        <v>22.3</v>
      </c>
      <c r="J27" s="4" t="n">
        <v>274</v>
      </c>
      <c r="K27" t="inlineStr">
        <is>
          <t>186 / 88</t>
        </is>
      </c>
      <c r="L27" t="inlineStr">
        <is>
          <t>46 / 16</t>
        </is>
      </c>
      <c r="M27" s="5" t="n">
        <v>0.68</v>
      </c>
      <c r="N27" s="5" t="n">
        <v>0.74</v>
      </c>
    </row>
    <row r="28">
      <c r="A28" t="n">
        <v>27</v>
      </c>
      <c r="B28" t="n">
        <v>2014</v>
      </c>
      <c r="C28" t="inlineStr">
        <is>
          <t>Yoyo Siyi Li</t>
        </is>
      </c>
      <c r="D28">
        <f>HYPERLINK("https://ota.tournamentsoftware.com/player-profile/E0E18831-EA34-4F88-BD1F-E79079687846", "Link")</f>
        <v/>
      </c>
      <c r="E28" s="3" t="n">
        <v>3589.518</v>
      </c>
      <c r="F28" s="4" t="n">
        <v>12</v>
      </c>
      <c r="G28" t="inlineStr">
        <is>
          <t>Tennis Saskatchewan</t>
        </is>
      </c>
      <c r="H28" t="inlineStr">
        <is>
          <t>Lakeshore Tennis Club</t>
        </is>
      </c>
      <c r="I28" t="inlineStr">
        <is>
          <t>unavailable</t>
        </is>
      </c>
      <c r="J28" s="4" t="n">
        <v>250</v>
      </c>
      <c r="K28" t="inlineStr">
        <is>
          <t>175 / 75</t>
        </is>
      </c>
      <c r="L28" t="inlineStr">
        <is>
          <t>57 / 12</t>
        </is>
      </c>
      <c r="M28" s="5" t="n">
        <v>0.7</v>
      </c>
      <c r="N28" s="5" t="n">
        <v>0.83</v>
      </c>
    </row>
    <row r="29">
      <c r="A29" t="n">
        <v>28</v>
      </c>
      <c r="B29" t="n">
        <v>2012</v>
      </c>
      <c r="C29" t="inlineStr">
        <is>
          <t>Hailey MacDonald</t>
        </is>
      </c>
      <c r="D29">
        <f>HYPERLINK("https://ota.tournamentsoftware.com/player-profile/7B752A16-6837-4A5A-AFD8-83F950F37834", "Link")</f>
        <v/>
      </c>
      <c r="E29" s="3" t="n">
        <v>3466.484</v>
      </c>
      <c r="F29" s="4" t="n">
        <v>15</v>
      </c>
      <c r="G29" t="inlineStr">
        <is>
          <t>Ontario Tennis Association</t>
        </is>
      </c>
      <c r="H29" t="inlineStr">
        <is>
          <t>Advantage Tennis International at Veneto</t>
        </is>
      </c>
      <c r="I29" t="n">
        <v>23.5</v>
      </c>
      <c r="J29" s="4" t="n">
        <v>331</v>
      </c>
      <c r="K29" t="inlineStr">
        <is>
          <t>227 / 104</t>
        </is>
      </c>
      <c r="L29" t="inlineStr">
        <is>
          <t>23 / 9</t>
        </is>
      </c>
      <c r="M29" s="5" t="n">
        <v>0.6899999999999999</v>
      </c>
      <c r="N29" s="5" t="n">
        <v>0.72</v>
      </c>
    </row>
    <row r="30">
      <c r="A30" t="n">
        <v>29</v>
      </c>
      <c r="B30" t="n">
        <v>2013</v>
      </c>
      <c r="C30" t="inlineStr">
        <is>
          <t>Vera Wing</t>
        </is>
      </c>
      <c r="D30">
        <f>HYPERLINK("https://ota.tournamentsoftware.com/player-profile/9436679B-ADF6-41C9-A343-AB5B05F342AE", "Link")</f>
        <v/>
      </c>
      <c r="E30" s="3" t="n">
        <v>3359.944</v>
      </c>
      <c r="F30" s="4" t="n">
        <v>22</v>
      </c>
      <c r="G30" t="inlineStr">
        <is>
          <t>Tennis Alberta</t>
        </is>
      </c>
      <c r="H30" t="inlineStr">
        <is>
          <t>Aforza</t>
        </is>
      </c>
      <c r="I30" t="n">
        <v>21.8</v>
      </c>
      <c r="J30" s="4" t="n">
        <v>347</v>
      </c>
      <c r="K30" t="inlineStr">
        <is>
          <t>219 / 128</t>
        </is>
      </c>
      <c r="L30" t="inlineStr">
        <is>
          <t>40 / 21</t>
        </is>
      </c>
      <c r="M30" s="5" t="n">
        <v>0.63</v>
      </c>
      <c r="N30" s="5" t="n">
        <v>0.66</v>
      </c>
    </row>
    <row r="31">
      <c r="A31" t="n">
        <v>30</v>
      </c>
      <c r="B31" t="n">
        <v>2012</v>
      </c>
      <c r="C31" t="inlineStr">
        <is>
          <t>Ariel Desbiens</t>
        </is>
      </c>
      <c r="D31">
        <f>HYPERLINK("https://ota.tournamentsoftware.com/player-profile/7381CFF5-5BA3-457C-9F6C-499D0F36D2DD", "Link")</f>
        <v/>
      </c>
      <c r="E31" s="3" t="n">
        <v>3288</v>
      </c>
      <c r="F31" s="4" t="n">
        <v>27</v>
      </c>
      <c r="G31" t="inlineStr">
        <is>
          <t>Tennis Québec</t>
        </is>
      </c>
      <c r="H31" t="inlineStr">
        <is>
          <t>SANI Sport</t>
        </is>
      </c>
      <c r="I31" t="n">
        <v>24.4</v>
      </c>
      <c r="J31" s="4" t="n">
        <v>389</v>
      </c>
      <c r="K31" t="inlineStr">
        <is>
          <t>240 / 149</t>
        </is>
      </c>
      <c r="L31" t="inlineStr">
        <is>
          <t>49 / 30</t>
        </is>
      </c>
      <c r="M31" s="5" t="n">
        <v>0.62</v>
      </c>
      <c r="N31" s="5" t="n">
        <v>0.62</v>
      </c>
    </row>
    <row r="32">
      <c r="A32" t="n">
        <v>31</v>
      </c>
      <c r="B32" t="n">
        <v>2013</v>
      </c>
      <c r="C32" t="inlineStr">
        <is>
          <t>Valesca Calabrese</t>
        </is>
      </c>
      <c r="D32">
        <f>HYPERLINK("https://ota.tournamentsoftware.com/player-profile/B0833DD4-B006-4DA5-A204-F5A1B4F3FABB", "Link")</f>
        <v/>
      </c>
      <c r="E32" s="3" t="n">
        <v>3053.02</v>
      </c>
      <c r="F32" s="4" t="n">
        <v>21</v>
      </c>
      <c r="G32" t="inlineStr">
        <is>
          <t>Ontario Tennis Association</t>
        </is>
      </c>
      <c r="H32" t="inlineStr">
        <is>
          <t>Kingston Racquet Centre</t>
        </is>
      </c>
      <c r="I32" t="n">
        <v>24</v>
      </c>
      <c r="J32" s="4" t="n">
        <v>272</v>
      </c>
      <c r="K32" t="inlineStr">
        <is>
          <t>182 / 90</t>
        </is>
      </c>
      <c r="L32" t="inlineStr">
        <is>
          <t>33 / 14</t>
        </is>
      </c>
      <c r="M32" s="5" t="n">
        <v>0.67</v>
      </c>
      <c r="N32" s="5" t="n">
        <v>0.7</v>
      </c>
    </row>
    <row r="33">
      <c r="A33" t="n">
        <v>32</v>
      </c>
      <c r="B33" t="n">
        <v>2012</v>
      </c>
      <c r="C33" t="inlineStr">
        <is>
          <t>Misaki Rukovanjski</t>
        </is>
      </c>
      <c r="D33">
        <f>HYPERLINK("https://ota.tournamentsoftware.com/player-profile/CECDBF80-C74F-40ED-B426-04CA75BF14C1", "Link")</f>
        <v/>
      </c>
      <c r="E33" s="3" t="n">
        <v>2886.118</v>
      </c>
      <c r="F33" s="4" t="n">
        <v>22</v>
      </c>
      <c r="G33" t="inlineStr">
        <is>
          <t>Ontario Tennis Association</t>
        </is>
      </c>
      <c r="H33" t="inlineStr">
        <is>
          <t>No Club</t>
        </is>
      </c>
      <c r="I33" t="n">
        <v>23.3</v>
      </c>
      <c r="J33" s="4" t="n">
        <v>288</v>
      </c>
      <c r="K33" t="inlineStr">
        <is>
          <t>184 / 104</t>
        </is>
      </c>
      <c r="L33" t="inlineStr">
        <is>
          <t>40 / 24</t>
        </is>
      </c>
      <c r="M33" s="5" t="n">
        <v>0.64</v>
      </c>
      <c r="N33" s="5" t="n">
        <v>0.62</v>
      </c>
    </row>
    <row r="34">
      <c r="A34" t="n">
        <v>33</v>
      </c>
      <c r="B34" t="n">
        <v>2012</v>
      </c>
      <c r="C34" t="inlineStr">
        <is>
          <t>Sophie Rachel Murray</t>
        </is>
      </c>
      <c r="D34">
        <f>HYPERLINK("https://ota.tournamentsoftware.com/player-profile/ADAA4094-7084-435C-80A6-9DA79EB19D3F", "Link")</f>
        <v/>
      </c>
      <c r="E34" s="3" t="n">
        <v>2878.56</v>
      </c>
      <c r="F34" s="4" t="n">
        <v>17</v>
      </c>
      <c r="G34" t="inlineStr">
        <is>
          <t>Tennis Alberta</t>
        </is>
      </c>
      <c r="H34" t="inlineStr">
        <is>
          <t>Osten &amp; Victor Alberta Tennis Centre</t>
        </is>
      </c>
      <c r="I34" t="n">
        <v>21</v>
      </c>
      <c r="J34" s="4" t="n">
        <v>322</v>
      </c>
      <c r="K34" t="inlineStr">
        <is>
          <t>194 / 128</t>
        </is>
      </c>
      <c r="L34" t="inlineStr">
        <is>
          <t>20 / 6</t>
        </is>
      </c>
      <c r="M34" s="5" t="n">
        <v>0.6</v>
      </c>
      <c r="N34" s="5" t="n">
        <v>0.77</v>
      </c>
    </row>
    <row r="35">
      <c r="A35" t="n">
        <v>34</v>
      </c>
      <c r="B35" t="n">
        <v>2013</v>
      </c>
      <c r="C35" t="inlineStr">
        <is>
          <t>Mia Zhou</t>
        </is>
      </c>
      <c r="D35">
        <f>HYPERLINK("https://ota.tournamentsoftware.com/player-profile/88191DA6-771E-497F-B932-CBADA674D329", "Link")</f>
        <v/>
      </c>
      <c r="E35" s="3" t="n">
        <v>2807.223</v>
      </c>
      <c r="F35" s="4" t="n">
        <v>24</v>
      </c>
      <c r="G35" t="inlineStr">
        <is>
          <t>Ontario Tennis Association</t>
        </is>
      </c>
      <c r="H35" t="inlineStr">
        <is>
          <t>Richmondhill Golf &amp; Country Club</t>
        </is>
      </c>
      <c r="I35" t="n">
        <v>23.5</v>
      </c>
      <c r="J35" s="4" t="n">
        <v>264</v>
      </c>
      <c r="K35" t="inlineStr">
        <is>
          <t>147 / 117</t>
        </is>
      </c>
      <c r="L35" t="inlineStr">
        <is>
          <t>46 / 29</t>
        </is>
      </c>
      <c r="M35" s="5" t="n">
        <v>0.5600000000000001</v>
      </c>
      <c r="N35" s="5" t="n">
        <v>0.61</v>
      </c>
    </row>
    <row r="36">
      <c r="A36" t="n">
        <v>35</v>
      </c>
      <c r="B36" t="n">
        <v>2012</v>
      </c>
      <c r="C36" t="inlineStr">
        <is>
          <t>Joni Faye Colburne</t>
        </is>
      </c>
      <c r="D36">
        <f>HYPERLINK("https://ota.tournamentsoftware.com/player-profile/497EB335-7B19-4354-A8BD-7D257EE2CBEF", "Link")</f>
        <v/>
      </c>
      <c r="E36" s="3" t="n">
        <v>2764.972</v>
      </c>
      <c r="F36" s="4" t="n">
        <v>8</v>
      </c>
      <c r="G36" t="inlineStr">
        <is>
          <t>Tennis Québec</t>
        </is>
      </c>
      <c r="H36" t="inlineStr">
        <is>
          <t>Stade IGA</t>
        </is>
      </c>
      <c r="I36" t="n">
        <v>19.7</v>
      </c>
      <c r="J36" s="4" t="n">
        <v>320</v>
      </c>
      <c r="K36" t="inlineStr">
        <is>
          <t>198 / 122</t>
        </is>
      </c>
      <c r="L36" t="inlineStr">
        <is>
          <t>4 / 1</t>
        </is>
      </c>
      <c r="M36" s="5" t="n">
        <v>0.62</v>
      </c>
      <c r="N36" s="5" t="n">
        <v>0.8</v>
      </c>
    </row>
    <row r="37">
      <c r="A37" t="n">
        <v>36</v>
      </c>
      <c r="B37" t="n">
        <v>2012</v>
      </c>
      <c r="C37" t="inlineStr">
        <is>
          <t>Allyson Experience</t>
        </is>
      </c>
      <c r="D37">
        <f>HYPERLINK("https://ota.tournamentsoftware.com/player-profile/9A5D0B4A-A8C7-47DA-8CAD-CA25D28C69CE", "Link")</f>
        <v/>
      </c>
      <c r="E37" s="3" t="n">
        <v>2513.283</v>
      </c>
      <c r="F37" s="4" t="n">
        <v>23</v>
      </c>
      <c r="G37" t="inlineStr">
        <is>
          <t>Tennis Québec</t>
        </is>
      </c>
      <c r="H37" t="inlineStr">
        <is>
          <t>Tennis Montréal Excellence</t>
        </is>
      </c>
      <c r="I37" t="n">
        <v>24.2</v>
      </c>
      <c r="J37" s="4" t="n">
        <v>268</v>
      </c>
      <c r="K37" t="inlineStr">
        <is>
          <t>126 / 142</t>
        </is>
      </c>
      <c r="L37" t="inlineStr">
        <is>
          <t>25 / 23</t>
        </is>
      </c>
      <c r="M37" s="5" t="n">
        <v>0.47</v>
      </c>
      <c r="N37" s="5" t="n">
        <v>0.52</v>
      </c>
    </row>
    <row r="38">
      <c r="A38" t="n">
        <v>37</v>
      </c>
      <c r="B38" t="n">
        <v>2013</v>
      </c>
      <c r="C38" t="inlineStr">
        <is>
          <t>xiayue(Cecelia) Bi</t>
        </is>
      </c>
      <c r="D38">
        <f>HYPERLINK("https://ota.tournamentsoftware.com/player-profile/081CD41C-A9E4-4340-A239-2D92F6639919", "Link")</f>
        <v/>
      </c>
      <c r="E38" s="3" t="n">
        <v>2498.399</v>
      </c>
      <c r="F38" s="4" t="n">
        <v>14</v>
      </c>
      <c r="G38" t="inlineStr">
        <is>
          <t>British Columbia</t>
        </is>
      </c>
      <c r="H38" t="inlineStr">
        <is>
          <t>North Vancouver Tennis Centre</t>
        </is>
      </c>
      <c r="I38" t="n">
        <v>22.8</v>
      </c>
      <c r="J38" s="4" t="n">
        <v>248</v>
      </c>
      <c r="K38" t="inlineStr">
        <is>
          <t>158 / 90</t>
        </is>
      </c>
      <c r="L38" t="inlineStr">
        <is>
          <t>19 / 22</t>
        </is>
      </c>
      <c r="M38" s="5" t="n">
        <v>0.64</v>
      </c>
      <c r="N38" s="5" t="n">
        <v>0.46</v>
      </c>
    </row>
    <row r="39">
      <c r="A39" t="n">
        <v>38</v>
      </c>
      <c r="B39" t="n">
        <v>2012</v>
      </c>
      <c r="C39" t="inlineStr">
        <is>
          <t>Hannah Yiwei Wang</t>
        </is>
      </c>
      <c r="D39">
        <f>HYPERLINK("https://ota.tournamentsoftware.com/player-profile/CEB4A334-7BA1-4478-96B0-66580448520A", "Link")</f>
        <v/>
      </c>
      <c r="E39" s="3" t="n">
        <v>2456.863</v>
      </c>
      <c r="F39" s="4" t="n">
        <v>17</v>
      </c>
      <c r="G39" t="inlineStr">
        <is>
          <t>Ontario Tennis Association</t>
        </is>
      </c>
      <c r="H39" t="inlineStr">
        <is>
          <t>Richmondhill Golf &amp; Country Club</t>
        </is>
      </c>
      <c r="I39" t="n">
        <v>24.7</v>
      </c>
      <c r="J39" s="4" t="n">
        <v>181</v>
      </c>
      <c r="K39" t="inlineStr">
        <is>
          <t>96 / 85</t>
        </is>
      </c>
      <c r="L39" t="inlineStr">
        <is>
          <t>26 / 19</t>
        </is>
      </c>
      <c r="M39" s="5" t="n">
        <v>0.53</v>
      </c>
      <c r="N39" s="5" t="n">
        <v>0.58</v>
      </c>
    </row>
    <row r="40">
      <c r="A40" t="n">
        <v>39</v>
      </c>
      <c r="B40" t="n">
        <v>2013</v>
      </c>
      <c r="C40" t="inlineStr">
        <is>
          <t>Janelle Mao</t>
        </is>
      </c>
      <c r="D40">
        <f>HYPERLINK("https://ota.tournamentsoftware.com/player-profile/25605052-7047-4B82-9C15-5D4C8CE7946D", "Link")</f>
        <v/>
      </c>
      <c r="E40" s="3" t="n">
        <v>2442.361</v>
      </c>
      <c r="F40" s="4" t="n">
        <v>15</v>
      </c>
      <c r="G40" t="inlineStr">
        <is>
          <t>Ontario Tennis Association</t>
        </is>
      </c>
      <c r="H40" t="inlineStr">
        <is>
          <t>London Hunt &amp; Country Club</t>
        </is>
      </c>
      <c r="I40" t="n">
        <v>24.4</v>
      </c>
      <c r="J40" s="4" t="n">
        <v>213</v>
      </c>
      <c r="K40" t="inlineStr">
        <is>
          <t>125 / 88</t>
        </is>
      </c>
      <c r="L40" t="inlineStr">
        <is>
          <t>20 / 20</t>
        </is>
      </c>
      <c r="M40" s="5" t="n">
        <v>0.59</v>
      </c>
      <c r="N40" s="5" t="n">
        <v>0.5</v>
      </c>
    </row>
    <row r="41">
      <c r="A41" t="n">
        <v>40</v>
      </c>
      <c r="B41" t="n">
        <v>2012</v>
      </c>
      <c r="C41" t="inlineStr">
        <is>
          <t>Daisy Okechukwu</t>
        </is>
      </c>
      <c r="D41">
        <f>HYPERLINK("https://ota.tournamentsoftware.com/player-profile/9909D668-CC24-45D1-AD61-DE790BE62029", "Link")</f>
        <v/>
      </c>
      <c r="E41" s="3" t="n">
        <v>2400</v>
      </c>
      <c r="F41" s="4" t="n">
        <v>10</v>
      </c>
      <c r="G41" t="inlineStr">
        <is>
          <t>Ontario Tennis Association</t>
        </is>
      </c>
      <c r="H41" t="inlineStr">
        <is>
          <t>Carleton Tennis Centre</t>
        </is>
      </c>
      <c r="I41" t="n">
        <v>26.8</v>
      </c>
      <c r="J41" s="4" t="n">
        <v>129</v>
      </c>
      <c r="K41" t="inlineStr">
        <is>
          <t>36 / 93</t>
        </is>
      </c>
      <c r="L41" t="inlineStr">
        <is>
          <t>0 / 0</t>
        </is>
      </c>
      <c r="M41" s="5" t="n">
        <v>0.28</v>
      </c>
      <c r="N41" s="5" t="n">
        <v>0</v>
      </c>
    </row>
    <row r="42">
      <c r="A42" t="n">
        <v>41</v>
      </c>
      <c r="B42" t="n">
        <v>2012</v>
      </c>
      <c r="C42" t="inlineStr">
        <is>
          <t>scarlett Ai</t>
        </is>
      </c>
      <c r="D42">
        <f>HYPERLINK("https://ota.tournamentsoftware.com/player-profile/99B381B6-120A-4EAE-A001-756292C53927", "Link")</f>
        <v/>
      </c>
      <c r="E42" s="3" t="n">
        <v>2328.047</v>
      </c>
      <c r="F42" s="4" t="n">
        <v>15</v>
      </c>
      <c r="G42" t="inlineStr">
        <is>
          <t>Ontario Tennis Association</t>
        </is>
      </c>
      <c r="H42" t="inlineStr">
        <is>
          <t>Toronto Tennis Academy</t>
        </is>
      </c>
      <c r="I42" t="n">
        <v>25.1</v>
      </c>
      <c r="J42" s="4" t="n">
        <v>222</v>
      </c>
      <c r="K42" t="inlineStr">
        <is>
          <t>120 / 102</t>
        </is>
      </c>
      <c r="L42" t="inlineStr">
        <is>
          <t>23 / 17</t>
        </is>
      </c>
      <c r="M42" s="5" t="n">
        <v>0.54</v>
      </c>
      <c r="N42" s="5" t="n">
        <v>0.57</v>
      </c>
    </row>
    <row r="43">
      <c r="A43" t="n">
        <v>42</v>
      </c>
      <c r="B43" t="n">
        <v>2014</v>
      </c>
      <c r="C43" t="inlineStr">
        <is>
          <t>Wilma Wai Bo Yue</t>
        </is>
      </c>
      <c r="D43">
        <f>HYPERLINK("https://ota.tournamentsoftware.com/player-profile/6CAEB488-574A-45E0-B597-01F96FA5C987", "Link")</f>
        <v/>
      </c>
      <c r="E43" s="3" t="n">
        <v>2309.912</v>
      </c>
      <c r="F43" s="4" t="n">
        <v>13</v>
      </c>
      <c r="G43" t="inlineStr">
        <is>
          <t>Ontario Tennis Association</t>
        </is>
      </c>
      <c r="H43" t="inlineStr">
        <is>
          <t>No Club</t>
        </is>
      </c>
      <c r="I43" t="n">
        <v>24.8</v>
      </c>
      <c r="J43" s="4" t="n">
        <v>212</v>
      </c>
      <c r="K43" t="inlineStr">
        <is>
          <t>153 / 59</t>
        </is>
      </c>
      <c r="L43" t="inlineStr">
        <is>
          <t>38 / 13</t>
        </is>
      </c>
      <c r="M43" s="5" t="n">
        <v>0.72</v>
      </c>
      <c r="N43" s="5" t="n">
        <v>0.75</v>
      </c>
    </row>
    <row r="44">
      <c r="A44" t="n">
        <v>43</v>
      </c>
      <c r="B44" t="n">
        <v>2012</v>
      </c>
      <c r="C44" t="inlineStr">
        <is>
          <t>Xinyi Kwan</t>
        </is>
      </c>
      <c r="D44">
        <f>HYPERLINK("https://ota.tournamentsoftware.com/player-profile/5146AC8F-EF0E-4E7A-A6A0-D65D12E5BF6E", "Link")</f>
        <v/>
      </c>
      <c r="E44" s="3" t="n">
        <v>2308.904</v>
      </c>
      <c r="F44" s="4" t="n">
        <v>17</v>
      </c>
      <c r="G44" t="inlineStr">
        <is>
          <t>Ontario Tennis Association</t>
        </is>
      </c>
      <c r="H44" t="inlineStr">
        <is>
          <t>Burlington Hall Sporting Club</t>
        </is>
      </c>
      <c r="I44" t="n">
        <v>21.9</v>
      </c>
      <c r="J44" s="4" t="n">
        <v>219</v>
      </c>
      <c r="K44" t="inlineStr">
        <is>
          <t>108 / 111</t>
        </is>
      </c>
      <c r="L44" t="inlineStr">
        <is>
          <t>31 / 22</t>
        </is>
      </c>
      <c r="M44" s="5" t="n">
        <v>0.49</v>
      </c>
      <c r="N44" s="5" t="n">
        <v>0.58</v>
      </c>
    </row>
    <row r="45">
      <c r="A45" t="n">
        <v>44</v>
      </c>
      <c r="B45" t="n">
        <v>2012</v>
      </c>
      <c r="C45" t="inlineStr">
        <is>
          <t>Saroop Randhawa</t>
        </is>
      </c>
      <c r="D45">
        <f>HYPERLINK("https://ota.tournamentsoftware.com/player-profile/5F710ADB-6059-4376-8917-220BAD95C9B2", "Link")</f>
        <v/>
      </c>
      <c r="E45" s="3" t="n">
        <v>2228</v>
      </c>
      <c r="F45" s="4" t="n">
        <v>4</v>
      </c>
      <c r="G45" t="inlineStr">
        <is>
          <t>Ontario Tennis Association</t>
        </is>
      </c>
      <c r="H45" t="inlineStr">
        <is>
          <t>Advantage Tennis International at Veneto</t>
        </is>
      </c>
      <c r="I45" t="n">
        <v>19.2</v>
      </c>
      <c r="J45" s="4" t="n">
        <v>155</v>
      </c>
      <c r="K45" t="inlineStr">
        <is>
          <t>115 / 40</t>
        </is>
      </c>
      <c r="L45" t="inlineStr">
        <is>
          <t>5 / 0</t>
        </is>
      </c>
      <c r="M45" s="5" t="n">
        <v>0.74</v>
      </c>
      <c r="N45" s="5" t="n">
        <v>1</v>
      </c>
    </row>
    <row r="46">
      <c r="A46" t="n">
        <v>45</v>
      </c>
      <c r="B46" t="n">
        <v>2013</v>
      </c>
      <c r="C46" t="inlineStr">
        <is>
          <t>YASMINE SOUISSI</t>
        </is>
      </c>
      <c r="D46">
        <f>HYPERLINK("https://ota.tournamentsoftware.com/player-profile/1B8E66F9-8E72-48A5-A280-1ADD14488B21", "Link")</f>
        <v/>
      </c>
      <c r="E46" s="3" t="n">
        <v>2224.521</v>
      </c>
      <c r="F46" s="4" t="n">
        <v>9</v>
      </c>
      <c r="G46" t="inlineStr">
        <is>
          <t>Tennis Québec</t>
        </is>
      </c>
      <c r="H46" t="inlineStr">
        <is>
          <t>Tennis 13</t>
        </is>
      </c>
      <c r="I46" t="n">
        <v>22.1</v>
      </c>
      <c r="J46" s="4" t="n">
        <v>248</v>
      </c>
      <c r="K46" t="inlineStr">
        <is>
          <t>167 / 81</t>
        </is>
      </c>
      <c r="L46" t="inlineStr">
        <is>
          <t>24 / 13</t>
        </is>
      </c>
      <c r="M46" s="5" t="n">
        <v>0.67</v>
      </c>
      <c r="N46" s="5" t="n">
        <v>0.65</v>
      </c>
    </row>
    <row r="47">
      <c r="A47" t="n">
        <v>46</v>
      </c>
      <c r="B47" t="n">
        <v>2014</v>
      </c>
      <c r="C47" t="inlineStr">
        <is>
          <t>Adelina Tanashikova</t>
        </is>
      </c>
      <c r="D47">
        <f>HYPERLINK("https://ota.tournamentsoftware.com/player-profile/AD7F41D2-B208-4518-963D-851BBA4276F4", "Link")</f>
        <v/>
      </c>
      <c r="E47" s="3" t="n">
        <v>2209.809</v>
      </c>
      <c r="F47" s="4" t="n">
        <v>14</v>
      </c>
      <c r="G47" t="inlineStr">
        <is>
          <t>Ontario Tennis Association</t>
        </is>
      </c>
      <c r="H47" t="inlineStr">
        <is>
          <t>No Club</t>
        </is>
      </c>
      <c r="I47" t="n">
        <v>23.9</v>
      </c>
      <c r="J47" s="4" t="n">
        <v>275</v>
      </c>
      <c r="K47" t="inlineStr">
        <is>
          <t>148 / 127</t>
        </is>
      </c>
      <c r="L47" t="inlineStr">
        <is>
          <t>31 / 10</t>
        </is>
      </c>
      <c r="M47" s="5" t="n">
        <v>0.54</v>
      </c>
      <c r="N47" s="5" t="n">
        <v>0.76</v>
      </c>
    </row>
    <row r="48">
      <c r="A48" t="n">
        <v>47</v>
      </c>
      <c r="B48" t="n">
        <v>2012</v>
      </c>
      <c r="C48" t="inlineStr">
        <is>
          <t>Marilyn deBruin-Sawutz</t>
        </is>
      </c>
      <c r="D48">
        <f>HYPERLINK("https://ota.tournamentsoftware.com/player-profile/3DC26724-8571-4345-A75C-D904297288CB", "Link")</f>
        <v/>
      </c>
      <c r="E48" s="3" t="n">
        <v>2134.817</v>
      </c>
      <c r="F48" s="4" t="n">
        <v>25</v>
      </c>
      <c r="G48" t="inlineStr">
        <is>
          <t>Ontario Tennis Association</t>
        </is>
      </c>
      <c r="H48" t="inlineStr">
        <is>
          <t>Advantage Tennis International at Veneto</t>
        </is>
      </c>
      <c r="I48" t="n">
        <v>23.5</v>
      </c>
      <c r="J48" s="4" t="n">
        <v>296</v>
      </c>
      <c r="K48" t="inlineStr">
        <is>
          <t>155 / 141</t>
        </is>
      </c>
      <c r="L48" t="inlineStr">
        <is>
          <t>34 / 22</t>
        </is>
      </c>
      <c r="M48" s="5" t="n">
        <v>0.52</v>
      </c>
      <c r="N48" s="5" t="n">
        <v>0.61</v>
      </c>
    </row>
    <row r="49">
      <c r="A49" t="n">
        <v>48</v>
      </c>
      <c r="B49" t="n">
        <v>2014</v>
      </c>
      <c r="C49" t="inlineStr">
        <is>
          <t>SOPHIA JIAJIA DENG</t>
        </is>
      </c>
      <c r="D49">
        <f>HYPERLINK("https://ota.tournamentsoftware.com/player-profile/FE6DD2AD-9E29-4128-BE09-D1E88B84D2C8", "Link")</f>
        <v/>
      </c>
      <c r="E49" s="3" t="n">
        <v>2125.702</v>
      </c>
      <c r="F49" s="4" t="n">
        <v>15</v>
      </c>
      <c r="G49" t="inlineStr">
        <is>
          <t>Ontario Tennis Association</t>
        </is>
      </c>
      <c r="H49" t="inlineStr">
        <is>
          <t>Peak Performance Tennis Academy</t>
        </is>
      </c>
      <c r="I49" t="n">
        <v>25.6</v>
      </c>
      <c r="J49" s="4" t="n">
        <v>186</v>
      </c>
      <c r="K49" t="inlineStr">
        <is>
          <t>137 / 49</t>
        </is>
      </c>
      <c r="L49" t="inlineStr">
        <is>
          <t>37 / 15</t>
        </is>
      </c>
      <c r="M49" s="5" t="n">
        <v>0.74</v>
      </c>
      <c r="N49" s="5" t="n">
        <v>0.71</v>
      </c>
    </row>
    <row r="50">
      <c r="A50" t="n">
        <v>49</v>
      </c>
      <c r="B50" t="n">
        <v>2014</v>
      </c>
      <c r="C50" t="inlineStr">
        <is>
          <t>Fiona Huang</t>
        </is>
      </c>
      <c r="D50">
        <f>HYPERLINK("https://ota.tournamentsoftware.com/player-profile/701ADA13-714A-48E5-B54F-4DB9E25DBDB3", "Link")</f>
        <v/>
      </c>
      <c r="E50" s="3" t="n">
        <v>2111.25</v>
      </c>
      <c r="F50" s="4" t="n">
        <v>14</v>
      </c>
      <c r="G50" t="inlineStr">
        <is>
          <t>British Columbia</t>
        </is>
      </c>
      <c r="H50" t="inlineStr">
        <is>
          <t>No Club</t>
        </is>
      </c>
      <c r="I50" t="n">
        <v>24.6</v>
      </c>
      <c r="J50" s="4" t="n">
        <v>224</v>
      </c>
      <c r="K50" t="inlineStr">
        <is>
          <t>142 / 82</t>
        </is>
      </c>
      <c r="L50" t="inlineStr">
        <is>
          <t>34 / 15</t>
        </is>
      </c>
      <c r="M50" s="5" t="n">
        <v>0.63</v>
      </c>
      <c r="N50" s="5" t="n">
        <v>0.6899999999999999</v>
      </c>
    </row>
    <row r="51">
      <c r="A51" t="n">
        <v>50</v>
      </c>
      <c r="B51" t="n">
        <v>2014</v>
      </c>
      <c r="C51" t="inlineStr">
        <is>
          <t>Roseline Nana</t>
        </is>
      </c>
      <c r="D51">
        <f>HYPERLINK("https://ota.tournamentsoftware.com/player-profile/B0A425C4-2F23-4C29-8447-4FFBF9D90967", "Link")</f>
        <v/>
      </c>
      <c r="E51" s="3" t="n">
        <v>1993.2</v>
      </c>
      <c r="F51" s="4" t="n">
        <v>24</v>
      </c>
      <c r="G51" t="inlineStr">
        <is>
          <t>Tennis Québec</t>
        </is>
      </c>
      <c r="H51" t="inlineStr">
        <is>
          <t>Tennis Montréal Excellence</t>
        </is>
      </c>
      <c r="I51" t="n">
        <v>25</v>
      </c>
      <c r="J51" s="4" t="n">
        <v>193</v>
      </c>
      <c r="K51" t="inlineStr">
        <is>
          <t>137 / 56</t>
        </is>
      </c>
      <c r="L51" t="inlineStr">
        <is>
          <t>50 / 17</t>
        </is>
      </c>
      <c r="M51" s="5" t="n">
        <v>0.71</v>
      </c>
      <c r="N51" s="5" t="n">
        <v>0.75</v>
      </c>
    </row>
    <row r="52">
      <c r="A52" t="n">
        <v>51</v>
      </c>
      <c r="B52" t="n">
        <v>2012</v>
      </c>
      <c r="C52" t="inlineStr">
        <is>
          <t>Amaliia Bakumenko</t>
        </is>
      </c>
      <c r="D52">
        <f>HYPERLINK("https://ota.tournamentsoftware.com/player-profile/E789F167-880C-4307-840C-31D5E72C32F0", "Link")</f>
        <v/>
      </c>
      <c r="E52" s="3" t="n">
        <v>1923.936</v>
      </c>
      <c r="F52" s="4" t="n">
        <v>2</v>
      </c>
      <c r="G52" t="inlineStr">
        <is>
          <t>Tennis Québec</t>
        </is>
      </c>
      <c r="H52" t="inlineStr">
        <is>
          <t>Tennis 13 / Académie Ménard et associé</t>
        </is>
      </c>
      <c r="I52" t="n">
        <v>17.5</v>
      </c>
      <c r="J52" s="4" t="n">
        <v>81</v>
      </c>
      <c r="K52" t="inlineStr">
        <is>
          <t>60 / 21</t>
        </is>
      </c>
      <c r="L52" t="inlineStr">
        <is>
          <t>0 / 1</t>
        </is>
      </c>
      <c r="M52" s="5" t="n">
        <v>0.74</v>
      </c>
      <c r="N52" s="5" t="n">
        <v>0</v>
      </c>
    </row>
    <row r="53">
      <c r="A53" t="n">
        <v>52</v>
      </c>
      <c r="B53" t="n">
        <v>2013</v>
      </c>
      <c r="C53" t="inlineStr">
        <is>
          <t>Anvitha Mahadevaswamy</t>
        </is>
      </c>
      <c r="D53">
        <f>HYPERLINK("https://ota.tournamentsoftware.com/player-profile/09DB8B30-6DCB-4B0E-9241-CA7456F2AD6D", "Link")</f>
        <v/>
      </c>
      <c r="E53" s="3" t="n">
        <v>1922.906</v>
      </c>
      <c r="F53" s="4" t="n">
        <v>14</v>
      </c>
      <c r="G53" t="inlineStr">
        <is>
          <t>Tennis New Brunswick</t>
        </is>
      </c>
      <c r="H53" t="inlineStr">
        <is>
          <t>Abony Family Tennis Center</t>
        </is>
      </c>
      <c r="I53" t="n">
        <v>25.4</v>
      </c>
      <c r="J53" s="4" t="n">
        <v>243</v>
      </c>
      <c r="K53" t="inlineStr">
        <is>
          <t>140 / 103</t>
        </is>
      </c>
      <c r="L53" t="inlineStr">
        <is>
          <t>40 / 29</t>
        </is>
      </c>
      <c r="M53" s="5" t="n">
        <v>0.58</v>
      </c>
      <c r="N53" s="5" t="n">
        <v>0.58</v>
      </c>
    </row>
    <row r="54">
      <c r="A54" t="n">
        <v>53</v>
      </c>
      <c r="B54" t="n">
        <v>2013</v>
      </c>
      <c r="C54" t="inlineStr">
        <is>
          <t>Aida Idrissi Serghini</t>
        </is>
      </c>
      <c r="D54">
        <f>HYPERLINK("https://ota.tournamentsoftware.com/player-profile/F5E49767-E427-41A0-B6F2-79E8AC4CB7AE", "Link")</f>
        <v/>
      </c>
      <c r="E54" s="3" t="n">
        <v>1836.281</v>
      </c>
      <c r="F54" s="4" t="n">
        <v>15</v>
      </c>
      <c r="G54" t="inlineStr">
        <is>
          <t>Tennis Québec</t>
        </is>
      </c>
      <c r="H54" t="inlineStr">
        <is>
          <t>Centre récréatif de Repentigny / Académie Tennis Momentum</t>
        </is>
      </c>
      <c r="I54" t="n">
        <v>25.1</v>
      </c>
      <c r="J54" s="4" t="n">
        <v>228</v>
      </c>
      <c r="K54" t="inlineStr">
        <is>
          <t>157 / 71</t>
        </is>
      </c>
      <c r="L54" t="inlineStr">
        <is>
          <t>31 / 18</t>
        </is>
      </c>
      <c r="M54" s="5" t="n">
        <v>0.6899999999999999</v>
      </c>
      <c r="N54" s="5" t="n">
        <v>0.63</v>
      </c>
    </row>
    <row r="55">
      <c r="A55" t="n">
        <v>54</v>
      </c>
      <c r="B55" t="n">
        <v>2014</v>
      </c>
      <c r="C55" t="inlineStr">
        <is>
          <t>Aleksandra Alymov</t>
        </is>
      </c>
      <c r="D55">
        <f>HYPERLINK("https://ota.tournamentsoftware.com/player-profile/3ED01243-78C8-4179-A634-27E1B1E8443A", "Link")</f>
        <v/>
      </c>
      <c r="E55" s="3" t="n">
        <v>1804.283</v>
      </c>
      <c r="F55" s="4" t="n">
        <v>14</v>
      </c>
      <c r="G55" t="inlineStr">
        <is>
          <t>Ontario Tennis Association</t>
        </is>
      </c>
      <c r="H55" t="inlineStr">
        <is>
          <t>Rexall Centre</t>
        </is>
      </c>
      <c r="I55" t="n">
        <v>25.3</v>
      </c>
      <c r="J55" s="4" t="n">
        <v>224</v>
      </c>
      <c r="K55" t="inlineStr">
        <is>
          <t>139 / 85</t>
        </is>
      </c>
      <c r="L55" t="inlineStr">
        <is>
          <t>38 / 16</t>
        </is>
      </c>
      <c r="M55" s="5" t="n">
        <v>0.62</v>
      </c>
      <c r="N55" s="5" t="n">
        <v>0.7</v>
      </c>
    </row>
    <row r="56">
      <c r="A56" t="n">
        <v>55</v>
      </c>
      <c r="B56" t="n">
        <v>2013</v>
      </c>
      <c r="C56" t="inlineStr">
        <is>
          <t>Etooluwa Michelle Bammeke</t>
        </is>
      </c>
      <c r="D56">
        <f>HYPERLINK("https://ota.tournamentsoftware.com/player-profile/7C02D882-BDA0-4F5A-9586-AF17737417F7", "Link")</f>
        <v/>
      </c>
      <c r="E56" s="3" t="n">
        <v>1799.704</v>
      </c>
      <c r="F56" s="4" t="n">
        <v>26</v>
      </c>
      <c r="G56" t="inlineStr">
        <is>
          <t>Ontario Tennis Association</t>
        </is>
      </c>
      <c r="H56" t="inlineStr">
        <is>
          <t>Joshua Creek Golf &amp; Tennis</t>
        </is>
      </c>
      <c r="I56" t="n">
        <v>27.5</v>
      </c>
      <c r="J56" s="4" t="n">
        <v>277</v>
      </c>
      <c r="K56" t="inlineStr">
        <is>
          <t>170 / 107</t>
        </is>
      </c>
      <c r="L56" t="inlineStr">
        <is>
          <t>26 / 17</t>
        </is>
      </c>
      <c r="M56" s="5" t="n">
        <v>0.61</v>
      </c>
      <c r="N56" s="5" t="n">
        <v>0.6</v>
      </c>
    </row>
    <row r="57">
      <c r="A57" t="n">
        <v>56</v>
      </c>
      <c r="B57" t="n">
        <v>2012</v>
      </c>
      <c r="C57" t="inlineStr">
        <is>
          <t>Daria Glinna</t>
        </is>
      </c>
      <c r="D57">
        <f>HYPERLINK("https://ota.tournamentsoftware.com/player-profile/75F31A41-BD9F-46AC-A064-06ECE54741E7", "Link")</f>
        <v/>
      </c>
      <c r="E57" s="3" t="n">
        <v>1760.552</v>
      </c>
      <c r="F57" s="4" t="n">
        <v>12</v>
      </c>
      <c r="G57" t="inlineStr">
        <is>
          <t>Ontario Tennis Association</t>
        </is>
      </c>
      <c r="H57" t="inlineStr">
        <is>
          <t>Premier Racquet Clubs – Mississauga</t>
        </is>
      </c>
      <c r="I57" t="n">
        <v>28.1</v>
      </c>
      <c r="J57" s="4" t="n">
        <v>158</v>
      </c>
      <c r="K57" t="inlineStr">
        <is>
          <t>59 / 99</t>
        </is>
      </c>
      <c r="L57" t="inlineStr">
        <is>
          <t>4 / 8</t>
        </is>
      </c>
      <c r="M57" s="5" t="n">
        <v>0.37</v>
      </c>
      <c r="N57" s="5" t="n">
        <v>0.33</v>
      </c>
    </row>
    <row r="58">
      <c r="A58" t="n">
        <v>57</v>
      </c>
      <c r="B58" t="n">
        <v>2012</v>
      </c>
      <c r="C58" t="inlineStr">
        <is>
          <t>Kelly L Zhang</t>
        </is>
      </c>
      <c r="D58">
        <f>HYPERLINK("https://ota.tournamentsoftware.com/player-profile/2504E03B-B05C-4307-B90E-F3F72DD94827", "Link")</f>
        <v/>
      </c>
      <c r="E58" s="3" t="n">
        <v>1758.835</v>
      </c>
      <c r="F58" s="4" t="n">
        <v>22</v>
      </c>
      <c r="G58" t="inlineStr">
        <is>
          <t>Ontario Tennis Association</t>
        </is>
      </c>
      <c r="H58" t="inlineStr">
        <is>
          <t>NYTA Winter Tennis Club</t>
        </is>
      </c>
      <c r="I58" t="n">
        <v>27.5</v>
      </c>
      <c r="J58" s="4" t="n">
        <v>191</v>
      </c>
      <c r="K58" t="inlineStr">
        <is>
          <t>94 / 97</t>
        </is>
      </c>
      <c r="L58" t="inlineStr">
        <is>
          <t>27 / 19</t>
        </is>
      </c>
      <c r="M58" s="5" t="n">
        <v>0.49</v>
      </c>
      <c r="N58" s="5" t="n">
        <v>0.59</v>
      </c>
    </row>
    <row r="59">
      <c r="A59" t="n">
        <v>58</v>
      </c>
      <c r="B59" t="n">
        <v>2012</v>
      </c>
      <c r="C59" t="inlineStr">
        <is>
          <t>Katelyn Pasula</t>
        </is>
      </c>
      <c r="D59">
        <f>HYPERLINK("https://ota.tournamentsoftware.com/player-profile/2F075CB1-8090-4588-823C-59BF58DDDA64", "Link")</f>
        <v/>
      </c>
      <c r="E59" s="3" t="n">
        <v>1747.487</v>
      </c>
      <c r="F59" s="4" t="n">
        <v>7</v>
      </c>
      <c r="G59" t="inlineStr">
        <is>
          <t>British Columbia</t>
        </is>
      </c>
      <c r="H59" t="inlineStr">
        <is>
          <t>BC NI No Club</t>
        </is>
      </c>
      <c r="I59" t="inlineStr">
        <is>
          <t>unavailable</t>
        </is>
      </c>
      <c r="J59" s="4" t="n">
        <v>35</v>
      </c>
      <c r="K59" t="inlineStr">
        <is>
          <t>21 / 14</t>
        </is>
      </c>
      <c r="L59" t="inlineStr">
        <is>
          <t>8 / 5</t>
        </is>
      </c>
      <c r="M59" s="5" t="n">
        <v>0.6</v>
      </c>
      <c r="N59" s="5" t="n">
        <v>0.62</v>
      </c>
    </row>
    <row r="60">
      <c r="A60" t="n">
        <v>59</v>
      </c>
      <c r="B60" t="n">
        <v>2013</v>
      </c>
      <c r="C60" t="inlineStr">
        <is>
          <t>Haeun (Emily) Jo</t>
        </is>
      </c>
      <c r="D60">
        <f>HYPERLINK("https://ota.tournamentsoftware.com/player-profile/BBD49A71-6CAE-4AC7-908B-9DB5263DA715", "Link")</f>
        <v/>
      </c>
      <c r="E60" s="3" t="n">
        <v>1714.8</v>
      </c>
      <c r="F60" s="4" t="n">
        <v>13</v>
      </c>
      <c r="G60" t="inlineStr">
        <is>
          <t>Tennis Nova Scotia</t>
        </is>
      </c>
      <c r="H60" t="inlineStr">
        <is>
          <t>Atlantic Tennis Centre</t>
        </is>
      </c>
      <c r="I60" t="n">
        <v>25.4</v>
      </c>
      <c r="J60" s="4" t="n">
        <v>288</v>
      </c>
      <c r="K60" t="inlineStr">
        <is>
          <t>192 / 96</t>
        </is>
      </c>
      <c r="L60" t="inlineStr">
        <is>
          <t>43 / 17</t>
        </is>
      </c>
      <c r="M60" s="5" t="n">
        <v>0.67</v>
      </c>
      <c r="N60" s="5" t="n">
        <v>0.72</v>
      </c>
    </row>
    <row r="61">
      <c r="A61" t="n">
        <v>60</v>
      </c>
      <c r="B61" t="n">
        <v>2014</v>
      </c>
      <c r="C61" t="inlineStr">
        <is>
          <t>Naomi Danyod</t>
        </is>
      </c>
      <c r="D61">
        <f>HYPERLINK("https://ota.tournamentsoftware.com/player-profile/2037E4D8-F8CE-4A2B-858E-7FBBA84F2BC7", "Link")</f>
        <v/>
      </c>
      <c r="E61" s="3" t="n">
        <v>1697.744</v>
      </c>
      <c r="F61" s="4" t="n">
        <v>17</v>
      </c>
      <c r="G61" t="inlineStr">
        <is>
          <t>Tennis Québec</t>
        </is>
      </c>
      <c r="H61" t="inlineStr">
        <is>
          <t>Rouge et Or - Université Laval</t>
        </is>
      </c>
      <c r="I61" t="n">
        <v>25.1</v>
      </c>
      <c r="J61" s="4" t="n">
        <v>168</v>
      </c>
      <c r="K61" t="inlineStr">
        <is>
          <t>108 / 60</t>
        </is>
      </c>
      <c r="L61" t="inlineStr">
        <is>
          <t>38 / 21</t>
        </is>
      </c>
      <c r="M61" s="5" t="n">
        <v>0.64</v>
      </c>
      <c r="N61" s="5" t="n">
        <v>0.64</v>
      </c>
    </row>
    <row r="62">
      <c r="A62" t="n">
        <v>61</v>
      </c>
      <c r="B62" t="n">
        <v>2013</v>
      </c>
      <c r="C62" t="inlineStr">
        <is>
          <t>Adèle Juneau</t>
        </is>
      </c>
      <c r="D62">
        <f>HYPERLINK("https://ota.tournamentsoftware.com/player-profile/3A8C3EB0-444C-4108-A91E-FC74701A660D", "Link")</f>
        <v/>
      </c>
      <c r="E62" s="3" t="n">
        <v>1669.437</v>
      </c>
      <c r="F62" s="4" t="n">
        <v>15</v>
      </c>
      <c r="G62" t="inlineStr">
        <is>
          <t>Tennis Québec</t>
        </is>
      </c>
      <c r="H62" t="inlineStr">
        <is>
          <t>Tennis 13 / Académie Ménard et associé</t>
        </is>
      </c>
      <c r="I62" t="n">
        <v>24.4</v>
      </c>
      <c r="J62" s="4" t="n">
        <v>337</v>
      </c>
      <c r="K62" t="inlineStr">
        <is>
          <t>189 / 148</t>
        </is>
      </c>
      <c r="L62" t="inlineStr">
        <is>
          <t>20 / 23</t>
        </is>
      </c>
      <c r="M62" s="5" t="n">
        <v>0.5600000000000001</v>
      </c>
      <c r="N62" s="5" t="n">
        <v>0.47</v>
      </c>
    </row>
    <row r="63">
      <c r="A63" t="n">
        <v>62</v>
      </c>
      <c r="B63" t="n">
        <v>2012</v>
      </c>
      <c r="C63" t="inlineStr">
        <is>
          <t>Annika Richards</t>
        </is>
      </c>
      <c r="D63">
        <f>HYPERLINK("https://ota.tournamentsoftware.com/player-profile/CFED81F9-9EA3-48DF-84C4-507456D5D68B", "Link")</f>
        <v/>
      </c>
      <c r="E63" s="3" t="n">
        <v>1646.693</v>
      </c>
      <c r="F63" s="4" t="n">
        <v>16</v>
      </c>
      <c r="G63" t="inlineStr">
        <is>
          <t>Ontario Tennis Association</t>
        </is>
      </c>
      <c r="H63" t="inlineStr">
        <is>
          <t>Toronto Cricket Skating &amp; Curling</t>
        </is>
      </c>
      <c r="I63" t="n">
        <v>27</v>
      </c>
      <c r="J63" s="4" t="n">
        <v>192</v>
      </c>
      <c r="K63" t="inlineStr">
        <is>
          <t>82 / 110</t>
        </is>
      </c>
      <c r="L63" t="inlineStr">
        <is>
          <t>9 / 19</t>
        </is>
      </c>
      <c r="M63" s="5" t="n">
        <v>0.43</v>
      </c>
      <c r="N63" s="5" t="n">
        <v>0.32</v>
      </c>
    </row>
    <row r="64">
      <c r="A64" t="n">
        <v>63</v>
      </c>
      <c r="B64" t="n">
        <v>2013</v>
      </c>
      <c r="C64" t="inlineStr">
        <is>
          <t>Alexane Deschênes</t>
        </is>
      </c>
      <c r="D64">
        <f>HYPERLINK("https://ota.tournamentsoftware.com/player-profile/124D1E6B-E463-4461-A5D1-9C844DE2C6D9", "Link")</f>
        <v/>
      </c>
      <c r="E64" s="3" t="n">
        <v>1642.329</v>
      </c>
      <c r="F64" s="4" t="n">
        <v>23</v>
      </c>
      <c r="G64" t="inlineStr">
        <is>
          <t>Tennis Québec</t>
        </is>
      </c>
      <c r="H64" t="inlineStr">
        <is>
          <t>Centre récréatif de Repentigny / Académie Tennis Momentum</t>
        </is>
      </c>
      <c r="I64" t="n">
        <v>24.5</v>
      </c>
      <c r="J64" s="4" t="n">
        <v>298</v>
      </c>
      <c r="K64" t="inlineStr">
        <is>
          <t>160 / 138</t>
        </is>
      </c>
      <c r="L64" t="inlineStr">
        <is>
          <t>40 / 36</t>
        </is>
      </c>
      <c r="M64" s="5" t="n">
        <v>0.54</v>
      </c>
      <c r="N64" s="5" t="n">
        <v>0.53</v>
      </c>
    </row>
    <row r="65">
      <c r="A65" t="n">
        <v>64</v>
      </c>
      <c r="B65" t="n">
        <v>2014</v>
      </c>
      <c r="C65" t="inlineStr">
        <is>
          <t>Amelia Grace Balasuriya</t>
        </is>
      </c>
      <c r="D65">
        <f>HYPERLINK("https://ota.tournamentsoftware.com/player-profile/741A3060-1EA3-4E29-A0BE-1717DEF32CEA", "Link")</f>
        <v/>
      </c>
      <c r="E65" s="3" t="n">
        <v>1640.801</v>
      </c>
      <c r="F65" s="4" t="n">
        <v>26</v>
      </c>
      <c r="G65" t="inlineStr">
        <is>
          <t>Ontario Tennis Association</t>
        </is>
      </c>
      <c r="H65" t="inlineStr">
        <is>
          <t>The Supreme Court Tennis Club</t>
        </is>
      </c>
      <c r="I65" t="n">
        <v>26.7</v>
      </c>
      <c r="J65" s="4" t="n">
        <v>274</v>
      </c>
      <c r="K65" t="inlineStr">
        <is>
          <t>176 / 98</t>
        </is>
      </c>
      <c r="L65" t="inlineStr">
        <is>
          <t>53 / 28</t>
        </is>
      </c>
      <c r="M65" s="5" t="n">
        <v>0.64</v>
      </c>
      <c r="N65" s="5" t="n">
        <v>0.65</v>
      </c>
    </row>
    <row r="66">
      <c r="A66" t="n">
        <v>65</v>
      </c>
      <c r="B66" t="n">
        <v>2014</v>
      </c>
      <c r="C66" t="inlineStr">
        <is>
          <t>Naella Sehic</t>
        </is>
      </c>
      <c r="D66">
        <f>HYPERLINK("https://ota.tournamentsoftware.com/player-profile/C86BA5BA-97F0-463B-BBE7-6A41452E0D47", "Link")</f>
        <v/>
      </c>
      <c r="E66" s="3" t="n">
        <v>1547.584</v>
      </c>
      <c r="F66" s="4" t="n">
        <v>22</v>
      </c>
      <c r="G66" t="inlineStr">
        <is>
          <t>Tennis Québec</t>
        </is>
      </c>
      <c r="H66" t="inlineStr">
        <is>
          <t>Tennis Ile- des- Soeurs</t>
        </is>
      </c>
      <c r="I66" t="n">
        <v>25.3</v>
      </c>
      <c r="J66" s="4" t="n">
        <v>306</v>
      </c>
      <c r="K66" t="inlineStr">
        <is>
          <t>190 / 116</t>
        </is>
      </c>
      <c r="L66" t="inlineStr">
        <is>
          <t>53 / 17</t>
        </is>
      </c>
      <c r="M66" s="5" t="n">
        <v>0.62</v>
      </c>
      <c r="N66" s="5" t="n">
        <v>0.76</v>
      </c>
    </row>
    <row r="67">
      <c r="A67" t="n">
        <v>66</v>
      </c>
      <c r="B67" t="n">
        <v>2013</v>
      </c>
      <c r="C67" t="inlineStr">
        <is>
          <t>Dewa Ayu Devin Sum</t>
        </is>
      </c>
      <c r="D67">
        <f>HYPERLINK("https://ota.tournamentsoftware.com/player-profile/9DB24D5C-3B5C-4B40-BE7E-B331240C1B21", "Link")</f>
        <v/>
      </c>
      <c r="E67" s="3" t="n">
        <v>1527.367</v>
      </c>
      <c r="F67" s="4" t="n">
        <v>29</v>
      </c>
      <c r="G67" t="inlineStr">
        <is>
          <t>Ontario Tennis Association</t>
        </is>
      </c>
      <c r="H67" t="inlineStr">
        <is>
          <t>Premier Racquet Clubs – Mississauga</t>
        </is>
      </c>
      <c r="I67" t="n">
        <v>26.5</v>
      </c>
      <c r="J67" s="4" t="n">
        <v>188</v>
      </c>
      <c r="K67" t="inlineStr">
        <is>
          <t>97 / 91</t>
        </is>
      </c>
      <c r="L67" t="inlineStr">
        <is>
          <t>31 / 26</t>
        </is>
      </c>
      <c r="M67" s="5" t="n">
        <v>0.52</v>
      </c>
      <c r="N67" s="5" t="n">
        <v>0.54</v>
      </c>
    </row>
    <row r="68">
      <c r="A68" t="n">
        <v>67</v>
      </c>
      <c r="B68" t="n">
        <v>2012</v>
      </c>
      <c r="C68" t="inlineStr">
        <is>
          <t>Karina Zhang</t>
        </is>
      </c>
      <c r="D68">
        <f>HYPERLINK("https://ota.tournamentsoftware.com/player-profile/7BB53E38-BBB9-4E1E-B8A2-8EFC2E762653", "Link")</f>
        <v/>
      </c>
      <c r="E68" s="3" t="n">
        <v>1493.367</v>
      </c>
      <c r="F68" s="4" t="n">
        <v>26</v>
      </c>
      <c r="G68" t="inlineStr">
        <is>
          <t>Ontario Tennis Association</t>
        </is>
      </c>
      <c r="H68" t="inlineStr">
        <is>
          <t>Richmondhill Golf &amp; Country Club</t>
        </is>
      </c>
      <c r="I68" t="n">
        <v>24.9</v>
      </c>
      <c r="J68" s="4" t="n">
        <v>217</v>
      </c>
      <c r="K68" t="inlineStr">
        <is>
          <t>136 / 81</t>
        </is>
      </c>
      <c r="L68" t="inlineStr">
        <is>
          <t>36 / 25</t>
        </is>
      </c>
      <c r="M68" s="5" t="n">
        <v>0.63</v>
      </c>
      <c r="N68" s="5" t="n">
        <v>0.59</v>
      </c>
    </row>
    <row r="69">
      <c r="A69" t="n">
        <v>68</v>
      </c>
      <c r="B69" t="n">
        <v>2013</v>
      </c>
      <c r="C69" t="inlineStr">
        <is>
          <t>Varvara Lutsyk</t>
        </is>
      </c>
      <c r="D69">
        <f>HYPERLINK("https://ota.tournamentsoftware.com/player-profile/5197490D-6996-4375-892E-2696E508FF34", "Link")</f>
        <v/>
      </c>
      <c r="E69" s="3" t="n">
        <v>1491.991</v>
      </c>
      <c r="F69" s="4" t="n">
        <v>18</v>
      </c>
      <c r="G69" t="inlineStr">
        <is>
          <t>Tennis Québec</t>
        </is>
      </c>
      <c r="H69" t="inlineStr">
        <is>
          <t>Club Sportif Côte-de-Liesse</t>
        </is>
      </c>
      <c r="I69" t="n">
        <v>24.7</v>
      </c>
      <c r="J69" s="4" t="n">
        <v>214</v>
      </c>
      <c r="K69" t="inlineStr">
        <is>
          <t>141 / 73</t>
        </is>
      </c>
      <c r="L69" t="inlineStr">
        <is>
          <t>35 / 17</t>
        </is>
      </c>
      <c r="M69" s="5" t="n">
        <v>0.66</v>
      </c>
      <c r="N69" s="5" t="n">
        <v>0.67</v>
      </c>
    </row>
    <row r="70">
      <c r="A70" t="n">
        <v>69</v>
      </c>
      <c r="B70" t="n">
        <v>2012</v>
      </c>
      <c r="C70" t="inlineStr">
        <is>
          <t>Natalie Le'er Sang</t>
        </is>
      </c>
      <c r="D70">
        <f>HYPERLINK("https://ota.tournamentsoftware.com/player-profile/993E5845-6FAB-4557-A6F0-C3D60CD8BB97", "Link")</f>
        <v/>
      </c>
      <c r="E70" s="3" t="n">
        <v>1488.96</v>
      </c>
      <c r="F70" s="4" t="n">
        <v>16</v>
      </c>
      <c r="G70" t="inlineStr">
        <is>
          <t>British Columbia</t>
        </is>
      </c>
      <c r="H70" t="inlineStr">
        <is>
          <t>No Club</t>
        </is>
      </c>
      <c r="I70" t="n">
        <v>23.8</v>
      </c>
      <c r="J70" s="4" t="n">
        <v>114</v>
      </c>
      <c r="K70" t="inlineStr">
        <is>
          <t>80 / 34</t>
        </is>
      </c>
      <c r="L70" t="inlineStr">
        <is>
          <t>23 / 20</t>
        </is>
      </c>
      <c r="M70" s="5" t="n">
        <v>0.7</v>
      </c>
      <c r="N70" s="5" t="n">
        <v>0.53</v>
      </c>
    </row>
    <row r="71">
      <c r="A71" t="n">
        <v>70</v>
      </c>
      <c r="B71" t="n">
        <v>2013</v>
      </c>
      <c r="C71" t="inlineStr">
        <is>
          <t>Avery Badyal</t>
        </is>
      </c>
      <c r="D71">
        <f>HYPERLINK("https://ota.tournamentsoftware.com/player-profile/9486479F-C8FD-48FB-BCCD-0246C53A632C", "Link")</f>
        <v/>
      </c>
      <c r="E71" s="3" t="n">
        <v>1469.906</v>
      </c>
      <c r="F71" s="4" t="n">
        <v>11</v>
      </c>
      <c r="G71" t="inlineStr">
        <is>
          <t>British Columbia</t>
        </is>
      </c>
      <c r="H71" t="inlineStr">
        <is>
          <t>The Tennis Centre</t>
        </is>
      </c>
      <c r="I71" t="n">
        <v>25</v>
      </c>
      <c r="J71" s="4" t="n">
        <v>241</v>
      </c>
      <c r="K71" t="inlineStr">
        <is>
          <t>146 / 95</t>
        </is>
      </c>
      <c r="L71" t="inlineStr">
        <is>
          <t>18 / 20</t>
        </is>
      </c>
      <c r="M71" s="5" t="n">
        <v>0.61</v>
      </c>
      <c r="N71" s="5" t="n">
        <v>0.47</v>
      </c>
    </row>
    <row r="72">
      <c r="A72" t="n">
        <v>71</v>
      </c>
      <c r="B72" t="n">
        <v>2013</v>
      </c>
      <c r="C72" t="inlineStr">
        <is>
          <t>Iris Fu</t>
        </is>
      </c>
      <c r="D72">
        <f>HYPERLINK("https://ota.tournamentsoftware.com/player-profile/0A3A4B5A-8950-4E67-BAA9-3F132754A3FD", "Link")</f>
        <v/>
      </c>
      <c r="E72" s="3" t="n">
        <v>1460.76</v>
      </c>
      <c r="F72" s="4" t="n">
        <v>20</v>
      </c>
      <c r="G72" t="inlineStr">
        <is>
          <t>Ontario Tennis Association</t>
        </is>
      </c>
      <c r="H72" t="inlineStr">
        <is>
          <t>Premier Racquet Clubs – Mississauga</t>
        </is>
      </c>
      <c r="I72" t="inlineStr">
        <is>
          <t>unavailable</t>
        </is>
      </c>
      <c r="J72" s="4" t="n">
        <v>252</v>
      </c>
      <c r="K72" t="inlineStr">
        <is>
          <t>148 / 104</t>
        </is>
      </c>
      <c r="L72" t="inlineStr">
        <is>
          <t>33 / 14</t>
        </is>
      </c>
      <c r="M72" s="5" t="n">
        <v>0.59</v>
      </c>
      <c r="N72" s="5" t="n">
        <v>0.7</v>
      </c>
    </row>
    <row r="73">
      <c r="A73" t="n">
        <v>72</v>
      </c>
      <c r="B73" t="n">
        <v>2014</v>
      </c>
      <c r="C73" t="inlineStr">
        <is>
          <t>jocelyn ai</t>
        </is>
      </c>
      <c r="D73">
        <f>HYPERLINK("https://ota.tournamentsoftware.com/player-profile/EADED953-942B-4335-BE21-C0DE8F31626D", "Link")</f>
        <v/>
      </c>
      <c r="E73" s="3" t="n">
        <v>1450.912</v>
      </c>
      <c r="F73" s="4" t="n">
        <v>19</v>
      </c>
      <c r="G73" t="inlineStr">
        <is>
          <t>Ontario Tennis Association</t>
        </is>
      </c>
      <c r="H73" t="inlineStr">
        <is>
          <t>No Club</t>
        </is>
      </c>
      <c r="I73" t="n">
        <v>26.4</v>
      </c>
      <c r="J73" s="4" t="n">
        <v>223</v>
      </c>
      <c r="K73" t="inlineStr">
        <is>
          <t>135 / 88</t>
        </is>
      </c>
      <c r="L73" t="inlineStr">
        <is>
          <t>41 / 25</t>
        </is>
      </c>
      <c r="M73" s="5" t="n">
        <v>0.61</v>
      </c>
      <c r="N73" s="5" t="n">
        <v>0.62</v>
      </c>
    </row>
    <row r="74">
      <c r="A74" t="n">
        <v>73</v>
      </c>
      <c r="B74" t="n">
        <v>2013</v>
      </c>
      <c r="C74" t="inlineStr">
        <is>
          <t>Elena Rusic</t>
        </is>
      </c>
      <c r="D74">
        <f>HYPERLINK("https://ota.tournamentsoftware.com/player-profile/C202F0BA-61C5-459D-993A-2D56C17C2B04", "Link")</f>
        <v/>
      </c>
      <c r="E74" s="3" t="n">
        <v>1449.81</v>
      </c>
      <c r="F74" s="4" t="n">
        <v>23</v>
      </c>
      <c r="G74" t="inlineStr">
        <is>
          <t>Ontario Tennis Association</t>
        </is>
      </c>
      <c r="H74" t="inlineStr">
        <is>
          <t>Joshua Creek Golf &amp; Tennis</t>
        </is>
      </c>
      <c r="I74" t="n">
        <v>26.3</v>
      </c>
      <c r="J74" s="4" t="n">
        <v>263</v>
      </c>
      <c r="K74" t="inlineStr">
        <is>
          <t>186 / 77</t>
        </is>
      </c>
      <c r="L74" t="inlineStr">
        <is>
          <t>27 / 22</t>
        </is>
      </c>
      <c r="M74" s="5" t="n">
        <v>0.71</v>
      </c>
      <c r="N74" s="5" t="n">
        <v>0.55</v>
      </c>
    </row>
    <row r="75">
      <c r="A75" t="n">
        <v>74</v>
      </c>
      <c r="B75" t="n">
        <v>2014</v>
      </c>
      <c r="C75" t="inlineStr">
        <is>
          <t>Emma Allen</t>
        </is>
      </c>
      <c r="D75">
        <f>HYPERLINK("https://ota.tournamentsoftware.com/player-profile/5640B61E-0EE7-4BB3-ABC3-AD9CB508E4E9", "Link")</f>
        <v/>
      </c>
      <c r="E75" s="3" t="n">
        <v>1427.491</v>
      </c>
      <c r="F75" s="4" t="n">
        <v>21</v>
      </c>
      <c r="G75" t="inlineStr">
        <is>
          <t>Ontario Tennis Association</t>
        </is>
      </c>
      <c r="H75" t="inlineStr">
        <is>
          <t>Joshua Creek Golf &amp; Tennis</t>
        </is>
      </c>
      <c r="I75" t="n">
        <v>26.2</v>
      </c>
      <c r="J75" s="4" t="n">
        <v>264</v>
      </c>
      <c r="K75" t="inlineStr">
        <is>
          <t>190 / 74</t>
        </is>
      </c>
      <c r="L75" t="inlineStr">
        <is>
          <t>42 / 22</t>
        </is>
      </c>
      <c r="M75" s="5" t="n">
        <v>0.72</v>
      </c>
      <c r="N75" s="5" t="n">
        <v>0.66</v>
      </c>
    </row>
    <row r="76">
      <c r="A76" t="n">
        <v>75</v>
      </c>
      <c r="B76" t="n">
        <v>2012</v>
      </c>
      <c r="C76" t="inlineStr">
        <is>
          <t>Olivia Escobar</t>
        </is>
      </c>
      <c r="D76">
        <f>HYPERLINK("https://ota.tournamentsoftware.com/player-profile/9E3A15EA-D947-4048-B7A7-6C2437D34132", "Link")</f>
        <v/>
      </c>
      <c r="E76" s="3" t="n">
        <v>1405</v>
      </c>
      <c r="F76" s="4" t="n">
        <v>36</v>
      </c>
      <c r="G76" t="inlineStr">
        <is>
          <t>Tennis Québec</t>
        </is>
      </c>
      <c r="H76" t="inlineStr">
        <is>
          <t>Tennis Ile- des- Soeurs</t>
        </is>
      </c>
      <c r="I76" t="n">
        <v>27</v>
      </c>
      <c r="J76" s="4" t="n">
        <v>352</v>
      </c>
      <c r="K76" t="inlineStr">
        <is>
          <t>133 / 219</t>
        </is>
      </c>
      <c r="L76" t="inlineStr">
        <is>
          <t>19 / 26</t>
        </is>
      </c>
      <c r="M76" s="5" t="n">
        <v>0.38</v>
      </c>
      <c r="N76" s="5" t="n">
        <v>0.42</v>
      </c>
    </row>
    <row r="77">
      <c r="A77" t="n">
        <v>76</v>
      </c>
      <c r="B77" t="n">
        <v>2012</v>
      </c>
      <c r="C77" t="inlineStr">
        <is>
          <t>Zahava Olszynko</t>
        </is>
      </c>
      <c r="D77">
        <f>HYPERLINK("https://ota.tournamentsoftware.com/player-profile/B6F84042-B29D-4CD8-984E-787094BFA8A4", "Link")</f>
        <v/>
      </c>
      <c r="E77" s="3" t="n">
        <v>1396.116</v>
      </c>
      <c r="F77" s="4" t="n">
        <v>30</v>
      </c>
      <c r="G77" t="inlineStr">
        <is>
          <t>Ontario Tennis Association</t>
        </is>
      </c>
      <c r="H77" t="inlineStr">
        <is>
          <t>Rideau Sports Centre</t>
        </is>
      </c>
      <c r="I77" t="n">
        <v>26.2</v>
      </c>
      <c r="J77" s="4" t="n">
        <v>232</v>
      </c>
      <c r="K77" t="inlineStr">
        <is>
          <t>127 / 105</t>
        </is>
      </c>
      <c r="L77" t="inlineStr">
        <is>
          <t>35 / 25</t>
        </is>
      </c>
      <c r="M77" s="5" t="n">
        <v>0.55</v>
      </c>
      <c r="N77" s="5" t="n">
        <v>0.58</v>
      </c>
    </row>
    <row r="78">
      <c r="A78" t="n">
        <v>77</v>
      </c>
      <c r="B78" t="n">
        <v>2013</v>
      </c>
      <c r="C78" t="inlineStr">
        <is>
          <t>Eleanor Victoria Paura</t>
        </is>
      </c>
      <c r="D78">
        <f>HYPERLINK("https://ota.tournamentsoftware.com/player-profile/4D9EBB83-94D7-44A3-BD6F-1D98EF9559DF", "Link")</f>
        <v/>
      </c>
      <c r="E78" s="3" t="n">
        <v>1376.144</v>
      </c>
      <c r="F78" s="4" t="n">
        <v>10</v>
      </c>
      <c r="G78" t="inlineStr">
        <is>
          <t>Tennis Saskatchewan</t>
        </is>
      </c>
      <c r="H78" t="inlineStr">
        <is>
          <t>Lakeshore Tennis Club</t>
        </is>
      </c>
      <c r="I78" t="n">
        <v>29.7</v>
      </c>
      <c r="J78" s="4" t="n">
        <v>196</v>
      </c>
      <c r="K78" t="inlineStr">
        <is>
          <t>85 / 111</t>
        </is>
      </c>
      <c r="L78" t="inlineStr">
        <is>
          <t>27 / 22</t>
        </is>
      </c>
      <c r="M78" s="5" t="n">
        <v>0.43</v>
      </c>
      <c r="N78" s="5" t="n">
        <v>0.55</v>
      </c>
    </row>
    <row r="79">
      <c r="A79" t="n">
        <v>78</v>
      </c>
      <c r="B79" t="n">
        <v>2014</v>
      </c>
      <c r="C79" t="inlineStr">
        <is>
          <t>Nanette Du</t>
        </is>
      </c>
      <c r="D79">
        <f>HYPERLINK("https://ota.tournamentsoftware.com/player-profile/53190390-CC68-4E5E-8079-A41733ADF41A", "Link")</f>
        <v/>
      </c>
      <c r="E79" s="3" t="n">
        <v>1337.773</v>
      </c>
      <c r="F79" s="4" t="n">
        <v>17</v>
      </c>
      <c r="G79" t="inlineStr">
        <is>
          <t>Ontario Tennis Association</t>
        </is>
      </c>
      <c r="H79" t="inlineStr">
        <is>
          <t>Advantage Tennis International at Veneto</t>
        </is>
      </c>
      <c r="I79" t="n">
        <v>27.4</v>
      </c>
      <c r="J79" s="4" t="n">
        <v>153</v>
      </c>
      <c r="K79" t="inlineStr">
        <is>
          <t>95 / 58</t>
        </is>
      </c>
      <c r="L79" t="inlineStr">
        <is>
          <t>29 / 14</t>
        </is>
      </c>
      <c r="M79" s="5" t="n">
        <v>0.62</v>
      </c>
      <c r="N79" s="5" t="n">
        <v>0.67</v>
      </c>
    </row>
    <row r="80">
      <c r="A80" t="n">
        <v>79</v>
      </c>
      <c r="B80" t="n">
        <v>2013</v>
      </c>
      <c r="C80" t="inlineStr">
        <is>
          <t>Charlotte Dawes</t>
        </is>
      </c>
      <c r="D80">
        <f>HYPERLINK("https://ota.tournamentsoftware.com/player-profile/F2AC6B3A-37CF-4522-9228-9A614DED4E6F", "Link")</f>
        <v/>
      </c>
      <c r="E80" s="3" t="n">
        <v>1333.136</v>
      </c>
      <c r="F80" s="4" t="n">
        <v>14</v>
      </c>
      <c r="G80" t="inlineStr">
        <is>
          <t>Tennis Alberta</t>
        </is>
      </c>
      <c r="H80" t="inlineStr">
        <is>
          <t>Osten &amp; Victor Alberta Tennis Centre</t>
        </is>
      </c>
      <c r="I80" t="n">
        <v>25.1</v>
      </c>
      <c r="J80" s="4" t="n">
        <v>225</v>
      </c>
      <c r="K80" t="inlineStr">
        <is>
          <t>112 / 113</t>
        </is>
      </c>
      <c r="L80" t="inlineStr">
        <is>
          <t>25 / 18</t>
        </is>
      </c>
      <c r="M80" s="5" t="n">
        <v>0.5</v>
      </c>
      <c r="N80" s="5" t="n">
        <v>0.58</v>
      </c>
    </row>
    <row r="81">
      <c r="A81" t="n">
        <v>80</v>
      </c>
      <c r="B81" t="n">
        <v>2012</v>
      </c>
      <c r="C81" t="inlineStr">
        <is>
          <t>Emilie Chen</t>
        </is>
      </c>
      <c r="D81">
        <f>HYPERLINK("https://ota.tournamentsoftware.com/player-profile/829AD033-5D37-4AE8-9F34-8C50F25B20C3", "Link")</f>
        <v/>
      </c>
      <c r="E81" s="3" t="n">
        <v>1230.688</v>
      </c>
      <c r="F81" s="4" t="n">
        <v>12</v>
      </c>
      <c r="G81" t="inlineStr">
        <is>
          <t>Ontario Tennis Association</t>
        </is>
      </c>
      <c r="H81" t="inlineStr">
        <is>
          <t>Toronto Cricket Skating &amp; Curling</t>
        </is>
      </c>
      <c r="I81" t="n">
        <v>26.4</v>
      </c>
      <c r="J81" s="4" t="n">
        <v>219</v>
      </c>
      <c r="K81" t="inlineStr">
        <is>
          <t>91 / 128</t>
        </is>
      </c>
      <c r="L81" t="inlineStr">
        <is>
          <t>14 / 16</t>
        </is>
      </c>
      <c r="M81" s="5" t="n">
        <v>0.42</v>
      </c>
      <c r="N81" s="5" t="n">
        <v>0.47</v>
      </c>
    </row>
    <row r="82">
      <c r="A82" t="n">
        <v>81</v>
      </c>
      <c r="B82" t="n">
        <v>2012</v>
      </c>
      <c r="C82" t="inlineStr">
        <is>
          <t>Maia-Alexandra Popa</t>
        </is>
      </c>
      <c r="D82">
        <f>HYPERLINK("https://ota.tournamentsoftware.com/player-profile/1D5E0C32-9DDE-4B44-ADF9-FDB75BF638BC", "Link")</f>
        <v/>
      </c>
      <c r="E82" s="3" t="n">
        <v>1213.546</v>
      </c>
      <c r="F82" s="4" t="n">
        <v>20</v>
      </c>
      <c r="G82" t="inlineStr">
        <is>
          <t>Ontario Tennis Association</t>
        </is>
      </c>
      <c r="H82" t="inlineStr">
        <is>
          <t>No Club</t>
        </is>
      </c>
      <c r="I82" t="n">
        <v>25.2</v>
      </c>
      <c r="J82" s="4" t="n">
        <v>213</v>
      </c>
      <c r="K82" t="inlineStr">
        <is>
          <t>113 / 100</t>
        </is>
      </c>
      <c r="L82" t="inlineStr">
        <is>
          <t>31 / 15</t>
        </is>
      </c>
      <c r="M82" s="5" t="n">
        <v>0.53</v>
      </c>
      <c r="N82" s="5" t="n">
        <v>0.67</v>
      </c>
    </row>
    <row r="83">
      <c r="A83" t="n">
        <v>82</v>
      </c>
      <c r="B83" t="n">
        <v>2014</v>
      </c>
      <c r="C83" t="inlineStr">
        <is>
          <t>Ruoran Hou</t>
        </is>
      </c>
      <c r="D83">
        <f>HYPERLINK("https://ota.tournamentsoftware.com/player-profile/01D9A845-667C-4EDB-ABF5-CFE1C5418675", "Link")</f>
        <v/>
      </c>
      <c r="E83" s="3" t="n">
        <v>1181.094</v>
      </c>
      <c r="F83" s="4" t="n">
        <v>16</v>
      </c>
      <c r="G83" t="inlineStr">
        <is>
          <t>Tennis Nova Scotia</t>
        </is>
      </c>
      <c r="H83" t="inlineStr">
        <is>
          <t>Atlantic Tennis Centre</t>
        </is>
      </c>
      <c r="I83" t="n">
        <v>29.1</v>
      </c>
      <c r="J83" s="4" t="n">
        <v>239</v>
      </c>
      <c r="K83" t="inlineStr">
        <is>
          <t>139 / 100</t>
        </is>
      </c>
      <c r="L83" t="inlineStr">
        <is>
          <t>41 / 27</t>
        </is>
      </c>
      <c r="M83" s="5" t="n">
        <v>0.58</v>
      </c>
      <c r="N83" s="5" t="n">
        <v>0.6</v>
      </c>
    </row>
    <row r="84">
      <c r="A84" t="n">
        <v>83</v>
      </c>
      <c r="B84" t="n">
        <v>2012</v>
      </c>
      <c r="C84" t="inlineStr">
        <is>
          <t>Alessia Lungu</t>
        </is>
      </c>
      <c r="D84">
        <f>HYPERLINK("https://ota.tournamentsoftware.com/player-profile/99FF719F-9C8F-4394-BE76-5455D457977A", "Link")</f>
        <v/>
      </c>
      <c r="E84" s="3" t="n">
        <v>1170.891</v>
      </c>
      <c r="F84" s="4" t="n">
        <v>7</v>
      </c>
      <c r="G84" t="inlineStr">
        <is>
          <t>Ontario Tennis Association</t>
        </is>
      </c>
      <c r="H84" t="inlineStr">
        <is>
          <t>Joshua Creek Golf &amp; Tennis</t>
        </is>
      </c>
      <c r="I84" t="n">
        <v>23.1</v>
      </c>
      <c r="J84" s="4" t="n">
        <v>188</v>
      </c>
      <c r="K84" t="inlineStr">
        <is>
          <t>121 / 67</t>
        </is>
      </c>
      <c r="L84" t="inlineStr">
        <is>
          <t>10 / 5</t>
        </is>
      </c>
      <c r="M84" s="5" t="n">
        <v>0.64</v>
      </c>
      <c r="N84" s="5" t="n">
        <v>0.67</v>
      </c>
    </row>
    <row r="85">
      <c r="A85" t="n">
        <v>84</v>
      </c>
      <c r="B85" t="n">
        <v>2012</v>
      </c>
      <c r="C85" t="inlineStr">
        <is>
          <t>Ashlee Hanul Yoo</t>
        </is>
      </c>
      <c r="D85">
        <f>HYPERLINK("https://ota.tournamentsoftware.com/player-profile/BA09F220-C66B-4A96-9C0C-1BEE71ADDA56", "Link")</f>
        <v/>
      </c>
      <c r="E85" s="3" t="n">
        <v>1170.503</v>
      </c>
      <c r="F85" s="4" t="n">
        <v>11</v>
      </c>
      <c r="G85" t="inlineStr">
        <is>
          <t>British Columbia</t>
        </is>
      </c>
      <c r="H85" t="inlineStr">
        <is>
          <t>No Club</t>
        </is>
      </c>
      <c r="I85" t="inlineStr">
        <is>
          <t>unavailable</t>
        </is>
      </c>
      <c r="J85" s="4" t="n">
        <v>205</v>
      </c>
      <c r="K85" t="inlineStr">
        <is>
          <t>109 / 96</t>
        </is>
      </c>
      <c r="L85" t="inlineStr">
        <is>
          <t>18 / 18</t>
        </is>
      </c>
      <c r="M85" s="5" t="n">
        <v>0.53</v>
      </c>
      <c r="N85" s="5" t="n">
        <v>0.5</v>
      </c>
    </row>
    <row r="86">
      <c r="A86" t="n">
        <v>85</v>
      </c>
      <c r="B86" t="n">
        <v>2013</v>
      </c>
      <c r="C86" t="inlineStr">
        <is>
          <t>Halo Boyu Li</t>
        </is>
      </c>
      <c r="D86">
        <f>HYPERLINK("https://ota.tournamentsoftware.com/player-profile/42371346-12B9-439B-B9EB-FB5DD0ABCB73", "Link")</f>
        <v/>
      </c>
      <c r="E86" s="3" t="n">
        <v>1165.149</v>
      </c>
      <c r="F86" s="4" t="n">
        <v>11</v>
      </c>
      <c r="G86" t="inlineStr">
        <is>
          <t>Tennis Saskatchewan</t>
        </is>
      </c>
      <c r="H86" t="inlineStr">
        <is>
          <t>No Club</t>
        </is>
      </c>
      <c r="I86" t="n">
        <v>30.9</v>
      </c>
      <c r="J86" s="4" t="n">
        <v>181</v>
      </c>
      <c r="K86" t="inlineStr">
        <is>
          <t>79 / 102</t>
        </is>
      </c>
      <c r="L86" t="inlineStr">
        <is>
          <t>29 / 27</t>
        </is>
      </c>
      <c r="M86" s="5" t="n">
        <v>0.44</v>
      </c>
      <c r="N86" s="5" t="n">
        <v>0.52</v>
      </c>
    </row>
    <row r="87">
      <c r="A87" t="n">
        <v>86</v>
      </c>
      <c r="B87" t="n">
        <v>2012</v>
      </c>
      <c r="C87" t="inlineStr">
        <is>
          <t>Alexsandra Stanislavksy</t>
        </is>
      </c>
      <c r="D87">
        <f>HYPERLINK("https://ota.tournamentsoftware.com/player-profile/A067EDC1-6B71-4023-8C13-88CA87AA808B", "Link")</f>
        <v/>
      </c>
      <c r="E87" s="3" t="n">
        <v>1142.629</v>
      </c>
      <c r="F87" s="4" t="n">
        <v>29</v>
      </c>
      <c r="G87" t="inlineStr">
        <is>
          <t>Ontario Tennis Association</t>
        </is>
      </c>
      <c r="H87" t="inlineStr">
        <is>
          <t>No Club</t>
        </is>
      </c>
      <c r="I87" t="n">
        <v>28.8</v>
      </c>
      <c r="J87" s="4" t="n">
        <v>200</v>
      </c>
      <c r="K87" t="inlineStr">
        <is>
          <t>90 / 110</t>
        </is>
      </c>
      <c r="L87" t="inlineStr">
        <is>
          <t>27 / 29</t>
        </is>
      </c>
      <c r="M87" s="5" t="n">
        <v>0.45</v>
      </c>
      <c r="N87" s="5" t="n">
        <v>0.48</v>
      </c>
    </row>
    <row r="88">
      <c r="A88" t="n">
        <v>87</v>
      </c>
      <c r="B88" t="n">
        <v>2013</v>
      </c>
      <c r="C88" t="inlineStr">
        <is>
          <t>Chloé Normandin</t>
        </is>
      </c>
      <c r="D88">
        <f>HYPERLINK("https://ota.tournamentsoftware.com/player-profile/A22608C6-6D99-476C-9EC7-9A31F3CACB0A", "Link")</f>
        <v/>
      </c>
      <c r="E88" s="3" t="n">
        <v>1139.46</v>
      </c>
      <c r="F88" s="4" t="n">
        <v>21</v>
      </c>
      <c r="G88" t="inlineStr">
        <is>
          <t>Tennis Québec</t>
        </is>
      </c>
      <c r="H88" t="inlineStr">
        <is>
          <t>Tennis Ile- des- Soeurs</t>
        </is>
      </c>
      <c r="I88" t="n">
        <v>25.7</v>
      </c>
      <c r="J88" s="4" t="n">
        <v>273</v>
      </c>
      <c r="K88" t="inlineStr">
        <is>
          <t>149 / 124</t>
        </is>
      </c>
      <c r="L88" t="inlineStr">
        <is>
          <t>38 / 23</t>
        </is>
      </c>
      <c r="M88" s="5" t="n">
        <v>0.55</v>
      </c>
      <c r="N88" s="5" t="n">
        <v>0.62</v>
      </c>
    </row>
    <row r="89">
      <c r="A89" t="n">
        <v>88</v>
      </c>
      <c r="B89" t="n">
        <v>2012</v>
      </c>
      <c r="C89" t="inlineStr">
        <is>
          <t>Kate Louise Violet Dee</t>
        </is>
      </c>
      <c r="D89">
        <f>HYPERLINK("https://ota.tournamentsoftware.com/player-profile/807F7468-99D8-4717-B3DF-3F2ED69EFA0A", "Link")</f>
        <v/>
      </c>
      <c r="E89" s="3" t="n">
        <v>1135.533</v>
      </c>
      <c r="F89" s="4" t="n">
        <v>10</v>
      </c>
      <c r="G89" t="inlineStr">
        <is>
          <t>British Columbia</t>
        </is>
      </c>
      <c r="H89" t="inlineStr">
        <is>
          <t>North Vancouver Tennis Centre</t>
        </is>
      </c>
      <c r="I89" t="n">
        <v>25.7</v>
      </c>
      <c r="J89" s="4" t="n">
        <v>244</v>
      </c>
      <c r="K89" t="inlineStr">
        <is>
          <t>136 / 108</t>
        </is>
      </c>
      <c r="L89" t="inlineStr">
        <is>
          <t>14 / 16</t>
        </is>
      </c>
      <c r="M89" s="5" t="n">
        <v>0.5600000000000001</v>
      </c>
      <c r="N89" s="5" t="n">
        <v>0.47</v>
      </c>
    </row>
    <row r="90">
      <c r="A90" t="n">
        <v>89</v>
      </c>
      <c r="B90" t="n">
        <v>2015</v>
      </c>
      <c r="C90" t="inlineStr">
        <is>
          <t>Sofia Tabunshchyk</t>
        </is>
      </c>
      <c r="D90">
        <f>HYPERLINK("https://ota.tournamentsoftware.com/player-profile/3714FE82-9045-425F-937B-7104A43D57F9", "Link")</f>
        <v/>
      </c>
      <c r="E90" s="3" t="n">
        <v>1122.606</v>
      </c>
      <c r="F90" s="4" t="n">
        <v>39</v>
      </c>
      <c r="G90" t="inlineStr">
        <is>
          <t>Ontario Tennis Association</t>
        </is>
      </c>
      <c r="H90" t="inlineStr">
        <is>
          <t>ACE Tennis - Burlington</t>
        </is>
      </c>
      <c r="I90" t="n">
        <v>27.4</v>
      </c>
      <c r="J90" s="4" t="n">
        <v>335</v>
      </c>
      <c r="K90" t="inlineStr">
        <is>
          <t>168 / 167</t>
        </is>
      </c>
      <c r="L90" t="inlineStr">
        <is>
          <t>58 / 31</t>
        </is>
      </c>
      <c r="M90" s="5" t="n">
        <v>0.5</v>
      </c>
      <c r="N90" s="5" t="n">
        <v>0.65</v>
      </c>
    </row>
    <row r="91">
      <c r="A91" t="n">
        <v>90</v>
      </c>
      <c r="B91" t="n">
        <v>2012</v>
      </c>
      <c r="C91" t="inlineStr">
        <is>
          <t>Adrienne Keaton Nelson</t>
        </is>
      </c>
      <c r="D91">
        <f>HYPERLINK("https://ota.tournamentsoftware.com/player-profile/1D977DD3-331D-4977-B4D6-E3202A6C56BD", "Link")</f>
        <v/>
      </c>
      <c r="E91" s="3" t="n">
        <v>1117.411</v>
      </c>
      <c r="F91" s="4" t="n">
        <v>42</v>
      </c>
      <c r="G91" t="inlineStr">
        <is>
          <t>Ontario Tennis Association</t>
        </is>
      </c>
      <c r="H91" t="inlineStr">
        <is>
          <t>Blackmore Tennis Club</t>
        </is>
      </c>
      <c r="I91" t="n">
        <v>26.9</v>
      </c>
      <c r="J91" s="4" t="n">
        <v>236</v>
      </c>
      <c r="K91" t="inlineStr">
        <is>
          <t>114 / 122</t>
        </is>
      </c>
      <c r="L91" t="inlineStr">
        <is>
          <t>28 / 27</t>
        </is>
      </c>
      <c r="M91" s="5" t="n">
        <v>0.48</v>
      </c>
      <c r="N91" s="5" t="n">
        <v>0.51</v>
      </c>
    </row>
    <row r="92">
      <c r="A92" t="n">
        <v>91</v>
      </c>
      <c r="B92" t="n">
        <v>2013</v>
      </c>
      <c r="C92" t="inlineStr">
        <is>
          <t>Cindy Liu</t>
        </is>
      </c>
      <c r="D92">
        <f>HYPERLINK("https://ota.tournamentsoftware.com/player-profile/89018759-835F-4CE0-A297-3449F2A42D00", "Link")</f>
        <v/>
      </c>
      <c r="E92" s="3" t="n">
        <v>1113.273</v>
      </c>
      <c r="F92" s="4" t="n">
        <v>23</v>
      </c>
      <c r="G92" t="inlineStr">
        <is>
          <t>British Columbia</t>
        </is>
      </c>
      <c r="H92" t="inlineStr">
        <is>
          <t>The Tennis Centre</t>
        </is>
      </c>
      <c r="I92" t="n">
        <v>25.5</v>
      </c>
      <c r="J92" s="4" t="n">
        <v>199</v>
      </c>
      <c r="K92" t="inlineStr">
        <is>
          <t>105 / 94</t>
        </is>
      </c>
      <c r="L92" t="inlineStr">
        <is>
          <t>35 / 21</t>
        </is>
      </c>
      <c r="M92" s="5" t="n">
        <v>0.53</v>
      </c>
      <c r="N92" s="5" t="n">
        <v>0.62</v>
      </c>
    </row>
    <row r="93">
      <c r="A93" t="n">
        <v>92</v>
      </c>
      <c r="B93" t="n">
        <v>2012</v>
      </c>
      <c r="C93" t="inlineStr">
        <is>
          <t>Alecia Yahan Liu</t>
        </is>
      </c>
      <c r="D93">
        <f>HYPERLINK("https://ota.tournamentsoftware.com/player-profile/3FBB1729-DE66-45FA-864E-C010DC83E5AD", "Link")</f>
        <v/>
      </c>
      <c r="E93" s="3" t="n">
        <v>1097.866</v>
      </c>
      <c r="F93" s="4" t="n">
        <v>20</v>
      </c>
      <c r="G93" t="inlineStr">
        <is>
          <t>Tennis Alberta</t>
        </is>
      </c>
      <c r="H93" t="inlineStr">
        <is>
          <t>Saville Community Sports Centre</t>
        </is>
      </c>
      <c r="I93" t="n">
        <v>26.2</v>
      </c>
      <c r="J93" s="4" t="n">
        <v>242</v>
      </c>
      <c r="K93" t="inlineStr">
        <is>
          <t>125 / 117</t>
        </is>
      </c>
      <c r="L93" t="inlineStr">
        <is>
          <t>23 / 22</t>
        </is>
      </c>
      <c r="M93" s="5" t="n">
        <v>0.52</v>
      </c>
      <c r="N93" s="5" t="n">
        <v>0.51</v>
      </c>
    </row>
    <row r="94">
      <c r="A94" t="n">
        <v>93</v>
      </c>
      <c r="B94" t="n">
        <v>2013</v>
      </c>
      <c r="C94" t="inlineStr">
        <is>
          <t>Charlotte Ng</t>
        </is>
      </c>
      <c r="D94">
        <f>HYPERLINK("https://ota.tournamentsoftware.com/player-profile/1FAB3C52-8224-4122-A705-ED95AC2AE538", "Link")</f>
        <v/>
      </c>
      <c r="E94" s="3" t="n">
        <v>1096.863</v>
      </c>
      <c r="F94" s="4" t="n">
        <v>28</v>
      </c>
      <c r="G94" t="inlineStr">
        <is>
          <t>Ontario Tennis Association</t>
        </is>
      </c>
      <c r="H94" t="inlineStr">
        <is>
          <t>Blackmore Tennis Club</t>
        </is>
      </c>
      <c r="I94" t="n">
        <v>30.5</v>
      </c>
      <c r="J94" s="4" t="n">
        <v>220</v>
      </c>
      <c r="K94" t="inlineStr">
        <is>
          <t>124 / 96</t>
        </is>
      </c>
      <c r="L94" t="inlineStr">
        <is>
          <t>33 / 22</t>
        </is>
      </c>
      <c r="M94" s="5" t="n">
        <v>0.5600000000000001</v>
      </c>
      <c r="N94" s="5" t="n">
        <v>0.6</v>
      </c>
    </row>
    <row r="95">
      <c r="A95" t="n">
        <v>94</v>
      </c>
      <c r="B95" t="n">
        <v>2012</v>
      </c>
      <c r="C95" t="inlineStr">
        <is>
          <t>Emilia Klimek</t>
        </is>
      </c>
      <c r="D95">
        <f>HYPERLINK("https://ota.tournamentsoftware.com/player-profile/B65F75BD-7091-433B-817C-EC3472CCA6E3", "Link")</f>
        <v/>
      </c>
      <c r="E95" s="3" t="n">
        <v>1074.821</v>
      </c>
      <c r="F95" s="4" t="n">
        <v>18</v>
      </c>
      <c r="G95" t="inlineStr">
        <is>
          <t>British Columbia</t>
        </is>
      </c>
      <c r="H95" t="inlineStr">
        <is>
          <t>No Club</t>
        </is>
      </c>
      <c r="I95" t="n">
        <v>25.9</v>
      </c>
      <c r="J95" s="4" t="n">
        <v>223</v>
      </c>
      <c r="K95" t="inlineStr">
        <is>
          <t>119 / 104</t>
        </is>
      </c>
      <c r="L95" t="inlineStr">
        <is>
          <t>31 / 19</t>
        </is>
      </c>
      <c r="M95" s="5" t="n">
        <v>0.53</v>
      </c>
      <c r="N95" s="5" t="n">
        <v>0.62</v>
      </c>
    </row>
    <row r="96">
      <c r="A96" t="n">
        <v>95</v>
      </c>
      <c r="B96" t="n">
        <v>2013</v>
      </c>
      <c r="C96" t="inlineStr">
        <is>
          <t>Sophia Gettle</t>
        </is>
      </c>
      <c r="D96">
        <f>HYPERLINK("https://ota.tournamentsoftware.com/player-profile/5CC0A57F-C369-42D6-B845-B30A38F24F56", "Link")</f>
        <v/>
      </c>
      <c r="E96" s="3" t="n">
        <v>1060.252</v>
      </c>
      <c r="F96" s="4" t="n">
        <v>12</v>
      </c>
      <c r="G96" t="inlineStr">
        <is>
          <t>Tennis Saskatchewan</t>
        </is>
      </c>
      <c r="H96" t="inlineStr">
        <is>
          <t>Lakeshore Tennis Club</t>
        </is>
      </c>
      <c r="I96" t="inlineStr">
        <is>
          <t>unavailable</t>
        </is>
      </c>
      <c r="J96" s="4" t="n">
        <v>209</v>
      </c>
      <c r="K96" t="inlineStr">
        <is>
          <t>92 / 117</t>
        </is>
      </c>
      <c r="L96" t="inlineStr">
        <is>
          <t>23 / 31</t>
        </is>
      </c>
      <c r="M96" s="5" t="n">
        <v>0.44</v>
      </c>
      <c r="N96" s="5" t="n">
        <v>0.43</v>
      </c>
    </row>
    <row r="97">
      <c r="A97" t="n">
        <v>96</v>
      </c>
      <c r="B97" t="n">
        <v>2012</v>
      </c>
      <c r="C97" t="inlineStr">
        <is>
          <t>Laura Patsynka</t>
        </is>
      </c>
      <c r="D97">
        <f>HYPERLINK("https://ota.tournamentsoftware.com/player-profile/49340E93-6E30-4683-9E0F-4D50A1C584F1", "Link")</f>
        <v/>
      </c>
      <c r="E97" s="3" t="n">
        <v>1060.104</v>
      </c>
      <c r="F97" s="4" t="n">
        <v>27</v>
      </c>
      <c r="G97" t="inlineStr">
        <is>
          <t>Ontario Tennis Association</t>
        </is>
      </c>
      <c r="H97" t="inlineStr">
        <is>
          <t>SmartVMC Racquetsports by ACE</t>
        </is>
      </c>
      <c r="I97" t="inlineStr">
        <is>
          <t>unavailable</t>
        </is>
      </c>
      <c r="J97" s="4" t="n">
        <v>205</v>
      </c>
      <c r="K97" t="inlineStr">
        <is>
          <t>81 / 124</t>
        </is>
      </c>
      <c r="L97" t="inlineStr">
        <is>
          <t>12 / 25</t>
        </is>
      </c>
      <c r="M97" s="5" t="n">
        <v>0.4</v>
      </c>
      <c r="N97" s="5" t="n">
        <v>0.32</v>
      </c>
    </row>
    <row r="98">
      <c r="A98" t="n">
        <v>97</v>
      </c>
      <c r="B98" t="n">
        <v>2014</v>
      </c>
      <c r="C98" t="inlineStr">
        <is>
          <t>Victoria Markova</t>
        </is>
      </c>
      <c r="D98">
        <f>HYPERLINK("https://ota.tournamentsoftware.com/player-profile/DE909631-ADF4-4157-ABE4-0097B95C4307", "Link")</f>
        <v/>
      </c>
      <c r="E98" s="3" t="n">
        <v>1059.342</v>
      </c>
      <c r="F98" s="4" t="n">
        <v>25</v>
      </c>
      <c r="G98" t="inlineStr">
        <is>
          <t>Tennis Québec</t>
        </is>
      </c>
      <c r="H98" t="inlineStr">
        <is>
          <t>Carrefour Multisports</t>
        </is>
      </c>
      <c r="I98" t="n">
        <v>28.9</v>
      </c>
      <c r="J98" s="4" t="n">
        <v>243</v>
      </c>
      <c r="K98" t="inlineStr">
        <is>
          <t>133 / 110</t>
        </is>
      </c>
      <c r="L98" t="inlineStr">
        <is>
          <t>45 / 30</t>
        </is>
      </c>
      <c r="M98" s="5" t="n">
        <v>0.55</v>
      </c>
      <c r="N98" s="5" t="n">
        <v>0.6</v>
      </c>
    </row>
    <row r="99">
      <c r="A99" t="n">
        <v>98</v>
      </c>
      <c r="B99" t="n">
        <v>2013</v>
      </c>
      <c r="C99" t="inlineStr">
        <is>
          <t>Natalia Sena</t>
        </is>
      </c>
      <c r="D99">
        <f>HYPERLINK("https://ota.tournamentsoftware.com/player-profile/D89592D5-D2EA-499E-9A9C-8B20B391C761", "Link")</f>
        <v/>
      </c>
      <c r="E99" s="3" t="n">
        <v>1054.437</v>
      </c>
      <c r="F99" s="4" t="n">
        <v>30</v>
      </c>
      <c r="G99" t="inlineStr">
        <is>
          <t>Tennis Québec</t>
        </is>
      </c>
      <c r="H99" t="inlineStr">
        <is>
          <t>No Club</t>
        </is>
      </c>
      <c r="I99" t="n">
        <v>28.4</v>
      </c>
      <c r="J99" s="4" t="n">
        <v>99</v>
      </c>
      <c r="K99" t="inlineStr">
        <is>
          <t>52 / 47</t>
        </is>
      </c>
      <c r="L99" t="inlineStr">
        <is>
          <t>33 / 18</t>
        </is>
      </c>
      <c r="M99" s="5" t="n">
        <v>0.53</v>
      </c>
      <c r="N99" s="5" t="n">
        <v>0.65</v>
      </c>
    </row>
    <row r="100">
      <c r="A100" t="n">
        <v>99</v>
      </c>
      <c r="B100" t="n">
        <v>2014</v>
      </c>
      <c r="C100" t="inlineStr">
        <is>
          <t>JOANNA QIHENG FEI</t>
        </is>
      </c>
      <c r="D100">
        <f>HYPERLINK("https://ota.tournamentsoftware.com/player-profile/1DD48A17-96B6-42F9-8D67-EE4CBF6DFA95", "Link")</f>
        <v/>
      </c>
      <c r="E100" s="3" t="n">
        <v>1051.658</v>
      </c>
      <c r="F100" s="4" t="n">
        <v>18</v>
      </c>
      <c r="G100" t="inlineStr">
        <is>
          <t>British Columbia</t>
        </is>
      </c>
      <c r="H100" t="inlineStr">
        <is>
          <t>Richmond Country Club</t>
        </is>
      </c>
      <c r="I100" t="n">
        <v>25.9</v>
      </c>
      <c r="J100" s="4" t="n">
        <v>271</v>
      </c>
      <c r="K100" t="inlineStr">
        <is>
          <t>135 / 136</t>
        </is>
      </c>
      <c r="L100" t="inlineStr">
        <is>
          <t>42 / 20</t>
        </is>
      </c>
      <c r="M100" s="5" t="n">
        <v>0.5</v>
      </c>
      <c r="N100" s="5" t="n">
        <v>0.68</v>
      </c>
    </row>
    <row r="101">
      <c r="A101" t="n">
        <v>100</v>
      </c>
      <c r="B101" t="n">
        <v>2012</v>
      </c>
      <c r="C101" t="inlineStr">
        <is>
          <t>Margarita Ter-Grigoryan</t>
        </is>
      </c>
      <c r="D101">
        <f>HYPERLINK("https://ota.tournamentsoftware.com/player-profile/A86B3E87-30AA-4D57-86CF-572CF663421E", "Link")</f>
        <v/>
      </c>
      <c r="E101" s="3" t="n">
        <v>1020.42</v>
      </c>
      <c r="F101" s="4" t="n">
        <v>13</v>
      </c>
      <c r="G101" t="inlineStr">
        <is>
          <t>Tennis Saskatchewan</t>
        </is>
      </c>
      <c r="H101" t="inlineStr">
        <is>
          <t>No Club</t>
        </is>
      </c>
      <c r="I101" t="n">
        <v>29.9</v>
      </c>
      <c r="J101" s="4" t="n">
        <v>130</v>
      </c>
      <c r="K101" t="inlineStr">
        <is>
          <t>70 / 60</t>
        </is>
      </c>
      <c r="L101" t="inlineStr">
        <is>
          <t>30 / 30</t>
        </is>
      </c>
      <c r="M101" s="5" t="n">
        <v>0.54</v>
      </c>
      <c r="N101" s="5" t="n">
        <v>0.5</v>
      </c>
    </row>
    <row r="102">
      <c r="A102" t="n">
        <v>101</v>
      </c>
      <c r="B102" t="n">
        <v>2013</v>
      </c>
      <c r="C102" t="inlineStr">
        <is>
          <t>Amelia Karapalevski</t>
        </is>
      </c>
      <c r="D102">
        <f>HYPERLINK("https://ota.tournamentsoftware.com/player-profile/FA2D2790-6EBD-4928-94F7-17F54621E2B4", "Link")</f>
        <v/>
      </c>
      <c r="E102" s="3" t="n">
        <v>1010.258</v>
      </c>
      <c r="F102" s="4" t="n">
        <v>32</v>
      </c>
      <c r="G102" t="inlineStr">
        <is>
          <t>Ontario Tennis Association</t>
        </is>
      </c>
      <c r="H102" t="inlineStr">
        <is>
          <t>SmartVMC Racquetsports by ACE</t>
        </is>
      </c>
      <c r="I102" t="n">
        <v>27.6</v>
      </c>
      <c r="J102" s="4" t="n">
        <v>227</v>
      </c>
      <c r="K102" t="inlineStr">
        <is>
          <t>131 / 96</t>
        </is>
      </c>
      <c r="L102" t="inlineStr">
        <is>
          <t>37 / 25</t>
        </is>
      </c>
      <c r="M102" s="5" t="n">
        <v>0.58</v>
      </c>
      <c r="N102" s="5" t="n">
        <v>0.6</v>
      </c>
    </row>
    <row r="103">
      <c r="A103" t="n">
        <v>102</v>
      </c>
      <c r="B103" t="n">
        <v>2013</v>
      </c>
      <c r="C103" t="inlineStr">
        <is>
          <t>Jeanne Lampron</t>
        </is>
      </c>
      <c r="D103">
        <f>HYPERLINK("https://ota.tournamentsoftware.com/player-profile/DBA36429-C15E-4F24-9832-7D6BA94887C6", "Link")</f>
        <v/>
      </c>
      <c r="E103" s="3" t="n">
        <v>1005.792</v>
      </c>
      <c r="F103" s="4" t="n">
        <v>24</v>
      </c>
      <c r="G103" t="inlineStr">
        <is>
          <t>Tennis Québec</t>
        </is>
      </c>
      <c r="H103" t="inlineStr">
        <is>
          <t>Tennis Montréal Excellence</t>
        </is>
      </c>
      <c r="I103" t="n">
        <v>25.9</v>
      </c>
      <c r="J103" s="4" t="n">
        <v>141</v>
      </c>
      <c r="K103" t="inlineStr">
        <is>
          <t>67 / 74</t>
        </is>
      </c>
      <c r="L103" t="inlineStr">
        <is>
          <t>32 / 27</t>
        </is>
      </c>
      <c r="M103" s="5" t="n">
        <v>0.48</v>
      </c>
      <c r="N103" s="5" t="n">
        <v>0.54</v>
      </c>
    </row>
    <row r="104">
      <c r="A104" t="n">
        <v>103</v>
      </c>
      <c r="B104" t="n">
        <v>2012</v>
      </c>
      <c r="C104" t="inlineStr">
        <is>
          <t>Estelle Kroupetski</t>
        </is>
      </c>
      <c r="D104">
        <f>HYPERLINK("https://ota.tournamentsoftware.com/player-profile/7A8D0D40-A77C-429C-81D6-05DC21DB8D28", "Link")</f>
        <v/>
      </c>
      <c r="E104" s="3" t="n">
        <v>982.264</v>
      </c>
      <c r="F104" s="4" t="n">
        <v>20</v>
      </c>
      <c r="G104" t="inlineStr">
        <is>
          <t>Ontario Tennis Association</t>
        </is>
      </c>
      <c r="H104" t="inlineStr">
        <is>
          <t>Ontario Racquet Club</t>
        </is>
      </c>
      <c r="I104" t="n">
        <v>27.2</v>
      </c>
      <c r="J104" s="4" t="n">
        <v>151</v>
      </c>
      <c r="K104" t="inlineStr">
        <is>
          <t>77 / 74</t>
        </is>
      </c>
      <c r="L104" t="inlineStr">
        <is>
          <t>33 / 12</t>
        </is>
      </c>
      <c r="M104" s="5" t="n">
        <v>0.51</v>
      </c>
      <c r="N104" s="5" t="n">
        <v>0.73</v>
      </c>
    </row>
    <row r="105">
      <c r="A105" t="n">
        <v>104</v>
      </c>
      <c r="B105" t="n">
        <v>2013</v>
      </c>
      <c r="C105" t="inlineStr">
        <is>
          <t>Aubrianna Ellen York</t>
        </is>
      </c>
      <c r="D105">
        <f>HYPERLINK("https://ota.tournamentsoftware.com/player-profile/FDFD6FEF-AD8B-4B1E-ADE3-15417E1BCF05", "Link")</f>
        <v/>
      </c>
      <c r="E105" s="3" t="n">
        <v>970.944</v>
      </c>
      <c r="F105" s="4" t="n">
        <v>18</v>
      </c>
      <c r="G105" t="inlineStr">
        <is>
          <t>Tennis Alberta</t>
        </is>
      </c>
      <c r="H105" t="inlineStr">
        <is>
          <t>Aforza</t>
        </is>
      </c>
      <c r="I105" t="n">
        <v>27.1</v>
      </c>
      <c r="J105" s="4" t="n">
        <v>218</v>
      </c>
      <c r="K105" t="inlineStr">
        <is>
          <t>116 / 102</t>
        </is>
      </c>
      <c r="L105" t="inlineStr">
        <is>
          <t>31 / 20</t>
        </is>
      </c>
      <c r="M105" s="5" t="n">
        <v>0.53</v>
      </c>
      <c r="N105" s="5" t="n">
        <v>0.61</v>
      </c>
    </row>
    <row r="106">
      <c r="A106" t="n">
        <v>105</v>
      </c>
      <c r="B106" t="n">
        <v>2014</v>
      </c>
      <c r="C106" t="inlineStr">
        <is>
          <t>Qiuyue Li</t>
        </is>
      </c>
      <c r="D106">
        <f>HYPERLINK("https://ota.tournamentsoftware.com/player-profile/20DDEF60-3700-4387-8C53-C32DB7F857D4", "Link")</f>
        <v/>
      </c>
      <c r="E106" s="3" t="n">
        <v>961.8</v>
      </c>
      <c r="F106" s="4" t="n">
        <v>5</v>
      </c>
      <c r="G106" t="inlineStr">
        <is>
          <t>Ontario Tennis Association</t>
        </is>
      </c>
      <c r="H106" t="inlineStr">
        <is>
          <t>No Club</t>
        </is>
      </c>
      <c r="I106" t="n">
        <v>26.6</v>
      </c>
      <c r="J106" s="4" t="n">
        <v>26</v>
      </c>
      <c r="K106" t="inlineStr">
        <is>
          <t>24 / 2</t>
        </is>
      </c>
      <c r="L106" t="inlineStr">
        <is>
          <t>14 / 1</t>
        </is>
      </c>
      <c r="M106" s="5" t="n">
        <v>0.92</v>
      </c>
      <c r="N106" s="5" t="n">
        <v>0.93</v>
      </c>
    </row>
    <row r="107">
      <c r="A107" t="n">
        <v>106</v>
      </c>
      <c r="B107" t="n">
        <v>2012</v>
      </c>
      <c r="C107" t="inlineStr">
        <is>
          <t>Chloe Lou Friesen</t>
        </is>
      </c>
      <c r="D107">
        <f>HYPERLINK("https://ota.tournamentsoftware.com/player-profile/A0A11672-F1E8-4BD3-A43A-BB82984EDDA5", "Link")</f>
        <v/>
      </c>
      <c r="E107" s="3" t="n">
        <v>959.691</v>
      </c>
      <c r="F107" s="4" t="n">
        <v>17</v>
      </c>
      <c r="G107" t="inlineStr">
        <is>
          <t>British Columbia</t>
        </is>
      </c>
      <c r="H107" t="inlineStr">
        <is>
          <t>Vancouver Lawn Tennis and Badminton Club</t>
        </is>
      </c>
      <c r="I107" t="n">
        <v>25.7</v>
      </c>
      <c r="J107" s="4" t="n">
        <v>239</v>
      </c>
      <c r="K107" t="inlineStr">
        <is>
          <t>131 / 108</t>
        </is>
      </c>
      <c r="L107" t="inlineStr">
        <is>
          <t>26 / 18</t>
        </is>
      </c>
      <c r="M107" s="5" t="n">
        <v>0.55</v>
      </c>
      <c r="N107" s="5" t="n">
        <v>0.59</v>
      </c>
    </row>
    <row r="108">
      <c r="A108" t="n">
        <v>107</v>
      </c>
      <c r="B108" t="n">
        <v>2015</v>
      </c>
      <c r="C108" t="inlineStr">
        <is>
          <t>Evelyn J.C. Liu</t>
        </is>
      </c>
      <c r="D108">
        <f>HYPERLINK("https://ota.tournamentsoftware.com/player-profile/193F9EEB-1528-48A2-A0D8-C6448E62254A", "Link")</f>
        <v/>
      </c>
      <c r="E108" s="3" t="n">
        <v>945.349</v>
      </c>
      <c r="F108" s="4" t="n">
        <v>17</v>
      </c>
      <c r="G108" t="inlineStr">
        <is>
          <t>British Columbia</t>
        </is>
      </c>
      <c r="H108" t="inlineStr">
        <is>
          <t>Vancouver Lawn Tennis and Badminton Club</t>
        </is>
      </c>
      <c r="I108" t="n">
        <v>27</v>
      </c>
      <c r="J108" s="4" t="n">
        <v>273</v>
      </c>
      <c r="K108" t="inlineStr">
        <is>
          <t>152 / 121</t>
        </is>
      </c>
      <c r="L108" t="inlineStr">
        <is>
          <t>41 / 24</t>
        </is>
      </c>
      <c r="M108" s="5" t="n">
        <v>0.5600000000000001</v>
      </c>
      <c r="N108" s="5" t="n">
        <v>0.63</v>
      </c>
    </row>
    <row r="109">
      <c r="A109" t="n">
        <v>108</v>
      </c>
      <c r="B109" t="n">
        <v>2015</v>
      </c>
      <c r="C109" t="inlineStr">
        <is>
          <t>Aahana Guha</t>
        </is>
      </c>
      <c r="D109">
        <f>HYPERLINK("https://ota.tournamentsoftware.com/player-profile/B6BFAEC0-924F-4635-B45C-E700061D4B03", "Link")</f>
        <v/>
      </c>
      <c r="E109" s="3" t="n">
        <v>944.747</v>
      </c>
      <c r="F109" s="4" t="n">
        <v>11</v>
      </c>
      <c r="G109" t="inlineStr">
        <is>
          <t>Tennis Saskatchewan</t>
        </is>
      </c>
      <c r="H109" t="inlineStr">
        <is>
          <t>Lakeshore Tennis Club</t>
        </is>
      </c>
      <c r="I109" t="n">
        <v>30.8</v>
      </c>
      <c r="J109" s="4" t="n">
        <v>171</v>
      </c>
      <c r="K109" t="inlineStr">
        <is>
          <t>90 / 81</t>
        </is>
      </c>
      <c r="L109" t="inlineStr">
        <is>
          <t>34 / 23</t>
        </is>
      </c>
      <c r="M109" s="5" t="n">
        <v>0.53</v>
      </c>
      <c r="N109" s="5" t="n">
        <v>0.6</v>
      </c>
    </row>
    <row r="110">
      <c r="A110" t="n">
        <v>109</v>
      </c>
      <c r="B110" t="n">
        <v>2012</v>
      </c>
      <c r="C110" t="inlineStr">
        <is>
          <t>Emma Abdou</t>
        </is>
      </c>
      <c r="D110">
        <f>HYPERLINK("https://ota.tournamentsoftware.com/player-profile/FD6387AB-774D-491E-8A68-CE4DD20FAEF7", "Link")</f>
        <v/>
      </c>
      <c r="E110" s="3" t="n">
        <v>933.24</v>
      </c>
      <c r="F110" s="4" t="n">
        <v>35</v>
      </c>
      <c r="G110" t="inlineStr">
        <is>
          <t>Ontario Tennis Association</t>
        </is>
      </c>
      <c r="H110" t="inlineStr">
        <is>
          <t>Granite Club</t>
        </is>
      </c>
      <c r="I110" t="n">
        <v>30.1</v>
      </c>
      <c r="J110" s="4" t="n">
        <v>220</v>
      </c>
      <c r="K110" t="inlineStr">
        <is>
          <t>103 / 117</t>
        </is>
      </c>
      <c r="L110" t="inlineStr">
        <is>
          <t>35 / 34</t>
        </is>
      </c>
      <c r="M110" s="5" t="n">
        <v>0.47</v>
      </c>
      <c r="N110" s="5" t="n">
        <v>0.51</v>
      </c>
    </row>
    <row r="111">
      <c r="A111" t="n">
        <v>110</v>
      </c>
      <c r="B111" t="n">
        <v>2013</v>
      </c>
      <c r="C111" t="inlineStr">
        <is>
          <t>Akshara Bavanaka</t>
        </is>
      </c>
      <c r="D111">
        <f>HYPERLINK("https://ota.tournamentsoftware.com/player-profile/DB56F65D-8A18-4169-BE31-18F89B25E14B", "Link")</f>
        <v/>
      </c>
      <c r="E111" s="3" t="n">
        <v>923.843</v>
      </c>
      <c r="F111" s="4" t="n">
        <v>36</v>
      </c>
      <c r="G111" t="inlineStr">
        <is>
          <t>Ontario Tennis Association</t>
        </is>
      </c>
      <c r="H111" t="inlineStr">
        <is>
          <t>Advantage Tennis International at Veneto</t>
        </is>
      </c>
      <c r="I111" t="n">
        <v>30.3</v>
      </c>
      <c r="J111" s="4" t="n">
        <v>241</v>
      </c>
      <c r="K111" t="inlineStr">
        <is>
          <t>123 / 118</t>
        </is>
      </c>
      <c r="L111" t="inlineStr">
        <is>
          <t>22 / 27</t>
        </is>
      </c>
      <c r="M111" s="5" t="n">
        <v>0.51</v>
      </c>
      <c r="N111" s="5" t="n">
        <v>0.45</v>
      </c>
    </row>
    <row r="112">
      <c r="A112" t="n">
        <v>111</v>
      </c>
      <c r="B112" t="n">
        <v>2014</v>
      </c>
      <c r="C112" t="inlineStr">
        <is>
          <t>Nyah Morgan</t>
        </is>
      </c>
      <c r="D112">
        <f>HYPERLINK("https://ota.tournamentsoftware.com/player-profile/D9CA028A-3366-4954-9B65-F9840B84F93D", "Link")</f>
        <v/>
      </c>
      <c r="E112" s="3" t="n">
        <v>920.136</v>
      </c>
      <c r="F112" s="4" t="n">
        <v>23</v>
      </c>
      <c r="G112" t="inlineStr">
        <is>
          <t>Ontario Tennis Association</t>
        </is>
      </c>
      <c r="H112" t="inlineStr">
        <is>
          <t>Premier Racquet Clubs – Mississauga</t>
        </is>
      </c>
      <c r="I112" t="n">
        <v>28</v>
      </c>
      <c r="J112" s="4" t="n">
        <v>214</v>
      </c>
      <c r="K112" t="inlineStr">
        <is>
          <t>138 / 76</t>
        </is>
      </c>
      <c r="L112" t="inlineStr">
        <is>
          <t>36 / 20</t>
        </is>
      </c>
      <c r="M112" s="5" t="n">
        <v>0.64</v>
      </c>
      <c r="N112" s="5" t="n">
        <v>0.64</v>
      </c>
    </row>
    <row r="113">
      <c r="A113" t="n">
        <v>112</v>
      </c>
      <c r="B113" t="n">
        <v>2013</v>
      </c>
      <c r="C113" t="inlineStr">
        <is>
          <t>Mia Nikolovska</t>
        </is>
      </c>
      <c r="D113">
        <f>HYPERLINK("https://ota.tournamentsoftware.com/player-profile/52158395-8ADB-4430-ABAA-C56A79756D09", "Link")</f>
        <v/>
      </c>
      <c r="E113" s="3" t="n">
        <v>894.76</v>
      </c>
      <c r="F113" s="4" t="n">
        <v>32</v>
      </c>
      <c r="G113" t="inlineStr">
        <is>
          <t>Ontario Tennis Association</t>
        </is>
      </c>
      <c r="H113" t="inlineStr">
        <is>
          <t>No Club</t>
        </is>
      </c>
      <c r="I113" t="inlineStr">
        <is>
          <t>unavailable</t>
        </is>
      </c>
      <c r="J113" s="4" t="n">
        <v>366</v>
      </c>
      <c r="K113" t="inlineStr">
        <is>
          <t>223 / 143</t>
        </is>
      </c>
      <c r="L113" t="inlineStr">
        <is>
          <t>33 / 22</t>
        </is>
      </c>
      <c r="M113" s="5" t="n">
        <v>0.61</v>
      </c>
      <c r="N113" s="5" t="n">
        <v>0.6</v>
      </c>
    </row>
    <row r="114">
      <c r="A114" t="n">
        <v>113</v>
      </c>
      <c r="B114" t="n">
        <v>2015</v>
      </c>
      <c r="C114" t="inlineStr">
        <is>
          <t>Emilie Joly</t>
        </is>
      </c>
      <c r="D114">
        <f>HYPERLINK("https://ota.tournamentsoftware.com/player-profile/57736008-B9CA-4FCE-BEF6-90222787F336", "Link")</f>
        <v/>
      </c>
      <c r="E114" s="3" t="n">
        <v>865.3150000000001</v>
      </c>
      <c r="F114" s="4" t="n">
        <v>15</v>
      </c>
      <c r="G114" t="inlineStr">
        <is>
          <t>Ontario Tennis Association</t>
        </is>
      </c>
      <c r="H114" t="inlineStr">
        <is>
          <t>Kingston Racquet Centre</t>
        </is>
      </c>
      <c r="I114" t="n">
        <v>27.5</v>
      </c>
      <c r="J114" s="4" t="n">
        <v>224</v>
      </c>
      <c r="K114" t="inlineStr">
        <is>
          <t>156 / 68</t>
        </is>
      </c>
      <c r="L114" t="inlineStr">
        <is>
          <t>33 / 8</t>
        </is>
      </c>
      <c r="M114" s="5" t="n">
        <v>0.7</v>
      </c>
      <c r="N114" s="5" t="n">
        <v>0.8</v>
      </c>
    </row>
    <row r="115">
      <c r="A115" t="n">
        <v>114</v>
      </c>
      <c r="B115" t="n">
        <v>2012</v>
      </c>
      <c r="C115" t="inlineStr">
        <is>
          <t>Jaydalie Isaac</t>
        </is>
      </c>
      <c r="D115">
        <f>HYPERLINK("https://ota.tournamentsoftware.com/player-profile/A56DDC7B-03D0-424A-907D-63A363906F9A", "Link")</f>
        <v/>
      </c>
      <c r="E115" s="3" t="n">
        <v>851.111</v>
      </c>
      <c r="F115" s="4" t="n">
        <v>13</v>
      </c>
      <c r="G115" t="inlineStr">
        <is>
          <t>Tennis Québec</t>
        </is>
      </c>
      <c r="H115" t="inlineStr">
        <is>
          <t>No Club</t>
        </is>
      </c>
      <c r="I115" t="n">
        <v>27.9</v>
      </c>
      <c r="J115" s="4" t="n">
        <v>235</v>
      </c>
      <c r="K115" t="inlineStr">
        <is>
          <t>111 / 124</t>
        </is>
      </c>
      <c r="L115" t="inlineStr">
        <is>
          <t>21 / 12</t>
        </is>
      </c>
      <c r="M115" s="5" t="n">
        <v>0.47</v>
      </c>
      <c r="N115" s="5" t="n">
        <v>0.64</v>
      </c>
    </row>
    <row r="116">
      <c r="A116" t="n">
        <v>115</v>
      </c>
      <c r="B116" t="n">
        <v>2014</v>
      </c>
      <c r="C116" t="inlineStr">
        <is>
          <t>Thanida (Belle) Shaipanich</t>
        </is>
      </c>
      <c r="D116">
        <f>HYPERLINK("https://ota.tournamentsoftware.com/player-profile/98546C72-5CCA-44E8-AFB9-20B9D560E5E3", "Link")</f>
        <v/>
      </c>
      <c r="E116" s="3" t="n">
        <v>835.515</v>
      </c>
      <c r="F116" s="4" t="n">
        <v>13</v>
      </c>
      <c r="G116" t="inlineStr">
        <is>
          <t>British Columbia</t>
        </is>
      </c>
      <c r="H116" t="inlineStr">
        <is>
          <t>UBC Tennis Centre</t>
        </is>
      </c>
      <c r="I116" t="n">
        <v>27.6</v>
      </c>
      <c r="J116" s="4" t="n">
        <v>206</v>
      </c>
      <c r="K116" t="inlineStr">
        <is>
          <t>148 / 58</t>
        </is>
      </c>
      <c r="L116" t="inlineStr">
        <is>
          <t>31 / 21</t>
        </is>
      </c>
      <c r="M116" s="5" t="n">
        <v>0.72</v>
      </c>
      <c r="N116" s="5" t="n">
        <v>0.6</v>
      </c>
    </row>
    <row r="117">
      <c r="A117" t="n">
        <v>116</v>
      </c>
      <c r="B117" t="n">
        <v>2012</v>
      </c>
      <c r="C117" t="inlineStr">
        <is>
          <t>Zenaida May Kolesnikov</t>
        </is>
      </c>
      <c r="D117">
        <f>HYPERLINK("https://ota.tournamentsoftware.com/player-profile/0D20CA06-CC79-483F-87DD-AD6F5FC76972", "Link")</f>
        <v/>
      </c>
      <c r="E117" s="3" t="n">
        <v>834.88</v>
      </c>
      <c r="F117" s="4" t="n">
        <v>5</v>
      </c>
      <c r="G117" t="inlineStr">
        <is>
          <t>Ontario Tennis Association</t>
        </is>
      </c>
      <c r="H117" t="inlineStr">
        <is>
          <t>Kew Gardens Tennis Club</t>
        </is>
      </c>
      <c r="I117" t="n">
        <v>24.2</v>
      </c>
      <c r="J117" s="4" t="n">
        <v>87</v>
      </c>
      <c r="K117" t="inlineStr">
        <is>
          <t>67 / 20</t>
        </is>
      </c>
      <c r="L117" t="inlineStr">
        <is>
          <t>13 / 3</t>
        </is>
      </c>
      <c r="M117" s="5" t="n">
        <v>0.77</v>
      </c>
      <c r="N117" s="5" t="n">
        <v>0.8100000000000001</v>
      </c>
    </row>
    <row r="118">
      <c r="A118" t="n">
        <v>117</v>
      </c>
      <c r="B118" t="n">
        <v>2014</v>
      </c>
      <c r="C118" t="inlineStr">
        <is>
          <t>Edwina Ed Xue</t>
        </is>
      </c>
      <c r="D118">
        <f>HYPERLINK("https://ota.tournamentsoftware.com/player-profile/16F3FDF7-F098-4A63-9D5F-87B196D248B5", "Link")</f>
        <v/>
      </c>
      <c r="E118" s="3" t="n">
        <v>821.777</v>
      </c>
      <c r="F118" s="4" t="n">
        <v>18</v>
      </c>
      <c r="G118" t="inlineStr">
        <is>
          <t>Ontario Tennis Association</t>
        </is>
      </c>
      <c r="H118" t="inlineStr">
        <is>
          <t>Granite Club</t>
        </is>
      </c>
      <c r="I118" t="n">
        <v>28.5</v>
      </c>
      <c r="J118" s="4" t="n">
        <v>288</v>
      </c>
      <c r="K118" t="inlineStr">
        <is>
          <t>169 / 119</t>
        </is>
      </c>
      <c r="L118" t="inlineStr">
        <is>
          <t>29 / 23</t>
        </is>
      </c>
      <c r="M118" s="5" t="n">
        <v>0.59</v>
      </c>
      <c r="N118" s="5" t="n">
        <v>0.5600000000000001</v>
      </c>
    </row>
    <row r="119">
      <c r="A119" t="n">
        <v>118</v>
      </c>
      <c r="B119" t="n">
        <v>2015</v>
      </c>
      <c r="C119" t="inlineStr">
        <is>
          <t>Olivia Lu</t>
        </is>
      </c>
      <c r="D119">
        <f>HYPERLINK("https://ota.tournamentsoftware.com/player-profile/807CAE71-A1FD-4ED2-952F-E0EDBF0E66E6", "Link")</f>
        <v/>
      </c>
      <c r="E119" s="3" t="n">
        <v>814.568</v>
      </c>
      <c r="F119" s="4" t="n">
        <v>21</v>
      </c>
      <c r="G119" t="inlineStr">
        <is>
          <t>Ontario Tennis Association</t>
        </is>
      </c>
      <c r="H119" t="inlineStr">
        <is>
          <t>Advantage Tennis International at Veneto</t>
        </is>
      </c>
      <c r="I119" t="n">
        <v>30.8</v>
      </c>
      <c r="J119" s="4" t="n">
        <v>165</v>
      </c>
      <c r="K119" t="inlineStr">
        <is>
          <t>95 / 70</t>
        </is>
      </c>
      <c r="L119" t="inlineStr">
        <is>
          <t>28 / 18</t>
        </is>
      </c>
      <c r="M119" s="5" t="n">
        <v>0.58</v>
      </c>
      <c r="N119" s="5" t="n">
        <v>0.61</v>
      </c>
    </row>
    <row r="120">
      <c r="A120" t="n">
        <v>119</v>
      </c>
      <c r="B120" t="n">
        <v>2014</v>
      </c>
      <c r="C120" t="inlineStr">
        <is>
          <t>Fengfei ZHANG</t>
        </is>
      </c>
      <c r="D120">
        <f>HYPERLINK("https://ota.tournamentsoftware.com/player-profile/AB18AFB2-DEDF-42AF-BFB1-458553AF250C", "Link")</f>
        <v/>
      </c>
      <c r="E120" s="3" t="n">
        <v>806.838</v>
      </c>
      <c r="F120" s="4" t="n">
        <v>30</v>
      </c>
      <c r="G120" t="inlineStr">
        <is>
          <t>Tennis Québec</t>
        </is>
      </c>
      <c r="H120" t="inlineStr">
        <is>
          <t>Tennis Ile- des- Soeurs</t>
        </is>
      </c>
      <c r="I120" t="n">
        <v>28.5</v>
      </c>
      <c r="J120" s="4" t="n">
        <v>248</v>
      </c>
      <c r="K120" t="inlineStr">
        <is>
          <t>113 / 135</t>
        </is>
      </c>
      <c r="L120" t="inlineStr">
        <is>
          <t>44 / 35</t>
        </is>
      </c>
      <c r="M120" s="5" t="n">
        <v>0.46</v>
      </c>
      <c r="N120" s="5" t="n">
        <v>0.5600000000000001</v>
      </c>
    </row>
    <row r="121">
      <c r="A121" t="n">
        <v>120</v>
      </c>
      <c r="B121" t="n">
        <v>2012</v>
      </c>
      <c r="C121" t="inlineStr">
        <is>
          <t>Penelope Brandt</t>
        </is>
      </c>
      <c r="D121">
        <f>HYPERLINK("https://ota.tournamentsoftware.com/player-profile/AA2E46A9-EC33-4492-A527-0C8E0CA405B0", "Link")</f>
        <v/>
      </c>
      <c r="E121" s="3" t="n">
        <v>793.876</v>
      </c>
      <c r="F121" s="4" t="n">
        <v>24</v>
      </c>
      <c r="G121" t="inlineStr">
        <is>
          <t>Tennis Québec</t>
        </is>
      </c>
      <c r="H121" t="inlineStr">
        <is>
          <t>SANI Sport</t>
        </is>
      </c>
      <c r="I121" t="n">
        <v>27.8</v>
      </c>
      <c r="J121" s="4" t="n">
        <v>251</v>
      </c>
      <c r="K121" t="inlineStr">
        <is>
          <t>127 / 124</t>
        </is>
      </c>
      <c r="L121" t="inlineStr">
        <is>
          <t>34 / 23</t>
        </is>
      </c>
      <c r="M121" s="5" t="n">
        <v>0.51</v>
      </c>
      <c r="N121" s="5" t="n">
        <v>0.6</v>
      </c>
    </row>
    <row r="122">
      <c r="A122" t="n">
        <v>121</v>
      </c>
      <c r="B122" t="n">
        <v>2012</v>
      </c>
      <c r="C122" t="inlineStr">
        <is>
          <t>Joanna Pananchickal</t>
        </is>
      </c>
      <c r="D122">
        <f>HYPERLINK("https://ota.tournamentsoftware.com/player-profile/6487D297-D67D-4189-9D3C-05A8EA398E60", "Link")</f>
        <v/>
      </c>
      <c r="E122" s="3" t="n">
        <v>788.022</v>
      </c>
      <c r="F122" s="4" t="n">
        <v>13</v>
      </c>
      <c r="G122" t="inlineStr">
        <is>
          <t>Ontario Tennis Association</t>
        </is>
      </c>
      <c r="H122" t="inlineStr">
        <is>
          <t>No Club</t>
        </is>
      </c>
      <c r="I122" t="n">
        <v>29.5</v>
      </c>
      <c r="J122" s="4" t="n">
        <v>75</v>
      </c>
      <c r="K122" t="inlineStr">
        <is>
          <t>36 / 39</t>
        </is>
      </c>
      <c r="L122" t="inlineStr">
        <is>
          <t>18 / 11</t>
        </is>
      </c>
      <c r="M122" s="5" t="n">
        <v>0.48</v>
      </c>
      <c r="N122" s="5" t="n">
        <v>0.62</v>
      </c>
    </row>
    <row r="123">
      <c r="A123" t="n">
        <v>122</v>
      </c>
      <c r="B123" t="n">
        <v>2013</v>
      </c>
      <c r="C123" t="inlineStr">
        <is>
          <t>Melanie Moon</t>
        </is>
      </c>
      <c r="D123">
        <f>HYPERLINK("https://ota.tournamentsoftware.com/player-profile/90FC60A1-D48C-4A9A-97D8-A17B60CF6D4A", "Link")</f>
        <v/>
      </c>
      <c r="E123" s="3" t="n">
        <v>784.8390000000001</v>
      </c>
      <c r="F123" s="4" t="n">
        <v>14</v>
      </c>
      <c r="G123" t="inlineStr">
        <is>
          <t>British Columbia</t>
        </is>
      </c>
      <c r="H123" t="inlineStr">
        <is>
          <t>Vancouver Lawn Tennis and Badminton Club</t>
        </is>
      </c>
      <c r="I123" t="n">
        <v>28.1</v>
      </c>
      <c r="J123" s="4" t="n">
        <v>236</v>
      </c>
      <c r="K123" t="inlineStr">
        <is>
          <t>119 / 117</t>
        </is>
      </c>
      <c r="L123" t="inlineStr">
        <is>
          <t>10 / 17</t>
        </is>
      </c>
      <c r="M123" s="5" t="n">
        <v>0.5</v>
      </c>
      <c r="N123" s="5" t="n">
        <v>0.37</v>
      </c>
    </row>
    <row r="124">
      <c r="A124" t="n">
        <v>123</v>
      </c>
      <c r="B124" t="n">
        <v>2013</v>
      </c>
      <c r="C124" t="inlineStr">
        <is>
          <t>Élianne Bouchard</t>
        </is>
      </c>
      <c r="D124">
        <f>HYPERLINK("https://ota.tournamentsoftware.com/player-profile/44233F45-64EC-49B2-AA72-859E176C2987", "Link")</f>
        <v/>
      </c>
      <c r="E124" s="3" t="n">
        <v>784.313</v>
      </c>
      <c r="F124" s="4" t="n">
        <v>30</v>
      </c>
      <c r="G124" t="inlineStr">
        <is>
          <t>Tennis Québec</t>
        </is>
      </c>
      <c r="H124" t="inlineStr">
        <is>
          <t>Tennis Interclub Piedmont</t>
        </is>
      </c>
      <c r="I124" t="n">
        <v>29.5</v>
      </c>
      <c r="J124" s="4" t="n">
        <v>255</v>
      </c>
      <c r="K124" t="inlineStr">
        <is>
          <t>121 / 134</t>
        </is>
      </c>
      <c r="L124" t="inlineStr">
        <is>
          <t>35 / 26</t>
        </is>
      </c>
      <c r="M124" s="5" t="n">
        <v>0.47</v>
      </c>
      <c r="N124" s="5" t="n">
        <v>0.57</v>
      </c>
    </row>
    <row r="125">
      <c r="A125" t="n">
        <v>124</v>
      </c>
      <c r="B125" t="n">
        <v>2013</v>
      </c>
      <c r="C125" t="inlineStr">
        <is>
          <t>Navya Chawla</t>
        </is>
      </c>
      <c r="D125">
        <f>HYPERLINK("https://ota.tournamentsoftware.com/player-profile/26838C23-66D4-4CAD-825B-C69620EB242D", "Link")</f>
        <v/>
      </c>
      <c r="E125" s="3" t="n">
        <v>777.96</v>
      </c>
      <c r="F125" s="4" t="n">
        <v>18</v>
      </c>
      <c r="G125" t="inlineStr">
        <is>
          <t>Tennis Alberta</t>
        </is>
      </c>
      <c r="H125" t="inlineStr">
        <is>
          <t>Osten &amp; Victor Alberta Tennis Centre</t>
        </is>
      </c>
      <c r="I125" t="n">
        <v>24.5</v>
      </c>
      <c r="J125" s="4" t="n">
        <v>281</v>
      </c>
      <c r="K125" t="inlineStr">
        <is>
          <t>178 / 103</t>
        </is>
      </c>
      <c r="L125" t="inlineStr">
        <is>
          <t>14 / 13</t>
        </is>
      </c>
      <c r="M125" s="5" t="n">
        <v>0.63</v>
      </c>
      <c r="N125" s="5" t="n">
        <v>0.52</v>
      </c>
    </row>
    <row r="126">
      <c r="A126" t="n">
        <v>125</v>
      </c>
      <c r="B126" t="n">
        <v>2012</v>
      </c>
      <c r="C126" t="inlineStr">
        <is>
          <t>Anna Lucenti</t>
        </is>
      </c>
      <c r="D126">
        <f>HYPERLINK("https://ota.tournamentsoftware.com/player-profile/332E40CD-AB90-41CE-81C3-858501B2FAD3", "Link")</f>
        <v/>
      </c>
      <c r="E126" s="3" t="n">
        <v>766.526</v>
      </c>
      <c r="F126" s="4" t="n">
        <v>26</v>
      </c>
      <c r="G126" t="inlineStr">
        <is>
          <t>Ontario Tennis Association</t>
        </is>
      </c>
      <c r="H126" t="inlineStr">
        <is>
          <t>SmartVMC Racquetsports by ACE</t>
        </is>
      </c>
      <c r="I126" t="n">
        <v>29.2</v>
      </c>
      <c r="J126" s="4" t="n">
        <v>138</v>
      </c>
      <c r="K126" t="inlineStr">
        <is>
          <t>59 / 79</t>
        </is>
      </c>
      <c r="L126" t="inlineStr">
        <is>
          <t>26 / 16</t>
        </is>
      </c>
      <c r="M126" s="5" t="n">
        <v>0.43</v>
      </c>
      <c r="N126" s="5" t="n">
        <v>0.62</v>
      </c>
    </row>
    <row r="127">
      <c r="A127" t="n">
        <v>126</v>
      </c>
      <c r="B127" t="n">
        <v>2012</v>
      </c>
      <c r="C127" t="inlineStr">
        <is>
          <t>Lourdes Valentina Haun</t>
        </is>
      </c>
      <c r="D127">
        <f>HYPERLINK("https://ota.tournamentsoftware.com/player-profile/97D1640C-AAFD-43B2-8C9A-BAA1649A3937", "Link")</f>
        <v/>
      </c>
      <c r="E127" s="3" t="n">
        <v>761.729</v>
      </c>
      <c r="F127" s="4" t="n">
        <v>14</v>
      </c>
      <c r="G127" t="inlineStr">
        <is>
          <t>Tennis Alberta</t>
        </is>
      </c>
      <c r="H127" t="inlineStr">
        <is>
          <t>Osten &amp; Victor Alberta Tennis Centre</t>
        </is>
      </c>
      <c r="I127" t="n">
        <v>26.1</v>
      </c>
      <c r="J127" s="4" t="n">
        <v>292</v>
      </c>
      <c r="K127" t="inlineStr">
        <is>
          <t>170 / 122</t>
        </is>
      </c>
      <c r="L127" t="inlineStr">
        <is>
          <t>21 / 16</t>
        </is>
      </c>
      <c r="M127" s="5" t="n">
        <v>0.58</v>
      </c>
      <c r="N127" s="5" t="n">
        <v>0.57</v>
      </c>
    </row>
    <row r="128">
      <c r="A128" t="n">
        <v>127</v>
      </c>
      <c r="B128" t="n">
        <v>2012</v>
      </c>
      <c r="C128" t="inlineStr">
        <is>
          <t>Victoria Chow</t>
        </is>
      </c>
      <c r="D128">
        <f>HYPERLINK("https://ota.tournamentsoftware.com/player-profile/7A966C5F-11C4-49ED-9F9D-2B1D18AB7E3B", "Link")</f>
        <v/>
      </c>
      <c r="E128" s="3" t="n">
        <v>743.375</v>
      </c>
      <c r="F128" s="4" t="n">
        <v>20</v>
      </c>
      <c r="G128" t="inlineStr">
        <is>
          <t>Ontario Tennis Association</t>
        </is>
      </c>
      <c r="H128" t="inlineStr">
        <is>
          <t>No Club</t>
        </is>
      </c>
      <c r="I128" t="inlineStr">
        <is>
          <t>unavailable</t>
        </is>
      </c>
      <c r="J128" s="4" t="n">
        <v>280</v>
      </c>
      <c r="K128" t="inlineStr">
        <is>
          <t>142 / 138</t>
        </is>
      </c>
      <c r="L128" t="inlineStr">
        <is>
          <t>16 / 24</t>
        </is>
      </c>
      <c r="M128" s="5" t="n">
        <v>0.51</v>
      </c>
      <c r="N128" s="5" t="n">
        <v>0.4</v>
      </c>
    </row>
    <row r="129">
      <c r="A129" t="n">
        <v>128</v>
      </c>
      <c r="B129" t="n">
        <v>2014</v>
      </c>
      <c r="C129" t="inlineStr">
        <is>
          <t>Michelle Zhang</t>
        </is>
      </c>
      <c r="D129">
        <f>HYPERLINK("https://ota.tournamentsoftware.com/player-profile/9912697B-2876-4A36-8F98-3B7F524694E1", "Link")</f>
        <v/>
      </c>
      <c r="E129" s="3" t="n">
        <v>738.6799999999999</v>
      </c>
      <c r="F129" s="4" t="n">
        <v>13</v>
      </c>
      <c r="G129" t="inlineStr">
        <is>
          <t>Tennis Nova Scotia</t>
        </is>
      </c>
      <c r="H129" t="inlineStr">
        <is>
          <t>Atlantic Tennis Centre</t>
        </is>
      </c>
      <c r="I129" t="n">
        <v>29.3</v>
      </c>
      <c r="J129" s="4" t="n">
        <v>159</v>
      </c>
      <c r="K129" t="inlineStr">
        <is>
          <t>89 / 70</t>
        </is>
      </c>
      <c r="L129" t="inlineStr">
        <is>
          <t>27 / 29</t>
        </is>
      </c>
      <c r="M129" s="5" t="n">
        <v>0.5600000000000001</v>
      </c>
      <c r="N129" s="5" t="n">
        <v>0.48</v>
      </c>
    </row>
    <row r="130">
      <c r="A130" t="n">
        <v>129</v>
      </c>
      <c r="B130" t="n">
        <v>2014</v>
      </c>
      <c r="C130" t="inlineStr">
        <is>
          <t>Nuanyi Li</t>
        </is>
      </c>
      <c r="D130">
        <f>HYPERLINK("https://ota.tournamentsoftware.com/player-profile/341DA394-9039-4254-B369-B8C52872A168", "Link")</f>
        <v/>
      </c>
      <c r="E130" s="3" t="n">
        <v>728.697</v>
      </c>
      <c r="F130" s="4" t="n">
        <v>28</v>
      </c>
      <c r="G130" t="inlineStr">
        <is>
          <t>Ontario Tennis Association</t>
        </is>
      </c>
      <c r="H130" t="inlineStr">
        <is>
          <t>Fainblum Tennis Academy</t>
        </is>
      </c>
      <c r="I130" t="n">
        <v>28.4</v>
      </c>
      <c r="J130" s="4" t="n">
        <v>294</v>
      </c>
      <c r="K130" t="inlineStr">
        <is>
          <t>183 / 111</t>
        </is>
      </c>
      <c r="L130" t="inlineStr">
        <is>
          <t>32 / 28</t>
        </is>
      </c>
      <c r="M130" s="5" t="n">
        <v>0.62</v>
      </c>
      <c r="N130" s="5" t="n">
        <v>0.53</v>
      </c>
    </row>
    <row r="131">
      <c r="A131" t="n">
        <v>130</v>
      </c>
      <c r="B131" t="n">
        <v>2012</v>
      </c>
      <c r="C131" t="inlineStr">
        <is>
          <t>Dina Yijia Zhang</t>
        </is>
      </c>
      <c r="D131">
        <f>HYPERLINK("https://ota.tournamentsoftware.com/player-profile/CF7261D5-5723-40A9-853D-2B21D7A35985", "Link")</f>
        <v/>
      </c>
      <c r="E131" s="3" t="n">
        <v>714.651</v>
      </c>
      <c r="F131" s="4" t="n">
        <v>10</v>
      </c>
      <c r="G131" t="inlineStr">
        <is>
          <t>Tennis Nova Scotia</t>
        </is>
      </c>
      <c r="H131" t="inlineStr">
        <is>
          <t>HEADSTART</t>
        </is>
      </c>
      <c r="I131" t="n">
        <v>30.1</v>
      </c>
      <c r="J131" s="4" t="n">
        <v>163</v>
      </c>
      <c r="K131" t="inlineStr">
        <is>
          <t>67 / 96</t>
        </is>
      </c>
      <c r="L131" t="inlineStr">
        <is>
          <t>11 / 17</t>
        </is>
      </c>
      <c r="M131" s="5" t="n">
        <v>0.41</v>
      </c>
      <c r="N131" s="5" t="n">
        <v>0.39</v>
      </c>
    </row>
    <row r="132">
      <c r="A132" t="n">
        <v>131</v>
      </c>
      <c r="B132" t="n">
        <v>2013</v>
      </c>
      <c r="C132" t="inlineStr">
        <is>
          <t>Mathilde Labeeuw</t>
        </is>
      </c>
      <c r="D132">
        <f>HYPERLINK("https://ota.tournamentsoftware.com/player-profile/ACCBCF37-0334-4ED1-B564-DFD6E35F3445", "Link")</f>
        <v/>
      </c>
      <c r="E132" s="3" t="n">
        <v>709.981</v>
      </c>
      <c r="F132" s="4" t="n">
        <v>21</v>
      </c>
      <c r="G132" t="inlineStr">
        <is>
          <t>Tennis Québec</t>
        </is>
      </c>
      <c r="H132" t="inlineStr">
        <is>
          <t>SANI Sport</t>
        </is>
      </c>
      <c r="I132" t="n">
        <v>29.6</v>
      </c>
      <c r="J132" s="4" t="n">
        <v>200</v>
      </c>
      <c r="K132" t="inlineStr">
        <is>
          <t>97 / 103</t>
        </is>
      </c>
      <c r="L132" t="inlineStr">
        <is>
          <t>18 / 16</t>
        </is>
      </c>
      <c r="M132" s="5" t="n">
        <v>0.48</v>
      </c>
      <c r="N132" s="5" t="n">
        <v>0.53</v>
      </c>
    </row>
    <row r="133">
      <c r="A133" t="n">
        <v>132</v>
      </c>
      <c r="B133" t="n">
        <v>2013</v>
      </c>
      <c r="C133" t="inlineStr">
        <is>
          <t>Elena Vamoser</t>
        </is>
      </c>
      <c r="D133">
        <f>HYPERLINK("https://ota.tournamentsoftware.com/player-profile/F839ADA6-2875-4712-9FE7-C958E075D669", "Link")</f>
        <v/>
      </c>
      <c r="E133" s="3" t="n">
        <v>697.77</v>
      </c>
      <c r="F133" s="4" t="n">
        <v>25</v>
      </c>
      <c r="G133" t="inlineStr">
        <is>
          <t>Ontario Tennis Association</t>
        </is>
      </c>
      <c r="H133" t="inlineStr">
        <is>
          <t>ACE Tennis - Burlington</t>
        </is>
      </c>
      <c r="I133" t="n">
        <v>30.8</v>
      </c>
      <c r="J133" s="4" t="n">
        <v>132</v>
      </c>
      <c r="K133" t="inlineStr">
        <is>
          <t>75 / 57</t>
        </is>
      </c>
      <c r="L133" t="inlineStr">
        <is>
          <t>16 / 20</t>
        </is>
      </c>
      <c r="M133" s="5" t="n">
        <v>0.57</v>
      </c>
      <c r="N133" s="5" t="n">
        <v>0.44</v>
      </c>
    </row>
    <row r="134">
      <c r="A134" t="n">
        <v>133</v>
      </c>
      <c r="B134" t="n">
        <v>2015</v>
      </c>
      <c r="C134" t="inlineStr">
        <is>
          <t>Sofia Chan</t>
        </is>
      </c>
      <c r="D134">
        <f>HYPERLINK("https://ota.tournamentsoftware.com/player-profile/62C41ADF-8A1D-416E-AAF9-4C80ECB74645", "Link")</f>
        <v/>
      </c>
      <c r="E134" s="3" t="n">
        <v>695.928</v>
      </c>
      <c r="F134" s="4" t="n">
        <v>33</v>
      </c>
      <c r="G134" t="inlineStr">
        <is>
          <t>Ontario Tennis Association</t>
        </is>
      </c>
      <c r="H134" t="inlineStr">
        <is>
          <t>No Club</t>
        </is>
      </c>
      <c r="I134" t="n">
        <v>30.2</v>
      </c>
      <c r="J134" s="4" t="n">
        <v>162</v>
      </c>
      <c r="K134" t="inlineStr">
        <is>
          <t>103 / 59</t>
        </is>
      </c>
      <c r="L134" t="inlineStr">
        <is>
          <t>46 / 28</t>
        </is>
      </c>
      <c r="M134" s="5" t="n">
        <v>0.64</v>
      </c>
      <c r="N134" s="5" t="n">
        <v>0.62</v>
      </c>
    </row>
    <row r="135">
      <c r="A135" t="n">
        <v>134</v>
      </c>
      <c r="B135" t="n">
        <v>2016</v>
      </c>
      <c r="C135" t="inlineStr">
        <is>
          <t>Kaili Ear Gui</t>
        </is>
      </c>
      <c r="D135">
        <f>HYPERLINK("https://ota.tournamentsoftware.com/player-profile/6E1FCBA7-1BA6-4DCA-9440-D121E3710638", "Link")</f>
        <v/>
      </c>
      <c r="E135" s="3" t="n">
        <v>695.772</v>
      </c>
      <c r="F135" s="4" t="n">
        <v>12</v>
      </c>
      <c r="G135" t="inlineStr">
        <is>
          <t>Tennis Saskatchewan</t>
        </is>
      </c>
      <c r="H135" t="inlineStr">
        <is>
          <t>Lakeshore Tennis Club</t>
        </is>
      </c>
      <c r="I135" t="inlineStr">
        <is>
          <t>unavailable</t>
        </is>
      </c>
      <c r="J135" s="4" t="inlineStr"/>
      <c r="K135" t="inlineStr">
        <is>
          <t>unavailable</t>
        </is>
      </c>
      <c r="L135" t="inlineStr">
        <is>
          <t>unavailable</t>
        </is>
      </c>
      <c r="M135" s="5" t="inlineStr"/>
      <c r="N135" s="5" t="inlineStr"/>
    </row>
    <row r="136">
      <c r="A136" t="n">
        <v>135</v>
      </c>
      <c r="B136" t="n">
        <v>2014</v>
      </c>
      <c r="C136" t="inlineStr">
        <is>
          <t>Sophie Lu</t>
        </is>
      </c>
      <c r="D136">
        <f>HYPERLINK("https://ota.tournamentsoftware.com/player-profile/5C3C8ABA-3BF6-4232-B65C-B26C16207D0A", "Link")</f>
        <v/>
      </c>
      <c r="E136" s="3" t="n">
        <v>692.2910000000001</v>
      </c>
      <c r="F136" s="4" t="n">
        <v>21</v>
      </c>
      <c r="G136" t="inlineStr">
        <is>
          <t>Tennis Québec</t>
        </is>
      </c>
      <c r="H136" t="inlineStr">
        <is>
          <t>Tennis Ile- des- Soeurs</t>
        </is>
      </c>
      <c r="I136" t="inlineStr">
        <is>
          <t>unavailable</t>
        </is>
      </c>
      <c r="J136" s="4" t="n">
        <v>215</v>
      </c>
      <c r="K136" t="inlineStr">
        <is>
          <t>111 / 104</t>
        </is>
      </c>
      <c r="L136" t="inlineStr">
        <is>
          <t>40 / 25</t>
        </is>
      </c>
      <c r="M136" s="5" t="n">
        <v>0.52</v>
      </c>
      <c r="N136" s="5" t="n">
        <v>0.62</v>
      </c>
    </row>
    <row r="137">
      <c r="A137" t="n">
        <v>136</v>
      </c>
      <c r="B137" t="n">
        <v>2012</v>
      </c>
      <c r="C137" t="inlineStr">
        <is>
          <t>Avea Ungureanu Pinto</t>
        </is>
      </c>
      <c r="D137">
        <f>HYPERLINK("https://ota.tournamentsoftware.com/player-profile/527FEC9E-D920-4439-9E01-51A3CFDED939", "Link")</f>
        <v/>
      </c>
      <c r="E137" s="3" t="n">
        <v>681.7809999999999</v>
      </c>
      <c r="F137" s="4" t="n">
        <v>26</v>
      </c>
      <c r="G137" t="inlineStr">
        <is>
          <t>Ontario Tennis Association</t>
        </is>
      </c>
      <c r="H137" t="inlineStr">
        <is>
          <t>Mayfair East Racquet Club</t>
        </is>
      </c>
      <c r="I137" t="n">
        <v>28.2</v>
      </c>
      <c r="J137" s="4" t="n">
        <v>148</v>
      </c>
      <c r="K137" t="inlineStr">
        <is>
          <t>79 / 69</t>
        </is>
      </c>
      <c r="L137" t="inlineStr">
        <is>
          <t>24 / 20</t>
        </is>
      </c>
      <c r="M137" s="5" t="n">
        <v>0.53</v>
      </c>
      <c r="N137" s="5" t="n">
        <v>0.55</v>
      </c>
    </row>
    <row r="138">
      <c r="A138" t="n">
        <v>137</v>
      </c>
      <c r="B138" t="n">
        <v>2013</v>
      </c>
      <c r="C138" t="inlineStr">
        <is>
          <t>Bianca Nestor</t>
        </is>
      </c>
      <c r="D138">
        <f>HYPERLINK("https://ota.tournamentsoftware.com/player-profile/8BAE5D37-8145-43F6-9016-30DDC5E4E994", "Link")</f>
        <v/>
      </c>
      <c r="E138" s="3" t="n">
        <v>674.752</v>
      </c>
      <c r="F138" s="4" t="n">
        <v>19</v>
      </c>
      <c r="G138" t="inlineStr">
        <is>
          <t>Ontario Tennis Association</t>
        </is>
      </c>
      <c r="H138" t="inlineStr">
        <is>
          <t>Toronto Lawn Tennis Club</t>
        </is>
      </c>
      <c r="I138" t="n">
        <v>30.2</v>
      </c>
      <c r="J138" s="4" t="n">
        <v>203</v>
      </c>
      <c r="K138" t="inlineStr">
        <is>
          <t>98 / 105</t>
        </is>
      </c>
      <c r="L138" t="inlineStr">
        <is>
          <t>17 / 19</t>
        </is>
      </c>
      <c r="M138" s="5" t="n">
        <v>0.48</v>
      </c>
      <c r="N138" s="5" t="n">
        <v>0.47</v>
      </c>
    </row>
    <row r="139">
      <c r="A139" t="n">
        <v>138</v>
      </c>
      <c r="B139" t="n">
        <v>2015</v>
      </c>
      <c r="C139" t="inlineStr">
        <is>
          <t>Mia Louise LADEWIG</t>
        </is>
      </c>
      <c r="D139">
        <f>HYPERLINK("https://ota.tournamentsoftware.com/player-profile/25055713-74C7-482D-8A9B-00D94FB7068B", "Link")</f>
        <v/>
      </c>
      <c r="E139" s="3" t="n">
        <v>671.143</v>
      </c>
      <c r="F139" s="4" t="n">
        <v>23</v>
      </c>
      <c r="G139" t="inlineStr">
        <is>
          <t>British Columbia</t>
        </is>
      </c>
      <c r="H139" t="inlineStr">
        <is>
          <t>North Vancouver Tennis Centre</t>
        </is>
      </c>
      <c r="I139" t="n">
        <v>27.9</v>
      </c>
      <c r="J139" s="4" t="n">
        <v>233</v>
      </c>
      <c r="K139" t="inlineStr">
        <is>
          <t>151 / 82</t>
        </is>
      </c>
      <c r="L139" t="inlineStr">
        <is>
          <t>41 / 20</t>
        </is>
      </c>
      <c r="M139" s="5" t="n">
        <v>0.65</v>
      </c>
      <c r="N139" s="5" t="n">
        <v>0.67</v>
      </c>
    </row>
    <row r="140">
      <c r="A140" t="n">
        <v>139</v>
      </c>
      <c r="B140" t="n">
        <v>2013</v>
      </c>
      <c r="C140" t="inlineStr">
        <is>
          <t>Leyan Isabella Yik Sum Leung</t>
        </is>
      </c>
      <c r="D140">
        <f>HYPERLINK("https://ota.tournamentsoftware.com/player-profile/7FB2D792-ABB2-4F05-B9D4-757321E9FA35", "Link")</f>
        <v/>
      </c>
      <c r="E140" s="3" t="n">
        <v>663.989</v>
      </c>
      <c r="F140" s="4" t="n">
        <v>20</v>
      </c>
      <c r="G140" t="inlineStr">
        <is>
          <t>British Columbia</t>
        </is>
      </c>
      <c r="H140" t="inlineStr">
        <is>
          <t>Vanguard Tennis Academy</t>
        </is>
      </c>
      <c r="I140" t="n">
        <v>26.4</v>
      </c>
      <c r="J140" s="4" t="n">
        <v>131</v>
      </c>
      <c r="K140" t="inlineStr">
        <is>
          <t>85 / 46</t>
        </is>
      </c>
      <c r="L140" t="inlineStr">
        <is>
          <t>35 / 18</t>
        </is>
      </c>
      <c r="M140" s="5" t="n">
        <v>0.65</v>
      </c>
      <c r="N140" s="5" t="n">
        <v>0.66</v>
      </c>
    </row>
    <row r="141">
      <c r="A141" t="n">
        <v>140</v>
      </c>
      <c r="B141" t="n">
        <v>2012</v>
      </c>
      <c r="C141" t="inlineStr">
        <is>
          <t>Cindy Zixuan Li</t>
        </is>
      </c>
      <c r="D141">
        <f>HYPERLINK("https://ota.tournamentsoftware.com/player-profile/23E61DC5-74BF-4612-8E7F-7DA0B013D911", "Link")</f>
        <v/>
      </c>
      <c r="E141" s="3" t="n">
        <v>661.299</v>
      </c>
      <c r="F141" s="4" t="n">
        <v>10</v>
      </c>
      <c r="G141" t="inlineStr">
        <is>
          <t>British Columbia</t>
        </is>
      </c>
      <c r="H141" t="inlineStr">
        <is>
          <t>Vanguard Tennis Academy</t>
        </is>
      </c>
      <c r="I141" t="n">
        <v>25.8</v>
      </c>
      <c r="J141" s="4" t="n">
        <v>137</v>
      </c>
      <c r="K141" t="inlineStr">
        <is>
          <t>69 / 68</t>
        </is>
      </c>
      <c r="L141" t="inlineStr">
        <is>
          <t>8 / 7</t>
        </is>
      </c>
      <c r="M141" s="5" t="n">
        <v>0.5</v>
      </c>
      <c r="N141" s="5" t="n">
        <v>0.53</v>
      </c>
    </row>
    <row r="142">
      <c r="A142" t="n">
        <v>141</v>
      </c>
      <c r="B142" t="n">
        <v>2012</v>
      </c>
      <c r="C142" t="inlineStr">
        <is>
          <t>Luisa Victoria Davis</t>
        </is>
      </c>
      <c r="D142">
        <f>HYPERLINK("https://ota.tournamentsoftware.com/player-profile/F5AE6D4A-50BA-4E57-AD34-589189161D57", "Link")</f>
        <v/>
      </c>
      <c r="E142" s="3" t="n">
        <v>656.047</v>
      </c>
      <c r="F142" s="4" t="n">
        <v>12</v>
      </c>
      <c r="G142" t="inlineStr">
        <is>
          <t>Ontario Tennis Association</t>
        </is>
      </c>
      <c r="H142" t="inlineStr">
        <is>
          <t>Mayfair West Fitness &amp; Racquet Club</t>
        </is>
      </c>
      <c r="I142" t="inlineStr">
        <is>
          <t>unavailable</t>
        </is>
      </c>
      <c r="J142" s="4" t="n">
        <v>200</v>
      </c>
      <c r="K142" t="inlineStr">
        <is>
          <t>128 / 72</t>
        </is>
      </c>
      <c r="L142" t="inlineStr">
        <is>
          <t>6 / 10</t>
        </is>
      </c>
      <c r="M142" s="5" t="n">
        <v>0.64</v>
      </c>
      <c r="N142" s="5" t="n">
        <v>0.38</v>
      </c>
    </row>
    <row r="143">
      <c r="A143" t="n">
        <v>142</v>
      </c>
      <c r="B143" t="n">
        <v>2012</v>
      </c>
      <c r="C143" t="inlineStr">
        <is>
          <t>Margot de Candé</t>
        </is>
      </c>
      <c r="D143">
        <f>HYPERLINK("https://ota.tournamentsoftware.com/player-profile/695315EE-6360-44B7-9352-E2A867A09DAD", "Link")</f>
        <v/>
      </c>
      <c r="E143" s="3" t="n">
        <v>647.8</v>
      </c>
      <c r="F143" s="4" t="n">
        <v>14</v>
      </c>
      <c r="G143" t="inlineStr">
        <is>
          <t>Tennis Québec</t>
        </is>
      </c>
      <c r="H143" t="inlineStr">
        <is>
          <t>Tennis Ile- des- Soeurs</t>
        </is>
      </c>
      <c r="I143" t="n">
        <v>29.8</v>
      </c>
      <c r="J143" s="4" t="n">
        <v>125</v>
      </c>
      <c r="K143" t="inlineStr">
        <is>
          <t>60 / 65</t>
        </is>
      </c>
      <c r="L143" t="inlineStr">
        <is>
          <t>18 / 7</t>
        </is>
      </c>
      <c r="M143" s="5" t="n">
        <v>0.48</v>
      </c>
      <c r="N143" s="5" t="n">
        <v>0.72</v>
      </c>
    </row>
    <row r="144">
      <c r="A144" t="n">
        <v>143</v>
      </c>
      <c r="B144" t="n">
        <v>2012</v>
      </c>
      <c r="C144" t="inlineStr">
        <is>
          <t>Chloe Fischer</t>
        </is>
      </c>
      <c r="D144">
        <f>HYPERLINK("https://ota.tournamentsoftware.com/player-profile/4F19921D-D25C-4DFA-8A7D-90DE48FEB722", "Link")</f>
        <v/>
      </c>
      <c r="E144" s="3" t="n">
        <v>646.653</v>
      </c>
      <c r="F144" s="4" t="n">
        <v>21</v>
      </c>
      <c r="G144" t="inlineStr">
        <is>
          <t>Ontario Tennis Association</t>
        </is>
      </c>
      <c r="H144" t="inlineStr">
        <is>
          <t>No Club</t>
        </is>
      </c>
      <c r="I144" t="n">
        <v>32.9</v>
      </c>
      <c r="J144" s="4" t="n">
        <v>223</v>
      </c>
      <c r="K144" t="inlineStr">
        <is>
          <t>103 / 120</t>
        </is>
      </c>
      <c r="L144" t="inlineStr">
        <is>
          <t>7 / 25</t>
        </is>
      </c>
      <c r="M144" s="5" t="n">
        <v>0.46</v>
      </c>
      <c r="N144" s="5" t="n">
        <v>0.22</v>
      </c>
    </row>
    <row r="145">
      <c r="A145" t="n">
        <v>144</v>
      </c>
      <c r="B145" t="n">
        <v>2013</v>
      </c>
      <c r="C145" t="inlineStr">
        <is>
          <t>Chloe Elizabeth Kotorobai</t>
        </is>
      </c>
      <c r="D145">
        <f>HYPERLINK("https://ota.tournamentsoftware.com/player-profile/FA516D57-03A4-4F2E-810D-864F5732F5CE", "Link")</f>
        <v/>
      </c>
      <c r="E145" s="3" t="n">
        <v>644.04</v>
      </c>
      <c r="F145" s="4" t="n">
        <v>23</v>
      </c>
      <c r="G145" t="inlineStr">
        <is>
          <t>Ontario Tennis Association</t>
        </is>
      </c>
      <c r="H145" t="inlineStr">
        <is>
          <t>City of Stoney Creek</t>
        </is>
      </c>
      <c r="I145" t="n">
        <v>31.1</v>
      </c>
      <c r="J145" s="4" t="n">
        <v>101</v>
      </c>
      <c r="K145" t="inlineStr">
        <is>
          <t>39 / 62</t>
        </is>
      </c>
      <c r="L145" t="inlineStr">
        <is>
          <t>11 / 21</t>
        </is>
      </c>
      <c r="M145" s="5" t="n">
        <v>0.39</v>
      </c>
      <c r="N145" s="5" t="n">
        <v>0.34</v>
      </c>
    </row>
    <row r="146">
      <c r="A146" t="n">
        <v>145</v>
      </c>
      <c r="B146" t="n">
        <v>2015</v>
      </c>
      <c r="C146" t="inlineStr">
        <is>
          <t>Amy Jiao</t>
        </is>
      </c>
      <c r="D146">
        <f>HYPERLINK("https://ota.tournamentsoftware.com/player-profile/5977984B-8EC9-4812-BCFA-CD93C4FFD7AF", "Link")</f>
        <v/>
      </c>
      <c r="E146" s="3" t="n">
        <v>641.838</v>
      </c>
      <c r="F146" s="4" t="n">
        <v>24</v>
      </c>
      <c r="G146" t="inlineStr">
        <is>
          <t>Ontario Tennis Association</t>
        </is>
      </c>
      <c r="H146" t="inlineStr">
        <is>
          <t>Rideau Sports Centre</t>
        </is>
      </c>
      <c r="I146" t="n">
        <v>30</v>
      </c>
      <c r="J146" s="4" t="n">
        <v>302</v>
      </c>
      <c r="K146" t="inlineStr">
        <is>
          <t>171 / 131</t>
        </is>
      </c>
      <c r="L146" t="inlineStr">
        <is>
          <t>52 / 29</t>
        </is>
      </c>
      <c r="M146" s="5" t="n">
        <v>0.57</v>
      </c>
      <c r="N146" s="5" t="n">
        <v>0.64</v>
      </c>
    </row>
    <row r="147">
      <c r="A147" t="n">
        <v>146</v>
      </c>
      <c r="B147" t="n">
        <v>2013</v>
      </c>
      <c r="C147" t="inlineStr">
        <is>
          <t>Sonya Resnikova</t>
        </is>
      </c>
      <c r="D147">
        <f>HYPERLINK("https://ota.tournamentsoftware.com/player-profile/083F5EEA-6E2D-488B-B778-27E4248C2F0D", "Link")</f>
        <v/>
      </c>
      <c r="E147" s="3" t="n">
        <v>632.702</v>
      </c>
      <c r="F147" s="4" t="n">
        <v>30</v>
      </c>
      <c r="G147" t="inlineStr">
        <is>
          <t>Ontario Tennis Association</t>
        </is>
      </c>
      <c r="H147" t="inlineStr">
        <is>
          <t>SmartVMC Racquetsports by ACE</t>
        </is>
      </c>
      <c r="I147" t="n">
        <v>29.9</v>
      </c>
      <c r="J147" s="4" t="n">
        <v>97</v>
      </c>
      <c r="K147" t="inlineStr">
        <is>
          <t>61 / 36</t>
        </is>
      </c>
      <c r="L147" t="inlineStr">
        <is>
          <t>29 / 22</t>
        </is>
      </c>
      <c r="M147" s="5" t="n">
        <v>0.63</v>
      </c>
      <c r="N147" s="5" t="n">
        <v>0.57</v>
      </c>
    </row>
    <row r="148">
      <c r="A148" t="n">
        <v>147</v>
      </c>
      <c r="B148" t="n">
        <v>2013</v>
      </c>
      <c r="C148" t="inlineStr">
        <is>
          <t>Maliah Morgan</t>
        </is>
      </c>
      <c r="D148">
        <f>HYPERLINK("https://ota.tournamentsoftware.com/player-profile/9A3C1326-AE04-42FE-BCE6-AF95D32715F8", "Link")</f>
        <v/>
      </c>
      <c r="E148" s="3" t="n">
        <v>629.681</v>
      </c>
      <c r="F148" s="4" t="n">
        <v>19</v>
      </c>
      <c r="G148" t="inlineStr">
        <is>
          <t>Ontario Tennis Association</t>
        </is>
      </c>
      <c r="H148" t="inlineStr">
        <is>
          <t>Joshua Creek Golf &amp; Tennis</t>
        </is>
      </c>
      <c r="I148" t="n">
        <v>27.7</v>
      </c>
      <c r="J148" s="4" t="n">
        <v>201</v>
      </c>
      <c r="K148" t="inlineStr">
        <is>
          <t>122 / 79</t>
        </is>
      </c>
      <c r="L148" t="inlineStr">
        <is>
          <t>22 / 16</t>
        </is>
      </c>
      <c r="M148" s="5" t="n">
        <v>0.61</v>
      </c>
      <c r="N148" s="5" t="n">
        <v>0.58</v>
      </c>
    </row>
    <row r="149">
      <c r="A149" t="n">
        <v>148</v>
      </c>
      <c r="B149" t="n">
        <v>2014</v>
      </c>
      <c r="C149" t="inlineStr">
        <is>
          <t>Emmanuella Ibrahim</t>
        </is>
      </c>
      <c r="D149">
        <f>HYPERLINK("https://ota.tournamentsoftware.com/player-profile/8CFFE2B1-9508-4CB2-8E6A-6761AA8394EA", "Link")</f>
        <v/>
      </c>
      <c r="E149" s="3" t="n">
        <v>628.717</v>
      </c>
      <c r="F149" s="4" t="n">
        <v>16</v>
      </c>
      <c r="G149" t="inlineStr">
        <is>
          <t>Tennis Alberta</t>
        </is>
      </c>
      <c r="H149" t="inlineStr">
        <is>
          <t>Aforza</t>
        </is>
      </c>
      <c r="I149" t="inlineStr">
        <is>
          <t>unavailable</t>
        </is>
      </c>
      <c r="J149" s="4" t="n">
        <v>190</v>
      </c>
      <c r="K149" t="inlineStr">
        <is>
          <t>137 / 53</t>
        </is>
      </c>
      <c r="L149" t="inlineStr">
        <is>
          <t>39 / 16</t>
        </is>
      </c>
      <c r="M149" s="5" t="n">
        <v>0.72</v>
      </c>
      <c r="N149" s="5" t="n">
        <v>0.71</v>
      </c>
    </row>
    <row r="150">
      <c r="A150" t="n">
        <v>149</v>
      </c>
      <c r="B150" t="n">
        <v>2015</v>
      </c>
      <c r="C150" t="inlineStr">
        <is>
          <t>NELIA BERKOUD</t>
        </is>
      </c>
      <c r="D150">
        <f>HYPERLINK("https://ota.tournamentsoftware.com/player-profile/2E73021E-DEDD-484B-95FC-00429D223FB2", "Link")</f>
        <v/>
      </c>
      <c r="E150" s="3" t="n">
        <v>628.057</v>
      </c>
      <c r="F150" s="4" t="n">
        <v>23</v>
      </c>
      <c r="G150" t="inlineStr">
        <is>
          <t>Tennis Québec</t>
        </is>
      </c>
      <c r="H150" t="inlineStr">
        <is>
          <t>Carrefour Multisports</t>
        </is>
      </c>
      <c r="I150" t="n">
        <v>30.9</v>
      </c>
      <c r="J150" s="4" t="n">
        <v>149</v>
      </c>
      <c r="K150" t="inlineStr">
        <is>
          <t>90 / 59</t>
        </is>
      </c>
      <c r="L150" t="inlineStr">
        <is>
          <t>34 / 31</t>
        </is>
      </c>
      <c r="M150" s="5" t="n">
        <v>0.6</v>
      </c>
      <c r="N150" s="5" t="n">
        <v>0.52</v>
      </c>
    </row>
    <row r="151">
      <c r="A151" t="n">
        <v>150</v>
      </c>
      <c r="B151" t="n">
        <v>2012</v>
      </c>
      <c r="C151" t="inlineStr">
        <is>
          <t>Yutong (Olivia) Ha</t>
        </is>
      </c>
      <c r="D151">
        <f>HYPERLINK("https://ota.tournamentsoftware.com/player-profile/53AE0DB5-1F76-4FB8-9870-3B236A9DAA97", "Link")</f>
        <v/>
      </c>
      <c r="E151" s="3" t="n">
        <v>624.7430000000001</v>
      </c>
      <c r="F151" s="4" t="n">
        <v>14</v>
      </c>
      <c r="G151" t="inlineStr">
        <is>
          <t>Ontario Tennis Association</t>
        </is>
      </c>
      <c r="H151" t="inlineStr">
        <is>
          <t>Richmondhill Golf &amp; Country Club</t>
        </is>
      </c>
      <c r="I151" t="inlineStr">
        <is>
          <t>unavailable</t>
        </is>
      </c>
      <c r="J151" s="4" t="n">
        <v>195</v>
      </c>
      <c r="K151" t="inlineStr">
        <is>
          <t>84 / 111</t>
        </is>
      </c>
      <c r="L151" t="inlineStr">
        <is>
          <t>6 / 16</t>
        </is>
      </c>
      <c r="M151" s="5" t="n">
        <v>0.43</v>
      </c>
      <c r="N151" s="5" t="n">
        <v>0.27</v>
      </c>
    </row>
    <row r="152">
      <c r="A152" t="n">
        <v>151</v>
      </c>
      <c r="B152" t="n">
        <v>2012</v>
      </c>
      <c r="C152" t="inlineStr">
        <is>
          <t>Marisol Hilal</t>
        </is>
      </c>
      <c r="D152">
        <f>HYPERLINK("https://ota.tournamentsoftware.com/player-profile/A59841ED-F3F4-4773-A197-5502453988FE", "Link")</f>
        <v/>
      </c>
      <c r="E152" s="3" t="n">
        <v>621.989</v>
      </c>
      <c r="F152" s="4" t="n">
        <v>32</v>
      </c>
      <c r="G152" t="inlineStr">
        <is>
          <t>Tennis Québec</t>
        </is>
      </c>
      <c r="H152" t="inlineStr">
        <is>
          <t>Carrefour Multisports</t>
        </is>
      </c>
      <c r="I152" t="n">
        <v>29.5</v>
      </c>
      <c r="J152" s="4" t="n">
        <v>295</v>
      </c>
      <c r="K152" t="inlineStr">
        <is>
          <t>118 / 177</t>
        </is>
      </c>
      <c r="L152" t="inlineStr">
        <is>
          <t>18 / 29</t>
        </is>
      </c>
      <c r="M152" s="5" t="n">
        <v>0.4</v>
      </c>
      <c r="N152" s="5" t="n">
        <v>0.38</v>
      </c>
    </row>
    <row r="153">
      <c r="A153" t="n">
        <v>152</v>
      </c>
      <c r="B153" t="n">
        <v>2014</v>
      </c>
      <c r="C153" t="inlineStr">
        <is>
          <t>Evelyn Wang</t>
        </is>
      </c>
      <c r="D153">
        <f>HYPERLINK("https://ota.tournamentsoftware.com/player-profile/3A43E7FB-647C-4296-8E8D-106421DC2080", "Link")</f>
        <v/>
      </c>
      <c r="E153" s="3" t="n">
        <v>615.356</v>
      </c>
      <c r="F153" s="4" t="n">
        <v>17</v>
      </c>
      <c r="G153" t="inlineStr">
        <is>
          <t>British Columbia</t>
        </is>
      </c>
      <c r="H153" t="inlineStr">
        <is>
          <t>UBC Tennis Centre</t>
        </is>
      </c>
      <c r="I153" t="n">
        <v>28.4</v>
      </c>
      <c r="J153" s="4" t="n">
        <v>254</v>
      </c>
      <c r="K153" t="inlineStr">
        <is>
          <t>127 / 127</t>
        </is>
      </c>
      <c r="L153" t="inlineStr">
        <is>
          <t>31 / 28</t>
        </is>
      </c>
      <c r="M153" s="5" t="n">
        <v>0.5</v>
      </c>
      <c r="N153" s="5" t="n">
        <v>0.53</v>
      </c>
    </row>
    <row r="154">
      <c r="A154" t="n">
        <v>153</v>
      </c>
      <c r="B154" t="n">
        <v>2015</v>
      </c>
      <c r="C154" t="inlineStr">
        <is>
          <t>Emma Yin</t>
        </is>
      </c>
      <c r="D154">
        <f>HYPERLINK("https://ota.tournamentsoftware.com/player-profile/F90E2576-5989-4051-9E1F-45C789378967", "Link")</f>
        <v/>
      </c>
      <c r="E154" s="3" t="n">
        <v>613.705</v>
      </c>
      <c r="F154" s="4" t="n">
        <v>10</v>
      </c>
      <c r="G154" t="inlineStr">
        <is>
          <t>Tennis Saskatchewan</t>
        </is>
      </c>
      <c r="H154" t="inlineStr">
        <is>
          <t>Lakeshore Tennis Club</t>
        </is>
      </c>
      <c r="I154" t="n">
        <v>30.1</v>
      </c>
      <c r="J154" s="4" t="n">
        <v>157</v>
      </c>
      <c r="K154" t="inlineStr">
        <is>
          <t>80 / 77</t>
        </is>
      </c>
      <c r="L154" t="inlineStr">
        <is>
          <t>34 / 22</t>
        </is>
      </c>
      <c r="M154" s="5" t="n">
        <v>0.51</v>
      </c>
      <c r="N154" s="5" t="n">
        <v>0.61</v>
      </c>
    </row>
    <row r="155">
      <c r="A155" t="n">
        <v>154</v>
      </c>
      <c r="B155" t="n">
        <v>2013</v>
      </c>
      <c r="C155" t="inlineStr">
        <is>
          <t>Blaire Ming min kaminski</t>
        </is>
      </c>
      <c r="D155">
        <f>HYPERLINK("https://ota.tournamentsoftware.com/player-profile/F1255585-993D-4DBF-ADE9-E5818DCBA131", "Link")</f>
        <v/>
      </c>
      <c r="E155" s="3" t="n">
        <v>612.015</v>
      </c>
      <c r="F155" s="4" t="n">
        <v>15</v>
      </c>
      <c r="G155" t="inlineStr">
        <is>
          <t>Tennis Alberta</t>
        </is>
      </c>
      <c r="H155" t="inlineStr">
        <is>
          <t>Osten &amp; Victor Alberta Tennis Centre</t>
        </is>
      </c>
      <c r="I155" t="inlineStr">
        <is>
          <t>unavailable</t>
        </is>
      </c>
      <c r="J155" s="4" t="n">
        <v>128</v>
      </c>
      <c r="K155" t="inlineStr">
        <is>
          <t>64 / 64</t>
        </is>
      </c>
      <c r="L155" t="inlineStr">
        <is>
          <t>19 / 13</t>
        </is>
      </c>
      <c r="M155" s="5" t="n">
        <v>0.5</v>
      </c>
      <c r="N155" s="5" t="n">
        <v>0.59</v>
      </c>
    </row>
    <row r="156">
      <c r="A156" t="n">
        <v>155</v>
      </c>
      <c r="B156" t="n">
        <v>2014</v>
      </c>
      <c r="C156" t="inlineStr">
        <is>
          <t>Alice Yu-Qi Ren</t>
        </is>
      </c>
      <c r="D156">
        <f>HYPERLINK("https://ota.tournamentsoftware.com/player-profile/FE127D3B-825E-4C4F-9666-BA4529348FE4", "Link")</f>
        <v/>
      </c>
      <c r="E156" s="3" t="n">
        <v>610.301</v>
      </c>
      <c r="F156" s="4" t="n">
        <v>18</v>
      </c>
      <c r="G156" t="inlineStr">
        <is>
          <t>Tennis Alberta</t>
        </is>
      </c>
      <c r="H156" t="inlineStr">
        <is>
          <t>Saville Community Sports Centre</t>
        </is>
      </c>
      <c r="I156" t="n">
        <v>28.2</v>
      </c>
      <c r="J156" s="4" t="n">
        <v>208</v>
      </c>
      <c r="K156" t="inlineStr">
        <is>
          <t>142 / 66</t>
        </is>
      </c>
      <c r="L156" t="inlineStr">
        <is>
          <t>39 / 17</t>
        </is>
      </c>
      <c r="M156" s="5" t="n">
        <v>0.68</v>
      </c>
      <c r="N156" s="5" t="n">
        <v>0.7</v>
      </c>
    </row>
    <row r="157">
      <c r="A157" t="n">
        <v>156</v>
      </c>
      <c r="B157" t="n">
        <v>2012</v>
      </c>
      <c r="C157" t="inlineStr">
        <is>
          <t>OLIVIA JUNHAN CAO</t>
        </is>
      </c>
      <c r="D157">
        <f>HYPERLINK("https://ota.tournamentsoftware.com/player-profile/3D68BE77-5DE2-40D9-BCC3-C836A764F3EF", "Link")</f>
        <v/>
      </c>
      <c r="E157" s="3" t="n">
        <v>608.6</v>
      </c>
      <c r="F157" s="4" t="n">
        <v>21</v>
      </c>
      <c r="G157" t="inlineStr">
        <is>
          <t>British Columbia</t>
        </is>
      </c>
      <c r="H157" t="inlineStr">
        <is>
          <t>Richmond Country Club</t>
        </is>
      </c>
      <c r="I157" t="n">
        <v>27.8</v>
      </c>
      <c r="J157" s="4" t="n">
        <v>152</v>
      </c>
      <c r="K157" t="inlineStr">
        <is>
          <t>102 / 50</t>
        </is>
      </c>
      <c r="L157" t="inlineStr">
        <is>
          <t>39 / 19</t>
        </is>
      </c>
      <c r="M157" s="5" t="n">
        <v>0.67</v>
      </c>
      <c r="N157" s="5" t="n">
        <v>0.67</v>
      </c>
    </row>
    <row r="158">
      <c r="A158" t="n">
        <v>157</v>
      </c>
      <c r="B158" t="n">
        <v>2012</v>
      </c>
      <c r="C158" t="inlineStr">
        <is>
          <t>Madison Tam</t>
        </is>
      </c>
      <c r="D158">
        <f>HYPERLINK("https://ota.tournamentsoftware.com/player-profile/827C7FCD-2D7D-406E-B5C0-29D0720096DC", "Link")</f>
        <v/>
      </c>
      <c r="E158" s="3" t="n">
        <v>603.4</v>
      </c>
      <c r="F158" s="4" t="n">
        <v>16</v>
      </c>
      <c r="G158" t="inlineStr">
        <is>
          <t>Ontario Tennis Association</t>
        </is>
      </c>
      <c r="H158" t="inlineStr">
        <is>
          <t>Sir Winston Churchill Tennis Club</t>
        </is>
      </c>
      <c r="I158" t="n">
        <v>29.1</v>
      </c>
      <c r="J158" s="4" t="n">
        <v>441</v>
      </c>
      <c r="K158" t="inlineStr">
        <is>
          <t>316 / 125</t>
        </is>
      </c>
      <c r="L158" t="inlineStr">
        <is>
          <t>19 / 10</t>
        </is>
      </c>
      <c r="M158" s="5" t="n">
        <v>0.72</v>
      </c>
      <c r="N158" s="5" t="n">
        <v>0.66</v>
      </c>
    </row>
    <row r="159">
      <c r="A159" t="n">
        <v>158</v>
      </c>
      <c r="B159" t="n">
        <v>2014</v>
      </c>
      <c r="C159" t="inlineStr">
        <is>
          <t>Veronica Mourlatov</t>
        </is>
      </c>
      <c r="D159">
        <f>HYPERLINK("https://ota.tournamentsoftware.com/player-profile/B6154A4C-BA94-41F6-A39C-E106D7116C1A", "Link")</f>
        <v/>
      </c>
      <c r="E159" s="3" t="n">
        <v>589.4</v>
      </c>
      <c r="F159" s="4" t="n">
        <v>34</v>
      </c>
      <c r="G159" t="inlineStr">
        <is>
          <t>Ontario Tennis Association</t>
        </is>
      </c>
      <c r="H159" t="inlineStr">
        <is>
          <t>SmartVMC Racquetsports by ACE</t>
        </is>
      </c>
      <c r="I159" t="n">
        <v>30.4</v>
      </c>
      <c r="J159" s="4" t="n">
        <v>225</v>
      </c>
      <c r="K159" t="inlineStr">
        <is>
          <t>142 / 83</t>
        </is>
      </c>
      <c r="L159" t="inlineStr">
        <is>
          <t>45 / 20</t>
        </is>
      </c>
      <c r="M159" s="5" t="n">
        <v>0.63</v>
      </c>
      <c r="N159" s="5" t="n">
        <v>0.6899999999999999</v>
      </c>
    </row>
    <row r="160">
      <c r="A160" t="n">
        <v>159</v>
      </c>
      <c r="B160" t="n">
        <v>2013</v>
      </c>
      <c r="C160" t="inlineStr">
        <is>
          <t>Zoe Yeung</t>
        </is>
      </c>
      <c r="D160">
        <f>HYPERLINK("https://ota.tournamentsoftware.com/player-profile/69712725-5DA5-49A3-9C42-5A05BBB6B230", "Link")</f>
        <v/>
      </c>
      <c r="E160" s="3" t="n">
        <v>583.942</v>
      </c>
      <c r="F160" s="4" t="n">
        <v>15</v>
      </c>
      <c r="G160" t="inlineStr">
        <is>
          <t>Tennis Alberta</t>
        </is>
      </c>
      <c r="H160" t="inlineStr">
        <is>
          <t>Osten &amp; Victor Alberta Tennis Centre</t>
        </is>
      </c>
      <c r="I160" t="n">
        <v>29.1</v>
      </c>
      <c r="J160" s="4" t="n">
        <v>186</v>
      </c>
      <c r="K160" t="inlineStr">
        <is>
          <t>88 / 98</t>
        </is>
      </c>
      <c r="L160" t="inlineStr">
        <is>
          <t>14 / 17</t>
        </is>
      </c>
      <c r="M160" s="5" t="n">
        <v>0.47</v>
      </c>
      <c r="N160" s="5" t="n">
        <v>0.45</v>
      </c>
    </row>
    <row r="161">
      <c r="A161" t="n">
        <v>160</v>
      </c>
      <c r="B161" t="n">
        <v>2012</v>
      </c>
      <c r="C161" t="inlineStr">
        <is>
          <t>Malia Lee Datta</t>
        </is>
      </c>
      <c r="D161">
        <f>HYPERLINK("https://ota.tournamentsoftware.com/player-profile/0FC1E5E7-0316-49C4-95C5-C429E3032398", "Link")</f>
        <v/>
      </c>
      <c r="E161" s="3" t="n">
        <v>583.375</v>
      </c>
      <c r="F161" s="4" t="n">
        <v>17</v>
      </c>
      <c r="G161" t="inlineStr">
        <is>
          <t>Tennis Alberta</t>
        </is>
      </c>
      <c r="H161" t="inlineStr">
        <is>
          <t>Osten &amp; Victor Alberta Tennis Centre</t>
        </is>
      </c>
      <c r="I161" t="n">
        <v>28.1</v>
      </c>
      <c r="J161" s="4" t="n">
        <v>149</v>
      </c>
      <c r="K161" t="inlineStr">
        <is>
          <t>64 / 85</t>
        </is>
      </c>
      <c r="L161" t="inlineStr">
        <is>
          <t>13 / 18</t>
        </is>
      </c>
      <c r="M161" s="5" t="n">
        <v>0.43</v>
      </c>
      <c r="N161" s="5" t="n">
        <v>0.42</v>
      </c>
    </row>
    <row r="162">
      <c r="A162" t="n">
        <v>161</v>
      </c>
      <c r="B162" t="n">
        <v>2014</v>
      </c>
      <c r="C162" t="inlineStr">
        <is>
          <t>Naomi Iamandi</t>
        </is>
      </c>
      <c r="D162">
        <f>HYPERLINK("https://ota.tournamentsoftware.com/player-profile/5653599F-FFB6-46FA-B574-E53D7FBC278E", "Link")</f>
        <v/>
      </c>
      <c r="E162" s="3" t="n">
        <v>582.021</v>
      </c>
      <c r="F162" s="4" t="n">
        <v>21</v>
      </c>
      <c r="G162" t="inlineStr">
        <is>
          <t>Ontario Tennis Association</t>
        </is>
      </c>
      <c r="H162" t="inlineStr">
        <is>
          <t>Joshua Creek Golf &amp; Tennis</t>
        </is>
      </c>
      <c r="I162" t="n">
        <v>30.2</v>
      </c>
      <c r="J162" s="4" t="n">
        <v>235</v>
      </c>
      <c r="K162" t="inlineStr">
        <is>
          <t>126 / 109</t>
        </is>
      </c>
      <c r="L162" t="inlineStr">
        <is>
          <t>17 / 28</t>
        </is>
      </c>
      <c r="M162" s="5" t="n">
        <v>0.54</v>
      </c>
      <c r="N162" s="5" t="n">
        <v>0.38</v>
      </c>
    </row>
    <row r="163">
      <c r="A163" t="n">
        <v>162</v>
      </c>
      <c r="B163" t="n">
        <v>2014</v>
      </c>
      <c r="C163" t="inlineStr">
        <is>
          <t>Adrianna Gianvito</t>
        </is>
      </c>
      <c r="D163">
        <f>HYPERLINK("https://ota.tournamentsoftware.com/player-profile/1412F0F4-82D3-410D-980E-969EFE386B01", "Link")</f>
        <v/>
      </c>
      <c r="E163" s="3" t="n">
        <v>579.152</v>
      </c>
      <c r="F163" s="4" t="n">
        <v>22</v>
      </c>
      <c r="G163" t="inlineStr">
        <is>
          <t>Tennis Québec</t>
        </is>
      </c>
      <c r="H163" t="inlineStr">
        <is>
          <t>No Club</t>
        </is>
      </c>
      <c r="I163" t="inlineStr">
        <is>
          <t>unavailable</t>
        </is>
      </c>
      <c r="J163" s="4" t="n">
        <v>152</v>
      </c>
      <c r="K163" t="inlineStr">
        <is>
          <t>80 / 72</t>
        </is>
      </c>
      <c r="L163" t="inlineStr">
        <is>
          <t>30 / 20</t>
        </is>
      </c>
      <c r="M163" s="5" t="n">
        <v>0.53</v>
      </c>
      <c r="N163" s="5" t="n">
        <v>0.6</v>
      </c>
    </row>
    <row r="164">
      <c r="A164" t="n">
        <v>163</v>
      </c>
      <c r="B164" t="n">
        <v>2012</v>
      </c>
      <c r="C164" t="inlineStr">
        <is>
          <t>Caroline ChuYun Yang</t>
        </is>
      </c>
      <c r="D164">
        <f>HYPERLINK("https://ota.tournamentsoftware.com/player-profile/973A8D96-42F5-42BC-9DF2-0A195E1A983F", "Link")</f>
        <v/>
      </c>
      <c r="E164" s="3" t="n">
        <v>574.0700000000001</v>
      </c>
      <c r="F164" s="4" t="n">
        <v>19</v>
      </c>
      <c r="G164" t="inlineStr">
        <is>
          <t>British Columbia</t>
        </is>
      </c>
      <c r="H164" t="inlineStr">
        <is>
          <t>The Tennis Centre</t>
        </is>
      </c>
      <c r="I164" t="n">
        <v>28.4</v>
      </c>
      <c r="J164" s="4" t="n">
        <v>265</v>
      </c>
      <c r="K164" t="inlineStr">
        <is>
          <t>159 / 106</t>
        </is>
      </c>
      <c r="L164" t="inlineStr">
        <is>
          <t>27 / 20</t>
        </is>
      </c>
      <c r="M164" s="5" t="n">
        <v>0.6</v>
      </c>
      <c r="N164" s="5" t="n">
        <v>0.57</v>
      </c>
    </row>
    <row r="165">
      <c r="A165" t="n">
        <v>164</v>
      </c>
      <c r="B165" t="n">
        <v>2012</v>
      </c>
      <c r="C165" t="inlineStr">
        <is>
          <t>Alexandra Dorobantu</t>
        </is>
      </c>
      <c r="D165">
        <f>HYPERLINK("https://ota.tournamentsoftware.com/player-profile/CE7FB59F-F5CB-4CA3-A3EB-27DC05EB2B7D", "Link")</f>
        <v/>
      </c>
      <c r="E165" s="3" t="n">
        <v>568.771</v>
      </c>
      <c r="F165" s="4" t="n">
        <v>13</v>
      </c>
      <c r="G165" t="inlineStr">
        <is>
          <t>Tennis Alberta</t>
        </is>
      </c>
      <c r="H165" t="inlineStr">
        <is>
          <t>Saville Community Sports Centre</t>
        </is>
      </c>
      <c r="I165" t="inlineStr">
        <is>
          <t>unavailable</t>
        </is>
      </c>
      <c r="J165" s="4" t="n">
        <v>156</v>
      </c>
      <c r="K165" t="inlineStr">
        <is>
          <t>76 / 80</t>
        </is>
      </c>
      <c r="L165" t="inlineStr">
        <is>
          <t>14 / 17</t>
        </is>
      </c>
      <c r="M165" s="5" t="n">
        <v>0.49</v>
      </c>
      <c r="N165" s="5" t="n">
        <v>0.45</v>
      </c>
    </row>
    <row r="166">
      <c r="A166" t="n">
        <v>165</v>
      </c>
      <c r="B166" t="n">
        <v>2015</v>
      </c>
      <c r="C166" t="inlineStr">
        <is>
          <t>Elina Wang</t>
        </is>
      </c>
      <c r="D166">
        <f>HYPERLINK("https://ota.tournamentsoftware.com/player-profile/D1A88E02-8A26-413B-866E-8A72948B268F", "Link")</f>
        <v/>
      </c>
      <c r="E166" s="3" t="n">
        <v>564.596</v>
      </c>
      <c r="F166" s="4" t="n">
        <v>22</v>
      </c>
      <c r="G166" t="inlineStr">
        <is>
          <t>Ontario Tennis Association</t>
        </is>
      </c>
      <c r="H166" t="inlineStr">
        <is>
          <t>Richmondhill Golf &amp; Country Club</t>
        </is>
      </c>
      <c r="I166" t="n">
        <v>30.3</v>
      </c>
      <c r="J166" s="4" t="n">
        <v>240</v>
      </c>
      <c r="K166" t="inlineStr">
        <is>
          <t>159 / 81</t>
        </is>
      </c>
      <c r="L166" t="inlineStr">
        <is>
          <t>42 / 16</t>
        </is>
      </c>
      <c r="M166" s="5" t="n">
        <v>0.66</v>
      </c>
      <c r="N166" s="5" t="n">
        <v>0.72</v>
      </c>
    </row>
    <row r="167">
      <c r="A167" t="n">
        <v>166</v>
      </c>
      <c r="B167" t="n">
        <v>2012</v>
      </c>
      <c r="C167" t="inlineStr">
        <is>
          <t>Daniella Kulemin</t>
        </is>
      </c>
      <c r="D167">
        <f>HYPERLINK("https://ota.tournamentsoftware.com/player-profile/665847C2-A172-4164-B9E1-C1030269B793", "Link")</f>
        <v/>
      </c>
      <c r="E167" s="3" t="n">
        <v>564.465</v>
      </c>
      <c r="F167" s="4" t="n">
        <v>21</v>
      </c>
      <c r="G167" t="inlineStr">
        <is>
          <t>Ontario Tennis Association</t>
        </is>
      </c>
      <c r="H167" t="inlineStr">
        <is>
          <t>Concord Tennis Academy</t>
        </is>
      </c>
      <c r="I167" t="n">
        <v>29.7</v>
      </c>
      <c r="J167" s="4" t="n">
        <v>62</v>
      </c>
      <c r="K167" t="inlineStr">
        <is>
          <t>30 / 32</t>
        </is>
      </c>
      <c r="L167" t="inlineStr">
        <is>
          <t>20 / 18</t>
        </is>
      </c>
      <c r="M167" s="5" t="n">
        <v>0.48</v>
      </c>
      <c r="N167" s="5" t="n">
        <v>0.53</v>
      </c>
    </row>
    <row r="168">
      <c r="A168" t="n">
        <v>167</v>
      </c>
      <c r="B168" t="n">
        <v>2013</v>
      </c>
      <c r="C168" t="inlineStr">
        <is>
          <t>Nelly Campagna</t>
        </is>
      </c>
      <c r="D168">
        <f>HYPERLINK("https://ota.tournamentsoftware.com/player-profile/57A742FF-F88B-4C14-A895-DA6559972095", "Link")</f>
        <v/>
      </c>
      <c r="E168" s="3" t="n">
        <v>563.731</v>
      </c>
      <c r="F168" s="4" t="n">
        <v>20</v>
      </c>
      <c r="G168" t="inlineStr">
        <is>
          <t>Tennis Québec</t>
        </is>
      </c>
      <c r="H168" t="inlineStr">
        <is>
          <t>Centre récréatif de Repentigny / Académie Tennis Momentum</t>
        </is>
      </c>
      <c r="I168" t="n">
        <v>29.4</v>
      </c>
      <c r="J168" s="4" t="n">
        <v>175</v>
      </c>
      <c r="K168" t="inlineStr">
        <is>
          <t>93 / 82</t>
        </is>
      </c>
      <c r="L168" t="inlineStr">
        <is>
          <t>25 / 20</t>
        </is>
      </c>
      <c r="M168" s="5" t="n">
        <v>0.53</v>
      </c>
      <c r="N168" s="5" t="n">
        <v>0.5600000000000001</v>
      </c>
    </row>
    <row r="169">
      <c r="A169" t="n">
        <v>168</v>
      </c>
      <c r="B169" t="n">
        <v>2015</v>
      </c>
      <c r="C169" t="inlineStr">
        <is>
          <t>Alexia Djomo</t>
        </is>
      </c>
      <c r="D169">
        <f>HYPERLINK("https://ota.tournamentsoftware.com/player-profile/DCE433A3-22C1-4484-BA5B-62931094794E", "Link")</f>
        <v/>
      </c>
      <c r="E169" s="3" t="n">
        <v>559.021</v>
      </c>
      <c r="F169" s="4" t="n">
        <v>12</v>
      </c>
      <c r="G169" t="inlineStr">
        <is>
          <t>Tennis Manitoba</t>
        </is>
      </c>
      <c r="H169" t="inlineStr">
        <is>
          <t>Winnipeg Winter Club</t>
        </is>
      </c>
      <c r="I169" t="n">
        <v>33</v>
      </c>
      <c r="J169" s="4" t="n">
        <v>78</v>
      </c>
      <c r="K169" t="inlineStr">
        <is>
          <t>31 / 47</t>
        </is>
      </c>
      <c r="L169" t="inlineStr">
        <is>
          <t>24 / 28</t>
        </is>
      </c>
      <c r="M169" s="5" t="n">
        <v>0.4</v>
      </c>
      <c r="N169" s="5" t="n">
        <v>0.46</v>
      </c>
    </row>
    <row r="170">
      <c r="A170" t="n">
        <v>169</v>
      </c>
      <c r="B170" t="n">
        <v>2012</v>
      </c>
      <c r="C170" t="inlineStr">
        <is>
          <t>Riddhi Jha</t>
        </is>
      </c>
      <c r="D170">
        <f>HYPERLINK("https://ota.tournamentsoftware.com/player-profile/3B4B01BB-2AAD-49DD-B186-312576B12DC9", "Link")</f>
        <v/>
      </c>
      <c r="E170" s="3" t="n">
        <v>558.928</v>
      </c>
      <c r="F170" s="4" t="n">
        <v>16</v>
      </c>
      <c r="G170" t="inlineStr">
        <is>
          <t>Ontario Tennis Association</t>
        </is>
      </c>
      <c r="H170" t="inlineStr">
        <is>
          <t>Bramalea Tennis Club</t>
        </is>
      </c>
      <c r="I170" t="n">
        <v>30.6</v>
      </c>
      <c r="J170" s="4" t="n">
        <v>249</v>
      </c>
      <c r="K170" t="inlineStr">
        <is>
          <t>91 / 158</t>
        </is>
      </c>
      <c r="L170" t="inlineStr">
        <is>
          <t>20 / 17</t>
        </is>
      </c>
      <c r="M170" s="5" t="n">
        <v>0.37</v>
      </c>
      <c r="N170" s="5" t="n">
        <v>0.54</v>
      </c>
    </row>
    <row r="171">
      <c r="A171" t="n">
        <v>170</v>
      </c>
      <c r="B171" t="n">
        <v>2015</v>
      </c>
      <c r="C171" t="inlineStr">
        <is>
          <t>Grace Wang</t>
        </is>
      </c>
      <c r="D171">
        <f>HYPERLINK("https://ota.tournamentsoftware.com/player-profile/2F68C1DC-1A19-4E3A-AF58-6DC4541843F2", "Link")</f>
        <v/>
      </c>
      <c r="E171" s="3" t="n">
        <v>553.759</v>
      </c>
      <c r="F171" s="4" t="n">
        <v>25</v>
      </c>
      <c r="G171" t="inlineStr">
        <is>
          <t>British Columbia</t>
        </is>
      </c>
      <c r="H171" t="inlineStr">
        <is>
          <t>No Club</t>
        </is>
      </c>
      <c r="I171" t="n">
        <v>28.9</v>
      </c>
      <c r="J171" s="4" t="n">
        <v>247</v>
      </c>
      <c r="K171" t="inlineStr">
        <is>
          <t>146 / 101</t>
        </is>
      </c>
      <c r="L171" t="inlineStr">
        <is>
          <t>45 / 28</t>
        </is>
      </c>
      <c r="M171" s="5" t="n">
        <v>0.59</v>
      </c>
      <c r="N171" s="5" t="n">
        <v>0.62</v>
      </c>
    </row>
    <row r="172">
      <c r="A172" t="n">
        <v>171</v>
      </c>
      <c r="B172" t="n">
        <v>2015</v>
      </c>
      <c r="C172" t="inlineStr">
        <is>
          <t>Sunandita Pal</t>
        </is>
      </c>
      <c r="D172">
        <f>HYPERLINK("https://ota.tournamentsoftware.com/player-profile/10185E41-C6E2-4C6A-9A47-A3AF6C77F2A4", "Link")</f>
        <v/>
      </c>
      <c r="E172" s="3" t="n">
        <v>551.15</v>
      </c>
      <c r="F172" s="4" t="n">
        <v>29</v>
      </c>
      <c r="G172" t="inlineStr">
        <is>
          <t>Ontario Tennis Association</t>
        </is>
      </c>
      <c r="H172" t="inlineStr">
        <is>
          <t>No Club</t>
        </is>
      </c>
      <c r="I172" t="n">
        <v>31.7</v>
      </c>
      <c r="J172" s="4" t="n">
        <v>242</v>
      </c>
      <c r="K172" t="inlineStr">
        <is>
          <t>117 / 125</t>
        </is>
      </c>
      <c r="L172" t="inlineStr">
        <is>
          <t>33 / 24</t>
        </is>
      </c>
      <c r="M172" s="5" t="n">
        <v>0.48</v>
      </c>
      <c r="N172" s="5" t="n">
        <v>0.58</v>
      </c>
    </row>
    <row r="173">
      <c r="A173" t="n">
        <v>172</v>
      </c>
      <c r="B173" t="n">
        <v>2014</v>
      </c>
      <c r="C173" t="inlineStr">
        <is>
          <t>Charlie Thomas-Simard</t>
        </is>
      </c>
      <c r="D173">
        <f>HYPERLINK("https://ota.tournamentsoftware.com/player-profile/E101E3D0-39D8-4861-AB44-D9BE1C346E1E", "Link")</f>
        <v/>
      </c>
      <c r="E173" s="3" t="n">
        <v>550.771</v>
      </c>
      <c r="F173" s="4" t="n">
        <v>21</v>
      </c>
      <c r="G173" t="inlineStr">
        <is>
          <t>Tennis Québec</t>
        </is>
      </c>
      <c r="H173" t="inlineStr">
        <is>
          <t>Club Avantage Multi-sports / Académie de tennis Hérisset Bordeleau</t>
        </is>
      </c>
      <c r="I173" t="n">
        <v>31.9</v>
      </c>
      <c r="J173" s="4" t="n">
        <v>125</v>
      </c>
      <c r="K173" t="inlineStr">
        <is>
          <t>66 / 59</t>
        </is>
      </c>
      <c r="L173" t="inlineStr">
        <is>
          <t>30 / 31</t>
        </is>
      </c>
      <c r="M173" s="5" t="n">
        <v>0.53</v>
      </c>
      <c r="N173" s="5" t="n">
        <v>0.49</v>
      </c>
    </row>
    <row r="174">
      <c r="A174" t="n">
        <v>173</v>
      </c>
      <c r="B174" t="n">
        <v>2012</v>
      </c>
      <c r="C174" t="inlineStr">
        <is>
          <t>Yuehan DONG</t>
        </is>
      </c>
      <c r="D174">
        <f>HYPERLINK("https://ota.tournamentsoftware.com/player-profile/F5996998-771E-46C9-A222-1C90911DD4C3", "Link")</f>
        <v/>
      </c>
      <c r="E174" s="3" t="n">
        <v>543.112</v>
      </c>
      <c r="F174" s="4" t="n">
        <v>23</v>
      </c>
      <c r="G174" t="inlineStr">
        <is>
          <t>Ontario Tennis Association</t>
        </is>
      </c>
      <c r="H174" t="inlineStr">
        <is>
          <t>Fainblum Tennis Academy</t>
        </is>
      </c>
      <c r="I174" t="n">
        <v>30.6</v>
      </c>
      <c r="J174" s="4" t="n">
        <v>128</v>
      </c>
      <c r="K174" t="inlineStr">
        <is>
          <t>59 / 69</t>
        </is>
      </c>
      <c r="L174" t="inlineStr">
        <is>
          <t>11 / 18</t>
        </is>
      </c>
      <c r="M174" s="5" t="n">
        <v>0.46</v>
      </c>
      <c r="N174" s="5" t="n">
        <v>0.38</v>
      </c>
    </row>
    <row r="175">
      <c r="A175" t="n">
        <v>174</v>
      </c>
      <c r="B175" t="n">
        <v>2012</v>
      </c>
      <c r="C175" t="inlineStr">
        <is>
          <t>Eliana Cantin</t>
        </is>
      </c>
      <c r="D175">
        <f>HYPERLINK("https://ota.tournamentsoftware.com/player-profile/D4DBD3FF-74D7-4D84-BB8F-104CA729E69E", "Link")</f>
        <v/>
      </c>
      <c r="E175" s="3" t="n">
        <v>541.571</v>
      </c>
      <c r="F175" s="4" t="n">
        <v>13</v>
      </c>
      <c r="G175" t="inlineStr">
        <is>
          <t>Tennis Québec</t>
        </is>
      </c>
      <c r="H175" t="inlineStr">
        <is>
          <t>Centre récréatif de Repentigny / Académie Tennis Momentum</t>
        </is>
      </c>
      <c r="I175" t="n">
        <v>28.9</v>
      </c>
      <c r="J175" s="4" t="n">
        <v>186</v>
      </c>
      <c r="K175" t="inlineStr">
        <is>
          <t>91 / 95</t>
        </is>
      </c>
      <c r="L175" t="inlineStr">
        <is>
          <t>9 / 16</t>
        </is>
      </c>
      <c r="M175" s="5" t="n">
        <v>0.49</v>
      </c>
      <c r="N175" s="5" t="n">
        <v>0.36</v>
      </c>
    </row>
    <row r="176">
      <c r="A176" t="n">
        <v>175</v>
      </c>
      <c r="B176" t="n">
        <v>2013</v>
      </c>
      <c r="C176" t="inlineStr">
        <is>
          <t>Noelle Coyne</t>
        </is>
      </c>
      <c r="D176">
        <f>HYPERLINK("https://ota.tournamentsoftware.com/player-profile/F9F10EB5-F22D-4997-85F1-78377170C70A", "Link")</f>
        <v/>
      </c>
      <c r="E176" s="3" t="n">
        <v>534.269</v>
      </c>
      <c r="F176" s="4" t="n">
        <v>26</v>
      </c>
      <c r="G176" t="inlineStr">
        <is>
          <t>Tennis Alberta</t>
        </is>
      </c>
      <c r="H176" t="inlineStr">
        <is>
          <t>Osten &amp; Victor Alberta Tennis Centre</t>
        </is>
      </c>
      <c r="I176" t="n">
        <v>30.8</v>
      </c>
      <c r="J176" s="4" t="n">
        <v>127</v>
      </c>
      <c r="K176" t="inlineStr">
        <is>
          <t>54 / 73</t>
        </is>
      </c>
      <c r="L176" t="inlineStr">
        <is>
          <t>26 / 34</t>
        </is>
      </c>
      <c r="M176" s="5" t="n">
        <v>0.43</v>
      </c>
      <c r="N176" s="5" t="n">
        <v>0.43</v>
      </c>
    </row>
    <row r="177">
      <c r="A177" t="n">
        <v>176</v>
      </c>
      <c r="B177" t="n">
        <v>2015</v>
      </c>
      <c r="C177" t="inlineStr">
        <is>
          <t>Alyanna Jane Principe</t>
        </is>
      </c>
      <c r="D177">
        <f>HYPERLINK("https://ota.tournamentsoftware.com/player-profile/DF18434B-FE2E-4647-9481-0DA91B5C9B92", "Link")</f>
        <v/>
      </c>
      <c r="E177" s="3" t="n">
        <v>532.043</v>
      </c>
      <c r="F177" s="4" t="n">
        <v>20</v>
      </c>
      <c r="G177" t="inlineStr">
        <is>
          <t>British Columbia</t>
        </is>
      </c>
      <c r="H177" t="inlineStr">
        <is>
          <t>The Tennis Centre</t>
        </is>
      </c>
      <c r="I177" t="n">
        <v>28.6</v>
      </c>
      <c r="J177" s="4" t="n">
        <v>242</v>
      </c>
      <c r="K177" t="inlineStr">
        <is>
          <t>159 / 83</t>
        </is>
      </c>
      <c r="L177" t="inlineStr">
        <is>
          <t>37 / 24</t>
        </is>
      </c>
      <c r="M177" s="5" t="n">
        <v>0.66</v>
      </c>
      <c r="N177" s="5" t="n">
        <v>0.61</v>
      </c>
    </row>
    <row r="178">
      <c r="A178" t="n">
        <v>177</v>
      </c>
      <c r="B178" t="n">
        <v>2014</v>
      </c>
      <c r="C178" t="inlineStr">
        <is>
          <t>Laetitia Thuy Van Nguyen</t>
        </is>
      </c>
      <c r="D178">
        <f>HYPERLINK("https://ota.tournamentsoftware.com/player-profile/B151CB64-D12D-48B2-8087-4EABB50157E8", "Link")</f>
        <v/>
      </c>
      <c r="E178" s="3" t="n">
        <v>530.667</v>
      </c>
      <c r="F178" s="4" t="n">
        <v>23</v>
      </c>
      <c r="G178" t="inlineStr">
        <is>
          <t>Tennis Québec</t>
        </is>
      </c>
      <c r="H178" t="inlineStr">
        <is>
          <t>Tennis Montréal Excellence</t>
        </is>
      </c>
      <c r="I178" t="n">
        <v>29.2</v>
      </c>
      <c r="J178" s="4" t="n">
        <v>224</v>
      </c>
      <c r="K178" t="inlineStr">
        <is>
          <t>123 / 101</t>
        </is>
      </c>
      <c r="L178" t="inlineStr">
        <is>
          <t>37 / 26</t>
        </is>
      </c>
      <c r="M178" s="5" t="n">
        <v>0.55</v>
      </c>
      <c r="N178" s="5" t="n">
        <v>0.59</v>
      </c>
    </row>
    <row r="179">
      <c r="A179" t="n">
        <v>178</v>
      </c>
      <c r="B179" t="n">
        <v>2013</v>
      </c>
      <c r="C179" t="inlineStr">
        <is>
          <t>Sonya Notta</t>
        </is>
      </c>
      <c r="D179">
        <f>HYPERLINK("https://ota.tournamentsoftware.com/player-profile/6AF626BE-D8F1-4939-AF03-813D0A17EE25", "Link")</f>
        <v/>
      </c>
      <c r="E179" s="3" t="n">
        <v>530.568</v>
      </c>
      <c r="F179" s="4" t="n">
        <v>8</v>
      </c>
      <c r="G179" t="inlineStr">
        <is>
          <t>Ontario Tennis Association</t>
        </is>
      </c>
      <c r="H179" t="inlineStr">
        <is>
          <t>Mayfair East Racquet Club</t>
        </is>
      </c>
      <c r="I179" t="inlineStr">
        <is>
          <t>unavailable</t>
        </is>
      </c>
      <c r="J179" s="4" t="n">
        <v>78</v>
      </c>
      <c r="K179" t="inlineStr">
        <is>
          <t>53 / 25</t>
        </is>
      </c>
      <c r="L179" t="inlineStr">
        <is>
          <t>10 / 3</t>
        </is>
      </c>
      <c r="M179" s="5" t="n">
        <v>0.68</v>
      </c>
      <c r="N179" s="5" t="n">
        <v>0.77</v>
      </c>
    </row>
    <row r="180">
      <c r="A180" t="n">
        <v>179</v>
      </c>
      <c r="B180" t="n">
        <v>2013</v>
      </c>
      <c r="C180" t="inlineStr">
        <is>
          <t>Bianca Bordogna</t>
        </is>
      </c>
      <c r="D180">
        <f>HYPERLINK("https://ota.tournamentsoftware.com/player-profile/71A0B4E7-3A92-4F64-82D6-42A032600DC7", "Link")</f>
        <v/>
      </c>
      <c r="E180" s="3" t="n">
        <v>529.64</v>
      </c>
      <c r="F180" s="4" t="n">
        <v>17</v>
      </c>
      <c r="G180" t="inlineStr">
        <is>
          <t>Ontario Tennis Association</t>
        </is>
      </c>
      <c r="H180" t="inlineStr">
        <is>
          <t>Carleton Tennis Centre</t>
        </is>
      </c>
      <c r="I180" t="n">
        <v>30.4</v>
      </c>
      <c r="J180" s="4" t="n">
        <v>114</v>
      </c>
      <c r="K180" t="inlineStr">
        <is>
          <t>60 / 54</t>
        </is>
      </c>
      <c r="L180" t="inlineStr">
        <is>
          <t>17 / 14</t>
        </is>
      </c>
      <c r="M180" s="5" t="n">
        <v>0.53</v>
      </c>
      <c r="N180" s="5" t="n">
        <v>0.55</v>
      </c>
    </row>
    <row r="181">
      <c r="A181" t="n">
        <v>180</v>
      </c>
      <c r="B181" t="n">
        <v>2012</v>
      </c>
      <c r="C181" t="inlineStr">
        <is>
          <t>Meeth Kaur Rai</t>
        </is>
      </c>
      <c r="D181">
        <f>HYPERLINK("https://ota.tournamentsoftware.com/player-profile/3C191393-570A-4DF7-80D4-0613143CE54B", "Link")</f>
        <v/>
      </c>
      <c r="E181" s="3" t="n">
        <v>517.12</v>
      </c>
      <c r="F181" s="4" t="n">
        <v>18</v>
      </c>
      <c r="G181" t="inlineStr">
        <is>
          <t>British Columbia</t>
        </is>
      </c>
      <c r="H181" t="inlineStr">
        <is>
          <t>No Club</t>
        </is>
      </c>
      <c r="I181" t="n">
        <v>28.3</v>
      </c>
      <c r="J181" s="4" t="n">
        <v>230</v>
      </c>
      <c r="K181" t="inlineStr">
        <is>
          <t>126 / 104</t>
        </is>
      </c>
      <c r="L181" t="inlineStr">
        <is>
          <t>16 / 27</t>
        </is>
      </c>
      <c r="M181" s="5" t="n">
        <v>0.55</v>
      </c>
      <c r="N181" s="5" t="n">
        <v>0.37</v>
      </c>
    </row>
    <row r="182">
      <c r="A182" t="n">
        <v>181</v>
      </c>
      <c r="B182" t="n">
        <v>2012</v>
      </c>
      <c r="C182" t="inlineStr">
        <is>
          <t>Ira Karthi</t>
        </is>
      </c>
      <c r="D182">
        <f>HYPERLINK("https://ota.tournamentsoftware.com/player-profile/87DFD688-7475-43FD-B605-7E13CDDC471C", "Link")</f>
        <v/>
      </c>
      <c r="E182" s="3" t="n">
        <v>508.605</v>
      </c>
      <c r="F182" s="4" t="n">
        <v>19</v>
      </c>
      <c r="G182" t="inlineStr">
        <is>
          <t>Ontario Tennis Association</t>
        </is>
      </c>
      <c r="H182" t="inlineStr">
        <is>
          <t>Sandy Beach Tennis Club</t>
        </is>
      </c>
      <c r="I182" t="n">
        <v>31.7</v>
      </c>
      <c r="J182" s="4" t="n">
        <v>77</v>
      </c>
      <c r="K182" t="inlineStr">
        <is>
          <t>23 / 54</t>
        </is>
      </c>
      <c r="L182" t="inlineStr">
        <is>
          <t>12 / 16</t>
        </is>
      </c>
      <c r="M182" s="5" t="n">
        <v>0.3</v>
      </c>
      <c r="N182" s="5" t="n">
        <v>0.43</v>
      </c>
    </row>
    <row r="183">
      <c r="A183" t="n">
        <v>182</v>
      </c>
      <c r="B183" t="n">
        <v>2012</v>
      </c>
      <c r="C183" t="inlineStr">
        <is>
          <t>Emma Sun</t>
        </is>
      </c>
      <c r="D183">
        <f>HYPERLINK("https://ota.tournamentsoftware.com/player-profile/00B8EFA4-17DF-49B4-90DE-B5A577BC8620", "Link")</f>
        <v/>
      </c>
      <c r="E183" s="3" t="n">
        <v>503.724</v>
      </c>
      <c r="F183" s="4" t="n">
        <v>15</v>
      </c>
      <c r="G183" t="inlineStr">
        <is>
          <t>British Columbia</t>
        </is>
      </c>
      <c r="H183" t="inlineStr">
        <is>
          <t>The Tennis Centre</t>
        </is>
      </c>
      <c r="I183" t="n">
        <v>27</v>
      </c>
      <c r="J183" s="4" t="n">
        <v>262</v>
      </c>
      <c r="K183" t="inlineStr">
        <is>
          <t>125 / 137</t>
        </is>
      </c>
      <c r="L183" t="inlineStr">
        <is>
          <t>16 / 16</t>
        </is>
      </c>
      <c r="M183" s="5" t="n">
        <v>0.48</v>
      </c>
      <c r="N183" s="5" t="n">
        <v>0.5</v>
      </c>
    </row>
    <row r="184">
      <c r="A184" t="n">
        <v>183</v>
      </c>
      <c r="B184" t="n">
        <v>2014</v>
      </c>
      <c r="C184" t="inlineStr">
        <is>
          <t>Hanna Julia Barta</t>
        </is>
      </c>
      <c r="D184">
        <f>HYPERLINK("https://ota.tournamentsoftware.com/player-profile/BAF4D69B-39E5-4A7E-BB04-5AF0EDC7734B", "Link")</f>
        <v/>
      </c>
      <c r="E184" s="3" t="n">
        <v>500.277</v>
      </c>
      <c r="F184" s="4" t="n">
        <v>24</v>
      </c>
      <c r="G184" t="inlineStr">
        <is>
          <t>Ontario Tennis Association</t>
        </is>
      </c>
      <c r="H184" t="inlineStr">
        <is>
          <t>Advantage Tennis International at Veneto</t>
        </is>
      </c>
      <c r="I184" t="n">
        <v>31.8</v>
      </c>
      <c r="J184" s="4" t="n">
        <v>211</v>
      </c>
      <c r="K184" t="inlineStr">
        <is>
          <t>105 / 106</t>
        </is>
      </c>
      <c r="L184" t="inlineStr">
        <is>
          <t>25 / 20</t>
        </is>
      </c>
      <c r="M184" s="5" t="n">
        <v>0.5</v>
      </c>
      <c r="N184" s="5" t="n">
        <v>0.5600000000000001</v>
      </c>
    </row>
    <row r="185">
      <c r="A185" t="n">
        <v>184</v>
      </c>
      <c r="B185" t="n">
        <v>2013</v>
      </c>
      <c r="C185" t="inlineStr">
        <is>
          <t>Mariela Ibrahim</t>
        </is>
      </c>
      <c r="D185">
        <f>HYPERLINK("https://ota.tournamentsoftware.com/player-profile/D80C965C-4117-4C2C-9F46-F371E9E47454", "Link")</f>
        <v/>
      </c>
      <c r="E185" s="3" t="n">
        <v>499.042</v>
      </c>
      <c r="F185" s="4" t="n">
        <v>31</v>
      </c>
      <c r="G185" t="inlineStr">
        <is>
          <t>Ontario Tennis Association</t>
        </is>
      </c>
      <c r="H185" t="inlineStr">
        <is>
          <t>Concord Tennis Academy</t>
        </is>
      </c>
      <c r="I185" t="inlineStr">
        <is>
          <t>unavailable</t>
        </is>
      </c>
      <c r="J185" s="4" t="n">
        <v>114</v>
      </c>
      <c r="K185" t="inlineStr">
        <is>
          <t>66 / 48</t>
        </is>
      </c>
      <c r="L185" t="inlineStr">
        <is>
          <t>32 / 22</t>
        </is>
      </c>
      <c r="M185" s="5" t="n">
        <v>0.58</v>
      </c>
      <c r="N185" s="5" t="n">
        <v>0.59</v>
      </c>
    </row>
    <row r="186">
      <c r="A186" t="n">
        <v>185</v>
      </c>
      <c r="B186" t="n">
        <v>2012</v>
      </c>
      <c r="C186" t="inlineStr">
        <is>
          <t>Alexandra Bayentin</t>
        </is>
      </c>
      <c r="D186">
        <f>HYPERLINK("https://ota.tournamentsoftware.com/player-profile/EFF894D9-35F7-45C9-9C57-06584708D213", "Link")</f>
        <v/>
      </c>
      <c r="E186" s="3" t="n">
        <v>499.016</v>
      </c>
      <c r="F186" s="4" t="n">
        <v>14</v>
      </c>
      <c r="G186" t="inlineStr">
        <is>
          <t>Tennis Alberta</t>
        </is>
      </c>
      <c r="H186" t="inlineStr">
        <is>
          <t>Osten &amp; Victor Alberta Tennis Centre</t>
        </is>
      </c>
      <c r="I186" t="n">
        <v>28.3</v>
      </c>
      <c r="J186" s="4" t="n">
        <v>167</v>
      </c>
      <c r="K186" t="inlineStr">
        <is>
          <t>81 / 86</t>
        </is>
      </c>
      <c r="L186" t="inlineStr">
        <is>
          <t>11 / 12</t>
        </is>
      </c>
      <c r="M186" s="5" t="n">
        <v>0.49</v>
      </c>
      <c r="N186" s="5" t="n">
        <v>0.48</v>
      </c>
    </row>
    <row r="187">
      <c r="A187" t="n">
        <v>186</v>
      </c>
      <c r="B187" t="n">
        <v>2015</v>
      </c>
      <c r="C187" t="inlineStr">
        <is>
          <t>Abbey Crump</t>
        </is>
      </c>
      <c r="D187">
        <f>HYPERLINK("https://ota.tournamentsoftware.com/player-profile/92F0423F-2B57-40B1-A6AA-5C7DC6477800", "Link")</f>
        <v/>
      </c>
      <c r="E187" s="3" t="n">
        <v>493.889</v>
      </c>
      <c r="F187" s="4" t="n">
        <v>16</v>
      </c>
      <c r="G187" t="inlineStr">
        <is>
          <t>Ontario Tennis Association</t>
        </is>
      </c>
      <c r="H187" t="inlineStr">
        <is>
          <t>Joshua Creek Golf &amp; Tennis</t>
        </is>
      </c>
      <c r="I187" t="n">
        <v>30.7</v>
      </c>
      <c r="J187" s="4" t="n">
        <v>146</v>
      </c>
      <c r="K187" t="inlineStr">
        <is>
          <t>120 / 26</t>
        </is>
      </c>
      <c r="L187" t="inlineStr">
        <is>
          <t>28 / 15</t>
        </is>
      </c>
      <c r="M187" s="5" t="n">
        <v>0.82</v>
      </c>
      <c r="N187" s="5" t="n">
        <v>0.65</v>
      </c>
    </row>
    <row r="188">
      <c r="A188" t="n">
        <v>187</v>
      </c>
      <c r="B188" t="n">
        <v>2013</v>
      </c>
      <c r="C188" t="inlineStr">
        <is>
          <t>Livia Seguin</t>
        </is>
      </c>
      <c r="D188">
        <f>HYPERLINK("https://ota.tournamentsoftware.com/player-profile/2B987274-8A56-4EE6-B85D-948871231CC0", "Link")</f>
        <v/>
      </c>
      <c r="E188" s="3" t="n">
        <v>493.701</v>
      </c>
      <c r="F188" s="4" t="n">
        <v>38</v>
      </c>
      <c r="G188" t="inlineStr">
        <is>
          <t>Tennis Québec</t>
        </is>
      </c>
      <c r="H188" t="inlineStr">
        <is>
          <t>Tennis Interclub Piedmont</t>
        </is>
      </c>
      <c r="I188" t="n">
        <v>32.8</v>
      </c>
      <c r="J188" s="4" t="n">
        <v>139</v>
      </c>
      <c r="K188" t="inlineStr">
        <is>
          <t>43 / 96</t>
        </is>
      </c>
      <c r="L188" t="inlineStr">
        <is>
          <t>19 / 35</t>
        </is>
      </c>
      <c r="M188" s="5" t="n">
        <v>0.31</v>
      </c>
      <c r="N188" s="5" t="n">
        <v>0.35</v>
      </c>
    </row>
    <row r="189">
      <c r="A189" t="n">
        <v>188</v>
      </c>
      <c r="B189" t="n">
        <v>2013</v>
      </c>
      <c r="C189" t="inlineStr">
        <is>
          <t>Mila Anna Kodjian</t>
        </is>
      </c>
      <c r="D189">
        <f>HYPERLINK("https://ota.tournamentsoftware.com/player-profile/CE1F1BC7-04CB-4652-A947-AF91FA03ECD5", "Link")</f>
        <v/>
      </c>
      <c r="E189" s="3" t="n">
        <v>491.4</v>
      </c>
      <c r="F189" s="4" t="n">
        <v>17</v>
      </c>
      <c r="G189" t="inlineStr">
        <is>
          <t>Ontario Tennis Association</t>
        </is>
      </c>
      <c r="H189" t="inlineStr">
        <is>
          <t>Rosethorn Tennis Club</t>
        </is>
      </c>
      <c r="I189" t="n">
        <v>31.9</v>
      </c>
      <c r="J189" s="4" t="n">
        <v>115</v>
      </c>
      <c r="K189" t="inlineStr">
        <is>
          <t>66 / 49</t>
        </is>
      </c>
      <c r="L189" t="inlineStr">
        <is>
          <t>25 / 11</t>
        </is>
      </c>
      <c r="M189" s="5" t="n">
        <v>0.57</v>
      </c>
      <c r="N189" s="5" t="n">
        <v>0.6899999999999999</v>
      </c>
    </row>
    <row r="190">
      <c r="A190" t="n">
        <v>189</v>
      </c>
      <c r="B190" t="n">
        <v>2012</v>
      </c>
      <c r="C190" t="inlineStr">
        <is>
          <t>MISHIKA SURESH BALAJI</t>
        </is>
      </c>
      <c r="D190">
        <f>HYPERLINK("https://ota.tournamentsoftware.com/player-profile/B11C615C-6BB8-4655-BCAA-370D01C186B1", "Link")</f>
        <v/>
      </c>
      <c r="E190" s="3" t="n">
        <v>488.52</v>
      </c>
      <c r="F190" s="4" t="n">
        <v>18</v>
      </c>
      <c r="G190" t="inlineStr">
        <is>
          <t>Tennis Nova Scotia</t>
        </is>
      </c>
      <c r="H190" t="inlineStr">
        <is>
          <t>Atlantic Tennis Centre</t>
        </is>
      </c>
      <c r="I190" t="n">
        <v>27.8</v>
      </c>
      <c r="J190" s="4" t="n">
        <v>173</v>
      </c>
      <c r="K190" t="inlineStr">
        <is>
          <t>91 / 82</t>
        </is>
      </c>
      <c r="L190" t="inlineStr">
        <is>
          <t>26 / 14</t>
        </is>
      </c>
      <c r="M190" s="5" t="n">
        <v>0.53</v>
      </c>
      <c r="N190" s="5" t="n">
        <v>0.65</v>
      </c>
    </row>
    <row r="191">
      <c r="A191" t="n">
        <v>190</v>
      </c>
      <c r="B191" t="n">
        <v>2012</v>
      </c>
      <c r="C191" t="inlineStr">
        <is>
          <t>Maya Sophia Abdullah</t>
        </is>
      </c>
      <c r="D191">
        <f>HYPERLINK("https://ota.tournamentsoftware.com/player-profile/6169AD2A-5AC2-4220-8B87-C5D54BAF6AD4", "Link")</f>
        <v/>
      </c>
      <c r="E191" s="3" t="n">
        <v>485.934</v>
      </c>
      <c r="F191" s="4" t="n">
        <v>20</v>
      </c>
      <c r="G191" t="inlineStr">
        <is>
          <t>Tennis Alberta</t>
        </is>
      </c>
      <c r="H191" t="inlineStr">
        <is>
          <t>Aforza</t>
        </is>
      </c>
      <c r="I191" t="n">
        <v>30.6</v>
      </c>
      <c r="J191" s="4" t="n">
        <v>64</v>
      </c>
      <c r="K191" t="inlineStr">
        <is>
          <t>32 / 32</t>
        </is>
      </c>
      <c r="L191" t="inlineStr">
        <is>
          <t>20 / 20</t>
        </is>
      </c>
      <c r="M191" s="5" t="n">
        <v>0.5</v>
      </c>
      <c r="N191" s="5" t="n">
        <v>0.5</v>
      </c>
    </row>
    <row r="192">
      <c r="A192" t="n">
        <v>191</v>
      </c>
      <c r="B192" t="n">
        <v>2014</v>
      </c>
      <c r="C192" t="inlineStr">
        <is>
          <t>Naima Majumdar-Moreau</t>
        </is>
      </c>
      <c r="D192">
        <f>HYPERLINK("https://ota.tournamentsoftware.com/player-profile/DCA02929-B08F-46CE-9CFE-852A987CEBF8", "Link")</f>
        <v/>
      </c>
      <c r="E192" s="3" t="n">
        <v>485.9</v>
      </c>
      <c r="F192" s="4" t="n">
        <v>32</v>
      </c>
      <c r="G192" t="inlineStr">
        <is>
          <t>Tennis Québec</t>
        </is>
      </c>
      <c r="H192" t="inlineStr">
        <is>
          <t>Tennis Ile- des- Soeurs</t>
        </is>
      </c>
      <c r="I192" t="inlineStr">
        <is>
          <t>unavailable</t>
        </is>
      </c>
      <c r="J192" s="4" t="n">
        <v>166</v>
      </c>
      <c r="K192" t="inlineStr">
        <is>
          <t>77 / 89</t>
        </is>
      </c>
      <c r="L192" t="inlineStr">
        <is>
          <t>31 / 31</t>
        </is>
      </c>
      <c r="M192" s="5" t="n">
        <v>0.46</v>
      </c>
      <c r="N192" s="5" t="n">
        <v>0.5</v>
      </c>
    </row>
    <row r="193">
      <c r="A193" t="n">
        <v>192</v>
      </c>
      <c r="B193" t="n">
        <v>2014</v>
      </c>
      <c r="C193" t="inlineStr">
        <is>
          <t>Anica Yachun Liu</t>
        </is>
      </c>
      <c r="D193">
        <f>HYPERLINK("https://ota.tournamentsoftware.com/player-profile/B58148E6-4895-4918-B4B6-ADFAA5FEE0D2", "Link")</f>
        <v/>
      </c>
      <c r="E193" s="3" t="n">
        <v>474.089</v>
      </c>
      <c r="F193" s="4" t="n">
        <v>21</v>
      </c>
      <c r="G193" t="inlineStr">
        <is>
          <t>Tennis Alberta</t>
        </is>
      </c>
      <c r="H193" t="inlineStr">
        <is>
          <t>Saville Community Sports Centre</t>
        </is>
      </c>
      <c r="I193" t="n">
        <v>29.3</v>
      </c>
      <c r="J193" s="4" t="n">
        <v>224</v>
      </c>
      <c r="K193" t="inlineStr">
        <is>
          <t>111 / 113</t>
        </is>
      </c>
      <c r="L193" t="inlineStr">
        <is>
          <t>30 / 35</t>
        </is>
      </c>
      <c r="M193" s="5" t="n">
        <v>0.5</v>
      </c>
      <c r="N193" s="5" t="n">
        <v>0.46</v>
      </c>
    </row>
    <row r="194">
      <c r="A194" t="n">
        <v>193</v>
      </c>
      <c r="B194" t="n">
        <v>2013</v>
      </c>
      <c r="C194" t="inlineStr">
        <is>
          <t>Juliana Sophie Ho</t>
        </is>
      </c>
      <c r="D194">
        <f>HYPERLINK("https://ota.tournamentsoftware.com/player-profile/D79AC720-EA55-42CC-ACCB-558E5C86D00C", "Link")</f>
        <v/>
      </c>
      <c r="E194" s="3" t="n">
        <v>468.722</v>
      </c>
      <c r="F194" s="4" t="n">
        <v>28</v>
      </c>
      <c r="G194" t="inlineStr">
        <is>
          <t>Ontario Tennis Association</t>
        </is>
      </c>
      <c r="H194" t="inlineStr">
        <is>
          <t>Ontario Racquet Club</t>
        </is>
      </c>
      <c r="I194" t="n">
        <v>32.1</v>
      </c>
      <c r="J194" s="4" t="n">
        <v>144</v>
      </c>
      <c r="K194" t="inlineStr">
        <is>
          <t>73 / 71</t>
        </is>
      </c>
      <c r="L194" t="inlineStr">
        <is>
          <t>21 / 20</t>
        </is>
      </c>
      <c r="M194" s="5" t="n">
        <v>0.51</v>
      </c>
      <c r="N194" s="5" t="n">
        <v>0.51</v>
      </c>
    </row>
    <row r="195">
      <c r="A195" t="n">
        <v>194</v>
      </c>
      <c r="B195" t="n">
        <v>2012</v>
      </c>
      <c r="C195" t="inlineStr">
        <is>
          <t>Izibeyle Bhopal</t>
        </is>
      </c>
      <c r="D195">
        <f>HYPERLINK("https://ota.tournamentsoftware.com/player-profile/E9C7A60A-D097-4925-9456-764C57DCF01A", "Link")</f>
        <v/>
      </c>
      <c r="E195" s="3" t="n">
        <v>468.448</v>
      </c>
      <c r="F195" s="4" t="n">
        <v>2</v>
      </c>
      <c r="G195" t="inlineStr">
        <is>
          <t>British Columbia</t>
        </is>
      </c>
      <c r="H195" t="inlineStr">
        <is>
          <t>Bear Mountain Golf and Tennis Club</t>
        </is>
      </c>
      <c r="I195" t="n">
        <v>24.3</v>
      </c>
      <c r="J195" s="4" t="n">
        <v>64</v>
      </c>
      <c r="K195" t="inlineStr">
        <is>
          <t>39 / 25</t>
        </is>
      </c>
      <c r="L195" t="inlineStr">
        <is>
          <t>4 / 0</t>
        </is>
      </c>
      <c r="M195" s="5" t="n">
        <v>0.61</v>
      </c>
      <c r="N195" s="5" t="n">
        <v>1</v>
      </c>
    </row>
    <row r="196">
      <c r="A196" t="n">
        <v>195</v>
      </c>
      <c r="B196" t="n">
        <v>2014</v>
      </c>
      <c r="C196" t="inlineStr">
        <is>
          <t>Eva Larose</t>
        </is>
      </c>
      <c r="D196">
        <f>HYPERLINK("https://ota.tournamentsoftware.com/player-profile/BC2D4F14-515B-4F2A-AD3B-8DA03F3E5E5B", "Link")</f>
        <v/>
      </c>
      <c r="E196" s="3" t="n">
        <v>466.782</v>
      </c>
      <c r="F196" s="4" t="n">
        <v>22</v>
      </c>
      <c r="G196" t="inlineStr">
        <is>
          <t>Tennis Québec</t>
        </is>
      </c>
      <c r="H196" t="inlineStr">
        <is>
          <t>Tennis Ile- des- Soeurs</t>
        </is>
      </c>
      <c r="I196" t="inlineStr">
        <is>
          <t>unavailable</t>
        </is>
      </c>
      <c r="J196" s="4" t="n">
        <v>171</v>
      </c>
      <c r="K196" t="inlineStr">
        <is>
          <t>99 / 72</t>
        </is>
      </c>
      <c r="L196" t="inlineStr">
        <is>
          <t>44 / 21</t>
        </is>
      </c>
      <c r="M196" s="5" t="n">
        <v>0.58</v>
      </c>
      <c r="N196" s="5" t="n">
        <v>0.68</v>
      </c>
    </row>
    <row r="197">
      <c r="A197" t="n">
        <v>196</v>
      </c>
      <c r="B197" t="n">
        <v>2016</v>
      </c>
      <c r="C197" t="inlineStr">
        <is>
          <t>Alisha Goel</t>
        </is>
      </c>
      <c r="D197">
        <f>HYPERLINK("https://ota.tournamentsoftware.com/player-profile/7F9E9DD0-77A1-4F40-B2B5-C4B89592B089", "Link")</f>
        <v/>
      </c>
      <c r="E197" s="3" t="n">
        <v>459.47</v>
      </c>
      <c r="F197" s="4" t="n">
        <v>27</v>
      </c>
      <c r="G197" t="inlineStr">
        <is>
          <t>Ontario Tennis Association</t>
        </is>
      </c>
      <c r="H197" t="inlineStr">
        <is>
          <t>The Supreme Court Tennis Club</t>
        </is>
      </c>
      <c r="I197" t="n">
        <v>32.5</v>
      </c>
      <c r="J197" s="4" t="n">
        <v>185</v>
      </c>
      <c r="K197" t="inlineStr">
        <is>
          <t>124 / 61</t>
        </is>
      </c>
      <c r="L197" t="inlineStr">
        <is>
          <t>37 / 23</t>
        </is>
      </c>
      <c r="M197" s="5" t="n">
        <v>0.67</v>
      </c>
      <c r="N197" s="5" t="n">
        <v>0.62</v>
      </c>
    </row>
    <row r="198">
      <c r="A198" t="n">
        <v>197</v>
      </c>
      <c r="B198" t="n">
        <v>2013</v>
      </c>
      <c r="C198" t="inlineStr">
        <is>
          <t>Audrey Yiyi Xu</t>
        </is>
      </c>
      <c r="D198">
        <f>HYPERLINK("https://ota.tournamentsoftware.com/player-profile/25D8C643-E3DC-418B-948B-22520C94F8E3", "Link")</f>
        <v/>
      </c>
      <c r="E198" s="3" t="n">
        <v>458.022</v>
      </c>
      <c r="F198" s="4" t="n">
        <v>25</v>
      </c>
      <c r="G198" t="inlineStr">
        <is>
          <t>Ontario Tennis Association</t>
        </is>
      </c>
      <c r="H198" t="inlineStr">
        <is>
          <t>Joshua Creek Golf &amp; Tennis</t>
        </is>
      </c>
      <c r="I198" t="n">
        <v>31.7</v>
      </c>
      <c r="J198" s="4" t="n">
        <v>152</v>
      </c>
      <c r="K198" t="inlineStr">
        <is>
          <t>68 / 84</t>
        </is>
      </c>
      <c r="L198" t="inlineStr">
        <is>
          <t>29 / 20</t>
        </is>
      </c>
      <c r="M198" s="5" t="n">
        <v>0.45</v>
      </c>
      <c r="N198" s="5" t="n">
        <v>0.59</v>
      </c>
    </row>
    <row r="199">
      <c r="A199" t="n">
        <v>198</v>
      </c>
      <c r="B199" t="n">
        <v>2013</v>
      </c>
      <c r="C199" t="inlineStr">
        <is>
          <t>Ria Tamber</t>
        </is>
      </c>
      <c r="D199">
        <f>HYPERLINK("https://ota.tournamentsoftware.com/player-profile/4A086BBB-EEC2-48A4-BDDA-142D9D4A3534", "Link")</f>
        <v/>
      </c>
      <c r="E199" s="3" t="n">
        <v>453.475</v>
      </c>
      <c r="F199" s="4" t="n">
        <v>24</v>
      </c>
      <c r="G199" t="inlineStr">
        <is>
          <t>Ontario Tennis Association</t>
        </is>
      </c>
      <c r="H199" t="inlineStr">
        <is>
          <t>Premier Racquet Clubs – Mississauga</t>
        </is>
      </c>
      <c r="I199" t="inlineStr">
        <is>
          <t>unavailable</t>
        </is>
      </c>
      <c r="J199" s="4" t="n">
        <v>107</v>
      </c>
      <c r="K199" t="inlineStr">
        <is>
          <t>48 / 59</t>
        </is>
      </c>
      <c r="L199" t="inlineStr">
        <is>
          <t>21 / 19</t>
        </is>
      </c>
      <c r="M199" s="5" t="n">
        <v>0.45</v>
      </c>
      <c r="N199" s="5" t="n">
        <v>0.53</v>
      </c>
    </row>
    <row r="200">
      <c r="A200" t="n">
        <v>199</v>
      </c>
      <c r="B200" t="n">
        <v>2013</v>
      </c>
      <c r="C200" t="inlineStr">
        <is>
          <t>Rosemarie Gagnon</t>
        </is>
      </c>
      <c r="D200">
        <f>HYPERLINK("https://ota.tournamentsoftware.com/player-profile/55A370D6-4FAD-414D-9E3D-2889C644855A", "Link")</f>
        <v/>
      </c>
      <c r="E200" s="3" t="n">
        <v>449.918</v>
      </c>
      <c r="F200" s="4" t="n">
        <v>21</v>
      </c>
      <c r="G200" t="inlineStr">
        <is>
          <t>Tennis Québec</t>
        </is>
      </c>
      <c r="H200" t="inlineStr">
        <is>
          <t>Club de tennis intérieur Saguenay / École de tennis Delisle-Poirel</t>
        </is>
      </c>
      <c r="I200" t="n">
        <v>31.7</v>
      </c>
      <c r="J200" s="4" t="n">
        <v>116</v>
      </c>
      <c r="K200" t="inlineStr">
        <is>
          <t>51 / 65</t>
        </is>
      </c>
      <c r="L200" t="inlineStr">
        <is>
          <t>13 / 20</t>
        </is>
      </c>
      <c r="M200" s="5" t="n">
        <v>0.44</v>
      </c>
      <c r="N200" s="5" t="n">
        <v>0.39</v>
      </c>
    </row>
    <row r="201">
      <c r="A201" t="n">
        <v>200</v>
      </c>
      <c r="B201" t="n">
        <v>2013</v>
      </c>
      <c r="C201" t="inlineStr">
        <is>
          <t>Alexandra Choe</t>
        </is>
      </c>
      <c r="D201">
        <f>HYPERLINK("https://ota.tournamentsoftware.com/player-profile/0BFF8F09-A612-40D9-B491-E305A472672B", "Link")</f>
        <v/>
      </c>
      <c r="E201" s="3" t="n">
        <v>449.276</v>
      </c>
      <c r="F201" s="4" t="n">
        <v>11</v>
      </c>
      <c r="G201" t="inlineStr">
        <is>
          <t>Ontario Tennis Association</t>
        </is>
      </c>
      <c r="H201" t="inlineStr">
        <is>
          <t>Joshua Creek Golf &amp; Tennis</t>
        </is>
      </c>
      <c r="I201" t="n">
        <v>29.9</v>
      </c>
      <c r="J201" s="4" t="n">
        <v>221</v>
      </c>
      <c r="K201" t="inlineStr">
        <is>
          <t>135 / 86</t>
        </is>
      </c>
      <c r="L201" t="inlineStr">
        <is>
          <t>8 / 4</t>
        </is>
      </c>
      <c r="M201" s="5" t="n">
        <v>0.61</v>
      </c>
      <c r="N201" s="5" t="n">
        <v>0.67</v>
      </c>
    </row>
    <row r="202">
      <c r="A202" t="n">
        <v>201</v>
      </c>
      <c r="B202" t="n">
        <v>2014</v>
      </c>
      <c r="C202" t="inlineStr">
        <is>
          <t>Katelyn Li</t>
        </is>
      </c>
      <c r="D202">
        <f>HYPERLINK("https://ota.tournamentsoftware.com/player-profile/4A74B151-256A-40ED-9F9D-F00036EDD0A5", "Link")</f>
        <v/>
      </c>
      <c r="E202" s="3" t="n">
        <v>449.064</v>
      </c>
      <c r="F202" s="4" t="n">
        <v>27</v>
      </c>
      <c r="G202" t="inlineStr">
        <is>
          <t>Ontario Tennis Association</t>
        </is>
      </c>
      <c r="H202" t="inlineStr">
        <is>
          <t>Burlington Hall Sporting Club</t>
        </is>
      </c>
      <c r="I202" t="inlineStr">
        <is>
          <t>unavailable</t>
        </is>
      </c>
      <c r="J202" s="4" t="n">
        <v>140</v>
      </c>
      <c r="K202" t="inlineStr">
        <is>
          <t>66 / 74</t>
        </is>
      </c>
      <c r="L202" t="inlineStr">
        <is>
          <t>25 / 24</t>
        </is>
      </c>
      <c r="M202" s="5" t="n">
        <v>0.47</v>
      </c>
      <c r="N202" s="5" t="n">
        <v>0.51</v>
      </c>
    </row>
    <row r="203">
      <c r="A203" t="n">
        <v>202</v>
      </c>
      <c r="B203" t="n">
        <v>2013</v>
      </c>
      <c r="C203" t="inlineStr">
        <is>
          <t>Tia Patel</t>
        </is>
      </c>
      <c r="D203">
        <f>HYPERLINK("https://ota.tournamentsoftware.com/player-profile/5C480574-FD9C-4816-B1CF-F51441726B25", "Link")</f>
        <v/>
      </c>
      <c r="E203" s="3" t="n">
        <v>448.394</v>
      </c>
      <c r="F203" s="4" t="n">
        <v>17</v>
      </c>
      <c r="G203" t="inlineStr">
        <is>
          <t>Ontario Tennis Association</t>
        </is>
      </c>
      <c r="H203" t="inlineStr">
        <is>
          <t>Waterloo Tennis Club</t>
        </is>
      </c>
      <c r="I203" t="n">
        <v>32.8</v>
      </c>
      <c r="J203" s="4" t="n">
        <v>87</v>
      </c>
      <c r="K203" t="inlineStr">
        <is>
          <t>33 / 54</t>
        </is>
      </c>
      <c r="L203" t="inlineStr">
        <is>
          <t>11 / 14</t>
        </is>
      </c>
      <c r="M203" s="5" t="n">
        <v>0.38</v>
      </c>
      <c r="N203" s="5" t="n">
        <v>0.44</v>
      </c>
    </row>
    <row r="204">
      <c r="A204" t="n">
        <v>203</v>
      </c>
      <c r="B204" t="n">
        <v>2013</v>
      </c>
      <c r="C204" t="inlineStr">
        <is>
          <t>Rihanna Kulyk</t>
        </is>
      </c>
      <c r="D204">
        <f>HYPERLINK("https://ota.tournamentsoftware.com/player-profile/6E1703BA-DB25-4B47-9BB7-314BDDCFDBAC", "Link")</f>
        <v/>
      </c>
      <c r="E204" s="3" t="n">
        <v>444.665</v>
      </c>
      <c r="F204" s="4" t="n">
        <v>24</v>
      </c>
      <c r="G204" t="inlineStr">
        <is>
          <t>Tennis Québec</t>
        </is>
      </c>
      <c r="H204" t="inlineStr">
        <is>
          <t>Tennis Ile- des- Soeurs</t>
        </is>
      </c>
      <c r="I204" t="inlineStr">
        <is>
          <t>unavailable</t>
        </is>
      </c>
      <c r="J204" s="4" t="n">
        <v>242</v>
      </c>
      <c r="K204" t="inlineStr">
        <is>
          <t>106 / 136</t>
        </is>
      </c>
      <c r="L204" t="inlineStr">
        <is>
          <t>13 / 21</t>
        </is>
      </c>
      <c r="M204" s="5" t="n">
        <v>0.44</v>
      </c>
      <c r="N204" s="5" t="n">
        <v>0.38</v>
      </c>
    </row>
    <row r="205">
      <c r="A205" t="n">
        <v>204</v>
      </c>
      <c r="B205" t="n">
        <v>2014</v>
      </c>
      <c r="C205" t="inlineStr">
        <is>
          <t>Sara Liao</t>
        </is>
      </c>
      <c r="D205">
        <f>HYPERLINK("https://ota.tournamentsoftware.com/player-profile/A86A9BCB-375D-415C-BD04-3D7638B2F6E8", "Link")</f>
        <v/>
      </c>
      <c r="E205" s="3" t="n">
        <v>443.842</v>
      </c>
      <c r="F205" s="4" t="n">
        <v>36</v>
      </c>
      <c r="G205" t="inlineStr">
        <is>
          <t>Ontario Tennis Association</t>
        </is>
      </c>
      <c r="H205" t="inlineStr">
        <is>
          <t>Ontario Racquet Club</t>
        </is>
      </c>
      <c r="I205" t="n">
        <v>31.7</v>
      </c>
      <c r="J205" s="4" t="n">
        <v>126</v>
      </c>
      <c r="K205" t="inlineStr">
        <is>
          <t>62 / 64</t>
        </is>
      </c>
      <c r="L205" t="inlineStr">
        <is>
          <t>35 / 31</t>
        </is>
      </c>
      <c r="M205" s="5" t="n">
        <v>0.49</v>
      </c>
      <c r="N205" s="5" t="n">
        <v>0.53</v>
      </c>
    </row>
    <row r="206">
      <c r="A206" t="n">
        <v>205</v>
      </c>
      <c r="B206" t="n">
        <v>2012</v>
      </c>
      <c r="C206" t="inlineStr">
        <is>
          <t>Ella Zhao</t>
        </is>
      </c>
      <c r="D206">
        <f>HYPERLINK("https://ota.tournamentsoftware.com/player-profile/4CFC4B61-0F67-4AD7-8CC6-03CC7A224737", "Link")</f>
        <v/>
      </c>
      <c r="E206" s="3" t="n">
        <v>442.478</v>
      </c>
      <c r="F206" s="4" t="n">
        <v>8</v>
      </c>
      <c r="G206" t="inlineStr">
        <is>
          <t>British Columbia</t>
        </is>
      </c>
      <c r="H206" t="inlineStr">
        <is>
          <t>North Shore Winter Club</t>
        </is>
      </c>
      <c r="I206" t="n">
        <v>26.8</v>
      </c>
      <c r="J206" s="4" t="n">
        <v>121</v>
      </c>
      <c r="K206" t="inlineStr">
        <is>
          <t>89 / 32</t>
        </is>
      </c>
      <c r="L206" t="inlineStr">
        <is>
          <t>9 / 7</t>
        </is>
      </c>
      <c r="M206" s="5" t="n">
        <v>0.74</v>
      </c>
      <c r="N206" s="5" t="n">
        <v>0.5600000000000001</v>
      </c>
    </row>
    <row r="207">
      <c r="A207" t="n">
        <v>206</v>
      </c>
      <c r="B207" t="n">
        <v>2014</v>
      </c>
      <c r="C207" t="inlineStr">
        <is>
          <t>Ema Zonjic</t>
        </is>
      </c>
      <c r="D207">
        <f>HYPERLINK("https://ota.tournamentsoftware.com/player-profile/42A43C76-E08F-4134-B876-2E9D05859D92", "Link")</f>
        <v/>
      </c>
      <c r="E207" s="3" t="n">
        <v>436.899</v>
      </c>
      <c r="F207" s="4" t="n">
        <v>27</v>
      </c>
      <c r="G207" t="inlineStr">
        <is>
          <t>Ontario Tennis Association</t>
        </is>
      </c>
      <c r="H207" t="inlineStr">
        <is>
          <t>Rideau Sports Centre</t>
        </is>
      </c>
      <c r="I207" t="n">
        <v>30.5</v>
      </c>
      <c r="J207" s="4" t="n">
        <v>197</v>
      </c>
      <c r="K207" t="inlineStr">
        <is>
          <t>114 / 83</t>
        </is>
      </c>
      <c r="L207" t="inlineStr">
        <is>
          <t>46 / 26</t>
        </is>
      </c>
      <c r="M207" s="5" t="n">
        <v>0.58</v>
      </c>
      <c r="N207" s="5" t="n">
        <v>0.64</v>
      </c>
    </row>
    <row r="208">
      <c r="A208" t="n">
        <v>207</v>
      </c>
      <c r="B208" t="n">
        <v>2015</v>
      </c>
      <c r="C208" t="inlineStr">
        <is>
          <t>Tina liu</t>
        </is>
      </c>
      <c r="D208">
        <f>HYPERLINK("https://ota.tournamentsoftware.com/player-profile/E7D1FBAC-8033-480E-A688-28CBCEF6D907", "Link")</f>
        <v/>
      </c>
      <c r="E208" s="3" t="n">
        <v>436.506</v>
      </c>
      <c r="F208" s="4" t="n">
        <v>28</v>
      </c>
      <c r="G208" t="inlineStr">
        <is>
          <t>Ontario Tennis Association</t>
        </is>
      </c>
      <c r="H208" t="inlineStr">
        <is>
          <t>Advantage Tennis International at Veneto</t>
        </is>
      </c>
      <c r="I208" t="n">
        <v>32.1</v>
      </c>
      <c r="J208" s="4" t="n">
        <v>205</v>
      </c>
      <c r="K208" t="inlineStr">
        <is>
          <t>131 / 74</t>
        </is>
      </c>
      <c r="L208" t="inlineStr">
        <is>
          <t>35 / 21</t>
        </is>
      </c>
      <c r="M208" s="5" t="n">
        <v>0.64</v>
      </c>
      <c r="N208" s="5" t="n">
        <v>0.62</v>
      </c>
    </row>
    <row r="209">
      <c r="A209" t="n">
        <v>208</v>
      </c>
      <c r="B209" t="n">
        <v>2014</v>
      </c>
      <c r="C209" t="inlineStr">
        <is>
          <t>Maeva Cantin</t>
        </is>
      </c>
      <c r="D209">
        <f>HYPERLINK("https://ota.tournamentsoftware.com/player-profile/B46D6374-4A68-4FB0-8516-4056AFA1047A", "Link")</f>
        <v/>
      </c>
      <c r="E209" s="3" t="n">
        <v>433.008</v>
      </c>
      <c r="F209" s="4" t="n">
        <v>15</v>
      </c>
      <c r="G209" t="inlineStr">
        <is>
          <t>Tennis Québec</t>
        </is>
      </c>
      <c r="H209" t="inlineStr">
        <is>
          <t>Centre récréatif de Repentigny / Académie Tennis Momentum</t>
        </is>
      </c>
      <c r="I209" t="n">
        <v>30.7</v>
      </c>
      <c r="J209" s="4" t="n">
        <v>152</v>
      </c>
      <c r="K209" t="inlineStr">
        <is>
          <t>82 / 70</t>
        </is>
      </c>
      <c r="L209" t="inlineStr">
        <is>
          <t>29 / 17</t>
        </is>
      </c>
      <c r="M209" s="5" t="n">
        <v>0.54</v>
      </c>
      <c r="N209" s="5" t="n">
        <v>0.63</v>
      </c>
    </row>
    <row r="210">
      <c r="A210" t="n">
        <v>209</v>
      </c>
      <c r="B210" t="n">
        <v>2014</v>
      </c>
      <c r="C210" t="inlineStr">
        <is>
          <t>Olivia Zhang</t>
        </is>
      </c>
      <c r="D210">
        <f>HYPERLINK("https://ota.tournamentsoftware.com/player-profile/8A1E61A8-3535-4F88-8C90-68A511D75AC2", "Link")</f>
        <v/>
      </c>
      <c r="E210" s="3" t="n">
        <v>428.8</v>
      </c>
      <c r="F210" s="4" t="n">
        <v>23</v>
      </c>
      <c r="G210" t="inlineStr">
        <is>
          <t>Ontario Tennis Association</t>
        </is>
      </c>
      <c r="H210" t="inlineStr">
        <is>
          <t>Richmondhill Golf &amp; Country Club</t>
        </is>
      </c>
      <c r="I210" t="n">
        <v>29.9</v>
      </c>
      <c r="J210" s="4" t="n">
        <v>109</v>
      </c>
      <c r="K210" t="inlineStr">
        <is>
          <t>66 / 43</t>
        </is>
      </c>
      <c r="L210" t="inlineStr">
        <is>
          <t>35 / 20</t>
        </is>
      </c>
      <c r="M210" s="5" t="n">
        <v>0.61</v>
      </c>
      <c r="N210" s="5" t="n">
        <v>0.64</v>
      </c>
    </row>
    <row r="211">
      <c r="A211" t="n">
        <v>210</v>
      </c>
      <c r="B211" t="n">
        <v>2012</v>
      </c>
      <c r="C211" t="inlineStr">
        <is>
          <t>Milena Mavrin</t>
        </is>
      </c>
      <c r="D211">
        <f>HYPERLINK("https://ota.tournamentsoftware.com/player-profile/E6DED1E8-57C3-4627-8D59-94A636610A6B", "Link")</f>
        <v/>
      </c>
      <c r="E211" s="3" t="n">
        <v>428.128</v>
      </c>
      <c r="F211" s="4" t="n">
        <v>27</v>
      </c>
      <c r="G211" t="inlineStr">
        <is>
          <t>Ontario Tennis Association</t>
        </is>
      </c>
      <c r="H211" t="inlineStr">
        <is>
          <t>Thornhill Park Tennis Club</t>
        </is>
      </c>
      <c r="I211" t="n">
        <v>31.7</v>
      </c>
      <c r="J211" s="4" t="n">
        <v>83</v>
      </c>
      <c r="K211" t="inlineStr">
        <is>
          <t>38 / 45</t>
        </is>
      </c>
      <c r="L211" t="inlineStr">
        <is>
          <t>30 / 25</t>
        </is>
      </c>
      <c r="M211" s="5" t="n">
        <v>0.46</v>
      </c>
      <c r="N211" s="5" t="n">
        <v>0.55</v>
      </c>
    </row>
    <row r="212">
      <c r="A212" t="n">
        <v>211</v>
      </c>
      <c r="B212" t="n">
        <v>2014</v>
      </c>
      <c r="C212" t="inlineStr">
        <is>
          <t>Erin Yida Li</t>
        </is>
      </c>
      <c r="D212">
        <f>HYPERLINK("https://ota.tournamentsoftware.com/player-profile/48592A27-18BE-4C04-BE24-73F536B6D5D5", "Link")</f>
        <v/>
      </c>
      <c r="E212" s="3" t="n">
        <v>416.184</v>
      </c>
      <c r="F212" s="4" t="n">
        <v>23</v>
      </c>
      <c r="G212" t="inlineStr">
        <is>
          <t>Ontario Tennis Association</t>
        </is>
      </c>
      <c r="H212" t="inlineStr">
        <is>
          <t>Richmondhill Golf &amp; Country Club</t>
        </is>
      </c>
      <c r="I212" t="n">
        <v>32.2</v>
      </c>
      <c r="J212" s="4" t="n">
        <v>89</v>
      </c>
      <c r="K212" t="inlineStr">
        <is>
          <t>44 / 45</t>
        </is>
      </c>
      <c r="L212" t="inlineStr">
        <is>
          <t>21 / 20</t>
        </is>
      </c>
      <c r="M212" s="5" t="n">
        <v>0.49</v>
      </c>
      <c r="N212" s="5" t="n">
        <v>0.51</v>
      </c>
    </row>
    <row r="213">
      <c r="A213" t="n">
        <v>212</v>
      </c>
      <c r="B213" t="n">
        <v>2015</v>
      </c>
      <c r="C213" t="inlineStr">
        <is>
          <t>Josephine Yitong Wu</t>
        </is>
      </c>
      <c r="D213">
        <f>HYPERLINK("https://ota.tournamentsoftware.com/player-profile/1DF0BC06-9057-4469-9CEF-A9B5D864D9C9", "Link")</f>
        <v/>
      </c>
      <c r="E213" s="3" t="n">
        <v>414.488</v>
      </c>
      <c r="F213" s="4" t="n">
        <v>18</v>
      </c>
      <c r="G213" t="inlineStr">
        <is>
          <t>British Columbia</t>
        </is>
      </c>
      <c r="H213" t="inlineStr">
        <is>
          <t>North Vancouver Tennis Centre</t>
        </is>
      </c>
      <c r="I213" t="n">
        <v>29</v>
      </c>
      <c r="J213" s="4" t="n">
        <v>172</v>
      </c>
      <c r="K213" t="inlineStr">
        <is>
          <t>102 / 70</t>
        </is>
      </c>
      <c r="L213" t="inlineStr">
        <is>
          <t>25 / 14</t>
        </is>
      </c>
      <c r="M213" s="5" t="n">
        <v>0.59</v>
      </c>
      <c r="N213" s="5" t="n">
        <v>0.64</v>
      </c>
    </row>
    <row r="214">
      <c r="A214" t="n">
        <v>213</v>
      </c>
      <c r="B214" t="n">
        <v>2014</v>
      </c>
      <c r="C214" t="inlineStr">
        <is>
          <t>Sophia Pavlovska</t>
        </is>
      </c>
      <c r="D214">
        <f>HYPERLINK("https://ota.tournamentsoftware.com/player-profile/5C58F1EE-F291-431D-AC00-FB9096274E0A", "Link")</f>
        <v/>
      </c>
      <c r="E214" s="3" t="n">
        <v>413.785</v>
      </c>
      <c r="F214" s="4" t="n">
        <v>14</v>
      </c>
      <c r="G214" t="inlineStr">
        <is>
          <t>Tennis New Brunswick</t>
        </is>
      </c>
      <c r="H214" t="inlineStr">
        <is>
          <t>Dieppe</t>
        </is>
      </c>
      <c r="I214" t="n">
        <v>33.3</v>
      </c>
      <c r="J214" s="4" t="n">
        <v>178</v>
      </c>
      <c r="K214" t="inlineStr">
        <is>
          <t>66 / 112</t>
        </is>
      </c>
      <c r="L214" t="inlineStr">
        <is>
          <t>18 / 17</t>
        </is>
      </c>
      <c r="M214" s="5" t="n">
        <v>0.37</v>
      </c>
      <c r="N214" s="5" t="n">
        <v>0.51</v>
      </c>
    </row>
    <row r="215">
      <c r="A215" t="n">
        <v>214</v>
      </c>
      <c r="B215" t="n">
        <v>2013</v>
      </c>
      <c r="C215" t="inlineStr">
        <is>
          <t>Élisabeth Circé</t>
        </is>
      </c>
      <c r="D215">
        <f>HYPERLINK("https://ota.tournamentsoftware.com/player-profile/6616439A-F3CD-4D57-876F-DCE4AC4B88C9", "Link")</f>
        <v/>
      </c>
      <c r="E215" s="3" t="n">
        <v>413.547</v>
      </c>
      <c r="F215" s="4" t="n">
        <v>28</v>
      </c>
      <c r="G215" t="inlineStr">
        <is>
          <t>Tennis Québec</t>
        </is>
      </c>
      <c r="H215" t="inlineStr">
        <is>
          <t>Tennis Interclub Piedmont</t>
        </is>
      </c>
      <c r="I215" t="inlineStr">
        <is>
          <t>unavailable</t>
        </is>
      </c>
      <c r="J215" s="4" t="n">
        <v>154</v>
      </c>
      <c r="K215" t="inlineStr">
        <is>
          <t>52 / 102</t>
        </is>
      </c>
      <c r="L215" t="inlineStr">
        <is>
          <t>18 / 26</t>
        </is>
      </c>
      <c r="M215" s="5" t="n">
        <v>0.34</v>
      </c>
      <c r="N215" s="5" t="n">
        <v>0.41</v>
      </c>
    </row>
    <row r="216">
      <c r="A216" t="n">
        <v>215</v>
      </c>
      <c r="B216" t="n">
        <v>2012</v>
      </c>
      <c r="C216" t="inlineStr">
        <is>
          <t>Trisha Singh</t>
        </is>
      </c>
      <c r="D216">
        <f>HYPERLINK("https://ota.tournamentsoftware.com/player-profile/CA831513-6963-4556-B8FD-4D148748EB19", "Link")</f>
        <v/>
      </c>
      <c r="E216" s="3" t="n">
        <v>409.352</v>
      </c>
      <c r="F216" s="4" t="n">
        <v>17</v>
      </c>
      <c r="G216" t="inlineStr">
        <is>
          <t>Ontario Tennis Association</t>
        </is>
      </c>
      <c r="H216" t="inlineStr">
        <is>
          <t>Rideau Sports Centre</t>
        </is>
      </c>
      <c r="I216" t="n">
        <v>31</v>
      </c>
      <c r="J216" s="4" t="n">
        <v>106</v>
      </c>
      <c r="K216" t="inlineStr">
        <is>
          <t>50 / 56</t>
        </is>
      </c>
      <c r="L216" t="inlineStr">
        <is>
          <t>15 / 21</t>
        </is>
      </c>
      <c r="M216" s="5" t="n">
        <v>0.47</v>
      </c>
      <c r="N216" s="5" t="n">
        <v>0.42</v>
      </c>
    </row>
    <row r="217">
      <c r="A217" t="n">
        <v>216</v>
      </c>
      <c r="B217" t="n">
        <v>2013</v>
      </c>
      <c r="C217" t="inlineStr">
        <is>
          <t>Coralie D'Amours</t>
        </is>
      </c>
      <c r="D217">
        <f>HYPERLINK("https://ota.tournamentsoftware.com/player-profile/35A6230C-9F9D-4861-B1DB-6367FB38A039", "Link")</f>
        <v/>
      </c>
      <c r="E217" s="3" t="n">
        <v>408.39</v>
      </c>
      <c r="F217" s="4" t="n">
        <v>17</v>
      </c>
      <c r="G217" t="inlineStr">
        <is>
          <t>Ontario Tennis Association</t>
        </is>
      </c>
      <c r="H217" t="inlineStr">
        <is>
          <t>Rideau Sports Centre</t>
        </is>
      </c>
      <c r="I217" t="n">
        <v>33.1</v>
      </c>
      <c r="J217" s="4" t="n">
        <v>66</v>
      </c>
      <c r="K217" t="inlineStr">
        <is>
          <t>24 / 42</t>
        </is>
      </c>
      <c r="L217" t="inlineStr">
        <is>
          <t>16 / 20</t>
        </is>
      </c>
      <c r="M217" s="5" t="n">
        <v>0.36</v>
      </c>
      <c r="N217" s="5" t="n">
        <v>0.44</v>
      </c>
    </row>
    <row r="218">
      <c r="A218" t="n">
        <v>217</v>
      </c>
      <c r="B218" t="n">
        <v>2013</v>
      </c>
      <c r="C218" t="inlineStr">
        <is>
          <t>Isidora Trkulja</t>
        </is>
      </c>
      <c r="D218">
        <f>HYPERLINK("https://ota.tournamentsoftware.com/player-profile/1A3F3EE8-FB93-483C-A52C-E761E6FA42CE", "Link")</f>
        <v/>
      </c>
      <c r="E218" s="3" t="n">
        <v>406.915</v>
      </c>
      <c r="F218" s="4" t="n">
        <v>7</v>
      </c>
      <c r="G218" t="inlineStr">
        <is>
          <t>Tennis Alberta</t>
        </is>
      </c>
      <c r="H218" t="inlineStr">
        <is>
          <t>Saville Community Sports Centre</t>
        </is>
      </c>
      <c r="I218" t="n">
        <v>26.1</v>
      </c>
      <c r="J218" s="4" t="n">
        <v>194</v>
      </c>
      <c r="K218" t="inlineStr">
        <is>
          <t>125 / 69</t>
        </is>
      </c>
      <c r="L218" t="inlineStr">
        <is>
          <t>8 / 6</t>
        </is>
      </c>
      <c r="M218" s="5" t="n">
        <v>0.64</v>
      </c>
      <c r="N218" s="5" t="n">
        <v>0.57</v>
      </c>
    </row>
    <row r="219">
      <c r="A219" t="n">
        <v>218</v>
      </c>
      <c r="B219" t="n">
        <v>2013</v>
      </c>
      <c r="C219" t="inlineStr">
        <is>
          <t>Arya Kaur Dhillon</t>
        </is>
      </c>
      <c r="D219">
        <f>HYPERLINK("https://ota.tournamentsoftware.com/player-profile/3DBC0BDE-C3D6-40A5-992E-F7274098EF5D", "Link")</f>
        <v/>
      </c>
      <c r="E219" s="3" t="n">
        <v>405.446</v>
      </c>
      <c r="F219" s="4" t="n">
        <v>17</v>
      </c>
      <c r="G219" t="inlineStr">
        <is>
          <t>Tennis Alberta</t>
        </is>
      </c>
      <c r="H219" t="inlineStr">
        <is>
          <t>Saville Community Sports Centre</t>
        </is>
      </c>
      <c r="I219" t="n">
        <v>29.3</v>
      </c>
      <c r="J219" s="4" t="n">
        <v>175</v>
      </c>
      <c r="K219" t="inlineStr">
        <is>
          <t>86 / 89</t>
        </is>
      </c>
      <c r="L219" t="inlineStr">
        <is>
          <t>24 / 21</t>
        </is>
      </c>
      <c r="M219" s="5" t="n">
        <v>0.49</v>
      </c>
      <c r="N219" s="5" t="n">
        <v>0.53</v>
      </c>
    </row>
    <row r="220">
      <c r="A220" t="n">
        <v>219</v>
      </c>
      <c r="B220" t="n">
        <v>2013</v>
      </c>
      <c r="C220" t="inlineStr">
        <is>
          <t>Alina Luo</t>
        </is>
      </c>
      <c r="D220">
        <f>HYPERLINK("https://ota.tournamentsoftware.com/player-profile/848C25E0-4CBB-4051-8AB5-C8460313D4A3", "Link")</f>
        <v/>
      </c>
      <c r="E220" s="3" t="n">
        <v>399.293</v>
      </c>
      <c r="F220" s="4" t="n">
        <v>20</v>
      </c>
      <c r="G220" t="inlineStr">
        <is>
          <t>Tennis Québec</t>
        </is>
      </c>
      <c r="H220" t="inlineStr">
        <is>
          <t>SANI Sport</t>
        </is>
      </c>
      <c r="I220" t="n">
        <v>29.9</v>
      </c>
      <c r="J220" s="4" t="n">
        <v>223</v>
      </c>
      <c r="K220" t="inlineStr">
        <is>
          <t>107 / 116</t>
        </is>
      </c>
      <c r="L220" t="inlineStr">
        <is>
          <t>7 / 19</t>
        </is>
      </c>
      <c r="M220" s="5" t="n">
        <v>0.48</v>
      </c>
      <c r="N220" s="5" t="n">
        <v>0.27</v>
      </c>
    </row>
    <row r="221">
      <c r="A221" t="n">
        <v>220</v>
      </c>
      <c r="B221" t="n">
        <v>2013</v>
      </c>
      <c r="C221" t="inlineStr">
        <is>
          <t>Rachel Daniel</t>
        </is>
      </c>
      <c r="D221">
        <f>HYPERLINK("https://ota.tournamentsoftware.com/player-profile/C70279D5-586C-4A9D-94CC-EB9551085FF4", "Link")</f>
        <v/>
      </c>
      <c r="E221" s="3" t="n">
        <v>398.854</v>
      </c>
      <c r="F221" s="4" t="n">
        <v>18</v>
      </c>
      <c r="G221" t="inlineStr">
        <is>
          <t>Ontario Tennis Association</t>
        </is>
      </c>
      <c r="H221" t="inlineStr">
        <is>
          <t>Advantage Tennis International at Veneto</t>
        </is>
      </c>
      <c r="I221" t="n">
        <v>31.8</v>
      </c>
      <c r="J221" s="4" t="n">
        <v>105</v>
      </c>
      <c r="K221" t="inlineStr">
        <is>
          <t>42 / 63</t>
        </is>
      </c>
      <c r="L221" t="inlineStr">
        <is>
          <t>12 / 14</t>
        </is>
      </c>
      <c r="M221" s="5" t="n">
        <v>0.4</v>
      </c>
      <c r="N221" s="5" t="n">
        <v>0.46</v>
      </c>
    </row>
    <row r="222">
      <c r="A222" t="n">
        <v>221</v>
      </c>
      <c r="B222" t="n">
        <v>2014</v>
      </c>
      <c r="C222" t="inlineStr">
        <is>
          <t>KENZA JERBI</t>
        </is>
      </c>
      <c r="D222">
        <f>HYPERLINK("https://ota.tournamentsoftware.com/player-profile/C6A8B859-96DA-46D9-A270-B08DA27DDE5C", "Link")</f>
        <v/>
      </c>
      <c r="E222" s="3" t="n">
        <v>397.584</v>
      </c>
      <c r="F222" s="4" t="n">
        <v>13</v>
      </c>
      <c r="G222" t="inlineStr">
        <is>
          <t>Tennis Québec</t>
        </is>
      </c>
      <c r="H222" t="inlineStr">
        <is>
          <t>Tennis Montréal Excellence</t>
        </is>
      </c>
      <c r="I222" t="n">
        <v>30.4</v>
      </c>
      <c r="J222" s="4" t="n">
        <v>112</v>
      </c>
      <c r="K222" t="inlineStr">
        <is>
          <t>68 / 44</t>
        </is>
      </c>
      <c r="L222" t="inlineStr">
        <is>
          <t>10 / 12</t>
        </is>
      </c>
      <c r="M222" s="5" t="n">
        <v>0.61</v>
      </c>
      <c r="N222" s="5" t="n">
        <v>0.45</v>
      </c>
    </row>
    <row r="223">
      <c r="A223" t="n">
        <v>222</v>
      </c>
      <c r="B223" t="n">
        <v>2012</v>
      </c>
      <c r="C223" t="inlineStr">
        <is>
          <t>Victoria Perez Vargas</t>
        </is>
      </c>
      <c r="D223">
        <f>HYPERLINK("https://ota.tournamentsoftware.com/player-profile/6649B15F-628D-4ED7-81D6-AEB9036DF19A", "Link")</f>
        <v/>
      </c>
      <c r="E223" s="3" t="n">
        <v>396.088</v>
      </c>
      <c r="F223" s="4" t="n">
        <v>24</v>
      </c>
      <c r="G223" t="inlineStr">
        <is>
          <t>Tennis Québec</t>
        </is>
      </c>
      <c r="H223" t="inlineStr">
        <is>
          <t>Centre récréatif de Repentigny / Académie Tennis Momentum</t>
        </is>
      </c>
      <c r="I223" t="n">
        <v>32.3</v>
      </c>
      <c r="J223" s="4" t="n">
        <v>110</v>
      </c>
      <c r="K223" t="inlineStr">
        <is>
          <t>55 / 55</t>
        </is>
      </c>
      <c r="L223" t="inlineStr">
        <is>
          <t>30 / 18</t>
        </is>
      </c>
      <c r="M223" s="5" t="n">
        <v>0.5</v>
      </c>
      <c r="N223" s="5" t="n">
        <v>0.62</v>
      </c>
    </row>
    <row r="224">
      <c r="A224" t="n">
        <v>223</v>
      </c>
      <c r="B224" t="n">
        <v>2015</v>
      </c>
      <c r="C224" t="inlineStr">
        <is>
          <t>Mila Caporusso</t>
        </is>
      </c>
      <c r="D224">
        <f>HYPERLINK("https://ota.tournamentsoftware.com/player-profile/71A1C940-3E73-49DA-929B-3B90328FC4BC", "Link")</f>
        <v/>
      </c>
      <c r="E224" s="3" t="n">
        <v>395.81</v>
      </c>
      <c r="F224" s="4" t="n">
        <v>8</v>
      </c>
      <c r="G224" t="inlineStr">
        <is>
          <t>Tennis Québec</t>
        </is>
      </c>
      <c r="H224" t="inlineStr">
        <is>
          <t>Tennis 13 / Académie Ménard et associé</t>
        </is>
      </c>
      <c r="I224" t="n">
        <v>31.1</v>
      </c>
      <c r="J224" s="4" t="n">
        <v>116</v>
      </c>
      <c r="K224" t="inlineStr">
        <is>
          <t>75 / 41</t>
        </is>
      </c>
      <c r="L224" t="inlineStr">
        <is>
          <t>13 / 13</t>
        </is>
      </c>
      <c r="M224" s="5" t="n">
        <v>0.65</v>
      </c>
      <c r="N224" s="5" t="n">
        <v>0.5</v>
      </c>
    </row>
    <row r="225">
      <c r="A225" t="n">
        <v>224</v>
      </c>
      <c r="B225" t="n">
        <v>2015</v>
      </c>
      <c r="C225" t="inlineStr">
        <is>
          <t>Danica Stamatovic</t>
        </is>
      </c>
      <c r="D225">
        <f>HYPERLINK("https://ota.tournamentsoftware.com/player-profile/3D976EDA-1737-4852-A9BF-C67ED47C73C1", "Link")</f>
        <v/>
      </c>
      <c r="E225" s="3" t="n">
        <v>395.232</v>
      </c>
      <c r="F225" s="4" t="n">
        <v>26</v>
      </c>
      <c r="G225" t="inlineStr">
        <is>
          <t>Ontario Tennis Association</t>
        </is>
      </c>
      <c r="H225" t="inlineStr">
        <is>
          <t>SmartVMC Racquetsports by ACE</t>
        </is>
      </c>
      <c r="I225" t="n">
        <v>31.5</v>
      </c>
      <c r="J225" s="4" t="n">
        <v>207</v>
      </c>
      <c r="K225" t="inlineStr">
        <is>
          <t>108 / 99</t>
        </is>
      </c>
      <c r="L225" t="inlineStr">
        <is>
          <t>41 / 20</t>
        </is>
      </c>
      <c r="M225" s="5" t="n">
        <v>0.52</v>
      </c>
      <c r="N225" s="5" t="n">
        <v>0.67</v>
      </c>
    </row>
    <row r="226">
      <c r="A226" t="n">
        <v>225</v>
      </c>
      <c r="B226" t="n">
        <v>2012</v>
      </c>
      <c r="C226" t="inlineStr">
        <is>
          <t>Tiffany Ren Jun Cao</t>
        </is>
      </c>
      <c r="D226">
        <f>HYPERLINK("https://ota.tournamentsoftware.com/player-profile/07B17DA5-DD47-4C90-B575-478C58AD7465", "Link")</f>
        <v/>
      </c>
      <c r="E226" s="3" t="n">
        <v>394.328</v>
      </c>
      <c r="F226" s="4" t="n">
        <v>21</v>
      </c>
      <c r="G226" t="inlineStr">
        <is>
          <t>British Columbia</t>
        </is>
      </c>
      <c r="H226" t="inlineStr">
        <is>
          <t>Richmond Country Club</t>
        </is>
      </c>
      <c r="I226" t="n">
        <v>29.6</v>
      </c>
      <c r="J226" s="4" t="n">
        <v>209</v>
      </c>
      <c r="K226" t="inlineStr">
        <is>
          <t>105 / 104</t>
        </is>
      </c>
      <c r="L226" t="inlineStr">
        <is>
          <t>18 / 24</t>
        </is>
      </c>
      <c r="M226" s="5" t="n">
        <v>0.5</v>
      </c>
      <c r="N226" s="5" t="n">
        <v>0.43</v>
      </c>
    </row>
    <row r="227">
      <c r="A227" t="n">
        <v>226</v>
      </c>
      <c r="B227" t="n">
        <v>2014</v>
      </c>
      <c r="C227" t="inlineStr">
        <is>
          <t>Isabella Quintero-Gonzalez</t>
        </is>
      </c>
      <c r="D227">
        <f>HYPERLINK("https://ota.tournamentsoftware.com/player-profile/7215E114-BC9E-4292-9B97-03B766DB64EA", "Link")</f>
        <v/>
      </c>
      <c r="E227" s="3" t="n">
        <v>392.276</v>
      </c>
      <c r="F227" s="4" t="n">
        <v>14</v>
      </c>
      <c r="G227" t="inlineStr">
        <is>
          <t>Tennis Nova Scotia</t>
        </is>
      </c>
      <c r="H227" t="inlineStr">
        <is>
          <t>Atlantic Tennis Centre</t>
        </is>
      </c>
      <c r="I227" t="n">
        <v>31.4</v>
      </c>
      <c r="J227" s="4" t="n">
        <v>133</v>
      </c>
      <c r="K227" t="inlineStr">
        <is>
          <t>69 / 64</t>
        </is>
      </c>
      <c r="L227" t="inlineStr">
        <is>
          <t>33 / 24</t>
        </is>
      </c>
      <c r="M227" s="5" t="n">
        <v>0.52</v>
      </c>
      <c r="N227" s="5" t="n">
        <v>0.58</v>
      </c>
    </row>
    <row r="228">
      <c r="A228" t="n">
        <v>227</v>
      </c>
      <c r="B228" t="n">
        <v>2015</v>
      </c>
      <c r="C228" t="inlineStr">
        <is>
          <t>Clara Fanoos</t>
        </is>
      </c>
      <c r="D228">
        <f>HYPERLINK("https://ota.tournamentsoftware.com/player-profile/4AE431B3-C9E6-49D8-8003-48666B13F94B", "Link")</f>
        <v/>
      </c>
      <c r="E228" s="3" t="n">
        <v>389.038</v>
      </c>
      <c r="F228" s="4" t="n">
        <v>22</v>
      </c>
      <c r="G228" t="inlineStr">
        <is>
          <t>Tennis Québec</t>
        </is>
      </c>
      <c r="H228" t="inlineStr">
        <is>
          <t>Rouge et Or - Université Laval</t>
        </is>
      </c>
      <c r="I228" t="inlineStr">
        <is>
          <t>unavailable</t>
        </is>
      </c>
      <c r="J228" s="4" t="n">
        <v>204</v>
      </c>
      <c r="K228" t="inlineStr">
        <is>
          <t>124 / 80</t>
        </is>
      </c>
      <c r="L228" t="inlineStr">
        <is>
          <t>36 / 24</t>
        </is>
      </c>
      <c r="M228" s="5" t="n">
        <v>0.61</v>
      </c>
      <c r="N228" s="5" t="n">
        <v>0.6</v>
      </c>
    </row>
    <row r="229">
      <c r="A229" t="n">
        <v>228</v>
      </c>
      <c r="B229" t="n">
        <v>2013</v>
      </c>
      <c r="C229" t="inlineStr">
        <is>
          <t>EMMA ANTONIA DOBREAN</t>
        </is>
      </c>
      <c r="D229">
        <f>HYPERLINK("https://ota.tournamentsoftware.com/player-profile/A556E1FC-8159-42C1-A5DB-35375535B6F4", "Link")</f>
        <v/>
      </c>
      <c r="E229" s="3" t="n">
        <v>386.415</v>
      </c>
      <c r="F229" s="4" t="n">
        <v>3</v>
      </c>
      <c r="G229" t="inlineStr">
        <is>
          <t>Ontario Tennis Association</t>
        </is>
      </c>
      <c r="H229" t="inlineStr">
        <is>
          <t>No Club</t>
        </is>
      </c>
      <c r="I229" t="inlineStr">
        <is>
          <t>unavailable</t>
        </is>
      </c>
      <c r="J229" s="4" t="n">
        <v>137</v>
      </c>
      <c r="K229" t="inlineStr">
        <is>
          <t>98 / 39</t>
        </is>
      </c>
      <c r="L229" t="inlineStr">
        <is>
          <t>2 / 3</t>
        </is>
      </c>
      <c r="M229" s="5" t="n">
        <v>0.72</v>
      </c>
      <c r="N229" s="5" t="n">
        <v>0.4</v>
      </c>
    </row>
    <row r="230">
      <c r="A230" t="n">
        <v>229</v>
      </c>
      <c r="B230" t="n">
        <v>2012</v>
      </c>
      <c r="C230" t="inlineStr">
        <is>
          <t>Naomi Brown</t>
        </is>
      </c>
      <c r="D230">
        <f>HYPERLINK("https://ota.tournamentsoftware.com/player-profile/3302BB60-F05F-49BC-8E90-BE5B9A063576", "Link")</f>
        <v/>
      </c>
      <c r="E230" s="3" t="n">
        <v>385.235</v>
      </c>
      <c r="F230" s="4" t="n">
        <v>12</v>
      </c>
      <c r="G230" t="inlineStr">
        <is>
          <t>Ontario Tennis Association</t>
        </is>
      </c>
      <c r="H230" t="inlineStr">
        <is>
          <t>No Club</t>
        </is>
      </c>
      <c r="I230" t="inlineStr">
        <is>
          <t>unavailable</t>
        </is>
      </c>
      <c r="J230" s="4" t="n">
        <v>90</v>
      </c>
      <c r="K230" t="inlineStr">
        <is>
          <t>40 / 50</t>
        </is>
      </c>
      <c r="L230" t="inlineStr">
        <is>
          <t>12 / 12</t>
        </is>
      </c>
      <c r="M230" s="5" t="n">
        <v>0.44</v>
      </c>
      <c r="N230" s="5" t="n">
        <v>0.5</v>
      </c>
    </row>
    <row r="231">
      <c r="A231" t="n">
        <v>230</v>
      </c>
      <c r="B231" t="n">
        <v>2012</v>
      </c>
      <c r="C231" t="inlineStr">
        <is>
          <t>Ariyana Usharah Mahanandan</t>
        </is>
      </c>
      <c r="D231">
        <f>HYPERLINK("https://ota.tournamentsoftware.com/player-profile/FE0B9224-EA2B-4B60-AB52-7A0A2ACA90DA", "Link")</f>
        <v/>
      </c>
      <c r="E231" s="3" t="n">
        <v>378.822</v>
      </c>
      <c r="F231" s="4" t="n">
        <v>25</v>
      </c>
      <c r="G231" t="inlineStr">
        <is>
          <t>Ontario Tennis Association</t>
        </is>
      </c>
      <c r="H231" t="inlineStr">
        <is>
          <t>Premier Racquet Clubs – Mississauga</t>
        </is>
      </c>
      <c r="I231" t="inlineStr">
        <is>
          <t>unavailable</t>
        </is>
      </c>
      <c r="J231" s="4" t="n">
        <v>146</v>
      </c>
      <c r="K231" t="inlineStr">
        <is>
          <t>64 / 82</t>
        </is>
      </c>
      <c r="L231" t="inlineStr">
        <is>
          <t>18 / 24</t>
        </is>
      </c>
      <c r="M231" s="5" t="n">
        <v>0.44</v>
      </c>
      <c r="N231" s="5" t="n">
        <v>0.43</v>
      </c>
    </row>
    <row r="232">
      <c r="A232" t="n">
        <v>231</v>
      </c>
      <c r="B232" t="n">
        <v>2014</v>
      </c>
      <c r="C232" t="inlineStr">
        <is>
          <t>anne xie</t>
        </is>
      </c>
      <c r="D232">
        <f>HYPERLINK("https://ota.tournamentsoftware.com/player-profile/FA9126B9-8D97-4D5E-9E34-8893BB836AE1", "Link")</f>
        <v/>
      </c>
      <c r="E232" s="3" t="n">
        <v>378.598</v>
      </c>
      <c r="F232" s="4" t="n">
        <v>24</v>
      </c>
      <c r="G232" t="inlineStr">
        <is>
          <t>British Columbia</t>
        </is>
      </c>
      <c r="H232" t="inlineStr">
        <is>
          <t>North Vancouver Tennis Centre</t>
        </is>
      </c>
      <c r="I232" t="n">
        <v>29.3</v>
      </c>
      <c r="J232" s="4" t="n">
        <v>264</v>
      </c>
      <c r="K232" t="inlineStr">
        <is>
          <t>128 / 136</t>
        </is>
      </c>
      <c r="L232" t="inlineStr">
        <is>
          <t>31 / 28</t>
        </is>
      </c>
      <c r="M232" s="5" t="n">
        <v>0.48</v>
      </c>
      <c r="N232" s="5" t="n">
        <v>0.53</v>
      </c>
    </row>
    <row r="233">
      <c r="A233" t="n">
        <v>232</v>
      </c>
      <c r="B233" t="n">
        <v>2013</v>
      </c>
      <c r="C233" t="inlineStr">
        <is>
          <t>Mary Grace MacDonnell Doak</t>
        </is>
      </c>
      <c r="D233">
        <f>HYPERLINK("https://ota.tournamentsoftware.com/player-profile/7E3C3388-CB92-4FE9-B0C8-FE6415D966E4", "Link")</f>
        <v/>
      </c>
      <c r="E233" s="3" t="n">
        <v>366.079</v>
      </c>
      <c r="F233" s="4" t="n">
        <v>16</v>
      </c>
      <c r="G233" t="inlineStr">
        <is>
          <t>Ontario Tennis Association</t>
        </is>
      </c>
      <c r="H233" t="inlineStr">
        <is>
          <t>St. James Tennis Club</t>
        </is>
      </c>
      <c r="I233" t="n">
        <v>36.5</v>
      </c>
      <c r="J233" s="4" t="n">
        <v>147</v>
      </c>
      <c r="K233" t="inlineStr">
        <is>
          <t>69 / 78</t>
        </is>
      </c>
      <c r="L233" t="inlineStr">
        <is>
          <t>5 / 16</t>
        </is>
      </c>
      <c r="M233" s="5" t="n">
        <v>0.47</v>
      </c>
      <c r="N233" s="5" t="n">
        <v>0.24</v>
      </c>
    </row>
    <row r="234">
      <c r="A234" t="n">
        <v>233</v>
      </c>
      <c r="B234" t="n">
        <v>2014</v>
      </c>
      <c r="C234" t="inlineStr">
        <is>
          <t>Eva Paquette</t>
        </is>
      </c>
      <c r="D234">
        <f>HYPERLINK("https://ota.tournamentsoftware.com/player-profile/631BF8EC-5FD6-41F7-A4BC-1B4980693D40", "Link")</f>
        <v/>
      </c>
      <c r="E234" s="3" t="n">
        <v>358.451</v>
      </c>
      <c r="F234" s="4" t="n">
        <v>32</v>
      </c>
      <c r="G234" t="inlineStr">
        <is>
          <t>Tennis Québec</t>
        </is>
      </c>
      <c r="H234" t="inlineStr">
        <is>
          <t>Club Sportif Côte-de-Liesse</t>
        </is>
      </c>
      <c r="I234" t="n">
        <v>31.9</v>
      </c>
      <c r="J234" s="4" t="n">
        <v>212</v>
      </c>
      <c r="K234" t="inlineStr">
        <is>
          <t>108 / 104</t>
        </is>
      </c>
      <c r="L234" t="inlineStr">
        <is>
          <t>44 / 29</t>
        </is>
      </c>
      <c r="M234" s="5" t="n">
        <v>0.51</v>
      </c>
      <c r="N234" s="5" t="n">
        <v>0.6</v>
      </c>
    </row>
    <row r="235">
      <c r="A235" t="n">
        <v>234</v>
      </c>
      <c r="B235" t="n">
        <v>2012</v>
      </c>
      <c r="C235" t="inlineStr">
        <is>
          <t>Jessica Li</t>
        </is>
      </c>
      <c r="D235">
        <f>HYPERLINK("https://ota.tournamentsoftware.com/player-profile/9F51CCE2-07F1-48BF-B635-CE7622769243", "Link")</f>
        <v/>
      </c>
      <c r="E235" s="3" t="n">
        <v>349.555</v>
      </c>
      <c r="F235" s="4" t="n">
        <v>15</v>
      </c>
      <c r="G235" t="inlineStr">
        <is>
          <t>Ontario Tennis Association</t>
        </is>
      </c>
      <c r="H235" t="inlineStr">
        <is>
          <t>Markham Tennis Club</t>
        </is>
      </c>
      <c r="I235" t="inlineStr">
        <is>
          <t>unavailable</t>
        </is>
      </c>
      <c r="J235" s="4" t="n">
        <v>68</v>
      </c>
      <c r="K235" t="inlineStr">
        <is>
          <t>33 / 35</t>
        </is>
      </c>
      <c r="L235" t="inlineStr">
        <is>
          <t>15 / 13</t>
        </is>
      </c>
      <c r="M235" s="5" t="n">
        <v>0.49</v>
      </c>
      <c r="N235" s="5" t="n">
        <v>0.54</v>
      </c>
    </row>
    <row r="236">
      <c r="A236" t="n">
        <v>235</v>
      </c>
      <c r="B236" t="n">
        <v>2014</v>
      </c>
      <c r="C236" t="inlineStr">
        <is>
          <t>Hailey Zhou</t>
        </is>
      </c>
      <c r="D236">
        <f>HYPERLINK("https://ota.tournamentsoftware.com/player-profile/3046278B-E91E-4DE6-B598-5CD7D202AA49", "Link")</f>
        <v/>
      </c>
      <c r="E236" s="3" t="n">
        <v>344.77</v>
      </c>
      <c r="F236" s="4" t="n">
        <v>39</v>
      </c>
      <c r="G236" t="inlineStr">
        <is>
          <t>Ontario Tennis Association</t>
        </is>
      </c>
      <c r="H236" t="inlineStr">
        <is>
          <t>Advantage Tennis International at Veneto</t>
        </is>
      </c>
      <c r="I236" t="n">
        <v>33.4</v>
      </c>
      <c r="J236" s="4" t="n">
        <v>92</v>
      </c>
      <c r="K236" t="inlineStr">
        <is>
          <t>45 / 47</t>
        </is>
      </c>
      <c r="L236" t="inlineStr">
        <is>
          <t>35 / 35</t>
        </is>
      </c>
      <c r="M236" s="5" t="n">
        <v>0.49</v>
      </c>
      <c r="N236" s="5" t="n">
        <v>0.5</v>
      </c>
    </row>
    <row r="237">
      <c r="A237" t="n">
        <v>236</v>
      </c>
      <c r="B237" t="n">
        <v>2012</v>
      </c>
      <c r="C237" t="inlineStr">
        <is>
          <t>Sneha Sahiba Bhatti</t>
        </is>
      </c>
      <c r="D237">
        <f>HYPERLINK("https://ota.tournamentsoftware.com/player-profile/16EA0E7B-0025-4333-9A2A-28395C436A40", "Link")</f>
        <v/>
      </c>
      <c r="E237" s="3" t="n">
        <v>343.767</v>
      </c>
      <c r="F237" s="4" t="n">
        <v>16</v>
      </c>
      <c r="G237" t="inlineStr">
        <is>
          <t>British Columbia</t>
        </is>
      </c>
      <c r="H237" t="inlineStr">
        <is>
          <t>Coquitlam Tennis Club</t>
        </is>
      </c>
      <c r="I237" t="n">
        <v>30.2</v>
      </c>
      <c r="J237" s="4" t="n">
        <v>188</v>
      </c>
      <c r="K237" t="inlineStr">
        <is>
          <t>93 / 95</t>
        </is>
      </c>
      <c r="L237" t="inlineStr">
        <is>
          <t>15 / 21</t>
        </is>
      </c>
      <c r="M237" s="5" t="n">
        <v>0.49</v>
      </c>
      <c r="N237" s="5" t="n">
        <v>0.42</v>
      </c>
    </row>
    <row r="238">
      <c r="A238" t="n">
        <v>237</v>
      </c>
      <c r="B238" t="n">
        <v>2014</v>
      </c>
      <c r="C238" t="inlineStr">
        <is>
          <t>Isabelle Prusinkiewicz</t>
        </is>
      </c>
      <c r="D238">
        <f>HYPERLINK("https://ota.tournamentsoftware.com/player-profile/15F8CE0F-EF62-4029-B13B-F131581B8B29", "Link")</f>
        <v/>
      </c>
      <c r="E238" s="3" t="n">
        <v>338.545</v>
      </c>
      <c r="F238" s="4" t="n">
        <v>21</v>
      </c>
      <c r="G238" t="inlineStr">
        <is>
          <t>Tennis Alberta</t>
        </is>
      </c>
      <c r="H238" t="inlineStr">
        <is>
          <t>Aforza</t>
        </is>
      </c>
      <c r="I238" t="n">
        <v>32</v>
      </c>
      <c r="J238" s="4" t="n">
        <v>178</v>
      </c>
      <c r="K238" t="inlineStr">
        <is>
          <t>102 / 76</t>
        </is>
      </c>
      <c r="L238" t="inlineStr">
        <is>
          <t>30 / 20</t>
        </is>
      </c>
      <c r="M238" s="5" t="n">
        <v>0.57</v>
      </c>
      <c r="N238" s="5" t="n">
        <v>0.6</v>
      </c>
    </row>
    <row r="239">
      <c r="A239" t="n">
        <v>238</v>
      </c>
      <c r="B239" t="n">
        <v>2012</v>
      </c>
      <c r="C239" t="inlineStr">
        <is>
          <t>Anne-Frédérique Jacob</t>
        </is>
      </c>
      <c r="D239">
        <f>HYPERLINK("https://ota.tournamentsoftware.com/player-profile/6FDF9E24-9EF2-40B8-AA29-4E8DB70822F9", "Link")</f>
        <v/>
      </c>
      <c r="E239" s="3" t="n">
        <v>337.251</v>
      </c>
      <c r="F239" s="4" t="n">
        <v>14</v>
      </c>
      <c r="G239" t="inlineStr">
        <is>
          <t>Tennis Québec</t>
        </is>
      </c>
      <c r="H239" t="inlineStr">
        <is>
          <t>SANI Sport</t>
        </is>
      </c>
      <c r="I239" t="n">
        <v>30.3</v>
      </c>
      <c r="J239" s="4" t="n">
        <v>149</v>
      </c>
      <c r="K239" t="inlineStr">
        <is>
          <t>73 / 76</t>
        </is>
      </c>
      <c r="L239" t="inlineStr">
        <is>
          <t>5 / 13</t>
        </is>
      </c>
      <c r="M239" s="5" t="n">
        <v>0.49</v>
      </c>
      <c r="N239" s="5" t="n">
        <v>0.28</v>
      </c>
    </row>
    <row r="240">
      <c r="A240" t="n">
        <v>239</v>
      </c>
      <c r="B240" t="n">
        <v>2013</v>
      </c>
      <c r="C240" t="inlineStr">
        <is>
          <t>Jessica Rosemary Hill</t>
        </is>
      </c>
      <c r="D240">
        <f>HYPERLINK("https://ota.tournamentsoftware.com/player-profile/9F68BF9A-4FFA-4754-8023-C9F4ABCF0003", "Link")</f>
        <v/>
      </c>
      <c r="E240" s="3" t="n">
        <v>336.999</v>
      </c>
      <c r="F240" s="4" t="n">
        <v>19</v>
      </c>
      <c r="G240" t="inlineStr">
        <is>
          <t>British Columbia</t>
        </is>
      </c>
      <c r="H240" t="inlineStr">
        <is>
          <t>No Club</t>
        </is>
      </c>
      <c r="I240" t="n">
        <v>30.5</v>
      </c>
      <c r="J240" s="4" t="n">
        <v>167</v>
      </c>
      <c r="K240" t="inlineStr">
        <is>
          <t>93 / 74</t>
        </is>
      </c>
      <c r="L240" t="inlineStr">
        <is>
          <t>23 / 19</t>
        </is>
      </c>
      <c r="M240" s="5" t="n">
        <v>0.5600000000000001</v>
      </c>
      <c r="N240" s="5" t="n">
        <v>0.55</v>
      </c>
    </row>
    <row r="241">
      <c r="A241" t="n">
        <v>240</v>
      </c>
      <c r="B241" t="n">
        <v>2012</v>
      </c>
      <c r="C241" t="inlineStr">
        <is>
          <t>Yunia Bartha</t>
        </is>
      </c>
      <c r="D241">
        <f>HYPERLINK("https://ota.tournamentsoftware.com/player-profile/3A2980C0-C922-4870-A2B4-18E74AC903C2", "Link")</f>
        <v/>
      </c>
      <c r="E241" s="3" t="n">
        <v>336.32</v>
      </c>
      <c r="F241" s="4" t="n">
        <v>26</v>
      </c>
      <c r="G241" t="inlineStr">
        <is>
          <t>Tennis Québec</t>
        </is>
      </c>
      <c r="H241" t="inlineStr">
        <is>
          <t>Club Sportif Côte-de-Liesse</t>
        </is>
      </c>
      <c r="I241" t="n">
        <v>31.8</v>
      </c>
      <c r="J241" s="4" t="n">
        <v>144</v>
      </c>
      <c r="K241" t="inlineStr">
        <is>
          <t>57 / 87</t>
        </is>
      </c>
      <c r="L241" t="inlineStr">
        <is>
          <t>13 / 23</t>
        </is>
      </c>
      <c r="M241" s="5" t="n">
        <v>0.4</v>
      </c>
      <c r="N241" s="5" t="n">
        <v>0.36</v>
      </c>
    </row>
    <row r="242">
      <c r="A242" t="n">
        <v>241</v>
      </c>
      <c r="B242" t="n">
        <v>2013</v>
      </c>
      <c r="C242" t="inlineStr">
        <is>
          <t>Anastazia De Lain</t>
        </is>
      </c>
      <c r="D242">
        <f>HYPERLINK("https://ota.tournamentsoftware.com/player-profile/BEE8D838-8464-4CCF-9268-D0D58F108999", "Link")</f>
        <v/>
      </c>
      <c r="E242" s="3" t="n">
        <v>335.359</v>
      </c>
      <c r="F242" s="4" t="n">
        <v>19</v>
      </c>
      <c r="G242" t="inlineStr">
        <is>
          <t>Tennis Québec</t>
        </is>
      </c>
      <c r="H242" t="inlineStr">
        <is>
          <t>EB Tennis inc.</t>
        </is>
      </c>
      <c r="I242" t="n">
        <v>36.3</v>
      </c>
      <c r="J242" s="4" t="n">
        <v>174</v>
      </c>
      <c r="K242" t="inlineStr">
        <is>
          <t>37 / 137</t>
        </is>
      </c>
      <c r="L242" t="inlineStr">
        <is>
          <t>4 / 23</t>
        </is>
      </c>
      <c r="M242" s="5" t="n">
        <v>0.21</v>
      </c>
      <c r="N242" s="5" t="n">
        <v>0.15</v>
      </c>
    </row>
    <row r="243">
      <c r="A243" t="n">
        <v>242</v>
      </c>
      <c r="B243" t="n">
        <v>2013</v>
      </c>
      <c r="C243" t="inlineStr">
        <is>
          <t>Kmar ELHOUIJ</t>
        </is>
      </c>
      <c r="D243">
        <f>HYPERLINK("https://ota.tournamentsoftware.com/player-profile/D690466C-B3D9-45B2-B453-BA40F436A5C1", "Link")</f>
        <v/>
      </c>
      <c r="E243" s="3" t="n">
        <v>335.176</v>
      </c>
      <c r="F243" s="4" t="n">
        <v>4</v>
      </c>
      <c r="G243" t="inlineStr">
        <is>
          <t>Tennis New Brunswick</t>
        </is>
      </c>
      <c r="H243" t="inlineStr">
        <is>
          <t>No Club</t>
        </is>
      </c>
      <c r="I243" t="n">
        <v>28.3</v>
      </c>
      <c r="J243" s="4" t="n">
        <v>42</v>
      </c>
      <c r="K243" t="inlineStr">
        <is>
          <t>30 / 12</t>
        </is>
      </c>
      <c r="L243" t="inlineStr">
        <is>
          <t>19 / 9</t>
        </is>
      </c>
      <c r="M243" s="5" t="n">
        <v>0.71</v>
      </c>
      <c r="N243" s="5" t="n">
        <v>0.68</v>
      </c>
    </row>
    <row r="244">
      <c r="A244" t="n">
        <v>243</v>
      </c>
      <c r="B244" t="n">
        <v>2015</v>
      </c>
      <c r="C244" t="inlineStr">
        <is>
          <t>Sofia Twynam</t>
        </is>
      </c>
      <c r="D244">
        <f>HYPERLINK("https://ota.tournamentsoftware.com/player-profile/025F0929-F490-4440-8CB6-08E8D1F59F08", "Link")</f>
        <v/>
      </c>
      <c r="E244" s="3" t="n">
        <v>334.26</v>
      </c>
      <c r="F244" s="4" t="n">
        <v>18</v>
      </c>
      <c r="G244" t="inlineStr">
        <is>
          <t>Tennis Québec</t>
        </is>
      </c>
      <c r="H244" t="inlineStr">
        <is>
          <t>SANI Sport</t>
        </is>
      </c>
      <c r="I244" t="n">
        <v>31.2</v>
      </c>
      <c r="J244" s="4" t="n">
        <v>136</v>
      </c>
      <c r="K244" t="inlineStr">
        <is>
          <t>76 / 60</t>
        </is>
      </c>
      <c r="L244" t="inlineStr">
        <is>
          <t>21 / 17</t>
        </is>
      </c>
      <c r="M244" s="5" t="n">
        <v>0.5600000000000001</v>
      </c>
      <c r="N244" s="5" t="n">
        <v>0.55</v>
      </c>
    </row>
    <row r="245">
      <c r="A245" t="n">
        <v>244</v>
      </c>
      <c r="B245" t="n">
        <v>2014</v>
      </c>
      <c r="C245" t="inlineStr">
        <is>
          <t>Alaia Grace Serravalle</t>
        </is>
      </c>
      <c r="D245">
        <f>HYPERLINK("https://ota.tournamentsoftware.com/player-profile/EDBCEC0C-45DE-4DFD-B17A-C176B306FC97", "Link")</f>
        <v/>
      </c>
      <c r="E245" s="3" t="n">
        <v>333.24</v>
      </c>
      <c r="F245" s="4" t="n">
        <v>24</v>
      </c>
      <c r="G245" t="inlineStr">
        <is>
          <t>Ontario Tennis Association</t>
        </is>
      </c>
      <c r="H245" t="inlineStr">
        <is>
          <t>Youngs Sportsplex</t>
        </is>
      </c>
      <c r="I245" t="n">
        <v>32.2</v>
      </c>
      <c r="J245" s="4" t="n">
        <v>65</v>
      </c>
      <c r="K245" t="inlineStr">
        <is>
          <t>35 / 30</t>
        </is>
      </c>
      <c r="L245" t="inlineStr">
        <is>
          <t>23 / 21</t>
        </is>
      </c>
      <c r="M245" s="5" t="n">
        <v>0.54</v>
      </c>
      <c r="N245" s="5" t="n">
        <v>0.52</v>
      </c>
    </row>
    <row r="246">
      <c r="A246" t="n">
        <v>245</v>
      </c>
      <c r="B246" t="n">
        <v>2013</v>
      </c>
      <c r="C246" t="inlineStr">
        <is>
          <t>Aicha Ben Ali</t>
        </is>
      </c>
      <c r="D246">
        <f>HYPERLINK("https://ota.tournamentsoftware.com/player-profile/87F8F2BE-10FE-41D7-8382-85524C1D5D23", "Link")</f>
        <v/>
      </c>
      <c r="E246" s="3" t="n">
        <v>330.988</v>
      </c>
      <c r="F246" s="4" t="n">
        <v>8</v>
      </c>
      <c r="G246" t="inlineStr">
        <is>
          <t>Tennis Saskatchewan</t>
        </is>
      </c>
      <c r="H246" t="inlineStr">
        <is>
          <t>Lakeshore Tennis Club</t>
        </is>
      </c>
      <c r="I246" t="inlineStr">
        <is>
          <t>unavailable</t>
        </is>
      </c>
      <c r="J246" s="4" t="n">
        <v>31</v>
      </c>
      <c r="K246" t="inlineStr">
        <is>
          <t>4 / 27</t>
        </is>
      </c>
      <c r="L246" t="inlineStr">
        <is>
          <t>4 / 23</t>
        </is>
      </c>
      <c r="M246" s="5" t="n">
        <v>0.13</v>
      </c>
      <c r="N246" s="5" t="n">
        <v>0.15</v>
      </c>
    </row>
    <row r="247">
      <c r="A247" t="n">
        <v>246</v>
      </c>
      <c r="B247" t="n">
        <v>2012</v>
      </c>
      <c r="C247" t="inlineStr">
        <is>
          <t>Eva Brisson</t>
        </is>
      </c>
      <c r="D247">
        <f>HYPERLINK("https://ota.tournamentsoftware.com/player-profile/BC349487-CEB9-4CB8-ABCF-1006DD0F69AA", "Link")</f>
        <v/>
      </c>
      <c r="E247" s="3" t="n">
        <v>327.956</v>
      </c>
      <c r="F247" s="4" t="n">
        <v>23</v>
      </c>
      <c r="G247" t="inlineStr">
        <is>
          <t>Tennis Québec</t>
        </is>
      </c>
      <c r="H247" t="inlineStr">
        <is>
          <t>Club Sportif Côte-de-Liesse</t>
        </is>
      </c>
      <c r="I247" t="n">
        <v>31</v>
      </c>
      <c r="J247" s="4" t="n">
        <v>150</v>
      </c>
      <c r="K247" t="inlineStr">
        <is>
          <t>63 / 87</t>
        </is>
      </c>
      <c r="L247" t="inlineStr">
        <is>
          <t>17 / 19</t>
        </is>
      </c>
      <c r="M247" s="5" t="n">
        <v>0.42</v>
      </c>
      <c r="N247" s="5" t="n">
        <v>0.47</v>
      </c>
    </row>
    <row r="248">
      <c r="A248" t="n">
        <v>247</v>
      </c>
      <c r="B248" t="n">
        <v>2015</v>
      </c>
      <c r="C248" t="inlineStr">
        <is>
          <t>Sophia Shiqi Zeng</t>
        </is>
      </c>
      <c r="D248">
        <f>HYPERLINK("https://ota.tournamentsoftware.com/player-profile/F1A373DA-18B2-46FA-AF39-157644DB679B", "Link")</f>
        <v/>
      </c>
      <c r="E248" s="3" t="n">
        <v>323.052</v>
      </c>
      <c r="F248" s="4" t="n">
        <v>21</v>
      </c>
      <c r="G248" t="inlineStr">
        <is>
          <t>British Columbia</t>
        </is>
      </c>
      <c r="H248" t="inlineStr">
        <is>
          <t>The Tennis Centre</t>
        </is>
      </c>
      <c r="I248" t="n">
        <v>31.5</v>
      </c>
      <c r="J248" s="4" t="n">
        <v>194</v>
      </c>
      <c r="K248" t="inlineStr">
        <is>
          <t>106 / 88</t>
        </is>
      </c>
      <c r="L248" t="inlineStr">
        <is>
          <t>32 / 19</t>
        </is>
      </c>
      <c r="M248" s="5" t="n">
        <v>0.55</v>
      </c>
      <c r="N248" s="5" t="n">
        <v>0.63</v>
      </c>
    </row>
    <row r="249">
      <c r="A249" t="n">
        <v>248</v>
      </c>
      <c r="B249" t="n">
        <v>2013</v>
      </c>
      <c r="C249" t="inlineStr">
        <is>
          <t>Kany Kaba</t>
        </is>
      </c>
      <c r="D249">
        <f>HYPERLINK("https://ota.tournamentsoftware.com/player-profile/7816DF47-252D-402D-BF26-B906A8AB6ED7", "Link")</f>
        <v/>
      </c>
      <c r="E249" s="3" t="n">
        <v>322.765</v>
      </c>
      <c r="F249" s="4" t="n">
        <v>12</v>
      </c>
      <c r="G249" t="inlineStr">
        <is>
          <t>Tennis Québec</t>
        </is>
      </c>
      <c r="H249" t="inlineStr">
        <is>
          <t>EB Tennis inc.</t>
        </is>
      </c>
      <c r="I249" t="n">
        <v>32.8</v>
      </c>
      <c r="J249" s="4" t="n">
        <v>140</v>
      </c>
      <c r="K249" t="inlineStr">
        <is>
          <t>84 / 56</t>
        </is>
      </c>
      <c r="L249" t="inlineStr">
        <is>
          <t>6 / 13</t>
        </is>
      </c>
      <c r="M249" s="5" t="n">
        <v>0.6</v>
      </c>
      <c r="N249" s="5" t="n">
        <v>0.32</v>
      </c>
    </row>
    <row r="250">
      <c r="A250" t="n">
        <v>249</v>
      </c>
      <c r="B250" t="n">
        <v>2014</v>
      </c>
      <c r="C250" t="inlineStr">
        <is>
          <t>Vrishti Gehlot</t>
        </is>
      </c>
      <c r="D250">
        <f>HYPERLINK("https://ota.tournamentsoftware.com/player-profile/8D59FB71-FC68-41E0-B69F-920C29B60AD3", "Link")</f>
        <v/>
      </c>
      <c r="E250" s="3" t="n">
        <v>322.528</v>
      </c>
      <c r="F250" s="4" t="n">
        <v>25</v>
      </c>
      <c r="G250" t="inlineStr">
        <is>
          <t>Ontario Tennis Association</t>
        </is>
      </c>
      <c r="H250" t="inlineStr">
        <is>
          <t>Premier Racquet Clubs – Mississauga</t>
        </is>
      </c>
      <c r="I250" t="n">
        <v>33</v>
      </c>
      <c r="J250" s="4" t="n">
        <v>161</v>
      </c>
      <c r="K250" t="inlineStr">
        <is>
          <t>81 / 80</t>
        </is>
      </c>
      <c r="L250" t="inlineStr">
        <is>
          <t>33 / 21</t>
        </is>
      </c>
      <c r="M250" s="5" t="n">
        <v>0.5</v>
      </c>
      <c r="N250" s="5" t="n">
        <v>0.61</v>
      </c>
    </row>
    <row r="251">
      <c r="A251" t="n">
        <v>250</v>
      </c>
      <c r="B251" t="n">
        <v>2014</v>
      </c>
      <c r="C251" t="inlineStr">
        <is>
          <t>Isabella Huang</t>
        </is>
      </c>
      <c r="D251">
        <f>HYPERLINK("https://ota.tournamentsoftware.com/player-profile/DB8FA904-8DE1-4D99-951F-F44CD792291A", "Link")</f>
        <v/>
      </c>
      <c r="E251" s="3" t="n">
        <v>320.94</v>
      </c>
      <c r="F251" s="4" t="n">
        <v>17</v>
      </c>
      <c r="G251" t="inlineStr">
        <is>
          <t>British Columbia</t>
        </is>
      </c>
      <c r="H251" t="inlineStr">
        <is>
          <t>Burnaby Tennis Club</t>
        </is>
      </c>
      <c r="I251" t="inlineStr">
        <is>
          <t>unavailable</t>
        </is>
      </c>
      <c r="J251" s="4" t="n">
        <v>201</v>
      </c>
      <c r="K251" t="inlineStr">
        <is>
          <t>116 / 85</t>
        </is>
      </c>
      <c r="L251" t="inlineStr">
        <is>
          <t>29 / 13</t>
        </is>
      </c>
      <c r="M251" s="5" t="n">
        <v>0.58</v>
      </c>
      <c r="N251" s="5" t="n">
        <v>0.6899999999999999</v>
      </c>
    </row>
    <row r="252">
      <c r="A252" t="n">
        <v>251</v>
      </c>
      <c r="B252" t="n">
        <v>2012</v>
      </c>
      <c r="C252" t="inlineStr">
        <is>
          <t>Abby Jean Tobac</t>
        </is>
      </c>
      <c r="D252">
        <f>HYPERLINK("https://ota.tournamentsoftware.com/player-profile/CDFDF0FB-A147-4D3C-BF4D-24E115B9EC1A", "Link")</f>
        <v/>
      </c>
      <c r="E252" s="3" t="n">
        <v>318.528</v>
      </c>
      <c r="F252" s="4" t="n">
        <v>6</v>
      </c>
      <c r="G252" t="inlineStr">
        <is>
          <t>Tennis Manitoba</t>
        </is>
      </c>
      <c r="H252" t="inlineStr">
        <is>
          <t>Taylor Tennis</t>
        </is>
      </c>
      <c r="I252" t="n">
        <v>35.1</v>
      </c>
      <c r="J252" s="4" t="n">
        <v>49</v>
      </c>
      <c r="K252" t="inlineStr">
        <is>
          <t>14 / 35</t>
        </is>
      </c>
      <c r="L252" t="inlineStr">
        <is>
          <t>2 / 9</t>
        </is>
      </c>
      <c r="M252" s="5" t="n">
        <v>0.29</v>
      </c>
      <c r="N252" s="5" t="n">
        <v>0.18</v>
      </c>
    </row>
    <row r="253">
      <c r="A253" t="n">
        <v>252</v>
      </c>
      <c r="B253" t="n">
        <v>2012</v>
      </c>
      <c r="C253" t="inlineStr">
        <is>
          <t>helena Khorsid-G-Mahdi</t>
        </is>
      </c>
      <c r="D253">
        <f>HYPERLINK("https://ota.tournamentsoftware.com/player-profile/D9FB3068-A1A7-4F96-B728-095D292B805C", "Link")</f>
        <v/>
      </c>
      <c r="E253" s="3" t="n">
        <v>312.56</v>
      </c>
      <c r="F253" s="4" t="n">
        <v>21</v>
      </c>
      <c r="G253" t="inlineStr">
        <is>
          <t>Ontario Tennis Association</t>
        </is>
      </c>
      <c r="H253" t="inlineStr">
        <is>
          <t>Cottingham Tennis Club</t>
        </is>
      </c>
      <c r="I253" t="inlineStr">
        <is>
          <t>unavailable</t>
        </is>
      </c>
      <c r="J253" s="4" t="n">
        <v>56</v>
      </c>
      <c r="K253" t="inlineStr">
        <is>
          <t>33 / 23</t>
        </is>
      </c>
      <c r="L253" t="inlineStr">
        <is>
          <t>19 / 16</t>
        </is>
      </c>
      <c r="M253" s="5" t="n">
        <v>0.59</v>
      </c>
      <c r="N253" s="5" t="n">
        <v>0.54</v>
      </c>
    </row>
    <row r="254">
      <c r="A254" t="n">
        <v>253</v>
      </c>
      <c r="B254" t="n">
        <v>2016</v>
      </c>
      <c r="C254" t="inlineStr">
        <is>
          <t>Victoria Chang</t>
        </is>
      </c>
      <c r="D254">
        <f>HYPERLINK("https://ota.tournamentsoftware.com/player-profile/A391B4A7-44C6-4D9F-9A04-161A8B22E0C3", "Link")</f>
        <v/>
      </c>
      <c r="E254" s="3" t="n">
        <v>312.517</v>
      </c>
      <c r="F254" s="4" t="n">
        <v>21</v>
      </c>
      <c r="G254" t="inlineStr">
        <is>
          <t>Ontario Tennis Association</t>
        </is>
      </c>
      <c r="H254" t="inlineStr">
        <is>
          <t>Richmond Hill Country Club</t>
        </is>
      </c>
      <c r="I254" t="n">
        <v>30.4</v>
      </c>
      <c r="J254" s="4" t="n">
        <v>131</v>
      </c>
      <c r="K254" t="inlineStr">
        <is>
          <t>102 / 29</t>
        </is>
      </c>
      <c r="L254" t="inlineStr">
        <is>
          <t>54 / 13</t>
        </is>
      </c>
      <c r="M254" s="5" t="n">
        <v>0.78</v>
      </c>
      <c r="N254" s="5" t="n">
        <v>0.8100000000000001</v>
      </c>
    </row>
    <row r="255">
      <c r="A255" t="n">
        <v>254</v>
      </c>
      <c r="B255" t="n">
        <v>2013</v>
      </c>
      <c r="C255" t="inlineStr">
        <is>
          <t>Katelyn Zhao</t>
        </is>
      </c>
      <c r="D255">
        <f>HYPERLINK("https://ota.tournamentsoftware.com/player-profile/C6305E19-1670-4857-9967-0344F0C8AB1D", "Link")</f>
        <v/>
      </c>
      <c r="E255" s="3" t="n">
        <v>312.472</v>
      </c>
      <c r="F255" s="4" t="n">
        <v>28</v>
      </c>
      <c r="G255" t="inlineStr">
        <is>
          <t>Ontario Tennis Association</t>
        </is>
      </c>
      <c r="H255" t="inlineStr">
        <is>
          <t>Premier Racquet Club - Markham</t>
        </is>
      </c>
      <c r="I255" t="n">
        <v>33.5</v>
      </c>
      <c r="J255" s="4" t="n">
        <v>103</v>
      </c>
      <c r="K255" t="inlineStr">
        <is>
          <t>52 / 51</t>
        </is>
      </c>
      <c r="L255" t="inlineStr">
        <is>
          <t>20 / 25</t>
        </is>
      </c>
      <c r="M255" s="5" t="n">
        <v>0.5</v>
      </c>
      <c r="N255" s="5" t="n">
        <v>0.44</v>
      </c>
    </row>
    <row r="256">
      <c r="A256" t="n">
        <v>255</v>
      </c>
      <c r="B256" t="n">
        <v>2012</v>
      </c>
      <c r="C256" t="inlineStr">
        <is>
          <t>Camie Wang</t>
        </is>
      </c>
      <c r="D256">
        <f>HYPERLINK("https://ota.tournamentsoftware.com/player-profile/5CE5CCC5-E821-48EF-86C9-6973D97D1F92", "Link")</f>
        <v/>
      </c>
      <c r="E256" s="3" t="n">
        <v>311.911</v>
      </c>
      <c r="F256" s="4" t="n">
        <v>16</v>
      </c>
      <c r="G256" t="inlineStr">
        <is>
          <t>Tennis Alberta</t>
        </is>
      </c>
      <c r="H256" t="inlineStr">
        <is>
          <t>Osten &amp; Victor Alberta Tennis Centre</t>
        </is>
      </c>
      <c r="I256" t="n">
        <v>27.9</v>
      </c>
      <c r="J256" s="4" t="n">
        <v>115</v>
      </c>
      <c r="K256" t="inlineStr">
        <is>
          <t>61 / 54</t>
        </is>
      </c>
      <c r="L256" t="inlineStr">
        <is>
          <t>20 / 19</t>
        </is>
      </c>
      <c r="M256" s="5" t="n">
        <v>0.53</v>
      </c>
      <c r="N256" s="5" t="n">
        <v>0.51</v>
      </c>
    </row>
    <row r="257">
      <c r="A257" t="n">
        <v>256</v>
      </c>
      <c r="B257" t="n">
        <v>2012</v>
      </c>
      <c r="C257" t="inlineStr">
        <is>
          <t>Daisy Tingru Wang</t>
        </is>
      </c>
      <c r="D257">
        <f>HYPERLINK("https://ota.tournamentsoftware.com/player-profile/40DA5F9F-8E70-4030-A0ED-A54E3D8832D2", "Link")</f>
        <v/>
      </c>
      <c r="E257" s="3" t="n">
        <v>310.853</v>
      </c>
      <c r="F257" s="4" t="n">
        <v>9</v>
      </c>
      <c r="G257" t="inlineStr">
        <is>
          <t>Tennis Nova Scotia</t>
        </is>
      </c>
      <c r="H257" t="inlineStr">
        <is>
          <t>HEADSTART</t>
        </is>
      </c>
      <c r="I257" t="n">
        <v>36.1</v>
      </c>
      <c r="J257" s="4" t="n">
        <v>45</v>
      </c>
      <c r="K257" t="inlineStr">
        <is>
          <t>10 / 35</t>
        </is>
      </c>
      <c r="L257" t="inlineStr">
        <is>
          <t>7 / 25</t>
        </is>
      </c>
      <c r="M257" s="5" t="n">
        <v>0.22</v>
      </c>
      <c r="N257" s="5" t="n">
        <v>0.22</v>
      </c>
    </row>
    <row r="258">
      <c r="A258" t="n">
        <v>257</v>
      </c>
      <c r="B258" t="n">
        <v>2013</v>
      </c>
      <c r="C258" t="inlineStr">
        <is>
          <t>Lily Gaumond-Boivin</t>
        </is>
      </c>
      <c r="D258">
        <f>HYPERLINK("https://ota.tournamentsoftware.com/player-profile/98461C64-ECF9-40D8-849E-C8999A9F9BA1", "Link")</f>
        <v/>
      </c>
      <c r="E258" s="3" t="n">
        <v>310.601</v>
      </c>
      <c r="F258" s="4" t="n">
        <v>22</v>
      </c>
      <c r="G258" t="inlineStr">
        <is>
          <t>Tennis Québec</t>
        </is>
      </c>
      <c r="H258" t="inlineStr">
        <is>
          <t>Club Avantage Multi-sports / Académie de tennis Hérisset Bordeleau</t>
        </is>
      </c>
      <c r="I258" t="inlineStr">
        <is>
          <t>unavailable</t>
        </is>
      </c>
      <c r="J258" s="4" t="n">
        <v>132</v>
      </c>
      <c r="K258" t="inlineStr">
        <is>
          <t>64 / 68</t>
        </is>
      </c>
      <c r="L258" t="inlineStr">
        <is>
          <t>14 / 19</t>
        </is>
      </c>
      <c r="M258" s="5" t="n">
        <v>0.48</v>
      </c>
      <c r="N258" s="5" t="n">
        <v>0.42</v>
      </c>
    </row>
    <row r="259">
      <c r="A259" t="n">
        <v>258</v>
      </c>
      <c r="B259" t="n">
        <v>2015</v>
      </c>
      <c r="C259" t="inlineStr">
        <is>
          <t>Maya Lupu</t>
        </is>
      </c>
      <c r="D259">
        <f>HYPERLINK("https://ota.tournamentsoftware.com/player-profile/C02052CF-6FBB-4C91-8237-A96FF9B4C794", "Link")</f>
        <v/>
      </c>
      <c r="E259" s="3" t="n">
        <v>308.771</v>
      </c>
      <c r="F259" s="4" t="n">
        <v>16</v>
      </c>
      <c r="G259" t="inlineStr">
        <is>
          <t>Tennis Alberta</t>
        </is>
      </c>
      <c r="H259" t="inlineStr">
        <is>
          <t>Saville Community Sports Centre</t>
        </is>
      </c>
      <c r="I259" t="n">
        <v>31.2</v>
      </c>
      <c r="J259" s="4" t="n">
        <v>165</v>
      </c>
      <c r="K259" t="inlineStr">
        <is>
          <t>104 / 61</t>
        </is>
      </c>
      <c r="L259" t="inlineStr">
        <is>
          <t>19 / 26</t>
        </is>
      </c>
      <c r="M259" s="5" t="n">
        <v>0.63</v>
      </c>
      <c r="N259" s="5" t="n">
        <v>0.42</v>
      </c>
    </row>
    <row r="260">
      <c r="A260" t="n">
        <v>259</v>
      </c>
      <c r="B260" t="n">
        <v>2013</v>
      </c>
      <c r="C260" t="inlineStr">
        <is>
          <t>Keona Asogwa</t>
        </is>
      </c>
      <c r="D260">
        <f>HYPERLINK("https://ota.tournamentsoftware.com/player-profile/1F426AE8-5B0F-4535-AD10-450570C37073", "Link")</f>
        <v/>
      </c>
      <c r="E260" s="3" t="n">
        <v>308.248</v>
      </c>
      <c r="F260" s="4" t="n">
        <v>14</v>
      </c>
      <c r="G260" t="inlineStr">
        <is>
          <t>Ontario Tennis Association</t>
        </is>
      </c>
      <c r="H260" t="inlineStr">
        <is>
          <t>Carleton Tennis Centre</t>
        </is>
      </c>
      <c r="I260" t="inlineStr">
        <is>
          <t>unavailable</t>
        </is>
      </c>
      <c r="J260" s="4" t="n">
        <v>110</v>
      </c>
      <c r="K260" t="inlineStr">
        <is>
          <t>41 / 69</t>
        </is>
      </c>
      <c r="L260" t="inlineStr">
        <is>
          <t>5 / 13</t>
        </is>
      </c>
      <c r="M260" s="5" t="n">
        <v>0.37</v>
      </c>
      <c r="N260" s="5" t="n">
        <v>0.28</v>
      </c>
    </row>
    <row r="261">
      <c r="A261" t="n">
        <v>260</v>
      </c>
      <c r="B261" t="n">
        <v>2013</v>
      </c>
      <c r="C261" t="inlineStr">
        <is>
          <t>ZOE SOFIA CARDENAS PANIAGUA</t>
        </is>
      </c>
      <c r="D261">
        <f>HYPERLINK("https://ota.tournamentsoftware.com/player-profile/6ADCA248-D68F-47BB-9ED7-CDC7448C4AE9", "Link")</f>
        <v/>
      </c>
      <c r="E261" s="3" t="n">
        <v>307.118</v>
      </c>
      <c r="F261" s="4" t="n">
        <v>6</v>
      </c>
      <c r="G261" t="inlineStr">
        <is>
          <t>Tennis Manitoba</t>
        </is>
      </c>
      <c r="H261" t="inlineStr">
        <is>
          <t>Tuxedo Tennis Club</t>
        </is>
      </c>
      <c r="I261" t="inlineStr">
        <is>
          <t>unavailable</t>
        </is>
      </c>
      <c r="J261" s="4" t="n">
        <v>59</v>
      </c>
      <c r="K261" t="inlineStr">
        <is>
          <t>22 / 37</t>
        </is>
      </c>
      <c r="L261" t="inlineStr">
        <is>
          <t>6 / 8</t>
        </is>
      </c>
      <c r="M261" s="5" t="n">
        <v>0.37</v>
      </c>
      <c r="N261" s="5" t="n">
        <v>0.43</v>
      </c>
    </row>
    <row r="262">
      <c r="A262" t="n">
        <v>261</v>
      </c>
      <c r="B262" t="n">
        <v>2013</v>
      </c>
      <c r="C262" t="inlineStr">
        <is>
          <t>Victoria Ta</t>
        </is>
      </c>
      <c r="D262">
        <f>HYPERLINK("https://ota.tournamentsoftware.com/player-profile/A9D6CF45-A7F1-427F-A376-2C40852D98CD", "Link")</f>
        <v/>
      </c>
      <c r="E262" s="3" t="n">
        <v>306.995</v>
      </c>
      <c r="F262" s="4" t="n">
        <v>20</v>
      </c>
      <c r="G262" t="inlineStr">
        <is>
          <t>Ontario Tennis Association</t>
        </is>
      </c>
      <c r="H262" t="inlineStr">
        <is>
          <t>Lambton Golf &amp; Country Club</t>
        </is>
      </c>
      <c r="I262" t="n">
        <v>31.4</v>
      </c>
      <c r="J262" s="4" t="n">
        <v>107</v>
      </c>
      <c r="K262" t="inlineStr">
        <is>
          <t>53 / 54</t>
        </is>
      </c>
      <c r="L262" t="inlineStr">
        <is>
          <t>18 / 14</t>
        </is>
      </c>
      <c r="M262" s="5" t="n">
        <v>0.5</v>
      </c>
      <c r="N262" s="5" t="n">
        <v>0.5600000000000001</v>
      </c>
    </row>
    <row r="263">
      <c r="A263" t="n">
        <v>262</v>
      </c>
      <c r="B263" t="n">
        <v>2012</v>
      </c>
      <c r="C263" t="inlineStr">
        <is>
          <t>Aliya Star Michel</t>
        </is>
      </c>
      <c r="D263">
        <f>HYPERLINK("https://ota.tournamentsoftware.com/player-profile/B34E6AA6-2962-4DB5-93DB-BCA4DBF97316", "Link")</f>
        <v/>
      </c>
      <c r="E263" s="3" t="n">
        <v>306.191</v>
      </c>
      <c r="F263" s="4" t="n">
        <v>4</v>
      </c>
      <c r="G263" t="inlineStr">
        <is>
          <t>Tennis Québec</t>
        </is>
      </c>
      <c r="H263" t="inlineStr">
        <is>
          <t>Carrefour Multisports</t>
        </is>
      </c>
      <c r="I263" t="n">
        <v>29.9</v>
      </c>
      <c r="J263" s="4" t="n">
        <v>184</v>
      </c>
      <c r="K263" t="inlineStr">
        <is>
          <t>96 / 88</t>
        </is>
      </c>
      <c r="L263" t="inlineStr">
        <is>
          <t>2 / 2</t>
        </is>
      </c>
      <c r="M263" s="5" t="n">
        <v>0.52</v>
      </c>
      <c r="N263" s="5" t="n">
        <v>0.5</v>
      </c>
    </row>
    <row r="264">
      <c r="A264" t="n">
        <v>263</v>
      </c>
      <c r="B264" t="n">
        <v>2014</v>
      </c>
      <c r="C264" t="inlineStr">
        <is>
          <t>Rosie Mai Kowalewski</t>
        </is>
      </c>
      <c r="D264">
        <f>HYPERLINK("https://ota.tournamentsoftware.com/player-profile/6AE6D507-C7A4-4B8D-AF2E-EBFE848DD41B", "Link")</f>
        <v/>
      </c>
      <c r="E264" s="3" t="n">
        <v>303.327</v>
      </c>
      <c r="F264" s="4" t="n">
        <v>15</v>
      </c>
      <c r="G264" t="inlineStr">
        <is>
          <t>Ontario Tennis Association</t>
        </is>
      </c>
      <c r="H264" t="inlineStr">
        <is>
          <t>No Club</t>
        </is>
      </c>
      <c r="I264" t="n">
        <v>31.5</v>
      </c>
      <c r="J264" s="4" t="n">
        <v>192</v>
      </c>
      <c r="K264" t="inlineStr">
        <is>
          <t>113 / 79</t>
        </is>
      </c>
      <c r="L264" t="inlineStr">
        <is>
          <t>14 / 11</t>
        </is>
      </c>
      <c r="M264" s="5" t="n">
        <v>0.59</v>
      </c>
      <c r="N264" s="5" t="n">
        <v>0.5600000000000001</v>
      </c>
    </row>
    <row r="265">
      <c r="A265" t="n">
        <v>264</v>
      </c>
      <c r="B265" t="n">
        <v>2013</v>
      </c>
      <c r="C265" t="inlineStr">
        <is>
          <t>Chloe Lu</t>
        </is>
      </c>
      <c r="D265">
        <f>HYPERLINK("https://ota.tournamentsoftware.com/player-profile/30F898AC-1C96-41C5-BBB0-3BFD30EC0D0D", "Link")</f>
        <v/>
      </c>
      <c r="E265" s="3" t="n">
        <v>300.706</v>
      </c>
      <c r="F265" s="4" t="n">
        <v>23</v>
      </c>
      <c r="G265" t="inlineStr">
        <is>
          <t>British Columbia</t>
        </is>
      </c>
      <c r="H265" t="inlineStr">
        <is>
          <t>UBC Tennis Centre</t>
        </is>
      </c>
      <c r="I265" t="n">
        <v>32</v>
      </c>
      <c r="J265" s="4" t="n">
        <v>164</v>
      </c>
      <c r="K265" t="inlineStr">
        <is>
          <t>61 / 103</t>
        </is>
      </c>
      <c r="L265" t="inlineStr">
        <is>
          <t>21 / 25</t>
        </is>
      </c>
      <c r="M265" s="5" t="n">
        <v>0.37</v>
      </c>
      <c r="N265" s="5" t="n">
        <v>0.46</v>
      </c>
    </row>
    <row r="266">
      <c r="A266" t="n">
        <v>265</v>
      </c>
      <c r="B266" t="n">
        <v>2015</v>
      </c>
      <c r="C266" t="inlineStr">
        <is>
          <t>Zoë Crago</t>
        </is>
      </c>
      <c r="D266">
        <f>HYPERLINK("https://ota.tournamentsoftware.com/player-profile/C2D18227-6075-4F1E-83A2-40A822F874D3", "Link")</f>
        <v/>
      </c>
      <c r="E266" s="3" t="n">
        <v>298.67</v>
      </c>
      <c r="F266" s="4" t="n">
        <v>29</v>
      </c>
      <c r="G266" t="inlineStr">
        <is>
          <t>Tennis Québec</t>
        </is>
      </c>
      <c r="H266" t="inlineStr">
        <is>
          <t>Tennis Montréal Excellence</t>
        </is>
      </c>
      <c r="I266" t="n">
        <v>33.3</v>
      </c>
      <c r="J266" s="4" t="n">
        <v>201</v>
      </c>
      <c r="K266" t="inlineStr">
        <is>
          <t>105 / 96</t>
        </is>
      </c>
      <c r="L266" t="inlineStr">
        <is>
          <t>33 / 28</t>
        </is>
      </c>
      <c r="M266" s="5" t="n">
        <v>0.52</v>
      </c>
      <c r="N266" s="5" t="n">
        <v>0.54</v>
      </c>
    </row>
    <row r="267">
      <c r="A267" t="n">
        <v>266</v>
      </c>
      <c r="B267" t="n">
        <v>2014</v>
      </c>
      <c r="C267" t="inlineStr">
        <is>
          <t>Tehzeeb MRAR</t>
        </is>
      </c>
      <c r="D267">
        <f>HYPERLINK("https://ota.tournamentsoftware.com/player-profile/9E69163B-7ED7-4450-8845-0676D6C943B8", "Link")</f>
        <v/>
      </c>
      <c r="E267" s="3" t="n">
        <v>293.832</v>
      </c>
      <c r="F267" s="4" t="n">
        <v>19</v>
      </c>
      <c r="G267" t="inlineStr">
        <is>
          <t>British Columbia</t>
        </is>
      </c>
      <c r="H267" t="inlineStr">
        <is>
          <t>No Club</t>
        </is>
      </c>
      <c r="I267" t="n">
        <v>29.7</v>
      </c>
      <c r="J267" s="4" t="n">
        <v>201</v>
      </c>
      <c r="K267" t="inlineStr">
        <is>
          <t>111 / 90</t>
        </is>
      </c>
      <c r="L267" t="inlineStr">
        <is>
          <t>21 / 16</t>
        </is>
      </c>
      <c r="M267" s="5" t="n">
        <v>0.55</v>
      </c>
      <c r="N267" s="5" t="n">
        <v>0.57</v>
      </c>
    </row>
    <row r="268">
      <c r="A268" t="n">
        <v>267</v>
      </c>
      <c r="B268" t="n">
        <v>2014</v>
      </c>
      <c r="C268" t="inlineStr">
        <is>
          <t>Krystal Xuan Sun</t>
        </is>
      </c>
      <c r="D268">
        <f>HYPERLINK("https://ota.tournamentsoftware.com/player-profile/683C106F-AE4B-4C63-B1A3-D9C25FFAD31B", "Link")</f>
        <v/>
      </c>
      <c r="E268" s="3" t="n">
        <v>289.981</v>
      </c>
      <c r="F268" s="4" t="n">
        <v>11</v>
      </c>
      <c r="G268" t="inlineStr">
        <is>
          <t>Tennis Manitoba</t>
        </is>
      </c>
      <c r="H268" t="inlineStr">
        <is>
          <t>Taylor Tennis</t>
        </is>
      </c>
      <c r="I268" t="inlineStr">
        <is>
          <t>unavailable</t>
        </is>
      </c>
      <c r="J268" s="4" t="n">
        <v>74</v>
      </c>
      <c r="K268" t="inlineStr">
        <is>
          <t>21 / 53</t>
        </is>
      </c>
      <c r="L268" t="inlineStr">
        <is>
          <t>10 / 29</t>
        </is>
      </c>
      <c r="M268" s="5" t="n">
        <v>0.28</v>
      </c>
      <c r="N268" s="5" t="n">
        <v>0.26</v>
      </c>
    </row>
    <row r="269">
      <c r="A269" t="n">
        <v>268</v>
      </c>
      <c r="B269" t="n">
        <v>2012</v>
      </c>
      <c r="C269" t="inlineStr">
        <is>
          <t>Norah Diop</t>
        </is>
      </c>
      <c r="D269">
        <f>HYPERLINK("https://ota.tournamentsoftware.com/player-profile/1B130952-D24A-467D-813D-2DA5B56ADFFF", "Link")</f>
        <v/>
      </c>
      <c r="E269" s="3" t="n">
        <v>289.524</v>
      </c>
      <c r="F269" s="4" t="n">
        <v>15</v>
      </c>
      <c r="G269" t="inlineStr">
        <is>
          <t>Tennis Québec</t>
        </is>
      </c>
      <c r="H269" t="inlineStr">
        <is>
          <t>Tennis 13</t>
        </is>
      </c>
      <c r="I269" t="inlineStr">
        <is>
          <t>unavailable</t>
        </is>
      </c>
      <c r="J269" s="4" t="n">
        <v>85</v>
      </c>
      <c r="K269" t="inlineStr">
        <is>
          <t>38 / 47</t>
        </is>
      </c>
      <c r="L269" t="inlineStr">
        <is>
          <t>13 / 12</t>
        </is>
      </c>
      <c r="M269" s="5" t="n">
        <v>0.45</v>
      </c>
      <c r="N269" s="5" t="n">
        <v>0.52</v>
      </c>
    </row>
    <row r="270">
      <c r="A270" t="n">
        <v>269</v>
      </c>
      <c r="B270" t="n">
        <v>2014</v>
      </c>
      <c r="C270" t="inlineStr">
        <is>
          <t>Mégane Bernard</t>
        </is>
      </c>
      <c r="D270">
        <f>HYPERLINK("https://ota.tournamentsoftware.com/player-profile/041B9415-6EB0-452F-AD3F-EA68CADBA2FB", "Link")</f>
        <v/>
      </c>
      <c r="E270" s="3" t="n">
        <v>287.549</v>
      </c>
      <c r="F270" s="4" t="n">
        <v>23</v>
      </c>
      <c r="G270" t="inlineStr">
        <is>
          <t>Tennis Québec</t>
        </is>
      </c>
      <c r="H270" t="inlineStr">
        <is>
          <t>Tennis 13</t>
        </is>
      </c>
      <c r="I270" t="n">
        <v>32.1</v>
      </c>
      <c r="J270" s="4" t="n">
        <v>203</v>
      </c>
      <c r="K270" t="inlineStr">
        <is>
          <t>91 / 112</t>
        </is>
      </c>
      <c r="L270" t="inlineStr">
        <is>
          <t>21 / 26</t>
        </is>
      </c>
      <c r="M270" s="5" t="n">
        <v>0.45</v>
      </c>
      <c r="N270" s="5" t="n">
        <v>0.45</v>
      </c>
    </row>
    <row r="271">
      <c r="A271" t="n">
        <v>270</v>
      </c>
      <c r="B271" t="n">
        <v>2013</v>
      </c>
      <c r="C271" t="inlineStr">
        <is>
          <t>Sasha Stack</t>
        </is>
      </c>
      <c r="D271">
        <f>HYPERLINK("https://ota.tournamentsoftware.com/player-profile/C0B95842-5E69-4EBF-8E5C-398666A7112E", "Link")</f>
        <v/>
      </c>
      <c r="E271" s="3" t="n">
        <v>283.679</v>
      </c>
      <c r="F271" s="4" t="n">
        <v>13</v>
      </c>
      <c r="G271" t="inlineStr">
        <is>
          <t>British Columbia</t>
        </is>
      </c>
      <c r="H271" t="inlineStr">
        <is>
          <t>Hollyburn Country Club</t>
        </is>
      </c>
      <c r="I271" t="n">
        <v>32.9</v>
      </c>
      <c r="J271" s="4" t="n">
        <v>113</v>
      </c>
      <c r="K271" t="inlineStr">
        <is>
          <t>52 / 61</t>
        </is>
      </c>
      <c r="L271" t="inlineStr">
        <is>
          <t>8 / 15</t>
        </is>
      </c>
      <c r="M271" s="5" t="n">
        <v>0.46</v>
      </c>
      <c r="N271" s="5" t="n">
        <v>0.35</v>
      </c>
    </row>
    <row r="272">
      <c r="A272" t="n">
        <v>271</v>
      </c>
      <c r="B272" t="n">
        <v>2014</v>
      </c>
      <c r="C272" t="inlineStr">
        <is>
          <t>Ela Velic</t>
        </is>
      </c>
      <c r="D272">
        <f>HYPERLINK("https://ota.tournamentsoftware.com/player-profile/5CC54F7D-0D30-4EF4-BE6C-A336041BBEE2", "Link")</f>
        <v/>
      </c>
      <c r="E272" s="3" t="n">
        <v>283.442</v>
      </c>
      <c r="F272" s="4" t="n">
        <v>29</v>
      </c>
      <c r="G272" t="inlineStr">
        <is>
          <t>Ontario Tennis Association</t>
        </is>
      </c>
      <c r="H272" t="inlineStr">
        <is>
          <t>Central Tennis Club</t>
        </is>
      </c>
      <c r="I272" t="n">
        <v>33.8</v>
      </c>
      <c r="J272" s="4" t="n">
        <v>112</v>
      </c>
      <c r="K272" t="inlineStr">
        <is>
          <t>57 / 55</t>
        </is>
      </c>
      <c r="L272" t="inlineStr">
        <is>
          <t>26 / 27</t>
        </is>
      </c>
      <c r="M272" s="5" t="n">
        <v>0.51</v>
      </c>
      <c r="N272" s="5" t="n">
        <v>0.49</v>
      </c>
    </row>
    <row r="273">
      <c r="A273" t="n">
        <v>272</v>
      </c>
      <c r="B273" t="n">
        <v>2012</v>
      </c>
      <c r="C273" t="inlineStr">
        <is>
          <t>Jana Karkoukli</t>
        </is>
      </c>
      <c r="D273">
        <f>HYPERLINK("https://ota.tournamentsoftware.com/player-profile/ED5D7332-7665-453C-87FD-D7E5B172FD8A", "Link")</f>
        <v/>
      </c>
      <c r="E273" s="3" t="n">
        <v>282.692</v>
      </c>
      <c r="F273" s="4" t="n">
        <v>23</v>
      </c>
      <c r="G273" t="inlineStr">
        <is>
          <t>Tennis Québec</t>
        </is>
      </c>
      <c r="H273" t="inlineStr">
        <is>
          <t>EB Tennis inc.</t>
        </is>
      </c>
      <c r="I273" t="n">
        <v>34.7</v>
      </c>
      <c r="J273" s="4" t="n">
        <v>190</v>
      </c>
      <c r="K273" t="inlineStr">
        <is>
          <t>52 / 138</t>
        </is>
      </c>
      <c r="L273" t="inlineStr">
        <is>
          <t>3 / 21</t>
        </is>
      </c>
      <c r="M273" s="5" t="n">
        <v>0.27</v>
      </c>
      <c r="N273" s="5" t="n">
        <v>0.12</v>
      </c>
    </row>
    <row r="274">
      <c r="A274" t="n">
        <v>273</v>
      </c>
      <c r="B274" t="n">
        <v>2014</v>
      </c>
      <c r="C274" t="inlineStr">
        <is>
          <t>Avelyn Deepak</t>
        </is>
      </c>
      <c r="D274">
        <f>HYPERLINK("https://ota.tournamentsoftware.com/player-profile/4412DB09-5DE9-45DA-AB13-46B4F24B409F", "Link")</f>
        <v/>
      </c>
      <c r="E274" s="3" t="n">
        <v>282.546</v>
      </c>
      <c r="F274" s="4" t="n">
        <v>10</v>
      </c>
      <c r="G274" t="inlineStr">
        <is>
          <t>Tennis Manitoba</t>
        </is>
      </c>
      <c r="H274" t="inlineStr">
        <is>
          <t>Winnipeg Winter Club</t>
        </is>
      </c>
      <c r="I274" t="n">
        <v>35.2</v>
      </c>
      <c r="J274" s="4" t="n">
        <v>35</v>
      </c>
      <c r="K274" t="inlineStr">
        <is>
          <t>9 / 26</t>
        </is>
      </c>
      <c r="L274" t="inlineStr">
        <is>
          <t>9 / 26</t>
        </is>
      </c>
      <c r="M274" s="5" t="n">
        <v>0.26</v>
      </c>
      <c r="N274" s="5" t="n">
        <v>0.26</v>
      </c>
    </row>
    <row r="275">
      <c r="A275" t="n">
        <v>274</v>
      </c>
      <c r="B275" t="n">
        <v>2012</v>
      </c>
      <c r="C275" t="inlineStr">
        <is>
          <t>Harsimran Kaur Sandhu</t>
        </is>
      </c>
      <c r="D275">
        <f>HYPERLINK("https://ota.tournamentsoftware.com/player-profile/10345BBC-2CC8-4DA1-AA88-2730495B6CB8", "Link")</f>
        <v/>
      </c>
      <c r="E275" s="3" t="n">
        <v>280.68</v>
      </c>
      <c r="F275" s="4" t="n">
        <v>28</v>
      </c>
      <c r="G275" t="inlineStr">
        <is>
          <t>Ontario Tennis Association</t>
        </is>
      </c>
      <c r="H275" t="inlineStr">
        <is>
          <t>Premier Racquet Clubs – Mississauga</t>
        </is>
      </c>
      <c r="I275" t="inlineStr">
        <is>
          <t>unavailable</t>
        </is>
      </c>
      <c r="J275" s="4" t="n">
        <v>115</v>
      </c>
      <c r="K275" t="inlineStr">
        <is>
          <t>53 / 62</t>
        </is>
      </c>
      <c r="L275" t="inlineStr">
        <is>
          <t>28 / 23</t>
        </is>
      </c>
      <c r="M275" s="5" t="n">
        <v>0.46</v>
      </c>
      <c r="N275" s="5" t="n">
        <v>0.55</v>
      </c>
    </row>
    <row r="276">
      <c r="A276" t="n">
        <v>275</v>
      </c>
      <c r="B276" t="n">
        <v>2013</v>
      </c>
      <c r="C276" t="inlineStr">
        <is>
          <t>Chanjoban Kaur Birdi</t>
        </is>
      </c>
      <c r="D276">
        <f>HYPERLINK("https://ota.tournamentsoftware.com/player-profile/26D50988-CF95-4A0A-9087-8DC8E38F0BDB", "Link")</f>
        <v/>
      </c>
      <c r="E276" s="3" t="n">
        <v>279.108</v>
      </c>
      <c r="F276" s="4" t="n">
        <v>20</v>
      </c>
      <c r="G276" t="inlineStr">
        <is>
          <t>British Columbia</t>
        </is>
      </c>
      <c r="H276" t="inlineStr">
        <is>
          <t>Newton Tennis Club</t>
        </is>
      </c>
      <c r="I276" t="n">
        <v>29.3</v>
      </c>
      <c r="J276" s="4" t="n">
        <v>207</v>
      </c>
      <c r="K276" t="inlineStr">
        <is>
          <t>103 / 104</t>
        </is>
      </c>
      <c r="L276" t="inlineStr">
        <is>
          <t>28 / 17</t>
        </is>
      </c>
      <c r="M276" s="5" t="n">
        <v>0.5</v>
      </c>
      <c r="N276" s="5" t="n">
        <v>0.62</v>
      </c>
    </row>
    <row r="277">
      <c r="A277" t="n">
        <v>276</v>
      </c>
      <c r="B277" t="n">
        <v>2014</v>
      </c>
      <c r="C277" t="inlineStr">
        <is>
          <t>Elliette Leah Tran</t>
        </is>
      </c>
      <c r="D277">
        <f>HYPERLINK("https://ota.tournamentsoftware.com/player-profile/9986D752-4364-42A6-9A1B-E1BC239760F0", "Link")</f>
        <v/>
      </c>
      <c r="E277" s="3" t="n">
        <v>278.539</v>
      </c>
      <c r="F277" s="4" t="n">
        <v>18</v>
      </c>
      <c r="G277" t="inlineStr">
        <is>
          <t>Tennis Alberta</t>
        </is>
      </c>
      <c r="H277" t="inlineStr">
        <is>
          <t>Saville Community Sports Centre</t>
        </is>
      </c>
      <c r="I277" t="inlineStr">
        <is>
          <t>unavailable</t>
        </is>
      </c>
      <c r="J277" s="4" t="n">
        <v>125</v>
      </c>
      <c r="K277" t="inlineStr">
        <is>
          <t>64 / 61</t>
        </is>
      </c>
      <c r="L277" t="inlineStr">
        <is>
          <t>29 / 21</t>
        </is>
      </c>
      <c r="M277" s="5" t="n">
        <v>0.51</v>
      </c>
      <c r="N277" s="5" t="n">
        <v>0.58</v>
      </c>
    </row>
    <row r="278">
      <c r="A278" t="n">
        <v>277</v>
      </c>
      <c r="B278" t="n">
        <v>2013</v>
      </c>
      <c r="C278" t="inlineStr">
        <is>
          <t>Maddie Kershaw</t>
        </is>
      </c>
      <c r="D278">
        <f>HYPERLINK("https://ota.tournamentsoftware.com/player-profile/14F8911D-BF5A-4FE7-BFF6-D5A71E72307F", "Link")</f>
        <v/>
      </c>
      <c r="E278" s="3" t="n">
        <v>278.432</v>
      </c>
      <c r="F278" s="4" t="n">
        <v>10</v>
      </c>
      <c r="G278" t="inlineStr">
        <is>
          <t>Tennis New Brunswick</t>
        </is>
      </c>
      <c r="H278" t="inlineStr">
        <is>
          <t>Abony Family Tennis Center</t>
        </is>
      </c>
      <c r="I278" t="n">
        <v>33.8</v>
      </c>
      <c r="J278" s="4" t="n">
        <v>188</v>
      </c>
      <c r="K278" t="inlineStr">
        <is>
          <t>95 / 93</t>
        </is>
      </c>
      <c r="L278" t="inlineStr">
        <is>
          <t>16 / 23</t>
        </is>
      </c>
      <c r="M278" s="5" t="n">
        <v>0.51</v>
      </c>
      <c r="N278" s="5" t="n">
        <v>0.41</v>
      </c>
    </row>
    <row r="279">
      <c r="A279" t="n">
        <v>278</v>
      </c>
      <c r="B279" t="n">
        <v>2015</v>
      </c>
      <c r="C279" t="inlineStr">
        <is>
          <t>Keira Braudo</t>
        </is>
      </c>
      <c r="D279">
        <f>HYPERLINK("https://ota.tournamentsoftware.com/player-profile/8D683600-A107-430B-BBAA-BD98BDCE0FD8", "Link")</f>
        <v/>
      </c>
      <c r="E279" s="3" t="n">
        <v>277.503</v>
      </c>
      <c r="F279" s="4" t="n">
        <v>14</v>
      </c>
      <c r="G279" t="inlineStr">
        <is>
          <t>Ontario Tennis Association</t>
        </is>
      </c>
      <c r="H279" t="inlineStr">
        <is>
          <t>Mayfair West Fitness &amp; Racquet Club</t>
        </is>
      </c>
      <c r="I279" t="n">
        <v>29.8</v>
      </c>
      <c r="J279" s="4" t="n">
        <v>77</v>
      </c>
      <c r="K279" t="inlineStr">
        <is>
          <t>52 / 25</t>
        </is>
      </c>
      <c r="L279" t="inlineStr">
        <is>
          <t>29 / 7</t>
        </is>
      </c>
      <c r="M279" s="5" t="n">
        <v>0.68</v>
      </c>
      <c r="N279" s="5" t="n">
        <v>0.8100000000000001</v>
      </c>
    </row>
    <row r="280">
      <c r="A280" t="n">
        <v>279</v>
      </c>
      <c r="B280" t="n">
        <v>2012</v>
      </c>
      <c r="C280" t="inlineStr">
        <is>
          <t>Shrreya Elkturi</t>
        </is>
      </c>
      <c r="D280">
        <f>HYPERLINK("https://ota.tournamentsoftware.com/player-profile/1A8DA0C1-51FB-48B8-8AED-D37DAB186E95", "Link")</f>
        <v/>
      </c>
      <c r="E280" s="3" t="n">
        <v>274.434</v>
      </c>
      <c r="F280" s="4" t="n">
        <v>23</v>
      </c>
      <c r="G280" t="inlineStr">
        <is>
          <t>Ontario Tennis Association</t>
        </is>
      </c>
      <c r="H280" t="inlineStr">
        <is>
          <t>No Club</t>
        </is>
      </c>
      <c r="I280" t="n">
        <v>32.5</v>
      </c>
      <c r="J280" s="4" t="n">
        <v>89</v>
      </c>
      <c r="K280" t="inlineStr">
        <is>
          <t>32 / 57</t>
        </is>
      </c>
      <c r="L280" t="inlineStr">
        <is>
          <t>17 / 19</t>
        </is>
      </c>
      <c r="M280" s="5" t="n">
        <v>0.36</v>
      </c>
      <c r="N280" s="5" t="n">
        <v>0.47</v>
      </c>
    </row>
    <row r="281">
      <c r="A281" t="n">
        <v>280</v>
      </c>
      <c r="B281" t="n">
        <v>2012</v>
      </c>
      <c r="C281" t="inlineStr">
        <is>
          <t>ella kim brend</t>
        </is>
      </c>
      <c r="D281">
        <f>HYPERLINK("https://ota.tournamentsoftware.com/player-profile/C777EDB2-AC2E-4E02-948A-26DCAC347821", "Link")</f>
        <v/>
      </c>
      <c r="E281" s="3" t="n">
        <v>274.297</v>
      </c>
      <c r="F281" s="4" t="n">
        <v>19</v>
      </c>
      <c r="G281" t="inlineStr">
        <is>
          <t>British Columbia</t>
        </is>
      </c>
      <c r="H281" t="inlineStr">
        <is>
          <t>The Tennis Centre</t>
        </is>
      </c>
      <c r="I281" t="n">
        <v>30.1</v>
      </c>
      <c r="J281" s="4" t="n">
        <v>128</v>
      </c>
      <c r="K281" t="inlineStr">
        <is>
          <t>88 / 40</t>
        </is>
      </c>
      <c r="L281" t="inlineStr">
        <is>
          <t>36 / 15</t>
        </is>
      </c>
      <c r="M281" s="5" t="n">
        <v>0.6899999999999999</v>
      </c>
      <c r="N281" s="5" t="n">
        <v>0.71</v>
      </c>
    </row>
    <row r="282">
      <c r="A282" t="n">
        <v>281</v>
      </c>
      <c r="B282" t="n">
        <v>2014</v>
      </c>
      <c r="C282" t="inlineStr">
        <is>
          <t>Candice YAO</t>
        </is>
      </c>
      <c r="D282">
        <f>HYPERLINK("https://ota.tournamentsoftware.com/player-profile/2EEE6D95-1504-4E36-A996-F48A3CD7FC03", "Link")</f>
        <v/>
      </c>
      <c r="E282" s="3" t="n">
        <v>273.266</v>
      </c>
      <c r="F282" s="4" t="n">
        <v>20</v>
      </c>
      <c r="G282" t="inlineStr">
        <is>
          <t>Ontario Tennis Association</t>
        </is>
      </c>
      <c r="H282" t="inlineStr">
        <is>
          <t>Richmondhill Golf &amp; Country Club</t>
        </is>
      </c>
      <c r="I282" t="n">
        <v>32.6</v>
      </c>
      <c r="J282" s="4" t="n">
        <v>99</v>
      </c>
      <c r="K282" t="inlineStr">
        <is>
          <t>45 / 54</t>
        </is>
      </c>
      <c r="L282" t="inlineStr">
        <is>
          <t>21 / 15</t>
        </is>
      </c>
      <c r="M282" s="5" t="n">
        <v>0.45</v>
      </c>
      <c r="N282" s="5" t="n">
        <v>0.58</v>
      </c>
    </row>
    <row r="283">
      <c r="A283" t="n">
        <v>282</v>
      </c>
      <c r="B283" t="n">
        <v>2014</v>
      </c>
      <c r="C283" t="inlineStr">
        <is>
          <t>Elisa Krumov</t>
        </is>
      </c>
      <c r="D283">
        <f>HYPERLINK("https://ota.tournamentsoftware.com/player-profile/8B5D18FC-0F51-468A-BE7C-7EA242A06382", "Link")</f>
        <v/>
      </c>
      <c r="E283" s="3" t="n">
        <v>270.273</v>
      </c>
      <c r="F283" s="4" t="n">
        <v>21</v>
      </c>
      <c r="G283" t="inlineStr">
        <is>
          <t>Ontario Tennis Association</t>
        </is>
      </c>
      <c r="H283" t="inlineStr">
        <is>
          <t>Joshua Creek Golf &amp; Tennis</t>
        </is>
      </c>
      <c r="I283" t="n">
        <v>33.2</v>
      </c>
      <c r="J283" s="4" t="n">
        <v>95</v>
      </c>
      <c r="K283" t="inlineStr">
        <is>
          <t>43 / 52</t>
        </is>
      </c>
      <c r="L283" t="inlineStr">
        <is>
          <t>16 / 22</t>
        </is>
      </c>
      <c r="M283" s="5" t="n">
        <v>0.45</v>
      </c>
      <c r="N283" s="5" t="n">
        <v>0.42</v>
      </c>
    </row>
    <row r="284">
      <c r="A284" t="n">
        <v>283</v>
      </c>
      <c r="B284" t="n">
        <v>2012</v>
      </c>
      <c r="C284" t="inlineStr">
        <is>
          <t>Kristina Khlyebnykova</t>
        </is>
      </c>
      <c r="D284">
        <f>HYPERLINK("https://ota.tournamentsoftware.com/player-profile/D585FC7E-ABD0-44A4-A0AC-539E39880B84", "Link")</f>
        <v/>
      </c>
      <c r="E284" s="3" t="n">
        <v>269.6</v>
      </c>
      <c r="F284" s="4" t="n">
        <v>16</v>
      </c>
      <c r="G284" t="inlineStr">
        <is>
          <t>Ontario Tennis Association</t>
        </is>
      </c>
      <c r="H284" t="inlineStr">
        <is>
          <t>Concord Tennis Academy</t>
        </is>
      </c>
      <c r="I284" t="n">
        <v>31.8</v>
      </c>
      <c r="J284" s="4" t="n">
        <v>76</v>
      </c>
      <c r="K284" t="inlineStr">
        <is>
          <t>36 / 40</t>
        </is>
      </c>
      <c r="L284" t="inlineStr">
        <is>
          <t>15 / 13</t>
        </is>
      </c>
      <c r="M284" s="5" t="n">
        <v>0.47</v>
      </c>
      <c r="N284" s="5" t="n">
        <v>0.54</v>
      </c>
    </row>
    <row r="285">
      <c r="A285" t="n">
        <v>284</v>
      </c>
      <c r="B285" t="n">
        <v>2013</v>
      </c>
      <c r="C285" t="inlineStr">
        <is>
          <t>Gabriela Gardonyi</t>
        </is>
      </c>
      <c r="D285">
        <f>HYPERLINK("https://ota.tournamentsoftware.com/player-profile/EA584DC9-AF4E-413B-BF0B-75746024F8E4", "Link")</f>
        <v/>
      </c>
      <c r="E285" s="3" t="n">
        <v>269.544</v>
      </c>
      <c r="F285" s="4" t="n">
        <v>21</v>
      </c>
      <c r="G285" t="inlineStr">
        <is>
          <t>Ontario Tennis Association</t>
        </is>
      </c>
      <c r="H285" t="inlineStr">
        <is>
          <t>Richmond Hill Country Club</t>
        </is>
      </c>
      <c r="I285" t="inlineStr">
        <is>
          <t>unavailable</t>
        </is>
      </c>
      <c r="J285" s="4" t="n">
        <v>122</v>
      </c>
      <c r="K285" t="inlineStr">
        <is>
          <t>56 / 66</t>
        </is>
      </c>
      <c r="L285" t="inlineStr">
        <is>
          <t>21 / 22</t>
        </is>
      </c>
      <c r="M285" s="5" t="n">
        <v>0.46</v>
      </c>
      <c r="N285" s="5" t="n">
        <v>0.49</v>
      </c>
    </row>
    <row r="286">
      <c r="A286" t="n">
        <v>285</v>
      </c>
      <c r="B286" t="n">
        <v>2015</v>
      </c>
      <c r="C286" t="inlineStr">
        <is>
          <t>Alia Idrissi Serghini</t>
        </is>
      </c>
      <c r="D286">
        <f>HYPERLINK("https://ota.tournamentsoftware.com/player-profile/CF328206-362D-4259-AA9F-74B7EF760A80", "Link")</f>
        <v/>
      </c>
      <c r="E286" s="3" t="n">
        <v>267.456</v>
      </c>
      <c r="F286" s="4" t="n">
        <v>18</v>
      </c>
      <c r="G286" t="inlineStr">
        <is>
          <t>Tennis Québec</t>
        </is>
      </c>
      <c r="H286" t="inlineStr">
        <is>
          <t>Centre récréatif de Repentigny / Académie Tennis Momentum</t>
        </is>
      </c>
      <c r="I286" t="n">
        <v>32.7</v>
      </c>
      <c r="J286" s="4" t="n">
        <v>143</v>
      </c>
      <c r="K286" t="inlineStr">
        <is>
          <t>86 / 57</t>
        </is>
      </c>
      <c r="L286" t="inlineStr">
        <is>
          <t>21 / 21</t>
        </is>
      </c>
      <c r="M286" s="5" t="n">
        <v>0.6</v>
      </c>
      <c r="N286" s="5" t="n">
        <v>0.5</v>
      </c>
    </row>
    <row r="287">
      <c r="A287" t="n">
        <v>286</v>
      </c>
      <c r="B287" t="n">
        <v>2015</v>
      </c>
      <c r="C287" t="inlineStr">
        <is>
          <t>Alexia Picciola</t>
        </is>
      </c>
      <c r="D287">
        <f>HYPERLINK("https://ota.tournamentsoftware.com/player-profile/91C9A734-3E6E-45CC-B46D-51BF9C9A7FC4", "Link")</f>
        <v/>
      </c>
      <c r="E287" s="3" t="n">
        <v>264.417</v>
      </c>
      <c r="F287" s="4" t="n">
        <v>19</v>
      </c>
      <c r="G287" t="inlineStr">
        <is>
          <t>Tennis Québec</t>
        </is>
      </c>
      <c r="H287" t="inlineStr">
        <is>
          <t>Tennis Montréal Excellence</t>
        </is>
      </c>
      <c r="I287" t="n">
        <v>31.5</v>
      </c>
      <c r="J287" s="4" t="n">
        <v>167</v>
      </c>
      <c r="K287" t="inlineStr">
        <is>
          <t>80 / 87</t>
        </is>
      </c>
      <c r="L287" t="inlineStr">
        <is>
          <t>33 / 21</t>
        </is>
      </c>
      <c r="M287" s="5" t="n">
        <v>0.48</v>
      </c>
      <c r="N287" s="5" t="n">
        <v>0.61</v>
      </c>
    </row>
    <row r="288">
      <c r="A288" t="n">
        <v>287</v>
      </c>
      <c r="B288" t="n">
        <v>2013</v>
      </c>
      <c r="C288" t="inlineStr">
        <is>
          <t>Mia Tran</t>
        </is>
      </c>
      <c r="D288">
        <f>HYPERLINK("https://ota.tournamentsoftware.com/player-profile/140A029D-3BE9-44F2-AA6A-53ED5C2991A8", "Link")</f>
        <v/>
      </c>
      <c r="E288" s="3" t="n">
        <v>263.72</v>
      </c>
      <c r="F288" s="4" t="n">
        <v>13</v>
      </c>
      <c r="G288" t="inlineStr">
        <is>
          <t>Ontario Tennis Association</t>
        </is>
      </c>
      <c r="H288" t="inlineStr">
        <is>
          <t>SmartVMC Racquetsports by ACE</t>
        </is>
      </c>
      <c r="I288" t="n">
        <v>32</v>
      </c>
      <c r="J288" s="4" t="n">
        <v>94</v>
      </c>
      <c r="K288" t="inlineStr">
        <is>
          <t>58 / 36</t>
        </is>
      </c>
      <c r="L288" t="inlineStr">
        <is>
          <t>19 / 11</t>
        </is>
      </c>
      <c r="M288" s="5" t="n">
        <v>0.62</v>
      </c>
      <c r="N288" s="5" t="n">
        <v>0.63</v>
      </c>
    </row>
    <row r="289">
      <c r="A289" t="n">
        <v>288</v>
      </c>
      <c r="B289" t="n">
        <v>2015</v>
      </c>
      <c r="C289" t="inlineStr">
        <is>
          <t>Hannah D'Souza</t>
        </is>
      </c>
      <c r="D289">
        <f>HYPERLINK("https://ota.tournamentsoftware.com/player-profile/6516E6BE-4D11-4CDB-8F62-FFE106E8A899", "Link")</f>
        <v/>
      </c>
      <c r="E289" s="3" t="n">
        <v>263.065</v>
      </c>
      <c r="F289" s="4" t="n">
        <v>29</v>
      </c>
      <c r="G289" t="inlineStr">
        <is>
          <t>Ontario Tennis Association</t>
        </is>
      </c>
      <c r="H289" t="inlineStr">
        <is>
          <t>No Club</t>
        </is>
      </c>
      <c r="I289" t="n">
        <v>33.2</v>
      </c>
      <c r="J289" s="4" t="n">
        <v>163</v>
      </c>
      <c r="K289" t="inlineStr">
        <is>
          <t>67 / 96</t>
        </is>
      </c>
      <c r="L289" t="inlineStr">
        <is>
          <t>23 / 27</t>
        </is>
      </c>
      <c r="M289" s="5" t="n">
        <v>0.41</v>
      </c>
      <c r="N289" s="5" t="n">
        <v>0.46</v>
      </c>
    </row>
    <row r="290">
      <c r="A290" t="n">
        <v>289</v>
      </c>
      <c r="B290" t="n">
        <v>2014</v>
      </c>
      <c r="C290" t="inlineStr">
        <is>
          <t>Thanushka Sadasivam</t>
        </is>
      </c>
      <c r="D290">
        <f>HYPERLINK("https://ota.tournamentsoftware.com/player-profile/CA495DA8-0B9D-4530-9886-FC567CD73AE9", "Link")</f>
        <v/>
      </c>
      <c r="E290" s="3" t="n">
        <v>260.403</v>
      </c>
      <c r="F290" s="4" t="n">
        <v>15</v>
      </c>
      <c r="G290" t="inlineStr">
        <is>
          <t>Ontario Tennis Association</t>
        </is>
      </c>
      <c r="H290" t="inlineStr">
        <is>
          <t>Ontario Racquet Club</t>
        </is>
      </c>
      <c r="I290" t="n">
        <v>35.1</v>
      </c>
      <c r="J290" s="4" t="n">
        <v>59</v>
      </c>
      <c r="K290" t="inlineStr">
        <is>
          <t>25 / 34</t>
        </is>
      </c>
      <c r="L290" t="inlineStr">
        <is>
          <t>7 / 12</t>
        </is>
      </c>
      <c r="M290" s="5" t="n">
        <v>0.42</v>
      </c>
      <c r="N290" s="5" t="n">
        <v>0.37</v>
      </c>
    </row>
    <row r="291">
      <c r="A291" t="n">
        <v>290</v>
      </c>
      <c r="B291" t="n">
        <v>2015</v>
      </c>
      <c r="C291" t="inlineStr">
        <is>
          <t>Emma Xu</t>
        </is>
      </c>
      <c r="D291">
        <f>HYPERLINK("https://ota.tournamentsoftware.com/player-profile/464089C3-D2B4-413F-A102-AF0AEFF9A318", "Link")</f>
        <v/>
      </c>
      <c r="E291" s="3" t="n">
        <v>259.338</v>
      </c>
      <c r="F291" s="4" t="n">
        <v>9</v>
      </c>
      <c r="G291" t="inlineStr">
        <is>
          <t>Tennis Manitoba</t>
        </is>
      </c>
      <c r="H291" t="inlineStr">
        <is>
          <t>Taylor Tennis</t>
        </is>
      </c>
      <c r="I291" t="n">
        <v>36.3</v>
      </c>
      <c r="J291" s="4" t="n">
        <v>100</v>
      </c>
      <c r="K291" t="inlineStr">
        <is>
          <t>27 / 73</t>
        </is>
      </c>
      <c r="L291" t="inlineStr">
        <is>
          <t>9 / 28</t>
        </is>
      </c>
      <c r="M291" s="5" t="n">
        <v>0.27</v>
      </c>
      <c r="N291" s="5" t="n">
        <v>0.24</v>
      </c>
    </row>
    <row r="292">
      <c r="A292" t="n">
        <v>291</v>
      </c>
      <c r="B292" t="n">
        <v>2013</v>
      </c>
      <c r="C292" t="inlineStr">
        <is>
          <t>Ebun Fasanya</t>
        </is>
      </c>
      <c r="D292">
        <f>HYPERLINK("https://ota.tournamentsoftware.com/player-profile/943BB22B-8108-44B4-80BD-15A6984D1D23", "Link")</f>
        <v/>
      </c>
      <c r="E292" s="3" t="n">
        <v>256.168</v>
      </c>
      <c r="F292" s="4" t="n">
        <v>17</v>
      </c>
      <c r="G292" t="inlineStr">
        <is>
          <t>Ontario Tennis Association</t>
        </is>
      </c>
      <c r="H292" t="inlineStr">
        <is>
          <t>Joshua Creek Golf &amp; Tennis</t>
        </is>
      </c>
      <c r="I292" t="n">
        <v>33.9</v>
      </c>
      <c r="J292" s="4" t="n">
        <v>82</v>
      </c>
      <c r="K292" t="inlineStr">
        <is>
          <t>45 / 37</t>
        </is>
      </c>
      <c r="L292" t="inlineStr">
        <is>
          <t>17 / 14</t>
        </is>
      </c>
      <c r="M292" s="5" t="n">
        <v>0.55</v>
      </c>
      <c r="N292" s="5" t="n">
        <v>0.55</v>
      </c>
    </row>
    <row r="293">
      <c r="A293" t="n">
        <v>292</v>
      </c>
      <c r="B293" t="n">
        <v>2014</v>
      </c>
      <c r="C293" t="inlineStr">
        <is>
          <t>SOFIA LUCKY</t>
        </is>
      </c>
      <c r="D293">
        <f>HYPERLINK("https://ota.tournamentsoftware.com/player-profile/9A590660-3C23-4CD7-A9AF-30CC3227EC17", "Link")</f>
        <v/>
      </c>
      <c r="E293" s="3" t="n">
        <v>252.375</v>
      </c>
      <c r="F293" s="4" t="n">
        <v>12</v>
      </c>
      <c r="G293" t="inlineStr">
        <is>
          <t>Tennis Québec</t>
        </is>
      </c>
      <c r="H293" t="inlineStr">
        <is>
          <t>Académie de tennis UNI(T)</t>
        </is>
      </c>
      <c r="I293" t="n">
        <v>34.2</v>
      </c>
      <c r="J293" s="4" t="n">
        <v>89</v>
      </c>
      <c r="K293" t="inlineStr">
        <is>
          <t>33 / 56</t>
        </is>
      </c>
      <c r="L293" t="inlineStr">
        <is>
          <t>12 / 11</t>
        </is>
      </c>
      <c r="M293" s="5" t="n">
        <v>0.37</v>
      </c>
      <c r="N293" s="5" t="n">
        <v>0.52</v>
      </c>
    </row>
    <row r="294">
      <c r="A294" t="n">
        <v>293</v>
      </c>
      <c r="B294" t="n">
        <v>2015</v>
      </c>
      <c r="C294" t="inlineStr">
        <is>
          <t>Ella Potechin</t>
        </is>
      </c>
      <c r="D294">
        <f>HYPERLINK("https://ota.tournamentsoftware.com/player-profile/6611C50A-5A2F-4DF7-B99B-97DD644D2C2A", "Link")</f>
        <v/>
      </c>
      <c r="E294" s="3" t="n">
        <v>251.009</v>
      </c>
      <c r="F294" s="4" t="n">
        <v>17</v>
      </c>
      <c r="G294" t="inlineStr">
        <is>
          <t>Ontario Tennis Association</t>
        </is>
      </c>
      <c r="H294" t="inlineStr">
        <is>
          <t>Tennis Outaouais Performance (TOP) ON</t>
        </is>
      </c>
      <c r="I294" t="n">
        <v>34.6</v>
      </c>
      <c r="J294" s="4" t="n">
        <v>101</v>
      </c>
      <c r="K294" t="inlineStr">
        <is>
          <t>41 / 60</t>
        </is>
      </c>
      <c r="L294" t="inlineStr">
        <is>
          <t>24 / 24</t>
        </is>
      </c>
      <c r="M294" s="5" t="n">
        <v>0.41</v>
      </c>
      <c r="N294" s="5" t="n">
        <v>0.5</v>
      </c>
    </row>
    <row r="295">
      <c r="A295" t="n">
        <v>294</v>
      </c>
      <c r="B295" t="n">
        <v>2015</v>
      </c>
      <c r="C295" t="inlineStr">
        <is>
          <t>Violetta Munoz</t>
        </is>
      </c>
      <c r="D295">
        <f>HYPERLINK("https://ota.tournamentsoftware.com/player-profile/55FD2B42-2961-45DA-8250-9ECCED0E6566", "Link")</f>
        <v/>
      </c>
      <c r="E295" s="3" t="n">
        <v>250.656</v>
      </c>
      <c r="F295" s="4" t="n">
        <v>23</v>
      </c>
      <c r="G295" t="inlineStr">
        <is>
          <t>Tennis Québec</t>
        </is>
      </c>
      <c r="H295" t="inlineStr">
        <is>
          <t>Carrefour Multisports</t>
        </is>
      </c>
      <c r="I295" t="n">
        <v>32.7</v>
      </c>
      <c r="J295" s="4" t="n">
        <v>181</v>
      </c>
      <c r="K295" t="inlineStr">
        <is>
          <t>94 / 87</t>
        </is>
      </c>
      <c r="L295" t="inlineStr">
        <is>
          <t>23 / 22</t>
        </is>
      </c>
      <c r="M295" s="5" t="n">
        <v>0.52</v>
      </c>
      <c r="N295" s="5" t="n">
        <v>0.51</v>
      </c>
    </row>
    <row r="296">
      <c r="A296" t="n">
        <v>295</v>
      </c>
      <c r="B296" t="n">
        <v>2015</v>
      </c>
      <c r="C296" t="inlineStr">
        <is>
          <t>Lydia Huang</t>
        </is>
      </c>
      <c r="D296">
        <f>HYPERLINK("https://ota.tournamentsoftware.com/player-profile/C398C976-6D88-4D76-B532-8E986C6FF0EA", "Link")</f>
        <v/>
      </c>
      <c r="E296" s="3" t="n">
        <v>250.066</v>
      </c>
      <c r="F296" s="4" t="n">
        <v>30</v>
      </c>
      <c r="G296" t="inlineStr">
        <is>
          <t>Ontario Tennis Association</t>
        </is>
      </c>
      <c r="H296" t="inlineStr">
        <is>
          <t>The Supreme Court Tennis Club</t>
        </is>
      </c>
      <c r="I296" t="n">
        <v>32.4</v>
      </c>
      <c r="J296" s="4" t="n">
        <v>106</v>
      </c>
      <c r="K296" t="inlineStr">
        <is>
          <t>65 / 41</t>
        </is>
      </c>
      <c r="L296" t="inlineStr">
        <is>
          <t>36 / 23</t>
        </is>
      </c>
      <c r="M296" s="5" t="n">
        <v>0.61</v>
      </c>
      <c r="N296" s="5" t="n">
        <v>0.61</v>
      </c>
    </row>
    <row r="297">
      <c r="A297" t="n">
        <v>296</v>
      </c>
      <c r="B297" t="n">
        <v>2014</v>
      </c>
      <c r="C297" t="inlineStr">
        <is>
          <t>Emma Lajoie</t>
        </is>
      </c>
      <c r="D297">
        <f>HYPERLINK("https://ota.tournamentsoftware.com/player-profile/E1635D80-45C0-4A06-8270-280699032897", "Link")</f>
        <v/>
      </c>
      <c r="E297" s="3" t="n">
        <v>247.649</v>
      </c>
      <c r="F297" s="4" t="n">
        <v>18</v>
      </c>
      <c r="G297" t="inlineStr">
        <is>
          <t>Tennis Québec</t>
        </is>
      </c>
      <c r="H297" t="inlineStr">
        <is>
          <t>SANI Sport</t>
        </is>
      </c>
      <c r="I297" t="n">
        <v>33</v>
      </c>
      <c r="J297" s="4" t="n">
        <v>160</v>
      </c>
      <c r="K297" t="inlineStr">
        <is>
          <t>81 / 79</t>
        </is>
      </c>
      <c r="L297" t="inlineStr">
        <is>
          <t>19 / 23</t>
        </is>
      </c>
      <c r="M297" s="5" t="n">
        <v>0.51</v>
      </c>
      <c r="N297" s="5" t="n">
        <v>0.45</v>
      </c>
    </row>
    <row r="298">
      <c r="A298" t="n">
        <v>297</v>
      </c>
      <c r="B298" t="n">
        <v>2014</v>
      </c>
      <c r="C298" t="inlineStr">
        <is>
          <t>Aryella Ainame Duran Khongwir</t>
        </is>
      </c>
      <c r="D298">
        <f>HYPERLINK("https://ota.tournamentsoftware.com/player-profile/6DB3D46F-3C74-400D-92A4-62CF55426936", "Link")</f>
        <v/>
      </c>
      <c r="E298" s="3" t="n">
        <v>245.44</v>
      </c>
      <c r="F298" s="4" t="n">
        <v>20</v>
      </c>
      <c r="G298" t="inlineStr">
        <is>
          <t>Ontario Tennis Association</t>
        </is>
      </c>
      <c r="H298" t="inlineStr">
        <is>
          <t>Stefanovic Tennis Academy</t>
        </is>
      </c>
      <c r="I298" t="n">
        <v>34.2</v>
      </c>
      <c r="J298" s="4" t="n">
        <v>186</v>
      </c>
      <c r="K298" t="inlineStr">
        <is>
          <t>54 / 132</t>
        </is>
      </c>
      <c r="L298" t="inlineStr">
        <is>
          <t>20 / 20</t>
        </is>
      </c>
      <c r="M298" s="5" t="n">
        <v>0.29</v>
      </c>
      <c r="N298" s="5" t="n">
        <v>0.5</v>
      </c>
    </row>
    <row r="299">
      <c r="A299" t="n">
        <v>298</v>
      </c>
      <c r="B299" t="n">
        <v>2013</v>
      </c>
      <c r="C299" t="inlineStr">
        <is>
          <t>Ava Dancik</t>
        </is>
      </c>
      <c r="D299">
        <f>HYPERLINK("https://ota.tournamentsoftware.com/player-profile/CF808414-C0CE-4B07-9667-D3EE492D6BCE", "Link")</f>
        <v/>
      </c>
      <c r="E299" s="3" t="n">
        <v>245.24</v>
      </c>
      <c r="F299" s="4" t="n">
        <v>14</v>
      </c>
      <c r="G299" t="inlineStr">
        <is>
          <t>Tennis Québec</t>
        </is>
      </c>
      <c r="H299" t="inlineStr">
        <is>
          <t>Tennis Ile- des- Soeurs</t>
        </is>
      </c>
      <c r="I299" t="n">
        <v>31.5</v>
      </c>
      <c r="J299" s="4" t="n">
        <v>219</v>
      </c>
      <c r="K299" t="inlineStr">
        <is>
          <t>112 / 107</t>
        </is>
      </c>
      <c r="L299" t="inlineStr">
        <is>
          <t>16 / 10</t>
        </is>
      </c>
      <c r="M299" s="5" t="n">
        <v>0.51</v>
      </c>
      <c r="N299" s="5" t="n">
        <v>0.62</v>
      </c>
    </row>
    <row r="300">
      <c r="A300" t="n">
        <v>299</v>
      </c>
      <c r="B300" t="n">
        <v>2015</v>
      </c>
      <c r="C300" t="inlineStr">
        <is>
          <t>MASAL ELA YAZICI</t>
        </is>
      </c>
      <c r="D300">
        <f>HYPERLINK("https://ota.tournamentsoftware.com/player-profile/8556435C-B5F1-47A5-8C4A-46AF5B800D78", "Link")</f>
        <v/>
      </c>
      <c r="E300" s="3" t="n">
        <v>245.186</v>
      </c>
      <c r="F300" s="4" t="n">
        <v>24</v>
      </c>
      <c r="G300" t="inlineStr">
        <is>
          <t>Ontario Tennis Association</t>
        </is>
      </c>
      <c r="H300" t="inlineStr">
        <is>
          <t>Mayfair West Fitness &amp; Racquet Club</t>
        </is>
      </c>
      <c r="I300" t="n">
        <v>33.9</v>
      </c>
      <c r="J300" s="4" t="n">
        <v>64</v>
      </c>
      <c r="K300" t="inlineStr">
        <is>
          <t>38 / 26</t>
        </is>
      </c>
      <c r="L300" t="inlineStr">
        <is>
          <t>30 / 19</t>
        </is>
      </c>
      <c r="M300" s="5" t="n">
        <v>0.59</v>
      </c>
      <c r="N300" s="5" t="n">
        <v>0.61</v>
      </c>
    </row>
    <row r="301">
      <c r="A301" t="n">
        <v>300</v>
      </c>
      <c r="B301" t="n">
        <v>2016</v>
      </c>
      <c r="C301" t="inlineStr">
        <is>
          <t>Minna TAN</t>
        </is>
      </c>
      <c r="D301">
        <f>HYPERLINK("https://ota.tournamentsoftware.com/player-profile/4830D271-776A-41F3-B5D9-B5D2EC272CB4", "Link")</f>
        <v/>
      </c>
      <c r="E301" s="3" t="n">
        <v>244.921</v>
      </c>
      <c r="F301" s="4" t="n">
        <v>12</v>
      </c>
      <c r="G301" t="inlineStr">
        <is>
          <t>Tennis Québec</t>
        </is>
      </c>
      <c r="H301" t="inlineStr">
        <is>
          <t>Tennis Ile- des- Soeurs</t>
        </is>
      </c>
      <c r="I301" t="n">
        <v>31.5</v>
      </c>
      <c r="J301" s="4" t="n">
        <v>91</v>
      </c>
      <c r="K301" t="inlineStr">
        <is>
          <t>59 / 32</t>
        </is>
      </c>
      <c r="L301" t="inlineStr">
        <is>
          <t>26 / 7</t>
        </is>
      </c>
      <c r="M301" s="5" t="n">
        <v>0.65</v>
      </c>
      <c r="N301" s="5" t="n">
        <v>0.79</v>
      </c>
    </row>
    <row r="302">
      <c r="A302" t="n">
        <v>301</v>
      </c>
      <c r="B302" t="n">
        <v>2012</v>
      </c>
      <c r="C302" t="inlineStr">
        <is>
          <t>MICHELLE OREANE OLA ECHAO</t>
        </is>
      </c>
      <c r="D302">
        <f>HYPERLINK("https://ota.tournamentsoftware.com/player-profile/50FA5AE5-9557-483C-94FB-05937E25C837", "Link")</f>
        <v/>
      </c>
      <c r="E302" s="3" t="n">
        <v>241.101</v>
      </c>
      <c r="F302" s="4" t="n">
        <v>9</v>
      </c>
      <c r="G302" t="inlineStr">
        <is>
          <t>Ontario Tennis Association</t>
        </is>
      </c>
      <c r="H302" t="inlineStr">
        <is>
          <t>Rideau Sports Centre</t>
        </is>
      </c>
      <c r="I302" t="n">
        <v>36.9</v>
      </c>
      <c r="J302" s="4" t="n">
        <v>55</v>
      </c>
      <c r="K302" t="inlineStr">
        <is>
          <t>12 / 43</t>
        </is>
      </c>
      <c r="L302" t="inlineStr">
        <is>
          <t>3 / 8</t>
        </is>
      </c>
      <c r="M302" s="5" t="n">
        <v>0.22</v>
      </c>
      <c r="N302" s="5" t="n">
        <v>0.27</v>
      </c>
    </row>
    <row r="303">
      <c r="A303" t="n">
        <v>302</v>
      </c>
      <c r="B303" t="n">
        <v>2015</v>
      </c>
      <c r="C303" t="inlineStr">
        <is>
          <t>Liana Arendain</t>
        </is>
      </c>
      <c r="D303">
        <f>HYPERLINK("https://ota.tournamentsoftware.com/player-profile/2D89D481-D621-43AF-8792-3F0114FE4D77", "Link")</f>
        <v/>
      </c>
      <c r="E303" s="3" t="n">
        <v>238.244</v>
      </c>
      <c r="F303" s="4" t="n">
        <v>20</v>
      </c>
      <c r="G303" t="inlineStr">
        <is>
          <t>Tennis Alberta</t>
        </is>
      </c>
      <c r="H303" t="inlineStr">
        <is>
          <t>Saville Community Sports Centre</t>
        </is>
      </c>
      <c r="I303" t="n">
        <v>29.8</v>
      </c>
      <c r="J303" s="4" t="n">
        <v>154</v>
      </c>
      <c r="K303" t="inlineStr">
        <is>
          <t>107 / 47</t>
        </is>
      </c>
      <c r="L303" t="inlineStr">
        <is>
          <t>40 / 19</t>
        </is>
      </c>
      <c r="M303" s="5" t="n">
        <v>0.6899999999999999</v>
      </c>
      <c r="N303" s="5" t="n">
        <v>0.68</v>
      </c>
    </row>
    <row r="304">
      <c r="A304" t="n">
        <v>303</v>
      </c>
      <c r="B304" t="n">
        <v>2012</v>
      </c>
      <c r="C304" t="inlineStr">
        <is>
          <t>Ariella Wainer</t>
        </is>
      </c>
      <c r="D304">
        <f>HYPERLINK("https://ota.tournamentsoftware.com/player-profile/29A07F50-E6F3-4FFE-84BF-31DB048552D6", "Link")</f>
        <v/>
      </c>
      <c r="E304" s="3" t="n">
        <v>238.158</v>
      </c>
      <c r="F304" s="4" t="n">
        <v>21</v>
      </c>
      <c r="G304" t="inlineStr">
        <is>
          <t>Tennis Québec</t>
        </is>
      </c>
      <c r="H304" t="inlineStr">
        <is>
          <t>Club Sportif Côte-de-Liesse</t>
        </is>
      </c>
      <c r="I304" t="n">
        <v>34.4</v>
      </c>
      <c r="J304" s="4" t="n">
        <v>174</v>
      </c>
      <c r="K304" t="inlineStr">
        <is>
          <t>61 / 113</t>
        </is>
      </c>
      <c r="L304" t="inlineStr">
        <is>
          <t>7 / 18</t>
        </is>
      </c>
      <c r="M304" s="5" t="n">
        <v>0.35</v>
      </c>
      <c r="N304" s="5" t="n">
        <v>0.28</v>
      </c>
    </row>
    <row r="305">
      <c r="A305" t="n">
        <v>304</v>
      </c>
      <c r="B305" t="n">
        <v>2014</v>
      </c>
      <c r="C305" t="inlineStr">
        <is>
          <t>Penelope Anne McMillan</t>
        </is>
      </c>
      <c r="D305">
        <f>HYPERLINK("https://ota.tournamentsoftware.com/player-profile/D7699338-4FE5-4F30-9A7D-8E14842C2A9B", "Link")</f>
        <v/>
      </c>
      <c r="E305" s="3" t="n">
        <v>235.813</v>
      </c>
      <c r="F305" s="4" t="n">
        <v>9</v>
      </c>
      <c r="G305" t="inlineStr">
        <is>
          <t>Tennis Nova Scotia</t>
        </is>
      </c>
      <c r="H305" t="inlineStr">
        <is>
          <t>Atlantic Tennis Centre</t>
        </is>
      </c>
      <c r="I305" t="n">
        <v>35.7</v>
      </c>
      <c r="J305" s="4" t="n">
        <v>110</v>
      </c>
      <c r="K305" t="inlineStr">
        <is>
          <t>46 / 64</t>
        </is>
      </c>
      <c r="L305" t="inlineStr">
        <is>
          <t>16 / 24</t>
        </is>
      </c>
      <c r="M305" s="5" t="n">
        <v>0.42</v>
      </c>
      <c r="N305" s="5" t="n">
        <v>0.4</v>
      </c>
    </row>
    <row r="306">
      <c r="A306" t="n">
        <v>305</v>
      </c>
      <c r="B306" t="n">
        <v>2013</v>
      </c>
      <c r="C306" t="inlineStr">
        <is>
          <t>Hazel Sharma</t>
        </is>
      </c>
      <c r="D306">
        <f>HYPERLINK("https://ota.tournamentsoftware.com/player-profile/114D9BCA-C6DA-49E0-9F64-5FB54E5B0E3E", "Link")</f>
        <v/>
      </c>
      <c r="E306" s="3" t="n">
        <v>234.934</v>
      </c>
      <c r="F306" s="4" t="n">
        <v>13</v>
      </c>
      <c r="G306" t="inlineStr">
        <is>
          <t>British Columbia</t>
        </is>
      </c>
      <c r="H306" t="inlineStr">
        <is>
          <t>The Tennis Centre</t>
        </is>
      </c>
      <c r="I306" t="n">
        <v>32.5</v>
      </c>
      <c r="J306" s="4" t="n">
        <v>192</v>
      </c>
      <c r="K306" t="inlineStr">
        <is>
          <t>85 / 107</t>
        </is>
      </c>
      <c r="L306" t="inlineStr">
        <is>
          <t>16 / 12</t>
        </is>
      </c>
      <c r="M306" s="5" t="n">
        <v>0.44</v>
      </c>
      <c r="N306" s="5" t="n">
        <v>0.57</v>
      </c>
    </row>
    <row r="307">
      <c r="A307" t="n">
        <v>306</v>
      </c>
      <c r="B307" t="n">
        <v>2015</v>
      </c>
      <c r="C307" t="inlineStr">
        <is>
          <t>Daniella Lynne Lee</t>
        </is>
      </c>
      <c r="D307">
        <f>HYPERLINK("https://ota.tournamentsoftware.com/player-profile/92FC49CB-246B-48E6-ABC3-903AA780449F", "Link")</f>
        <v/>
      </c>
      <c r="E307" s="3" t="n">
        <v>234.33</v>
      </c>
      <c r="F307" s="4" t="n">
        <v>27</v>
      </c>
      <c r="G307" t="inlineStr">
        <is>
          <t>British Columbia</t>
        </is>
      </c>
      <c r="H307" t="inlineStr">
        <is>
          <t>Arbutus Club</t>
        </is>
      </c>
      <c r="I307" t="n">
        <v>32.3</v>
      </c>
      <c r="J307" s="4" t="n">
        <v>140</v>
      </c>
      <c r="K307" t="inlineStr">
        <is>
          <t>71 / 69</t>
        </is>
      </c>
      <c r="L307" t="inlineStr">
        <is>
          <t>32 / 30</t>
        </is>
      </c>
      <c r="M307" s="5" t="n">
        <v>0.51</v>
      </c>
      <c r="N307" s="5" t="n">
        <v>0.52</v>
      </c>
    </row>
    <row r="308">
      <c r="A308" t="n">
        <v>307</v>
      </c>
      <c r="B308" t="n">
        <v>2015</v>
      </c>
      <c r="C308" t="inlineStr">
        <is>
          <t>ESTHER HAO</t>
        </is>
      </c>
      <c r="D308">
        <f>HYPERLINK("https://ota.tournamentsoftware.com/player-profile/8EA584DE-3986-4803-A3AA-F96230F853A7", "Link")</f>
        <v/>
      </c>
      <c r="E308" s="3" t="n">
        <v>233.33</v>
      </c>
      <c r="F308" s="4" t="n">
        <v>13</v>
      </c>
      <c r="G308" t="inlineStr">
        <is>
          <t>Ontario Tennis Association</t>
        </is>
      </c>
      <c r="H308" t="inlineStr">
        <is>
          <t>Ontario Racquet Club</t>
        </is>
      </c>
      <c r="I308" t="n">
        <v>34.1</v>
      </c>
      <c r="J308" s="4" t="n">
        <v>215</v>
      </c>
      <c r="K308" t="inlineStr">
        <is>
          <t>131 / 84</t>
        </is>
      </c>
      <c r="L308" t="inlineStr">
        <is>
          <t>9 / 9</t>
        </is>
      </c>
      <c r="M308" s="5" t="n">
        <v>0.61</v>
      </c>
      <c r="N308" s="5" t="n">
        <v>0.5</v>
      </c>
    </row>
    <row r="309">
      <c r="A309" t="n">
        <v>308</v>
      </c>
      <c r="B309" t="n">
        <v>2016</v>
      </c>
      <c r="C309" t="inlineStr">
        <is>
          <t>Tanishka Varishtha Tripathi</t>
        </is>
      </c>
      <c r="D309">
        <f>HYPERLINK("https://ota.tournamentsoftware.com/player-profile/C966D3AB-F944-4405-A712-C5FA591776A1", "Link")</f>
        <v/>
      </c>
      <c r="E309" s="3" t="n">
        <v>232.274</v>
      </c>
      <c r="F309" s="4" t="n">
        <v>15</v>
      </c>
      <c r="G309" t="inlineStr">
        <is>
          <t>Ontario Tennis Association</t>
        </is>
      </c>
      <c r="H309" t="inlineStr">
        <is>
          <t>Tennis Outaouais Performance (TOP) ON</t>
        </is>
      </c>
      <c r="I309" t="n">
        <v>32.3</v>
      </c>
      <c r="J309" s="4" t="n">
        <v>153</v>
      </c>
      <c r="K309" t="inlineStr">
        <is>
          <t>112 / 41</t>
        </is>
      </c>
      <c r="L309" t="inlineStr">
        <is>
          <t>35 / 14</t>
        </is>
      </c>
      <c r="M309" s="5" t="n">
        <v>0.73</v>
      </c>
      <c r="N309" s="5" t="n">
        <v>0.71</v>
      </c>
    </row>
    <row r="310">
      <c r="A310" t="n">
        <v>309</v>
      </c>
      <c r="B310" t="n">
        <v>2015</v>
      </c>
      <c r="C310" t="inlineStr">
        <is>
          <t>Navena Thelepan</t>
        </is>
      </c>
      <c r="D310">
        <f>HYPERLINK("https://ota.tournamentsoftware.com/player-profile/811C2EA5-51E7-4FDE-BF82-1DF3D9D0AD27", "Link")</f>
        <v/>
      </c>
      <c r="E310" s="3" t="n">
        <v>231.661</v>
      </c>
      <c r="F310" s="4" t="n">
        <v>48</v>
      </c>
      <c r="G310" t="inlineStr">
        <is>
          <t>Ontario Tennis Association</t>
        </is>
      </c>
      <c r="H310" t="inlineStr">
        <is>
          <t>Markham Tennis Club</t>
        </is>
      </c>
      <c r="I310" t="n">
        <v>35.7</v>
      </c>
      <c r="J310" s="4" t="n">
        <v>155</v>
      </c>
      <c r="K310" t="inlineStr">
        <is>
          <t>69 / 86</t>
        </is>
      </c>
      <c r="L310" t="inlineStr">
        <is>
          <t>25 / 49</t>
        </is>
      </c>
      <c r="M310" s="5" t="n">
        <v>0.45</v>
      </c>
      <c r="N310" s="5" t="n">
        <v>0.34</v>
      </c>
    </row>
    <row r="311">
      <c r="A311" t="n">
        <v>310</v>
      </c>
      <c r="B311" t="n">
        <v>2015</v>
      </c>
      <c r="C311" t="inlineStr">
        <is>
          <t>Lacey Isabella Ly</t>
        </is>
      </c>
      <c r="D311">
        <f>HYPERLINK("https://ota.tournamentsoftware.com/player-profile/878918D3-5C76-4815-A98A-1D1A49BFC21F", "Link")</f>
        <v/>
      </c>
      <c r="E311" s="3" t="n">
        <v>231.26</v>
      </c>
      <c r="F311" s="4" t="n">
        <v>11</v>
      </c>
      <c r="G311" t="inlineStr">
        <is>
          <t>British Columbia</t>
        </is>
      </c>
      <c r="H311" t="inlineStr">
        <is>
          <t>The Tennis Centre</t>
        </is>
      </c>
      <c r="I311" t="n">
        <v>30.8</v>
      </c>
      <c r="J311" s="4" t="n">
        <v>133</v>
      </c>
      <c r="K311" t="inlineStr">
        <is>
          <t>100 / 33</t>
        </is>
      </c>
      <c r="L311" t="inlineStr">
        <is>
          <t>23 / 9</t>
        </is>
      </c>
      <c r="M311" s="5" t="n">
        <v>0.75</v>
      </c>
      <c r="N311" s="5" t="n">
        <v>0.72</v>
      </c>
    </row>
    <row r="312">
      <c r="A312" t="n">
        <v>311</v>
      </c>
      <c r="B312" t="n">
        <v>2012</v>
      </c>
      <c r="C312" t="inlineStr">
        <is>
          <t>Charlotte Gal</t>
        </is>
      </c>
      <c r="D312">
        <f>HYPERLINK("https://ota.tournamentsoftware.com/player-profile/EF0AF614-E6CE-4E3C-9FC4-7EF8A5EB6B57", "Link")</f>
        <v/>
      </c>
      <c r="E312" s="3" t="n">
        <v>229.165</v>
      </c>
      <c r="F312" s="4" t="n">
        <v>4</v>
      </c>
      <c r="G312" t="inlineStr">
        <is>
          <t>Tennis Nova Scotia</t>
        </is>
      </c>
      <c r="H312" t="inlineStr">
        <is>
          <t>HEADSTART</t>
        </is>
      </c>
      <c r="I312" t="n">
        <v>37.1</v>
      </c>
      <c r="J312" s="4" t="n">
        <v>24</v>
      </c>
      <c r="K312" t="inlineStr">
        <is>
          <t>6 / 18</t>
        </is>
      </c>
      <c r="L312" t="inlineStr">
        <is>
          <t>2 / 12</t>
        </is>
      </c>
      <c r="M312" s="5" t="n">
        <v>0.25</v>
      </c>
      <c r="N312" s="5" t="n">
        <v>0.14</v>
      </c>
    </row>
    <row r="313">
      <c r="A313" t="n">
        <v>312</v>
      </c>
      <c r="B313" t="n">
        <v>2012</v>
      </c>
      <c r="C313" t="inlineStr">
        <is>
          <t>Jamie Cui</t>
        </is>
      </c>
      <c r="D313">
        <f>HYPERLINK("https://ota.tournamentsoftware.com/player-profile/6F7B90A5-BECB-44C9-9B4E-74FED8443672", "Link")</f>
        <v/>
      </c>
      <c r="E313" s="3" t="n">
        <v>228.114</v>
      </c>
      <c r="F313" s="4" t="n">
        <v>18</v>
      </c>
      <c r="G313" t="inlineStr">
        <is>
          <t>British Columbia</t>
        </is>
      </c>
      <c r="H313" t="inlineStr">
        <is>
          <t>Coquitlam Tennis Club</t>
        </is>
      </c>
      <c r="I313" t="inlineStr">
        <is>
          <t>unavailable</t>
        </is>
      </c>
      <c r="J313" s="4" t="n">
        <v>173</v>
      </c>
      <c r="K313" t="inlineStr">
        <is>
          <t>49 / 124</t>
        </is>
      </c>
      <c r="L313" t="inlineStr">
        <is>
          <t>12 / 21</t>
        </is>
      </c>
      <c r="M313" s="5" t="n">
        <v>0.28</v>
      </c>
      <c r="N313" s="5" t="n">
        <v>0.36</v>
      </c>
    </row>
    <row r="314">
      <c r="A314" t="n">
        <v>313</v>
      </c>
      <c r="B314" t="n">
        <v>2012</v>
      </c>
      <c r="C314" t="inlineStr">
        <is>
          <t>Xinyi Zhang</t>
        </is>
      </c>
      <c r="D314">
        <f>HYPERLINK("https://ota.tournamentsoftware.com/player-profile/BCC8B346-C184-4803-9CC2-592D143B667B", "Link")</f>
        <v/>
      </c>
      <c r="E314" s="3" t="n">
        <v>225.192</v>
      </c>
      <c r="F314" s="4" t="n">
        <v>17</v>
      </c>
      <c r="G314" t="inlineStr">
        <is>
          <t>Ontario Tennis Association</t>
        </is>
      </c>
      <c r="H314" t="inlineStr">
        <is>
          <t>Marilyn Redvers Tennis Club</t>
        </is>
      </c>
      <c r="I314" t="n">
        <v>33.4</v>
      </c>
      <c r="J314" s="4" t="n">
        <v>57</v>
      </c>
      <c r="K314" t="inlineStr">
        <is>
          <t>28 / 29</t>
        </is>
      </c>
      <c r="L314" t="inlineStr">
        <is>
          <t>17 / 21</t>
        </is>
      </c>
      <c r="M314" s="5" t="n">
        <v>0.49</v>
      </c>
      <c r="N314" s="5" t="n">
        <v>0.45</v>
      </c>
    </row>
    <row r="315">
      <c r="A315" t="n">
        <v>314</v>
      </c>
      <c r="B315" t="n">
        <v>2015</v>
      </c>
      <c r="C315" t="inlineStr">
        <is>
          <t>Mikaëlla Jean-Bart</t>
        </is>
      </c>
      <c r="D315">
        <f>HYPERLINK("https://ota.tournamentsoftware.com/player-profile/5309814B-24E5-4F46-920F-74FD0DAF8C7D", "Link")</f>
        <v/>
      </c>
      <c r="E315" s="3" t="n">
        <v>224.299</v>
      </c>
      <c r="F315" s="4" t="n">
        <v>16</v>
      </c>
      <c r="G315" t="inlineStr">
        <is>
          <t>Tennis Québec</t>
        </is>
      </c>
      <c r="H315" t="inlineStr">
        <is>
          <t>Centre récréatif de Repentigny / Académie Tennis Momentum</t>
        </is>
      </c>
      <c r="I315" t="n">
        <v>34.5</v>
      </c>
      <c r="J315" s="4" t="n">
        <v>77</v>
      </c>
      <c r="K315" t="inlineStr">
        <is>
          <t>32 / 45</t>
        </is>
      </c>
      <c r="L315" t="inlineStr">
        <is>
          <t>15 / 17</t>
        </is>
      </c>
      <c r="M315" s="5" t="n">
        <v>0.42</v>
      </c>
      <c r="N315" s="5" t="n">
        <v>0.47</v>
      </c>
    </row>
    <row r="316">
      <c r="A316" t="n">
        <v>315</v>
      </c>
      <c r="B316" t="n">
        <v>2012</v>
      </c>
      <c r="C316" t="inlineStr">
        <is>
          <t>Mavis Li</t>
        </is>
      </c>
      <c r="D316">
        <f>HYPERLINK("https://ota.tournamentsoftware.com/player-profile/FC8D1AE6-D9A0-409A-A095-1B2C12EDB359", "Link")</f>
        <v/>
      </c>
      <c r="E316" s="3" t="n">
        <v>224.257</v>
      </c>
      <c r="F316" s="4" t="n">
        <v>20</v>
      </c>
      <c r="G316" t="inlineStr">
        <is>
          <t>Ontario Tennis Association</t>
        </is>
      </c>
      <c r="H316" t="inlineStr">
        <is>
          <t>Blackmore Tennis Club</t>
        </is>
      </c>
      <c r="I316" t="n">
        <v>35.4</v>
      </c>
      <c r="J316" s="4" t="n">
        <v>67</v>
      </c>
      <c r="K316" t="inlineStr">
        <is>
          <t>24 / 43</t>
        </is>
      </c>
      <c r="L316" t="inlineStr">
        <is>
          <t>9 / 26</t>
        </is>
      </c>
      <c r="M316" s="5" t="n">
        <v>0.36</v>
      </c>
      <c r="N316" s="5" t="n">
        <v>0.26</v>
      </c>
    </row>
    <row r="317">
      <c r="A317" t="n">
        <v>316</v>
      </c>
      <c r="B317" t="n">
        <v>2014</v>
      </c>
      <c r="C317" t="inlineStr">
        <is>
          <t>Skylar Isabelle JOHNSTON</t>
        </is>
      </c>
      <c r="D317">
        <f>HYPERLINK("https://ota.tournamentsoftware.com/player-profile/18CCEC3F-12DA-4A55-A300-393E64FB4F6E", "Link")</f>
        <v/>
      </c>
      <c r="E317" s="3" t="n">
        <v>223.404</v>
      </c>
      <c r="F317" s="4" t="n">
        <v>13</v>
      </c>
      <c r="G317" t="inlineStr">
        <is>
          <t>Tennis Nova Scotia</t>
        </is>
      </c>
      <c r="H317" t="inlineStr">
        <is>
          <t>Gordon Hughes Tennis Club</t>
        </is>
      </c>
      <c r="I317" t="n">
        <v>32.8</v>
      </c>
      <c r="J317" s="4" t="n">
        <v>98</v>
      </c>
      <c r="K317" t="inlineStr">
        <is>
          <t>49 / 49</t>
        </is>
      </c>
      <c r="L317" t="inlineStr">
        <is>
          <t>28 / 16</t>
        </is>
      </c>
      <c r="M317" s="5" t="n">
        <v>0.5</v>
      </c>
      <c r="N317" s="5" t="n">
        <v>0.64</v>
      </c>
    </row>
    <row r="318">
      <c r="A318" t="n">
        <v>317</v>
      </c>
      <c r="B318" t="n">
        <v>2013</v>
      </c>
      <c r="C318" t="inlineStr">
        <is>
          <t>Léa Crépault</t>
        </is>
      </c>
      <c r="D318">
        <f>HYPERLINK("https://ota.tournamentsoftware.com/player-profile/A3D2A82D-C6E8-410C-A1B3-E5DC3B845B7A", "Link")</f>
        <v/>
      </c>
      <c r="E318" s="3" t="n">
        <v>219.739</v>
      </c>
      <c r="F318" s="4" t="n">
        <v>21</v>
      </c>
      <c r="G318" t="inlineStr">
        <is>
          <t>Tennis Québec</t>
        </is>
      </c>
      <c r="H318" t="inlineStr">
        <is>
          <t>EB Tennis inc.</t>
        </is>
      </c>
      <c r="I318" t="n">
        <v>34.6</v>
      </c>
      <c r="J318" s="4" t="n">
        <v>161</v>
      </c>
      <c r="K318" t="inlineStr">
        <is>
          <t>45 / 116</t>
        </is>
      </c>
      <c r="L318" t="inlineStr">
        <is>
          <t>9 / 17</t>
        </is>
      </c>
      <c r="M318" s="5" t="n">
        <v>0.28</v>
      </c>
      <c r="N318" s="5" t="n">
        <v>0.35</v>
      </c>
    </row>
    <row r="319">
      <c r="A319" t="n">
        <v>318</v>
      </c>
      <c r="B319" t="n">
        <v>2013</v>
      </c>
      <c r="C319" t="inlineStr">
        <is>
          <t>Makayla Najjar</t>
        </is>
      </c>
      <c r="D319">
        <f>HYPERLINK("https://ota.tournamentsoftware.com/player-profile/A931D3E2-A84F-4018-9B2A-A1664811863E", "Link")</f>
        <v/>
      </c>
      <c r="E319" s="3" t="n">
        <v>219.584</v>
      </c>
      <c r="F319" s="4" t="n">
        <v>13</v>
      </c>
      <c r="G319" t="inlineStr">
        <is>
          <t>Ontario Tennis Association</t>
        </is>
      </c>
      <c r="H319" t="inlineStr">
        <is>
          <t>Premier Racquet Clubs – Mississauga</t>
        </is>
      </c>
      <c r="I319" t="n">
        <v>33.3</v>
      </c>
      <c r="J319" s="4" t="n">
        <v>90</v>
      </c>
      <c r="K319" t="inlineStr">
        <is>
          <t>60 / 30</t>
        </is>
      </c>
      <c r="L319" t="inlineStr">
        <is>
          <t>17 / 11</t>
        </is>
      </c>
      <c r="M319" s="5" t="n">
        <v>0.67</v>
      </c>
      <c r="N319" s="5" t="n">
        <v>0.61</v>
      </c>
    </row>
    <row r="320">
      <c r="A320" t="n">
        <v>319</v>
      </c>
      <c r="B320" t="n">
        <v>2013</v>
      </c>
      <c r="C320" t="inlineStr">
        <is>
          <t>Helena Shengyi Chen</t>
        </is>
      </c>
      <c r="D320">
        <f>HYPERLINK("https://ota.tournamentsoftware.com/player-profile/097D6397-0826-4C15-948E-B983C1D748F4", "Link")</f>
        <v/>
      </c>
      <c r="E320" s="3" t="n">
        <v>218.438</v>
      </c>
      <c r="F320" s="4" t="n">
        <v>15</v>
      </c>
      <c r="G320" t="inlineStr">
        <is>
          <t>British Columbia</t>
        </is>
      </c>
      <c r="H320" t="inlineStr">
        <is>
          <t>Tennis BC Hub @ Richmond</t>
        </is>
      </c>
      <c r="I320" t="n">
        <v>32.8</v>
      </c>
      <c r="J320" s="4" t="n">
        <v>118</v>
      </c>
      <c r="K320" t="inlineStr">
        <is>
          <t>50 / 68</t>
        </is>
      </c>
      <c r="L320" t="inlineStr">
        <is>
          <t>13 / 17</t>
        </is>
      </c>
      <c r="M320" s="5" t="n">
        <v>0.42</v>
      </c>
      <c r="N320" s="5" t="n">
        <v>0.43</v>
      </c>
    </row>
    <row r="321">
      <c r="A321" t="n">
        <v>320</v>
      </c>
      <c r="B321" t="n">
        <v>2015</v>
      </c>
      <c r="C321" t="inlineStr">
        <is>
          <t>Kayla Chevez</t>
        </is>
      </c>
      <c r="D321">
        <f>HYPERLINK("https://ota.tournamentsoftware.com/player-profile/EE941149-B269-44AA-A65B-D00099EE4086", "Link")</f>
        <v/>
      </c>
      <c r="E321" s="3" t="n">
        <v>218.12</v>
      </c>
      <c r="F321" s="4" t="n">
        <v>28</v>
      </c>
      <c r="G321" t="inlineStr">
        <is>
          <t>Tennis Québec</t>
        </is>
      </c>
      <c r="H321" t="inlineStr">
        <is>
          <t>Tennis Montréal Excellence</t>
        </is>
      </c>
      <c r="I321" t="n">
        <v>33.8</v>
      </c>
      <c r="J321" s="4" t="n">
        <v>150</v>
      </c>
      <c r="K321" t="inlineStr">
        <is>
          <t>72 / 78</t>
        </is>
      </c>
      <c r="L321" t="inlineStr">
        <is>
          <t>21 / 27</t>
        </is>
      </c>
      <c r="M321" s="5" t="n">
        <v>0.48</v>
      </c>
      <c r="N321" s="5" t="n">
        <v>0.44</v>
      </c>
    </row>
    <row r="322">
      <c r="A322" t="n">
        <v>321</v>
      </c>
      <c r="B322" t="n">
        <v>2013</v>
      </c>
      <c r="C322" t="inlineStr">
        <is>
          <t>Alma Safinia</t>
        </is>
      </c>
      <c r="D322">
        <f>HYPERLINK("https://ota.tournamentsoftware.com/player-profile/5EF88718-BF69-42BC-A643-1C11174AD1CB", "Link")</f>
        <v/>
      </c>
      <c r="E322" s="3" t="n">
        <v>217.826</v>
      </c>
      <c r="F322" s="4" t="n">
        <v>2</v>
      </c>
      <c r="G322" t="inlineStr">
        <is>
          <t>Tennis Nova Scotia</t>
        </is>
      </c>
      <c r="H322" t="inlineStr">
        <is>
          <t>Atlantic Tennis Centre</t>
        </is>
      </c>
      <c r="I322" t="n">
        <v>33.9</v>
      </c>
      <c r="J322" s="4" t="n">
        <v>26</v>
      </c>
      <c r="K322" t="inlineStr">
        <is>
          <t>13 / 13</t>
        </is>
      </c>
      <c r="L322" t="inlineStr">
        <is>
          <t>2 / 5</t>
        </is>
      </c>
      <c r="M322" s="5" t="n">
        <v>0.5</v>
      </c>
      <c r="N322" s="5" t="n">
        <v>0.29</v>
      </c>
    </row>
    <row r="323">
      <c r="A323" t="n">
        <v>322</v>
      </c>
      <c r="B323" t="n">
        <v>2012</v>
      </c>
      <c r="C323" t="inlineStr">
        <is>
          <t>Clémence Martin</t>
        </is>
      </c>
      <c r="D323">
        <f>HYPERLINK("https://ota.tournamentsoftware.com/player-profile/CF2B02DD-EFB8-49FD-8774-B98F78A30C1A", "Link")</f>
        <v/>
      </c>
      <c r="E323" s="3" t="n">
        <v>216.993</v>
      </c>
      <c r="F323" s="4" t="n">
        <v>5</v>
      </c>
      <c r="G323" t="inlineStr">
        <is>
          <t>Tennis Québec</t>
        </is>
      </c>
      <c r="H323" t="inlineStr">
        <is>
          <t>Centre sportif Sport Scène / Élite Tennis Académie</t>
        </is>
      </c>
      <c r="I323" t="n">
        <v>31.2</v>
      </c>
      <c r="J323" s="4" t="n">
        <v>34</v>
      </c>
      <c r="K323" t="inlineStr">
        <is>
          <t>19 / 15</t>
        </is>
      </c>
      <c r="L323" t="inlineStr">
        <is>
          <t>5 / 5</t>
        </is>
      </c>
      <c r="M323" s="5" t="n">
        <v>0.5600000000000001</v>
      </c>
      <c r="N323" s="5" t="n">
        <v>0.5</v>
      </c>
    </row>
    <row r="324">
      <c r="A324" t="n">
        <v>323</v>
      </c>
      <c r="B324" t="n">
        <v>2012</v>
      </c>
      <c r="C324" t="inlineStr">
        <is>
          <t>Louanna Perron</t>
        </is>
      </c>
      <c r="D324">
        <f>HYPERLINK("https://ota.tournamentsoftware.com/player-profile/0D5BD355-F71F-4A8A-B269-0D225B56C809", "Link")</f>
        <v/>
      </c>
      <c r="E324" s="3" t="n">
        <v>215.292</v>
      </c>
      <c r="F324" s="4" t="n">
        <v>9</v>
      </c>
      <c r="G324" t="inlineStr">
        <is>
          <t>Tennis Québec</t>
        </is>
      </c>
      <c r="H324" t="inlineStr">
        <is>
          <t>Tennis 13 / Académie Ménard et associé</t>
        </is>
      </c>
      <c r="I324" t="n">
        <v>33.2</v>
      </c>
      <c r="J324" s="4" t="n">
        <v>27</v>
      </c>
      <c r="K324" t="inlineStr">
        <is>
          <t>10 / 17</t>
        </is>
      </c>
      <c r="L324" t="inlineStr">
        <is>
          <t>4 / 9</t>
        </is>
      </c>
      <c r="M324" s="5" t="n">
        <v>0.37</v>
      </c>
      <c r="N324" s="5" t="n">
        <v>0.31</v>
      </c>
    </row>
    <row r="325">
      <c r="A325" t="n">
        <v>324</v>
      </c>
      <c r="B325" t="n">
        <v>2015</v>
      </c>
      <c r="C325" t="inlineStr">
        <is>
          <t>Yasmine Maazouz</t>
        </is>
      </c>
      <c r="D325">
        <f>HYPERLINK("https://ota.tournamentsoftware.com/player-profile/004E04F8-71A7-4C1F-B42C-805F1590C456", "Link")</f>
        <v/>
      </c>
      <c r="E325" s="3" t="n">
        <v>215.212</v>
      </c>
      <c r="F325" s="4" t="n">
        <v>9</v>
      </c>
      <c r="G325" t="inlineStr">
        <is>
          <t>Tennis Québec</t>
        </is>
      </c>
      <c r="H325" t="inlineStr">
        <is>
          <t>Tennis Montréal Excellence</t>
        </is>
      </c>
      <c r="I325" t="n">
        <v>31.4</v>
      </c>
      <c r="J325" s="4" t="n">
        <v>116</v>
      </c>
      <c r="K325" t="inlineStr">
        <is>
          <t>69 / 47</t>
        </is>
      </c>
      <c r="L325" t="inlineStr">
        <is>
          <t>20 / 8</t>
        </is>
      </c>
      <c r="M325" s="5" t="n">
        <v>0.59</v>
      </c>
      <c r="N325" s="5" t="n">
        <v>0.71</v>
      </c>
    </row>
    <row r="326">
      <c r="A326" t="n">
        <v>325</v>
      </c>
      <c r="B326" t="n">
        <v>2015</v>
      </c>
      <c r="C326" t="inlineStr">
        <is>
          <t>Isla J Green</t>
        </is>
      </c>
      <c r="D326">
        <f>HYPERLINK("https://ota.tournamentsoftware.com/player-profile/B2E098BE-DB7E-4756-BD31-93298500E09D", "Link")</f>
        <v/>
      </c>
      <c r="E326" s="3" t="n">
        <v>213.178</v>
      </c>
      <c r="F326" s="4" t="n">
        <v>31</v>
      </c>
      <c r="G326" t="inlineStr">
        <is>
          <t>Ontario Tennis Association</t>
        </is>
      </c>
      <c r="H326" t="inlineStr">
        <is>
          <t>Advantage Tennis International at Veneto</t>
        </is>
      </c>
      <c r="I326" t="n">
        <v>32.1</v>
      </c>
      <c r="J326" s="4" t="n">
        <v>262</v>
      </c>
      <c r="K326" t="inlineStr">
        <is>
          <t>176 / 86</t>
        </is>
      </c>
      <c r="L326" t="inlineStr">
        <is>
          <t>49 / 23</t>
        </is>
      </c>
      <c r="M326" s="5" t="n">
        <v>0.67</v>
      </c>
      <c r="N326" s="5" t="n">
        <v>0.68</v>
      </c>
    </row>
    <row r="327">
      <c r="A327" t="n">
        <v>326</v>
      </c>
      <c r="B327" t="n">
        <v>2015</v>
      </c>
      <c r="C327" t="inlineStr">
        <is>
          <t>Kiyara Dinuli Hinidumarachchi</t>
        </is>
      </c>
      <c r="D327">
        <f>HYPERLINK("https://ota.tournamentsoftware.com/player-profile/FD2638E4-B06D-478E-9F5A-FE51B9EC8DF8", "Link")</f>
        <v/>
      </c>
      <c r="E327" s="3" t="n">
        <v>213.037</v>
      </c>
      <c r="F327" s="4" t="n">
        <v>17</v>
      </c>
      <c r="G327" t="inlineStr">
        <is>
          <t>Ontario Tennis Association</t>
        </is>
      </c>
      <c r="H327" t="inlineStr">
        <is>
          <t>Sarnia Tennis Club</t>
        </is>
      </c>
      <c r="I327" t="inlineStr">
        <is>
          <t>unavailable</t>
        </is>
      </c>
      <c r="J327" s="4" t="n">
        <v>159</v>
      </c>
      <c r="K327" t="inlineStr">
        <is>
          <t>97 / 62</t>
        </is>
      </c>
      <c r="L327" t="inlineStr">
        <is>
          <t>12 / 16</t>
        </is>
      </c>
      <c r="M327" s="5" t="n">
        <v>0.61</v>
      </c>
      <c r="N327" s="5" t="n">
        <v>0.43</v>
      </c>
    </row>
    <row r="328">
      <c r="A328" t="n">
        <v>327</v>
      </c>
      <c r="B328" t="n">
        <v>2014</v>
      </c>
      <c r="C328" t="inlineStr">
        <is>
          <t>Esabel Liu</t>
        </is>
      </c>
      <c r="D328">
        <f>HYPERLINK("https://ota.tournamentsoftware.com/player-profile/03274A3B-556F-4321-880B-2AF255E6A817", "Link")</f>
        <v/>
      </c>
      <c r="E328" s="3" t="n">
        <v>212.86</v>
      </c>
      <c r="F328" s="4" t="n">
        <v>20</v>
      </c>
      <c r="G328" t="inlineStr">
        <is>
          <t>British Columbia</t>
        </is>
      </c>
      <c r="H328" t="inlineStr">
        <is>
          <t>North Vancouver Tennis Centre</t>
        </is>
      </c>
      <c r="I328" t="n">
        <v>30.5</v>
      </c>
      <c r="J328" s="4" t="n">
        <v>232</v>
      </c>
      <c r="K328" t="inlineStr">
        <is>
          <t>144 / 88</t>
        </is>
      </c>
      <c r="L328" t="inlineStr">
        <is>
          <t>36 / 22</t>
        </is>
      </c>
      <c r="M328" s="5" t="n">
        <v>0.62</v>
      </c>
      <c r="N328" s="5" t="n">
        <v>0.62</v>
      </c>
    </row>
    <row r="329">
      <c r="A329" t="n">
        <v>328</v>
      </c>
      <c r="B329" t="n">
        <v>2013</v>
      </c>
      <c r="C329" t="inlineStr">
        <is>
          <t>Sophie Pothel</t>
        </is>
      </c>
      <c r="D329">
        <f>HYPERLINK("https://ota.tournamentsoftware.com/player-profile/21DD6509-0C4D-4711-BEB0-DC2D198520FD", "Link")</f>
        <v/>
      </c>
      <c r="E329" s="3" t="n">
        <v>209.78</v>
      </c>
      <c r="F329" s="4" t="n">
        <v>18</v>
      </c>
      <c r="G329" t="inlineStr">
        <is>
          <t>Tennis Québec</t>
        </is>
      </c>
      <c r="H329" t="inlineStr">
        <is>
          <t>Tennis Ile- des- Soeurs</t>
        </is>
      </c>
      <c r="I329" t="inlineStr">
        <is>
          <t>unavailable</t>
        </is>
      </c>
      <c r="J329" s="4" t="n">
        <v>61</v>
      </c>
      <c r="K329" t="inlineStr">
        <is>
          <t>10 / 51</t>
        </is>
      </c>
      <c r="L329" t="inlineStr">
        <is>
          <t>5 / 19</t>
        </is>
      </c>
      <c r="M329" s="5" t="n">
        <v>0.16</v>
      </c>
      <c r="N329" s="5" t="n">
        <v>0.21</v>
      </c>
    </row>
    <row r="330">
      <c r="A330" t="n">
        <v>329</v>
      </c>
      <c r="B330" t="n">
        <v>2014</v>
      </c>
      <c r="C330" t="inlineStr">
        <is>
          <t>Payton Isabelle JOHNSTON</t>
        </is>
      </c>
      <c r="D330">
        <f>HYPERLINK("https://ota.tournamentsoftware.com/player-profile/30639279-6EB4-43A0-806A-9F7E6209EBA5", "Link")</f>
        <v/>
      </c>
      <c r="E330" s="3" t="n">
        <v>209.296</v>
      </c>
      <c r="F330" s="4" t="n">
        <v>13</v>
      </c>
      <c r="G330" t="inlineStr">
        <is>
          <t>Tennis Nova Scotia</t>
        </is>
      </c>
      <c r="H330" t="inlineStr">
        <is>
          <t>Gordon Hughes Tennis Club</t>
        </is>
      </c>
      <c r="I330" t="n">
        <v>34.3</v>
      </c>
      <c r="J330" s="4" t="n">
        <v>100</v>
      </c>
      <c r="K330" t="inlineStr">
        <is>
          <t>51 / 49</t>
        </is>
      </c>
      <c r="L330" t="inlineStr">
        <is>
          <t>20 / 23</t>
        </is>
      </c>
      <c r="M330" s="5" t="n">
        <v>0.51</v>
      </c>
      <c r="N330" s="5" t="n">
        <v>0.47</v>
      </c>
    </row>
    <row r="331">
      <c r="A331" t="n">
        <v>330</v>
      </c>
      <c r="B331" t="n">
        <v>2012</v>
      </c>
      <c r="C331" t="inlineStr">
        <is>
          <t>Ruoyu Wang</t>
        </is>
      </c>
      <c r="D331">
        <f>HYPERLINK("https://ota.tournamentsoftware.com/player-profile/BF1A51BB-FF4F-417F-AE41-0914B75C7FF1", "Link")</f>
        <v/>
      </c>
      <c r="E331" s="3" t="n">
        <v>206.594</v>
      </c>
      <c r="F331" s="4" t="n">
        <v>13</v>
      </c>
      <c r="G331" t="inlineStr">
        <is>
          <t>Tennis Québec</t>
        </is>
      </c>
      <c r="H331" t="inlineStr">
        <is>
          <t>Tennis 13</t>
        </is>
      </c>
      <c r="I331" t="inlineStr">
        <is>
          <t>unavailable</t>
        </is>
      </c>
      <c r="J331" s="4" t="n">
        <v>24</v>
      </c>
      <c r="K331" t="inlineStr">
        <is>
          <t>7 / 17</t>
        </is>
      </c>
      <c r="L331" t="inlineStr">
        <is>
          <t>6 / 11</t>
        </is>
      </c>
      <c r="M331" s="5" t="n">
        <v>0.29</v>
      </c>
      <c r="N331" s="5" t="n">
        <v>0.35</v>
      </c>
    </row>
    <row r="332">
      <c r="A332" t="n">
        <v>331</v>
      </c>
      <c r="B332" t="n">
        <v>2014</v>
      </c>
      <c r="C332" t="inlineStr">
        <is>
          <t>Vida Jeftic</t>
        </is>
      </c>
      <c r="D332">
        <f>HYPERLINK("https://ota.tournamentsoftware.com/player-profile/5A42C908-572E-4E42-A8CB-609FCF083DE9", "Link")</f>
        <v/>
      </c>
      <c r="E332" s="3" t="n">
        <v>206.56</v>
      </c>
      <c r="F332" s="4" t="n">
        <v>9</v>
      </c>
      <c r="G332" t="inlineStr">
        <is>
          <t>Ontario Tennis Association</t>
        </is>
      </c>
      <c r="H332" t="inlineStr">
        <is>
          <t>Parkside Tennis Club</t>
        </is>
      </c>
      <c r="I332" t="n">
        <v>30.2</v>
      </c>
      <c r="J332" s="4" t="n">
        <v>38</v>
      </c>
      <c r="K332" t="inlineStr">
        <is>
          <t>27 / 11</t>
        </is>
      </c>
      <c r="L332" t="inlineStr">
        <is>
          <t>11 / 4</t>
        </is>
      </c>
      <c r="M332" s="5" t="n">
        <v>0.71</v>
      </c>
      <c r="N332" s="5" t="n">
        <v>0.73</v>
      </c>
    </row>
    <row r="333">
      <c r="A333" t="n">
        <v>332</v>
      </c>
      <c r="B333" t="n">
        <v>2013</v>
      </c>
      <c r="C333" t="inlineStr">
        <is>
          <t>Ella Iva Mavretic</t>
        </is>
      </c>
      <c r="D333">
        <f>HYPERLINK("https://ota.tournamentsoftware.com/player-profile/CF99D041-FAEF-47A9-BBE6-3D6335355408", "Link")</f>
        <v/>
      </c>
      <c r="E333" s="3" t="n">
        <v>203.735</v>
      </c>
      <c r="F333" s="4" t="n">
        <v>11</v>
      </c>
      <c r="G333" t="inlineStr">
        <is>
          <t>Ontario Tennis Association</t>
        </is>
      </c>
      <c r="H333" t="inlineStr">
        <is>
          <t>Pinafore Park</t>
        </is>
      </c>
      <c r="I333" t="n">
        <v>34.7</v>
      </c>
      <c r="J333" s="4" t="n">
        <v>198</v>
      </c>
      <c r="K333" t="inlineStr">
        <is>
          <t>88 / 110</t>
        </is>
      </c>
      <c r="L333" t="inlineStr">
        <is>
          <t>4 / 6</t>
        </is>
      </c>
      <c r="M333" s="5" t="n">
        <v>0.44</v>
      </c>
      <c r="N333" s="5" t="n">
        <v>0.4</v>
      </c>
    </row>
    <row r="334">
      <c r="A334" t="n">
        <v>333</v>
      </c>
      <c r="B334" t="n">
        <v>2014</v>
      </c>
      <c r="C334" t="inlineStr">
        <is>
          <t>Freya Jiaxin He</t>
        </is>
      </c>
      <c r="D334">
        <f>HYPERLINK("https://ota.tournamentsoftware.com/player-profile/8C1C07F2-C769-4A85-8385-40B14C9CD709", "Link")</f>
        <v/>
      </c>
      <c r="E334" s="3" t="n">
        <v>203.592</v>
      </c>
      <c r="F334" s="4" t="n">
        <v>6</v>
      </c>
      <c r="G334" t="inlineStr">
        <is>
          <t>Tennis Prince Edward Island</t>
        </is>
      </c>
      <c r="H334" t="inlineStr">
        <is>
          <t>Charlottetown Recreation Tennis Group</t>
        </is>
      </c>
      <c r="I334" t="n">
        <v>31.9</v>
      </c>
      <c r="J334" s="4" t="n">
        <v>104</v>
      </c>
      <c r="K334" t="inlineStr">
        <is>
          <t>58 / 46</t>
        </is>
      </c>
      <c r="L334" t="inlineStr">
        <is>
          <t>19 / 7</t>
        </is>
      </c>
      <c r="M334" s="5" t="n">
        <v>0.5600000000000001</v>
      </c>
      <c r="N334" s="5" t="n">
        <v>0.73</v>
      </c>
    </row>
    <row r="335">
      <c r="A335" t="n">
        <v>334</v>
      </c>
      <c r="B335" t="n">
        <v>2012</v>
      </c>
      <c r="C335" t="inlineStr">
        <is>
          <t>Victoria Trempe</t>
        </is>
      </c>
      <c r="D335">
        <f>HYPERLINK("https://ota.tournamentsoftware.com/player-profile/90EB2857-D907-47BD-ABB6-AAED21876912", "Link")</f>
        <v/>
      </c>
      <c r="E335" s="3" t="n">
        <v>203.573</v>
      </c>
      <c r="F335" s="4" t="n">
        <v>6</v>
      </c>
      <c r="G335" t="inlineStr">
        <is>
          <t>Tennis Québec</t>
        </is>
      </c>
      <c r="H335" t="inlineStr">
        <is>
          <t>Club Sportif Côte-de-Liesse</t>
        </is>
      </c>
      <c r="I335" t="n">
        <v>34</v>
      </c>
      <c r="J335" s="4" t="n">
        <v>122</v>
      </c>
      <c r="K335" t="inlineStr">
        <is>
          <t>45 / 77</t>
        </is>
      </c>
      <c r="L335" t="inlineStr">
        <is>
          <t>2 / 4</t>
        </is>
      </c>
      <c r="M335" s="5" t="n">
        <v>0.37</v>
      </c>
      <c r="N335" s="5" t="n">
        <v>0.33</v>
      </c>
    </row>
    <row r="336">
      <c r="A336" t="n">
        <v>335</v>
      </c>
      <c r="B336" t="n">
        <v>2014</v>
      </c>
      <c r="C336" t="inlineStr">
        <is>
          <t>Lana Kasumovic</t>
        </is>
      </c>
      <c r="D336">
        <f>HYPERLINK("https://ota.tournamentsoftware.com/player-profile/7F2BA85F-A3DF-40B8-9457-1DD55A7C11FB", "Link")</f>
        <v/>
      </c>
      <c r="E336" s="3" t="n">
        <v>203.56</v>
      </c>
      <c r="F336" s="4" t="n">
        <v>26</v>
      </c>
      <c r="G336" t="inlineStr">
        <is>
          <t>Ontario Tennis Association</t>
        </is>
      </c>
      <c r="H336" t="inlineStr">
        <is>
          <t>Rideau Sports Centre</t>
        </is>
      </c>
      <c r="I336" t="n">
        <v>33.9</v>
      </c>
      <c r="J336" s="4" t="n">
        <v>158</v>
      </c>
      <c r="K336" t="inlineStr">
        <is>
          <t>56 / 102</t>
        </is>
      </c>
      <c r="L336" t="inlineStr">
        <is>
          <t>30 / 27</t>
        </is>
      </c>
      <c r="M336" s="5" t="n">
        <v>0.35</v>
      </c>
      <c r="N336" s="5" t="n">
        <v>0.53</v>
      </c>
    </row>
    <row r="337">
      <c r="A337" t="n">
        <v>336</v>
      </c>
      <c r="B337" t="n">
        <v>2013</v>
      </c>
      <c r="C337" t="inlineStr">
        <is>
          <t>Annabelle Chen</t>
        </is>
      </c>
      <c r="D337">
        <f>HYPERLINK("https://ota.tournamentsoftware.com/player-profile/E532A343-867C-4B97-BCB3-998A28EC84A8", "Link")</f>
        <v/>
      </c>
      <c r="E337" s="3" t="n">
        <v>203.344</v>
      </c>
      <c r="F337" s="4" t="n">
        <v>7</v>
      </c>
      <c r="G337" t="inlineStr">
        <is>
          <t>British Columbia</t>
        </is>
      </c>
      <c r="H337" t="inlineStr">
        <is>
          <t>UBC Tennis Centre</t>
        </is>
      </c>
      <c r="I337" t="n">
        <v>31.9</v>
      </c>
      <c r="J337" s="4" t="n">
        <v>152</v>
      </c>
      <c r="K337" t="inlineStr">
        <is>
          <t>84 / 68</t>
        </is>
      </c>
      <c r="L337" t="inlineStr">
        <is>
          <t>0 / 4</t>
        </is>
      </c>
      <c r="M337" s="5" t="n">
        <v>0.55</v>
      </c>
      <c r="N337" s="5" t="n">
        <v>0</v>
      </c>
    </row>
    <row r="338">
      <c r="A338" t="n">
        <v>337</v>
      </c>
      <c r="B338" t="n">
        <v>2013</v>
      </c>
      <c r="C338" t="inlineStr">
        <is>
          <t>Alice Laganière</t>
        </is>
      </c>
      <c r="D338">
        <f>HYPERLINK("https://ota.tournamentsoftware.com/player-profile/C9532D29-EE9A-4084-ACB5-2DBCAD4DF862", "Link")</f>
        <v/>
      </c>
      <c r="E338" s="3" t="n">
        <v>202.685</v>
      </c>
      <c r="F338" s="4" t="n">
        <v>10</v>
      </c>
      <c r="G338" t="inlineStr">
        <is>
          <t>Tennis Québec</t>
        </is>
      </c>
      <c r="H338" t="inlineStr">
        <is>
          <t>Club de tennis intérieur Saguenay / École de tennis Delisle-Poirel</t>
        </is>
      </c>
      <c r="I338" t="n">
        <v>35</v>
      </c>
      <c r="J338" s="4" t="n">
        <v>41</v>
      </c>
      <c r="K338" t="inlineStr">
        <is>
          <t>13 / 28</t>
        </is>
      </c>
      <c r="L338" t="inlineStr">
        <is>
          <t>1 / 8</t>
        </is>
      </c>
      <c r="M338" s="5" t="n">
        <v>0.32</v>
      </c>
      <c r="N338" s="5" t="n">
        <v>0.11</v>
      </c>
    </row>
    <row r="339">
      <c r="A339" t="n">
        <v>338</v>
      </c>
      <c r="B339" t="n">
        <v>2013</v>
      </c>
      <c r="C339" t="inlineStr">
        <is>
          <t>Ophélia Carbonneau</t>
        </is>
      </c>
      <c r="D339">
        <f>HYPERLINK("https://ota.tournamentsoftware.com/player-profile/8B592B8F-8B82-48EF-9CDD-0CBA40EBB412", "Link")</f>
        <v/>
      </c>
      <c r="E339" s="3" t="n">
        <v>200.846</v>
      </c>
      <c r="F339" s="4" t="n">
        <v>17</v>
      </c>
      <c r="G339" t="inlineStr">
        <is>
          <t>Tennis Québec</t>
        </is>
      </c>
      <c r="H339" t="inlineStr">
        <is>
          <t>Tennis Interclub Piedmont</t>
        </is>
      </c>
      <c r="I339" t="n">
        <v>35.8</v>
      </c>
      <c r="J339" s="4" t="n">
        <v>109</v>
      </c>
      <c r="K339" t="inlineStr">
        <is>
          <t>31 / 78</t>
        </is>
      </c>
      <c r="L339" t="inlineStr">
        <is>
          <t>7 / 15</t>
        </is>
      </c>
      <c r="M339" s="5" t="n">
        <v>0.28</v>
      </c>
      <c r="N339" s="5" t="n">
        <v>0.32</v>
      </c>
    </row>
    <row r="340">
      <c r="A340" t="n">
        <v>339</v>
      </c>
      <c r="B340" t="n">
        <v>2017</v>
      </c>
      <c r="C340" t="inlineStr">
        <is>
          <t>Ella Nicolaeva</t>
        </is>
      </c>
      <c r="D340">
        <f>HYPERLINK("https://ota.tournamentsoftware.com/player-profile/7A11DAF6-4353-49AB-8591-07AB86D11272", "Link")</f>
        <v/>
      </c>
      <c r="E340" s="3" t="n">
        <v>200.258</v>
      </c>
      <c r="F340" s="4" t="n">
        <v>41</v>
      </c>
      <c r="G340" t="inlineStr">
        <is>
          <t>Ontario Tennis Association</t>
        </is>
      </c>
      <c r="H340" t="inlineStr">
        <is>
          <t>Valan Tennis Academy</t>
        </is>
      </c>
      <c r="I340" t="n">
        <v>32.3</v>
      </c>
      <c r="J340" s="4" t="n">
        <v>198</v>
      </c>
      <c r="K340" t="inlineStr">
        <is>
          <t>138 / 60</t>
        </is>
      </c>
      <c r="L340" t="inlineStr">
        <is>
          <t>49 / 30</t>
        </is>
      </c>
      <c r="M340" s="5" t="n">
        <v>0.7</v>
      </c>
      <c r="N340" s="5" t="n">
        <v>0.62</v>
      </c>
    </row>
    <row r="341">
      <c r="A341" t="n">
        <v>340</v>
      </c>
      <c r="B341" t="n">
        <v>2014</v>
      </c>
      <c r="C341" t="inlineStr">
        <is>
          <t>Mariah Jorge-Eman</t>
        </is>
      </c>
      <c r="D341">
        <f>HYPERLINK("https://ota.tournamentsoftware.com/player-profile/B6887B12-5A2B-48B9-8A94-164305BBBBBE", "Link")</f>
        <v/>
      </c>
      <c r="E341" s="3" t="n">
        <v>198.746</v>
      </c>
      <c r="F341" s="4" t="n">
        <v>20</v>
      </c>
      <c r="G341" t="inlineStr">
        <is>
          <t>Ontario Tennis Association</t>
        </is>
      </c>
      <c r="H341" t="inlineStr">
        <is>
          <t>Premier Racquet Clubs – Mississauga</t>
        </is>
      </c>
      <c r="I341" t="n">
        <v>33.6</v>
      </c>
      <c r="J341" s="4" t="n">
        <v>107</v>
      </c>
      <c r="K341" t="inlineStr">
        <is>
          <t>51 / 56</t>
        </is>
      </c>
      <c r="L341" t="inlineStr">
        <is>
          <t>18 / 16</t>
        </is>
      </c>
      <c r="M341" s="5" t="n">
        <v>0.48</v>
      </c>
      <c r="N341" s="5" t="n">
        <v>0.53</v>
      </c>
    </row>
    <row r="342">
      <c r="A342" t="n">
        <v>341</v>
      </c>
      <c r="B342" t="n">
        <v>2013</v>
      </c>
      <c r="C342" t="inlineStr">
        <is>
          <t>Eliza Willow Nguyen</t>
        </is>
      </c>
      <c r="D342">
        <f>HYPERLINK("https://ota.tournamentsoftware.com/player-profile/1A3AE60F-B4FB-4C4C-AE09-5D730884AC0A", "Link")</f>
        <v/>
      </c>
      <c r="E342" s="3" t="n">
        <v>198.067</v>
      </c>
      <c r="F342" s="4" t="n">
        <v>11</v>
      </c>
      <c r="G342" t="inlineStr">
        <is>
          <t>Tennis Alberta</t>
        </is>
      </c>
      <c r="H342" t="inlineStr">
        <is>
          <t>Saville Community Sports Centre</t>
        </is>
      </c>
      <c r="I342" t="n">
        <v>33.1</v>
      </c>
      <c r="J342" s="4" t="n">
        <v>143</v>
      </c>
      <c r="K342" t="inlineStr">
        <is>
          <t>66 / 77</t>
        </is>
      </c>
      <c r="L342" t="inlineStr">
        <is>
          <t>10 / 13</t>
        </is>
      </c>
      <c r="M342" s="5" t="n">
        <v>0.46</v>
      </c>
      <c r="N342" s="5" t="n">
        <v>0.43</v>
      </c>
    </row>
    <row r="343">
      <c r="A343" t="n">
        <v>342</v>
      </c>
      <c r="B343" t="n">
        <v>2012</v>
      </c>
      <c r="C343" t="inlineStr">
        <is>
          <t>Meika Sebastian</t>
        </is>
      </c>
      <c r="D343">
        <f>HYPERLINK("https://ota.tournamentsoftware.com/player-profile/0CA7407B-419A-43BA-82FB-32200AA68BA2", "Link")</f>
        <v/>
      </c>
      <c r="E343" s="3" t="n">
        <v>197.951</v>
      </c>
      <c r="F343" s="4" t="n">
        <v>5</v>
      </c>
      <c r="G343" t="inlineStr">
        <is>
          <t>Ontario Tennis Association</t>
        </is>
      </c>
      <c r="H343" t="inlineStr">
        <is>
          <t>City of Kingston</t>
        </is>
      </c>
      <c r="I343" t="n">
        <v>24.7</v>
      </c>
      <c r="J343" s="4" t="n">
        <v>287</v>
      </c>
      <c r="K343" t="inlineStr">
        <is>
          <t>147 / 140</t>
        </is>
      </c>
      <c r="L343" t="inlineStr">
        <is>
          <t>0 / 4</t>
        </is>
      </c>
      <c r="M343" s="5" t="n">
        <v>0.51</v>
      </c>
      <c r="N343" s="5" t="n">
        <v>0</v>
      </c>
    </row>
    <row r="344">
      <c r="A344" t="n">
        <v>343</v>
      </c>
      <c r="B344" t="n">
        <v>2012</v>
      </c>
      <c r="C344" t="inlineStr">
        <is>
          <t>Sophia Hamel</t>
        </is>
      </c>
      <c r="D344">
        <f>HYPERLINK("https://ota.tournamentsoftware.com/player-profile/D6C2A4EC-5F86-459B-A81E-7C31F47AD78D", "Link")</f>
        <v/>
      </c>
      <c r="E344" s="3" t="n">
        <v>196.011</v>
      </c>
      <c r="F344" s="4" t="n">
        <v>10</v>
      </c>
      <c r="G344" t="inlineStr">
        <is>
          <t>Tennis Québec</t>
        </is>
      </c>
      <c r="H344" t="inlineStr">
        <is>
          <t>Rouge et Or - Université Laval</t>
        </is>
      </c>
      <c r="I344" t="n">
        <v>34.1</v>
      </c>
      <c r="J344" s="4" t="n">
        <v>75</v>
      </c>
      <c r="K344" t="inlineStr">
        <is>
          <t>18 / 57</t>
        </is>
      </c>
      <c r="L344" t="inlineStr">
        <is>
          <t>9 / 12</t>
        </is>
      </c>
      <c r="M344" s="5" t="n">
        <v>0.24</v>
      </c>
      <c r="N344" s="5" t="n">
        <v>0.43</v>
      </c>
    </row>
    <row r="345">
      <c r="A345" t="n">
        <v>344</v>
      </c>
      <c r="B345" t="n">
        <v>2014</v>
      </c>
      <c r="C345" t="inlineStr">
        <is>
          <t>Ella Meng</t>
        </is>
      </c>
      <c r="D345">
        <f>HYPERLINK("https://ota.tournamentsoftware.com/player-profile/B7EC0DBA-A6B8-49FA-A398-63ABEF8384E7", "Link")</f>
        <v/>
      </c>
      <c r="E345" s="3" t="n">
        <v>194.534</v>
      </c>
      <c r="F345" s="4" t="n">
        <v>13</v>
      </c>
      <c r="G345" t="inlineStr">
        <is>
          <t>Ontario Tennis Association</t>
        </is>
      </c>
      <c r="H345" t="inlineStr">
        <is>
          <t>Marilyn Redvers Tennis Club</t>
        </is>
      </c>
      <c r="I345" t="n">
        <v>33.7</v>
      </c>
      <c r="J345" s="4" t="n">
        <v>85</v>
      </c>
      <c r="K345" t="inlineStr">
        <is>
          <t>30 / 55</t>
        </is>
      </c>
      <c r="L345" t="inlineStr">
        <is>
          <t>11 / 13</t>
        </is>
      </c>
      <c r="M345" s="5" t="n">
        <v>0.35</v>
      </c>
      <c r="N345" s="5" t="n">
        <v>0.46</v>
      </c>
    </row>
    <row r="346">
      <c r="A346" t="n">
        <v>345</v>
      </c>
      <c r="B346" t="n">
        <v>2012</v>
      </c>
      <c r="C346" t="inlineStr">
        <is>
          <t>Carys Miles</t>
        </is>
      </c>
      <c r="D346">
        <f>HYPERLINK("https://ota.tournamentsoftware.com/player-profile/7FCFD8F6-5B52-4825-B8AA-B72BF77A3298", "Link")</f>
        <v/>
      </c>
      <c r="E346" s="3" t="n">
        <v>194.325</v>
      </c>
      <c r="F346" s="4" t="n">
        <v>13</v>
      </c>
      <c r="G346" t="inlineStr">
        <is>
          <t>Tennis Alberta</t>
        </is>
      </c>
      <c r="H346" t="inlineStr">
        <is>
          <t>Osten &amp; Victor Alberta Tennis Centre</t>
        </is>
      </c>
      <c r="I346" t="n">
        <v>31</v>
      </c>
      <c r="J346" s="4" t="n">
        <v>200</v>
      </c>
      <c r="K346" t="inlineStr">
        <is>
          <t>98 / 102</t>
        </is>
      </c>
      <c r="L346" t="inlineStr">
        <is>
          <t>4 / 9</t>
        </is>
      </c>
      <c r="M346" s="5" t="n">
        <v>0.49</v>
      </c>
      <c r="N346" s="5" t="n">
        <v>0.31</v>
      </c>
    </row>
    <row r="347">
      <c r="A347" t="n">
        <v>346</v>
      </c>
      <c r="B347" t="n">
        <v>2015</v>
      </c>
      <c r="C347" t="inlineStr">
        <is>
          <t>Emma Echeverri Vujicic</t>
        </is>
      </c>
      <c r="D347">
        <f>HYPERLINK("https://ota.tournamentsoftware.com/player-profile/644C3F8A-163C-4BEA-8EBD-9263F89347F9", "Link")</f>
        <v/>
      </c>
      <c r="E347" s="3" t="n">
        <v>194.237</v>
      </c>
      <c r="F347" s="4" t="n">
        <v>21</v>
      </c>
      <c r="G347" t="inlineStr">
        <is>
          <t>Ontario Tennis Association</t>
        </is>
      </c>
      <c r="H347" t="inlineStr">
        <is>
          <t>Mayfair West Fitness &amp; Racquet Club</t>
        </is>
      </c>
      <c r="I347" t="n">
        <v>33.6</v>
      </c>
      <c r="J347" s="4" t="n">
        <v>133</v>
      </c>
      <c r="K347" t="inlineStr">
        <is>
          <t>64 / 69</t>
        </is>
      </c>
      <c r="L347" t="inlineStr">
        <is>
          <t>25 / 15</t>
        </is>
      </c>
      <c r="M347" s="5" t="n">
        <v>0.48</v>
      </c>
      <c r="N347" s="5" t="n">
        <v>0.62</v>
      </c>
    </row>
    <row r="348">
      <c r="A348" t="n">
        <v>347</v>
      </c>
      <c r="B348" t="n">
        <v>2014</v>
      </c>
      <c r="C348" t="inlineStr">
        <is>
          <t>Nadia Stuparyk</t>
        </is>
      </c>
      <c r="D348">
        <f>HYPERLINK("https://ota.tournamentsoftware.com/player-profile/05ABA68F-2EB2-4BFB-B6CA-677BDD1DCDCA", "Link")</f>
        <v/>
      </c>
      <c r="E348" s="3" t="n">
        <v>193.255</v>
      </c>
      <c r="F348" s="4" t="n">
        <v>34</v>
      </c>
      <c r="G348" t="inlineStr">
        <is>
          <t>Ontario Tennis Association</t>
        </is>
      </c>
      <c r="H348" t="inlineStr">
        <is>
          <t>Parkside Tennis Club</t>
        </is>
      </c>
      <c r="I348" t="n">
        <v>32.8</v>
      </c>
      <c r="J348" s="4" t="n">
        <v>193</v>
      </c>
      <c r="K348" t="inlineStr">
        <is>
          <t>93 / 100</t>
        </is>
      </c>
      <c r="L348" t="inlineStr">
        <is>
          <t>28 / 24</t>
        </is>
      </c>
      <c r="M348" s="5" t="n">
        <v>0.48</v>
      </c>
      <c r="N348" s="5" t="n">
        <v>0.54</v>
      </c>
    </row>
    <row r="349">
      <c r="A349" t="n">
        <v>348</v>
      </c>
      <c r="B349" t="n">
        <v>2014</v>
      </c>
      <c r="C349" t="inlineStr">
        <is>
          <t>Sahana Bath</t>
        </is>
      </c>
      <c r="D349">
        <f>HYPERLINK("https://ota.tournamentsoftware.com/player-profile/25E19F82-227F-4B69-8295-16AA8F4F207F", "Link")</f>
        <v/>
      </c>
      <c r="E349" s="3" t="n">
        <v>191.28</v>
      </c>
      <c r="F349" s="4" t="n">
        <v>24</v>
      </c>
      <c r="G349" t="inlineStr">
        <is>
          <t>British Columbia</t>
        </is>
      </c>
      <c r="H349" t="inlineStr">
        <is>
          <t>The Tennis Centre</t>
        </is>
      </c>
      <c r="I349" t="n">
        <v>30.9</v>
      </c>
      <c r="J349" s="4" t="n">
        <v>183</v>
      </c>
      <c r="K349" t="inlineStr">
        <is>
          <t>106 / 77</t>
        </is>
      </c>
      <c r="L349" t="inlineStr">
        <is>
          <t>51 / 24</t>
        </is>
      </c>
      <c r="M349" s="5" t="n">
        <v>0.58</v>
      </c>
      <c r="N349" s="5" t="n">
        <v>0.68</v>
      </c>
    </row>
    <row r="350">
      <c r="A350" t="n">
        <v>349</v>
      </c>
      <c r="B350" t="n">
        <v>2012</v>
      </c>
      <c r="C350" t="inlineStr">
        <is>
          <t>Sophia Zhang</t>
        </is>
      </c>
      <c r="D350">
        <f>HYPERLINK("https://ota.tournamentsoftware.com/player-profile/D3858E79-6F6D-42C3-B497-74590CD50165", "Link")</f>
        <v/>
      </c>
      <c r="E350" s="3" t="n">
        <v>190.161</v>
      </c>
      <c r="F350" s="4" t="n">
        <v>8</v>
      </c>
      <c r="G350" t="inlineStr">
        <is>
          <t>British Columbia</t>
        </is>
      </c>
      <c r="H350" t="inlineStr">
        <is>
          <t>Richmond Country Club</t>
        </is>
      </c>
      <c r="I350" t="n">
        <v>33.7</v>
      </c>
      <c r="J350" s="4" t="n">
        <v>122</v>
      </c>
      <c r="K350" t="inlineStr">
        <is>
          <t>33 / 89</t>
        </is>
      </c>
      <c r="L350" t="inlineStr">
        <is>
          <t>1 / 12</t>
        </is>
      </c>
      <c r="M350" s="5" t="n">
        <v>0.27</v>
      </c>
      <c r="N350" s="5" t="n">
        <v>0.08</v>
      </c>
    </row>
    <row r="351">
      <c r="A351" t="n">
        <v>350</v>
      </c>
      <c r="B351" t="n">
        <v>2016</v>
      </c>
      <c r="C351" t="inlineStr">
        <is>
          <t>Emily Zheng</t>
        </is>
      </c>
      <c r="D351">
        <f>HYPERLINK("https://ota.tournamentsoftware.com/player-profile/6AB11A61-4852-4958-84E1-2773676D29C2", "Link")</f>
        <v/>
      </c>
      <c r="E351" s="3" t="n">
        <v>190.026</v>
      </c>
      <c r="F351" s="4" t="n">
        <v>25</v>
      </c>
      <c r="G351" t="inlineStr">
        <is>
          <t>Ontario Tennis Association</t>
        </is>
      </c>
      <c r="H351" t="inlineStr">
        <is>
          <t>Toronto Cricket Skating &amp; Curling</t>
        </is>
      </c>
      <c r="I351" t="n">
        <v>33</v>
      </c>
      <c r="J351" s="4" t="n">
        <v>110</v>
      </c>
      <c r="K351" t="inlineStr">
        <is>
          <t>45 / 65</t>
        </is>
      </c>
      <c r="L351" t="inlineStr">
        <is>
          <t>24 / 15</t>
        </is>
      </c>
      <c r="M351" s="5" t="n">
        <v>0.41</v>
      </c>
      <c r="N351" s="5" t="n">
        <v>0.62</v>
      </c>
    </row>
    <row r="352">
      <c r="A352" t="n">
        <v>351</v>
      </c>
      <c r="B352" t="n">
        <v>2012</v>
      </c>
      <c r="C352" t="inlineStr">
        <is>
          <t>GURMEHR KAUR</t>
        </is>
      </c>
      <c r="D352">
        <f>HYPERLINK("https://ota.tournamentsoftware.com/player-profile/2C69CAA6-FCC8-49BC-ACA2-32F5C15717ED", "Link")</f>
        <v/>
      </c>
      <c r="E352" s="3" t="n">
        <v>189.248</v>
      </c>
      <c r="F352" s="4" t="n">
        <v>19</v>
      </c>
      <c r="G352" t="inlineStr">
        <is>
          <t>British Columbia</t>
        </is>
      </c>
      <c r="H352" t="inlineStr">
        <is>
          <t>Newton Tennis Club</t>
        </is>
      </c>
      <c r="I352" t="n">
        <v>32.3</v>
      </c>
      <c r="J352" s="4" t="n">
        <v>180</v>
      </c>
      <c r="K352" t="inlineStr">
        <is>
          <t>78 / 102</t>
        </is>
      </c>
      <c r="L352" t="inlineStr">
        <is>
          <t>18 / 23</t>
        </is>
      </c>
      <c r="M352" s="5" t="n">
        <v>0.43</v>
      </c>
      <c r="N352" s="5" t="n">
        <v>0.44</v>
      </c>
    </row>
    <row r="353">
      <c r="A353" t="n">
        <v>352</v>
      </c>
      <c r="B353" t="n">
        <v>2015</v>
      </c>
      <c r="C353" t="inlineStr">
        <is>
          <t>Olivia Ormandy</t>
        </is>
      </c>
      <c r="D353">
        <f>HYPERLINK("https://ota.tournamentsoftware.com/player-profile/C2722647-7EFC-4E85-B2ED-55E77949843B", "Link")</f>
        <v/>
      </c>
      <c r="E353" s="3" t="n">
        <v>188.971</v>
      </c>
      <c r="F353" s="4" t="n">
        <v>26</v>
      </c>
      <c r="G353" t="inlineStr">
        <is>
          <t>Tennis Québec</t>
        </is>
      </c>
      <c r="H353" t="inlineStr">
        <is>
          <t>Tennis Interclub Piedmont</t>
        </is>
      </c>
      <c r="I353" t="n">
        <v>32.7</v>
      </c>
      <c r="J353" s="4" t="n">
        <v>200</v>
      </c>
      <c r="K353" t="inlineStr">
        <is>
          <t>98 / 102</t>
        </is>
      </c>
      <c r="L353" t="inlineStr">
        <is>
          <t>26 / 28</t>
        </is>
      </c>
      <c r="M353" s="5" t="n">
        <v>0.49</v>
      </c>
      <c r="N353" s="5" t="n">
        <v>0.48</v>
      </c>
    </row>
    <row r="354">
      <c r="A354" t="n">
        <v>353</v>
      </c>
      <c r="B354" t="n">
        <v>2016</v>
      </c>
      <c r="C354" t="inlineStr">
        <is>
          <t>Amaranna Ugwunze</t>
        </is>
      </c>
      <c r="D354">
        <f>HYPERLINK("https://ota.tournamentsoftware.com/player-profile/2C6CBEBE-C5D2-4EC5-B283-CB703335834E", "Link")</f>
        <v/>
      </c>
      <c r="E354" s="3" t="n">
        <v>185.064</v>
      </c>
      <c r="F354" s="4" t="n">
        <v>22</v>
      </c>
      <c r="G354" t="inlineStr">
        <is>
          <t>Ontario Tennis Association</t>
        </is>
      </c>
      <c r="H354" t="inlineStr">
        <is>
          <t>Ontario Racquet Club</t>
        </is>
      </c>
      <c r="I354" t="n">
        <v>33.8</v>
      </c>
      <c r="J354" s="4" t="n">
        <v>99</v>
      </c>
      <c r="K354" t="inlineStr">
        <is>
          <t>52 / 47</t>
        </is>
      </c>
      <c r="L354" t="inlineStr">
        <is>
          <t>28 / 19</t>
        </is>
      </c>
      <c r="M354" s="5" t="n">
        <v>0.53</v>
      </c>
      <c r="N354" s="5" t="n">
        <v>0.6</v>
      </c>
    </row>
    <row r="355">
      <c r="A355" t="n">
        <v>354</v>
      </c>
      <c r="B355" t="n">
        <v>2013</v>
      </c>
      <c r="C355" t="inlineStr">
        <is>
          <t>Alysha Alexis</t>
        </is>
      </c>
      <c r="D355">
        <f>HYPERLINK("https://ota.tournamentsoftware.com/player-profile/42191CE6-0E1E-460D-80E0-9A7FF78DA6C6", "Link")</f>
        <v/>
      </c>
      <c r="E355" s="3" t="n">
        <v>185.03</v>
      </c>
      <c r="F355" s="4" t="n">
        <v>17</v>
      </c>
      <c r="G355" t="inlineStr">
        <is>
          <t>Tennis Québec</t>
        </is>
      </c>
      <c r="H355" t="inlineStr">
        <is>
          <t>Académie Tennis Momentum (club extérieur)</t>
        </is>
      </c>
      <c r="I355" t="n">
        <v>33.9</v>
      </c>
      <c r="J355" s="4" t="n">
        <v>68</v>
      </c>
      <c r="K355" t="inlineStr">
        <is>
          <t>32 / 36</t>
        </is>
      </c>
      <c r="L355" t="inlineStr">
        <is>
          <t>12 / 12</t>
        </is>
      </c>
      <c r="M355" s="5" t="n">
        <v>0.47</v>
      </c>
      <c r="N355" s="5" t="n">
        <v>0.5</v>
      </c>
    </row>
    <row r="356">
      <c r="A356" t="n">
        <v>355</v>
      </c>
      <c r="B356" t="n">
        <v>2014</v>
      </c>
      <c r="C356" t="inlineStr">
        <is>
          <t>Hunter Anne Wilkinson</t>
        </is>
      </c>
      <c r="D356">
        <f>HYPERLINK("https://ota.tournamentsoftware.com/player-profile/EB893DF0-DCAD-49C8-BAB9-0D044090A656", "Link")</f>
        <v/>
      </c>
      <c r="E356" s="3" t="n">
        <v>184.966</v>
      </c>
      <c r="F356" s="4" t="n">
        <v>19</v>
      </c>
      <c r="G356" t="inlineStr">
        <is>
          <t>Ontario Tennis Association</t>
        </is>
      </c>
      <c r="H356" t="inlineStr">
        <is>
          <t>GSM Tennis Club</t>
        </is>
      </c>
      <c r="I356" t="n">
        <v>33.5</v>
      </c>
      <c r="J356" s="4" t="n">
        <v>191</v>
      </c>
      <c r="K356" t="inlineStr">
        <is>
          <t>92 / 99</t>
        </is>
      </c>
      <c r="L356" t="inlineStr">
        <is>
          <t>15 / 16</t>
        </is>
      </c>
      <c r="M356" s="5" t="n">
        <v>0.48</v>
      </c>
      <c r="N356" s="5" t="n">
        <v>0.48</v>
      </c>
    </row>
    <row r="357">
      <c r="A357" t="n">
        <v>356</v>
      </c>
      <c r="B357" t="n">
        <v>2014</v>
      </c>
      <c r="C357" t="inlineStr">
        <is>
          <t>Mila Alexandra Voros</t>
        </is>
      </c>
      <c r="D357">
        <f>HYPERLINK("https://ota.tournamentsoftware.com/player-profile/96155B79-5199-481D-8AF1-A174FA860401", "Link")</f>
        <v/>
      </c>
      <c r="E357" s="3" t="n">
        <v>184.412</v>
      </c>
      <c r="F357" s="4" t="n">
        <v>13</v>
      </c>
      <c r="G357" t="inlineStr">
        <is>
          <t>Ontario Tennis Association</t>
        </is>
      </c>
      <c r="H357" t="inlineStr">
        <is>
          <t>GSM Tennis Club</t>
        </is>
      </c>
      <c r="I357" t="n">
        <v>34.8</v>
      </c>
      <c r="J357" s="4" t="n">
        <v>138</v>
      </c>
      <c r="K357" t="inlineStr">
        <is>
          <t>58 / 80</t>
        </is>
      </c>
      <c r="L357" t="inlineStr">
        <is>
          <t>7 / 17</t>
        </is>
      </c>
      <c r="M357" s="5" t="n">
        <v>0.42</v>
      </c>
      <c r="N357" s="5" t="n">
        <v>0.29</v>
      </c>
    </row>
    <row r="358">
      <c r="A358" t="n">
        <v>357</v>
      </c>
      <c r="B358" t="n">
        <v>2014</v>
      </c>
      <c r="C358" t="inlineStr">
        <is>
          <t>Amelia Rogette Hinnawi</t>
        </is>
      </c>
      <c r="D358">
        <f>HYPERLINK("https://ota.tournamentsoftware.com/player-profile/1DADE780-E571-45F1-BC6D-21B72637C0B7", "Link")</f>
        <v/>
      </c>
      <c r="E358" s="3" t="n">
        <v>184.213</v>
      </c>
      <c r="F358" s="4" t="n">
        <v>21</v>
      </c>
      <c r="G358" t="inlineStr">
        <is>
          <t>Tennis Québec</t>
        </is>
      </c>
      <c r="H358" t="inlineStr">
        <is>
          <t>Tennis Ile- des- Soeurs</t>
        </is>
      </c>
      <c r="I358" t="inlineStr">
        <is>
          <t>unavailable</t>
        </is>
      </c>
      <c r="J358" s="4" t="n">
        <v>141</v>
      </c>
      <c r="K358" t="inlineStr">
        <is>
          <t>44 / 97</t>
        </is>
      </c>
      <c r="L358" t="inlineStr">
        <is>
          <t>12 / 21</t>
        </is>
      </c>
      <c r="M358" s="5" t="n">
        <v>0.31</v>
      </c>
      <c r="N358" s="5" t="n">
        <v>0.36</v>
      </c>
    </row>
    <row r="359">
      <c r="A359" t="n">
        <v>358</v>
      </c>
      <c r="B359" t="n">
        <v>2013</v>
      </c>
      <c r="C359" t="inlineStr">
        <is>
          <t>Kate Penalba</t>
        </is>
      </c>
      <c r="D359">
        <f>HYPERLINK("https://ota.tournamentsoftware.com/player-profile/C3F08CFB-765E-4234-8D01-16CB3E717037", "Link")</f>
        <v/>
      </c>
      <c r="E359" s="3" t="n">
        <v>182.596</v>
      </c>
      <c r="F359" s="4" t="n">
        <v>16</v>
      </c>
      <c r="G359" t="inlineStr">
        <is>
          <t>Ontario Tennis Association</t>
        </is>
      </c>
      <c r="H359" t="inlineStr">
        <is>
          <t>No Club</t>
        </is>
      </c>
      <c r="I359" t="n">
        <v>34.6</v>
      </c>
      <c r="J359" s="4" t="n">
        <v>133</v>
      </c>
      <c r="K359" t="inlineStr">
        <is>
          <t>53 / 80</t>
        </is>
      </c>
      <c r="L359" t="inlineStr">
        <is>
          <t>10 / 18</t>
        </is>
      </c>
      <c r="M359" s="5" t="n">
        <v>0.4</v>
      </c>
      <c r="N359" s="5" t="n">
        <v>0.36</v>
      </c>
    </row>
    <row r="360">
      <c r="A360" t="n">
        <v>359</v>
      </c>
      <c r="B360" t="n">
        <v>2012</v>
      </c>
      <c r="C360" t="inlineStr">
        <is>
          <t>aashka vishal devaiya</t>
        </is>
      </c>
      <c r="D360">
        <f>HYPERLINK("https://ota.tournamentsoftware.com/player-profile/99C1CB63-E70E-4FB5-A115-3A252251FA67", "Link")</f>
        <v/>
      </c>
      <c r="E360" s="3" t="n">
        <v>182.045</v>
      </c>
      <c r="F360" s="4" t="n">
        <v>2</v>
      </c>
      <c r="G360" t="inlineStr">
        <is>
          <t>British Columbia</t>
        </is>
      </c>
      <c r="H360" t="inlineStr">
        <is>
          <t>No Club</t>
        </is>
      </c>
      <c r="I360" t="inlineStr">
        <is>
          <t>unavailable</t>
        </is>
      </c>
      <c r="J360" s="4" t="n">
        <v>5</v>
      </c>
      <c r="K360" t="inlineStr">
        <is>
          <t>3 / 2</t>
        </is>
      </c>
      <c r="L360" t="inlineStr">
        <is>
          <t>3 / 2</t>
        </is>
      </c>
      <c r="M360" s="5" t="n">
        <v>0.6</v>
      </c>
      <c r="N360" s="5" t="n">
        <v>0.6</v>
      </c>
    </row>
    <row r="361">
      <c r="A361" t="n">
        <v>360</v>
      </c>
      <c r="B361" t="n">
        <v>2013</v>
      </c>
      <c r="C361" t="inlineStr">
        <is>
          <t>Victoria Pellerin</t>
        </is>
      </c>
      <c r="D361">
        <f>HYPERLINK("https://ota.tournamentsoftware.com/player-profile/097573BE-64EA-4951-9B1B-3779B5938722", "Link")</f>
        <v/>
      </c>
      <c r="E361" s="3" t="n">
        <v>181.263</v>
      </c>
      <c r="F361" s="4" t="n">
        <v>15</v>
      </c>
      <c r="G361" t="inlineStr">
        <is>
          <t>Tennis Québec</t>
        </is>
      </c>
      <c r="H361" t="inlineStr">
        <is>
          <t>Centre récréatif de Repentigny / Académie Tennis Momentum</t>
        </is>
      </c>
      <c r="I361" t="n">
        <v>36.6</v>
      </c>
      <c r="J361" s="4" t="n">
        <v>58</v>
      </c>
      <c r="K361" t="inlineStr">
        <is>
          <t>16 / 42</t>
        </is>
      </c>
      <c r="L361" t="inlineStr">
        <is>
          <t>4 / 14</t>
        </is>
      </c>
      <c r="M361" s="5" t="n">
        <v>0.28</v>
      </c>
      <c r="N361" s="5" t="n">
        <v>0.22</v>
      </c>
    </row>
    <row r="362">
      <c r="A362" t="n">
        <v>361</v>
      </c>
      <c r="B362" t="n">
        <v>2012</v>
      </c>
      <c r="C362" t="inlineStr">
        <is>
          <t>Gabrielle Siewe Meliatou</t>
        </is>
      </c>
      <c r="D362">
        <f>HYPERLINK("https://ota.tournamentsoftware.com/player-profile/7E53A46A-6CF0-4DB8-9382-FCE1966714A8", "Link")</f>
        <v/>
      </c>
      <c r="E362" s="3" t="n">
        <v>179.968</v>
      </c>
      <c r="F362" s="4" t="n">
        <v>13</v>
      </c>
      <c r="G362" t="inlineStr">
        <is>
          <t>Tennis Québec</t>
        </is>
      </c>
      <c r="H362" t="inlineStr">
        <is>
          <t>SANI Sport</t>
        </is>
      </c>
      <c r="I362" t="n">
        <v>35.4</v>
      </c>
      <c r="J362" s="4" t="n">
        <v>78</v>
      </c>
      <c r="K362" t="inlineStr">
        <is>
          <t>24 / 54</t>
        </is>
      </c>
      <c r="L362" t="inlineStr">
        <is>
          <t>5 / 11</t>
        </is>
      </c>
      <c r="M362" s="5" t="n">
        <v>0.31</v>
      </c>
      <c r="N362" s="5" t="n">
        <v>0.31</v>
      </c>
    </row>
    <row r="363">
      <c r="A363" t="n">
        <v>362</v>
      </c>
      <c r="B363" t="n">
        <v>2015</v>
      </c>
      <c r="C363" t="inlineStr">
        <is>
          <t>Jesi Myra Kumaran</t>
        </is>
      </c>
      <c r="D363">
        <f>HYPERLINK("https://ota.tournamentsoftware.com/player-profile/8DE19A2A-095B-4432-92FE-7CA64D28B7F1", "Link")</f>
        <v/>
      </c>
      <c r="E363" s="3" t="n">
        <v>179.454</v>
      </c>
      <c r="F363" s="4" t="n">
        <v>30</v>
      </c>
      <c r="G363" t="inlineStr">
        <is>
          <t>Ontario Tennis Association</t>
        </is>
      </c>
      <c r="H363" t="inlineStr">
        <is>
          <t>Valan Tennis Academy</t>
        </is>
      </c>
      <c r="I363" t="n">
        <v>36.7</v>
      </c>
      <c r="J363" s="4" t="n">
        <v>196</v>
      </c>
      <c r="K363" t="inlineStr">
        <is>
          <t>69 / 127</t>
        </is>
      </c>
      <c r="L363" t="inlineStr">
        <is>
          <t>15 / 30</t>
        </is>
      </c>
      <c r="M363" s="5" t="n">
        <v>0.35</v>
      </c>
      <c r="N363" s="5" t="n">
        <v>0.33</v>
      </c>
    </row>
    <row r="364">
      <c r="A364" t="n">
        <v>363</v>
      </c>
      <c r="B364" t="n">
        <v>2015</v>
      </c>
      <c r="C364" t="inlineStr">
        <is>
          <t>Kynarra Tayt Burthwright</t>
        </is>
      </c>
      <c r="D364">
        <f>HYPERLINK("https://ota.tournamentsoftware.com/player-profile/54340729-CFE8-4AE6-B072-4BD29664CBEC", "Link")</f>
        <v/>
      </c>
      <c r="E364" s="3" t="n">
        <v>179.393</v>
      </c>
      <c r="F364" s="4" t="n">
        <v>28</v>
      </c>
      <c r="G364" t="inlineStr">
        <is>
          <t>Ontario Tennis Association</t>
        </is>
      </c>
      <c r="H364" t="inlineStr">
        <is>
          <t>Newmarket Community Tennis Club</t>
        </is>
      </c>
      <c r="I364" t="n">
        <v>34.5</v>
      </c>
      <c r="J364" s="4" t="n">
        <v>132</v>
      </c>
      <c r="K364" t="inlineStr">
        <is>
          <t>68 / 64</t>
        </is>
      </c>
      <c r="L364" t="inlineStr">
        <is>
          <t>31 / 31</t>
        </is>
      </c>
      <c r="M364" s="5" t="n">
        <v>0.52</v>
      </c>
      <c r="N364" s="5" t="n">
        <v>0.5</v>
      </c>
    </row>
    <row r="365">
      <c r="A365" t="n">
        <v>364</v>
      </c>
      <c r="B365" t="n">
        <v>2014</v>
      </c>
      <c r="C365" t="inlineStr">
        <is>
          <t>Qianqian (Dora) Zhang</t>
        </is>
      </c>
      <c r="D365">
        <f>HYPERLINK("https://ota.tournamentsoftware.com/player-profile/3772BD57-A73E-4652-86C8-E1885FE20DCF", "Link")</f>
        <v/>
      </c>
      <c r="E365" s="3" t="n">
        <v>178.95</v>
      </c>
      <c r="F365" s="4" t="n">
        <v>11</v>
      </c>
      <c r="G365" t="inlineStr">
        <is>
          <t>Ontario Tennis Association</t>
        </is>
      </c>
      <c r="H365" t="inlineStr">
        <is>
          <t>Toronto Tennis City</t>
        </is>
      </c>
      <c r="I365" t="n">
        <v>33.1</v>
      </c>
      <c r="J365" s="4" t="n">
        <v>50</v>
      </c>
      <c r="K365" t="inlineStr">
        <is>
          <t>36 / 14</t>
        </is>
      </c>
      <c r="L365" t="inlineStr">
        <is>
          <t>5 / 4</t>
        </is>
      </c>
      <c r="M365" s="5" t="n">
        <v>0.72</v>
      </c>
      <c r="N365" s="5" t="n">
        <v>0.5600000000000001</v>
      </c>
    </row>
    <row r="366">
      <c r="A366" t="n">
        <v>365</v>
      </c>
      <c r="B366" t="n">
        <v>2013</v>
      </c>
      <c r="C366" t="inlineStr">
        <is>
          <t>Ana Sofia Prieto Echandia</t>
        </is>
      </c>
      <c r="D366">
        <f>HYPERLINK("https://ota.tournamentsoftware.com/player-profile/0A98F660-17C5-4374-B63C-9B5B0E183AF0", "Link")</f>
        <v/>
      </c>
      <c r="E366" s="3" t="n">
        <v>178.675</v>
      </c>
      <c r="F366" s="4" t="n">
        <v>7</v>
      </c>
      <c r="G366" t="inlineStr">
        <is>
          <t>Tennis Québec</t>
        </is>
      </c>
      <c r="H366" t="inlineStr">
        <is>
          <t>Tennis Ile- des- Soeurs</t>
        </is>
      </c>
      <c r="I366" t="n">
        <v>32.3</v>
      </c>
      <c r="J366" s="4" t="n">
        <v>33</v>
      </c>
      <c r="K366" t="inlineStr">
        <is>
          <t>19 / 14</t>
        </is>
      </c>
      <c r="L366" t="inlineStr">
        <is>
          <t>2 / 6</t>
        </is>
      </c>
      <c r="M366" s="5" t="n">
        <v>0.58</v>
      </c>
      <c r="N366" s="5" t="n">
        <v>0.25</v>
      </c>
    </row>
    <row r="367">
      <c r="A367" t="n">
        <v>366</v>
      </c>
      <c r="B367" t="n">
        <v>2015</v>
      </c>
      <c r="C367" t="inlineStr">
        <is>
          <t>Brielle York</t>
        </is>
      </c>
      <c r="D367">
        <f>HYPERLINK("https://ota.tournamentsoftware.com/player-profile/C0B1A514-EDF7-4907-9E4D-D3B8C705EB1D", "Link")</f>
        <v/>
      </c>
      <c r="E367" s="3" t="n">
        <v>177.941</v>
      </c>
      <c r="F367" s="4" t="n">
        <v>14</v>
      </c>
      <c r="G367" t="inlineStr">
        <is>
          <t>Tennis Alberta</t>
        </is>
      </c>
      <c r="H367" t="inlineStr">
        <is>
          <t>Aforza</t>
        </is>
      </c>
      <c r="I367" t="n">
        <v>36.3</v>
      </c>
      <c r="J367" s="4" t="n">
        <v>144</v>
      </c>
      <c r="K367" t="inlineStr">
        <is>
          <t>68 / 76</t>
        </is>
      </c>
      <c r="L367" t="inlineStr">
        <is>
          <t>13 / 21</t>
        </is>
      </c>
      <c r="M367" s="5" t="n">
        <v>0.47</v>
      </c>
      <c r="N367" s="5" t="n">
        <v>0.38</v>
      </c>
    </row>
    <row r="368">
      <c r="A368" t="n">
        <v>367</v>
      </c>
      <c r="B368" t="n">
        <v>2012</v>
      </c>
      <c r="C368" t="inlineStr">
        <is>
          <t>Sabrina Sajjad</t>
        </is>
      </c>
      <c r="D368">
        <f>HYPERLINK("https://ota.tournamentsoftware.com/player-profile/6C7EB560-0C6C-49E6-9B42-49009727ED3D", "Link")</f>
        <v/>
      </c>
      <c r="E368" s="3" t="n">
        <v>177.747</v>
      </c>
      <c r="F368" s="4" t="n">
        <v>15</v>
      </c>
      <c r="G368" t="inlineStr">
        <is>
          <t>Ontario Tennis Association</t>
        </is>
      </c>
      <c r="H368" t="inlineStr">
        <is>
          <t>No Club</t>
        </is>
      </c>
      <c r="I368" t="n">
        <v>34.1</v>
      </c>
      <c r="J368" s="4" t="n">
        <v>71</v>
      </c>
      <c r="K368" t="inlineStr">
        <is>
          <t>36 / 35</t>
        </is>
      </c>
      <c r="L368" t="inlineStr">
        <is>
          <t>9 / 11</t>
        </is>
      </c>
      <c r="M368" s="5" t="n">
        <v>0.51</v>
      </c>
      <c r="N368" s="5" t="n">
        <v>0.45</v>
      </c>
    </row>
    <row r="369">
      <c r="A369" t="n">
        <v>368</v>
      </c>
      <c r="B369" t="n">
        <v>2013</v>
      </c>
      <c r="C369" t="inlineStr">
        <is>
          <t>Renée Jugalbot</t>
        </is>
      </c>
      <c r="D369">
        <f>HYPERLINK("https://ota.tournamentsoftware.com/player-profile/A487A79B-AB42-4314-BD75-6EFD99F64BC7", "Link")</f>
        <v/>
      </c>
      <c r="E369" s="3" t="n">
        <v>176.744</v>
      </c>
      <c r="F369" s="4" t="n">
        <v>27</v>
      </c>
      <c r="G369" t="inlineStr">
        <is>
          <t>Ontario Tennis Association</t>
        </is>
      </c>
      <c r="H369" t="inlineStr">
        <is>
          <t>Rosedale Tennis Club (Hamilton)</t>
        </is>
      </c>
      <c r="I369" t="n">
        <v>35.8</v>
      </c>
      <c r="J369" s="4" t="n">
        <v>92</v>
      </c>
      <c r="K369" t="inlineStr">
        <is>
          <t>37 / 55</t>
        </is>
      </c>
      <c r="L369" t="inlineStr">
        <is>
          <t>19 / 28</t>
        </is>
      </c>
      <c r="M369" s="5" t="n">
        <v>0.4</v>
      </c>
      <c r="N369" s="5" t="n">
        <v>0.4</v>
      </c>
    </row>
    <row r="370">
      <c r="A370" t="n">
        <v>369</v>
      </c>
      <c r="B370" t="n">
        <v>2012</v>
      </c>
      <c r="C370" t="inlineStr">
        <is>
          <t>Charlianne Grace Kiss</t>
        </is>
      </c>
      <c r="D370">
        <f>HYPERLINK("https://ota.tournamentsoftware.com/player-profile/09C918D2-187B-42AF-836D-E31A35062CB3", "Link")</f>
        <v/>
      </c>
      <c r="E370" s="3" t="n">
        <v>176.12</v>
      </c>
      <c r="F370" s="4" t="n">
        <v>11</v>
      </c>
      <c r="G370" t="inlineStr">
        <is>
          <t>Tennis Alberta</t>
        </is>
      </c>
      <c r="H370" t="inlineStr">
        <is>
          <t>Saville Community Sports Centre</t>
        </is>
      </c>
      <c r="I370" t="n">
        <v>34.5</v>
      </c>
      <c r="J370" s="4" t="n">
        <v>78</v>
      </c>
      <c r="K370" t="inlineStr">
        <is>
          <t>30 / 48</t>
        </is>
      </c>
      <c r="L370" t="inlineStr">
        <is>
          <t>12 / 18</t>
        </is>
      </c>
      <c r="M370" s="5" t="n">
        <v>0.38</v>
      </c>
      <c r="N370" s="5" t="n">
        <v>0.4</v>
      </c>
    </row>
    <row r="371">
      <c r="A371" t="n">
        <v>370</v>
      </c>
      <c r="B371" t="n">
        <v>2015</v>
      </c>
      <c r="C371" t="inlineStr">
        <is>
          <t>Allison Penev</t>
        </is>
      </c>
      <c r="D371">
        <f>HYPERLINK("https://ota.tournamentsoftware.com/player-profile/C34C7D86-0233-454A-9C07-62AD41AF32CE", "Link")</f>
        <v/>
      </c>
      <c r="E371" s="3" t="n">
        <v>174.886</v>
      </c>
      <c r="F371" s="4" t="n">
        <v>21</v>
      </c>
      <c r="G371" t="inlineStr">
        <is>
          <t>Tennis Québec</t>
        </is>
      </c>
      <c r="H371" t="inlineStr">
        <is>
          <t>Carrefour Multisports</t>
        </is>
      </c>
      <c r="I371" t="n">
        <v>36</v>
      </c>
      <c r="J371" s="4" t="n">
        <v>156</v>
      </c>
      <c r="K371" t="inlineStr">
        <is>
          <t>66 / 90</t>
        </is>
      </c>
      <c r="L371" t="inlineStr">
        <is>
          <t>8 / 20</t>
        </is>
      </c>
      <c r="M371" s="5" t="n">
        <v>0.42</v>
      </c>
      <c r="N371" s="5" t="n">
        <v>0.29</v>
      </c>
    </row>
    <row r="372">
      <c r="A372" t="n">
        <v>371</v>
      </c>
      <c r="B372" t="n">
        <v>2012</v>
      </c>
      <c r="C372" t="inlineStr">
        <is>
          <t>Angelica Rose Spyrka</t>
        </is>
      </c>
      <c r="D372">
        <f>HYPERLINK("https://ota.tournamentsoftware.com/player-profile/7A8F99DB-3ADA-4FDB-AC08-5095AAF01985", "Link")</f>
        <v/>
      </c>
      <c r="E372" s="3" t="n">
        <v>173.417</v>
      </c>
      <c r="F372" s="4" t="n">
        <v>10</v>
      </c>
      <c r="G372" t="inlineStr">
        <is>
          <t>British Columbia</t>
        </is>
      </c>
      <c r="H372" t="inlineStr">
        <is>
          <t>Vanguard Tennis Academy</t>
        </is>
      </c>
      <c r="I372" t="n">
        <v>33.3</v>
      </c>
      <c r="J372" s="4" t="n">
        <v>74</v>
      </c>
      <c r="K372" t="inlineStr">
        <is>
          <t>32 / 42</t>
        </is>
      </c>
      <c r="L372" t="inlineStr">
        <is>
          <t>6 / 10</t>
        </is>
      </c>
      <c r="M372" s="5" t="n">
        <v>0.43</v>
      </c>
      <c r="N372" s="5" t="n">
        <v>0.38</v>
      </c>
    </row>
    <row r="373">
      <c r="A373" t="n">
        <v>372</v>
      </c>
      <c r="B373" t="n">
        <v>2017</v>
      </c>
      <c r="C373" t="inlineStr">
        <is>
          <t>Nalayah Smith</t>
        </is>
      </c>
      <c r="D373">
        <f>HYPERLINK("https://ota.tournamentsoftware.com/player-profile/6F913BA8-58BB-4BEE-9CA1-8E064E1332B8", "Link")</f>
        <v/>
      </c>
      <c r="E373" s="3" t="n">
        <v>173.154</v>
      </c>
      <c r="F373" s="4" t="n">
        <v>23</v>
      </c>
      <c r="G373" t="inlineStr">
        <is>
          <t>Ontario Tennis Association</t>
        </is>
      </c>
      <c r="H373" t="inlineStr">
        <is>
          <t>SmartVMC Racquetsports by ACE</t>
        </is>
      </c>
      <c r="I373" t="n">
        <v>32.6</v>
      </c>
      <c r="J373" s="4" t="n">
        <v>141</v>
      </c>
      <c r="K373" t="inlineStr">
        <is>
          <t>93 / 48</t>
        </is>
      </c>
      <c r="L373" t="inlineStr">
        <is>
          <t>38 / 15</t>
        </is>
      </c>
      <c r="M373" s="5" t="n">
        <v>0.66</v>
      </c>
      <c r="N373" s="5" t="n">
        <v>0.72</v>
      </c>
    </row>
    <row r="374">
      <c r="A374" t="n">
        <v>373</v>
      </c>
      <c r="B374" t="n">
        <v>2012</v>
      </c>
      <c r="C374" t="inlineStr">
        <is>
          <t>Riley Lynn Banath</t>
        </is>
      </c>
      <c r="D374">
        <f>HYPERLINK("https://ota.tournamentsoftware.com/player-profile/4B613A1C-293C-4701-B6BA-BEC5F8EBDA29", "Link")</f>
        <v/>
      </c>
      <c r="E374" s="3" t="n">
        <v>173.105</v>
      </c>
      <c r="F374" s="4" t="n">
        <v>14</v>
      </c>
      <c r="G374" t="inlineStr">
        <is>
          <t>British Columbia</t>
        </is>
      </c>
      <c r="H374" t="inlineStr">
        <is>
          <t>Arbutus Club</t>
        </is>
      </c>
      <c r="I374" t="n">
        <v>36.5</v>
      </c>
      <c r="J374" s="4" t="n">
        <v>46</v>
      </c>
      <c r="K374" t="inlineStr">
        <is>
          <t>10 / 36</t>
        </is>
      </c>
      <c r="L374" t="inlineStr">
        <is>
          <t>6 / 21</t>
        </is>
      </c>
      <c r="M374" s="5" t="n">
        <v>0.22</v>
      </c>
      <c r="N374" s="5" t="n">
        <v>0.22</v>
      </c>
    </row>
    <row r="375">
      <c r="A375" t="n">
        <v>374</v>
      </c>
      <c r="B375" t="n">
        <v>2012</v>
      </c>
      <c r="C375" t="inlineStr">
        <is>
          <t>Amelia Jee</t>
        </is>
      </c>
      <c r="D375">
        <f>HYPERLINK("https://ota.tournamentsoftware.com/player-profile/485EA829-3893-4703-AF9A-1CF8D304CE5D", "Link")</f>
        <v/>
      </c>
      <c r="E375" s="3" t="n">
        <v>173.084</v>
      </c>
      <c r="F375" s="4" t="n">
        <v>11</v>
      </c>
      <c r="G375" t="inlineStr">
        <is>
          <t>Ontario Tennis Association</t>
        </is>
      </c>
      <c r="H375" t="inlineStr">
        <is>
          <t>Toronto Cricket Skating &amp; Curling</t>
        </is>
      </c>
      <c r="I375" t="n">
        <v>32.8</v>
      </c>
      <c r="J375" s="4" t="n">
        <v>125</v>
      </c>
      <c r="K375" t="inlineStr">
        <is>
          <t>53 / 72</t>
        </is>
      </c>
      <c r="L375" t="inlineStr">
        <is>
          <t>11 / 13</t>
        </is>
      </c>
      <c r="M375" s="5" t="n">
        <v>0.42</v>
      </c>
      <c r="N375" s="5" t="n">
        <v>0.46</v>
      </c>
    </row>
    <row r="376">
      <c r="A376" t="n">
        <v>375</v>
      </c>
      <c r="B376" t="n">
        <v>2013</v>
      </c>
      <c r="C376" t="inlineStr">
        <is>
          <t>Eva Eile</t>
        </is>
      </c>
      <c r="D376">
        <f>HYPERLINK("https://ota.tournamentsoftware.com/player-profile/EE5E7036-3979-48DF-A095-8C40584653EF", "Link")</f>
        <v/>
      </c>
      <c r="E376" s="3" t="n">
        <v>172.661</v>
      </c>
      <c r="F376" s="4" t="n">
        <v>15</v>
      </c>
      <c r="G376" t="inlineStr">
        <is>
          <t>Tennis Québec</t>
        </is>
      </c>
      <c r="H376" t="inlineStr">
        <is>
          <t>Midtown Le Sporting Club Sanctuaire</t>
        </is>
      </c>
      <c r="I376" t="n">
        <v>39.1</v>
      </c>
      <c r="J376" s="4" t="n">
        <v>28</v>
      </c>
      <c r="K376" t="inlineStr">
        <is>
          <t>3 / 25</t>
        </is>
      </c>
      <c r="L376" t="inlineStr">
        <is>
          <t>0 / 14</t>
        </is>
      </c>
      <c r="M376" s="5" t="n">
        <v>0.11</v>
      </c>
      <c r="N376" s="5" t="n">
        <v>0</v>
      </c>
    </row>
    <row r="377">
      <c r="A377" t="n">
        <v>376</v>
      </c>
      <c r="B377" t="n">
        <v>2013</v>
      </c>
      <c r="C377" t="inlineStr">
        <is>
          <t>Diya Vasudeva</t>
        </is>
      </c>
      <c r="D377">
        <f>HYPERLINK("https://ota.tournamentsoftware.com/player-profile/81C22EEF-F10A-4447-AF45-2B9B6D1A7F5B", "Link")</f>
        <v/>
      </c>
      <c r="E377" s="3" t="n">
        <v>171.328</v>
      </c>
      <c r="F377" s="4" t="n">
        <v>10</v>
      </c>
      <c r="G377" t="inlineStr">
        <is>
          <t>Ontario Tennis Association</t>
        </is>
      </c>
      <c r="H377" t="inlineStr">
        <is>
          <t>ACE Tennis - Burlington</t>
        </is>
      </c>
      <c r="I377" t="n">
        <v>36.4</v>
      </c>
      <c r="J377" s="4" t="n">
        <v>100</v>
      </c>
      <c r="K377" t="inlineStr">
        <is>
          <t>34 / 66</t>
        </is>
      </c>
      <c r="L377" t="inlineStr">
        <is>
          <t>5 / 11</t>
        </is>
      </c>
      <c r="M377" s="5" t="n">
        <v>0.34</v>
      </c>
      <c r="N377" s="5" t="n">
        <v>0.31</v>
      </c>
    </row>
    <row r="378">
      <c r="A378" t="n">
        <v>377</v>
      </c>
      <c r="B378" t="n">
        <v>2015</v>
      </c>
      <c r="C378" t="inlineStr">
        <is>
          <t>Ruichu Rachel Piao</t>
        </is>
      </c>
      <c r="D378">
        <f>HYPERLINK("https://ota.tournamentsoftware.com/player-profile/13F65932-C96D-4F89-B571-4AA7315B2EEB", "Link")</f>
        <v/>
      </c>
      <c r="E378" s="3" t="n">
        <v>170.967</v>
      </c>
      <c r="F378" s="4" t="n">
        <v>15</v>
      </c>
      <c r="G378" t="inlineStr">
        <is>
          <t>Tennis Québec</t>
        </is>
      </c>
      <c r="H378" t="inlineStr">
        <is>
          <t>Tennis Ile- des- Soeurs</t>
        </is>
      </c>
      <c r="I378" t="inlineStr">
        <is>
          <t>unavailable</t>
        </is>
      </c>
      <c r="J378" s="4" t="n">
        <v>79</v>
      </c>
      <c r="K378" t="inlineStr">
        <is>
          <t>37 / 42</t>
        </is>
      </c>
      <c r="L378" t="inlineStr">
        <is>
          <t>8 / 13</t>
        </is>
      </c>
      <c r="M378" s="5" t="n">
        <v>0.47</v>
      </c>
      <c r="N378" s="5" t="n">
        <v>0.38</v>
      </c>
    </row>
    <row r="379">
      <c r="A379" t="n">
        <v>378</v>
      </c>
      <c r="B379" t="n">
        <v>2016</v>
      </c>
      <c r="C379" t="inlineStr">
        <is>
          <t>Dorothy Ning</t>
        </is>
      </c>
      <c r="D379">
        <f>HYPERLINK("https://ota.tournamentsoftware.com/player-profile/15BEDAE4-AB73-4AE9-B466-BA81BCA77DB1", "Link")</f>
        <v/>
      </c>
      <c r="E379" s="3" t="n">
        <v>170.864</v>
      </c>
      <c r="F379" s="4" t="n">
        <v>23</v>
      </c>
      <c r="G379" t="inlineStr">
        <is>
          <t>Ontario Tennis Association</t>
        </is>
      </c>
      <c r="H379" t="inlineStr">
        <is>
          <t>Toronto Tennis Academy</t>
        </is>
      </c>
      <c r="I379" t="inlineStr">
        <is>
          <t>unavailable</t>
        </is>
      </c>
      <c r="J379" s="4" t="n">
        <v>156</v>
      </c>
      <c r="K379" t="inlineStr">
        <is>
          <t>83 / 73</t>
        </is>
      </c>
      <c r="L379" t="inlineStr">
        <is>
          <t>24 / 18</t>
        </is>
      </c>
      <c r="M379" s="5" t="n">
        <v>0.53</v>
      </c>
      <c r="N379" s="5" t="n">
        <v>0.57</v>
      </c>
    </row>
    <row r="380">
      <c r="A380" t="n">
        <v>379</v>
      </c>
      <c r="B380" t="n">
        <v>2015</v>
      </c>
      <c r="C380" t="inlineStr">
        <is>
          <t>Adelaide Mossop</t>
        </is>
      </c>
      <c r="D380">
        <f>HYPERLINK("https://ota.tournamentsoftware.com/player-profile/0BA4F4DB-3133-41DE-9EE3-39EB4A609399", "Link")</f>
        <v/>
      </c>
      <c r="E380" s="3" t="n">
        <v>170.614</v>
      </c>
      <c r="F380" s="4" t="n">
        <v>13</v>
      </c>
      <c r="G380" t="inlineStr">
        <is>
          <t>Tennis Nova Scotia</t>
        </is>
      </c>
      <c r="H380" t="inlineStr">
        <is>
          <t>Atlantic Tennis Centre</t>
        </is>
      </c>
      <c r="I380" t="n">
        <v>36.1</v>
      </c>
      <c r="J380" s="4" t="n">
        <v>167</v>
      </c>
      <c r="K380" t="inlineStr">
        <is>
          <t>68 / 99</t>
        </is>
      </c>
      <c r="L380" t="inlineStr">
        <is>
          <t>17 / 26</t>
        </is>
      </c>
      <c r="M380" s="5" t="n">
        <v>0.41</v>
      </c>
      <c r="N380" s="5" t="n">
        <v>0.4</v>
      </c>
    </row>
    <row r="381">
      <c r="A381" t="n">
        <v>380</v>
      </c>
      <c r="B381" t="n">
        <v>2014</v>
      </c>
      <c r="C381" t="inlineStr">
        <is>
          <t>Alexandra Strgacic</t>
        </is>
      </c>
      <c r="D381">
        <f>HYPERLINK("https://ota.tournamentsoftware.com/player-profile/C809B120-C1B7-4F85-B411-257E3DC9B63B", "Link")</f>
        <v/>
      </c>
      <c r="E381" s="3" t="n">
        <v>168.42</v>
      </c>
      <c r="F381" s="4" t="n">
        <v>5</v>
      </c>
      <c r="G381" t="inlineStr">
        <is>
          <t>Ontario Tennis Association</t>
        </is>
      </c>
      <c r="H381" t="inlineStr">
        <is>
          <t>Advantage Tennis International at Veneto</t>
        </is>
      </c>
      <c r="I381" t="n">
        <v>33.5</v>
      </c>
      <c r="J381" s="4" t="n">
        <v>165</v>
      </c>
      <c r="K381" t="inlineStr">
        <is>
          <t>96 / 69</t>
        </is>
      </c>
      <c r="L381" t="inlineStr">
        <is>
          <t>3 / 5</t>
        </is>
      </c>
      <c r="M381" s="5" t="n">
        <v>0.58</v>
      </c>
      <c r="N381" s="5" t="n">
        <v>0.38</v>
      </c>
    </row>
    <row r="382">
      <c r="A382" t="n">
        <v>381</v>
      </c>
      <c r="B382" t="n">
        <v>2015</v>
      </c>
      <c r="C382" t="inlineStr">
        <is>
          <t>Nora Firoozi</t>
        </is>
      </c>
      <c r="D382">
        <f>HYPERLINK("https://ota.tournamentsoftware.com/player-profile/328F4CA8-B72D-4F94-9BB6-3F666B5E0706", "Link")</f>
        <v/>
      </c>
      <c r="E382" s="3" t="n">
        <v>167.643</v>
      </c>
      <c r="F382" s="4" t="n">
        <v>18</v>
      </c>
      <c r="G382" t="inlineStr">
        <is>
          <t>British Columbia</t>
        </is>
      </c>
      <c r="H382" t="inlineStr">
        <is>
          <t>North Vancouver Tennis Centre</t>
        </is>
      </c>
      <c r="I382" t="n">
        <v>32.6</v>
      </c>
      <c r="J382" s="4" t="n">
        <v>171</v>
      </c>
      <c r="K382" t="inlineStr">
        <is>
          <t>85 / 86</t>
        </is>
      </c>
      <c r="L382" t="inlineStr">
        <is>
          <t>19 / 20</t>
        </is>
      </c>
      <c r="M382" s="5" t="n">
        <v>0.5</v>
      </c>
      <c r="N382" s="5" t="n">
        <v>0.49</v>
      </c>
    </row>
    <row r="383">
      <c r="A383" t="n">
        <v>382</v>
      </c>
      <c r="B383" t="n">
        <v>2012</v>
      </c>
      <c r="C383" t="inlineStr">
        <is>
          <t>Naomi Lucy McCrank</t>
        </is>
      </c>
      <c r="D383">
        <f>HYPERLINK("https://ota.tournamentsoftware.com/player-profile/68E80EA0-3999-4449-8E0B-83CC30E1EF77", "Link")</f>
        <v/>
      </c>
      <c r="E383" s="3" t="n">
        <v>166.417</v>
      </c>
      <c r="F383" s="4" t="n">
        <v>12</v>
      </c>
      <c r="G383" t="inlineStr">
        <is>
          <t>Tennis Alberta</t>
        </is>
      </c>
      <c r="H383" t="inlineStr">
        <is>
          <t>Aforza</t>
        </is>
      </c>
      <c r="I383" t="n">
        <v>33.5</v>
      </c>
      <c r="J383" s="4" t="n">
        <v>80</v>
      </c>
      <c r="K383" t="inlineStr">
        <is>
          <t>24 / 56</t>
        </is>
      </c>
      <c r="L383" t="inlineStr">
        <is>
          <t>8 / 11</t>
        </is>
      </c>
      <c r="M383" s="5" t="n">
        <v>0.3</v>
      </c>
      <c r="N383" s="5" t="n">
        <v>0.42</v>
      </c>
    </row>
    <row r="384">
      <c r="A384" t="n">
        <v>383</v>
      </c>
      <c r="B384" t="n">
        <v>2012</v>
      </c>
      <c r="C384" t="inlineStr">
        <is>
          <t>Alyssa Grace Clouden</t>
        </is>
      </c>
      <c r="D384">
        <f>HYPERLINK("https://ota.tournamentsoftware.com/player-profile/85FC5E76-6ACD-4520-94D0-C05BABDC2184", "Link")</f>
        <v/>
      </c>
      <c r="E384" s="3" t="n">
        <v>166.327</v>
      </c>
      <c r="F384" s="4" t="n">
        <v>15</v>
      </c>
      <c r="G384" t="inlineStr">
        <is>
          <t>Ontario Tennis Association</t>
        </is>
      </c>
      <c r="H384" t="inlineStr">
        <is>
          <t>Headwaters Racquet Club</t>
        </is>
      </c>
      <c r="I384" t="n">
        <v>35.3</v>
      </c>
      <c r="J384" s="4" t="n">
        <v>58</v>
      </c>
      <c r="K384" t="inlineStr">
        <is>
          <t>26 / 32</t>
        </is>
      </c>
      <c r="L384" t="inlineStr">
        <is>
          <t>11 / 16</t>
        </is>
      </c>
      <c r="M384" s="5" t="n">
        <v>0.45</v>
      </c>
      <c r="N384" s="5" t="n">
        <v>0.41</v>
      </c>
    </row>
    <row r="385">
      <c r="A385" t="n">
        <v>384</v>
      </c>
      <c r="B385" t="n">
        <v>2014</v>
      </c>
      <c r="C385" t="inlineStr">
        <is>
          <t>Grace Li</t>
        </is>
      </c>
      <c r="D385">
        <f>HYPERLINK("https://ota.tournamentsoftware.com/player-profile/5B95D38D-7E3D-4B41-B418-6B2307ED0863", "Link")</f>
        <v/>
      </c>
      <c r="E385" s="3" t="n">
        <v>166.105</v>
      </c>
      <c r="F385" s="4" t="n">
        <v>19</v>
      </c>
      <c r="G385" t="inlineStr">
        <is>
          <t>Tennis Québec</t>
        </is>
      </c>
      <c r="H385" t="inlineStr">
        <is>
          <t>Tennis 13</t>
        </is>
      </c>
      <c r="I385" t="n">
        <v>35.1</v>
      </c>
      <c r="J385" s="4" t="n">
        <v>168</v>
      </c>
      <c r="K385" t="inlineStr">
        <is>
          <t>72 / 96</t>
        </is>
      </c>
      <c r="L385" t="inlineStr">
        <is>
          <t>8 / 15</t>
        </is>
      </c>
      <c r="M385" s="5" t="n">
        <v>0.43</v>
      </c>
      <c r="N385" s="5" t="n">
        <v>0.35</v>
      </c>
    </row>
    <row r="386">
      <c r="A386" t="n">
        <v>385</v>
      </c>
      <c r="B386" t="n">
        <v>2013</v>
      </c>
      <c r="C386" t="inlineStr">
        <is>
          <t>Adriana Juliana Tambini</t>
        </is>
      </c>
      <c r="D386">
        <f>HYPERLINK("https://ota.tournamentsoftware.com/player-profile/7D7985A7-C189-4AE6-9641-F7EA5AE89364", "Link")</f>
        <v/>
      </c>
      <c r="E386" s="3" t="n">
        <v>165.937</v>
      </c>
      <c r="F386" s="4" t="n">
        <v>7</v>
      </c>
      <c r="G386" t="inlineStr">
        <is>
          <t>Ontario Tennis Association</t>
        </is>
      </c>
      <c r="H386" t="inlineStr">
        <is>
          <t>Headwaters Racquet Club</t>
        </is>
      </c>
      <c r="I386" t="n">
        <v>38.5</v>
      </c>
      <c r="J386" s="4" t="n">
        <v>23</v>
      </c>
      <c r="K386" t="inlineStr">
        <is>
          <t>12 / 11</t>
        </is>
      </c>
      <c r="L386" t="inlineStr">
        <is>
          <t>7 / 10</t>
        </is>
      </c>
      <c r="M386" s="5" t="n">
        <v>0.52</v>
      </c>
      <c r="N386" s="5" t="n">
        <v>0.41</v>
      </c>
    </row>
    <row r="387">
      <c r="A387" t="n">
        <v>386</v>
      </c>
      <c r="B387" t="n">
        <v>2014</v>
      </c>
      <c r="C387" t="inlineStr">
        <is>
          <t>Sonia Leung</t>
        </is>
      </c>
      <c r="D387">
        <f>HYPERLINK("https://ota.tournamentsoftware.com/player-profile/CCA302B0-3E0B-42DA-BCF9-B1A9AF0035E5", "Link")</f>
        <v/>
      </c>
      <c r="E387" s="3" t="n">
        <v>165.44</v>
      </c>
      <c r="F387" s="4" t="n">
        <v>18</v>
      </c>
      <c r="G387" t="inlineStr">
        <is>
          <t>Ontario Tennis Association</t>
        </is>
      </c>
      <c r="H387" t="inlineStr">
        <is>
          <t>Toronto Tennis Academy</t>
        </is>
      </c>
      <c r="I387" t="n">
        <v>33.5</v>
      </c>
      <c r="J387" s="4" t="n">
        <v>74</v>
      </c>
      <c r="K387" t="inlineStr">
        <is>
          <t>39 / 35</t>
        </is>
      </c>
      <c r="L387" t="inlineStr">
        <is>
          <t>30 / 15</t>
        </is>
      </c>
      <c r="M387" s="5" t="n">
        <v>0.53</v>
      </c>
      <c r="N387" s="5" t="n">
        <v>0.67</v>
      </c>
    </row>
    <row r="388">
      <c r="A388" t="n">
        <v>387</v>
      </c>
      <c r="B388" t="n">
        <v>2014</v>
      </c>
      <c r="C388" t="inlineStr">
        <is>
          <t>Melissa Yi Nuo Yang</t>
        </is>
      </c>
      <c r="D388">
        <f>HYPERLINK("https://ota.tournamentsoftware.com/player-profile/870FB276-B8EA-4586-B0F5-B2318D4B1CD6", "Link")</f>
        <v/>
      </c>
      <c r="E388" s="3" t="n">
        <v>164.547</v>
      </c>
      <c r="F388" s="4" t="n">
        <v>18</v>
      </c>
      <c r="G388" t="inlineStr">
        <is>
          <t>Tennis Québec</t>
        </is>
      </c>
      <c r="H388" t="inlineStr">
        <is>
          <t>Club Sportif Côte-de-Liesse</t>
        </is>
      </c>
      <c r="I388" t="n">
        <v>32.8</v>
      </c>
      <c r="J388" s="4" t="n">
        <v>92</v>
      </c>
      <c r="K388" t="inlineStr">
        <is>
          <t>48 / 44</t>
        </is>
      </c>
      <c r="L388" t="inlineStr">
        <is>
          <t>28 / 13</t>
        </is>
      </c>
      <c r="M388" s="5" t="n">
        <v>0.52</v>
      </c>
      <c r="N388" s="5" t="n">
        <v>0.68</v>
      </c>
    </row>
    <row r="389">
      <c r="A389" t="n">
        <v>388</v>
      </c>
      <c r="B389" t="n">
        <v>2013</v>
      </c>
      <c r="C389" t="inlineStr">
        <is>
          <t>Nisa Karim</t>
        </is>
      </c>
      <c r="D389">
        <f>HYPERLINK("https://ota.tournamentsoftware.com/player-profile/11CB5752-5D45-47AB-82AD-AC3D554873E5", "Link")</f>
        <v/>
      </c>
      <c r="E389" s="3" t="n">
        <v>163.167</v>
      </c>
      <c r="F389" s="4" t="n">
        <v>15</v>
      </c>
      <c r="G389" t="inlineStr">
        <is>
          <t>British Columbia</t>
        </is>
      </c>
      <c r="H389" t="inlineStr">
        <is>
          <t>Arbutus Club</t>
        </is>
      </c>
      <c r="I389" t="n">
        <v>34.6</v>
      </c>
      <c r="J389" s="4" t="n">
        <v>97</v>
      </c>
      <c r="K389" t="inlineStr">
        <is>
          <t>51 / 46</t>
        </is>
      </c>
      <c r="L389" t="inlineStr">
        <is>
          <t>17 / 20</t>
        </is>
      </c>
      <c r="M389" s="5" t="n">
        <v>0.53</v>
      </c>
      <c r="N389" s="5" t="n">
        <v>0.46</v>
      </c>
    </row>
    <row r="390">
      <c r="A390" t="n">
        <v>389</v>
      </c>
      <c r="B390" t="n">
        <v>2014</v>
      </c>
      <c r="C390" t="inlineStr">
        <is>
          <t>Eve Martel</t>
        </is>
      </c>
      <c r="D390">
        <f>HYPERLINK("https://ota.tournamentsoftware.com/player-profile/590DE091-4FC9-494D-A8AC-45DB223E71D8", "Link")</f>
        <v/>
      </c>
      <c r="E390" s="3" t="n">
        <v>160.307</v>
      </c>
      <c r="F390" s="4" t="n">
        <v>19</v>
      </c>
      <c r="G390" t="inlineStr">
        <is>
          <t>Tennis Québec</t>
        </is>
      </c>
      <c r="H390" t="inlineStr">
        <is>
          <t>Club Avantage Multi-sports / Académie de tennis Hérisset Bordeleau</t>
        </is>
      </c>
      <c r="I390" t="inlineStr">
        <is>
          <t>unavailable</t>
        </is>
      </c>
      <c r="J390" s="4" t="n">
        <v>130</v>
      </c>
      <c r="K390" t="inlineStr">
        <is>
          <t>41 / 89</t>
        </is>
      </c>
      <c r="L390" t="inlineStr">
        <is>
          <t>12 / 17</t>
        </is>
      </c>
      <c r="M390" s="5" t="n">
        <v>0.32</v>
      </c>
      <c r="N390" s="5" t="n">
        <v>0.41</v>
      </c>
    </row>
    <row r="391">
      <c r="A391" t="n">
        <v>390</v>
      </c>
      <c r="B391" t="n">
        <v>2015</v>
      </c>
      <c r="C391" t="inlineStr">
        <is>
          <t>Namasya Nakul</t>
        </is>
      </c>
      <c r="D391">
        <f>HYPERLINK("https://ota.tournamentsoftware.com/player-profile/30AB6566-4805-4DA5-90A9-E6D59F3D0D64", "Link")</f>
        <v/>
      </c>
      <c r="E391" s="3" t="n">
        <v>158.703</v>
      </c>
      <c r="F391" s="4" t="n">
        <v>21</v>
      </c>
      <c r="G391" t="inlineStr">
        <is>
          <t>British Columbia</t>
        </is>
      </c>
      <c r="H391" t="inlineStr">
        <is>
          <t>Richmond Country Club</t>
        </is>
      </c>
      <c r="I391" t="n">
        <v>32</v>
      </c>
      <c r="J391" s="4" t="n">
        <v>127</v>
      </c>
      <c r="K391" t="inlineStr">
        <is>
          <t>71 / 56</t>
        </is>
      </c>
      <c r="L391" t="inlineStr">
        <is>
          <t>31 / 20</t>
        </is>
      </c>
      <c r="M391" s="5" t="n">
        <v>0.5600000000000001</v>
      </c>
      <c r="N391" s="5" t="n">
        <v>0.61</v>
      </c>
    </row>
    <row r="392">
      <c r="A392" t="n">
        <v>391</v>
      </c>
      <c r="B392" t="n">
        <v>2012</v>
      </c>
      <c r="C392" t="inlineStr">
        <is>
          <t>Eliana Yiannacouras</t>
        </is>
      </c>
      <c r="D392">
        <f>HYPERLINK("https://ota.tournamentsoftware.com/player-profile/B77AA2DD-5FF4-4B16-8ABD-E6ED22D4B5E1", "Link")</f>
        <v/>
      </c>
      <c r="E392" s="3" t="n">
        <v>157.896</v>
      </c>
      <c r="F392" s="4" t="n">
        <v>15</v>
      </c>
      <c r="G392" t="inlineStr">
        <is>
          <t>Ontario Tennis Association</t>
        </is>
      </c>
      <c r="H392" t="inlineStr">
        <is>
          <t>The Supreme Court Tennis Club</t>
        </is>
      </c>
      <c r="I392" t="n">
        <v>33.5</v>
      </c>
      <c r="J392" s="4" t="n">
        <v>106</v>
      </c>
      <c r="K392" t="inlineStr">
        <is>
          <t>30 / 76</t>
        </is>
      </c>
      <c r="L392" t="inlineStr">
        <is>
          <t>11 / 13</t>
        </is>
      </c>
      <c r="M392" s="5" t="n">
        <v>0.28</v>
      </c>
      <c r="N392" s="5" t="n">
        <v>0.46</v>
      </c>
    </row>
    <row r="393">
      <c r="A393" t="n">
        <v>392</v>
      </c>
      <c r="B393" t="n">
        <v>2012</v>
      </c>
      <c r="C393" t="inlineStr">
        <is>
          <t>Sophia Zhang</t>
        </is>
      </c>
      <c r="D393">
        <f>HYPERLINK("https://ota.tournamentsoftware.com/player-profile/2BBD611B-69D1-4A97-AAC3-1D897498B21A", "Link")</f>
        <v/>
      </c>
      <c r="E393" s="3" t="n">
        <v>157.227</v>
      </c>
      <c r="F393" s="4" t="n">
        <v>10</v>
      </c>
      <c r="G393" t="inlineStr">
        <is>
          <t>Ontario Tennis Association</t>
        </is>
      </c>
      <c r="H393" t="inlineStr">
        <is>
          <t>Burlington Tennis Club</t>
        </is>
      </c>
      <c r="I393" t="inlineStr">
        <is>
          <t>unavailable</t>
        </is>
      </c>
      <c r="J393" s="4" t="n">
        <v>40</v>
      </c>
      <c r="K393" t="inlineStr">
        <is>
          <t>18 / 22</t>
        </is>
      </c>
      <c r="L393" t="inlineStr">
        <is>
          <t>12 / 11</t>
        </is>
      </c>
      <c r="M393" s="5" t="n">
        <v>0.45</v>
      </c>
      <c r="N393" s="5" t="n">
        <v>0.52</v>
      </c>
    </row>
    <row r="394">
      <c r="A394" t="n">
        <v>393</v>
      </c>
      <c r="B394" t="n">
        <v>2017</v>
      </c>
      <c r="C394" t="inlineStr">
        <is>
          <t>Yuetwing, Doris Li</t>
        </is>
      </c>
      <c r="D394">
        <f>HYPERLINK("https://ota.tournamentsoftware.com/player-profile/C901A65F-E3DE-47DE-A4BC-21149FEBA20C", "Link")</f>
        <v/>
      </c>
      <c r="E394" s="3" t="n">
        <v>157.026</v>
      </c>
      <c r="F394" s="4" t="n">
        <v>5</v>
      </c>
      <c r="G394" t="inlineStr">
        <is>
          <t>Ontario Tennis Association</t>
        </is>
      </c>
      <c r="H394" t="inlineStr">
        <is>
          <t>No Club</t>
        </is>
      </c>
      <c r="I394" t="n">
        <v>32.7</v>
      </c>
      <c r="J394" s="4" t="n">
        <v>16</v>
      </c>
      <c r="K394" t="inlineStr">
        <is>
          <t>14 / 2</t>
        </is>
      </c>
      <c r="L394" t="inlineStr">
        <is>
          <t>10 / 2</t>
        </is>
      </c>
      <c r="M394" s="5" t="n">
        <v>0.88</v>
      </c>
      <c r="N394" s="5" t="n">
        <v>0.83</v>
      </c>
    </row>
    <row r="395">
      <c r="A395" t="n">
        <v>394</v>
      </c>
      <c r="B395" t="n">
        <v>2015</v>
      </c>
      <c r="C395" t="inlineStr">
        <is>
          <t>Theia Zhang</t>
        </is>
      </c>
      <c r="D395">
        <f>HYPERLINK("https://ota.tournamentsoftware.com/player-profile/8628DB3F-1A24-45E1-A1F1-727AFFD593DD", "Link")</f>
        <v/>
      </c>
      <c r="E395" s="3" t="n">
        <v>154.594</v>
      </c>
      <c r="F395" s="4" t="n">
        <v>10</v>
      </c>
      <c r="G395" t="inlineStr">
        <is>
          <t>Ontario Tennis Association</t>
        </is>
      </c>
      <c r="H395" t="inlineStr">
        <is>
          <t>Premier Racquet Clubs – Mississauga</t>
        </is>
      </c>
      <c r="I395" t="n">
        <v>34</v>
      </c>
      <c r="J395" s="4" t="n">
        <v>106</v>
      </c>
      <c r="K395" t="inlineStr">
        <is>
          <t>52 / 54</t>
        </is>
      </c>
      <c r="L395" t="inlineStr">
        <is>
          <t>5 / 6</t>
        </is>
      </c>
      <c r="M395" s="5" t="n">
        <v>0.49</v>
      </c>
      <c r="N395" s="5" t="n">
        <v>0.45</v>
      </c>
    </row>
    <row r="396">
      <c r="A396" t="n">
        <v>395</v>
      </c>
      <c r="B396" t="n">
        <v>2012</v>
      </c>
      <c r="C396" t="inlineStr">
        <is>
          <t>Chloe Park</t>
        </is>
      </c>
      <c r="D396">
        <f>HYPERLINK("https://ota.tournamentsoftware.com/player-profile/FD8FB9A4-F5D9-4A90-AA66-D8E6FC3D3BC5", "Link")</f>
        <v/>
      </c>
      <c r="E396" s="3" t="n">
        <v>154.282</v>
      </c>
      <c r="F396" s="4" t="n">
        <v>5</v>
      </c>
      <c r="G396" t="inlineStr">
        <is>
          <t>Tennis Prince Edward Island</t>
        </is>
      </c>
      <c r="H396" t="inlineStr">
        <is>
          <t>No Club</t>
        </is>
      </c>
      <c r="I396" t="n">
        <v>34.8</v>
      </c>
      <c r="J396" s="4" t="n">
        <v>57</v>
      </c>
      <c r="K396" t="inlineStr">
        <is>
          <t>13 / 44</t>
        </is>
      </c>
      <c r="L396" t="inlineStr">
        <is>
          <t>8 / 13</t>
        </is>
      </c>
      <c r="M396" s="5" t="n">
        <v>0.23</v>
      </c>
      <c r="N396" s="5" t="n">
        <v>0.38</v>
      </c>
    </row>
    <row r="397">
      <c r="A397" t="n">
        <v>396</v>
      </c>
      <c r="B397" t="n">
        <v>2013</v>
      </c>
      <c r="C397" t="inlineStr">
        <is>
          <t>Gabrielle Pompa</t>
        </is>
      </c>
      <c r="D397">
        <f>HYPERLINK("https://ota.tournamentsoftware.com/player-profile/668A29C0-962F-4DAD-B317-933787C09DCF", "Link")</f>
        <v/>
      </c>
      <c r="E397" s="3" t="n">
        <v>153.753</v>
      </c>
      <c r="F397" s="4" t="n">
        <v>7</v>
      </c>
      <c r="G397" t="inlineStr">
        <is>
          <t>Tennis Alberta</t>
        </is>
      </c>
      <c r="H397" t="inlineStr">
        <is>
          <t>Osten &amp; Victor Alberta Tennis Centre</t>
        </is>
      </c>
      <c r="I397" t="n">
        <v>28.8</v>
      </c>
      <c r="J397" s="4" t="n">
        <v>164</v>
      </c>
      <c r="K397" t="inlineStr">
        <is>
          <t>112 / 52</t>
        </is>
      </c>
      <c r="L397" t="inlineStr">
        <is>
          <t>7 / 5</t>
        </is>
      </c>
      <c r="M397" s="5" t="n">
        <v>0.68</v>
      </c>
      <c r="N397" s="5" t="n">
        <v>0.58</v>
      </c>
    </row>
    <row r="398">
      <c r="A398" t="n">
        <v>397</v>
      </c>
      <c r="B398" t="n">
        <v>2014</v>
      </c>
      <c r="C398" t="inlineStr">
        <is>
          <t>Olivia Lee</t>
        </is>
      </c>
      <c r="D398">
        <f>HYPERLINK("https://ota.tournamentsoftware.com/player-profile/DEF89846-A0EF-4373-B8DC-8305F756E612", "Link")</f>
        <v/>
      </c>
      <c r="E398" s="3" t="n">
        <v>153.166</v>
      </c>
      <c r="F398" s="4" t="n">
        <v>24</v>
      </c>
      <c r="G398" t="inlineStr">
        <is>
          <t>Tennis Québec</t>
        </is>
      </c>
      <c r="H398" t="inlineStr">
        <is>
          <t>SANI Sport</t>
        </is>
      </c>
      <c r="I398" t="n">
        <v>35.1</v>
      </c>
      <c r="J398" s="4" t="n">
        <v>119</v>
      </c>
      <c r="K398" t="inlineStr">
        <is>
          <t>45 / 74</t>
        </is>
      </c>
      <c r="L398" t="inlineStr">
        <is>
          <t>15 / 25</t>
        </is>
      </c>
      <c r="M398" s="5" t="n">
        <v>0.38</v>
      </c>
      <c r="N398" s="5" t="n">
        <v>0.38</v>
      </c>
    </row>
    <row r="399">
      <c r="A399" t="n">
        <v>398</v>
      </c>
      <c r="B399" t="n">
        <v>2014</v>
      </c>
      <c r="C399" t="inlineStr">
        <is>
          <t>Rain Yu Chan</t>
        </is>
      </c>
      <c r="D399">
        <f>HYPERLINK("https://ota.tournamentsoftware.com/player-profile/BF26AD2D-BAAC-4E82-A862-14039C1584F2", "Link")</f>
        <v/>
      </c>
      <c r="E399" s="3" t="n">
        <v>152.222</v>
      </c>
      <c r="F399" s="4" t="n">
        <v>33</v>
      </c>
      <c r="G399" t="inlineStr">
        <is>
          <t>British Columbia</t>
        </is>
      </c>
      <c r="H399" t="inlineStr">
        <is>
          <t>Burnaby Tennis Club</t>
        </is>
      </c>
      <c r="I399" t="inlineStr">
        <is>
          <t>unavailable</t>
        </is>
      </c>
      <c r="J399" s="4" t="n">
        <v>211</v>
      </c>
      <c r="K399" t="inlineStr">
        <is>
          <t>101 / 110</t>
        </is>
      </c>
      <c r="L399" t="inlineStr">
        <is>
          <t>35 / 33</t>
        </is>
      </c>
      <c r="M399" s="5" t="n">
        <v>0.48</v>
      </c>
      <c r="N399" s="5" t="n">
        <v>0.51</v>
      </c>
    </row>
    <row r="400">
      <c r="A400" t="n">
        <v>399</v>
      </c>
      <c r="B400" t="n">
        <v>2014</v>
      </c>
      <c r="C400" t="inlineStr">
        <is>
          <t>Andrea Robles Sgambatti</t>
        </is>
      </c>
      <c r="D400">
        <f>HYPERLINK("https://ota.tournamentsoftware.com/player-profile/842B5763-8026-4DFF-BD28-4FA110C3A345", "Link")</f>
        <v/>
      </c>
      <c r="E400" s="3" t="n">
        <v>152.162</v>
      </c>
      <c r="F400" s="4" t="n">
        <v>14</v>
      </c>
      <c r="G400" t="inlineStr">
        <is>
          <t>Tennis Alberta</t>
        </is>
      </c>
      <c r="H400" t="inlineStr">
        <is>
          <t>Osten &amp; Victor Alberta Tennis Centre</t>
        </is>
      </c>
      <c r="I400" t="n">
        <v>34.2</v>
      </c>
      <c r="J400" s="4" t="n">
        <v>150</v>
      </c>
      <c r="K400" t="inlineStr">
        <is>
          <t>62 / 88</t>
        </is>
      </c>
      <c r="L400" t="inlineStr">
        <is>
          <t>13 / 20</t>
        </is>
      </c>
      <c r="M400" s="5" t="n">
        <v>0.41</v>
      </c>
      <c r="N400" s="5" t="n">
        <v>0.39</v>
      </c>
    </row>
    <row r="401">
      <c r="A401" t="n">
        <v>400</v>
      </c>
      <c r="B401" t="n">
        <v>2013</v>
      </c>
      <c r="C401" t="inlineStr">
        <is>
          <t>Alyxandra Grace Bellot Wildeman</t>
        </is>
      </c>
      <c r="D401">
        <f>HYPERLINK("https://ota.tournamentsoftware.com/player-profile/E2171261-67FD-4CFA-B4F2-64D9B979CCE5", "Link")</f>
        <v/>
      </c>
      <c r="E401" s="3" t="n">
        <v>151.193</v>
      </c>
      <c r="F401" s="4" t="n">
        <v>12</v>
      </c>
      <c r="G401" t="inlineStr">
        <is>
          <t>British Columbia</t>
        </is>
      </c>
      <c r="H401" t="inlineStr">
        <is>
          <t>Vanguard Tennis Academy</t>
        </is>
      </c>
      <c r="I401" t="n">
        <v>32.9</v>
      </c>
      <c r="J401" s="4" t="n">
        <v>131</v>
      </c>
      <c r="K401" t="inlineStr">
        <is>
          <t>59 / 72</t>
        </is>
      </c>
      <c r="L401" t="inlineStr">
        <is>
          <t>15 / 14</t>
        </is>
      </c>
      <c r="M401" s="5" t="n">
        <v>0.45</v>
      </c>
      <c r="N401" s="5" t="n">
        <v>0.52</v>
      </c>
    </row>
    <row r="402">
      <c r="A402" t="n">
        <v>401</v>
      </c>
      <c r="B402" t="n">
        <v>2013</v>
      </c>
      <c r="C402" t="inlineStr">
        <is>
          <t>Jaheema Jajah Joseph</t>
        </is>
      </c>
      <c r="D402">
        <f>HYPERLINK("https://ota.tournamentsoftware.com/player-profile/2C08ABD4-0853-4E02-96D6-4CBDA8251E2A", "Link")</f>
        <v/>
      </c>
      <c r="E402" s="3" t="n">
        <v>150.699</v>
      </c>
      <c r="F402" s="4" t="n">
        <v>14</v>
      </c>
      <c r="G402" t="inlineStr">
        <is>
          <t>Tennis Québec</t>
        </is>
      </c>
      <c r="H402" t="inlineStr">
        <is>
          <t>Tennis Montréal</t>
        </is>
      </c>
      <c r="I402" t="n">
        <v>36.8</v>
      </c>
      <c r="J402" s="4" t="n">
        <v>94</v>
      </c>
      <c r="K402" t="inlineStr">
        <is>
          <t>38 / 56</t>
        </is>
      </c>
      <c r="L402" t="inlineStr">
        <is>
          <t>6 / 16</t>
        </is>
      </c>
      <c r="M402" s="5" t="n">
        <v>0.4</v>
      </c>
      <c r="N402" s="5" t="n">
        <v>0.27</v>
      </c>
    </row>
    <row r="403">
      <c r="A403" t="n">
        <v>402</v>
      </c>
      <c r="B403" t="n">
        <v>2013</v>
      </c>
      <c r="C403" t="inlineStr">
        <is>
          <t>Aarushi Pal</t>
        </is>
      </c>
      <c r="D403">
        <f>HYPERLINK("https://ota.tournamentsoftware.com/player-profile/F5E1E459-0A97-4C1F-8F37-D8CEF64DA1FA", "Link")</f>
        <v/>
      </c>
      <c r="E403" s="3" t="n">
        <v>149.571</v>
      </c>
      <c r="F403" s="4" t="n">
        <v>13</v>
      </c>
      <c r="G403" t="inlineStr">
        <is>
          <t>Tennis Alberta</t>
        </is>
      </c>
      <c r="H403" t="inlineStr">
        <is>
          <t>Osten &amp; Victor Alberta Tennis Centre</t>
        </is>
      </c>
      <c r="I403" t="n">
        <v>32.6</v>
      </c>
      <c r="J403" s="4" t="n">
        <v>168</v>
      </c>
      <c r="K403" t="inlineStr">
        <is>
          <t>83 / 85</t>
        </is>
      </c>
      <c r="L403" t="inlineStr">
        <is>
          <t>7 / 13</t>
        </is>
      </c>
      <c r="M403" s="5" t="n">
        <v>0.49</v>
      </c>
      <c r="N403" s="5" t="n">
        <v>0.35</v>
      </c>
    </row>
    <row r="404">
      <c r="A404" t="n">
        <v>403</v>
      </c>
      <c r="B404" t="n">
        <v>2017</v>
      </c>
      <c r="C404" t="inlineStr">
        <is>
          <t>Amelia Alhakim</t>
        </is>
      </c>
      <c r="D404">
        <f>HYPERLINK("https://ota.tournamentsoftware.com/player-profile/0B954ECB-D503-4C36-BD94-6D389AF0D202", "Link")</f>
        <v/>
      </c>
      <c r="E404" s="3" t="n">
        <v>149</v>
      </c>
      <c r="F404" s="4" t="n">
        <v>15</v>
      </c>
      <c r="G404" t="inlineStr">
        <is>
          <t>Ontario Tennis Association</t>
        </is>
      </c>
      <c r="H404" t="inlineStr">
        <is>
          <t>Zekelman Tennis Centre</t>
        </is>
      </c>
      <c r="I404" t="n">
        <v>32</v>
      </c>
      <c r="J404" s="4" t="n">
        <v>45</v>
      </c>
      <c r="K404" t="inlineStr">
        <is>
          <t>27 / 18</t>
        </is>
      </c>
      <c r="L404" t="inlineStr">
        <is>
          <t>23 / 13</t>
        </is>
      </c>
      <c r="M404" s="5" t="n">
        <v>0.6</v>
      </c>
      <c r="N404" s="5" t="n">
        <v>0.64</v>
      </c>
    </row>
    <row r="405">
      <c r="A405" t="n">
        <v>404</v>
      </c>
      <c r="B405" t="n">
        <v>2015</v>
      </c>
      <c r="C405" t="inlineStr">
        <is>
          <t>Emma Lucenti</t>
        </is>
      </c>
      <c r="D405">
        <f>HYPERLINK("https://ota.tournamentsoftware.com/player-profile/F174A813-5F1A-4B24-BDFF-B6E6160FE2EB", "Link")</f>
        <v/>
      </c>
      <c r="E405" s="3" t="n">
        <v>148.828</v>
      </c>
      <c r="F405" s="4" t="n">
        <v>14</v>
      </c>
      <c r="G405" t="inlineStr">
        <is>
          <t>Ontario Tennis Association</t>
        </is>
      </c>
      <c r="H405" t="inlineStr">
        <is>
          <t>SmartVMC Racquetsports by ACE</t>
        </is>
      </c>
      <c r="I405" t="n">
        <v>35.9</v>
      </c>
      <c r="J405" s="4" t="n">
        <v>89</v>
      </c>
      <c r="K405" t="inlineStr">
        <is>
          <t>31 / 58</t>
        </is>
      </c>
      <c r="L405" t="inlineStr">
        <is>
          <t>10 / 16</t>
        </is>
      </c>
      <c r="M405" s="5" t="n">
        <v>0.35</v>
      </c>
      <c r="N405" s="5" t="n">
        <v>0.38</v>
      </c>
    </row>
    <row r="406">
      <c r="A406" t="n">
        <v>405</v>
      </c>
      <c r="B406" t="n">
        <v>2016</v>
      </c>
      <c r="C406" t="inlineStr">
        <is>
          <t>Eva Yanakieva</t>
        </is>
      </c>
      <c r="D406">
        <f>HYPERLINK("https://ota.tournamentsoftware.com/player-profile/7FBBEC05-D20C-448B-93F1-1F8C6BA80758", "Link")</f>
        <v/>
      </c>
      <c r="E406" s="3" t="n">
        <v>148.333</v>
      </c>
      <c r="F406" s="4" t="n">
        <v>22</v>
      </c>
      <c r="G406" t="inlineStr">
        <is>
          <t>Tennis Québec</t>
        </is>
      </c>
      <c r="H406" t="inlineStr">
        <is>
          <t>Tennis Montréal Excellence</t>
        </is>
      </c>
      <c r="I406" t="n">
        <v>34.7</v>
      </c>
      <c r="J406" s="4" t="n">
        <v>181</v>
      </c>
      <c r="K406" t="inlineStr">
        <is>
          <t>87 / 94</t>
        </is>
      </c>
      <c r="L406" t="inlineStr">
        <is>
          <t>26 / 26</t>
        </is>
      </c>
      <c r="M406" s="5" t="n">
        <v>0.48</v>
      </c>
      <c r="N406" s="5" t="n">
        <v>0.5</v>
      </c>
    </row>
    <row r="407">
      <c r="A407" t="n">
        <v>406</v>
      </c>
      <c r="B407" t="n">
        <v>2015</v>
      </c>
      <c r="C407" t="inlineStr">
        <is>
          <t>Stefaniia Grimailo</t>
        </is>
      </c>
      <c r="D407">
        <f>HYPERLINK("https://ota.tournamentsoftware.com/player-profile/63AAF188-F773-4BFA-B6C2-97B1DFB9AF3A", "Link")</f>
        <v/>
      </c>
      <c r="E407" s="3" t="n">
        <v>147.389</v>
      </c>
      <c r="F407" s="4" t="n">
        <v>8</v>
      </c>
      <c r="G407" t="inlineStr">
        <is>
          <t>Tennis Manitoba</t>
        </is>
      </c>
      <c r="H407" t="inlineStr">
        <is>
          <t>Winnipeg Winter Club</t>
        </is>
      </c>
      <c r="I407" t="n">
        <v>38.6</v>
      </c>
      <c r="J407" s="4" t="n">
        <v>64</v>
      </c>
      <c r="K407" t="inlineStr">
        <is>
          <t>9 / 55</t>
        </is>
      </c>
      <c r="L407" t="inlineStr">
        <is>
          <t>2 / 25</t>
        </is>
      </c>
      <c r="M407" s="5" t="n">
        <v>0.14</v>
      </c>
      <c r="N407" s="5" t="n">
        <v>0.07000000000000001</v>
      </c>
    </row>
    <row r="408">
      <c r="A408" t="n">
        <v>407</v>
      </c>
      <c r="B408" t="n">
        <v>2015</v>
      </c>
      <c r="C408" t="inlineStr">
        <is>
          <t>Elaina York</t>
        </is>
      </c>
      <c r="D408">
        <f>HYPERLINK("https://ota.tournamentsoftware.com/player-profile/7D4D2F10-C754-4560-B490-903FD1C70ADE", "Link")</f>
        <v/>
      </c>
      <c r="E408" s="3" t="n">
        <v>145.952</v>
      </c>
      <c r="F408" s="4" t="n">
        <v>14</v>
      </c>
      <c r="G408" t="inlineStr">
        <is>
          <t>Tennis Alberta</t>
        </is>
      </c>
      <c r="H408" t="inlineStr">
        <is>
          <t>Aforza</t>
        </is>
      </c>
      <c r="I408" t="n">
        <v>34.9</v>
      </c>
      <c r="J408" s="4" t="n">
        <v>149</v>
      </c>
      <c r="K408" t="inlineStr">
        <is>
          <t>61 / 88</t>
        </is>
      </c>
      <c r="L408" t="inlineStr">
        <is>
          <t>15 / 23</t>
        </is>
      </c>
      <c r="M408" s="5" t="n">
        <v>0.41</v>
      </c>
      <c r="N408" s="5" t="n">
        <v>0.39</v>
      </c>
    </row>
    <row r="409">
      <c r="A409" t="n">
        <v>408</v>
      </c>
      <c r="B409" t="n">
        <v>2014</v>
      </c>
      <c r="C409" t="inlineStr">
        <is>
          <t>Sofia Zhuchenko</t>
        </is>
      </c>
      <c r="D409">
        <f>HYPERLINK("https://ota.tournamentsoftware.com/player-profile/F633DD21-A0C3-4CAC-B560-7222D07936B7", "Link")</f>
        <v/>
      </c>
      <c r="E409" s="3" t="n">
        <v>145.261</v>
      </c>
      <c r="F409" s="4" t="n">
        <v>15</v>
      </c>
      <c r="G409" t="inlineStr">
        <is>
          <t>Tennis Alberta</t>
        </is>
      </c>
      <c r="H409" t="inlineStr">
        <is>
          <t>Osten &amp; Victor Alberta Tennis Centre</t>
        </is>
      </c>
      <c r="I409" t="n">
        <v>34</v>
      </c>
      <c r="J409" s="4" t="n">
        <v>116</v>
      </c>
      <c r="K409" t="inlineStr">
        <is>
          <t>44 / 72</t>
        </is>
      </c>
      <c r="L409" t="inlineStr">
        <is>
          <t>14 / 22</t>
        </is>
      </c>
      <c r="M409" s="5" t="n">
        <v>0.38</v>
      </c>
      <c r="N409" s="5" t="n">
        <v>0.39</v>
      </c>
    </row>
    <row r="410">
      <c r="A410" t="n">
        <v>409</v>
      </c>
      <c r="B410" t="n">
        <v>2014</v>
      </c>
      <c r="C410" t="inlineStr">
        <is>
          <t>Bella Beiqi Zhao</t>
        </is>
      </c>
      <c r="D410">
        <f>HYPERLINK("https://ota.tournamentsoftware.com/player-profile/440C1FD3-B189-4153-99D4-C9B6B43D7D03", "Link")</f>
        <v/>
      </c>
      <c r="E410" s="3" t="n">
        <v>144.935</v>
      </c>
      <c r="F410" s="4" t="n">
        <v>24</v>
      </c>
      <c r="G410" t="inlineStr">
        <is>
          <t>British Columbia</t>
        </is>
      </c>
      <c r="H410" t="inlineStr">
        <is>
          <t>No Club</t>
        </is>
      </c>
      <c r="I410" t="n">
        <v>31.2</v>
      </c>
      <c r="J410" s="4" t="n">
        <v>213</v>
      </c>
      <c r="K410" t="inlineStr">
        <is>
          <t>88 / 125</t>
        </is>
      </c>
      <c r="L410" t="inlineStr">
        <is>
          <t>26 / 25</t>
        </is>
      </c>
      <c r="M410" s="5" t="n">
        <v>0.41</v>
      </c>
      <c r="N410" s="5" t="n">
        <v>0.51</v>
      </c>
    </row>
    <row r="411">
      <c r="A411" t="n">
        <v>410</v>
      </c>
      <c r="B411" t="n">
        <v>2014</v>
      </c>
      <c r="C411" t="inlineStr">
        <is>
          <t>Kira Wong</t>
        </is>
      </c>
      <c r="D411">
        <f>HYPERLINK("https://ota.tournamentsoftware.com/player-profile/E305B648-4548-45A0-B043-623E1473C7E5", "Link")</f>
        <v/>
      </c>
      <c r="E411" s="3" t="n">
        <v>144.621</v>
      </c>
      <c r="F411" s="4" t="n">
        <v>23</v>
      </c>
      <c r="G411" t="inlineStr">
        <is>
          <t>Tennis Alberta</t>
        </is>
      </c>
      <c r="H411" t="inlineStr">
        <is>
          <t>Aforza</t>
        </is>
      </c>
      <c r="I411" t="n">
        <v>35.3</v>
      </c>
      <c r="J411" s="4" t="n">
        <v>133</v>
      </c>
      <c r="K411" t="inlineStr">
        <is>
          <t>49 / 84</t>
        </is>
      </c>
      <c r="L411" t="inlineStr">
        <is>
          <t>25 / 30</t>
        </is>
      </c>
      <c r="M411" s="5" t="n">
        <v>0.37</v>
      </c>
      <c r="N411" s="5" t="n">
        <v>0.45</v>
      </c>
    </row>
    <row r="412">
      <c r="A412" t="n">
        <v>411</v>
      </c>
      <c r="B412" t="n">
        <v>2012</v>
      </c>
      <c r="C412" t="inlineStr">
        <is>
          <t>Aila Olivia Brimacombe</t>
        </is>
      </c>
      <c r="D412">
        <f>HYPERLINK("https://ota.tournamentsoftware.com/player-profile/665F5A6C-3B65-4541-A5CF-6A84DC235104", "Link")</f>
        <v/>
      </c>
      <c r="E412" s="3" t="n">
        <v>144.088</v>
      </c>
      <c r="F412" s="4" t="n">
        <v>22</v>
      </c>
      <c r="G412" t="inlineStr">
        <is>
          <t>British Columbia</t>
        </is>
      </c>
      <c r="H412" t="inlineStr">
        <is>
          <t>West Vancouver Tennis Club</t>
        </is>
      </c>
      <c r="I412" t="n">
        <v>34.7</v>
      </c>
      <c r="J412" s="4" t="n">
        <v>118</v>
      </c>
      <c r="K412" t="inlineStr">
        <is>
          <t>21 / 97</t>
        </is>
      </c>
      <c r="L412" t="inlineStr">
        <is>
          <t>11 / 32</t>
        </is>
      </c>
      <c r="M412" s="5" t="n">
        <v>0.18</v>
      </c>
      <c r="N412" s="5" t="n">
        <v>0.26</v>
      </c>
    </row>
    <row r="413">
      <c r="A413" t="n">
        <v>412</v>
      </c>
      <c r="B413" t="n">
        <v>2016</v>
      </c>
      <c r="C413" t="inlineStr">
        <is>
          <t>Milana Piazza</t>
        </is>
      </c>
      <c r="D413">
        <f>HYPERLINK("https://ota.tournamentsoftware.com/player-profile/4CDBB0C3-0D8B-4D7B-873C-3CEC65600FA0", "Link")</f>
        <v/>
      </c>
      <c r="E413" s="3" t="n">
        <v>144.058</v>
      </c>
      <c r="F413" s="4" t="n">
        <v>11</v>
      </c>
      <c r="G413" t="inlineStr">
        <is>
          <t>Tennis Québec</t>
        </is>
      </c>
      <c r="H413" t="inlineStr">
        <is>
          <t>Tennis 13</t>
        </is>
      </c>
      <c r="I413" t="n">
        <v>32.8</v>
      </c>
      <c r="J413" s="4" t="n">
        <v>93</v>
      </c>
      <c r="K413" t="inlineStr">
        <is>
          <t>56 / 37</t>
        </is>
      </c>
      <c r="L413" t="inlineStr">
        <is>
          <t>23 / 9</t>
        </is>
      </c>
      <c r="M413" s="5" t="n">
        <v>0.6</v>
      </c>
      <c r="N413" s="5" t="n">
        <v>0.72</v>
      </c>
    </row>
    <row r="414">
      <c r="A414" t="n">
        <v>413</v>
      </c>
      <c r="B414" t="n">
        <v>2015</v>
      </c>
      <c r="C414" t="inlineStr">
        <is>
          <t>Vera Toptounov</t>
        </is>
      </c>
      <c r="D414">
        <f>HYPERLINK("https://ota.tournamentsoftware.com/player-profile/6AC05446-ED22-406D-9460-F30F3FC8B16B", "Link")</f>
        <v/>
      </c>
      <c r="E414" s="3" t="n">
        <v>144.013</v>
      </c>
      <c r="F414" s="4" t="n">
        <v>18</v>
      </c>
      <c r="G414" t="inlineStr">
        <is>
          <t>Ontario Tennis Association</t>
        </is>
      </c>
      <c r="H414" t="inlineStr">
        <is>
          <t>SmartVMC Racquetsports by ACE</t>
        </is>
      </c>
      <c r="I414" t="n">
        <v>35.5</v>
      </c>
      <c r="J414" s="4" t="n">
        <v>106</v>
      </c>
      <c r="K414" t="inlineStr">
        <is>
          <t>46 / 60</t>
        </is>
      </c>
      <c r="L414" t="inlineStr">
        <is>
          <t>12 / 16</t>
        </is>
      </c>
      <c r="M414" s="5" t="n">
        <v>0.43</v>
      </c>
      <c r="N414" s="5" t="n">
        <v>0.43</v>
      </c>
    </row>
    <row r="415">
      <c r="A415" t="n">
        <v>414</v>
      </c>
      <c r="B415" t="n">
        <v>2015</v>
      </c>
      <c r="C415" t="inlineStr">
        <is>
          <t>Maranata Okubazgi</t>
        </is>
      </c>
      <c r="D415">
        <f>HYPERLINK("https://ota.tournamentsoftware.com/player-profile/D41680BB-0D07-401E-A1E3-7ECB40E4830A", "Link")</f>
        <v/>
      </c>
      <c r="E415" s="3" t="n">
        <v>142.238</v>
      </c>
      <c r="F415" s="4" t="n">
        <v>18</v>
      </c>
      <c r="G415" t="inlineStr">
        <is>
          <t>Ontario Tennis Association</t>
        </is>
      </c>
      <c r="H415" t="inlineStr">
        <is>
          <t>Premier Racquet Clubs – Mississauga</t>
        </is>
      </c>
      <c r="I415" t="n">
        <v>34.5</v>
      </c>
      <c r="J415" s="4" t="n">
        <v>103</v>
      </c>
      <c r="K415" t="inlineStr">
        <is>
          <t>59 / 44</t>
        </is>
      </c>
      <c r="L415" t="inlineStr">
        <is>
          <t>20 / 16</t>
        </is>
      </c>
      <c r="M415" s="5" t="n">
        <v>0.57</v>
      </c>
      <c r="N415" s="5" t="n">
        <v>0.5600000000000001</v>
      </c>
    </row>
    <row r="416">
      <c r="A416" t="n">
        <v>415</v>
      </c>
      <c r="B416" t="n">
        <v>2014</v>
      </c>
      <c r="C416" t="inlineStr">
        <is>
          <t>myra Malik</t>
        </is>
      </c>
      <c r="D416">
        <f>HYPERLINK("https://ota.tournamentsoftware.com/player-profile/B5B677E5-44EA-48DD-95B7-05BF38E3758B", "Link")</f>
        <v/>
      </c>
      <c r="E416" s="3" t="n">
        <v>140.56</v>
      </c>
      <c r="F416" s="4" t="n">
        <v>27</v>
      </c>
      <c r="G416" t="inlineStr">
        <is>
          <t>British Columbia</t>
        </is>
      </c>
      <c r="H416" t="inlineStr">
        <is>
          <t>The Tennis Centre</t>
        </is>
      </c>
      <c r="I416" t="n">
        <v>32.2</v>
      </c>
      <c r="J416" s="4" t="n">
        <v>76</v>
      </c>
      <c r="K416" t="inlineStr">
        <is>
          <t>38 / 38</t>
        </is>
      </c>
      <c r="L416" t="inlineStr">
        <is>
          <t>31 / 24</t>
        </is>
      </c>
      <c r="M416" s="5" t="n">
        <v>0.5</v>
      </c>
      <c r="N416" s="5" t="n">
        <v>0.5600000000000001</v>
      </c>
    </row>
    <row r="417">
      <c r="A417" t="n">
        <v>416</v>
      </c>
      <c r="B417" t="n">
        <v>2015</v>
      </c>
      <c r="C417" t="inlineStr">
        <is>
          <t>Athisayah Viji</t>
        </is>
      </c>
      <c r="D417">
        <f>HYPERLINK("https://ota.tournamentsoftware.com/player-profile/C8684F68-4EF9-414D-BDA9-FC73111C2DB8", "Link")</f>
        <v/>
      </c>
      <c r="E417" s="3" t="n">
        <v>139.162</v>
      </c>
      <c r="F417" s="4" t="n">
        <v>21</v>
      </c>
      <c r="G417" t="inlineStr">
        <is>
          <t>British Columbia</t>
        </is>
      </c>
      <c r="H417" t="inlineStr">
        <is>
          <t>The Tennis Centre</t>
        </is>
      </c>
      <c r="I417" t="n">
        <v>31.8</v>
      </c>
      <c r="J417" s="4" t="n">
        <v>133</v>
      </c>
      <c r="K417" t="inlineStr">
        <is>
          <t>79 / 54</t>
        </is>
      </c>
      <c r="L417" t="inlineStr">
        <is>
          <t>39 / 19</t>
        </is>
      </c>
      <c r="M417" s="5" t="n">
        <v>0.59</v>
      </c>
      <c r="N417" s="5" t="n">
        <v>0.67</v>
      </c>
    </row>
    <row r="418">
      <c r="A418" t="n">
        <v>417</v>
      </c>
      <c r="B418" t="n">
        <v>2013</v>
      </c>
      <c r="C418" t="inlineStr">
        <is>
          <t>Ellie Patricia Wilson</t>
        </is>
      </c>
      <c r="D418">
        <f>HYPERLINK("https://ota.tournamentsoftware.com/player-profile/CB4D2A63-DEA3-4EB8-9085-4317BC39804E", "Link")</f>
        <v/>
      </c>
      <c r="E418" s="3" t="n">
        <v>139.042</v>
      </c>
      <c r="F418" s="4" t="n">
        <v>7</v>
      </c>
      <c r="G418" t="inlineStr">
        <is>
          <t>Ontario Tennis Association</t>
        </is>
      </c>
      <c r="H418" t="inlineStr">
        <is>
          <t>Milton Tennis Club</t>
        </is>
      </c>
      <c r="I418" t="n">
        <v>34.6</v>
      </c>
      <c r="J418" s="4" t="n">
        <v>67</v>
      </c>
      <c r="K418" t="inlineStr">
        <is>
          <t>24 / 43</t>
        </is>
      </c>
      <c r="L418" t="inlineStr">
        <is>
          <t>3 / 6</t>
        </is>
      </c>
      <c r="M418" s="5" t="n">
        <v>0.36</v>
      </c>
      <c r="N418" s="5" t="n">
        <v>0.33</v>
      </c>
    </row>
    <row r="419">
      <c r="A419" t="n">
        <v>418</v>
      </c>
      <c r="B419" t="n">
        <v>2013</v>
      </c>
      <c r="C419" t="inlineStr">
        <is>
          <t>Kaylie Kam</t>
        </is>
      </c>
      <c r="D419">
        <f>HYPERLINK("https://ota.tournamentsoftware.com/player-profile/29B7928E-12B2-4691-8B4A-1DE557B4F068", "Link")</f>
        <v/>
      </c>
      <c r="E419" s="3" t="n">
        <v>138.888</v>
      </c>
      <c r="F419" s="4" t="n">
        <v>16</v>
      </c>
      <c r="G419" t="inlineStr">
        <is>
          <t>Ontario Tennis Association</t>
        </is>
      </c>
      <c r="H419" t="inlineStr">
        <is>
          <t>Blackmore Tennis Club</t>
        </is>
      </c>
      <c r="I419" t="n">
        <v>33.9</v>
      </c>
      <c r="J419" s="4" t="n">
        <v>63</v>
      </c>
      <c r="K419" t="inlineStr">
        <is>
          <t>40 / 23</t>
        </is>
      </c>
      <c r="L419" t="inlineStr">
        <is>
          <t>14 / 15</t>
        </is>
      </c>
      <c r="M419" s="5" t="n">
        <v>0.63</v>
      </c>
      <c r="N419" s="5" t="n">
        <v>0.48</v>
      </c>
    </row>
    <row r="420">
      <c r="A420" t="n">
        <v>419</v>
      </c>
      <c r="B420" t="n">
        <v>2013</v>
      </c>
      <c r="C420" t="inlineStr">
        <is>
          <t>Zoé Pilon</t>
        </is>
      </c>
      <c r="D420">
        <f>HYPERLINK("https://ota.tournamentsoftware.com/player-profile/5CF92DF6-CB3B-4E9E-9D03-B9CC6481DEBA", "Link")</f>
        <v/>
      </c>
      <c r="E420" s="3" t="n">
        <v>138.304</v>
      </c>
      <c r="F420" s="4" t="n">
        <v>13</v>
      </c>
      <c r="G420" t="inlineStr">
        <is>
          <t>Tennis Québec</t>
        </is>
      </c>
      <c r="H420" t="inlineStr">
        <is>
          <t>Tennis Interclub Piedmont</t>
        </is>
      </c>
      <c r="I420" t="n">
        <v>37.7</v>
      </c>
      <c r="J420" s="4" t="n">
        <v>23</v>
      </c>
      <c r="K420" t="inlineStr">
        <is>
          <t>7 / 16</t>
        </is>
      </c>
      <c r="L420" t="inlineStr">
        <is>
          <t>3 / 13</t>
        </is>
      </c>
      <c r="M420" s="5" t="n">
        <v>0.3</v>
      </c>
      <c r="N420" s="5" t="n">
        <v>0.19</v>
      </c>
    </row>
    <row r="421">
      <c r="A421" t="n">
        <v>420</v>
      </c>
      <c r="B421" t="n">
        <v>2012</v>
      </c>
      <c r="C421" t="inlineStr">
        <is>
          <t>Spencer Xie</t>
        </is>
      </c>
      <c r="D421">
        <f>HYPERLINK("https://ota.tournamentsoftware.com/player-profile/E8C882F3-740E-4E76-A249-7FC036AFD1F8", "Link")</f>
        <v/>
      </c>
      <c r="E421" s="3" t="n">
        <v>138.244</v>
      </c>
      <c r="F421" s="4" t="n">
        <v>12</v>
      </c>
      <c r="G421" t="inlineStr">
        <is>
          <t>Ontario Tennis Association</t>
        </is>
      </c>
      <c r="H421" t="inlineStr">
        <is>
          <t>Granite Club</t>
        </is>
      </c>
      <c r="I421" t="n">
        <v>35.1</v>
      </c>
      <c r="J421" s="4" t="n">
        <v>71</v>
      </c>
      <c r="K421" t="inlineStr">
        <is>
          <t>19 / 52</t>
        </is>
      </c>
      <c r="L421" t="inlineStr">
        <is>
          <t>6 / 13</t>
        </is>
      </c>
      <c r="M421" s="5" t="n">
        <v>0.27</v>
      </c>
      <c r="N421" s="5" t="n">
        <v>0.32</v>
      </c>
    </row>
    <row r="422">
      <c r="A422" t="n">
        <v>421</v>
      </c>
      <c r="B422" t="n">
        <v>2013</v>
      </c>
      <c r="C422" t="inlineStr">
        <is>
          <t>Audrey Ziqi Liu</t>
        </is>
      </c>
      <c r="D422">
        <f>HYPERLINK("https://ota.tournamentsoftware.com/player-profile/C2E6156A-D7ED-45A1-B728-0FA7A8D2D6A1", "Link")</f>
        <v/>
      </c>
      <c r="E422" s="3" t="n">
        <v>138.106</v>
      </c>
      <c r="F422" s="4" t="n">
        <v>11</v>
      </c>
      <c r="G422" t="inlineStr">
        <is>
          <t>British Columbia</t>
        </is>
      </c>
      <c r="H422" t="inlineStr">
        <is>
          <t>UBC Tennis Centre</t>
        </is>
      </c>
      <c r="I422" t="n">
        <v>34.7</v>
      </c>
      <c r="J422" s="4" t="n">
        <v>28</v>
      </c>
      <c r="K422" t="inlineStr">
        <is>
          <t>9 / 19</t>
        </is>
      </c>
      <c r="L422" t="inlineStr">
        <is>
          <t>8 / 17</t>
        </is>
      </c>
      <c r="M422" s="5" t="n">
        <v>0.32</v>
      </c>
      <c r="N422" s="5" t="n">
        <v>0.32</v>
      </c>
    </row>
    <row r="423">
      <c r="A423" t="n">
        <v>422</v>
      </c>
      <c r="B423" t="n">
        <v>2014</v>
      </c>
      <c r="C423" t="inlineStr">
        <is>
          <t>Audrey JIA</t>
        </is>
      </c>
      <c r="D423">
        <f>HYPERLINK("https://ota.tournamentsoftware.com/player-profile/3F7A519A-489C-490B-9AA2-F4FCBBCA474F", "Link")</f>
        <v/>
      </c>
      <c r="E423" s="3" t="n">
        <v>137.049</v>
      </c>
      <c r="F423" s="4" t="n">
        <v>24</v>
      </c>
      <c r="G423" t="inlineStr">
        <is>
          <t>Ontario Tennis Association</t>
        </is>
      </c>
      <c r="H423" t="inlineStr">
        <is>
          <t>Newmarket Community Tennis Club</t>
        </is>
      </c>
      <c r="I423" t="inlineStr">
        <is>
          <t>unavailable</t>
        </is>
      </c>
      <c r="J423" s="4" t="n">
        <v>102</v>
      </c>
      <c r="K423" t="inlineStr">
        <is>
          <t>56 / 46</t>
        </is>
      </c>
      <c r="L423" t="inlineStr">
        <is>
          <t>39 / 19</t>
        </is>
      </c>
      <c r="M423" s="5" t="n">
        <v>0.55</v>
      </c>
      <c r="N423" s="5" t="n">
        <v>0.67</v>
      </c>
    </row>
    <row r="424">
      <c r="A424" t="n">
        <v>423</v>
      </c>
      <c r="B424" t="n">
        <v>2015</v>
      </c>
      <c r="C424" t="inlineStr">
        <is>
          <t>Anya De Lain</t>
        </is>
      </c>
      <c r="D424">
        <f>HYPERLINK("https://ota.tournamentsoftware.com/player-profile/563B79E2-A8FE-4D68-B224-8FB6861F2D7F", "Link")</f>
        <v/>
      </c>
      <c r="E424" s="3" t="n">
        <v>134.241</v>
      </c>
      <c r="F424" s="4" t="n">
        <v>16</v>
      </c>
      <c r="G424" t="inlineStr">
        <is>
          <t>Tennis Québec</t>
        </is>
      </c>
      <c r="H424" t="inlineStr">
        <is>
          <t>EB Tennis inc.</t>
        </is>
      </c>
      <c r="I424" t="n">
        <v>39.7</v>
      </c>
      <c r="J424" s="4" t="n">
        <v>93</v>
      </c>
      <c r="K424" t="inlineStr">
        <is>
          <t>17 / 76</t>
        </is>
      </c>
      <c r="L424" t="inlineStr">
        <is>
          <t>3 / 20</t>
        </is>
      </c>
      <c r="M424" s="5" t="n">
        <v>0.18</v>
      </c>
      <c r="N424" s="5" t="n">
        <v>0.13</v>
      </c>
    </row>
    <row r="425">
      <c r="A425" t="n">
        <v>424</v>
      </c>
      <c r="B425" t="n">
        <v>2014</v>
      </c>
      <c r="C425" t="inlineStr">
        <is>
          <t>Jaynaëlle Isaac</t>
        </is>
      </c>
      <c r="D425">
        <f>HYPERLINK("https://ota.tournamentsoftware.com/player-profile/6748F07C-41D2-4D26-87D9-8636B60DC389", "Link")</f>
        <v/>
      </c>
      <c r="E425" s="3" t="n">
        <v>132.874</v>
      </c>
      <c r="F425" s="4" t="n">
        <v>11</v>
      </c>
      <c r="G425" t="inlineStr">
        <is>
          <t>Tennis Québec</t>
        </is>
      </c>
      <c r="H425" t="inlineStr">
        <is>
          <t>No Club</t>
        </is>
      </c>
      <c r="I425" t="n">
        <v>32.4</v>
      </c>
      <c r="J425" s="4" t="n">
        <v>124</v>
      </c>
      <c r="K425" t="inlineStr">
        <is>
          <t>49 / 75</t>
        </is>
      </c>
      <c r="L425" t="inlineStr">
        <is>
          <t>9 / 11</t>
        </is>
      </c>
      <c r="M425" s="5" t="n">
        <v>0.4</v>
      </c>
      <c r="N425" s="5" t="n">
        <v>0.45</v>
      </c>
    </row>
    <row r="426">
      <c r="A426" t="n">
        <v>425</v>
      </c>
      <c r="B426" t="n">
        <v>2013</v>
      </c>
      <c r="C426" t="inlineStr">
        <is>
          <t>Olivia Xing</t>
        </is>
      </c>
      <c r="D426">
        <f>HYPERLINK("https://ota.tournamentsoftware.com/player-profile/03475BC0-CC60-490A-8E94-0D82D43C8EDC", "Link")</f>
        <v/>
      </c>
      <c r="E426" s="3" t="n">
        <v>132.497</v>
      </c>
      <c r="F426" s="4" t="n">
        <v>16</v>
      </c>
      <c r="G426" t="inlineStr">
        <is>
          <t>British Columbia</t>
        </is>
      </c>
      <c r="H426" t="inlineStr">
        <is>
          <t>Vancouver Lawn Tennis and Badminton Club</t>
        </is>
      </c>
      <c r="I426" t="inlineStr">
        <is>
          <t>unavailable</t>
        </is>
      </c>
      <c r="J426" s="4" t="n">
        <v>117</v>
      </c>
      <c r="K426" t="inlineStr">
        <is>
          <t>57 / 60</t>
        </is>
      </c>
      <c r="L426" t="inlineStr">
        <is>
          <t>10 / 13</t>
        </is>
      </c>
      <c r="M426" s="5" t="n">
        <v>0.49</v>
      </c>
      <c r="N426" s="5" t="n">
        <v>0.43</v>
      </c>
    </row>
    <row r="427">
      <c r="A427" t="n">
        <v>426</v>
      </c>
      <c r="B427" t="n">
        <v>2013</v>
      </c>
      <c r="C427" t="inlineStr">
        <is>
          <t>Lydia Squires-Sturge</t>
        </is>
      </c>
      <c r="D427">
        <f>HYPERLINK("https://ota.tournamentsoftware.com/player-profile/AD6D5BEF-6293-4DE8-BF13-52E1A33EF28B", "Link")</f>
        <v/>
      </c>
      <c r="E427" s="3" t="n">
        <v>130.615</v>
      </c>
      <c r="F427" s="4" t="n">
        <v>6</v>
      </c>
      <c r="G427" t="inlineStr">
        <is>
          <t>Tennis Newfoundland &amp; Labrador</t>
        </is>
      </c>
      <c r="H427" t="inlineStr">
        <is>
          <t>Mount Pearl Tennis Club</t>
        </is>
      </c>
      <c r="I427" t="inlineStr">
        <is>
          <t>unavailable</t>
        </is>
      </c>
      <c r="J427" s="4" t="n">
        <v>29</v>
      </c>
      <c r="K427" t="inlineStr">
        <is>
          <t>11 / 18</t>
        </is>
      </c>
      <c r="L427" t="inlineStr">
        <is>
          <t>4 / 6</t>
        </is>
      </c>
      <c r="M427" s="5" t="n">
        <v>0.38</v>
      </c>
      <c r="N427" s="5" t="n">
        <v>0.4</v>
      </c>
    </row>
    <row r="428">
      <c r="A428" t="n">
        <v>427</v>
      </c>
      <c r="B428" t="n">
        <v>2013</v>
      </c>
      <c r="C428" t="inlineStr">
        <is>
          <t>LEAH SHOJAIE</t>
        </is>
      </c>
      <c r="D428">
        <f>HYPERLINK("https://ota.tournamentsoftware.com/player-profile/A1DEEE7E-F9FE-4AA1-9DCF-5A3FDD2E189E", "Link")</f>
        <v/>
      </c>
      <c r="E428" s="3" t="n">
        <v>130.147</v>
      </c>
      <c r="F428" s="4" t="n">
        <v>14</v>
      </c>
      <c r="G428" t="inlineStr">
        <is>
          <t>Ontario Tennis Association</t>
        </is>
      </c>
      <c r="H428" t="inlineStr">
        <is>
          <t>Valan Tennis Academy</t>
        </is>
      </c>
      <c r="I428" t="n">
        <v>35.9</v>
      </c>
      <c r="J428" s="4" t="n">
        <v>21</v>
      </c>
      <c r="K428" t="inlineStr">
        <is>
          <t>6 / 15</t>
        </is>
      </c>
      <c r="L428" t="inlineStr">
        <is>
          <t>6 / 15</t>
        </is>
      </c>
      <c r="M428" s="5" t="n">
        <v>0.29</v>
      </c>
      <c r="N428" s="5" t="n">
        <v>0.29</v>
      </c>
    </row>
    <row r="429">
      <c r="A429" t="n">
        <v>428</v>
      </c>
      <c r="B429" t="n">
        <v>2012</v>
      </c>
      <c r="C429" t="inlineStr">
        <is>
          <t>Myra Chowdhary</t>
        </is>
      </c>
      <c r="D429">
        <f>HYPERLINK("https://ota.tournamentsoftware.com/player-profile/CE7139B1-580D-4EF4-A747-D0E1E897EAFB", "Link")</f>
        <v/>
      </c>
      <c r="E429" s="3" t="n">
        <v>130.123</v>
      </c>
      <c r="F429" s="4" t="n">
        <v>10</v>
      </c>
      <c r="G429" t="inlineStr">
        <is>
          <t>Ontario Tennis Association</t>
        </is>
      </c>
      <c r="H429" t="inlineStr">
        <is>
          <t>Youngs Sportsplex</t>
        </is>
      </c>
      <c r="I429" t="n">
        <v>38.4</v>
      </c>
      <c r="J429" s="4" t="n">
        <v>41</v>
      </c>
      <c r="K429" t="inlineStr">
        <is>
          <t>12 / 29</t>
        </is>
      </c>
      <c r="L429" t="inlineStr">
        <is>
          <t>4 / 13</t>
        </is>
      </c>
      <c r="M429" s="5" t="n">
        <v>0.29</v>
      </c>
      <c r="N429" s="5" t="n">
        <v>0.24</v>
      </c>
    </row>
    <row r="430">
      <c r="A430" t="n">
        <v>429</v>
      </c>
      <c r="B430" t="n">
        <v>2015</v>
      </c>
      <c r="C430" t="inlineStr">
        <is>
          <t>Blake Badger</t>
        </is>
      </c>
      <c r="D430">
        <f>HYPERLINK("https://ota.tournamentsoftware.com/player-profile/33B72483-1E5D-4043-8C06-81F76F0504E6", "Link")</f>
        <v/>
      </c>
      <c r="E430" s="3" t="n">
        <v>129.497</v>
      </c>
      <c r="F430" s="4" t="n">
        <v>3</v>
      </c>
      <c r="G430" t="inlineStr">
        <is>
          <t>Tennis Saskatchewan</t>
        </is>
      </c>
      <c r="H430" t="inlineStr">
        <is>
          <t>Lakeshore Tennis Club</t>
        </is>
      </c>
      <c r="I430" t="n">
        <v>38.3</v>
      </c>
      <c r="J430" s="4" t="n">
        <v>63</v>
      </c>
      <c r="K430" t="inlineStr">
        <is>
          <t>20 / 43</t>
        </is>
      </c>
      <c r="L430" t="inlineStr">
        <is>
          <t>2 / 7</t>
        </is>
      </c>
      <c r="M430" s="5" t="n">
        <v>0.32</v>
      </c>
      <c r="N430" s="5" t="n">
        <v>0.22</v>
      </c>
    </row>
    <row r="431">
      <c r="A431" t="n">
        <v>430</v>
      </c>
      <c r="B431" t="n">
        <v>2015</v>
      </c>
      <c r="C431" t="inlineStr">
        <is>
          <t>Grace Raymond</t>
        </is>
      </c>
      <c r="D431">
        <f>HYPERLINK("https://ota.tournamentsoftware.com/player-profile/879338D5-D59E-4EA6-A8E9-135220F52905", "Link")</f>
        <v/>
      </c>
      <c r="E431" s="3" t="n">
        <v>128.958</v>
      </c>
      <c r="F431" s="4" t="n">
        <v>14</v>
      </c>
      <c r="G431" t="inlineStr">
        <is>
          <t>Tennis Alberta</t>
        </is>
      </c>
      <c r="H431" t="inlineStr">
        <is>
          <t>Osten &amp; Victor Alberta Tennis Centre</t>
        </is>
      </c>
      <c r="I431" t="n">
        <v>34.6</v>
      </c>
      <c r="J431" s="4" t="n">
        <v>74</v>
      </c>
      <c r="K431" t="inlineStr">
        <is>
          <t>33 / 41</t>
        </is>
      </c>
      <c r="L431" t="inlineStr">
        <is>
          <t>8 / 12</t>
        </is>
      </c>
      <c r="M431" s="5" t="n">
        <v>0.45</v>
      </c>
      <c r="N431" s="5" t="n">
        <v>0.4</v>
      </c>
    </row>
    <row r="432">
      <c r="A432" t="n">
        <v>431</v>
      </c>
      <c r="B432" t="n">
        <v>2014</v>
      </c>
      <c r="C432" t="inlineStr">
        <is>
          <t>Olivia Weiwei Kong</t>
        </is>
      </c>
      <c r="D432">
        <f>HYPERLINK("https://ota.tournamentsoftware.com/player-profile/D959AEB1-2F72-4DC3-9FC0-C7595A80CDA0", "Link")</f>
        <v/>
      </c>
      <c r="E432" s="3" t="n">
        <v>128.295</v>
      </c>
      <c r="F432" s="4" t="n">
        <v>5</v>
      </c>
      <c r="G432" t="inlineStr">
        <is>
          <t>Tennis Saskatchewan</t>
        </is>
      </c>
      <c r="H432" t="inlineStr">
        <is>
          <t>Lakeshore Tennis Club</t>
        </is>
      </c>
      <c r="I432" t="n">
        <v>35.8</v>
      </c>
      <c r="J432" s="4" t="n">
        <v>91</v>
      </c>
      <c r="K432" t="inlineStr">
        <is>
          <t>23 / 68</t>
        </is>
      </c>
      <c r="L432" t="inlineStr">
        <is>
          <t>4 / 11</t>
        </is>
      </c>
      <c r="M432" s="5" t="n">
        <v>0.25</v>
      </c>
      <c r="N432" s="5" t="n">
        <v>0.27</v>
      </c>
    </row>
    <row r="433">
      <c r="A433" t="n">
        <v>432</v>
      </c>
      <c r="B433" t="n">
        <v>2014</v>
      </c>
      <c r="C433" t="inlineStr">
        <is>
          <t>Afsoune Wassel</t>
        </is>
      </c>
      <c r="D433">
        <f>HYPERLINK("https://ota.tournamentsoftware.com/player-profile/72D5D7A1-94DE-47DF-B01E-F83205C53092", "Link")</f>
        <v/>
      </c>
      <c r="E433" s="3" t="n">
        <v>128.099</v>
      </c>
      <c r="F433" s="4" t="n">
        <v>16</v>
      </c>
      <c r="G433" t="inlineStr">
        <is>
          <t>Tennis Québec</t>
        </is>
      </c>
      <c r="H433" t="inlineStr">
        <is>
          <t>SANI Sport</t>
        </is>
      </c>
      <c r="I433" t="n">
        <v>34.7</v>
      </c>
      <c r="J433" s="4" t="n">
        <v>118</v>
      </c>
      <c r="K433" t="inlineStr">
        <is>
          <t>59 / 59</t>
        </is>
      </c>
      <c r="L433" t="inlineStr">
        <is>
          <t>7 / 13</t>
        </is>
      </c>
      <c r="M433" s="5" t="n">
        <v>0.5</v>
      </c>
      <c r="N433" s="5" t="n">
        <v>0.35</v>
      </c>
    </row>
    <row r="434">
      <c r="A434" t="n">
        <v>433</v>
      </c>
      <c r="B434" t="n">
        <v>2014</v>
      </c>
      <c r="C434" t="inlineStr">
        <is>
          <t>Mikayla Avani Mahanandan</t>
        </is>
      </c>
      <c r="D434">
        <f>HYPERLINK("https://ota.tournamentsoftware.com/player-profile/DAFD5F0F-733D-4242-B572-5905268B6041", "Link")</f>
        <v/>
      </c>
      <c r="E434" s="3" t="n">
        <v>127.05</v>
      </c>
      <c r="F434" s="4" t="n">
        <v>24</v>
      </c>
      <c r="G434" t="inlineStr">
        <is>
          <t>Ontario Tennis Association</t>
        </is>
      </c>
      <c r="H434" t="inlineStr">
        <is>
          <t>Premier Racquet Clubs – Mississauga</t>
        </is>
      </c>
      <c r="I434" t="inlineStr">
        <is>
          <t>unavailable</t>
        </is>
      </c>
      <c r="J434" s="4" t="n">
        <v>114</v>
      </c>
      <c r="K434" t="inlineStr">
        <is>
          <t>39 / 75</t>
        </is>
      </c>
      <c r="L434" t="inlineStr">
        <is>
          <t>15 / 26</t>
        </is>
      </c>
      <c r="M434" s="5" t="n">
        <v>0.34</v>
      </c>
      <c r="N434" s="5" t="n">
        <v>0.37</v>
      </c>
    </row>
    <row r="435">
      <c r="A435" t="n">
        <v>434</v>
      </c>
      <c r="B435" t="n">
        <v>2015</v>
      </c>
      <c r="C435" t="inlineStr">
        <is>
          <t>Isla Suokas</t>
        </is>
      </c>
      <c r="D435">
        <f>HYPERLINK("https://ota.tournamentsoftware.com/player-profile/4CF0CDA6-2600-4F1B-8775-31212B766E74", "Link")</f>
        <v/>
      </c>
      <c r="E435" s="3" t="n">
        <v>126</v>
      </c>
      <c r="F435" s="4" t="n">
        <v>24</v>
      </c>
      <c r="G435" t="inlineStr">
        <is>
          <t>Ontario Tennis Association</t>
        </is>
      </c>
      <c r="H435" t="inlineStr">
        <is>
          <t>Boulevard Club</t>
        </is>
      </c>
      <c r="I435" t="n">
        <v>34.1</v>
      </c>
      <c r="J435" s="4" t="n">
        <v>103</v>
      </c>
      <c r="K435" t="inlineStr">
        <is>
          <t>62 / 41</t>
        </is>
      </c>
      <c r="L435" t="inlineStr">
        <is>
          <t>27 / 18</t>
        </is>
      </c>
      <c r="M435" s="5" t="n">
        <v>0.6</v>
      </c>
      <c r="N435" s="5" t="n">
        <v>0.6</v>
      </c>
    </row>
    <row r="436">
      <c r="A436" t="n">
        <v>435</v>
      </c>
      <c r="B436" t="n">
        <v>2013</v>
      </c>
      <c r="C436" t="inlineStr">
        <is>
          <t>Julia Anne Kennedy</t>
        </is>
      </c>
      <c r="D436">
        <f>HYPERLINK("https://ota.tournamentsoftware.com/player-profile/82DF6D3D-A382-4764-B57C-0EA44A762022", "Link")</f>
        <v/>
      </c>
      <c r="E436" s="3" t="n">
        <v>125.744</v>
      </c>
      <c r="F436" s="4" t="n">
        <v>3</v>
      </c>
      <c r="G436" t="inlineStr">
        <is>
          <t>Ontario Tennis Association</t>
        </is>
      </c>
      <c r="H436" t="inlineStr">
        <is>
          <t>SmartVMC Racquetsports by ACE</t>
        </is>
      </c>
      <c r="I436" t="n">
        <v>32.5</v>
      </c>
      <c r="J436" s="4" t="n">
        <v>149</v>
      </c>
      <c r="K436" t="inlineStr">
        <is>
          <t>72 / 77</t>
        </is>
      </c>
      <c r="L436" t="inlineStr">
        <is>
          <t>6 / 2</t>
        </is>
      </c>
      <c r="M436" s="5" t="n">
        <v>0.48</v>
      </c>
      <c r="N436" s="5" t="n">
        <v>0.75</v>
      </c>
    </row>
    <row r="437">
      <c r="A437" t="n">
        <v>436</v>
      </c>
      <c r="B437" t="n">
        <v>2015</v>
      </c>
      <c r="C437" t="inlineStr">
        <is>
          <t>Anna Guzina-McLeod</t>
        </is>
      </c>
      <c r="D437">
        <f>HYPERLINK("https://ota.tournamentsoftware.com/player-profile/55F5BC4F-092C-4C72-BFDC-3F60E618D778", "Link")</f>
        <v/>
      </c>
      <c r="E437" s="3" t="n">
        <v>125.033</v>
      </c>
      <c r="F437" s="4" t="n">
        <v>20</v>
      </c>
      <c r="G437" t="inlineStr">
        <is>
          <t>Ontario Tennis Association</t>
        </is>
      </c>
      <c r="H437" t="inlineStr">
        <is>
          <t>Rideau Sports Centre</t>
        </is>
      </c>
      <c r="I437" t="inlineStr">
        <is>
          <t>unavailable</t>
        </is>
      </c>
      <c r="J437" s="4" t="n">
        <v>123</v>
      </c>
      <c r="K437" t="inlineStr">
        <is>
          <t>71 / 52</t>
        </is>
      </c>
      <c r="L437" t="inlineStr">
        <is>
          <t>15 / 19</t>
        </is>
      </c>
      <c r="M437" s="5" t="n">
        <v>0.58</v>
      </c>
      <c r="N437" s="5" t="n">
        <v>0.44</v>
      </c>
    </row>
    <row r="438">
      <c r="A438" t="n">
        <v>437</v>
      </c>
      <c r="B438" t="n">
        <v>2015</v>
      </c>
      <c r="C438" t="inlineStr">
        <is>
          <t>Xinyue Grace zhu</t>
        </is>
      </c>
      <c r="D438">
        <f>HYPERLINK("https://ota.tournamentsoftware.com/player-profile/9C1D6B37-A27B-4B15-8F8F-72E6D4418B50", "Link")</f>
        <v/>
      </c>
      <c r="E438" s="3" t="n">
        <v>124.998</v>
      </c>
      <c r="F438" s="4" t="n">
        <v>11</v>
      </c>
      <c r="G438" t="inlineStr">
        <is>
          <t>British Columbia</t>
        </is>
      </c>
      <c r="H438" t="inlineStr">
        <is>
          <t>North Vancouver Tennis Centre</t>
        </is>
      </c>
      <c r="I438" t="inlineStr">
        <is>
          <t>unavailable</t>
        </is>
      </c>
      <c r="J438" s="4" t="n">
        <v>184</v>
      </c>
      <c r="K438" t="inlineStr">
        <is>
          <t>111 / 73</t>
        </is>
      </c>
      <c r="L438" t="inlineStr">
        <is>
          <t>12 / 10</t>
        </is>
      </c>
      <c r="M438" s="5" t="n">
        <v>0.6</v>
      </c>
      <c r="N438" s="5" t="n">
        <v>0.55</v>
      </c>
    </row>
    <row r="439">
      <c r="A439" t="n">
        <v>438</v>
      </c>
      <c r="B439" t="n">
        <v>2013</v>
      </c>
      <c r="C439" t="inlineStr">
        <is>
          <t>Stella Marion Thoms</t>
        </is>
      </c>
      <c r="D439">
        <f>HYPERLINK("https://ota.tournamentsoftware.com/player-profile/26731833-04E0-4736-BC60-733715112E5E", "Link")</f>
        <v/>
      </c>
      <c r="E439" s="3" t="n">
        <v>124.637</v>
      </c>
      <c r="F439" s="4" t="n">
        <v>8</v>
      </c>
      <c r="G439" t="inlineStr">
        <is>
          <t>Tennis Newfoundland &amp; Labrador</t>
        </is>
      </c>
      <c r="H439" t="inlineStr">
        <is>
          <t>Riverdale Tennis Club</t>
        </is>
      </c>
      <c r="I439" t="n">
        <v>35.1</v>
      </c>
      <c r="J439" s="4" t="n">
        <v>51</v>
      </c>
      <c r="K439" t="inlineStr">
        <is>
          <t>29 / 22</t>
        </is>
      </c>
      <c r="L439" t="inlineStr">
        <is>
          <t>9 / 10</t>
        </is>
      </c>
      <c r="M439" s="5" t="n">
        <v>0.57</v>
      </c>
      <c r="N439" s="5" t="n">
        <v>0.47</v>
      </c>
    </row>
    <row r="440">
      <c r="A440" t="n">
        <v>439</v>
      </c>
      <c r="B440" t="n">
        <v>2015</v>
      </c>
      <c r="C440" t="inlineStr">
        <is>
          <t>Chloe Zhiyan Bai</t>
        </is>
      </c>
      <c r="D440">
        <f>HYPERLINK("https://ota.tournamentsoftware.com/player-profile/D190414C-9B0E-4001-86BC-CD88F7FCF827", "Link")</f>
        <v/>
      </c>
      <c r="E440" s="3" t="n">
        <v>123.895</v>
      </c>
      <c r="F440" s="4" t="n">
        <v>25</v>
      </c>
      <c r="G440" t="inlineStr">
        <is>
          <t>British Columbia</t>
        </is>
      </c>
      <c r="H440" t="inlineStr">
        <is>
          <t>Tennis BC Hub @ Richmond</t>
        </is>
      </c>
      <c r="I440" t="inlineStr">
        <is>
          <t>unavailable</t>
        </is>
      </c>
      <c r="J440" s="4" t="n">
        <v>180</v>
      </c>
      <c r="K440" t="inlineStr">
        <is>
          <t>84 / 96</t>
        </is>
      </c>
      <c r="L440" t="inlineStr">
        <is>
          <t>31 / 23</t>
        </is>
      </c>
      <c r="M440" s="5" t="n">
        <v>0.47</v>
      </c>
      <c r="N440" s="5" t="n">
        <v>0.57</v>
      </c>
    </row>
    <row r="441">
      <c r="A441" t="n">
        <v>440</v>
      </c>
      <c r="B441" t="n">
        <v>2015</v>
      </c>
      <c r="C441" t="inlineStr">
        <is>
          <t>Emma Plugaru</t>
        </is>
      </c>
      <c r="D441">
        <f>HYPERLINK("https://ota.tournamentsoftware.com/player-profile/A8C9C47A-4B9A-43CD-97A6-5516A6BAA15D", "Link")</f>
        <v/>
      </c>
      <c r="E441" s="3" t="n">
        <v>123.754</v>
      </c>
      <c r="F441" s="4" t="n">
        <v>15</v>
      </c>
      <c r="G441" t="inlineStr">
        <is>
          <t>Tennis Québec</t>
        </is>
      </c>
      <c r="H441" t="inlineStr">
        <is>
          <t>Tennis 13</t>
        </is>
      </c>
      <c r="I441" t="n">
        <v>33.6</v>
      </c>
      <c r="J441" s="4" t="n">
        <v>133</v>
      </c>
      <c r="K441" t="inlineStr">
        <is>
          <t>73 / 60</t>
        </is>
      </c>
      <c r="L441" t="inlineStr">
        <is>
          <t>20 / 11</t>
        </is>
      </c>
      <c r="M441" s="5" t="n">
        <v>0.55</v>
      </c>
      <c r="N441" s="5" t="n">
        <v>0.65</v>
      </c>
    </row>
    <row r="442">
      <c r="A442" t="n">
        <v>441</v>
      </c>
      <c r="B442" t="n">
        <v>2013</v>
      </c>
      <c r="C442" t="inlineStr">
        <is>
          <t>Isabelle Duvinage</t>
        </is>
      </c>
      <c r="D442">
        <f>HYPERLINK("https://ota.tournamentsoftware.com/player-profile/7B9DB032-AD8C-41C5-A138-CF844016B7C1", "Link")</f>
        <v/>
      </c>
      <c r="E442" s="3" t="n">
        <v>123.398</v>
      </c>
      <c r="F442" s="4" t="n">
        <v>10</v>
      </c>
      <c r="G442" t="inlineStr">
        <is>
          <t>Ontario Tennis Association</t>
        </is>
      </c>
      <c r="H442" t="inlineStr">
        <is>
          <t>Kew Gardens Tennis Club</t>
        </is>
      </c>
      <c r="I442" t="n">
        <v>36.5</v>
      </c>
      <c r="J442" s="4" t="n">
        <v>46</v>
      </c>
      <c r="K442" t="inlineStr">
        <is>
          <t>15 / 31</t>
        </is>
      </c>
      <c r="L442" t="inlineStr">
        <is>
          <t>4 / 11</t>
        </is>
      </c>
      <c r="M442" s="5" t="n">
        <v>0.33</v>
      </c>
      <c r="N442" s="5" t="n">
        <v>0.27</v>
      </c>
    </row>
    <row r="443">
      <c r="A443" t="n">
        <v>442</v>
      </c>
      <c r="B443" t="n">
        <v>2014</v>
      </c>
      <c r="C443" t="inlineStr">
        <is>
          <t>Scarlett Hannah Yip</t>
        </is>
      </c>
      <c r="D443">
        <f>HYPERLINK("https://ota.tournamentsoftware.com/player-profile/D01B38C8-E207-4D1F-B33D-970B1F8BDC78", "Link")</f>
        <v/>
      </c>
      <c r="E443" s="3" t="n">
        <v>122.907</v>
      </c>
      <c r="F443" s="4" t="n">
        <v>10</v>
      </c>
      <c r="G443" t="inlineStr">
        <is>
          <t>Tennis Alberta</t>
        </is>
      </c>
      <c r="H443" t="inlineStr">
        <is>
          <t>Osten &amp; Victor Alberta Tennis Centre</t>
        </is>
      </c>
      <c r="I443" t="n">
        <v>33.7</v>
      </c>
      <c r="J443" s="4" t="n">
        <v>146</v>
      </c>
      <c r="K443" t="inlineStr">
        <is>
          <t>65 / 81</t>
        </is>
      </c>
      <c r="L443" t="inlineStr">
        <is>
          <t>6 / 8</t>
        </is>
      </c>
      <c r="M443" s="5" t="n">
        <v>0.45</v>
      </c>
      <c r="N443" s="5" t="n">
        <v>0.43</v>
      </c>
    </row>
    <row r="444">
      <c r="A444" t="n">
        <v>443</v>
      </c>
      <c r="B444" t="n">
        <v>2016</v>
      </c>
      <c r="C444" t="inlineStr">
        <is>
          <t>Paulina Mangal</t>
        </is>
      </c>
      <c r="D444">
        <f>HYPERLINK("https://ota.tournamentsoftware.com/player-profile/ADDD5986-263D-4338-B6C0-6F72A2AC55F7", "Link")</f>
        <v/>
      </c>
      <c r="E444" s="3" t="n">
        <v>122.04</v>
      </c>
      <c r="F444" s="4" t="n">
        <v>26</v>
      </c>
      <c r="G444" t="inlineStr">
        <is>
          <t>Ontario Tennis Association</t>
        </is>
      </c>
      <c r="H444" t="inlineStr">
        <is>
          <t>Premier Racquet Clubs – Mississauga</t>
        </is>
      </c>
      <c r="I444" t="n">
        <v>35.5</v>
      </c>
      <c r="J444" s="4" t="n">
        <v>188</v>
      </c>
      <c r="K444" t="inlineStr">
        <is>
          <t>80 / 108</t>
        </is>
      </c>
      <c r="L444" t="inlineStr">
        <is>
          <t>21 / 23</t>
        </is>
      </c>
      <c r="M444" s="5" t="n">
        <v>0.43</v>
      </c>
      <c r="N444" s="5" t="n">
        <v>0.48</v>
      </c>
    </row>
    <row r="445">
      <c r="A445" t="n">
        <v>444</v>
      </c>
      <c r="B445" t="n">
        <v>2015</v>
      </c>
      <c r="C445" t="inlineStr">
        <is>
          <t>Mia Pan</t>
        </is>
      </c>
      <c r="D445">
        <f>HYPERLINK("https://ota.tournamentsoftware.com/player-profile/AC58096C-5119-4221-95E0-C06E89FC8EFF", "Link")</f>
        <v/>
      </c>
      <c r="E445" s="3" t="n">
        <v>121.787</v>
      </c>
      <c r="F445" s="4" t="n">
        <v>19</v>
      </c>
      <c r="G445" t="inlineStr">
        <is>
          <t>British Columbia</t>
        </is>
      </c>
      <c r="H445" t="inlineStr">
        <is>
          <t>Vanguard Tennis Academy</t>
        </is>
      </c>
      <c r="I445" t="inlineStr">
        <is>
          <t>unavailable</t>
        </is>
      </c>
      <c r="J445" s="4" t="n">
        <v>128</v>
      </c>
      <c r="K445" t="inlineStr">
        <is>
          <t>72 / 56</t>
        </is>
      </c>
      <c r="L445" t="inlineStr">
        <is>
          <t>28 / 22</t>
        </is>
      </c>
      <c r="M445" s="5" t="n">
        <v>0.5600000000000001</v>
      </c>
      <c r="N445" s="5" t="n">
        <v>0.5600000000000001</v>
      </c>
    </row>
    <row r="446">
      <c r="A446" t="n">
        <v>445</v>
      </c>
      <c r="B446" t="n">
        <v>2013</v>
      </c>
      <c r="C446" t="inlineStr">
        <is>
          <t>LeeZann Lai</t>
        </is>
      </c>
      <c r="D446">
        <f>HYPERLINK("https://ota.tournamentsoftware.com/player-profile/F653FB3B-D606-4799-98B3-B9B8F7D1D120", "Link")</f>
        <v/>
      </c>
      <c r="E446" s="3" t="n">
        <v>121.248</v>
      </c>
      <c r="F446" s="4" t="n">
        <v>13</v>
      </c>
      <c r="G446" t="inlineStr">
        <is>
          <t>Ontario Tennis Association</t>
        </is>
      </c>
      <c r="H446" t="inlineStr">
        <is>
          <t>Don Mills Tennis Club</t>
        </is>
      </c>
      <c r="I446" t="n">
        <v>34.7</v>
      </c>
      <c r="J446" s="4" t="n">
        <v>56</v>
      </c>
      <c r="K446" t="inlineStr">
        <is>
          <t>23 / 33</t>
        </is>
      </c>
      <c r="L446" t="inlineStr">
        <is>
          <t>7 / 13</t>
        </is>
      </c>
      <c r="M446" s="5" t="n">
        <v>0.41</v>
      </c>
      <c r="N446" s="5" t="n">
        <v>0.35</v>
      </c>
    </row>
    <row r="447">
      <c r="A447" t="n">
        <v>446</v>
      </c>
      <c r="B447" t="n">
        <v>2012</v>
      </c>
      <c r="C447" t="inlineStr">
        <is>
          <t>Karolina Klepinin</t>
        </is>
      </c>
      <c r="D447">
        <f>HYPERLINK("https://ota.tournamentsoftware.com/player-profile/A0474BDB-A63B-423A-90FB-FAAA726E2052", "Link")</f>
        <v/>
      </c>
      <c r="E447" s="3" t="n">
        <v>120.465</v>
      </c>
      <c r="F447" s="4" t="n">
        <v>8</v>
      </c>
      <c r="G447" t="inlineStr">
        <is>
          <t>Ontario Tennis Association</t>
        </is>
      </c>
      <c r="H447" t="inlineStr">
        <is>
          <t>ON North Central No Club</t>
        </is>
      </c>
      <c r="I447" t="n">
        <v>35.9</v>
      </c>
      <c r="J447" s="4" t="n">
        <v>56</v>
      </c>
      <c r="K447" t="inlineStr">
        <is>
          <t>15 / 41</t>
        </is>
      </c>
      <c r="L447" t="inlineStr">
        <is>
          <t>4 / 10</t>
        </is>
      </c>
      <c r="M447" s="5" t="n">
        <v>0.27</v>
      </c>
      <c r="N447" s="5" t="n">
        <v>0.29</v>
      </c>
    </row>
    <row r="448">
      <c r="A448" t="n">
        <v>447</v>
      </c>
      <c r="B448" t="n">
        <v>2015</v>
      </c>
      <c r="C448" t="inlineStr">
        <is>
          <t>Mila Venturelli</t>
        </is>
      </c>
      <c r="D448">
        <f>HYPERLINK("https://ota.tournamentsoftware.com/player-profile/BCA3B83C-81C0-4469-B3DA-4E3234E6CA0A", "Link")</f>
        <v/>
      </c>
      <c r="E448" s="3" t="n">
        <v>120.417</v>
      </c>
      <c r="F448" s="4" t="n">
        <v>22</v>
      </c>
      <c r="G448" t="inlineStr">
        <is>
          <t>Tennis Québec</t>
        </is>
      </c>
      <c r="H448" t="inlineStr">
        <is>
          <t>Tennis 13</t>
        </is>
      </c>
      <c r="I448" t="n">
        <v>35.3</v>
      </c>
      <c r="J448" s="4" t="n">
        <v>98</v>
      </c>
      <c r="K448" t="inlineStr">
        <is>
          <t>40 / 58</t>
        </is>
      </c>
      <c r="L448" t="inlineStr">
        <is>
          <t>12 / 21</t>
        </is>
      </c>
      <c r="M448" s="5" t="n">
        <v>0.41</v>
      </c>
      <c r="N448" s="5" t="n">
        <v>0.36</v>
      </c>
    </row>
    <row r="449">
      <c r="A449" t="n">
        <v>448</v>
      </c>
      <c r="B449" t="n">
        <v>2013</v>
      </c>
      <c r="C449" t="inlineStr">
        <is>
          <t>Noa Margaux Dery</t>
        </is>
      </c>
      <c r="D449">
        <f>HYPERLINK("https://ota.tournamentsoftware.com/player-profile/2BE09915-8A78-4187-839F-E3A10E233213", "Link")</f>
        <v/>
      </c>
      <c r="E449" s="3" t="n">
        <v>119.111</v>
      </c>
      <c r="F449" s="4" t="n">
        <v>7</v>
      </c>
      <c r="G449" t="inlineStr">
        <is>
          <t>Tennis Québec</t>
        </is>
      </c>
      <c r="H449" t="inlineStr">
        <is>
          <t>Club Sportif Côte-de-Liesse</t>
        </is>
      </c>
      <c r="I449" t="n">
        <v>35.5</v>
      </c>
      <c r="J449" s="4" t="n">
        <v>39</v>
      </c>
      <c r="K449" t="inlineStr">
        <is>
          <t>14 / 25</t>
        </is>
      </c>
      <c r="L449" t="inlineStr">
        <is>
          <t>7 / 6</t>
        </is>
      </c>
      <c r="M449" s="5" t="n">
        <v>0.36</v>
      </c>
      <c r="N449" s="5" t="n">
        <v>0.54</v>
      </c>
    </row>
    <row r="450">
      <c r="A450" t="n">
        <v>449</v>
      </c>
      <c r="B450" t="n">
        <v>2014</v>
      </c>
      <c r="C450" t="inlineStr">
        <is>
          <t>Ranica Li</t>
        </is>
      </c>
      <c r="D450">
        <f>HYPERLINK("https://ota.tournamentsoftware.com/player-profile/5C189397-D536-4086-AA1D-1AD29C093438", "Link")</f>
        <v/>
      </c>
      <c r="E450" s="3" t="n">
        <v>118.633</v>
      </c>
      <c r="F450" s="4" t="n">
        <v>21</v>
      </c>
      <c r="G450" t="inlineStr">
        <is>
          <t>British Columbia</t>
        </is>
      </c>
      <c r="H450" t="inlineStr">
        <is>
          <t>The Tennis Centre</t>
        </is>
      </c>
      <c r="I450" t="n">
        <v>33.1</v>
      </c>
      <c r="J450" s="4" t="n">
        <v>97</v>
      </c>
      <c r="K450" t="inlineStr">
        <is>
          <t>56 / 41</t>
        </is>
      </c>
      <c r="L450" t="inlineStr">
        <is>
          <t>32 / 18</t>
        </is>
      </c>
      <c r="M450" s="5" t="n">
        <v>0.58</v>
      </c>
      <c r="N450" s="5" t="n">
        <v>0.64</v>
      </c>
    </row>
    <row r="451">
      <c r="A451" t="n">
        <v>450</v>
      </c>
      <c r="B451" t="n">
        <v>2013</v>
      </c>
      <c r="C451" t="inlineStr">
        <is>
          <t>Zaria Antonella Tambini</t>
        </is>
      </c>
      <c r="D451">
        <f>HYPERLINK("https://ota.tournamentsoftware.com/player-profile/92DDE685-2967-4CDD-8CA6-2827E6AC3AEB", "Link")</f>
        <v/>
      </c>
      <c r="E451" s="3" t="n">
        <v>117.899</v>
      </c>
      <c r="F451" s="4" t="n">
        <v>8</v>
      </c>
      <c r="G451" t="inlineStr">
        <is>
          <t>Ontario Tennis Association</t>
        </is>
      </c>
      <c r="H451" t="inlineStr">
        <is>
          <t>Headwaters Racquet Club</t>
        </is>
      </c>
      <c r="I451" t="n">
        <v>37.9</v>
      </c>
      <c r="J451" s="4" t="n">
        <v>26</v>
      </c>
      <c r="K451" t="inlineStr">
        <is>
          <t>10 / 16</t>
        </is>
      </c>
      <c r="L451" t="inlineStr">
        <is>
          <t>5 / 14</t>
        </is>
      </c>
      <c r="M451" s="5" t="n">
        <v>0.38</v>
      </c>
      <c r="N451" s="5" t="n">
        <v>0.26</v>
      </c>
    </row>
    <row r="452">
      <c r="A452" t="n">
        <v>451</v>
      </c>
      <c r="B452" t="n">
        <v>2015</v>
      </c>
      <c r="C452" t="inlineStr">
        <is>
          <t>Juliet Lauture</t>
        </is>
      </c>
      <c r="D452">
        <f>HYPERLINK("https://ota.tournamentsoftware.com/player-profile/70FC879C-9BB0-4123-BE70-BCB588C22C80", "Link")</f>
        <v/>
      </c>
      <c r="E452" s="3" t="n">
        <v>116.811</v>
      </c>
      <c r="F452" s="4" t="n">
        <v>25</v>
      </c>
      <c r="G452" t="inlineStr">
        <is>
          <t>Tennis Québec</t>
        </is>
      </c>
      <c r="H452" t="inlineStr">
        <is>
          <t>Club Sportif Côte-de-Liesse</t>
        </is>
      </c>
      <c r="I452" t="n">
        <v>35.3</v>
      </c>
      <c r="J452" s="4" t="n">
        <v>109</v>
      </c>
      <c r="K452" t="inlineStr">
        <is>
          <t>59 / 50</t>
        </is>
      </c>
      <c r="L452" t="inlineStr">
        <is>
          <t>20 / 22</t>
        </is>
      </c>
      <c r="M452" s="5" t="n">
        <v>0.54</v>
      </c>
      <c r="N452" s="5" t="n">
        <v>0.48</v>
      </c>
    </row>
    <row r="453">
      <c r="A453" t="n">
        <v>452</v>
      </c>
      <c r="B453" t="n">
        <v>2015</v>
      </c>
      <c r="C453" t="inlineStr">
        <is>
          <t>Sofia Nasrallah</t>
        </is>
      </c>
      <c r="D453">
        <f>HYPERLINK("https://ota.tournamentsoftware.com/player-profile/FAA88C80-170D-40C3-8A88-6B81077D1F02", "Link")</f>
        <v/>
      </c>
      <c r="E453" s="3" t="n">
        <v>116.706</v>
      </c>
      <c r="F453" s="4" t="n">
        <v>23</v>
      </c>
      <c r="G453" t="inlineStr">
        <is>
          <t>Tennis Québec</t>
        </is>
      </c>
      <c r="H453" t="inlineStr">
        <is>
          <t>Carrefour Multisports</t>
        </is>
      </c>
      <c r="I453" t="n">
        <v>36.5</v>
      </c>
      <c r="J453" s="4" t="n">
        <v>163</v>
      </c>
      <c r="K453" t="inlineStr">
        <is>
          <t>54 / 109</t>
        </is>
      </c>
      <c r="L453" t="inlineStr">
        <is>
          <t>11 / 23</t>
        </is>
      </c>
      <c r="M453" s="5" t="n">
        <v>0.33</v>
      </c>
      <c r="N453" s="5" t="n">
        <v>0.32</v>
      </c>
    </row>
    <row r="454">
      <c r="A454" t="n">
        <v>453</v>
      </c>
      <c r="B454" t="n">
        <v>2015</v>
      </c>
      <c r="C454" t="inlineStr">
        <is>
          <t>Sofia Bulynko</t>
        </is>
      </c>
      <c r="D454">
        <f>HYPERLINK("https://ota.tournamentsoftware.com/player-profile/88C213E0-0960-44DC-B9B0-66B1ADEE699B", "Link")</f>
        <v/>
      </c>
      <c r="E454" s="3" t="n">
        <v>116.274</v>
      </c>
      <c r="F454" s="4" t="n">
        <v>13</v>
      </c>
      <c r="G454" t="inlineStr">
        <is>
          <t>Ontario Tennis Association</t>
        </is>
      </c>
      <c r="H454" t="inlineStr">
        <is>
          <t>National Tennis School</t>
        </is>
      </c>
      <c r="I454" t="n">
        <v>35.4</v>
      </c>
      <c r="J454" s="4" t="n">
        <v>59</v>
      </c>
      <c r="K454" t="inlineStr">
        <is>
          <t>30 / 29</t>
        </is>
      </c>
      <c r="L454" t="inlineStr">
        <is>
          <t>13 / 12</t>
        </is>
      </c>
      <c r="M454" s="5" t="n">
        <v>0.51</v>
      </c>
      <c r="N454" s="5" t="n">
        <v>0.52</v>
      </c>
    </row>
    <row r="455">
      <c r="A455" t="n">
        <v>454</v>
      </c>
      <c r="B455" t="n">
        <v>2013</v>
      </c>
      <c r="C455" t="inlineStr">
        <is>
          <t>Sofia Anne Brunetto</t>
        </is>
      </c>
      <c r="D455">
        <f>HYPERLINK("https://ota.tournamentsoftware.com/player-profile/C2843F1F-C701-4853-A79C-051450F19D77", "Link")</f>
        <v/>
      </c>
      <c r="E455" s="3" t="n">
        <v>116.084</v>
      </c>
      <c r="F455" s="4" t="n">
        <v>8</v>
      </c>
      <c r="G455" t="inlineStr">
        <is>
          <t>Ontario Tennis Association</t>
        </is>
      </c>
      <c r="H455" t="inlineStr">
        <is>
          <t>Zekelman Tennis Centre</t>
        </is>
      </c>
      <c r="I455" t="n">
        <v>33.1</v>
      </c>
      <c r="J455" s="4" t="n">
        <v>20</v>
      </c>
      <c r="K455" t="inlineStr">
        <is>
          <t>8 / 12</t>
        </is>
      </c>
      <c r="L455" t="inlineStr">
        <is>
          <t>3 / 7</t>
        </is>
      </c>
      <c r="M455" s="5" t="n">
        <v>0.4</v>
      </c>
      <c r="N455" s="5" t="n">
        <v>0.3</v>
      </c>
    </row>
    <row r="456">
      <c r="A456" t="n">
        <v>455</v>
      </c>
      <c r="B456" t="n">
        <v>2016</v>
      </c>
      <c r="C456" t="inlineStr">
        <is>
          <t>Lydia Yinuo Xu</t>
        </is>
      </c>
      <c r="D456">
        <f>HYPERLINK("https://ota.tournamentsoftware.com/player-profile/515F94D6-B979-4BBE-98E6-48CFEF4CE395", "Link")</f>
        <v/>
      </c>
      <c r="E456" s="3" t="n">
        <v>114</v>
      </c>
      <c r="F456" s="4" t="n">
        <v>17</v>
      </c>
      <c r="G456" t="inlineStr">
        <is>
          <t>Ontario Tennis Association</t>
        </is>
      </c>
      <c r="H456" t="inlineStr">
        <is>
          <t>Joshua Creek Golf &amp; Tennis</t>
        </is>
      </c>
      <c r="I456" t="n">
        <v>34.4</v>
      </c>
      <c r="J456" s="4" t="n">
        <v>172</v>
      </c>
      <c r="K456" t="inlineStr">
        <is>
          <t>85 / 87</t>
        </is>
      </c>
      <c r="L456" t="inlineStr">
        <is>
          <t>39 / 17</t>
        </is>
      </c>
      <c r="M456" s="5" t="n">
        <v>0.49</v>
      </c>
      <c r="N456" s="5" t="n">
        <v>0.7</v>
      </c>
    </row>
    <row r="457">
      <c r="A457" t="n">
        <v>456</v>
      </c>
      <c r="B457" t="n">
        <v>2012</v>
      </c>
      <c r="C457" t="inlineStr">
        <is>
          <t>Zeyu (Anne) Xu</t>
        </is>
      </c>
      <c r="D457">
        <f>HYPERLINK("https://ota.tournamentsoftware.com/player-profile/7D4E0E2F-DC2C-4911-BF16-A07E84364BB7", "Link")</f>
        <v/>
      </c>
      <c r="E457" s="3" t="n">
        <v>113.598</v>
      </c>
      <c r="F457" s="4" t="n">
        <v>9</v>
      </c>
      <c r="G457" t="inlineStr">
        <is>
          <t>British Columbia</t>
        </is>
      </c>
      <c r="H457" t="inlineStr">
        <is>
          <t>Tennis BC Hub @ Richmond</t>
        </is>
      </c>
      <c r="I457" t="n">
        <v>34.6</v>
      </c>
      <c r="J457" s="4" t="n">
        <v>109</v>
      </c>
      <c r="K457" t="inlineStr">
        <is>
          <t>26 / 83</t>
        </is>
      </c>
      <c r="L457" t="inlineStr">
        <is>
          <t>4 / 13</t>
        </is>
      </c>
      <c r="M457" s="5" t="n">
        <v>0.24</v>
      </c>
      <c r="N457" s="5" t="n">
        <v>0.24</v>
      </c>
    </row>
    <row r="458">
      <c r="A458" t="n">
        <v>457</v>
      </c>
      <c r="B458" t="n">
        <v>2015</v>
      </c>
      <c r="C458" t="inlineStr">
        <is>
          <t>Misia Ania Pietras</t>
        </is>
      </c>
      <c r="D458">
        <f>HYPERLINK("https://ota.tournamentsoftware.com/player-profile/81A2D044-B79D-4C29-B0B3-9E7AF48F2811", "Link")</f>
        <v/>
      </c>
      <c r="E458" s="3" t="n">
        <v>113.264</v>
      </c>
      <c r="F458" s="4" t="n">
        <v>16</v>
      </c>
      <c r="G458" t="inlineStr">
        <is>
          <t>Ontario Tennis Association</t>
        </is>
      </c>
      <c r="H458" t="inlineStr">
        <is>
          <t>The Tennis School</t>
        </is>
      </c>
      <c r="I458" t="n">
        <v>35.6</v>
      </c>
      <c r="J458" s="4" t="n">
        <v>59</v>
      </c>
      <c r="K458" t="inlineStr">
        <is>
          <t>33 / 26</t>
        </is>
      </c>
      <c r="L458" t="inlineStr">
        <is>
          <t>16 / 11</t>
        </is>
      </c>
      <c r="M458" s="5" t="n">
        <v>0.5600000000000001</v>
      </c>
      <c r="N458" s="5" t="n">
        <v>0.59</v>
      </c>
    </row>
    <row r="459">
      <c r="A459" t="n">
        <v>458</v>
      </c>
      <c r="B459" t="n">
        <v>2014</v>
      </c>
      <c r="C459" t="inlineStr">
        <is>
          <t>Maxine Andrea Subsuban</t>
        </is>
      </c>
      <c r="D459">
        <f>HYPERLINK("https://ota.tournamentsoftware.com/player-profile/330D8089-39D5-4A22-8596-8BAAF8D4E02E", "Link")</f>
        <v/>
      </c>
      <c r="E459" s="3" t="n">
        <v>112.585</v>
      </c>
      <c r="F459" s="4" t="n">
        <v>11</v>
      </c>
      <c r="G459" t="inlineStr">
        <is>
          <t>Tennis Alberta</t>
        </is>
      </c>
      <c r="H459" t="inlineStr">
        <is>
          <t>Osten &amp; Victor Alberta Tennis Centre</t>
        </is>
      </c>
      <c r="I459" t="inlineStr">
        <is>
          <t>unavailable</t>
        </is>
      </c>
      <c r="J459" s="4" t="n">
        <v>108</v>
      </c>
      <c r="K459" t="inlineStr">
        <is>
          <t>46 / 62</t>
        </is>
      </c>
      <c r="L459" t="inlineStr">
        <is>
          <t>12 / 11</t>
        </is>
      </c>
      <c r="M459" s="5" t="n">
        <v>0.43</v>
      </c>
      <c r="N459" s="5" t="n">
        <v>0.52</v>
      </c>
    </row>
    <row r="460">
      <c r="A460" t="n">
        <v>459</v>
      </c>
      <c r="B460" t="n">
        <v>2015</v>
      </c>
      <c r="C460" t="inlineStr">
        <is>
          <t>Arianna Marquez</t>
        </is>
      </c>
      <c r="D460">
        <f>HYPERLINK("https://ota.tournamentsoftware.com/player-profile/ABB23AE3-6EC2-498B-AA4D-BB89BCBF0088", "Link")</f>
        <v/>
      </c>
      <c r="E460" s="3" t="n">
        <v>112.229</v>
      </c>
      <c r="F460" s="4" t="n">
        <v>17</v>
      </c>
      <c r="G460" t="inlineStr">
        <is>
          <t>Tennis Alberta</t>
        </is>
      </c>
      <c r="H460" t="inlineStr">
        <is>
          <t>Saville Community Sports Centre</t>
        </is>
      </c>
      <c r="I460" t="n">
        <v>33.2</v>
      </c>
      <c r="J460" s="4" t="n">
        <v>146</v>
      </c>
      <c r="K460" t="inlineStr">
        <is>
          <t>93 / 53</t>
        </is>
      </c>
      <c r="L460" t="inlineStr">
        <is>
          <t>17 / 19</t>
        </is>
      </c>
      <c r="M460" s="5" t="n">
        <v>0.64</v>
      </c>
      <c r="N460" s="5" t="n">
        <v>0.47</v>
      </c>
    </row>
    <row r="461">
      <c r="A461" t="n">
        <v>460</v>
      </c>
      <c r="B461" t="n">
        <v>2014</v>
      </c>
      <c r="C461" t="inlineStr">
        <is>
          <t>Grace Wu</t>
        </is>
      </c>
      <c r="D461">
        <f>HYPERLINK("https://ota.tournamentsoftware.com/player-profile/0E55C3D7-7F72-4CDB-9BC3-2D90797931A5", "Link")</f>
        <v/>
      </c>
      <c r="E461" s="3" t="n">
        <v>109.93</v>
      </c>
      <c r="F461" s="4" t="n">
        <v>4</v>
      </c>
      <c r="G461" t="inlineStr">
        <is>
          <t>British Columbia</t>
        </is>
      </c>
      <c r="H461" t="inlineStr">
        <is>
          <t>The Tennis Centre</t>
        </is>
      </c>
      <c r="I461" t="n">
        <v>32.1</v>
      </c>
      <c r="J461" s="4" t="n">
        <v>96</v>
      </c>
      <c r="K461" t="inlineStr">
        <is>
          <t>63 / 33</t>
        </is>
      </c>
      <c r="L461" t="inlineStr">
        <is>
          <t>3 / 4</t>
        </is>
      </c>
      <c r="M461" s="5" t="n">
        <v>0.66</v>
      </c>
      <c r="N461" s="5" t="n">
        <v>0.43</v>
      </c>
    </row>
    <row r="462">
      <c r="A462" t="n">
        <v>461</v>
      </c>
      <c r="B462" t="n">
        <v>2012</v>
      </c>
      <c r="C462" t="inlineStr">
        <is>
          <t>Gaëlle Jodoin</t>
        </is>
      </c>
      <c r="D462">
        <f>HYPERLINK("https://ota.tournamentsoftware.com/player-profile/A3792AFC-E32E-4258-8FA9-9240021C6401", "Link")</f>
        <v/>
      </c>
      <c r="E462" s="3" t="n">
        <v>108.955</v>
      </c>
      <c r="F462" s="4" t="n">
        <v>4</v>
      </c>
      <c r="G462" t="inlineStr">
        <is>
          <t>Tennis Québec</t>
        </is>
      </c>
      <c r="H462" t="inlineStr">
        <is>
          <t>Tennis 13</t>
        </is>
      </c>
      <c r="I462" t="n">
        <v>38.4</v>
      </c>
      <c r="J462" s="4" t="n">
        <v>87</v>
      </c>
      <c r="K462" t="inlineStr">
        <is>
          <t>14 / 73</t>
        </is>
      </c>
      <c r="L462" t="inlineStr">
        <is>
          <t>0 / 3</t>
        </is>
      </c>
      <c r="M462" s="5" t="n">
        <v>0.16</v>
      </c>
      <c r="N462" s="5" t="n">
        <v>0</v>
      </c>
    </row>
    <row r="463">
      <c r="A463" t="n">
        <v>462</v>
      </c>
      <c r="B463" t="n">
        <v>2016</v>
      </c>
      <c r="C463" t="inlineStr">
        <is>
          <t>Chenlin Wang</t>
        </is>
      </c>
      <c r="D463">
        <f>HYPERLINK("https://ota.tournamentsoftware.com/player-profile/9F8A5A74-B5B7-41F1-A513-DA87D68CAFFE", "Link")</f>
        <v/>
      </c>
      <c r="E463" s="3" t="n">
        <v>108.587</v>
      </c>
      <c r="F463" s="4" t="n">
        <v>30</v>
      </c>
      <c r="G463" t="inlineStr">
        <is>
          <t>British Columbia</t>
        </is>
      </c>
      <c r="H463" t="inlineStr">
        <is>
          <t>Aura Tennis Academy</t>
        </is>
      </c>
      <c r="I463" t="inlineStr">
        <is>
          <t>unavailable</t>
        </is>
      </c>
      <c r="J463" s="4" t="n">
        <v>170</v>
      </c>
      <c r="K463" t="inlineStr">
        <is>
          <t>91 / 79</t>
        </is>
      </c>
      <c r="L463" t="inlineStr">
        <is>
          <t>39 / 30</t>
        </is>
      </c>
      <c r="M463" s="5" t="n">
        <v>0.54</v>
      </c>
      <c r="N463" s="5" t="n">
        <v>0.57</v>
      </c>
    </row>
    <row r="464">
      <c r="A464" t="n">
        <v>463</v>
      </c>
      <c r="B464" t="n">
        <v>2014</v>
      </c>
      <c r="C464" t="inlineStr">
        <is>
          <t>SHANAYA CHAUDHARY</t>
        </is>
      </c>
      <c r="D464">
        <f>HYPERLINK("https://ota.tournamentsoftware.com/player-profile/72814258-2663-4B9E-9EB1-0A804D79578E", "Link")</f>
        <v/>
      </c>
      <c r="E464" s="3" t="n">
        <v>107.581</v>
      </c>
      <c r="F464" s="4" t="n">
        <v>11</v>
      </c>
      <c r="G464" t="inlineStr">
        <is>
          <t>Ontario Tennis Association</t>
        </is>
      </c>
      <c r="H464" t="inlineStr">
        <is>
          <t>Waterloo Tennis Club</t>
        </is>
      </c>
      <c r="I464" t="inlineStr">
        <is>
          <t>unavailable</t>
        </is>
      </c>
      <c r="J464" s="4" t="n">
        <v>26</v>
      </c>
      <c r="K464" t="inlineStr">
        <is>
          <t>16 / 10</t>
        </is>
      </c>
      <c r="L464" t="inlineStr">
        <is>
          <t>12 / 7</t>
        </is>
      </c>
      <c r="M464" s="5" t="n">
        <v>0.62</v>
      </c>
      <c r="N464" s="5" t="n">
        <v>0.63</v>
      </c>
    </row>
    <row r="465">
      <c r="A465" t="n">
        <v>464</v>
      </c>
      <c r="B465" t="n">
        <v>2013</v>
      </c>
      <c r="C465" t="inlineStr">
        <is>
          <t>Murphy Mofei Gao</t>
        </is>
      </c>
      <c r="D465">
        <f>HYPERLINK("https://ota.tournamentsoftware.com/player-profile/64A4B4DB-7753-451A-A411-16FC49084860", "Link")</f>
        <v/>
      </c>
      <c r="E465" s="3" t="n">
        <v>107.519</v>
      </c>
      <c r="F465" s="4" t="n">
        <v>18</v>
      </c>
      <c r="G465" t="inlineStr">
        <is>
          <t>British Columbia</t>
        </is>
      </c>
      <c r="H465" t="inlineStr">
        <is>
          <t>No Club</t>
        </is>
      </c>
      <c r="I465" t="n">
        <v>36.9</v>
      </c>
      <c r="J465" s="4" t="n">
        <v>143</v>
      </c>
      <c r="K465" t="inlineStr">
        <is>
          <t>20 / 123</t>
        </is>
      </c>
      <c r="L465" t="inlineStr">
        <is>
          <t>5 / 27</t>
        </is>
      </c>
      <c r="M465" s="5" t="n">
        <v>0.14</v>
      </c>
      <c r="N465" s="5" t="n">
        <v>0.16</v>
      </c>
    </row>
    <row r="466">
      <c r="A466" t="n">
        <v>465</v>
      </c>
      <c r="B466" t="n">
        <v>2014</v>
      </c>
      <c r="C466" t="inlineStr">
        <is>
          <t>Emily Ke</t>
        </is>
      </c>
      <c r="D466">
        <f>HYPERLINK("https://ota.tournamentsoftware.com/player-profile/D0843107-5FBA-4EB4-8781-B60B5E7E1319", "Link")</f>
        <v/>
      </c>
      <c r="E466" s="3" t="n">
        <v>107.414</v>
      </c>
      <c r="F466" s="4" t="n">
        <v>13</v>
      </c>
      <c r="G466" t="inlineStr">
        <is>
          <t>Ontario Tennis Association</t>
        </is>
      </c>
      <c r="H466" t="inlineStr">
        <is>
          <t>Mayfair East Racquet Club</t>
        </is>
      </c>
      <c r="I466" t="n">
        <v>35.1</v>
      </c>
      <c r="J466" s="4" t="n">
        <v>109</v>
      </c>
      <c r="K466" t="inlineStr">
        <is>
          <t>38 / 71</t>
        </is>
      </c>
      <c r="L466" t="inlineStr">
        <is>
          <t>4 / 7</t>
        </is>
      </c>
      <c r="M466" s="5" t="n">
        <v>0.35</v>
      </c>
      <c r="N466" s="5" t="n">
        <v>0.36</v>
      </c>
    </row>
    <row r="467">
      <c r="A467" t="n">
        <v>466</v>
      </c>
      <c r="B467" t="n">
        <v>2013</v>
      </c>
      <c r="C467" t="inlineStr">
        <is>
          <t>Khaliya Karim</t>
        </is>
      </c>
      <c r="D467">
        <f>HYPERLINK("https://ota.tournamentsoftware.com/player-profile/3982667F-BB84-4AC0-B470-E67D90581DB9", "Link")</f>
        <v/>
      </c>
      <c r="E467" s="3" t="n">
        <v>106.257</v>
      </c>
      <c r="F467" s="4" t="n">
        <v>17</v>
      </c>
      <c r="G467" t="inlineStr">
        <is>
          <t>British Columbia</t>
        </is>
      </c>
      <c r="H467" t="inlineStr">
        <is>
          <t>Arbutus Club</t>
        </is>
      </c>
      <c r="I467" t="n">
        <v>35.2</v>
      </c>
      <c r="J467" s="4" t="n">
        <v>90</v>
      </c>
      <c r="K467" t="inlineStr">
        <is>
          <t>18 / 72</t>
        </is>
      </c>
      <c r="L467" t="inlineStr">
        <is>
          <t>14 / 25</t>
        </is>
      </c>
      <c r="M467" s="5" t="n">
        <v>0.2</v>
      </c>
      <c r="N467" s="5" t="n">
        <v>0.36</v>
      </c>
    </row>
    <row r="468">
      <c r="A468" t="n">
        <v>467</v>
      </c>
      <c r="B468" t="n">
        <v>2014</v>
      </c>
      <c r="C468" t="inlineStr">
        <is>
          <t>Abigail Curilscaia</t>
        </is>
      </c>
      <c r="D468">
        <f>HYPERLINK("https://ota.tournamentsoftware.com/player-profile/275CB740-D9DB-4B51-8864-93A2F0D91A3B", "Link")</f>
        <v/>
      </c>
      <c r="E468" s="3" t="n">
        <v>105.422</v>
      </c>
      <c r="F468" s="4" t="n">
        <v>12</v>
      </c>
      <c r="G468" t="inlineStr">
        <is>
          <t>Tennis Alberta</t>
        </is>
      </c>
      <c r="H468" t="inlineStr">
        <is>
          <t>Aforza</t>
        </is>
      </c>
      <c r="I468" t="n">
        <v>32</v>
      </c>
      <c r="J468" s="4" t="n">
        <v>91</v>
      </c>
      <c r="K468" t="inlineStr">
        <is>
          <t>40 / 51</t>
        </is>
      </c>
      <c r="L468" t="inlineStr">
        <is>
          <t>17 / 10</t>
        </is>
      </c>
      <c r="M468" s="5" t="n">
        <v>0.44</v>
      </c>
      <c r="N468" s="5" t="n">
        <v>0.63</v>
      </c>
    </row>
    <row r="469">
      <c r="A469" t="n">
        <v>468</v>
      </c>
      <c r="B469" t="n">
        <v>2014</v>
      </c>
      <c r="C469" t="inlineStr">
        <is>
          <t>Sarah Huang</t>
        </is>
      </c>
      <c r="D469">
        <f>HYPERLINK("https://ota.tournamentsoftware.com/player-profile/535A9ABE-481C-45C4-9357-B8FD9305232E", "Link")</f>
        <v/>
      </c>
      <c r="E469" s="3" t="n">
        <v>104.56</v>
      </c>
      <c r="F469" s="4" t="n">
        <v>17</v>
      </c>
      <c r="G469" t="inlineStr">
        <is>
          <t>Ontario Tennis Association</t>
        </is>
      </c>
      <c r="H469" t="inlineStr">
        <is>
          <t>Premier Racquet Club - Markham</t>
        </is>
      </c>
      <c r="I469" t="n">
        <v>35.1</v>
      </c>
      <c r="J469" s="4" t="n">
        <v>119</v>
      </c>
      <c r="K469" t="inlineStr">
        <is>
          <t>42 / 77</t>
        </is>
      </c>
      <c r="L469" t="inlineStr">
        <is>
          <t>8 / 10</t>
        </is>
      </c>
      <c r="M469" s="5" t="n">
        <v>0.35</v>
      </c>
      <c r="N469" s="5" t="n">
        <v>0.44</v>
      </c>
    </row>
    <row r="470">
      <c r="A470" t="n">
        <v>469</v>
      </c>
      <c r="B470" t="n">
        <v>2014</v>
      </c>
      <c r="C470" t="inlineStr">
        <is>
          <t>Scarlett Habeebkutty</t>
        </is>
      </c>
      <c r="D470">
        <f>HYPERLINK("https://ota.tournamentsoftware.com/player-profile/B3E7011D-10BF-4CEB-9D49-F24BAE1BE1A2", "Link")</f>
        <v/>
      </c>
      <c r="E470" s="3" t="n">
        <v>102.277</v>
      </c>
      <c r="F470" s="4" t="n">
        <v>5</v>
      </c>
      <c r="G470" t="inlineStr">
        <is>
          <t>Tennis Saskatchewan</t>
        </is>
      </c>
      <c r="H470" t="inlineStr">
        <is>
          <t>Lakeshore Tennis Club</t>
        </is>
      </c>
      <c r="I470" t="n">
        <v>40</v>
      </c>
      <c r="J470" s="4" t="n">
        <v>14</v>
      </c>
      <c r="K470" t="inlineStr">
        <is>
          <t>0 / 14</t>
        </is>
      </c>
      <c r="L470" t="inlineStr">
        <is>
          <t>0 / 14</t>
        </is>
      </c>
      <c r="M470" s="5" t="n">
        <v>0</v>
      </c>
      <c r="N470" s="5" t="n">
        <v>0</v>
      </c>
    </row>
    <row r="471">
      <c r="A471" t="n">
        <v>470</v>
      </c>
      <c r="B471" t="n">
        <v>2016</v>
      </c>
      <c r="C471" t="inlineStr">
        <is>
          <t>Kassidy, Chin Yau Lau</t>
        </is>
      </c>
      <c r="D471">
        <f>HYPERLINK("https://ota.tournamentsoftware.com/player-profile/725BC980-EB67-418A-9A78-144DF7D7CE7E", "Link")</f>
        <v/>
      </c>
      <c r="E471" s="3" t="n">
        <v>102</v>
      </c>
      <c r="F471" s="4" t="n">
        <v>28</v>
      </c>
      <c r="G471" t="inlineStr">
        <is>
          <t>Ontario Tennis Association</t>
        </is>
      </c>
      <c r="H471" t="inlineStr">
        <is>
          <t>No Club</t>
        </is>
      </c>
      <c r="I471" t="n">
        <v>35.3</v>
      </c>
      <c r="J471" s="4" t="n">
        <v>68</v>
      </c>
      <c r="K471" t="inlineStr">
        <is>
          <t>39 / 29</t>
        </is>
      </c>
      <c r="L471" t="inlineStr">
        <is>
          <t>39 / 29</t>
        </is>
      </c>
      <c r="M471" s="5" t="n">
        <v>0.57</v>
      </c>
      <c r="N471" s="5" t="n">
        <v>0.57</v>
      </c>
    </row>
    <row r="472">
      <c r="A472" t="n">
        <v>471</v>
      </c>
      <c r="B472" t="n">
        <v>2014</v>
      </c>
      <c r="C472" t="inlineStr">
        <is>
          <t>Olivia Hesse</t>
        </is>
      </c>
      <c r="D472">
        <f>HYPERLINK("https://ota.tournamentsoftware.com/player-profile/18AF6D11-FB26-470D-81A9-00DC98F16884", "Link")</f>
        <v/>
      </c>
      <c r="E472" s="3" t="n">
        <v>101.049</v>
      </c>
      <c r="F472" s="4" t="n">
        <v>13</v>
      </c>
      <c r="G472" t="inlineStr">
        <is>
          <t>Ontario Tennis Association</t>
        </is>
      </c>
      <c r="H472" t="inlineStr">
        <is>
          <t>Boulevard Club</t>
        </is>
      </c>
      <c r="I472" t="n">
        <v>36.1</v>
      </c>
      <c r="J472" s="4" t="n">
        <v>68</v>
      </c>
      <c r="K472" t="inlineStr">
        <is>
          <t>27 / 41</t>
        </is>
      </c>
      <c r="L472" t="inlineStr">
        <is>
          <t>9 / 12</t>
        </is>
      </c>
      <c r="M472" s="5" t="n">
        <v>0.4</v>
      </c>
      <c r="N472" s="5" t="n">
        <v>0.43</v>
      </c>
    </row>
    <row r="473">
      <c r="A473" t="n">
        <v>472</v>
      </c>
      <c r="B473" t="n">
        <v>2013</v>
      </c>
      <c r="C473" t="inlineStr">
        <is>
          <t>Hengxi Celine Du</t>
        </is>
      </c>
      <c r="D473">
        <f>HYPERLINK("https://ota.tournamentsoftware.com/player-profile/7011B5E4-06D4-4830-95A3-18CF46BE4ED0", "Link")</f>
        <v/>
      </c>
      <c r="E473" s="3" t="n">
        <v>100.366</v>
      </c>
      <c r="F473" s="4" t="n">
        <v>4</v>
      </c>
      <c r="G473" t="inlineStr">
        <is>
          <t>Ontario Tennis Association</t>
        </is>
      </c>
      <c r="H473" t="inlineStr">
        <is>
          <t>Premier Racquet Clubs – Mississauga</t>
        </is>
      </c>
      <c r="I473" t="inlineStr">
        <is>
          <t>unavailable</t>
        </is>
      </c>
      <c r="J473" s="4" t="n">
        <v>25</v>
      </c>
      <c r="K473" t="inlineStr">
        <is>
          <t>9 / 16</t>
        </is>
      </c>
      <c r="L473" t="inlineStr">
        <is>
          <t>8 / 9</t>
        </is>
      </c>
      <c r="M473" s="5" t="n">
        <v>0.36</v>
      </c>
      <c r="N473" s="5" t="n">
        <v>0.47</v>
      </c>
    </row>
    <row r="474">
      <c r="A474" t="n">
        <v>473</v>
      </c>
      <c r="B474" t="n">
        <v>2013</v>
      </c>
      <c r="C474" t="inlineStr">
        <is>
          <t>Helena Nastic</t>
        </is>
      </c>
      <c r="D474">
        <f>HYPERLINK("https://ota.tournamentsoftware.com/player-profile/384CD39C-50E9-4DF1-B1AD-85571147C1F9", "Link")</f>
        <v/>
      </c>
      <c r="E474" s="3" t="n">
        <v>100.296</v>
      </c>
      <c r="F474" s="4" t="n">
        <v>8</v>
      </c>
      <c r="G474" t="inlineStr">
        <is>
          <t>Ontario Tennis Association</t>
        </is>
      </c>
      <c r="H474" t="inlineStr">
        <is>
          <t>Royal City Tennis Club</t>
        </is>
      </c>
      <c r="I474" t="inlineStr">
        <is>
          <t>unavailable</t>
        </is>
      </c>
      <c r="J474" s="4" t="n">
        <v>40</v>
      </c>
      <c r="K474" t="inlineStr">
        <is>
          <t>19 / 21</t>
        </is>
      </c>
      <c r="L474" t="inlineStr">
        <is>
          <t>0 / 7</t>
        </is>
      </c>
      <c r="M474" s="5" t="n">
        <v>0.47</v>
      </c>
      <c r="N474" s="5" t="n">
        <v>0</v>
      </c>
    </row>
    <row r="475">
      <c r="A475" t="n">
        <v>474</v>
      </c>
      <c r="B475" t="n">
        <v>2015</v>
      </c>
      <c r="C475" t="inlineStr">
        <is>
          <t>Olivia An Yi Ta</t>
        </is>
      </c>
      <c r="D475">
        <f>HYPERLINK("https://ota.tournamentsoftware.com/player-profile/F718058C-465B-4AEB-BACA-80FE5B3917B6", "Link")</f>
        <v/>
      </c>
      <c r="E475" s="3" t="n">
        <v>99.991</v>
      </c>
      <c r="F475" s="4" t="n">
        <v>15</v>
      </c>
      <c r="G475" t="inlineStr">
        <is>
          <t>Ontario Tennis Association</t>
        </is>
      </c>
      <c r="H475" t="inlineStr">
        <is>
          <t>Lambton Golf &amp; Country Club</t>
        </is>
      </c>
      <c r="I475" t="inlineStr">
        <is>
          <t>unavailable</t>
        </is>
      </c>
      <c r="J475" s="4" t="n">
        <v>70</v>
      </c>
      <c r="K475" t="inlineStr">
        <is>
          <t>20 / 50</t>
        </is>
      </c>
      <c r="L475" t="inlineStr">
        <is>
          <t>11 / 12</t>
        </is>
      </c>
      <c r="M475" s="5" t="n">
        <v>0.29</v>
      </c>
      <c r="N475" s="5" t="n">
        <v>0.48</v>
      </c>
    </row>
    <row r="476">
      <c r="A476" t="n">
        <v>475</v>
      </c>
      <c r="B476" t="n">
        <v>2012</v>
      </c>
      <c r="C476" t="inlineStr">
        <is>
          <t>ONYEKACHUKWU MAGDALENE OGBATUE</t>
        </is>
      </c>
      <c r="D476">
        <f>HYPERLINK("https://ota.tournamentsoftware.com/player-profile/34FAC6AA-945B-40B3-BDE9-3F8B4198659B", "Link")</f>
        <v/>
      </c>
      <c r="E476" s="3" t="n">
        <v>99.878</v>
      </c>
      <c r="F476" s="4" t="n">
        <v>6</v>
      </c>
      <c r="G476" t="inlineStr">
        <is>
          <t>Ontario Tennis Association</t>
        </is>
      </c>
      <c r="H476" t="inlineStr">
        <is>
          <t>Matchpoint Tennis</t>
        </is>
      </c>
      <c r="I476" t="n">
        <v>35.5</v>
      </c>
      <c r="J476" s="4" t="n">
        <v>18</v>
      </c>
      <c r="K476" t="inlineStr">
        <is>
          <t>11 / 7</t>
        </is>
      </c>
      <c r="L476" t="inlineStr">
        <is>
          <t>11 / 7</t>
        </is>
      </c>
      <c r="M476" s="5" t="n">
        <v>0.61</v>
      </c>
      <c r="N476" s="5" t="n">
        <v>0.61</v>
      </c>
    </row>
    <row r="477">
      <c r="A477" t="n">
        <v>476</v>
      </c>
      <c r="B477" t="n">
        <v>2013</v>
      </c>
      <c r="C477" t="inlineStr">
        <is>
          <t>Chelsea Yuxin Lan</t>
        </is>
      </c>
      <c r="D477">
        <f>HYPERLINK("https://ota.tournamentsoftware.com/player-profile/D861FE8B-CCB2-4222-BA9C-EBD5C1FECE32", "Link")</f>
        <v/>
      </c>
      <c r="E477" s="3" t="n">
        <v>99.697</v>
      </c>
      <c r="F477" s="4" t="n">
        <v>15</v>
      </c>
      <c r="G477" t="inlineStr">
        <is>
          <t>British Columbia</t>
        </is>
      </c>
      <c r="H477" t="inlineStr">
        <is>
          <t>Hollyburn Country Club</t>
        </is>
      </c>
      <c r="I477" t="inlineStr">
        <is>
          <t>unavailable</t>
        </is>
      </c>
      <c r="J477" s="4" t="n">
        <v>119</v>
      </c>
      <c r="K477" t="inlineStr">
        <is>
          <t>35 / 84</t>
        </is>
      </c>
      <c r="L477" t="inlineStr">
        <is>
          <t>3 / 21</t>
        </is>
      </c>
      <c r="M477" s="5" t="n">
        <v>0.29</v>
      </c>
      <c r="N477" s="5" t="n">
        <v>0.12</v>
      </c>
    </row>
    <row r="478">
      <c r="A478" t="n">
        <v>477</v>
      </c>
      <c r="B478" t="n">
        <v>2015</v>
      </c>
      <c r="C478" t="inlineStr">
        <is>
          <t>Kaliya Summer Miserre-Garrecht</t>
        </is>
      </c>
      <c r="D478">
        <f>HYPERLINK("https://ota.tournamentsoftware.com/player-profile/C178309B-9B10-4C79-99B5-DD8E37FCC1EF", "Link")</f>
        <v/>
      </c>
      <c r="E478" s="3" t="n">
        <v>99.33799999999999</v>
      </c>
      <c r="F478" s="4" t="n">
        <v>22</v>
      </c>
      <c r="G478" t="inlineStr">
        <is>
          <t>British Columbia</t>
        </is>
      </c>
      <c r="H478" t="inlineStr">
        <is>
          <t>Vanguard Tennis Academy</t>
        </is>
      </c>
      <c r="I478" t="n">
        <v>36.1</v>
      </c>
      <c r="J478" s="4" t="n">
        <v>143</v>
      </c>
      <c r="K478" t="inlineStr">
        <is>
          <t>62 / 81</t>
        </is>
      </c>
      <c r="L478" t="inlineStr">
        <is>
          <t>17 / 28</t>
        </is>
      </c>
      <c r="M478" s="5" t="n">
        <v>0.43</v>
      </c>
      <c r="N478" s="5" t="n">
        <v>0.38</v>
      </c>
    </row>
    <row r="479">
      <c r="A479" t="n">
        <v>478</v>
      </c>
      <c r="B479" t="n">
        <v>2014</v>
      </c>
      <c r="C479" t="inlineStr">
        <is>
          <t>Chloe Esther Yeung</t>
        </is>
      </c>
      <c r="D479">
        <f>HYPERLINK("https://ota.tournamentsoftware.com/player-profile/A0100B59-21FE-4244-87C6-16B2DE0DBB96", "Link")</f>
        <v/>
      </c>
      <c r="E479" s="3" t="n">
        <v>99.27800000000001</v>
      </c>
      <c r="F479" s="4" t="n">
        <v>11</v>
      </c>
      <c r="G479" t="inlineStr">
        <is>
          <t>Ontario Tennis Association</t>
        </is>
      </c>
      <c r="H479" t="inlineStr">
        <is>
          <t>Mayfair East Racquet Club</t>
        </is>
      </c>
      <c r="I479" t="n">
        <v>36.8</v>
      </c>
      <c r="J479" s="4" t="n">
        <v>107</v>
      </c>
      <c r="K479" t="inlineStr">
        <is>
          <t>45 / 62</t>
        </is>
      </c>
      <c r="L479" t="inlineStr">
        <is>
          <t>3 / 10</t>
        </is>
      </c>
      <c r="M479" s="5" t="n">
        <v>0.42</v>
      </c>
      <c r="N479" s="5" t="n">
        <v>0.23</v>
      </c>
    </row>
    <row r="480">
      <c r="A480" t="n">
        <v>479</v>
      </c>
      <c r="B480" t="n">
        <v>2012</v>
      </c>
      <c r="C480" t="inlineStr">
        <is>
          <t>Emily Lyn</t>
        </is>
      </c>
      <c r="D480">
        <f>HYPERLINK("https://ota.tournamentsoftware.com/player-profile/952E408B-05E4-4A69-8AAE-E4D164512A9E", "Link")</f>
        <v/>
      </c>
      <c r="E480" s="3" t="n">
        <v>98.52</v>
      </c>
      <c r="F480" s="4" t="n">
        <v>8</v>
      </c>
      <c r="G480" t="inlineStr">
        <is>
          <t>Ontario Tennis Association</t>
        </is>
      </c>
      <c r="H480" t="inlineStr">
        <is>
          <t>Markham Tennis Club</t>
        </is>
      </c>
      <c r="I480" t="n">
        <v>36</v>
      </c>
      <c r="J480" s="4" t="n">
        <v>103</v>
      </c>
      <c r="K480" t="inlineStr">
        <is>
          <t>61 / 42</t>
        </is>
      </c>
      <c r="L480" t="inlineStr">
        <is>
          <t>5 / 6</t>
        </is>
      </c>
      <c r="M480" s="5" t="n">
        <v>0.59</v>
      </c>
      <c r="N480" s="5" t="n">
        <v>0.45</v>
      </c>
    </row>
    <row r="481">
      <c r="A481" t="n">
        <v>480</v>
      </c>
      <c r="B481" t="n">
        <v>2014</v>
      </c>
      <c r="C481" t="inlineStr">
        <is>
          <t>Avril Kymber Lin</t>
        </is>
      </c>
      <c r="D481">
        <f>HYPERLINK("https://ota.tournamentsoftware.com/player-profile/6CFCC91C-A66C-46B5-8430-D2D78CE3EE4B", "Link")</f>
        <v/>
      </c>
      <c r="E481" s="3" t="n">
        <v>98.492</v>
      </c>
      <c r="F481" s="4" t="n">
        <v>11</v>
      </c>
      <c r="G481" t="inlineStr">
        <is>
          <t>Tennis Alberta</t>
        </is>
      </c>
      <c r="H481" t="inlineStr">
        <is>
          <t>Brookside Court &amp; Wellness</t>
        </is>
      </c>
      <c r="I481" t="inlineStr">
        <is>
          <t>unavailable</t>
        </is>
      </c>
      <c r="J481" s="4" t="n">
        <v>101</v>
      </c>
      <c r="K481" t="inlineStr">
        <is>
          <t>40 / 61</t>
        </is>
      </c>
      <c r="L481" t="inlineStr">
        <is>
          <t>10 / 16</t>
        </is>
      </c>
      <c r="M481" s="5" t="n">
        <v>0.4</v>
      </c>
      <c r="N481" s="5" t="n">
        <v>0.38</v>
      </c>
    </row>
    <row r="482">
      <c r="A482" t="n">
        <v>481</v>
      </c>
      <c r="B482" t="n">
        <v>2013</v>
      </c>
      <c r="C482" t="inlineStr">
        <is>
          <t>Darcia Rabezandriny</t>
        </is>
      </c>
      <c r="D482">
        <f>HYPERLINK("https://ota.tournamentsoftware.com/player-profile/52069260-9644-4FA6-A8E4-10B4E037765E", "Link")</f>
        <v/>
      </c>
      <c r="E482" s="3" t="n">
        <v>98.27200000000001</v>
      </c>
      <c r="F482" s="4" t="n">
        <v>7</v>
      </c>
      <c r="G482" t="inlineStr">
        <is>
          <t>Tennis Québec</t>
        </is>
      </c>
      <c r="H482" t="inlineStr">
        <is>
          <t>AA Autre club</t>
        </is>
      </c>
      <c r="I482" t="n">
        <v>34.6</v>
      </c>
      <c r="J482" s="4" t="n">
        <v>157</v>
      </c>
      <c r="K482" t="inlineStr">
        <is>
          <t>82 / 75</t>
        </is>
      </c>
      <c r="L482" t="inlineStr">
        <is>
          <t>7 / 8</t>
        </is>
      </c>
      <c r="M482" s="5" t="n">
        <v>0.52</v>
      </c>
      <c r="N482" s="5" t="n">
        <v>0.47</v>
      </c>
    </row>
    <row r="483">
      <c r="A483" t="n">
        <v>482</v>
      </c>
      <c r="B483" t="n">
        <v>2017</v>
      </c>
      <c r="C483" t="inlineStr">
        <is>
          <t>Chen Xi Zhou Kong</t>
        </is>
      </c>
      <c r="D483">
        <f>HYPERLINK("https://ota.tournamentsoftware.com/player-profile/E5CD94C9-63F9-419B-A6E9-CCB6DEF8B502", "Link")</f>
        <v/>
      </c>
      <c r="E483" s="3" t="n">
        <v>97.464</v>
      </c>
      <c r="F483" s="4" t="n">
        <v>26</v>
      </c>
      <c r="G483" t="inlineStr">
        <is>
          <t>Tennis Québec</t>
        </is>
      </c>
      <c r="H483" t="inlineStr">
        <is>
          <t>Centre récréatif de Repentigny / Académie Tennis Momentum</t>
        </is>
      </c>
      <c r="I483" t="n">
        <v>35.7</v>
      </c>
      <c r="J483" s="4" t="n">
        <v>127</v>
      </c>
      <c r="K483" t="inlineStr">
        <is>
          <t>60 / 67</t>
        </is>
      </c>
      <c r="L483" t="inlineStr">
        <is>
          <t>43 / 40</t>
        </is>
      </c>
      <c r="M483" s="5" t="n">
        <v>0.47</v>
      </c>
      <c r="N483" s="5" t="n">
        <v>0.52</v>
      </c>
    </row>
    <row r="484">
      <c r="A484" t="n">
        <v>483</v>
      </c>
      <c r="B484" t="n">
        <v>2015</v>
      </c>
      <c r="C484" t="inlineStr">
        <is>
          <t>Larissa Bulynko</t>
        </is>
      </c>
      <c r="D484">
        <f>HYPERLINK("https://ota.tournamentsoftware.com/player-profile/387B3C19-006B-446B-A1CE-226F349C0C24", "Link")</f>
        <v/>
      </c>
      <c r="E484" s="3" t="n">
        <v>97.074</v>
      </c>
      <c r="F484" s="4" t="n">
        <v>15</v>
      </c>
      <c r="G484" t="inlineStr">
        <is>
          <t>Ontario Tennis Association</t>
        </is>
      </c>
      <c r="H484" t="inlineStr">
        <is>
          <t>National Tennis School</t>
        </is>
      </c>
      <c r="I484" t="n">
        <v>36.6</v>
      </c>
      <c r="J484" s="4" t="n">
        <v>63</v>
      </c>
      <c r="K484" t="inlineStr">
        <is>
          <t>25 / 38</t>
        </is>
      </c>
      <c r="L484" t="inlineStr">
        <is>
          <t>10 / 15</t>
        </is>
      </c>
      <c r="M484" s="5" t="n">
        <v>0.4</v>
      </c>
      <c r="N484" s="5" t="n">
        <v>0.4</v>
      </c>
    </row>
    <row r="485">
      <c r="A485" t="n">
        <v>484</v>
      </c>
      <c r="B485" t="n">
        <v>2015</v>
      </c>
      <c r="C485" t="inlineStr">
        <is>
          <t>Violet Ton-That</t>
        </is>
      </c>
      <c r="D485">
        <f>HYPERLINK("https://ota.tournamentsoftware.com/player-profile/2832D590-1D78-4B7F-B573-E2D932040ADB", "Link")</f>
        <v/>
      </c>
      <c r="E485" s="3" t="n">
        <v>96.917</v>
      </c>
      <c r="F485" s="4" t="n">
        <v>10</v>
      </c>
      <c r="G485" t="inlineStr">
        <is>
          <t>Tennis Québec</t>
        </is>
      </c>
      <c r="H485" t="inlineStr">
        <is>
          <t>Tennis Montréal Excellence</t>
        </is>
      </c>
      <c r="I485" t="n">
        <v>35.7</v>
      </c>
      <c r="J485" s="4" t="n">
        <v>63</v>
      </c>
      <c r="K485" t="inlineStr">
        <is>
          <t>29 / 34</t>
        </is>
      </c>
      <c r="L485" t="inlineStr">
        <is>
          <t>8 / 10</t>
        </is>
      </c>
      <c r="M485" s="5" t="n">
        <v>0.46</v>
      </c>
      <c r="N485" s="5" t="n">
        <v>0.44</v>
      </c>
    </row>
    <row r="486">
      <c r="A486" t="n">
        <v>485</v>
      </c>
      <c r="B486" t="n">
        <v>2014</v>
      </c>
      <c r="C486" t="inlineStr">
        <is>
          <t>Sarah Gottlieb</t>
        </is>
      </c>
      <c r="D486">
        <f>HYPERLINK("https://ota.tournamentsoftware.com/player-profile/BD51254A-E036-424C-B89A-FB47A73C0DC5", "Link")</f>
        <v/>
      </c>
      <c r="E486" s="3" t="n">
        <v>96.5</v>
      </c>
      <c r="F486" s="4" t="n">
        <v>3</v>
      </c>
      <c r="G486" t="inlineStr">
        <is>
          <t>Tennis Québec</t>
        </is>
      </c>
      <c r="H486" t="inlineStr">
        <is>
          <t>Tennis 13</t>
        </is>
      </c>
      <c r="I486" t="n">
        <v>33.5</v>
      </c>
      <c r="J486" s="4" t="n">
        <v>92</v>
      </c>
      <c r="K486" t="inlineStr">
        <is>
          <t>46 / 46</t>
        </is>
      </c>
      <c r="L486" t="inlineStr">
        <is>
          <t>1 / 2</t>
        </is>
      </c>
      <c r="M486" s="5" t="n">
        <v>0.5</v>
      </c>
      <c r="N486" s="5" t="n">
        <v>0.33</v>
      </c>
    </row>
    <row r="487">
      <c r="A487" t="n">
        <v>486</v>
      </c>
      <c r="B487" t="n">
        <v>2014</v>
      </c>
      <c r="C487" t="inlineStr">
        <is>
          <t>Yue Zhang</t>
        </is>
      </c>
      <c r="D487">
        <f>HYPERLINK("https://ota.tournamentsoftware.com/player-profile/85239D79-7080-4052-A527-EE7F087184E4", "Link")</f>
        <v/>
      </c>
      <c r="E487" s="3" t="n">
        <v>96.28100000000001</v>
      </c>
      <c r="F487" s="4" t="n">
        <v>8</v>
      </c>
      <c r="G487" t="inlineStr">
        <is>
          <t>Tennis Nova Scotia</t>
        </is>
      </c>
      <c r="H487" t="inlineStr">
        <is>
          <t>Atlantic Tennis Centre</t>
        </is>
      </c>
      <c r="I487" t="n">
        <v>35.4</v>
      </c>
      <c r="J487" s="4" t="n">
        <v>43</v>
      </c>
      <c r="K487" t="inlineStr">
        <is>
          <t>19 / 24</t>
        </is>
      </c>
      <c r="L487" t="inlineStr">
        <is>
          <t>10 / 13</t>
        </is>
      </c>
      <c r="M487" s="5" t="n">
        <v>0.44</v>
      </c>
      <c r="N487" s="5" t="n">
        <v>0.43</v>
      </c>
    </row>
    <row r="488">
      <c r="A488" t="n">
        <v>487</v>
      </c>
      <c r="B488" t="n">
        <v>2012</v>
      </c>
      <c r="C488" t="inlineStr">
        <is>
          <t>Emma Fedeyko</t>
        </is>
      </c>
      <c r="D488">
        <f>HYPERLINK("https://ota.tournamentsoftware.com/player-profile/62E06657-0480-40D7-B491-B99DA20E11DF", "Link")</f>
        <v/>
      </c>
      <c r="E488" s="3" t="n">
        <v>95.99299999999999</v>
      </c>
      <c r="F488" s="4" t="n">
        <v>7</v>
      </c>
      <c r="G488" t="inlineStr">
        <is>
          <t>Ontario Tennis Association</t>
        </is>
      </c>
      <c r="H488" t="inlineStr">
        <is>
          <t>Ontario Racquet Club</t>
        </is>
      </c>
      <c r="I488" t="n">
        <v>35.6</v>
      </c>
      <c r="J488" s="4" t="n">
        <v>53</v>
      </c>
      <c r="K488" t="inlineStr">
        <is>
          <t>19 / 34</t>
        </is>
      </c>
      <c r="L488" t="inlineStr">
        <is>
          <t>3 / 6</t>
        </is>
      </c>
      <c r="M488" s="5" t="n">
        <v>0.36</v>
      </c>
      <c r="N488" s="5" t="n">
        <v>0.33</v>
      </c>
    </row>
    <row r="489">
      <c r="A489" t="n">
        <v>488</v>
      </c>
      <c r="B489" t="n">
        <v>2015</v>
      </c>
      <c r="C489" t="inlineStr">
        <is>
          <t>Serena Wepadam CHONGATERA</t>
        </is>
      </c>
      <c r="D489">
        <f>HYPERLINK("https://ota.tournamentsoftware.com/player-profile/32A446CD-0BF6-43CA-BCC5-9AE4AEDFD5BE", "Link")</f>
        <v/>
      </c>
      <c r="E489" s="3" t="n">
        <v>95.923</v>
      </c>
      <c r="F489" s="4" t="n">
        <v>5</v>
      </c>
      <c r="G489" t="inlineStr">
        <is>
          <t>Tennis Nova Scotia</t>
        </is>
      </c>
      <c r="H489" t="inlineStr">
        <is>
          <t>HEADSTART</t>
        </is>
      </c>
      <c r="I489" t="n">
        <v>37.6</v>
      </c>
      <c r="J489" s="4" t="n">
        <v>22</v>
      </c>
      <c r="K489" t="inlineStr">
        <is>
          <t>8 / 14</t>
        </is>
      </c>
      <c r="L489" t="inlineStr">
        <is>
          <t>3 / 10</t>
        </is>
      </c>
      <c r="M489" s="5" t="n">
        <v>0.36</v>
      </c>
      <c r="N489" s="5" t="n">
        <v>0.23</v>
      </c>
    </row>
    <row r="490">
      <c r="A490" t="n">
        <v>489</v>
      </c>
      <c r="B490" t="n">
        <v>2014</v>
      </c>
      <c r="C490" t="inlineStr">
        <is>
          <t>Zoey Folashakin</t>
        </is>
      </c>
      <c r="D490">
        <f>HYPERLINK("https://ota.tournamentsoftware.com/player-profile/3301B942-3C8E-4FE4-9470-6F68EC47669D", "Link")</f>
        <v/>
      </c>
      <c r="E490" s="3" t="n">
        <v>95.544</v>
      </c>
      <c r="F490" s="4" t="n">
        <v>23</v>
      </c>
      <c r="G490" t="inlineStr">
        <is>
          <t>Ontario Tennis Association</t>
        </is>
      </c>
      <c r="H490" t="inlineStr">
        <is>
          <t>Joshua Creek Golf &amp; Tennis</t>
        </is>
      </c>
      <c r="I490" t="n">
        <v>36</v>
      </c>
      <c r="J490" s="4" t="n">
        <v>73</v>
      </c>
      <c r="K490" t="inlineStr">
        <is>
          <t>17 / 56</t>
        </is>
      </c>
      <c r="L490" t="inlineStr">
        <is>
          <t>13 / 17</t>
        </is>
      </c>
      <c r="M490" s="5" t="n">
        <v>0.23</v>
      </c>
      <c r="N490" s="5" t="n">
        <v>0.43</v>
      </c>
    </row>
    <row r="491">
      <c r="A491" t="n">
        <v>490</v>
      </c>
      <c r="B491" t="n">
        <v>2012</v>
      </c>
      <c r="C491" t="inlineStr">
        <is>
          <t>Tiana Amede-Bramwell</t>
        </is>
      </c>
      <c r="D491">
        <f>HYPERLINK("https://ota.tournamentsoftware.com/player-profile/BC31A25D-C48C-47FD-A0A3-D600EA315675", "Link")</f>
        <v/>
      </c>
      <c r="E491" s="3" t="n">
        <v>94.053</v>
      </c>
      <c r="F491" s="4" t="n">
        <v>12</v>
      </c>
      <c r="G491" t="inlineStr">
        <is>
          <t>Ontario Tennis Association</t>
        </is>
      </c>
      <c r="H491" t="inlineStr">
        <is>
          <t>Credit Valley Tennis Club</t>
        </is>
      </c>
      <c r="I491" t="n">
        <v>39.4</v>
      </c>
      <c r="J491" s="4" t="n">
        <v>42</v>
      </c>
      <c r="K491" t="inlineStr">
        <is>
          <t>8 / 34</t>
        </is>
      </c>
      <c r="L491" t="inlineStr">
        <is>
          <t>8 / 31</t>
        </is>
      </c>
      <c r="M491" s="5" t="n">
        <v>0.19</v>
      </c>
      <c r="N491" s="5" t="n">
        <v>0.21</v>
      </c>
    </row>
    <row r="492">
      <c r="A492" t="n">
        <v>491</v>
      </c>
      <c r="B492" t="n">
        <v>2015</v>
      </c>
      <c r="C492" t="inlineStr">
        <is>
          <t>Joey Wu</t>
        </is>
      </c>
      <c r="D492">
        <f>HYPERLINK("https://ota.tournamentsoftware.com/player-profile/5271198B-7814-4938-9A9E-61E10CC7CCA6", "Link")</f>
        <v/>
      </c>
      <c r="E492" s="3" t="n">
        <v>92.84</v>
      </c>
      <c r="F492" s="4" t="n">
        <v>24</v>
      </c>
      <c r="G492" t="inlineStr">
        <is>
          <t>British Columbia</t>
        </is>
      </c>
      <c r="H492" t="inlineStr">
        <is>
          <t>City of Richmond</t>
        </is>
      </c>
      <c r="I492" t="inlineStr">
        <is>
          <t>unavailable</t>
        </is>
      </c>
      <c r="J492" s="4" t="n">
        <v>127</v>
      </c>
      <c r="K492" t="inlineStr">
        <is>
          <t>75 / 52</t>
        </is>
      </c>
      <c r="L492" t="inlineStr">
        <is>
          <t>20 / 28</t>
        </is>
      </c>
      <c r="M492" s="5" t="n">
        <v>0.59</v>
      </c>
      <c r="N492" s="5" t="n">
        <v>0.42</v>
      </c>
    </row>
    <row r="493">
      <c r="A493" t="n">
        <v>492</v>
      </c>
      <c r="B493" t="n">
        <v>2015</v>
      </c>
      <c r="C493" t="inlineStr">
        <is>
          <t>zhiyi li</t>
        </is>
      </c>
      <c r="D493">
        <f>HYPERLINK("https://ota.tournamentsoftware.com/player-profile/262E56E9-3220-45C2-961D-ACE763C5C345", "Link")</f>
        <v/>
      </c>
      <c r="E493" s="3" t="n">
        <v>92.664</v>
      </c>
      <c r="F493" s="4" t="n">
        <v>12</v>
      </c>
      <c r="G493" t="inlineStr">
        <is>
          <t>Ontario Tennis Association</t>
        </is>
      </c>
      <c r="H493" t="inlineStr">
        <is>
          <t>Rideau Sports Centre</t>
        </is>
      </c>
      <c r="I493" t="n">
        <v>35</v>
      </c>
      <c r="J493" s="4" t="n">
        <v>92</v>
      </c>
      <c r="K493" t="inlineStr">
        <is>
          <t>48 / 44</t>
        </is>
      </c>
      <c r="L493" t="inlineStr">
        <is>
          <t>12 / 14</t>
        </is>
      </c>
      <c r="M493" s="5" t="n">
        <v>0.52</v>
      </c>
      <c r="N493" s="5" t="n">
        <v>0.46</v>
      </c>
    </row>
    <row r="494">
      <c r="A494" t="n">
        <v>493</v>
      </c>
      <c r="B494" t="n">
        <v>2013</v>
      </c>
      <c r="C494" t="inlineStr">
        <is>
          <t>Mengge(Maya) Xu</t>
        </is>
      </c>
      <c r="D494">
        <f>HYPERLINK("https://ota.tournamentsoftware.com/player-profile/9CD6D408-1A72-4E0B-A9C9-DD675B785873", "Link")</f>
        <v/>
      </c>
      <c r="E494" s="3" t="n">
        <v>92.598</v>
      </c>
      <c r="F494" s="4" t="n">
        <v>9</v>
      </c>
      <c r="G494" t="inlineStr">
        <is>
          <t>Ontario Tennis Association</t>
        </is>
      </c>
      <c r="H494" t="inlineStr">
        <is>
          <t>Markham Tennis Club</t>
        </is>
      </c>
      <c r="I494" t="n">
        <v>38.5</v>
      </c>
      <c r="J494" s="4" t="n">
        <v>37</v>
      </c>
      <c r="K494" t="inlineStr">
        <is>
          <t>12 / 25</t>
        </is>
      </c>
      <c r="L494" t="inlineStr">
        <is>
          <t>7 / 13</t>
        </is>
      </c>
      <c r="M494" s="5" t="n">
        <v>0.32</v>
      </c>
      <c r="N494" s="5" t="n">
        <v>0.35</v>
      </c>
    </row>
    <row r="495">
      <c r="A495" t="n">
        <v>494</v>
      </c>
      <c r="B495" t="n">
        <v>2014</v>
      </c>
      <c r="C495" t="inlineStr">
        <is>
          <t>cataleya florina zadarojnea</t>
        </is>
      </c>
      <c r="D495">
        <f>HYPERLINK("https://ota.tournamentsoftware.com/player-profile/EAEB7B00-5E1C-47F6-8FF3-1537E07A8B59", "Link")</f>
        <v/>
      </c>
      <c r="E495" s="3" t="n">
        <v>92.57599999999999</v>
      </c>
      <c r="F495" s="4" t="n">
        <v>25</v>
      </c>
      <c r="G495" t="inlineStr">
        <is>
          <t>Ontario Tennis Association</t>
        </is>
      </c>
      <c r="H495" t="inlineStr">
        <is>
          <t>Premier Racquet Clubs – Mississauga</t>
        </is>
      </c>
      <c r="I495" t="n">
        <v>37.3</v>
      </c>
      <c r="J495" s="4" t="n">
        <v>39</v>
      </c>
      <c r="K495" t="inlineStr">
        <is>
          <t>13 / 26</t>
        </is>
      </c>
      <c r="L495" t="inlineStr">
        <is>
          <t>9 / 19</t>
        </is>
      </c>
      <c r="M495" s="5" t="n">
        <v>0.33</v>
      </c>
      <c r="N495" s="5" t="n">
        <v>0.32</v>
      </c>
    </row>
    <row r="496">
      <c r="A496" t="n">
        <v>495</v>
      </c>
      <c r="B496" t="n">
        <v>2016</v>
      </c>
      <c r="C496" t="inlineStr">
        <is>
          <t>Ziqi Yu</t>
        </is>
      </c>
      <c r="D496">
        <f>HYPERLINK("https://ota.tournamentsoftware.com/player-profile/89FEB2A7-669B-4D40-A67D-54016F42DA82", "Link")</f>
        <v/>
      </c>
      <c r="E496" s="3" t="n">
        <v>92.40000000000001</v>
      </c>
      <c r="F496" s="4" t="n">
        <v>22</v>
      </c>
      <c r="G496" t="inlineStr">
        <is>
          <t>Ontario Tennis Association</t>
        </is>
      </c>
      <c r="H496" t="inlineStr">
        <is>
          <t>Blackmore Tennis Club</t>
        </is>
      </c>
      <c r="I496" t="n">
        <v>34.2</v>
      </c>
      <c r="J496" s="4" t="n">
        <v>109</v>
      </c>
      <c r="K496" t="inlineStr">
        <is>
          <t>70 / 39</t>
        </is>
      </c>
      <c r="L496" t="inlineStr">
        <is>
          <t>34 / 20</t>
        </is>
      </c>
      <c r="M496" s="5" t="n">
        <v>0.64</v>
      </c>
      <c r="N496" s="5" t="n">
        <v>0.63</v>
      </c>
    </row>
    <row r="497">
      <c r="A497" t="n">
        <v>496</v>
      </c>
      <c r="B497" t="n">
        <v>2013</v>
      </c>
      <c r="C497" t="inlineStr">
        <is>
          <t>Aditi Varma</t>
        </is>
      </c>
      <c r="D497">
        <f>HYPERLINK("https://ota.tournamentsoftware.com/player-profile/EE1E4950-6BCE-4CAA-921A-C5201D737DFF", "Link")</f>
        <v/>
      </c>
      <c r="E497" s="3" t="n">
        <v>91.402</v>
      </c>
      <c r="F497" s="4" t="n">
        <v>8</v>
      </c>
      <c r="G497" t="inlineStr">
        <is>
          <t>Ontario Tennis Association</t>
        </is>
      </c>
      <c r="H497" t="inlineStr">
        <is>
          <t>Ontario Racquet Club</t>
        </is>
      </c>
      <c r="I497" t="n">
        <v>34.9</v>
      </c>
      <c r="J497" s="4" t="n">
        <v>87</v>
      </c>
      <c r="K497" t="inlineStr">
        <is>
          <t>26 / 61</t>
        </is>
      </c>
      <c r="L497" t="inlineStr">
        <is>
          <t>2 / 5</t>
        </is>
      </c>
      <c r="M497" s="5" t="n">
        <v>0.3</v>
      </c>
      <c r="N497" s="5" t="n">
        <v>0.29</v>
      </c>
    </row>
    <row r="498">
      <c r="A498" t="n">
        <v>497</v>
      </c>
      <c r="B498" t="n">
        <v>2014</v>
      </c>
      <c r="C498" t="inlineStr">
        <is>
          <t>Maylis Ilmane</t>
        </is>
      </c>
      <c r="D498">
        <f>HYPERLINK("https://ota.tournamentsoftware.com/player-profile/8AD3E1E2-82F0-490F-B772-6E9AA24959CC", "Link")</f>
        <v/>
      </c>
      <c r="E498" s="3" t="n">
        <v>90.08799999999999</v>
      </c>
      <c r="F498" s="4" t="n">
        <v>7</v>
      </c>
      <c r="G498" t="inlineStr">
        <is>
          <t>Tennis Québec</t>
        </is>
      </c>
      <c r="H498" t="inlineStr">
        <is>
          <t>Centre récréatif de Repentigny / Académie Tennis Momentum</t>
        </is>
      </c>
      <c r="I498" t="n">
        <v>35.4</v>
      </c>
      <c r="J498" s="4" t="n">
        <v>60</v>
      </c>
      <c r="K498" t="inlineStr">
        <is>
          <t>25 / 35</t>
        </is>
      </c>
      <c r="L498" t="inlineStr">
        <is>
          <t>7 / 6</t>
        </is>
      </c>
      <c r="M498" s="5" t="n">
        <v>0.42</v>
      </c>
      <c r="N498" s="5" t="n">
        <v>0.54</v>
      </c>
    </row>
    <row r="499">
      <c r="A499" t="n">
        <v>498</v>
      </c>
      <c r="B499" t="n">
        <v>2015</v>
      </c>
      <c r="C499" t="inlineStr">
        <is>
          <t>Mataya Victoria Jan</t>
        </is>
      </c>
      <c r="D499">
        <f>HYPERLINK("https://ota.tournamentsoftware.com/player-profile/52A288CA-2524-4398-A498-9546CE531A78", "Link")</f>
        <v/>
      </c>
      <c r="E499" s="3" t="n">
        <v>89.748</v>
      </c>
      <c r="F499" s="4" t="n">
        <v>11</v>
      </c>
      <c r="G499" t="inlineStr">
        <is>
          <t>Ontario Tennis Association</t>
        </is>
      </c>
      <c r="H499" t="inlineStr">
        <is>
          <t>Tennis Centre West Ottawa</t>
        </is>
      </c>
      <c r="I499" t="n">
        <v>37.6</v>
      </c>
      <c r="J499" s="4" t="n">
        <v>19</v>
      </c>
      <c r="K499" t="inlineStr">
        <is>
          <t>2 / 17</t>
        </is>
      </c>
      <c r="L499" t="inlineStr">
        <is>
          <t>2 / 12</t>
        </is>
      </c>
      <c r="M499" s="5" t="n">
        <v>0.11</v>
      </c>
      <c r="N499" s="5" t="n">
        <v>0.14</v>
      </c>
    </row>
    <row r="500">
      <c r="A500" t="n">
        <v>499</v>
      </c>
      <c r="B500" t="n">
        <v>2013</v>
      </c>
      <c r="C500" t="inlineStr">
        <is>
          <t>Victoria maya Carinci</t>
        </is>
      </c>
      <c r="D500">
        <f>HYPERLINK("https://ota.tournamentsoftware.com/player-profile/767AAF86-8D36-4699-8113-86AA6DA60CE4", "Link")</f>
        <v/>
      </c>
      <c r="E500" s="3" t="n">
        <v>88.83499999999999</v>
      </c>
      <c r="F500" s="4" t="n">
        <v>12</v>
      </c>
      <c r="G500" t="inlineStr">
        <is>
          <t>Ontario Tennis Association</t>
        </is>
      </c>
      <c r="H500" t="inlineStr">
        <is>
          <t>Concord Tennis Academy</t>
        </is>
      </c>
      <c r="I500" t="n">
        <v>39.3</v>
      </c>
      <c r="J500" s="4" t="n">
        <v>40</v>
      </c>
      <c r="K500" t="inlineStr">
        <is>
          <t>9 / 31</t>
        </is>
      </c>
      <c r="L500" t="inlineStr">
        <is>
          <t>1 / 10</t>
        </is>
      </c>
      <c r="M500" s="5" t="n">
        <v>0.23</v>
      </c>
      <c r="N500" s="5" t="n">
        <v>0.09</v>
      </c>
    </row>
    <row r="501">
      <c r="A501" t="n">
        <v>500</v>
      </c>
      <c r="B501" t="n">
        <v>2012</v>
      </c>
      <c r="C501" t="inlineStr">
        <is>
          <t>Aaisha Rathod</t>
        </is>
      </c>
      <c r="D501">
        <f>HYPERLINK("https://ota.tournamentsoftware.com/player-profile/3CFF2AC0-C5A1-461F-91D3-0CD8EAFC5609", "Link")</f>
        <v/>
      </c>
      <c r="E501" s="3" t="n">
        <v>88.039</v>
      </c>
      <c r="F501" s="4" t="n">
        <v>10</v>
      </c>
      <c r="G501" t="inlineStr">
        <is>
          <t>Ontario Tennis Association</t>
        </is>
      </c>
      <c r="H501" t="inlineStr">
        <is>
          <t>Premier Racquet Clubs – Mississauga</t>
        </is>
      </c>
      <c r="I501" t="n">
        <v>38.6</v>
      </c>
      <c r="J501" s="4" t="n">
        <v>76</v>
      </c>
      <c r="K501" t="inlineStr">
        <is>
          <t>4 / 72</t>
        </is>
      </c>
      <c r="L501" t="inlineStr">
        <is>
          <t>2 / 9</t>
        </is>
      </c>
      <c r="M501" s="5" t="n">
        <v>0.05</v>
      </c>
      <c r="N501" s="5" t="n">
        <v>0.18</v>
      </c>
    </row>
    <row r="502">
      <c r="A502" t="n">
        <v>501</v>
      </c>
      <c r="B502" t="n">
        <v>2016</v>
      </c>
      <c r="C502" t="inlineStr">
        <is>
          <t>LUXI YANG</t>
        </is>
      </c>
      <c r="D502">
        <f>HYPERLINK("https://ota.tournamentsoftware.com/player-profile/00CB777C-F17D-4A37-8393-1F4E5A4F3C39", "Link")</f>
        <v/>
      </c>
      <c r="E502" s="3" t="n">
        <v>86.93600000000001</v>
      </c>
      <c r="F502" s="4" t="n">
        <v>11</v>
      </c>
      <c r="G502" t="inlineStr">
        <is>
          <t>British Columbia</t>
        </is>
      </c>
      <c r="H502" t="inlineStr">
        <is>
          <t>The Tennis Centre</t>
        </is>
      </c>
      <c r="I502" t="n">
        <v>31.8</v>
      </c>
      <c r="J502" s="4" t="n">
        <v>84</v>
      </c>
      <c r="K502" t="inlineStr">
        <is>
          <t>66 / 18</t>
        </is>
      </c>
      <c r="L502" t="inlineStr">
        <is>
          <t>29 / 8</t>
        </is>
      </c>
      <c r="M502" s="5" t="n">
        <v>0.79</v>
      </c>
      <c r="N502" s="5" t="n">
        <v>0.78</v>
      </c>
    </row>
    <row r="503">
      <c r="A503" t="n">
        <v>502</v>
      </c>
      <c r="B503" t="n">
        <v>2012</v>
      </c>
      <c r="C503" t="inlineStr">
        <is>
          <t>Isabella Sofia Zrnic</t>
        </is>
      </c>
      <c r="D503">
        <f>HYPERLINK("https://ota.tournamentsoftware.com/player-profile/C8963CF4-1E95-43AF-B92C-08778B2BA616", "Link")</f>
        <v/>
      </c>
      <c r="E503" s="3" t="n">
        <v>86.82599999999999</v>
      </c>
      <c r="F503" s="4" t="n">
        <v>9</v>
      </c>
      <c r="G503" t="inlineStr">
        <is>
          <t>Ontario Tennis Association</t>
        </is>
      </c>
      <c r="H503" t="inlineStr">
        <is>
          <t>Lawrence Park Tennis Club</t>
        </is>
      </c>
      <c r="I503" t="n">
        <v>35.4</v>
      </c>
      <c r="J503" s="4" t="n">
        <v>66</v>
      </c>
      <c r="K503" t="inlineStr">
        <is>
          <t>27 / 39</t>
        </is>
      </c>
      <c r="L503" t="inlineStr">
        <is>
          <t>6 / 9</t>
        </is>
      </c>
      <c r="M503" s="5" t="n">
        <v>0.41</v>
      </c>
      <c r="N503" s="5" t="n">
        <v>0.4</v>
      </c>
    </row>
    <row r="504">
      <c r="A504" t="n">
        <v>503</v>
      </c>
      <c r="B504" t="n">
        <v>2016</v>
      </c>
      <c r="C504" t="inlineStr">
        <is>
          <t>Abigail Jianing Zhou</t>
        </is>
      </c>
      <c r="D504">
        <f>HYPERLINK("https://ota.tournamentsoftware.com/player-profile/E53B2389-2E47-459E-9543-5DBB506C324A", "Link")</f>
        <v/>
      </c>
      <c r="E504" s="3" t="n">
        <v>86.64</v>
      </c>
      <c r="F504" s="4" t="n">
        <v>20</v>
      </c>
      <c r="G504" t="inlineStr">
        <is>
          <t>Ontario Tennis Association</t>
        </is>
      </c>
      <c r="H504" t="inlineStr">
        <is>
          <t>Joshua Creek Golf &amp; Tennis</t>
        </is>
      </c>
      <c r="I504" t="n">
        <v>36.4</v>
      </c>
      <c r="J504" s="4" t="n">
        <v>161</v>
      </c>
      <c r="K504" t="inlineStr">
        <is>
          <t>68 / 93</t>
        </is>
      </c>
      <c r="L504" t="inlineStr">
        <is>
          <t>30 / 28</t>
        </is>
      </c>
      <c r="M504" s="5" t="n">
        <v>0.42</v>
      </c>
      <c r="N504" s="5" t="n">
        <v>0.52</v>
      </c>
    </row>
    <row r="505">
      <c r="A505" t="n">
        <v>504</v>
      </c>
      <c r="B505" t="n">
        <v>2013</v>
      </c>
      <c r="C505" t="inlineStr">
        <is>
          <t>Quinn Pfaff</t>
        </is>
      </c>
      <c r="D505">
        <f>HYPERLINK("https://ota.tournamentsoftware.com/player-profile/4EE4E18D-7D9C-41F4-B172-783EBB13EF00", "Link")</f>
        <v/>
      </c>
      <c r="E505" s="3" t="n">
        <v>83.955</v>
      </c>
      <c r="F505" s="4" t="n">
        <v>4</v>
      </c>
      <c r="G505" t="inlineStr">
        <is>
          <t>Ontario Tennis Association</t>
        </is>
      </c>
      <c r="H505" t="inlineStr">
        <is>
          <t>Maitland Country Club</t>
        </is>
      </c>
      <c r="I505" t="n">
        <v>37.9</v>
      </c>
      <c r="J505" s="4" t="n">
        <v>4</v>
      </c>
      <c r="K505" t="inlineStr">
        <is>
          <t>0 / 4</t>
        </is>
      </c>
      <c r="L505" t="inlineStr">
        <is>
          <t>0 / 3</t>
        </is>
      </c>
      <c r="M505" s="5" t="n">
        <v>0</v>
      </c>
      <c r="N505" s="5" t="n">
        <v>0</v>
      </c>
    </row>
    <row r="506">
      <c r="A506" t="n">
        <v>505</v>
      </c>
      <c r="B506" t="n">
        <v>2013</v>
      </c>
      <c r="C506" t="inlineStr">
        <is>
          <t>Avonlyn Long</t>
        </is>
      </c>
      <c r="D506">
        <f>HYPERLINK("https://ota.tournamentsoftware.com/player-profile/750061EB-6049-44F3-9B6E-4DE9428D7158", "Link")</f>
        <v/>
      </c>
      <c r="E506" s="3" t="n">
        <v>83.592</v>
      </c>
      <c r="F506" s="4" t="n">
        <v>3</v>
      </c>
      <c r="G506" t="inlineStr">
        <is>
          <t>Ontario Tennis Association</t>
        </is>
      </c>
      <c r="H506" t="inlineStr">
        <is>
          <t>Carleton Tennis Centre</t>
        </is>
      </c>
      <c r="I506" t="n">
        <v>39</v>
      </c>
      <c r="J506" s="4" t="n">
        <v>12</v>
      </c>
      <c r="K506" t="inlineStr">
        <is>
          <t>1 / 11</t>
        </is>
      </c>
      <c r="L506" t="inlineStr">
        <is>
          <t>1 / 3</t>
        </is>
      </c>
      <c r="M506" s="5" t="n">
        <v>0.08</v>
      </c>
      <c r="N506" s="5" t="n">
        <v>0.25</v>
      </c>
    </row>
    <row r="507">
      <c r="A507" t="n">
        <v>506</v>
      </c>
      <c r="B507" t="n">
        <v>2013</v>
      </c>
      <c r="C507" t="inlineStr">
        <is>
          <t>Emma Victoria Chan</t>
        </is>
      </c>
      <c r="D507">
        <f>HYPERLINK("https://ota.tournamentsoftware.com/player-profile/29822B25-6004-4E31-822F-CF8FF1CD9AB7", "Link")</f>
        <v/>
      </c>
      <c r="E507" s="3" t="n">
        <v>83.06399999999999</v>
      </c>
      <c r="F507" s="4" t="n">
        <v>7</v>
      </c>
      <c r="G507" t="inlineStr">
        <is>
          <t>Ontario Tennis Association</t>
        </is>
      </c>
      <c r="H507" t="inlineStr">
        <is>
          <t>Joshua Creek Golf &amp; Tennis</t>
        </is>
      </c>
      <c r="I507" t="n">
        <v>36.3</v>
      </c>
      <c r="J507" s="4" t="n">
        <v>66</v>
      </c>
      <c r="K507" t="inlineStr">
        <is>
          <t>41 / 25</t>
        </is>
      </c>
      <c r="L507" t="inlineStr">
        <is>
          <t>13 / 5</t>
        </is>
      </c>
      <c r="M507" s="5" t="n">
        <v>0.62</v>
      </c>
      <c r="N507" s="5" t="n">
        <v>0.72</v>
      </c>
    </row>
    <row r="508">
      <c r="A508" t="n">
        <v>507</v>
      </c>
      <c r="B508" t="n">
        <v>2014</v>
      </c>
      <c r="C508" t="inlineStr">
        <is>
          <t>Ananya Rao</t>
        </is>
      </c>
      <c r="D508">
        <f>HYPERLINK("https://ota.tournamentsoftware.com/player-profile/D12578BD-BDAF-471D-B53C-09B281C916CB", "Link")</f>
        <v/>
      </c>
      <c r="E508" s="3" t="n">
        <v>83.045</v>
      </c>
      <c r="F508" s="4" t="n">
        <v>11</v>
      </c>
      <c r="G508" t="inlineStr">
        <is>
          <t>Ontario Tennis Association</t>
        </is>
      </c>
      <c r="H508" t="inlineStr">
        <is>
          <t>Carleton Tennis Centre</t>
        </is>
      </c>
      <c r="I508" t="n">
        <v>36.8</v>
      </c>
      <c r="J508" s="4" t="n">
        <v>93</v>
      </c>
      <c r="K508" t="inlineStr">
        <is>
          <t>29 / 64</t>
        </is>
      </c>
      <c r="L508" t="inlineStr">
        <is>
          <t>6 / 9</t>
        </is>
      </c>
      <c r="M508" s="5" t="n">
        <v>0.31</v>
      </c>
      <c r="N508" s="5" t="n">
        <v>0.4</v>
      </c>
    </row>
    <row r="509">
      <c r="A509" t="n">
        <v>508</v>
      </c>
      <c r="B509" t="n">
        <v>2014</v>
      </c>
      <c r="C509" t="inlineStr">
        <is>
          <t>Aditri Mundhra</t>
        </is>
      </c>
      <c r="D509">
        <f>HYPERLINK("https://ota.tournamentsoftware.com/player-profile/C7A9A9F1-2DF6-42CD-AA71-F15C9BFFA6EB", "Link")</f>
        <v/>
      </c>
      <c r="E509" s="3" t="n">
        <v>82.485</v>
      </c>
      <c r="F509" s="4" t="n">
        <v>19</v>
      </c>
      <c r="G509" t="inlineStr">
        <is>
          <t>British Columbia</t>
        </is>
      </c>
      <c r="H509" t="inlineStr">
        <is>
          <t>No Club</t>
        </is>
      </c>
      <c r="I509" t="n">
        <v>36.1</v>
      </c>
      <c r="J509" s="4" t="n">
        <v>54</v>
      </c>
      <c r="K509" t="inlineStr">
        <is>
          <t>18 / 36</t>
        </is>
      </c>
      <c r="L509" t="inlineStr">
        <is>
          <t>14 / 23</t>
        </is>
      </c>
      <c r="M509" s="5" t="n">
        <v>0.33</v>
      </c>
      <c r="N509" s="5" t="n">
        <v>0.38</v>
      </c>
    </row>
    <row r="510">
      <c r="A510" t="n">
        <v>509</v>
      </c>
      <c r="B510" t="n">
        <v>2013</v>
      </c>
      <c r="C510" t="inlineStr">
        <is>
          <t>Audrey Humeniuk</t>
        </is>
      </c>
      <c r="D510">
        <f>HYPERLINK("https://ota.tournamentsoftware.com/player-profile/468D56FB-0ABD-4840-82FB-F2B1EB075075", "Link")</f>
        <v/>
      </c>
      <c r="E510" s="3" t="n">
        <v>82.30800000000001</v>
      </c>
      <c r="F510" s="4" t="n">
        <v>5</v>
      </c>
      <c r="G510" t="inlineStr">
        <is>
          <t>Ontario Tennis Association</t>
        </is>
      </c>
      <c r="H510" t="inlineStr">
        <is>
          <t>Tennis Centre West Ottawa</t>
        </is>
      </c>
      <c r="I510" t="n">
        <v>39.5</v>
      </c>
      <c r="J510" s="4" t="n">
        <v>11</v>
      </c>
      <c r="K510" t="inlineStr">
        <is>
          <t>2 / 9</t>
        </is>
      </c>
      <c r="L510" t="inlineStr">
        <is>
          <t>1 / 5</t>
        </is>
      </c>
      <c r="M510" s="5" t="n">
        <v>0.18</v>
      </c>
      <c r="N510" s="5" t="n">
        <v>0.17</v>
      </c>
    </row>
    <row r="511">
      <c r="A511" t="n">
        <v>510</v>
      </c>
      <c r="B511" t="n">
        <v>2015</v>
      </c>
      <c r="C511" t="inlineStr">
        <is>
          <t>Ellieann Jean Baker</t>
        </is>
      </c>
      <c r="D511">
        <f>HYPERLINK("https://ota.tournamentsoftware.com/player-profile/059CF7FD-B4FA-4522-AF55-9B2138153D9C", "Link")</f>
        <v/>
      </c>
      <c r="E511" s="3" t="n">
        <v>81.88</v>
      </c>
      <c r="F511" s="4" t="n">
        <v>9</v>
      </c>
      <c r="G511" t="inlineStr">
        <is>
          <t>Tennis Alberta</t>
        </is>
      </c>
      <c r="H511" t="inlineStr">
        <is>
          <t>Aforza</t>
        </is>
      </c>
      <c r="I511" t="n">
        <v>36.2</v>
      </c>
      <c r="J511" s="4" t="n">
        <v>114</v>
      </c>
      <c r="K511" t="inlineStr">
        <is>
          <t>47 / 67</t>
        </is>
      </c>
      <c r="L511" t="inlineStr">
        <is>
          <t>6 / 14</t>
        </is>
      </c>
      <c r="M511" s="5" t="n">
        <v>0.41</v>
      </c>
      <c r="N511" s="5" t="n">
        <v>0.3</v>
      </c>
    </row>
    <row r="512">
      <c r="A512" t="n">
        <v>511</v>
      </c>
      <c r="B512" t="n">
        <v>2013</v>
      </c>
      <c r="C512" t="inlineStr">
        <is>
          <t>Emilia Sofia Urkedal</t>
        </is>
      </c>
      <c r="D512">
        <f>HYPERLINK("https://ota.tournamentsoftware.com/player-profile/381713CB-202F-43FD-B96F-4B364BE2EE52", "Link")</f>
        <v/>
      </c>
      <c r="E512" s="3" t="n">
        <v>81.57299999999999</v>
      </c>
      <c r="F512" s="4" t="n">
        <v>7</v>
      </c>
      <c r="G512" t="inlineStr">
        <is>
          <t>Ontario Tennis Association</t>
        </is>
      </c>
      <c r="H512" t="inlineStr">
        <is>
          <t>Greenhills Golf Club</t>
        </is>
      </c>
      <c r="I512" t="n">
        <v>37</v>
      </c>
      <c r="J512" s="4" t="n">
        <v>69</v>
      </c>
      <c r="K512" t="inlineStr">
        <is>
          <t>17 / 52</t>
        </is>
      </c>
      <c r="L512" t="inlineStr">
        <is>
          <t>4 / 7</t>
        </is>
      </c>
      <c r="M512" s="5" t="n">
        <v>0.25</v>
      </c>
      <c r="N512" s="5" t="n">
        <v>0.36</v>
      </c>
    </row>
    <row r="513">
      <c r="A513" t="n">
        <v>512</v>
      </c>
      <c r="B513" t="n">
        <v>2015</v>
      </c>
      <c r="C513" t="inlineStr">
        <is>
          <t>Doreen Bowen Mao</t>
        </is>
      </c>
      <c r="D513">
        <f>HYPERLINK("https://ota.tournamentsoftware.com/player-profile/24478EB2-203F-4DE3-92C9-B16D9A60F77F", "Link")</f>
        <v/>
      </c>
      <c r="E513" s="3" t="n">
        <v>80.75</v>
      </c>
      <c r="F513" s="4" t="n">
        <v>17</v>
      </c>
      <c r="G513" t="inlineStr">
        <is>
          <t>Ontario Tennis Association</t>
        </is>
      </c>
      <c r="H513" t="inlineStr">
        <is>
          <t>Joshua Creek Golf &amp; Tennis</t>
        </is>
      </c>
      <c r="I513" t="n">
        <v>37</v>
      </c>
      <c r="J513" s="4" t="n">
        <v>82</v>
      </c>
      <c r="K513" t="inlineStr">
        <is>
          <t>34 / 48</t>
        </is>
      </c>
      <c r="L513" t="inlineStr">
        <is>
          <t>19 / 23</t>
        </is>
      </c>
      <c r="M513" s="5" t="n">
        <v>0.41</v>
      </c>
      <c r="N513" s="5" t="n">
        <v>0.45</v>
      </c>
    </row>
    <row r="514">
      <c r="A514" t="n">
        <v>513</v>
      </c>
      <c r="B514" t="n">
        <v>2012</v>
      </c>
      <c r="C514" t="inlineStr">
        <is>
          <t>Emily Zhang</t>
        </is>
      </c>
      <c r="D514">
        <f>HYPERLINK("https://ota.tournamentsoftware.com/player-profile/927E8E34-8FE2-4B37-81C7-621F5326585C", "Link")</f>
        <v/>
      </c>
      <c r="E514" s="3" t="n">
        <v>80.68600000000001</v>
      </c>
      <c r="F514" s="4" t="n">
        <v>4</v>
      </c>
      <c r="G514" t="inlineStr">
        <is>
          <t>Ontario Tennis Association</t>
        </is>
      </c>
      <c r="H514" t="inlineStr">
        <is>
          <t>Blackmore Tennis Club</t>
        </is>
      </c>
      <c r="I514" t="inlineStr">
        <is>
          <t>unavailable</t>
        </is>
      </c>
      <c r="J514" s="4" t="n">
        <v>48</v>
      </c>
      <c r="K514" t="inlineStr">
        <is>
          <t>10 / 38</t>
        </is>
      </c>
      <c r="L514" t="inlineStr">
        <is>
          <t>1 / 3</t>
        </is>
      </c>
      <c r="M514" s="5" t="n">
        <v>0.21</v>
      </c>
      <c r="N514" s="5" t="n">
        <v>0.25</v>
      </c>
    </row>
    <row r="515">
      <c r="A515" t="n">
        <v>514</v>
      </c>
      <c r="B515" t="n">
        <v>2017</v>
      </c>
      <c r="C515" t="inlineStr">
        <is>
          <t>Siena Yang-frome</t>
        </is>
      </c>
      <c r="D515">
        <f>HYPERLINK("https://ota.tournamentsoftware.com/player-profile/07E78FFD-E9BB-462A-8A5B-4456E8FEB96D", "Link")</f>
        <v/>
      </c>
      <c r="E515" s="3" t="n">
        <v>80.414</v>
      </c>
      <c r="F515" s="4" t="n">
        <v>15</v>
      </c>
      <c r="G515" t="inlineStr">
        <is>
          <t>Ontario Tennis Association</t>
        </is>
      </c>
      <c r="H515" t="inlineStr">
        <is>
          <t>Premier Racquet Clubs – Mississauga</t>
        </is>
      </c>
      <c r="I515" t="n">
        <v>35.9</v>
      </c>
      <c r="J515" s="4" t="n">
        <v>89</v>
      </c>
      <c r="K515" t="inlineStr">
        <is>
          <t>50 / 39</t>
        </is>
      </c>
      <c r="L515" t="inlineStr">
        <is>
          <t>12 / 16</t>
        </is>
      </c>
      <c r="M515" s="5" t="n">
        <v>0.5600000000000001</v>
      </c>
      <c r="N515" s="5" t="n">
        <v>0.43</v>
      </c>
    </row>
    <row r="516">
      <c r="A516" t="n">
        <v>515</v>
      </c>
      <c r="B516" t="n">
        <v>2015</v>
      </c>
      <c r="C516" t="inlineStr">
        <is>
          <t>Savannah Billings</t>
        </is>
      </c>
      <c r="D516">
        <f>HYPERLINK("https://ota.tournamentsoftware.com/player-profile/3C86C2A1-7881-4E07-A889-C842F4C67652", "Link")</f>
        <v/>
      </c>
      <c r="E516" s="3" t="n">
        <v>79.464</v>
      </c>
      <c r="F516" s="4" t="n">
        <v>5</v>
      </c>
      <c r="G516" t="inlineStr">
        <is>
          <t>Tennis Québec</t>
        </is>
      </c>
      <c r="H516" t="inlineStr">
        <is>
          <t>Club Avantage Multi-sports / Académie de tennis Hérisset Bordeleau</t>
        </is>
      </c>
      <c r="I516" t="n">
        <v>27.6</v>
      </c>
      <c r="J516" s="4" t="n">
        <v>13</v>
      </c>
      <c r="K516" t="inlineStr">
        <is>
          <t>8 / 5</t>
        </is>
      </c>
      <c r="L516" t="inlineStr">
        <is>
          <t>8 / 3</t>
        </is>
      </c>
      <c r="M516" s="5" t="n">
        <v>0.62</v>
      </c>
      <c r="N516" s="5" t="n">
        <v>0.73</v>
      </c>
    </row>
    <row r="517">
      <c r="A517" t="n">
        <v>516</v>
      </c>
      <c r="B517" t="n">
        <v>2015</v>
      </c>
      <c r="C517" t="inlineStr">
        <is>
          <t>Mia Gidaro</t>
        </is>
      </c>
      <c r="D517">
        <f>HYPERLINK("https://ota.tournamentsoftware.com/player-profile/17357D82-FEBE-483D-8054-F1F6B85AD8A5", "Link")</f>
        <v/>
      </c>
      <c r="E517" s="3" t="n">
        <v>79.46299999999999</v>
      </c>
      <c r="F517" s="4" t="n">
        <v>11</v>
      </c>
      <c r="G517" t="inlineStr">
        <is>
          <t>Ontario Tennis Association</t>
        </is>
      </c>
      <c r="H517" t="inlineStr">
        <is>
          <t>Baby Point Tennis Club</t>
        </is>
      </c>
      <c r="I517" t="n">
        <v>37</v>
      </c>
      <c r="J517" s="4" t="n">
        <v>61</v>
      </c>
      <c r="K517" t="inlineStr">
        <is>
          <t>24 / 37</t>
        </is>
      </c>
      <c r="L517" t="inlineStr">
        <is>
          <t>3 / 7</t>
        </is>
      </c>
      <c r="M517" s="5" t="n">
        <v>0.39</v>
      </c>
      <c r="N517" s="5" t="n">
        <v>0.3</v>
      </c>
    </row>
    <row r="518">
      <c r="A518" t="n">
        <v>517</v>
      </c>
      <c r="B518" t="n">
        <v>2014</v>
      </c>
      <c r="C518" t="inlineStr">
        <is>
          <t>Clarice de Azevedo Guedes</t>
        </is>
      </c>
      <c r="D518">
        <f>HYPERLINK("https://ota.tournamentsoftware.com/player-profile/027DF0F1-69E8-4220-8263-B26C4D1AFC70", "Link")</f>
        <v/>
      </c>
      <c r="E518" s="3" t="n">
        <v>79.407</v>
      </c>
      <c r="F518" s="4" t="n">
        <v>14</v>
      </c>
      <c r="G518" t="inlineStr">
        <is>
          <t>Tennis Québec</t>
        </is>
      </c>
      <c r="H518" t="inlineStr">
        <is>
          <t>Tennis 13</t>
        </is>
      </c>
      <c r="I518" t="inlineStr">
        <is>
          <t>unavailable</t>
        </is>
      </c>
      <c r="J518" s="4" t="n">
        <v>64</v>
      </c>
      <c r="K518" t="inlineStr">
        <is>
          <t>26 / 38</t>
        </is>
      </c>
      <c r="L518" t="inlineStr">
        <is>
          <t>12 / 12</t>
        </is>
      </c>
      <c r="M518" s="5" t="n">
        <v>0.41</v>
      </c>
      <c r="N518" s="5" t="n">
        <v>0.5</v>
      </c>
    </row>
    <row r="519">
      <c r="A519" t="n">
        <v>518</v>
      </c>
      <c r="B519" t="n">
        <v>2015</v>
      </c>
      <c r="C519" t="inlineStr">
        <is>
          <t>Abigail Csima</t>
        </is>
      </c>
      <c r="D519">
        <f>HYPERLINK("https://ota.tournamentsoftware.com/player-profile/6F3C1A53-8070-482F-B046-BE875C66F4B8", "Link")</f>
        <v/>
      </c>
      <c r="E519" s="3" t="n">
        <v>79.28700000000001</v>
      </c>
      <c r="F519" s="4" t="n">
        <v>14</v>
      </c>
      <c r="G519" t="inlineStr">
        <is>
          <t>Ontario Tennis Association</t>
        </is>
      </c>
      <c r="H519" t="inlineStr">
        <is>
          <t>Waterloo Tennis Club</t>
        </is>
      </c>
      <c r="I519" t="n">
        <v>38.5</v>
      </c>
      <c r="J519" s="4" t="n">
        <v>60</v>
      </c>
      <c r="K519" t="inlineStr">
        <is>
          <t>12 / 48</t>
        </is>
      </c>
      <c r="L519" t="inlineStr">
        <is>
          <t>3 / 14</t>
        </is>
      </c>
      <c r="M519" s="5" t="n">
        <v>0.2</v>
      </c>
      <c r="N519" s="5" t="n">
        <v>0.18</v>
      </c>
    </row>
    <row r="520">
      <c r="A520" t="n">
        <v>519</v>
      </c>
      <c r="B520" t="n">
        <v>2016</v>
      </c>
      <c r="C520" t="inlineStr">
        <is>
          <t>Anne Cherednychenko</t>
        </is>
      </c>
      <c r="D520">
        <f>HYPERLINK("https://ota.tournamentsoftware.com/player-profile/8FB2FF81-D0FE-4491-B99E-18BAAFE1E3CD", "Link")</f>
        <v/>
      </c>
      <c r="E520" s="3" t="n">
        <v>79.271</v>
      </c>
      <c r="F520" s="4" t="n">
        <v>11</v>
      </c>
      <c r="G520" t="inlineStr">
        <is>
          <t>Tennis Québec</t>
        </is>
      </c>
      <c r="H520" t="inlineStr">
        <is>
          <t>No Club</t>
        </is>
      </c>
      <c r="I520" t="n">
        <v>34.5</v>
      </c>
      <c r="J520" s="4" t="n">
        <v>69</v>
      </c>
      <c r="K520" t="inlineStr">
        <is>
          <t>43 / 26</t>
        </is>
      </c>
      <c r="L520" t="inlineStr">
        <is>
          <t>19 / 12</t>
        </is>
      </c>
      <c r="M520" s="5" t="n">
        <v>0.62</v>
      </c>
      <c r="N520" s="5" t="n">
        <v>0.61</v>
      </c>
    </row>
    <row r="521">
      <c r="A521" t="n">
        <v>520</v>
      </c>
      <c r="B521" t="n">
        <v>2014</v>
      </c>
      <c r="C521" t="inlineStr">
        <is>
          <t>Shaghun Dhillon</t>
        </is>
      </c>
      <c r="D521">
        <f>HYPERLINK("https://ota.tournamentsoftware.com/player-profile/97B5DEDE-AA93-468B-902A-462AB9B42432", "Link")</f>
        <v/>
      </c>
      <c r="E521" s="3" t="n">
        <v>76.43899999999999</v>
      </c>
      <c r="F521" s="4" t="n">
        <v>15</v>
      </c>
      <c r="G521" t="inlineStr">
        <is>
          <t>Ontario Tennis Association</t>
        </is>
      </c>
      <c r="H521" t="inlineStr">
        <is>
          <t>Premier Racquet Club - Markham</t>
        </is>
      </c>
      <c r="I521" t="inlineStr">
        <is>
          <t>unavailable</t>
        </is>
      </c>
      <c r="J521" s="4" t="n">
        <v>62</v>
      </c>
      <c r="K521" t="inlineStr">
        <is>
          <t>34 / 28</t>
        </is>
      </c>
      <c r="L521" t="inlineStr">
        <is>
          <t>28 / 22</t>
        </is>
      </c>
      <c r="M521" s="5" t="n">
        <v>0.55</v>
      </c>
      <c r="N521" s="5" t="n">
        <v>0.5600000000000001</v>
      </c>
    </row>
    <row r="522">
      <c r="A522" t="n">
        <v>521</v>
      </c>
      <c r="B522" t="n">
        <v>2013</v>
      </c>
      <c r="C522" t="inlineStr">
        <is>
          <t>Avery Hao</t>
        </is>
      </c>
      <c r="D522">
        <f>HYPERLINK("https://ota.tournamentsoftware.com/player-profile/4D297E0A-97AD-4487-A64F-403E8B3ACA30", "Link")</f>
        <v/>
      </c>
      <c r="E522" s="3" t="n">
        <v>74.54300000000001</v>
      </c>
      <c r="F522" s="4" t="n">
        <v>3</v>
      </c>
      <c r="G522" t="inlineStr">
        <is>
          <t>Ontario Tennis Association</t>
        </is>
      </c>
      <c r="H522" t="inlineStr">
        <is>
          <t>Elmridge Tennis Club</t>
        </is>
      </c>
      <c r="I522" t="n">
        <v>39.2</v>
      </c>
      <c r="J522" s="4" t="n">
        <v>15</v>
      </c>
      <c r="K522" t="inlineStr">
        <is>
          <t>4 / 11</t>
        </is>
      </c>
      <c r="L522" t="inlineStr">
        <is>
          <t>0 / 5</t>
        </is>
      </c>
      <c r="M522" s="5" t="n">
        <v>0.27</v>
      </c>
      <c r="N522" s="5" t="n">
        <v>0</v>
      </c>
    </row>
    <row r="523">
      <c r="A523" t="n">
        <v>522</v>
      </c>
      <c r="B523" t="n">
        <v>2014</v>
      </c>
      <c r="C523" t="inlineStr">
        <is>
          <t>Ava Amiripour</t>
        </is>
      </c>
      <c r="D523">
        <f>HYPERLINK("https://ota.tournamentsoftware.com/player-profile/C08AB363-A302-4023-8D6D-B732D837DADF", "Link")</f>
        <v/>
      </c>
      <c r="E523" s="3" t="n">
        <v>74.288</v>
      </c>
      <c r="F523" s="4" t="n">
        <v>4</v>
      </c>
      <c r="G523" t="inlineStr">
        <is>
          <t>Ontario Tennis Association</t>
        </is>
      </c>
      <c r="H523" t="inlineStr">
        <is>
          <t>No Club</t>
        </is>
      </c>
      <c r="I523" t="n">
        <v>37.7</v>
      </c>
      <c r="J523" s="4" t="n">
        <v>7</v>
      </c>
      <c r="K523" t="inlineStr">
        <is>
          <t>1 / 6</t>
        </is>
      </c>
      <c r="L523" t="inlineStr">
        <is>
          <t>1 / 5</t>
        </is>
      </c>
      <c r="M523" s="5" t="n">
        <v>0.14</v>
      </c>
      <c r="N523" s="5" t="n">
        <v>0.17</v>
      </c>
    </row>
    <row r="524">
      <c r="A524" t="n">
        <v>523</v>
      </c>
      <c r="B524" t="n">
        <v>2015</v>
      </c>
      <c r="C524" t="inlineStr">
        <is>
          <t>Cara Tereza Nyakahuma</t>
        </is>
      </c>
      <c r="D524">
        <f>HYPERLINK("https://ota.tournamentsoftware.com/player-profile/AFC2100D-E6CB-4B13-AD01-0EBC56083397", "Link")</f>
        <v/>
      </c>
      <c r="E524" s="3" t="n">
        <v>74.08</v>
      </c>
      <c r="F524" s="4" t="n">
        <v>6</v>
      </c>
      <c r="G524" t="inlineStr">
        <is>
          <t>Ontario Tennis Association</t>
        </is>
      </c>
      <c r="H524" t="inlineStr">
        <is>
          <t>Intercounty Tennis Association</t>
        </is>
      </c>
      <c r="I524" t="inlineStr">
        <is>
          <t>unavailable</t>
        </is>
      </c>
      <c r="J524" s="4" t="n">
        <v>143</v>
      </c>
      <c r="K524" t="inlineStr">
        <is>
          <t>90 / 53</t>
        </is>
      </c>
      <c r="L524" t="inlineStr">
        <is>
          <t>7 / 4</t>
        </is>
      </c>
      <c r="M524" s="5" t="n">
        <v>0.63</v>
      </c>
      <c r="N524" s="5" t="n">
        <v>0.64</v>
      </c>
    </row>
    <row r="525">
      <c r="A525" t="n">
        <v>524</v>
      </c>
      <c r="B525" t="n">
        <v>2013</v>
      </c>
      <c r="C525" t="inlineStr">
        <is>
          <t>Lolia Abdrabou</t>
        </is>
      </c>
      <c r="D525">
        <f>HYPERLINK("https://ota.tournamentsoftware.com/player-profile/02101E1E-CCDA-437A-A3E7-8CBDBA76F674", "Link")</f>
        <v/>
      </c>
      <c r="E525" s="3" t="n">
        <v>72.959</v>
      </c>
      <c r="F525" s="4" t="n">
        <v>4</v>
      </c>
      <c r="G525" t="inlineStr">
        <is>
          <t>Tennis Nova Scotia</t>
        </is>
      </c>
      <c r="H525" t="inlineStr">
        <is>
          <t>HEADSTART</t>
        </is>
      </c>
      <c r="I525" t="n">
        <v>35.5</v>
      </c>
      <c r="J525" s="4" t="n">
        <v>22</v>
      </c>
      <c r="K525" t="inlineStr">
        <is>
          <t>13 / 9</t>
        </is>
      </c>
      <c r="L525" t="inlineStr">
        <is>
          <t>2 / 4</t>
        </is>
      </c>
      <c r="M525" s="5" t="n">
        <v>0.59</v>
      </c>
      <c r="N525" s="5" t="n">
        <v>0.33</v>
      </c>
    </row>
    <row r="526">
      <c r="A526" t="n">
        <v>525</v>
      </c>
      <c r="B526" t="n">
        <v>2012</v>
      </c>
      <c r="C526" t="inlineStr">
        <is>
          <t>Aurélie Houde</t>
        </is>
      </c>
      <c r="D526">
        <f>HYPERLINK("https://ota.tournamentsoftware.com/player-profile/F697AB49-11E9-42EF-B0E6-5DF0E77AF99C", "Link")</f>
        <v/>
      </c>
      <c r="E526" s="3" t="n">
        <v>72.887</v>
      </c>
      <c r="F526" s="4" t="n">
        <v>4</v>
      </c>
      <c r="G526" t="inlineStr">
        <is>
          <t>Tennis Québec</t>
        </is>
      </c>
      <c r="H526" t="inlineStr">
        <is>
          <t>Association de tennis de Drummondville</t>
        </is>
      </c>
      <c r="I526" t="n">
        <v>38.6</v>
      </c>
      <c r="J526" s="4" t="n">
        <v>24</v>
      </c>
      <c r="K526" t="inlineStr">
        <is>
          <t>2 / 22</t>
        </is>
      </c>
      <c r="L526" t="inlineStr">
        <is>
          <t>1 / 4</t>
        </is>
      </c>
      <c r="M526" s="5" t="n">
        <v>0.08</v>
      </c>
      <c r="N526" s="5" t="n">
        <v>0.2</v>
      </c>
    </row>
    <row r="527">
      <c r="A527" t="n">
        <v>526</v>
      </c>
      <c r="B527" t="n">
        <v>2015</v>
      </c>
      <c r="C527" t="inlineStr">
        <is>
          <t>Ella Bloom Chulak</t>
        </is>
      </c>
      <c r="D527">
        <f>HYPERLINK("https://ota.tournamentsoftware.com/player-profile/3DBBE08D-DBAA-43E3-BCD3-2820667C7A24", "Link")</f>
        <v/>
      </c>
      <c r="E527" s="3" t="n">
        <v>71.8</v>
      </c>
      <c r="F527" s="4" t="n">
        <v>13</v>
      </c>
      <c r="G527" t="inlineStr">
        <is>
          <t>Ontario Tennis Association</t>
        </is>
      </c>
      <c r="H527" t="inlineStr">
        <is>
          <t>Richmondhill Golf &amp; Country Club</t>
        </is>
      </c>
      <c r="I527" t="n">
        <v>35.7</v>
      </c>
      <c r="J527" s="4" t="n">
        <v>89</v>
      </c>
      <c r="K527" t="inlineStr">
        <is>
          <t>36 / 53</t>
        </is>
      </c>
      <c r="L527" t="inlineStr">
        <is>
          <t>12 / 11</t>
        </is>
      </c>
      <c r="M527" s="5" t="n">
        <v>0.4</v>
      </c>
      <c r="N527" s="5" t="n">
        <v>0.52</v>
      </c>
    </row>
    <row r="528">
      <c r="A528" t="n">
        <v>527</v>
      </c>
      <c r="B528" t="n">
        <v>2013</v>
      </c>
      <c r="C528" t="inlineStr">
        <is>
          <t>Vina BLANCHARD</t>
        </is>
      </c>
      <c r="D528">
        <f>HYPERLINK("https://ota.tournamentsoftware.com/player-profile/B5AD0E2A-4843-4177-AD96-5A3203B5C718", "Link")</f>
        <v/>
      </c>
      <c r="E528" s="3" t="n">
        <v>71.705</v>
      </c>
      <c r="F528" s="4" t="n">
        <v>8</v>
      </c>
      <c r="G528" t="inlineStr">
        <is>
          <t>Ontario Tennis Association</t>
        </is>
      </c>
      <c r="H528" t="inlineStr">
        <is>
          <t>Ontario Racquet Club</t>
        </is>
      </c>
      <c r="I528" t="inlineStr">
        <is>
          <t>unavailable</t>
        </is>
      </c>
      <c r="J528" s="4" t="n">
        <v>29</v>
      </c>
      <c r="K528" t="inlineStr">
        <is>
          <t>13 / 16</t>
        </is>
      </c>
      <c r="L528" t="inlineStr">
        <is>
          <t>4 / 10</t>
        </is>
      </c>
      <c r="M528" s="5" t="n">
        <v>0.45</v>
      </c>
      <c r="N528" s="5" t="n">
        <v>0.29</v>
      </c>
    </row>
    <row r="529">
      <c r="A529" t="n">
        <v>528</v>
      </c>
      <c r="B529" t="n">
        <v>2013</v>
      </c>
      <c r="C529" t="inlineStr">
        <is>
          <t>Camélia Duong</t>
        </is>
      </c>
      <c r="D529">
        <f>HYPERLINK("https://ota.tournamentsoftware.com/player-profile/86B52BC3-1BF6-4334-8E35-8F6D2AF1C95B", "Link")</f>
        <v/>
      </c>
      <c r="E529" s="3" t="n">
        <v>71.678</v>
      </c>
      <c r="F529" s="4" t="n">
        <v>11</v>
      </c>
      <c r="G529" t="inlineStr">
        <is>
          <t>Tennis Québec</t>
        </is>
      </c>
      <c r="H529" t="inlineStr">
        <is>
          <t>Tennis Ile- des- Soeurs</t>
        </is>
      </c>
      <c r="I529" t="n">
        <v>37.1</v>
      </c>
      <c r="J529" s="4" t="n">
        <v>70</v>
      </c>
      <c r="K529" t="inlineStr">
        <is>
          <t>12 / 58</t>
        </is>
      </c>
      <c r="L529" t="inlineStr">
        <is>
          <t>4 / 9</t>
        </is>
      </c>
      <c r="M529" s="5" t="n">
        <v>0.17</v>
      </c>
      <c r="N529" s="5" t="n">
        <v>0.31</v>
      </c>
    </row>
    <row r="530">
      <c r="A530" t="n">
        <v>529</v>
      </c>
      <c r="B530" t="n">
        <v>2016</v>
      </c>
      <c r="C530" t="inlineStr">
        <is>
          <t>Grace SHI</t>
        </is>
      </c>
      <c r="D530">
        <f>HYPERLINK("https://ota.tournamentsoftware.com/player-profile/71A1D6E1-33D1-46A0-AF21-F397AE1BA314", "Link")</f>
        <v/>
      </c>
      <c r="E530" s="3" t="n">
        <v>70.416</v>
      </c>
      <c r="F530" s="4" t="n">
        <v>9</v>
      </c>
      <c r="G530" t="inlineStr">
        <is>
          <t>British Columbia</t>
        </is>
      </c>
      <c r="H530" t="inlineStr">
        <is>
          <t>No Club</t>
        </is>
      </c>
      <c r="I530" t="n">
        <v>38.4</v>
      </c>
      <c r="J530" s="4" t="n">
        <v>48</v>
      </c>
      <c r="K530" t="inlineStr">
        <is>
          <t>16 / 32</t>
        </is>
      </c>
      <c r="L530" t="inlineStr">
        <is>
          <t>9 / 13</t>
        </is>
      </c>
      <c r="M530" s="5" t="n">
        <v>0.33</v>
      </c>
      <c r="N530" s="5" t="n">
        <v>0.41</v>
      </c>
    </row>
    <row r="531">
      <c r="A531" t="n">
        <v>530</v>
      </c>
      <c r="B531" t="n">
        <v>2015</v>
      </c>
      <c r="C531" t="inlineStr">
        <is>
          <t>Myra Shukla</t>
        </is>
      </c>
      <c r="D531">
        <f>HYPERLINK("https://ota.tournamentsoftware.com/player-profile/2F4B1A1D-35AC-45A0-9F5D-6D5533376D9A", "Link")</f>
        <v/>
      </c>
      <c r="E531" s="3" t="n">
        <v>70.126</v>
      </c>
      <c r="F531" s="4" t="n">
        <v>8</v>
      </c>
      <c r="G531" t="inlineStr">
        <is>
          <t>Ontario Tennis Association</t>
        </is>
      </c>
      <c r="H531" t="inlineStr">
        <is>
          <t>Veneto Tennis Club</t>
        </is>
      </c>
      <c r="I531" t="n">
        <v>38.1</v>
      </c>
      <c r="J531" s="4" t="n">
        <v>83</v>
      </c>
      <c r="K531" t="inlineStr">
        <is>
          <t>34 / 49</t>
        </is>
      </c>
      <c r="L531" t="inlineStr">
        <is>
          <t>1 / 6</t>
        </is>
      </c>
      <c r="M531" s="5" t="n">
        <v>0.41</v>
      </c>
      <c r="N531" s="5" t="n">
        <v>0.14</v>
      </c>
    </row>
    <row r="532">
      <c r="A532" t="n">
        <v>531</v>
      </c>
      <c r="B532" t="n">
        <v>2013</v>
      </c>
      <c r="C532" t="inlineStr">
        <is>
          <t>Lilya Youssef</t>
        </is>
      </c>
      <c r="D532">
        <f>HYPERLINK("https://ota.tournamentsoftware.com/player-profile/E4A52F0A-7400-4236-ACEF-6680D7FB1262", "Link")</f>
        <v/>
      </c>
      <c r="E532" s="3" t="n">
        <v>69.61</v>
      </c>
      <c r="F532" s="4" t="n">
        <v>3</v>
      </c>
      <c r="G532" t="inlineStr">
        <is>
          <t>Tennis Québec</t>
        </is>
      </c>
      <c r="H532" t="inlineStr">
        <is>
          <t>Tennis 13</t>
        </is>
      </c>
      <c r="I532" t="inlineStr">
        <is>
          <t>unavailable</t>
        </is>
      </c>
      <c r="J532" s="4" t="n">
        <v>10</v>
      </c>
      <c r="K532" t="inlineStr">
        <is>
          <t>5 / 5</t>
        </is>
      </c>
      <c r="L532" t="inlineStr">
        <is>
          <t>5 / 5</t>
        </is>
      </c>
      <c r="M532" s="5" t="n">
        <v>0.5</v>
      </c>
      <c r="N532" s="5" t="n">
        <v>0.5</v>
      </c>
    </row>
    <row r="533">
      <c r="A533" t="n">
        <v>532</v>
      </c>
      <c r="B533" t="n">
        <v>2015</v>
      </c>
      <c r="C533" t="inlineStr">
        <is>
          <t>Emilia Ho</t>
        </is>
      </c>
      <c r="D533">
        <f>HYPERLINK("https://ota.tournamentsoftware.com/player-profile/91D4EC27-5C11-4119-B45C-F3809BFF1CF1", "Link")</f>
        <v/>
      </c>
      <c r="E533" s="3" t="n">
        <v>69.21299999999999</v>
      </c>
      <c r="F533" s="4" t="n">
        <v>17</v>
      </c>
      <c r="G533" t="inlineStr">
        <is>
          <t>Tennis Alberta</t>
        </is>
      </c>
      <c r="H533" t="inlineStr">
        <is>
          <t>Osten &amp; Victor Alberta Tennis Centre</t>
        </is>
      </c>
      <c r="I533" t="n">
        <v>33.4</v>
      </c>
      <c r="J533" s="4" t="n">
        <v>142</v>
      </c>
      <c r="K533" t="inlineStr">
        <is>
          <t>76 / 66</t>
        </is>
      </c>
      <c r="L533" t="inlineStr">
        <is>
          <t>22 / 18</t>
        </is>
      </c>
      <c r="M533" s="5" t="n">
        <v>0.54</v>
      </c>
      <c r="N533" s="5" t="n">
        <v>0.55</v>
      </c>
    </row>
    <row r="534">
      <c r="A534" t="n">
        <v>533</v>
      </c>
      <c r="B534" t="n">
        <v>2014</v>
      </c>
      <c r="C534" t="inlineStr">
        <is>
          <t>Alexis Sokol</t>
        </is>
      </c>
      <c r="D534">
        <f>HYPERLINK("https://ota.tournamentsoftware.com/player-profile/8337D953-FBB9-45F2-B72A-FF18B572FA6A", "Link")</f>
        <v/>
      </c>
      <c r="E534" s="3" t="n">
        <v>68.806</v>
      </c>
      <c r="F534" s="4" t="n">
        <v>11</v>
      </c>
      <c r="G534" t="inlineStr">
        <is>
          <t>Tennis Alberta</t>
        </is>
      </c>
      <c r="H534" t="inlineStr">
        <is>
          <t>Saville Community Sports Centre</t>
        </is>
      </c>
      <c r="I534" t="n">
        <v>35.8</v>
      </c>
      <c r="J534" s="4" t="n">
        <v>27</v>
      </c>
      <c r="K534" t="inlineStr">
        <is>
          <t>12 / 15</t>
        </is>
      </c>
      <c r="L534" t="inlineStr">
        <is>
          <t>10 / 11</t>
        </is>
      </c>
      <c r="M534" s="5" t="n">
        <v>0.44</v>
      </c>
      <c r="N534" s="5" t="n">
        <v>0.48</v>
      </c>
    </row>
    <row r="535">
      <c r="A535" t="n">
        <v>534</v>
      </c>
      <c r="B535" t="n">
        <v>2014</v>
      </c>
      <c r="C535" t="inlineStr">
        <is>
          <t>Kaitlynn Xie</t>
        </is>
      </c>
      <c r="D535">
        <f>HYPERLINK("https://ota.tournamentsoftware.com/player-profile/25655CF4-99DC-4E1E-BE40-C11FF6785117", "Link")</f>
        <v/>
      </c>
      <c r="E535" s="3" t="n">
        <v>68.715</v>
      </c>
      <c r="F535" s="4" t="n">
        <v>8</v>
      </c>
      <c r="G535" t="inlineStr">
        <is>
          <t>Tennis Alberta</t>
        </is>
      </c>
      <c r="H535" t="inlineStr">
        <is>
          <t>Saville Community Sports Centre</t>
        </is>
      </c>
      <c r="I535" t="n">
        <v>34.2</v>
      </c>
      <c r="J535" s="4" t="n">
        <v>57</v>
      </c>
      <c r="K535" t="inlineStr">
        <is>
          <t>19 / 38</t>
        </is>
      </c>
      <c r="L535" t="inlineStr">
        <is>
          <t>7 / 12</t>
        </is>
      </c>
      <c r="M535" s="5" t="n">
        <v>0.33</v>
      </c>
      <c r="N535" s="5" t="n">
        <v>0.37</v>
      </c>
    </row>
    <row r="536">
      <c r="A536" t="n">
        <v>535</v>
      </c>
      <c r="B536" t="n">
        <v>2014</v>
      </c>
      <c r="C536" t="inlineStr">
        <is>
          <t>Hui-Xin Chen</t>
        </is>
      </c>
      <c r="D536">
        <f>HYPERLINK("https://ota.tournamentsoftware.com/player-profile/755E1358-E624-498A-A129-DA058D259A1E", "Link")</f>
        <v/>
      </c>
      <c r="E536" s="3" t="n">
        <v>67.884</v>
      </c>
      <c r="F536" s="4" t="n">
        <v>12</v>
      </c>
      <c r="G536" t="inlineStr">
        <is>
          <t>British Columbia</t>
        </is>
      </c>
      <c r="H536" t="inlineStr">
        <is>
          <t>No Club</t>
        </is>
      </c>
      <c r="I536" t="inlineStr">
        <is>
          <t>unavailable</t>
        </is>
      </c>
      <c r="J536" s="4" t="n">
        <v>108</v>
      </c>
      <c r="K536" t="inlineStr">
        <is>
          <t>37 / 71</t>
        </is>
      </c>
      <c r="L536" t="inlineStr">
        <is>
          <t>14 / 14</t>
        </is>
      </c>
      <c r="M536" s="5" t="n">
        <v>0.34</v>
      </c>
      <c r="N536" s="5" t="n">
        <v>0.5</v>
      </c>
    </row>
    <row r="537">
      <c r="A537" t="n">
        <v>536</v>
      </c>
      <c r="B537" t="n">
        <v>2014</v>
      </c>
      <c r="C537" t="inlineStr">
        <is>
          <t>Melissa Elena Rusu</t>
        </is>
      </c>
      <c r="D537">
        <f>HYPERLINK("https://ota.tournamentsoftware.com/player-profile/9F55033D-1DF5-465D-A3A2-401E58DF9FEB", "Link")</f>
        <v/>
      </c>
      <c r="E537" s="3" t="n">
        <v>67.018</v>
      </c>
      <c r="F537" s="4" t="n">
        <v>17</v>
      </c>
      <c r="G537" t="inlineStr">
        <is>
          <t>Tennis Québec</t>
        </is>
      </c>
      <c r="H537" t="inlineStr">
        <is>
          <t>Carrefour Multisports - Haute Performance</t>
        </is>
      </c>
      <c r="I537" t="n">
        <v>37.5</v>
      </c>
      <c r="J537" s="4" t="n">
        <v>58</v>
      </c>
      <c r="K537" t="inlineStr">
        <is>
          <t>19 / 39</t>
        </is>
      </c>
      <c r="L537" t="inlineStr">
        <is>
          <t>4 / 16</t>
        </is>
      </c>
      <c r="M537" s="5" t="n">
        <v>0.33</v>
      </c>
      <c r="N537" s="5" t="n">
        <v>0.2</v>
      </c>
    </row>
    <row r="538">
      <c r="A538" t="n">
        <v>537</v>
      </c>
      <c r="B538" t="n">
        <v>2014</v>
      </c>
      <c r="C538" t="inlineStr">
        <is>
          <t>Mioara Oulima Bouyela</t>
        </is>
      </c>
      <c r="D538">
        <f>HYPERLINK("https://ota.tournamentsoftware.com/player-profile/44DDF62F-2675-4E36-B215-8515347ABD9E", "Link")</f>
        <v/>
      </c>
      <c r="E538" s="3" t="n">
        <v>66.925</v>
      </c>
      <c r="F538" s="4" t="n">
        <v>12</v>
      </c>
      <c r="G538" t="inlineStr">
        <is>
          <t>Tennis Québec</t>
        </is>
      </c>
      <c r="H538" t="inlineStr">
        <is>
          <t>Tennis 13</t>
        </is>
      </c>
      <c r="I538" t="n">
        <v>37.1</v>
      </c>
      <c r="J538" s="4" t="n">
        <v>83</v>
      </c>
      <c r="K538" t="inlineStr">
        <is>
          <t>34 / 49</t>
        </is>
      </c>
      <c r="L538" t="inlineStr">
        <is>
          <t>10 / 13</t>
        </is>
      </c>
      <c r="M538" s="5" t="n">
        <v>0.41</v>
      </c>
      <c r="N538" s="5" t="n">
        <v>0.43</v>
      </c>
    </row>
    <row r="539">
      <c r="A539" t="n">
        <v>538</v>
      </c>
      <c r="B539" t="n">
        <v>2012</v>
      </c>
      <c r="C539" t="inlineStr">
        <is>
          <t>Daisy Brown</t>
        </is>
      </c>
      <c r="D539">
        <f>HYPERLINK("https://ota.tournamentsoftware.com/player-profile/9CF1A8A4-6BA5-46C8-92F4-3E802A738811", "Link")</f>
        <v/>
      </c>
      <c r="E539" s="3" t="n">
        <v>66.79900000000001</v>
      </c>
      <c r="F539" s="4" t="n">
        <v>5</v>
      </c>
      <c r="G539" t="inlineStr">
        <is>
          <t>British Columbia</t>
        </is>
      </c>
      <c r="H539" t="inlineStr">
        <is>
          <t>Oak Bay Recreation Centre</t>
        </is>
      </c>
      <c r="I539" t="n">
        <v>35.7</v>
      </c>
      <c r="J539" s="4" t="n">
        <v>62</v>
      </c>
      <c r="K539" t="inlineStr">
        <is>
          <t>34 / 28</t>
        </is>
      </c>
      <c r="L539" t="inlineStr">
        <is>
          <t>4 / 6</t>
        </is>
      </c>
      <c r="M539" s="5" t="n">
        <v>0.55</v>
      </c>
      <c r="N539" s="5" t="n">
        <v>0.4</v>
      </c>
    </row>
    <row r="540">
      <c r="A540" t="n">
        <v>539</v>
      </c>
      <c r="B540" t="n">
        <v>2014</v>
      </c>
      <c r="C540" t="inlineStr">
        <is>
          <t>Gabriella Geronimo</t>
        </is>
      </c>
      <c r="D540">
        <f>HYPERLINK("https://ota.tournamentsoftware.com/player-profile/E075895A-C22F-4FDB-9A95-CCD353169906", "Link")</f>
        <v/>
      </c>
      <c r="E540" s="3" t="n">
        <v>66.63200000000001</v>
      </c>
      <c r="F540" s="4" t="n">
        <v>5</v>
      </c>
      <c r="G540" t="inlineStr">
        <is>
          <t>Ontario Tennis Association</t>
        </is>
      </c>
      <c r="H540" t="inlineStr">
        <is>
          <t>Albion Gardens Tennis Club</t>
        </is>
      </c>
      <c r="I540" t="n">
        <v>34</v>
      </c>
      <c r="J540" s="4" t="n">
        <v>201</v>
      </c>
      <c r="K540" t="inlineStr">
        <is>
          <t>113 / 88</t>
        </is>
      </c>
      <c r="L540" t="inlineStr">
        <is>
          <t>5 / 2</t>
        </is>
      </c>
      <c r="M540" s="5" t="n">
        <v>0.5600000000000001</v>
      </c>
      <c r="N540" s="5" t="n">
        <v>0.71</v>
      </c>
    </row>
    <row r="541">
      <c r="A541" t="n">
        <v>540</v>
      </c>
      <c r="B541" t="n">
        <v>2016</v>
      </c>
      <c r="C541" t="inlineStr">
        <is>
          <t>Lily Chen</t>
        </is>
      </c>
      <c r="D541">
        <f>HYPERLINK("https://ota.tournamentsoftware.com/player-profile/A6A0EB19-7DDD-4B25-B81C-FCA911081AB5", "Link")</f>
        <v/>
      </c>
      <c r="E541" s="3" t="n">
        <v>66.55200000000001</v>
      </c>
      <c r="F541" s="4" t="n">
        <v>18</v>
      </c>
      <c r="G541" t="inlineStr">
        <is>
          <t>British Columbia</t>
        </is>
      </c>
      <c r="H541" t="inlineStr">
        <is>
          <t>No Club</t>
        </is>
      </c>
      <c r="I541" t="n">
        <v>35.1</v>
      </c>
      <c r="J541" s="4" t="n">
        <v>111</v>
      </c>
      <c r="K541" t="inlineStr">
        <is>
          <t>42 / 69</t>
        </is>
      </c>
      <c r="L541" t="inlineStr">
        <is>
          <t>15 / 26</t>
        </is>
      </c>
      <c r="M541" s="5" t="n">
        <v>0.38</v>
      </c>
      <c r="N541" s="5" t="n">
        <v>0.37</v>
      </c>
    </row>
    <row r="542">
      <c r="A542" t="n">
        <v>541</v>
      </c>
      <c r="B542" t="n">
        <v>2015</v>
      </c>
      <c r="C542" t="inlineStr">
        <is>
          <t>Brielle Ramirez Balos</t>
        </is>
      </c>
      <c r="D542">
        <f>HYPERLINK("https://ota.tournamentsoftware.com/player-profile/2F36BC35-A108-44F9-B705-6F2246749033", "Link")</f>
        <v/>
      </c>
      <c r="E542" s="3" t="n">
        <v>66.29000000000001</v>
      </c>
      <c r="F542" s="4" t="n">
        <v>11</v>
      </c>
      <c r="G542" t="inlineStr">
        <is>
          <t>Tennis Alberta</t>
        </is>
      </c>
      <c r="H542" t="inlineStr">
        <is>
          <t>Saville Community Sports Centre</t>
        </is>
      </c>
      <c r="I542" t="inlineStr">
        <is>
          <t>unavailable</t>
        </is>
      </c>
      <c r="J542" s="4" t="n">
        <v>70</v>
      </c>
      <c r="K542" t="inlineStr">
        <is>
          <t>40 / 30</t>
        </is>
      </c>
      <c r="L542" t="inlineStr">
        <is>
          <t>18 / 11</t>
        </is>
      </c>
      <c r="M542" s="5" t="n">
        <v>0.57</v>
      </c>
      <c r="N542" s="5" t="n">
        <v>0.62</v>
      </c>
    </row>
    <row r="543">
      <c r="A543" t="n">
        <v>542</v>
      </c>
      <c r="B543" t="n">
        <v>2016</v>
      </c>
      <c r="C543" t="inlineStr">
        <is>
          <t>Evelyn May</t>
        </is>
      </c>
      <c r="D543">
        <f>HYPERLINK("https://ota.tournamentsoftware.com/player-profile/ABFB9C06-ABE9-4B21-BF57-67179CC1CD5D", "Link")</f>
        <v/>
      </c>
      <c r="E543" s="3" t="n">
        <v>65.914</v>
      </c>
      <c r="F543" s="4" t="n">
        <v>14</v>
      </c>
      <c r="G543" t="inlineStr">
        <is>
          <t>Tennis Québec</t>
        </is>
      </c>
      <c r="H543" t="inlineStr">
        <is>
          <t>Tennis 13 / Académie Ménard et associé</t>
        </is>
      </c>
      <c r="I543" t="n">
        <v>34.4</v>
      </c>
      <c r="J543" s="4" t="n">
        <v>182</v>
      </c>
      <c r="K543" t="inlineStr">
        <is>
          <t>112 / 70</t>
        </is>
      </c>
      <c r="L543" t="inlineStr">
        <is>
          <t>15 / 14</t>
        </is>
      </c>
      <c r="M543" s="5" t="n">
        <v>0.62</v>
      </c>
      <c r="N543" s="5" t="n">
        <v>0.52</v>
      </c>
    </row>
    <row r="544">
      <c r="A544" t="n">
        <v>543</v>
      </c>
      <c r="B544" t="n">
        <v>2014</v>
      </c>
      <c r="C544" t="inlineStr">
        <is>
          <t>Victoria Guiral</t>
        </is>
      </c>
      <c r="D544">
        <f>HYPERLINK("https://ota.tournamentsoftware.com/player-profile/1DC3BD6C-A3EA-46CB-A6B3-CB5D3D2F1E7D", "Link")</f>
        <v/>
      </c>
      <c r="E544" s="3" t="n">
        <v>65.78400000000001</v>
      </c>
      <c r="F544" s="4" t="n">
        <v>7</v>
      </c>
      <c r="G544" t="inlineStr">
        <is>
          <t>Tennis Québec</t>
        </is>
      </c>
      <c r="H544" t="inlineStr">
        <is>
          <t>Tennis Interclub Piedmont</t>
        </is>
      </c>
      <c r="I544" t="n">
        <v>38.6</v>
      </c>
      <c r="J544" s="4" t="n">
        <v>23</v>
      </c>
      <c r="K544" t="inlineStr">
        <is>
          <t>6 / 17</t>
        </is>
      </c>
      <c r="L544" t="inlineStr">
        <is>
          <t>1 / 10</t>
        </is>
      </c>
      <c r="M544" s="5" t="n">
        <v>0.26</v>
      </c>
      <c r="N544" s="5" t="n">
        <v>0.09</v>
      </c>
    </row>
    <row r="545">
      <c r="A545" t="n">
        <v>544</v>
      </c>
      <c r="B545" t="n">
        <v>2012</v>
      </c>
      <c r="C545" t="inlineStr">
        <is>
          <t>Diya Anand</t>
        </is>
      </c>
      <c r="D545">
        <f>HYPERLINK("https://ota.tournamentsoftware.com/player-profile/3939C1EF-E95B-4DD4-9208-81F6E4D5387F", "Link")</f>
        <v/>
      </c>
      <c r="E545" s="3" t="n">
        <v>65.70999999999999</v>
      </c>
      <c r="F545" s="4" t="n">
        <v>5</v>
      </c>
      <c r="G545" t="inlineStr">
        <is>
          <t>Ontario Tennis Association</t>
        </is>
      </c>
      <c r="H545" t="inlineStr">
        <is>
          <t>Rosedale Tennis Club (Hamilton)</t>
        </is>
      </c>
      <c r="I545" t="inlineStr">
        <is>
          <t>unavailable</t>
        </is>
      </c>
      <c r="J545" s="4" t="n">
        <v>20</v>
      </c>
      <c r="K545" t="inlineStr">
        <is>
          <t>4 / 16</t>
        </is>
      </c>
      <c r="L545" t="inlineStr">
        <is>
          <t>1 / 6</t>
        </is>
      </c>
      <c r="M545" s="5" t="n">
        <v>0.2</v>
      </c>
      <c r="N545" s="5" t="n">
        <v>0.14</v>
      </c>
    </row>
    <row r="546">
      <c r="A546" t="n">
        <v>545</v>
      </c>
      <c r="B546" t="n">
        <v>2013</v>
      </c>
      <c r="C546" t="inlineStr">
        <is>
          <t>Robyn Abigail Allen</t>
        </is>
      </c>
      <c r="D546">
        <f>HYPERLINK("https://ota.tournamentsoftware.com/player-profile/248A3F67-26CE-43CB-A1BB-A426F8AC9211", "Link")</f>
        <v/>
      </c>
      <c r="E546" s="3" t="n">
        <v>65.42700000000001</v>
      </c>
      <c r="F546" s="4" t="n">
        <v>4</v>
      </c>
      <c r="G546" t="inlineStr">
        <is>
          <t>Ontario Tennis Association</t>
        </is>
      </c>
      <c r="H546" t="inlineStr">
        <is>
          <t>Waterloo Tennis Club</t>
        </is>
      </c>
      <c r="I546" t="inlineStr">
        <is>
          <t>unavailable</t>
        </is>
      </c>
      <c r="J546" s="4" t="n">
        <v>24</v>
      </c>
      <c r="K546" t="inlineStr">
        <is>
          <t>5 / 19</t>
        </is>
      </c>
      <c r="L546" t="inlineStr">
        <is>
          <t>2 / 12</t>
        </is>
      </c>
      <c r="M546" s="5" t="n">
        <v>0.21</v>
      </c>
      <c r="N546" s="5" t="n">
        <v>0.14</v>
      </c>
    </row>
    <row r="547">
      <c r="A547" t="n">
        <v>546</v>
      </c>
      <c r="B547" t="n">
        <v>2015</v>
      </c>
      <c r="C547" t="inlineStr">
        <is>
          <t>Aayushi Gautam</t>
        </is>
      </c>
      <c r="D547">
        <f>HYPERLINK("https://ota.tournamentsoftware.com/player-profile/A24CEE26-7629-46B9-89B0-12B054D2DFB9", "Link")</f>
        <v/>
      </c>
      <c r="E547" s="3" t="n">
        <v>64.93000000000001</v>
      </c>
      <c r="F547" s="4" t="n">
        <v>15</v>
      </c>
      <c r="G547" t="inlineStr">
        <is>
          <t>Tennis Alberta</t>
        </is>
      </c>
      <c r="H547" t="inlineStr">
        <is>
          <t>Saville Community Sports Centre</t>
        </is>
      </c>
      <c r="I547" t="n">
        <v>33.1</v>
      </c>
      <c r="J547" s="4" t="n">
        <v>160</v>
      </c>
      <c r="K547" t="inlineStr">
        <is>
          <t>96 / 64</t>
        </is>
      </c>
      <c r="L547" t="inlineStr">
        <is>
          <t>22 / 10</t>
        </is>
      </c>
      <c r="M547" s="5" t="n">
        <v>0.6</v>
      </c>
      <c r="N547" s="5" t="n">
        <v>0.6899999999999999</v>
      </c>
    </row>
    <row r="548">
      <c r="A548" t="n">
        <v>547</v>
      </c>
      <c r="B548" t="n">
        <v>2015</v>
      </c>
      <c r="C548" t="inlineStr">
        <is>
          <t>Alexandria Gianvito</t>
        </is>
      </c>
      <c r="D548">
        <f>HYPERLINK("https://ota.tournamentsoftware.com/player-profile/4A4D327B-3019-4349-8F36-0769D584A4FA", "Link")</f>
        <v/>
      </c>
      <c r="E548" s="3" t="n">
        <v>64.84999999999999</v>
      </c>
      <c r="F548" s="4" t="n">
        <v>6</v>
      </c>
      <c r="G548" t="inlineStr">
        <is>
          <t>Tennis Québec</t>
        </is>
      </c>
      <c r="H548" t="inlineStr">
        <is>
          <t>No Club</t>
        </is>
      </c>
      <c r="I548" t="inlineStr">
        <is>
          <t>unavailable</t>
        </is>
      </c>
      <c r="J548" s="4" t="n">
        <v>50</v>
      </c>
      <c r="K548" t="inlineStr">
        <is>
          <t>13 / 37</t>
        </is>
      </c>
      <c r="L548" t="inlineStr">
        <is>
          <t>1 / 5</t>
        </is>
      </c>
      <c r="M548" s="5" t="n">
        <v>0.26</v>
      </c>
      <c r="N548" s="5" t="n">
        <v>0.17</v>
      </c>
    </row>
    <row r="549">
      <c r="A549" t="n">
        <v>548</v>
      </c>
      <c r="B549" t="n">
        <v>2012</v>
      </c>
      <c r="C549" t="inlineStr">
        <is>
          <t>kate zixi ye</t>
        </is>
      </c>
      <c r="D549">
        <f>HYPERLINK("https://ota.tournamentsoftware.com/player-profile/0A8F7797-88F4-49C6-8F3D-6079B8242406", "Link")</f>
        <v/>
      </c>
      <c r="E549" s="3" t="n">
        <v>64.583</v>
      </c>
      <c r="F549" s="4" t="n">
        <v>7</v>
      </c>
      <c r="G549" t="inlineStr">
        <is>
          <t>Ontario Tennis Association</t>
        </is>
      </c>
      <c r="H549" t="inlineStr">
        <is>
          <t>No Club</t>
        </is>
      </c>
      <c r="I549" t="n">
        <v>38</v>
      </c>
      <c r="J549" s="4" t="n">
        <v>13</v>
      </c>
      <c r="K549" t="inlineStr">
        <is>
          <t>2 / 11</t>
        </is>
      </c>
      <c r="L549" t="inlineStr">
        <is>
          <t>1 / 6</t>
        </is>
      </c>
      <c r="M549" s="5" t="n">
        <v>0.15</v>
      </c>
      <c r="N549" s="5" t="n">
        <v>0.14</v>
      </c>
    </row>
    <row r="550">
      <c r="A550" t="n">
        <v>549</v>
      </c>
      <c r="B550" t="n">
        <v>2015</v>
      </c>
      <c r="C550" t="inlineStr">
        <is>
          <t>Ziba Forooghian</t>
        </is>
      </c>
      <c r="D550">
        <f>HYPERLINK("https://ota.tournamentsoftware.com/player-profile/F7878057-CB20-46E1-B220-553040C8AC48", "Link")</f>
        <v/>
      </c>
      <c r="E550" s="3" t="n">
        <v>64.547</v>
      </c>
      <c r="F550" s="4" t="n">
        <v>22</v>
      </c>
      <c r="G550" t="inlineStr">
        <is>
          <t>British Columbia</t>
        </is>
      </c>
      <c r="H550" t="inlineStr">
        <is>
          <t>Aura Tennis Academy</t>
        </is>
      </c>
      <c r="I550" t="n">
        <v>35.9</v>
      </c>
      <c r="J550" s="4" t="n">
        <v>91</v>
      </c>
      <c r="K550" t="inlineStr">
        <is>
          <t>33 / 58</t>
        </is>
      </c>
      <c r="L550" t="inlineStr">
        <is>
          <t>20 / 35</t>
        </is>
      </c>
      <c r="M550" s="5" t="n">
        <v>0.36</v>
      </c>
      <c r="N550" s="5" t="n">
        <v>0.36</v>
      </c>
    </row>
    <row r="551">
      <c r="A551" t="n">
        <v>550</v>
      </c>
      <c r="B551" t="n">
        <v>2016</v>
      </c>
      <c r="C551" t="inlineStr">
        <is>
          <t>Melinna Yu Nuo Yang</t>
        </is>
      </c>
      <c r="D551">
        <f>HYPERLINK("https://ota.tournamentsoftware.com/player-profile/6BCCA5B4-7059-414C-A06D-D2936B6A3CC2", "Link")</f>
        <v/>
      </c>
      <c r="E551" s="3" t="n">
        <v>64.06399999999999</v>
      </c>
      <c r="F551" s="4" t="n">
        <v>9</v>
      </c>
      <c r="G551" t="inlineStr">
        <is>
          <t>Tennis Québec</t>
        </is>
      </c>
      <c r="H551" t="inlineStr">
        <is>
          <t>Club Sportif Côte-de-Liesse</t>
        </is>
      </c>
      <c r="I551" t="inlineStr">
        <is>
          <t>unavailable</t>
        </is>
      </c>
      <c r="J551" s="4" t="n">
        <v>97</v>
      </c>
      <c r="K551" t="inlineStr">
        <is>
          <t>40 / 57</t>
        </is>
      </c>
      <c r="L551" t="inlineStr">
        <is>
          <t>19 / 15</t>
        </is>
      </c>
      <c r="M551" s="5" t="n">
        <v>0.41</v>
      </c>
      <c r="N551" s="5" t="n">
        <v>0.5600000000000001</v>
      </c>
    </row>
    <row r="552">
      <c r="A552" t="n">
        <v>551</v>
      </c>
      <c r="B552" t="n">
        <v>2012</v>
      </c>
      <c r="C552" t="inlineStr">
        <is>
          <t>Jemima Edwards</t>
        </is>
      </c>
      <c r="D552">
        <f>HYPERLINK("https://ota.tournamentsoftware.com/player-profile/89C8AA4C-1698-4049-8B88-9B77FC5C4B9B", "Link")</f>
        <v/>
      </c>
      <c r="E552" s="3" t="n">
        <v>64</v>
      </c>
      <c r="F552" s="4" t="n">
        <v>2</v>
      </c>
      <c r="G552" t="inlineStr">
        <is>
          <t>Ontario Tennis Association</t>
        </is>
      </c>
      <c r="H552" t="inlineStr">
        <is>
          <t>Rideau Sports Centre</t>
        </is>
      </c>
      <c r="I552" t="n">
        <v>32.6</v>
      </c>
      <c r="J552" s="4" t="n">
        <v>79</v>
      </c>
      <c r="K552" t="inlineStr">
        <is>
          <t>39 / 40</t>
        </is>
      </c>
      <c r="L552" t="inlineStr">
        <is>
          <t>3 / 1</t>
        </is>
      </c>
      <c r="M552" s="5" t="n">
        <v>0.49</v>
      </c>
      <c r="N552" s="5" t="n">
        <v>0.75</v>
      </c>
    </row>
    <row r="553">
      <c r="A553" t="n">
        <v>552</v>
      </c>
      <c r="B553" t="n">
        <v>2016</v>
      </c>
      <c r="C553" t="inlineStr">
        <is>
          <t>Hayley Bryce</t>
        </is>
      </c>
      <c r="D553">
        <f>HYPERLINK("https://ota.tournamentsoftware.com/player-profile/B433F420-A779-4270-B32A-8DE5FF43BD05", "Link")</f>
        <v/>
      </c>
      <c r="E553" s="3" t="n">
        <v>63.547</v>
      </c>
      <c r="F553" s="4" t="n">
        <v>15</v>
      </c>
      <c r="G553" t="inlineStr">
        <is>
          <t>Ontario Tennis Association</t>
        </is>
      </c>
      <c r="H553" t="inlineStr">
        <is>
          <t>SmartVMC Racquetsports by ACE</t>
        </is>
      </c>
      <c r="I553" t="inlineStr">
        <is>
          <t>unavailable</t>
        </is>
      </c>
      <c r="J553" s="4" t="n">
        <v>81</v>
      </c>
      <c r="K553" t="inlineStr">
        <is>
          <t>36 / 45</t>
        </is>
      </c>
      <c r="L553" t="inlineStr">
        <is>
          <t>19 / 23</t>
        </is>
      </c>
      <c r="M553" s="5" t="n">
        <v>0.44</v>
      </c>
      <c r="N553" s="5" t="n">
        <v>0.45</v>
      </c>
    </row>
    <row r="554">
      <c r="A554" t="n">
        <v>553</v>
      </c>
      <c r="B554" t="n">
        <v>2013</v>
      </c>
      <c r="C554" t="inlineStr">
        <is>
          <t>Deborah Zhao</t>
        </is>
      </c>
      <c r="D554">
        <f>HYPERLINK("https://ota.tournamentsoftware.com/player-profile/F6904719-B024-412B-8805-0CEB145651FD", "Link")</f>
        <v/>
      </c>
      <c r="E554" s="3" t="n">
        <v>63.288</v>
      </c>
      <c r="F554" s="4" t="n">
        <v>3</v>
      </c>
      <c r="G554" t="inlineStr">
        <is>
          <t>Tennis Prince Edward Island</t>
        </is>
      </c>
      <c r="H554" t="inlineStr">
        <is>
          <t>Charlottetown Recreation Tennis Group</t>
        </is>
      </c>
      <c r="I554" t="n">
        <v>35.4</v>
      </c>
      <c r="J554" s="4" t="n">
        <v>139</v>
      </c>
      <c r="K554" t="inlineStr">
        <is>
          <t>67 / 72</t>
        </is>
      </c>
      <c r="L554" t="inlineStr">
        <is>
          <t>5 / 8</t>
        </is>
      </c>
      <c r="M554" s="5" t="n">
        <v>0.48</v>
      </c>
      <c r="N554" s="5" t="n">
        <v>0.38</v>
      </c>
    </row>
    <row r="555">
      <c r="A555" t="n">
        <v>554</v>
      </c>
      <c r="B555" t="n">
        <v>2015</v>
      </c>
      <c r="C555" t="inlineStr">
        <is>
          <t>Karina Lee Griffin</t>
        </is>
      </c>
      <c r="D555">
        <f>HYPERLINK("https://ota.tournamentsoftware.com/player-profile/51794C7A-992F-4A4D-9983-0483174644A1", "Link")</f>
        <v/>
      </c>
      <c r="E555" s="3" t="n">
        <v>62.799</v>
      </c>
      <c r="F555" s="4" t="n">
        <v>17</v>
      </c>
      <c r="G555" t="inlineStr">
        <is>
          <t>British Columbia</t>
        </is>
      </c>
      <c r="H555" t="inlineStr">
        <is>
          <t>North Vancouver Tennis Centre</t>
        </is>
      </c>
      <c r="I555" t="n">
        <v>35</v>
      </c>
      <c r="J555" s="4" t="n">
        <v>155</v>
      </c>
      <c r="K555" t="inlineStr">
        <is>
          <t>73 / 82</t>
        </is>
      </c>
      <c r="L555" t="inlineStr">
        <is>
          <t>12 / 20</t>
        </is>
      </c>
      <c r="M555" s="5" t="n">
        <v>0.47</v>
      </c>
      <c r="N555" s="5" t="n">
        <v>0.38</v>
      </c>
    </row>
    <row r="556">
      <c r="A556" t="n">
        <v>555</v>
      </c>
      <c r="B556" t="n">
        <v>2013</v>
      </c>
      <c r="C556" t="inlineStr">
        <is>
          <t>Anika Surtani</t>
        </is>
      </c>
      <c r="D556">
        <f>HYPERLINK("https://ota.tournamentsoftware.com/player-profile/8434E356-BD3E-4FDA-9513-46F335FD471C", "Link")</f>
        <v/>
      </c>
      <c r="E556" s="3" t="n">
        <v>62.78</v>
      </c>
      <c r="F556" s="4" t="n">
        <v>8</v>
      </c>
      <c r="G556" t="inlineStr">
        <is>
          <t>Ontario Tennis Association</t>
        </is>
      </c>
      <c r="H556" t="inlineStr">
        <is>
          <t>Boulevard Club</t>
        </is>
      </c>
      <c r="I556" t="inlineStr">
        <is>
          <t>unavailable</t>
        </is>
      </c>
      <c r="J556" s="4" t="n">
        <v>22</v>
      </c>
      <c r="K556" t="inlineStr">
        <is>
          <t>6 / 16</t>
        </is>
      </c>
      <c r="L556" t="inlineStr">
        <is>
          <t>4 / 8</t>
        </is>
      </c>
      <c r="M556" s="5" t="n">
        <v>0.27</v>
      </c>
      <c r="N556" s="5" t="n">
        <v>0.33</v>
      </c>
    </row>
    <row r="557">
      <c r="A557" t="n">
        <v>556</v>
      </c>
      <c r="B557" t="n">
        <v>2012</v>
      </c>
      <c r="C557" t="inlineStr">
        <is>
          <t>Hannah Ines Fischer-Kandelas</t>
        </is>
      </c>
      <c r="D557">
        <f>HYPERLINK("https://ota.tournamentsoftware.com/player-profile/672C977E-EE19-4DD0-AE73-F6FCDD2EE1E1", "Link")</f>
        <v/>
      </c>
      <c r="E557" s="3" t="n">
        <v>62.453</v>
      </c>
      <c r="F557" s="4" t="n">
        <v>4</v>
      </c>
      <c r="G557" t="inlineStr">
        <is>
          <t>Ontario Tennis Association</t>
        </is>
      </c>
      <c r="H557" t="inlineStr">
        <is>
          <t>Wychwood Tennis Club</t>
        </is>
      </c>
      <c r="I557" t="n">
        <v>39.1</v>
      </c>
      <c r="J557" s="4" t="n">
        <v>22</v>
      </c>
      <c r="K557" t="inlineStr">
        <is>
          <t>9 / 13</t>
        </is>
      </c>
      <c r="L557" t="inlineStr">
        <is>
          <t>2 / 7</t>
        </is>
      </c>
      <c r="M557" s="5" t="n">
        <v>0.41</v>
      </c>
      <c r="N557" s="5" t="n">
        <v>0.22</v>
      </c>
    </row>
    <row r="558">
      <c r="A558" t="n">
        <v>557</v>
      </c>
      <c r="B558" t="n">
        <v>2014</v>
      </c>
      <c r="C558" t="inlineStr">
        <is>
          <t>Chloe Huang</t>
        </is>
      </c>
      <c r="D558">
        <f>HYPERLINK("https://ota.tournamentsoftware.com/player-profile/F00195EB-06BF-48AD-9E24-7FA037871F13", "Link")</f>
        <v/>
      </c>
      <c r="E558" s="3" t="n">
        <v>62.111</v>
      </c>
      <c r="F558" s="4" t="n">
        <v>3</v>
      </c>
      <c r="G558" t="inlineStr">
        <is>
          <t>Ontario Tennis Association</t>
        </is>
      </c>
      <c r="H558" t="inlineStr">
        <is>
          <t>Richmond Hill Country Club</t>
        </is>
      </c>
      <c r="I558" t="n">
        <v>38.8</v>
      </c>
      <c r="J558" s="4" t="n">
        <v>54</v>
      </c>
      <c r="K558" t="inlineStr">
        <is>
          <t>20 / 34</t>
        </is>
      </c>
      <c r="L558" t="inlineStr">
        <is>
          <t>0 / 3</t>
        </is>
      </c>
      <c r="M558" s="5" t="n">
        <v>0.37</v>
      </c>
      <c r="N558" s="5" t="n">
        <v>0</v>
      </c>
    </row>
    <row r="559">
      <c r="A559" t="n">
        <v>558</v>
      </c>
      <c r="B559" t="n">
        <v>2012</v>
      </c>
      <c r="C559" t="inlineStr">
        <is>
          <t>Alice Zhang</t>
        </is>
      </c>
      <c r="D559">
        <f>HYPERLINK("https://ota.tournamentsoftware.com/player-profile/D65C72B6-843B-48BF-A073-AE5080F1EA2D", "Link")</f>
        <v/>
      </c>
      <c r="E559" s="3" t="n">
        <v>61.807</v>
      </c>
      <c r="F559" s="4" t="n">
        <v>4</v>
      </c>
      <c r="G559" t="inlineStr">
        <is>
          <t>Ontario Tennis Association</t>
        </is>
      </c>
      <c r="H559" t="inlineStr">
        <is>
          <t>ACE Tennis - Burlington</t>
        </is>
      </c>
      <c r="I559" t="n">
        <v>37.1</v>
      </c>
      <c r="J559" s="4" t="n">
        <v>10</v>
      </c>
      <c r="K559" t="inlineStr">
        <is>
          <t>2 / 8</t>
        </is>
      </c>
      <c r="L559" t="inlineStr">
        <is>
          <t>2 / 6</t>
        </is>
      </c>
      <c r="M559" s="5" t="n">
        <v>0.2</v>
      </c>
      <c r="N559" s="5" t="n">
        <v>0.25</v>
      </c>
    </row>
    <row r="560">
      <c r="A560" t="n">
        <v>559</v>
      </c>
      <c r="B560" t="n">
        <v>2016</v>
      </c>
      <c r="C560" t="inlineStr">
        <is>
          <t>Vianna Mostashari</t>
        </is>
      </c>
      <c r="D560">
        <f>HYPERLINK("https://ota.tournamentsoftware.com/player-profile/670B74EC-3F81-45DD-8F9B-AEE768B61639", "Link")</f>
        <v/>
      </c>
      <c r="E560" s="3" t="n">
        <v>60.995</v>
      </c>
      <c r="F560" s="4" t="n">
        <v>12</v>
      </c>
      <c r="G560" t="inlineStr">
        <is>
          <t>British Columbia</t>
        </is>
      </c>
      <c r="H560" t="inlineStr">
        <is>
          <t>North Vancouver Tennis Centre</t>
        </is>
      </c>
      <c r="I560" t="n">
        <v>35.5</v>
      </c>
      <c r="J560" s="4" t="n">
        <v>160</v>
      </c>
      <c r="K560" t="inlineStr">
        <is>
          <t>89 / 71</t>
        </is>
      </c>
      <c r="L560" t="inlineStr">
        <is>
          <t>9 / 18</t>
        </is>
      </c>
      <c r="M560" s="5" t="n">
        <v>0.5600000000000001</v>
      </c>
      <c r="N560" s="5" t="n">
        <v>0.33</v>
      </c>
    </row>
    <row r="561">
      <c r="A561" t="n">
        <v>560</v>
      </c>
      <c r="B561" t="n">
        <v>2016</v>
      </c>
      <c r="C561" t="inlineStr">
        <is>
          <t>Saanvi Sharma</t>
        </is>
      </c>
      <c r="D561">
        <f>HYPERLINK("https://ota.tournamentsoftware.com/player-profile/CE1D7CD8-1C3C-4F68-B568-48AC24E75437", "Link")</f>
        <v/>
      </c>
      <c r="E561" s="3" t="n">
        <v>60.845</v>
      </c>
      <c r="F561" s="4" t="n">
        <v>6</v>
      </c>
      <c r="G561" t="inlineStr">
        <is>
          <t>Tennis Québec</t>
        </is>
      </c>
      <c r="H561" t="inlineStr">
        <is>
          <t>Tennis Ile- des- Soeurs</t>
        </is>
      </c>
      <c r="I561" t="n">
        <v>36.3</v>
      </c>
      <c r="J561" s="4" t="n">
        <v>97</v>
      </c>
      <c r="K561" t="inlineStr">
        <is>
          <t>48 / 49</t>
        </is>
      </c>
      <c r="L561" t="inlineStr">
        <is>
          <t>14 / 10</t>
        </is>
      </c>
      <c r="M561" s="5" t="n">
        <v>0.49</v>
      </c>
      <c r="N561" s="5" t="n">
        <v>0.58</v>
      </c>
    </row>
    <row r="562">
      <c r="A562" t="n">
        <v>561</v>
      </c>
      <c r="B562" t="n">
        <v>2014</v>
      </c>
      <c r="C562" t="inlineStr">
        <is>
          <t>Mila Phoebe Madrid</t>
        </is>
      </c>
      <c r="D562">
        <f>HYPERLINK("https://ota.tournamentsoftware.com/player-profile/3994748B-2ED2-4F57-8907-B1AE9B874F9B", "Link")</f>
        <v/>
      </c>
      <c r="E562" s="3" t="n">
        <v>60.769</v>
      </c>
      <c r="F562" s="4" t="n">
        <v>6</v>
      </c>
      <c r="G562" t="inlineStr">
        <is>
          <t>Ontario Tennis Association</t>
        </is>
      </c>
      <c r="H562" t="inlineStr">
        <is>
          <t>Newmarket Winter Tennis Club</t>
        </is>
      </c>
      <c r="I562" t="n">
        <v>37</v>
      </c>
      <c r="J562" s="4" t="n">
        <v>53</v>
      </c>
      <c r="K562" t="inlineStr">
        <is>
          <t>20 / 33</t>
        </is>
      </c>
      <c r="L562" t="inlineStr">
        <is>
          <t>13 / 7</t>
        </is>
      </c>
      <c r="M562" s="5" t="n">
        <v>0.38</v>
      </c>
      <c r="N562" s="5" t="n">
        <v>0.65</v>
      </c>
    </row>
    <row r="563">
      <c r="A563" t="n">
        <v>562</v>
      </c>
      <c r="B563" t="n">
        <v>2015</v>
      </c>
      <c r="C563" t="inlineStr">
        <is>
          <t>Clara Surprenant</t>
        </is>
      </c>
      <c r="D563">
        <f>HYPERLINK("https://ota.tournamentsoftware.com/player-profile/82684D26-C7AE-41C6-893D-5E94585A41D7", "Link")</f>
        <v/>
      </c>
      <c r="E563" s="3" t="n">
        <v>60.705</v>
      </c>
      <c r="F563" s="4" t="n">
        <v>6</v>
      </c>
      <c r="G563" t="inlineStr">
        <is>
          <t>Tennis Québec</t>
        </is>
      </c>
      <c r="H563" t="inlineStr">
        <is>
          <t>SANI Sport</t>
        </is>
      </c>
      <c r="I563" t="n">
        <v>36.4</v>
      </c>
      <c r="J563" s="4" t="n">
        <v>87</v>
      </c>
      <c r="K563" t="inlineStr">
        <is>
          <t>41 / 46</t>
        </is>
      </c>
      <c r="L563" t="inlineStr">
        <is>
          <t>3 / 5</t>
        </is>
      </c>
      <c r="M563" s="5" t="n">
        <v>0.47</v>
      </c>
      <c r="N563" s="5" t="n">
        <v>0.38</v>
      </c>
    </row>
    <row r="564">
      <c r="A564" t="n">
        <v>563</v>
      </c>
      <c r="B564" t="n">
        <v>2014</v>
      </c>
      <c r="C564" t="inlineStr">
        <is>
          <t>Minnie Jinwen Xu</t>
        </is>
      </c>
      <c r="D564">
        <f>HYPERLINK("https://ota.tournamentsoftware.com/player-profile/617AABE9-B600-4656-9194-77743DDDC351", "Link")</f>
        <v/>
      </c>
      <c r="E564" s="3" t="n">
        <v>60.695</v>
      </c>
      <c r="F564" s="4" t="n">
        <v>11</v>
      </c>
      <c r="G564" t="inlineStr">
        <is>
          <t>British Columbia</t>
        </is>
      </c>
      <c r="H564" t="inlineStr">
        <is>
          <t>The Tennis Centre</t>
        </is>
      </c>
      <c r="I564" t="n">
        <v>35.4</v>
      </c>
      <c r="J564" s="4" t="n">
        <v>128</v>
      </c>
      <c r="K564" t="inlineStr">
        <is>
          <t>67 / 61</t>
        </is>
      </c>
      <c r="L564" t="inlineStr">
        <is>
          <t>13 / 12</t>
        </is>
      </c>
      <c r="M564" s="5" t="n">
        <v>0.52</v>
      </c>
      <c r="N564" s="5" t="n">
        <v>0.52</v>
      </c>
    </row>
    <row r="565">
      <c r="A565" t="n">
        <v>564</v>
      </c>
      <c r="B565" t="n">
        <v>2014</v>
      </c>
      <c r="C565" t="inlineStr">
        <is>
          <t>Sareen Kaur Hehar</t>
        </is>
      </c>
      <c r="D565">
        <f>HYPERLINK("https://ota.tournamentsoftware.com/player-profile/07D185FB-AE5B-444B-BAE8-058B536108E2", "Link")</f>
        <v/>
      </c>
      <c r="E565" s="3" t="n">
        <v>59.313</v>
      </c>
      <c r="F565" s="4" t="n">
        <v>10</v>
      </c>
      <c r="G565" t="inlineStr">
        <is>
          <t>British Columbia</t>
        </is>
      </c>
      <c r="H565" t="inlineStr">
        <is>
          <t>No Club</t>
        </is>
      </c>
      <c r="I565" t="n">
        <v>35.7</v>
      </c>
      <c r="J565" s="4" t="n">
        <v>197</v>
      </c>
      <c r="K565" t="inlineStr">
        <is>
          <t>75 / 122</t>
        </is>
      </c>
      <c r="L565" t="inlineStr">
        <is>
          <t>5 / 10</t>
        </is>
      </c>
      <c r="M565" s="5" t="n">
        <v>0.38</v>
      </c>
      <c r="N565" s="5" t="n">
        <v>0.33</v>
      </c>
    </row>
    <row r="566">
      <c r="A566" t="n">
        <v>565</v>
      </c>
      <c r="B566" t="n">
        <v>2014</v>
      </c>
      <c r="C566" t="inlineStr">
        <is>
          <t>Sofia Morisette</t>
        </is>
      </c>
      <c r="D566">
        <f>HYPERLINK("https://ota.tournamentsoftware.com/player-profile/F99611AC-3485-4574-897D-68151916B40D", "Link")</f>
        <v/>
      </c>
      <c r="E566" s="3" t="n">
        <v>59.011</v>
      </c>
      <c r="F566" s="4" t="n">
        <v>5</v>
      </c>
      <c r="G566" t="inlineStr">
        <is>
          <t>British Columbia</t>
        </is>
      </c>
      <c r="H566" t="inlineStr">
        <is>
          <t>Tennis BC Hub @ Richmond</t>
        </is>
      </c>
      <c r="I566" t="inlineStr">
        <is>
          <t>unavailable</t>
        </is>
      </c>
      <c r="J566" s="4" t="inlineStr"/>
      <c r="K566" t="inlineStr">
        <is>
          <t>unavailable</t>
        </is>
      </c>
      <c r="L566" t="inlineStr">
        <is>
          <t>unavailable</t>
        </is>
      </c>
      <c r="M566" s="5" t="inlineStr"/>
      <c r="N566" s="5" t="inlineStr"/>
    </row>
    <row r="567">
      <c r="A567" t="n">
        <v>566</v>
      </c>
      <c r="B567" t="n">
        <v>2015</v>
      </c>
      <c r="C567" t="inlineStr">
        <is>
          <t>Ava Gracia Hurley</t>
        </is>
      </c>
      <c r="D567">
        <f>HYPERLINK("https://ota.tournamentsoftware.com/player-profile/DC3D1043-9FBA-467F-8103-AE9D0DEEF066", "Link")</f>
        <v/>
      </c>
      <c r="E567" s="3" t="n">
        <v>58.941</v>
      </c>
      <c r="F567" s="4" t="n">
        <v>10</v>
      </c>
      <c r="G567" t="inlineStr">
        <is>
          <t>Ontario Tennis Association</t>
        </is>
      </c>
      <c r="H567" t="inlineStr">
        <is>
          <t>Manotick Tennis Club</t>
        </is>
      </c>
      <c r="I567" t="inlineStr">
        <is>
          <t>unavailable</t>
        </is>
      </c>
      <c r="J567" s="4" t="n">
        <v>36</v>
      </c>
      <c r="K567" t="inlineStr">
        <is>
          <t>15 / 21</t>
        </is>
      </c>
      <c r="L567" t="inlineStr">
        <is>
          <t>7 / 10</t>
        </is>
      </c>
      <c r="M567" s="5" t="n">
        <v>0.42</v>
      </c>
      <c r="N567" s="5" t="n">
        <v>0.41</v>
      </c>
    </row>
    <row r="568">
      <c r="A568" t="n">
        <v>567</v>
      </c>
      <c r="B568" t="n">
        <v>2016</v>
      </c>
      <c r="C568" t="inlineStr">
        <is>
          <t>Madison Dionne</t>
        </is>
      </c>
      <c r="D568">
        <f>HYPERLINK("https://ota.tournamentsoftware.com/player-profile/E7A43ABD-96E4-46C3-84A5-BAF14D846E4C", "Link")</f>
        <v/>
      </c>
      <c r="E568" s="3" t="n">
        <v>58.92</v>
      </c>
      <c r="F568" s="4" t="n">
        <v>13</v>
      </c>
      <c r="G568" t="inlineStr">
        <is>
          <t>Ontario Tennis Association</t>
        </is>
      </c>
      <c r="H568" t="inlineStr">
        <is>
          <t>Ontario Racquet Club</t>
        </is>
      </c>
      <c r="I568" t="n">
        <v>36.6</v>
      </c>
      <c r="J568" s="4" t="n">
        <v>111</v>
      </c>
      <c r="K568" t="inlineStr">
        <is>
          <t>38 / 73</t>
        </is>
      </c>
      <c r="L568" t="inlineStr">
        <is>
          <t>22 / 19</t>
        </is>
      </c>
      <c r="M568" s="5" t="n">
        <v>0.34</v>
      </c>
      <c r="N568" s="5" t="n">
        <v>0.54</v>
      </c>
    </row>
    <row r="569">
      <c r="A569" t="n">
        <v>568</v>
      </c>
      <c r="B569" t="n">
        <v>2013</v>
      </c>
      <c r="C569" t="inlineStr">
        <is>
          <t>Presley Pellegrino</t>
        </is>
      </c>
      <c r="D569">
        <f>HYPERLINK("https://ota.tournamentsoftware.com/player-profile/A7978533-179E-4FC4-8D48-C160FA6FF2E3", "Link")</f>
        <v/>
      </c>
      <c r="E569" s="3" t="n">
        <v>58.878</v>
      </c>
      <c r="F569" s="4" t="n">
        <v>3</v>
      </c>
      <c r="G569" t="inlineStr">
        <is>
          <t>Ontario Tennis Association</t>
        </is>
      </c>
      <c r="H569" t="inlineStr">
        <is>
          <t>No Club</t>
        </is>
      </c>
      <c r="I569" t="n">
        <v>35.1</v>
      </c>
      <c r="J569" s="4" t="n">
        <v>97</v>
      </c>
      <c r="K569" t="inlineStr">
        <is>
          <t>40 / 57</t>
        </is>
      </c>
      <c r="L569" t="inlineStr">
        <is>
          <t>2 / 2</t>
        </is>
      </c>
      <c r="M569" s="5" t="n">
        <v>0.41</v>
      </c>
      <c r="N569" s="5" t="n">
        <v>0.5</v>
      </c>
    </row>
    <row r="570">
      <c r="A570" t="n">
        <v>569</v>
      </c>
      <c r="B570" t="n">
        <v>2016</v>
      </c>
      <c r="C570" t="inlineStr">
        <is>
          <t>Chloe Garikimukkula</t>
        </is>
      </c>
      <c r="D570">
        <f>HYPERLINK("https://ota.tournamentsoftware.com/player-profile/8B630DA5-F61E-4159-9316-7EA463790908", "Link")</f>
        <v/>
      </c>
      <c r="E570" s="3" t="n">
        <v>58.68</v>
      </c>
      <c r="F570" s="4" t="n">
        <v>14</v>
      </c>
      <c r="G570" t="inlineStr">
        <is>
          <t>Ontario Tennis Association</t>
        </is>
      </c>
      <c r="H570" t="inlineStr">
        <is>
          <t>Burlington Tennis Club</t>
        </is>
      </c>
      <c r="I570" t="n">
        <v>36.7</v>
      </c>
      <c r="J570" s="4" t="n">
        <v>106</v>
      </c>
      <c r="K570" t="inlineStr">
        <is>
          <t>60 / 46</t>
        </is>
      </c>
      <c r="L570" t="inlineStr">
        <is>
          <t>41 / 31</t>
        </is>
      </c>
      <c r="M570" s="5" t="n">
        <v>0.57</v>
      </c>
      <c r="N570" s="5" t="n">
        <v>0.57</v>
      </c>
    </row>
    <row r="571">
      <c r="A571" t="n">
        <v>570</v>
      </c>
      <c r="B571" t="n">
        <v>2015</v>
      </c>
      <c r="C571" t="inlineStr">
        <is>
          <t>Aria MARTIN</t>
        </is>
      </c>
      <c r="D571">
        <f>HYPERLINK("https://ota.tournamentsoftware.com/player-profile/220708AF-B049-4C3B-83FA-C1AAC60269C5", "Link")</f>
        <v/>
      </c>
      <c r="E571" s="3" t="n">
        <v>58.434</v>
      </c>
      <c r="F571" s="4" t="n">
        <v>16</v>
      </c>
      <c r="G571" t="inlineStr">
        <is>
          <t>British Columbia</t>
        </is>
      </c>
      <c r="H571" t="inlineStr">
        <is>
          <t>Vancouver Lawn Tennis and Badminton Club</t>
        </is>
      </c>
      <c r="I571" t="n">
        <v>35.1</v>
      </c>
      <c r="J571" s="4" t="n">
        <v>133</v>
      </c>
      <c r="K571" t="inlineStr">
        <is>
          <t>53 / 80</t>
        </is>
      </c>
      <c r="L571" t="inlineStr">
        <is>
          <t>24 / 17</t>
        </is>
      </c>
      <c r="M571" s="5" t="n">
        <v>0.4</v>
      </c>
      <c r="N571" s="5" t="n">
        <v>0.59</v>
      </c>
    </row>
    <row r="572">
      <c r="A572" t="n">
        <v>571</v>
      </c>
      <c r="B572" t="n">
        <v>2012</v>
      </c>
      <c r="C572" t="inlineStr">
        <is>
          <t>Chloe Teng</t>
        </is>
      </c>
      <c r="D572">
        <f>HYPERLINK("https://ota.tournamentsoftware.com/player-profile/F5AC5875-4E89-4D3E-BF17-24986F702240", "Link")</f>
        <v/>
      </c>
      <c r="E572" s="3" t="n">
        <v>58.388</v>
      </c>
      <c r="F572" s="4" t="n">
        <v>12</v>
      </c>
      <c r="G572" t="inlineStr">
        <is>
          <t>Ontario Tennis Association</t>
        </is>
      </c>
      <c r="H572" t="inlineStr">
        <is>
          <t>Tennis Clubs of Canada</t>
        </is>
      </c>
      <c r="I572" t="n">
        <v>38</v>
      </c>
      <c r="J572" s="4" t="n">
        <v>48</v>
      </c>
      <c r="K572" t="inlineStr">
        <is>
          <t>12 / 36</t>
        </is>
      </c>
      <c r="L572" t="inlineStr">
        <is>
          <t>9 / 25</t>
        </is>
      </c>
      <c r="M572" s="5" t="n">
        <v>0.25</v>
      </c>
      <c r="N572" s="5" t="n">
        <v>0.26</v>
      </c>
    </row>
    <row r="573">
      <c r="A573" t="n">
        <v>572</v>
      </c>
      <c r="B573" t="n">
        <v>2015</v>
      </c>
      <c r="C573" t="inlineStr">
        <is>
          <t>Maeva Kaur Dhillon</t>
        </is>
      </c>
      <c r="D573">
        <f>HYPERLINK("https://ota.tournamentsoftware.com/player-profile/1E3A662C-1993-423F-99BB-0CD2F93CC62A", "Link")</f>
        <v/>
      </c>
      <c r="E573" s="3" t="n">
        <v>58.125</v>
      </c>
      <c r="F573" s="4" t="n">
        <v>11</v>
      </c>
      <c r="G573" t="inlineStr">
        <is>
          <t>Tennis Alberta</t>
        </is>
      </c>
      <c r="H573" t="inlineStr">
        <is>
          <t>Saville Community Sports Centre</t>
        </is>
      </c>
      <c r="I573" t="n">
        <v>36.8</v>
      </c>
      <c r="J573" s="4" t="n">
        <v>76</v>
      </c>
      <c r="K573" t="inlineStr">
        <is>
          <t>23 / 53</t>
        </is>
      </c>
      <c r="L573" t="inlineStr">
        <is>
          <t>6 / 10</t>
        </is>
      </c>
      <c r="M573" s="5" t="n">
        <v>0.3</v>
      </c>
      <c r="N573" s="5" t="n">
        <v>0.38</v>
      </c>
    </row>
    <row r="574">
      <c r="A574" t="n">
        <v>573</v>
      </c>
      <c r="B574" t="n">
        <v>2013</v>
      </c>
      <c r="C574" t="inlineStr">
        <is>
          <t>Gabrielle Galgay</t>
        </is>
      </c>
      <c r="D574">
        <f>HYPERLINK("https://ota.tournamentsoftware.com/player-profile/1A26365B-FAA0-4130-8F92-B67D497E82D9", "Link")</f>
        <v/>
      </c>
      <c r="E574" s="3" t="n">
        <v>57.069</v>
      </c>
      <c r="F574" s="4" t="n">
        <v>4</v>
      </c>
      <c r="G574" t="inlineStr">
        <is>
          <t>Ontario Tennis Association</t>
        </is>
      </c>
      <c r="H574" t="inlineStr">
        <is>
          <t>No Club</t>
        </is>
      </c>
      <c r="I574" t="n">
        <v>34.3</v>
      </c>
      <c r="J574" s="4" t="n">
        <v>10</v>
      </c>
      <c r="K574" t="inlineStr">
        <is>
          <t>4 / 6</t>
        </is>
      </c>
      <c r="L574" t="inlineStr">
        <is>
          <t>1 / 3</t>
        </is>
      </c>
      <c r="M574" s="5" t="n">
        <v>0.4</v>
      </c>
      <c r="N574" s="5" t="n">
        <v>0.25</v>
      </c>
    </row>
    <row r="575">
      <c r="A575" t="n">
        <v>574</v>
      </c>
      <c r="B575" t="n">
        <v>2013</v>
      </c>
      <c r="C575" t="inlineStr">
        <is>
          <t>Noa Anne Broere</t>
        </is>
      </c>
      <c r="D575">
        <f>HYPERLINK("https://ota.tournamentsoftware.com/player-profile/A5724AD9-99FF-4D46-A565-ED1BBCAE83F4", "Link")</f>
        <v/>
      </c>
      <c r="E575" s="3" t="n">
        <v>57.045</v>
      </c>
      <c r="F575" s="4" t="n">
        <v>14</v>
      </c>
      <c r="G575" t="inlineStr">
        <is>
          <t>British Columbia</t>
        </is>
      </c>
      <c r="H575" t="inlineStr">
        <is>
          <t>Vancouver Lawn Tennis and Badminton Club</t>
        </is>
      </c>
      <c r="I575" t="n">
        <v>34.4</v>
      </c>
      <c r="J575" s="4" t="n">
        <v>75</v>
      </c>
      <c r="K575" t="inlineStr">
        <is>
          <t>30 / 45</t>
        </is>
      </c>
      <c r="L575" t="inlineStr">
        <is>
          <t>9 / 14</t>
        </is>
      </c>
      <c r="M575" s="5" t="n">
        <v>0.4</v>
      </c>
      <c r="N575" s="5" t="n">
        <v>0.39</v>
      </c>
    </row>
    <row r="576">
      <c r="A576" t="n">
        <v>575</v>
      </c>
      <c r="B576" t="n">
        <v>2013</v>
      </c>
      <c r="C576" t="inlineStr">
        <is>
          <t>Grace Christina Lawrence</t>
        </is>
      </c>
      <c r="D576">
        <f>HYPERLINK("https://ota.tournamentsoftware.com/player-profile/9FEF2F9B-F202-41CF-8B36-42B1520055E0", "Link")</f>
        <v/>
      </c>
      <c r="E576" s="3" t="n">
        <v>57.027</v>
      </c>
      <c r="F576" s="4" t="n">
        <v>8</v>
      </c>
      <c r="G576" t="inlineStr">
        <is>
          <t>Ontario Tennis Association</t>
        </is>
      </c>
      <c r="H576" t="inlineStr">
        <is>
          <t>Toronto Lawn Tennis Club</t>
        </is>
      </c>
      <c r="I576" t="n">
        <v>35.9</v>
      </c>
      <c r="J576" s="4" t="n">
        <v>107</v>
      </c>
      <c r="K576" t="inlineStr">
        <is>
          <t>48 / 59</t>
        </is>
      </c>
      <c r="L576" t="inlineStr">
        <is>
          <t>4 / 4</t>
        </is>
      </c>
      <c r="M576" s="5" t="n">
        <v>0.45</v>
      </c>
      <c r="N576" s="5" t="n">
        <v>0.5</v>
      </c>
    </row>
    <row r="577">
      <c r="A577" t="n">
        <v>576</v>
      </c>
      <c r="B577" t="n">
        <v>2013</v>
      </c>
      <c r="C577" t="inlineStr">
        <is>
          <t>Daniella Adekoya</t>
        </is>
      </c>
      <c r="D577">
        <f>HYPERLINK("https://ota.tournamentsoftware.com/player-profile/1AE7E627-3ED1-4E93-9C7E-52183DBA7410", "Link")</f>
        <v/>
      </c>
      <c r="E577" s="3" t="n">
        <v>55.728</v>
      </c>
      <c r="F577" s="4" t="n">
        <v>2</v>
      </c>
      <c r="G577" t="inlineStr">
        <is>
          <t>Ontario Tennis Association</t>
        </is>
      </c>
      <c r="H577" t="inlineStr">
        <is>
          <t>Rideau Sports Centre</t>
        </is>
      </c>
      <c r="I577" t="n">
        <v>34.9</v>
      </c>
      <c r="J577" s="4" t="n">
        <v>31</v>
      </c>
      <c r="K577" t="inlineStr">
        <is>
          <t>10 / 21</t>
        </is>
      </c>
      <c r="L577" t="inlineStr">
        <is>
          <t>1 / 2</t>
        </is>
      </c>
      <c r="M577" s="5" t="n">
        <v>0.32</v>
      </c>
      <c r="N577" s="5" t="n">
        <v>0.33</v>
      </c>
    </row>
    <row r="578">
      <c r="A578" t="n">
        <v>577</v>
      </c>
      <c r="B578" t="n">
        <v>2015</v>
      </c>
      <c r="C578" t="inlineStr">
        <is>
          <t>Madeleine Penelope Haun</t>
        </is>
      </c>
      <c r="D578">
        <f>HYPERLINK("https://ota.tournamentsoftware.com/player-profile/6F8A0525-0D8F-4263-8F76-0B8CF4B34D42", "Link")</f>
        <v/>
      </c>
      <c r="E578" s="3" t="n">
        <v>55.31</v>
      </c>
      <c r="F578" s="4" t="n">
        <v>9</v>
      </c>
      <c r="G578" t="inlineStr">
        <is>
          <t>Tennis Alberta</t>
        </is>
      </c>
      <c r="H578" t="inlineStr">
        <is>
          <t>Osten &amp; Victor Alberta Tennis Centre</t>
        </is>
      </c>
      <c r="I578" t="n">
        <v>36.3</v>
      </c>
      <c r="J578" s="4" t="n">
        <v>156</v>
      </c>
      <c r="K578" t="inlineStr">
        <is>
          <t>85 / 71</t>
        </is>
      </c>
      <c r="L578" t="inlineStr">
        <is>
          <t>8 / 9</t>
        </is>
      </c>
      <c r="M578" s="5" t="n">
        <v>0.54</v>
      </c>
      <c r="N578" s="5" t="n">
        <v>0.47</v>
      </c>
    </row>
    <row r="579">
      <c r="A579" t="n">
        <v>578</v>
      </c>
      <c r="B579" t="n">
        <v>2014</v>
      </c>
      <c r="C579" t="inlineStr">
        <is>
          <t>Mia Krusarovski</t>
        </is>
      </c>
      <c r="D579">
        <f>HYPERLINK("https://ota.tournamentsoftware.com/player-profile/BE8F67EB-3C85-4EE8-8915-58C34DCD86C7", "Link")</f>
        <v/>
      </c>
      <c r="E579" s="3" t="n">
        <v>55.17</v>
      </c>
      <c r="F579" s="4" t="n">
        <v>4</v>
      </c>
      <c r="G579" t="inlineStr">
        <is>
          <t>Ontario Tennis Association</t>
        </is>
      </c>
      <c r="H579" t="inlineStr">
        <is>
          <t>Zekelman Tennis Centre</t>
        </is>
      </c>
      <c r="I579" t="n">
        <v>34.8</v>
      </c>
      <c r="J579" s="4" t="n">
        <v>18</v>
      </c>
      <c r="K579" t="inlineStr">
        <is>
          <t>6 / 12</t>
        </is>
      </c>
      <c r="L579" t="inlineStr">
        <is>
          <t>5 / 3</t>
        </is>
      </c>
      <c r="M579" s="5" t="n">
        <v>0.33</v>
      </c>
      <c r="N579" s="5" t="n">
        <v>0.62</v>
      </c>
    </row>
    <row r="580">
      <c r="A580" t="n">
        <v>579</v>
      </c>
      <c r="B580" t="n">
        <v>2014</v>
      </c>
      <c r="C580" t="inlineStr">
        <is>
          <t>Ann-Mayelle Veillard</t>
        </is>
      </c>
      <c r="D580">
        <f>HYPERLINK("https://ota.tournamentsoftware.com/player-profile/C734CB2A-2E7E-46C5-B1F0-69D754EF8527", "Link")</f>
        <v/>
      </c>
      <c r="E580" s="3" t="n">
        <v>54.789</v>
      </c>
      <c r="F580" s="4" t="n">
        <v>12</v>
      </c>
      <c r="G580" t="inlineStr">
        <is>
          <t>Tennis Québec</t>
        </is>
      </c>
      <c r="H580" t="inlineStr">
        <is>
          <t>No Club</t>
        </is>
      </c>
      <c r="I580" t="n">
        <v>35.5</v>
      </c>
      <c r="J580" s="4" t="n">
        <v>26</v>
      </c>
      <c r="K580" t="inlineStr">
        <is>
          <t>14 / 12</t>
        </is>
      </c>
      <c r="L580" t="inlineStr">
        <is>
          <t>14 / 12</t>
        </is>
      </c>
      <c r="M580" s="5" t="n">
        <v>0.54</v>
      </c>
      <c r="N580" s="5" t="n">
        <v>0.54</v>
      </c>
    </row>
    <row r="581">
      <c r="A581" t="n">
        <v>580</v>
      </c>
      <c r="B581" t="n">
        <v>2012</v>
      </c>
      <c r="C581" t="inlineStr">
        <is>
          <t>Karmi Singh</t>
        </is>
      </c>
      <c r="D581">
        <f>HYPERLINK("https://ota.tournamentsoftware.com/player-profile/B68DC1C1-BC37-443E-AB03-601E1E7E72A2", "Link")</f>
        <v/>
      </c>
      <c r="E581" s="3" t="n">
        <v>54.499</v>
      </c>
      <c r="F581" s="4" t="n">
        <v>4</v>
      </c>
      <c r="G581" t="inlineStr">
        <is>
          <t>Ontario Tennis Association</t>
        </is>
      </c>
      <c r="H581" t="inlineStr">
        <is>
          <t>Ontario Racquet Club</t>
        </is>
      </c>
      <c r="I581" t="inlineStr">
        <is>
          <t>unavailable</t>
        </is>
      </c>
      <c r="J581" s="4" t="n">
        <v>59</v>
      </c>
      <c r="K581" t="inlineStr">
        <is>
          <t>26 / 33</t>
        </is>
      </c>
      <c r="L581" t="inlineStr">
        <is>
          <t>1 / 5</t>
        </is>
      </c>
      <c r="M581" s="5" t="n">
        <v>0.44</v>
      </c>
      <c r="N581" s="5" t="n">
        <v>0.17</v>
      </c>
    </row>
    <row r="582">
      <c r="A582" t="n">
        <v>581</v>
      </c>
      <c r="B582" t="n">
        <v>2015</v>
      </c>
      <c r="C582" t="inlineStr">
        <is>
          <t>Alexia Lionis</t>
        </is>
      </c>
      <c r="D582">
        <f>HYPERLINK("https://ota.tournamentsoftware.com/player-profile/C2079715-4A8A-4F16-A5F2-10633FCB08AA", "Link")</f>
        <v/>
      </c>
      <c r="E582" s="3" t="n">
        <v>54.302</v>
      </c>
      <c r="F582" s="4" t="n">
        <v>8</v>
      </c>
      <c r="G582" t="inlineStr">
        <is>
          <t>Ontario Tennis Association</t>
        </is>
      </c>
      <c r="H582" t="inlineStr">
        <is>
          <t>Ontario Racquet Club</t>
        </is>
      </c>
      <c r="I582" t="inlineStr">
        <is>
          <t>unavailable</t>
        </is>
      </c>
      <c r="J582" s="4" t="n">
        <v>80</v>
      </c>
      <c r="K582" t="inlineStr">
        <is>
          <t>35 / 45</t>
        </is>
      </c>
      <c r="L582" t="inlineStr">
        <is>
          <t>6 / 11</t>
        </is>
      </c>
      <c r="M582" s="5" t="n">
        <v>0.44</v>
      </c>
      <c r="N582" s="5" t="n">
        <v>0.35</v>
      </c>
    </row>
    <row r="583">
      <c r="A583" t="n">
        <v>582</v>
      </c>
      <c r="B583" t="n">
        <v>2016</v>
      </c>
      <c r="C583" t="inlineStr">
        <is>
          <t>Xirui Ding</t>
        </is>
      </c>
      <c r="D583">
        <f>HYPERLINK("https://ota.tournamentsoftware.com/player-profile/6DC46DF7-2964-4ED2-9C01-D39C773C942F", "Link")</f>
        <v/>
      </c>
      <c r="E583" s="3" t="n">
        <v>54.085</v>
      </c>
      <c r="F583" s="4" t="n">
        <v>7</v>
      </c>
      <c r="G583" t="inlineStr">
        <is>
          <t>Ontario Tennis Association</t>
        </is>
      </c>
      <c r="H583" t="inlineStr">
        <is>
          <t>Valan Tennis Academy</t>
        </is>
      </c>
      <c r="I583" t="n">
        <v>37.5</v>
      </c>
      <c r="J583" s="4" t="n">
        <v>127</v>
      </c>
      <c r="K583" t="inlineStr">
        <is>
          <t>81 / 46</t>
        </is>
      </c>
      <c r="L583" t="inlineStr">
        <is>
          <t>76 / 37</t>
        </is>
      </c>
      <c r="M583" s="5" t="n">
        <v>0.64</v>
      </c>
      <c r="N583" s="5" t="n">
        <v>0.67</v>
      </c>
    </row>
    <row r="584">
      <c r="A584" t="n">
        <v>583</v>
      </c>
      <c r="B584" t="n">
        <v>2015</v>
      </c>
      <c r="C584" t="inlineStr">
        <is>
          <t>Miadel Flores</t>
        </is>
      </c>
      <c r="D584">
        <f>HYPERLINK("https://ota.tournamentsoftware.com/player-profile/19F5DCB9-D4C1-477E-9443-DA276E9A30BC", "Link")</f>
        <v/>
      </c>
      <c r="E584" s="3" t="n">
        <v>53.935</v>
      </c>
      <c r="F584" s="4" t="n">
        <v>5</v>
      </c>
      <c r="G584" t="inlineStr">
        <is>
          <t>Tennis Québec</t>
        </is>
      </c>
      <c r="H584" t="inlineStr">
        <is>
          <t>No Club</t>
        </is>
      </c>
      <c r="I584" t="n">
        <v>40</v>
      </c>
      <c r="J584" s="4" t="n">
        <v>8</v>
      </c>
      <c r="K584" t="inlineStr">
        <is>
          <t>1 / 7</t>
        </is>
      </c>
      <c r="L584" t="inlineStr">
        <is>
          <t>1 / 7</t>
        </is>
      </c>
      <c r="M584" s="5" t="n">
        <v>0.12</v>
      </c>
      <c r="N584" s="5" t="n">
        <v>0.12</v>
      </c>
    </row>
    <row r="585">
      <c r="A585" t="n">
        <v>584</v>
      </c>
      <c r="B585" t="n">
        <v>2013</v>
      </c>
      <c r="C585" t="inlineStr">
        <is>
          <t>Julia Soldatov</t>
        </is>
      </c>
      <c r="D585">
        <f>HYPERLINK("https://ota.tournamentsoftware.com/player-profile/9CDD8F0E-2B06-4818-8B32-A0ED95A9E6DF", "Link")</f>
        <v/>
      </c>
      <c r="E585" s="3" t="n">
        <v>53.274</v>
      </c>
      <c r="F585" s="4" t="n">
        <v>5</v>
      </c>
      <c r="G585" t="inlineStr">
        <is>
          <t>Ontario Tennis Association</t>
        </is>
      </c>
      <c r="H585" t="inlineStr">
        <is>
          <t>Newmarket Community Tennis Club</t>
        </is>
      </c>
      <c r="I585" t="n">
        <v>38.7</v>
      </c>
      <c r="J585" s="4" t="n">
        <v>19</v>
      </c>
      <c r="K585" t="inlineStr">
        <is>
          <t>6 / 13</t>
        </is>
      </c>
      <c r="L585" t="inlineStr">
        <is>
          <t>6 / 13</t>
        </is>
      </c>
      <c r="M585" s="5" t="n">
        <v>0.32</v>
      </c>
      <c r="N585" s="5" t="n">
        <v>0.32</v>
      </c>
    </row>
    <row r="586">
      <c r="A586" t="n">
        <v>585</v>
      </c>
      <c r="B586" t="n">
        <v>2015</v>
      </c>
      <c r="C586" t="inlineStr">
        <is>
          <t>Dania Ahmed</t>
        </is>
      </c>
      <c r="D586">
        <f>HYPERLINK("https://ota.tournamentsoftware.com/player-profile/3A4EF5D7-2C40-4E2A-A979-D3231C03A93C", "Link")</f>
        <v/>
      </c>
      <c r="E586" s="3" t="n">
        <v>53.149</v>
      </c>
      <c r="F586" s="4" t="n">
        <v>12</v>
      </c>
      <c r="G586" t="inlineStr">
        <is>
          <t>Ontario Tennis Association</t>
        </is>
      </c>
      <c r="H586" t="inlineStr">
        <is>
          <t>Waterloo Tennis Club</t>
        </is>
      </c>
      <c r="I586" t="n">
        <v>37.7</v>
      </c>
      <c r="J586" s="4" t="n">
        <v>86</v>
      </c>
      <c r="K586" t="inlineStr">
        <is>
          <t>50 / 36</t>
        </is>
      </c>
      <c r="L586" t="inlineStr">
        <is>
          <t>3 / 11</t>
        </is>
      </c>
      <c r="M586" s="5" t="n">
        <v>0.58</v>
      </c>
      <c r="N586" s="5" t="n">
        <v>0.21</v>
      </c>
    </row>
    <row r="587">
      <c r="A587" t="n">
        <v>586</v>
      </c>
      <c r="B587" t="n">
        <v>2012</v>
      </c>
      <c r="C587" t="inlineStr">
        <is>
          <t>Naomi Lau</t>
        </is>
      </c>
      <c r="D587">
        <f>HYPERLINK("https://ota.tournamentsoftware.com/player-profile/0A97F4BF-4260-46FD-AB50-BFA06A31A239", "Link")</f>
        <v/>
      </c>
      <c r="E587" s="3" t="n">
        <v>53.057</v>
      </c>
      <c r="F587" s="4" t="n">
        <v>4</v>
      </c>
      <c r="G587" t="inlineStr">
        <is>
          <t>Ontario Tennis Association</t>
        </is>
      </c>
      <c r="H587" t="inlineStr">
        <is>
          <t>Central Tennis Club</t>
        </is>
      </c>
      <c r="I587" t="n">
        <v>37.6</v>
      </c>
      <c r="J587" s="4" t="n">
        <v>36</v>
      </c>
      <c r="K587" t="inlineStr">
        <is>
          <t>13 / 23</t>
        </is>
      </c>
      <c r="L587" t="inlineStr">
        <is>
          <t>7 / 9</t>
        </is>
      </c>
      <c r="M587" s="5" t="n">
        <v>0.36</v>
      </c>
      <c r="N587" s="5" t="n">
        <v>0.44</v>
      </c>
    </row>
    <row r="588">
      <c r="A588" t="n">
        <v>587</v>
      </c>
      <c r="B588" t="n">
        <v>2014</v>
      </c>
      <c r="C588" t="inlineStr">
        <is>
          <t>Julia Jzmati</t>
        </is>
      </c>
      <c r="D588">
        <f>HYPERLINK("https://ota.tournamentsoftware.com/player-profile/2AADF196-C892-43B1-9128-5338F8D87E95", "Link")</f>
        <v/>
      </c>
      <c r="E588" s="3" t="n">
        <v>52.454</v>
      </c>
      <c r="F588" s="4" t="n">
        <v>13</v>
      </c>
      <c r="G588" t="inlineStr">
        <is>
          <t>Ontario Tennis Association</t>
        </is>
      </c>
      <c r="H588" t="inlineStr">
        <is>
          <t>Rideau Sports Centre</t>
        </is>
      </c>
      <c r="I588" t="n">
        <v>38.9</v>
      </c>
      <c r="J588" s="4" t="n">
        <v>34</v>
      </c>
      <c r="K588" t="inlineStr">
        <is>
          <t>6 / 28</t>
        </is>
      </c>
      <c r="L588" t="inlineStr">
        <is>
          <t>2 / 13</t>
        </is>
      </c>
      <c r="M588" s="5" t="n">
        <v>0.18</v>
      </c>
      <c r="N588" s="5" t="n">
        <v>0.13</v>
      </c>
    </row>
    <row r="589">
      <c r="A589" t="n">
        <v>588</v>
      </c>
      <c r="B589" t="n">
        <v>2014</v>
      </c>
      <c r="C589" t="inlineStr">
        <is>
          <t>Tara Nastic</t>
        </is>
      </c>
      <c r="D589">
        <f>HYPERLINK("https://ota.tournamentsoftware.com/player-profile/43FF8AFD-A54E-4011-88C7-132B60B568E8", "Link")</f>
        <v/>
      </c>
      <c r="E589" s="3" t="n">
        <v>51.12</v>
      </c>
      <c r="F589" s="4" t="n">
        <v>4</v>
      </c>
      <c r="G589" t="inlineStr">
        <is>
          <t>Ontario Tennis Association</t>
        </is>
      </c>
      <c r="H589" t="inlineStr">
        <is>
          <t>Royal City Tennis Club</t>
        </is>
      </c>
      <c r="I589" t="inlineStr">
        <is>
          <t>unavailable</t>
        </is>
      </c>
      <c r="J589" s="4" t="n">
        <v>20</v>
      </c>
      <c r="K589" t="inlineStr">
        <is>
          <t>4 / 16</t>
        </is>
      </c>
      <c r="L589" t="inlineStr">
        <is>
          <t>1 / 4</t>
        </is>
      </c>
      <c r="M589" s="5" t="n">
        <v>0.2</v>
      </c>
      <c r="N589" s="5" t="n">
        <v>0.2</v>
      </c>
    </row>
    <row r="590">
      <c r="A590" t="n">
        <v>589</v>
      </c>
      <c r="B590" t="n">
        <v>2014</v>
      </c>
      <c r="C590" t="inlineStr">
        <is>
          <t>Ann Ha</t>
        </is>
      </c>
      <c r="D590">
        <f>HYPERLINK("https://ota.tournamentsoftware.com/player-profile/139E73DD-882F-4509-9B0C-BB790DA8399D", "Link")</f>
        <v/>
      </c>
      <c r="E590" s="3" t="n">
        <v>50.846</v>
      </c>
      <c r="F590" s="4" t="n">
        <v>3</v>
      </c>
      <c r="G590" t="inlineStr">
        <is>
          <t>Tennis Saskatchewan</t>
        </is>
      </c>
      <c r="H590" t="inlineStr">
        <is>
          <t>Lakewood Indoor Tennis Centre</t>
        </is>
      </c>
      <c r="I590" t="inlineStr">
        <is>
          <t>unavailable</t>
        </is>
      </c>
      <c r="J590" s="4" t="n">
        <v>9</v>
      </c>
      <c r="K590" t="inlineStr">
        <is>
          <t>1 / 8</t>
        </is>
      </c>
      <c r="L590" t="inlineStr">
        <is>
          <t>1 / 8</t>
        </is>
      </c>
      <c r="M590" s="5" t="n">
        <v>0.11</v>
      </c>
      <c r="N590" s="5" t="n">
        <v>0.11</v>
      </c>
    </row>
    <row r="591">
      <c r="A591" t="n">
        <v>590</v>
      </c>
      <c r="B591" t="n">
        <v>2012</v>
      </c>
      <c r="C591" t="inlineStr">
        <is>
          <t>Elise Chan</t>
        </is>
      </c>
      <c r="D591">
        <f>HYPERLINK("https://ota.tournamentsoftware.com/player-profile/74C14A51-A560-4368-85E6-96F13264726F", "Link")</f>
        <v/>
      </c>
      <c r="E591" s="3" t="n">
        <v>50.266</v>
      </c>
      <c r="F591" s="4" t="n">
        <v>4</v>
      </c>
      <c r="G591" t="inlineStr">
        <is>
          <t>Ontario Tennis Association</t>
        </is>
      </c>
      <c r="H591" t="inlineStr">
        <is>
          <t>Rideau Sports Centre</t>
        </is>
      </c>
      <c r="I591" t="n">
        <v>38.4</v>
      </c>
      <c r="J591" s="4" t="n">
        <v>3</v>
      </c>
      <c r="K591" t="inlineStr">
        <is>
          <t>0 / 3</t>
        </is>
      </c>
      <c r="L591" t="inlineStr">
        <is>
          <t>0 / 3</t>
        </is>
      </c>
      <c r="M591" s="5" t="n">
        <v>0</v>
      </c>
      <c r="N591" s="5" t="n">
        <v>0</v>
      </c>
    </row>
    <row r="592">
      <c r="A592" t="n">
        <v>591</v>
      </c>
      <c r="B592" t="n">
        <v>2014</v>
      </c>
      <c r="C592" t="inlineStr">
        <is>
          <t>Charlotte Adeline Ratchford</t>
        </is>
      </c>
      <c r="D592">
        <f>HYPERLINK("https://ota.tournamentsoftware.com/player-profile/552DF1FC-65F6-48FE-8B31-884C1DC273DB", "Link")</f>
        <v/>
      </c>
      <c r="E592" s="3" t="n">
        <v>49.765</v>
      </c>
      <c r="F592" s="4" t="n">
        <v>17</v>
      </c>
      <c r="G592" t="inlineStr">
        <is>
          <t>British Columbia</t>
        </is>
      </c>
      <c r="H592" t="inlineStr">
        <is>
          <t>Jericho Tennis Club</t>
        </is>
      </c>
      <c r="I592" t="n">
        <v>36.9</v>
      </c>
      <c r="J592" s="4" t="n">
        <v>45</v>
      </c>
      <c r="K592" t="inlineStr">
        <is>
          <t>14 / 31</t>
        </is>
      </c>
      <c r="L592" t="inlineStr">
        <is>
          <t>12 / 26</t>
        </is>
      </c>
      <c r="M592" s="5" t="n">
        <v>0.31</v>
      </c>
      <c r="N592" s="5" t="n">
        <v>0.32</v>
      </c>
    </row>
    <row r="593">
      <c r="A593" t="n">
        <v>592</v>
      </c>
      <c r="B593" t="n">
        <v>2014</v>
      </c>
      <c r="C593" t="inlineStr">
        <is>
          <t>Emma Ghantous</t>
        </is>
      </c>
      <c r="D593">
        <f>HYPERLINK("https://ota.tournamentsoftware.com/player-profile/0EA6BF71-F3BF-4EA7-95F6-B80CD551F4FB", "Link")</f>
        <v/>
      </c>
      <c r="E593" s="3" t="n">
        <v>49.68</v>
      </c>
      <c r="F593" s="4" t="n">
        <v>2</v>
      </c>
      <c r="G593" t="inlineStr">
        <is>
          <t>Tennis Québec</t>
        </is>
      </c>
      <c r="H593" t="inlineStr">
        <is>
          <t>Tennis 13</t>
        </is>
      </c>
      <c r="I593" t="n">
        <v>33.4</v>
      </c>
      <c r="J593" s="4" t="n">
        <v>126</v>
      </c>
      <c r="K593" t="inlineStr">
        <is>
          <t>77 / 49</t>
        </is>
      </c>
      <c r="L593" t="inlineStr">
        <is>
          <t>0 / 0</t>
        </is>
      </c>
      <c r="M593" s="5" t="n">
        <v>0.61</v>
      </c>
      <c r="N593" s="5" t="n">
        <v>0</v>
      </c>
    </row>
    <row r="594">
      <c r="A594" t="n">
        <v>593</v>
      </c>
      <c r="B594" t="n">
        <v>2016</v>
      </c>
      <c r="C594" t="inlineStr">
        <is>
          <t>Jessie DONG</t>
        </is>
      </c>
      <c r="D594">
        <f>HYPERLINK("https://ota.tournamentsoftware.com/player-profile/DD46DDC2-A0FA-4A57-9C2B-207D02D3DFB6", "Link")</f>
        <v/>
      </c>
      <c r="E594" s="3" t="n">
        <v>49.566</v>
      </c>
      <c r="F594" s="4" t="n">
        <v>11</v>
      </c>
      <c r="G594" t="inlineStr">
        <is>
          <t>Ontario Tennis Association</t>
        </is>
      </c>
      <c r="H594" t="inlineStr">
        <is>
          <t>Premier Racquet Clubs – Mississauga</t>
        </is>
      </c>
      <c r="I594" t="n">
        <v>37.6</v>
      </c>
      <c r="J594" s="4" t="n">
        <v>64</v>
      </c>
      <c r="K594" t="inlineStr">
        <is>
          <t>26 / 38</t>
        </is>
      </c>
      <c r="L594" t="inlineStr">
        <is>
          <t>26 / 38</t>
        </is>
      </c>
      <c r="M594" s="5" t="n">
        <v>0.41</v>
      </c>
      <c r="N594" s="5" t="n">
        <v>0.41</v>
      </c>
    </row>
    <row r="595">
      <c r="A595" t="n">
        <v>594</v>
      </c>
      <c r="B595" t="n">
        <v>2015</v>
      </c>
      <c r="C595" t="inlineStr">
        <is>
          <t>Sofia Kiselenko</t>
        </is>
      </c>
      <c r="D595">
        <f>HYPERLINK("https://ota.tournamentsoftware.com/player-profile/8164E8EB-17A8-4270-A12B-31EFF18C9343", "Link")</f>
        <v/>
      </c>
      <c r="E595" s="3" t="n">
        <v>49.342</v>
      </c>
      <c r="F595" s="4" t="n">
        <v>15</v>
      </c>
      <c r="G595" t="inlineStr">
        <is>
          <t>Tennis Alberta</t>
        </is>
      </c>
      <c r="H595" t="inlineStr">
        <is>
          <t>Osten &amp; Victor Alberta Tennis Centre</t>
        </is>
      </c>
      <c r="I595" t="n">
        <v>36.9</v>
      </c>
      <c r="J595" s="4" t="n">
        <v>135</v>
      </c>
      <c r="K595" t="inlineStr">
        <is>
          <t>45 / 90</t>
        </is>
      </c>
      <c r="L595" t="inlineStr">
        <is>
          <t>13 / 16</t>
        </is>
      </c>
      <c r="M595" s="5" t="n">
        <v>0.33</v>
      </c>
      <c r="N595" s="5" t="n">
        <v>0.45</v>
      </c>
    </row>
    <row r="596">
      <c r="A596" t="n">
        <v>595</v>
      </c>
      <c r="B596" t="n">
        <v>2016</v>
      </c>
      <c r="C596" t="inlineStr">
        <is>
          <t>Olivia Yueer Hao</t>
        </is>
      </c>
      <c r="D596">
        <f>HYPERLINK("https://ota.tournamentsoftware.com/player-profile/61C0E090-4E32-499F-86FE-FFD674DD6128", "Link")</f>
        <v/>
      </c>
      <c r="E596" s="3" t="n">
        <v>49.177</v>
      </c>
      <c r="F596" s="4" t="n">
        <v>9</v>
      </c>
      <c r="G596" t="inlineStr">
        <is>
          <t>Ontario Tennis Association</t>
        </is>
      </c>
      <c r="H596" t="inlineStr">
        <is>
          <t>Valan Tennis Academy</t>
        </is>
      </c>
      <c r="I596" t="n">
        <v>38.1</v>
      </c>
      <c r="J596" s="4" t="n">
        <v>73</v>
      </c>
      <c r="K596" t="inlineStr">
        <is>
          <t>33 / 40</t>
        </is>
      </c>
      <c r="L596" t="inlineStr">
        <is>
          <t>29 / 25</t>
        </is>
      </c>
      <c r="M596" s="5" t="n">
        <v>0.45</v>
      </c>
      <c r="N596" s="5" t="n">
        <v>0.54</v>
      </c>
    </row>
    <row r="597">
      <c r="A597" t="n">
        <v>596</v>
      </c>
      <c r="B597" t="n">
        <v>2017</v>
      </c>
      <c r="C597" t="inlineStr">
        <is>
          <t>Vivian Spurrell</t>
        </is>
      </c>
      <c r="D597">
        <f>HYPERLINK("https://ota.tournamentsoftware.com/player-profile/9CFE670B-9D8C-4BC2-8DDB-1C78F17AE1FF", "Link")</f>
        <v/>
      </c>
      <c r="E597" s="3" t="n">
        <v>49.126</v>
      </c>
      <c r="F597" s="4" t="n">
        <v>3</v>
      </c>
      <c r="G597" t="inlineStr">
        <is>
          <t>Tennis Newfoundland &amp; Labrador</t>
        </is>
      </c>
      <c r="H597" t="inlineStr">
        <is>
          <t>Greenbelt Tennis Club</t>
        </is>
      </c>
      <c r="I597" t="inlineStr">
        <is>
          <t>unavailable</t>
        </is>
      </c>
      <c r="J597" s="4" t="n">
        <v>20</v>
      </c>
      <c r="K597" t="inlineStr">
        <is>
          <t>15 / 5</t>
        </is>
      </c>
      <c r="L597" t="inlineStr">
        <is>
          <t>11 / 3</t>
        </is>
      </c>
      <c r="M597" s="5" t="n">
        <v>0.75</v>
      </c>
      <c r="N597" s="5" t="n">
        <v>0.79</v>
      </c>
    </row>
    <row r="598">
      <c r="A598" t="n">
        <v>597</v>
      </c>
      <c r="B598" t="n">
        <v>2015</v>
      </c>
      <c r="C598" t="inlineStr">
        <is>
          <t>Scarlett Chan</t>
        </is>
      </c>
      <c r="D598">
        <f>HYPERLINK("https://ota.tournamentsoftware.com/player-profile/FC173056-E1A0-4194-9722-D15B8524262F", "Link")</f>
        <v/>
      </c>
      <c r="E598" s="3" t="n">
        <v>48.556</v>
      </c>
      <c r="F598" s="4" t="n">
        <v>5</v>
      </c>
      <c r="G598" t="inlineStr">
        <is>
          <t>Ontario Tennis Association</t>
        </is>
      </c>
      <c r="H598" t="inlineStr">
        <is>
          <t>Mayfair East Racquet Club</t>
        </is>
      </c>
      <c r="I598" t="n">
        <v>36.7</v>
      </c>
      <c r="J598" s="4" t="n">
        <v>81</v>
      </c>
      <c r="K598" t="inlineStr">
        <is>
          <t>48 / 33</t>
        </is>
      </c>
      <c r="L598" t="inlineStr">
        <is>
          <t>4 / 7</t>
        </is>
      </c>
      <c r="M598" s="5" t="n">
        <v>0.59</v>
      </c>
      <c r="N598" s="5" t="n">
        <v>0.36</v>
      </c>
    </row>
    <row r="599">
      <c r="A599" t="n">
        <v>598</v>
      </c>
      <c r="B599" t="n">
        <v>2015</v>
      </c>
      <c r="C599" t="inlineStr">
        <is>
          <t>Aubrey Baldinelli</t>
        </is>
      </c>
      <c r="D599">
        <f>HYPERLINK("https://ota.tournamentsoftware.com/player-profile/4C52D449-95CA-49A9-B524-B01117EAD86C", "Link")</f>
        <v/>
      </c>
      <c r="E599" s="3" t="n">
        <v>48.55</v>
      </c>
      <c r="F599" s="4" t="n">
        <v>11</v>
      </c>
      <c r="G599" t="inlineStr">
        <is>
          <t>Ontario Tennis Association</t>
        </is>
      </c>
      <c r="H599" t="inlineStr">
        <is>
          <t>Youngs Sportsplex</t>
        </is>
      </c>
      <c r="I599" t="n">
        <v>37.2</v>
      </c>
      <c r="J599" s="4" t="n">
        <v>44</v>
      </c>
      <c r="K599" t="inlineStr">
        <is>
          <t>22 / 22</t>
        </is>
      </c>
      <c r="L599" t="inlineStr">
        <is>
          <t>5 / 14</t>
        </is>
      </c>
      <c r="M599" s="5" t="n">
        <v>0.5</v>
      </c>
      <c r="N599" s="5" t="n">
        <v>0.26</v>
      </c>
    </row>
    <row r="600">
      <c r="A600" t="n">
        <v>599</v>
      </c>
      <c r="B600" t="n">
        <v>2014</v>
      </c>
      <c r="C600" t="inlineStr">
        <is>
          <t>Tess Marie Trenholm</t>
        </is>
      </c>
      <c r="D600">
        <f>HYPERLINK("https://ota.tournamentsoftware.com/player-profile/37DD9223-BE00-45F7-9DE9-3EA92F74CD7B", "Link")</f>
        <v/>
      </c>
      <c r="E600" s="3" t="n">
        <v>48.421</v>
      </c>
      <c r="F600" s="4" t="n">
        <v>17</v>
      </c>
      <c r="G600" t="inlineStr">
        <is>
          <t>Ontario Tennis Association</t>
        </is>
      </c>
      <c r="H600" t="inlineStr">
        <is>
          <t>Ontario Racquet Club</t>
        </is>
      </c>
      <c r="I600" t="n">
        <v>38.1</v>
      </c>
      <c r="J600" s="4" t="n">
        <v>97</v>
      </c>
      <c r="K600" t="inlineStr">
        <is>
          <t>27 / 70</t>
        </is>
      </c>
      <c r="L600" t="inlineStr">
        <is>
          <t>8 / 15</t>
        </is>
      </c>
      <c r="M600" s="5" t="n">
        <v>0.28</v>
      </c>
      <c r="N600" s="5" t="n">
        <v>0.35</v>
      </c>
    </row>
    <row r="601">
      <c r="A601" t="n">
        <v>600</v>
      </c>
      <c r="B601" t="n">
        <v>2014</v>
      </c>
      <c r="C601" t="inlineStr">
        <is>
          <t>Sophie Vivienne Ma</t>
        </is>
      </c>
      <c r="D601">
        <f>HYPERLINK("https://ota.tournamentsoftware.com/player-profile/5BFCC3E7-799D-4957-B35C-26164F771CAB", "Link")</f>
        <v/>
      </c>
      <c r="E601" s="3" t="n">
        <v>48.24</v>
      </c>
      <c r="F601" s="4" t="n">
        <v>10</v>
      </c>
      <c r="G601" t="inlineStr">
        <is>
          <t>Ontario Tennis Association</t>
        </is>
      </c>
      <c r="H601" t="inlineStr">
        <is>
          <t>NYTA Winter Tennis Club</t>
        </is>
      </c>
      <c r="I601" t="n">
        <v>37.5</v>
      </c>
      <c r="J601" s="4" t="n">
        <v>61</v>
      </c>
      <c r="K601" t="inlineStr">
        <is>
          <t>21 / 40</t>
        </is>
      </c>
      <c r="L601" t="inlineStr">
        <is>
          <t>6 / 13</t>
        </is>
      </c>
      <c r="M601" s="5" t="n">
        <v>0.34</v>
      </c>
      <c r="N601" s="5" t="n">
        <v>0.32</v>
      </c>
    </row>
    <row r="602">
      <c r="A602" t="n">
        <v>601</v>
      </c>
      <c r="B602" t="n">
        <v>2013</v>
      </c>
      <c r="C602" t="inlineStr">
        <is>
          <t>Gloria Yang</t>
        </is>
      </c>
      <c r="D602">
        <f>HYPERLINK("https://ota.tournamentsoftware.com/player-profile/93D03535-4A4B-4898-A531-8F0DB9BA8BD8", "Link")</f>
        <v/>
      </c>
      <c r="E602" s="3" t="n">
        <v>48.153</v>
      </c>
      <c r="F602" s="4" t="n">
        <v>2</v>
      </c>
      <c r="G602" t="inlineStr">
        <is>
          <t>Tennis Prince Edward Island</t>
        </is>
      </c>
      <c r="H602" t="inlineStr">
        <is>
          <t>Royalty Racquet Centre</t>
        </is>
      </c>
      <c r="I602" t="inlineStr">
        <is>
          <t>unavailable</t>
        </is>
      </c>
      <c r="J602" s="4" t="n">
        <v>24</v>
      </c>
      <c r="K602" t="inlineStr">
        <is>
          <t>11 / 13</t>
        </is>
      </c>
      <c r="L602" t="inlineStr">
        <is>
          <t>7 / 9</t>
        </is>
      </c>
      <c r="M602" s="5" t="n">
        <v>0.46</v>
      </c>
      <c r="N602" s="5" t="n">
        <v>0.44</v>
      </c>
    </row>
    <row r="603">
      <c r="A603" t="n">
        <v>602</v>
      </c>
      <c r="B603" t="n">
        <v>2015</v>
      </c>
      <c r="C603" t="inlineStr">
        <is>
          <t>LILLIAN LI</t>
        </is>
      </c>
      <c r="D603">
        <f>HYPERLINK("https://ota.tournamentsoftware.com/player-profile/6381808D-332A-4694-9A60-DD4214A2A2F0", "Link")</f>
        <v/>
      </c>
      <c r="E603" s="3" t="n">
        <v>47.962</v>
      </c>
      <c r="F603" s="4" t="n">
        <v>9</v>
      </c>
      <c r="G603" t="inlineStr">
        <is>
          <t>Ontario Tennis Association</t>
        </is>
      </c>
      <c r="H603" t="inlineStr">
        <is>
          <t>Rideau Sports Centre</t>
        </is>
      </c>
      <c r="I603" t="n">
        <v>40</v>
      </c>
      <c r="J603" s="4" t="n">
        <v>24</v>
      </c>
      <c r="K603" t="inlineStr">
        <is>
          <t>5 / 19</t>
        </is>
      </c>
      <c r="L603" t="inlineStr">
        <is>
          <t>1 / 10</t>
        </is>
      </c>
      <c r="M603" s="5" t="n">
        <v>0.21</v>
      </c>
      <c r="N603" s="5" t="n">
        <v>0.09</v>
      </c>
    </row>
    <row r="604">
      <c r="A604" t="n">
        <v>603</v>
      </c>
      <c r="B604" t="n">
        <v>2015</v>
      </c>
      <c r="C604" t="inlineStr">
        <is>
          <t>Allegra Gill</t>
        </is>
      </c>
      <c r="D604">
        <f>HYPERLINK("https://ota.tournamentsoftware.com/player-profile/74E5B02E-036C-4D6F-B122-5C8FEF79A927", "Link")</f>
        <v/>
      </c>
      <c r="E604" s="3" t="n">
        <v>47.923</v>
      </c>
      <c r="F604" s="4" t="n">
        <v>6</v>
      </c>
      <c r="G604" t="inlineStr">
        <is>
          <t>Ontario Tennis Association</t>
        </is>
      </c>
      <c r="H604" t="inlineStr">
        <is>
          <t>Zekelman Tennis Centre</t>
        </is>
      </c>
      <c r="I604" t="n">
        <v>39.8</v>
      </c>
      <c r="J604" s="4" t="n">
        <v>99</v>
      </c>
      <c r="K604" t="inlineStr">
        <is>
          <t>18 / 81</t>
        </is>
      </c>
      <c r="L604" t="inlineStr">
        <is>
          <t>11 / 19</t>
        </is>
      </c>
      <c r="M604" s="5" t="n">
        <v>0.18</v>
      </c>
      <c r="N604" s="5" t="n">
        <v>0.37</v>
      </c>
    </row>
    <row r="605">
      <c r="A605" t="n">
        <v>604</v>
      </c>
      <c r="B605" t="n">
        <v>2015</v>
      </c>
      <c r="C605" t="inlineStr">
        <is>
          <t>Anna Bella Grozdanovski</t>
        </is>
      </c>
      <c r="D605">
        <f>HYPERLINK("https://ota.tournamentsoftware.com/player-profile/C1BD78E7-5BB0-4BD0-9D53-DA02A232F8A0", "Link")</f>
        <v/>
      </c>
      <c r="E605" s="3" t="n">
        <v>46.908</v>
      </c>
      <c r="F605" s="4" t="n">
        <v>6</v>
      </c>
      <c r="G605" t="inlineStr">
        <is>
          <t>Ontario Tennis Association</t>
        </is>
      </c>
      <c r="H605" t="inlineStr">
        <is>
          <t>No Club</t>
        </is>
      </c>
      <c r="I605" t="n">
        <v>36.5</v>
      </c>
      <c r="J605" s="4" t="n">
        <v>40</v>
      </c>
      <c r="K605" t="inlineStr">
        <is>
          <t>19 / 21</t>
        </is>
      </c>
      <c r="L605" t="inlineStr">
        <is>
          <t>10 / 6</t>
        </is>
      </c>
      <c r="M605" s="5" t="n">
        <v>0.47</v>
      </c>
      <c r="N605" s="5" t="n">
        <v>0.62</v>
      </c>
    </row>
    <row r="606">
      <c r="A606" t="n">
        <v>605</v>
      </c>
      <c r="B606" t="n">
        <v>2014</v>
      </c>
      <c r="C606" t="inlineStr">
        <is>
          <t>Victoria Kycia Block</t>
        </is>
      </c>
      <c r="D606">
        <f>HYPERLINK("https://ota.tournamentsoftware.com/player-profile/1F978CA6-97AC-4A84-BBEB-B431DDD9A28B", "Link")</f>
        <v/>
      </c>
      <c r="E606" s="3" t="n">
        <v>46.53</v>
      </c>
      <c r="F606" s="4" t="n">
        <v>11</v>
      </c>
      <c r="G606" t="inlineStr">
        <is>
          <t>Tennis Alberta</t>
        </is>
      </c>
      <c r="H606" t="inlineStr">
        <is>
          <t>Saville Community Sports Centre</t>
        </is>
      </c>
      <c r="I606" t="n">
        <v>34.3</v>
      </c>
      <c r="J606" s="4" t="n">
        <v>50</v>
      </c>
      <c r="K606" t="inlineStr">
        <is>
          <t>17 / 33</t>
        </is>
      </c>
      <c r="L606" t="inlineStr">
        <is>
          <t>10 / 10</t>
        </is>
      </c>
      <c r="M606" s="5" t="n">
        <v>0.34</v>
      </c>
      <c r="N606" s="5" t="n">
        <v>0.5</v>
      </c>
    </row>
    <row r="607">
      <c r="A607" t="n">
        <v>606</v>
      </c>
      <c r="B607" t="n">
        <v>2014</v>
      </c>
      <c r="C607" t="inlineStr">
        <is>
          <t>Alena Sui</t>
        </is>
      </c>
      <c r="D607">
        <f>HYPERLINK("https://ota.tournamentsoftware.com/player-profile/92B690E9-D6C6-410C-A457-5AC3927E933A", "Link")</f>
        <v/>
      </c>
      <c r="E607" s="3" t="n">
        <v>46.443</v>
      </c>
      <c r="F607" s="4" t="n">
        <v>13</v>
      </c>
      <c r="G607" t="inlineStr">
        <is>
          <t>British Columbia</t>
        </is>
      </c>
      <c r="H607" t="inlineStr">
        <is>
          <t>No Club</t>
        </is>
      </c>
      <c r="I607" t="n">
        <v>37.7</v>
      </c>
      <c r="J607" s="4" t="n">
        <v>84</v>
      </c>
      <c r="K607" t="inlineStr">
        <is>
          <t>38 / 46</t>
        </is>
      </c>
      <c r="L607" t="inlineStr">
        <is>
          <t>18 / 24</t>
        </is>
      </c>
      <c r="M607" s="5" t="n">
        <v>0.45</v>
      </c>
      <c r="N607" s="5" t="n">
        <v>0.43</v>
      </c>
    </row>
    <row r="608">
      <c r="A608" t="n">
        <v>607</v>
      </c>
      <c r="B608" t="n">
        <v>2014</v>
      </c>
      <c r="C608" t="inlineStr">
        <is>
          <t>Laura Gyori</t>
        </is>
      </c>
      <c r="D608">
        <f>HYPERLINK("https://ota.tournamentsoftware.com/player-profile/5A55107A-8C3C-4255-8453-79017D4120E3", "Link")</f>
        <v/>
      </c>
      <c r="E608" s="3" t="n">
        <v>46.432</v>
      </c>
      <c r="F608" s="4" t="n">
        <v>5</v>
      </c>
      <c r="G608" t="inlineStr">
        <is>
          <t>Ontario Tennis Association</t>
        </is>
      </c>
      <c r="H608" t="inlineStr">
        <is>
          <t>Rideau Sports Centre</t>
        </is>
      </c>
      <c r="I608" t="inlineStr">
        <is>
          <t>unavailable</t>
        </is>
      </c>
      <c r="J608" s="4" t="n">
        <v>20</v>
      </c>
      <c r="K608" t="inlineStr">
        <is>
          <t>7 / 13</t>
        </is>
      </c>
      <c r="L608" t="inlineStr">
        <is>
          <t>3 / 5</t>
        </is>
      </c>
      <c r="M608" s="5" t="n">
        <v>0.35</v>
      </c>
      <c r="N608" s="5" t="n">
        <v>0.38</v>
      </c>
    </row>
    <row r="609">
      <c r="A609" t="n">
        <v>608</v>
      </c>
      <c r="B609" t="n">
        <v>2016</v>
      </c>
      <c r="C609" t="inlineStr">
        <is>
          <t>Stella Somerville</t>
        </is>
      </c>
      <c r="D609">
        <f>HYPERLINK("https://ota.tournamentsoftware.com/player-profile/87C92774-21A4-4A46-97F9-D656FA91A212", "Link")</f>
        <v/>
      </c>
      <c r="E609" s="3" t="n">
        <v>46.08</v>
      </c>
      <c r="F609" s="4" t="n">
        <v>8</v>
      </c>
      <c r="G609" t="inlineStr">
        <is>
          <t>Ontario Tennis Association</t>
        </is>
      </c>
      <c r="H609" t="inlineStr">
        <is>
          <t>Advantage Tennis International at Veneto</t>
        </is>
      </c>
      <c r="I609" t="n">
        <v>36.7</v>
      </c>
      <c r="J609" s="4" t="n">
        <v>90</v>
      </c>
      <c r="K609" t="inlineStr">
        <is>
          <t>41 / 49</t>
        </is>
      </c>
      <c r="L609" t="inlineStr">
        <is>
          <t>10 / 11</t>
        </is>
      </c>
      <c r="M609" s="5" t="n">
        <v>0.46</v>
      </c>
      <c r="N609" s="5" t="n">
        <v>0.48</v>
      </c>
    </row>
    <row r="610">
      <c r="A610" t="n">
        <v>609</v>
      </c>
      <c r="B610" t="n">
        <v>2015</v>
      </c>
      <c r="C610" t="inlineStr">
        <is>
          <t>Olivia Mary Hipwell</t>
        </is>
      </c>
      <c r="D610">
        <f>HYPERLINK("https://ota.tournamentsoftware.com/player-profile/1595D3E6-D4CF-4ADE-B136-FD5AC473C7F7", "Link")</f>
        <v/>
      </c>
      <c r="E610" s="3" t="n">
        <v>45.828</v>
      </c>
      <c r="F610" s="4" t="n">
        <v>10</v>
      </c>
      <c r="G610" t="inlineStr">
        <is>
          <t>Ontario Tennis Association</t>
        </is>
      </c>
      <c r="H610" t="inlineStr">
        <is>
          <t>Ontario Racquet Club</t>
        </is>
      </c>
      <c r="I610" t="inlineStr">
        <is>
          <t>unavailable</t>
        </is>
      </c>
      <c r="J610" s="4" t="n">
        <v>85</v>
      </c>
      <c r="K610" t="inlineStr">
        <is>
          <t>31 / 54</t>
        </is>
      </c>
      <c r="L610" t="inlineStr">
        <is>
          <t>7 / 12</t>
        </is>
      </c>
      <c r="M610" s="5" t="n">
        <v>0.36</v>
      </c>
      <c r="N610" s="5" t="n">
        <v>0.37</v>
      </c>
    </row>
    <row r="611">
      <c r="A611" t="n">
        <v>610</v>
      </c>
      <c r="B611" t="n">
        <v>2015</v>
      </c>
      <c r="C611" t="inlineStr">
        <is>
          <t>ALICE Wan yee Wong</t>
        </is>
      </c>
      <c r="D611">
        <f>HYPERLINK("https://ota.tournamentsoftware.com/player-profile/1B8AB01B-692B-4E5E-B513-A24155329374", "Link")</f>
        <v/>
      </c>
      <c r="E611" s="3" t="n">
        <v>45.818</v>
      </c>
      <c r="F611" s="4" t="n">
        <v>13</v>
      </c>
      <c r="G611" t="inlineStr">
        <is>
          <t>British Columbia</t>
        </is>
      </c>
      <c r="H611" t="inlineStr">
        <is>
          <t>The Tennis Centre</t>
        </is>
      </c>
      <c r="I611" t="n">
        <v>35</v>
      </c>
      <c r="J611" s="4" t="n">
        <v>125</v>
      </c>
      <c r="K611" t="inlineStr">
        <is>
          <t>60 / 65</t>
        </is>
      </c>
      <c r="L611" t="inlineStr">
        <is>
          <t>20 / 16</t>
        </is>
      </c>
      <c r="M611" s="5" t="n">
        <v>0.48</v>
      </c>
      <c r="N611" s="5" t="n">
        <v>0.5600000000000001</v>
      </c>
    </row>
    <row r="612">
      <c r="A612" t="n">
        <v>611</v>
      </c>
      <c r="B612" t="n">
        <v>2013</v>
      </c>
      <c r="C612" t="inlineStr">
        <is>
          <t>Blake Beck Sadler</t>
        </is>
      </c>
      <c r="D612">
        <f>HYPERLINK("https://ota.tournamentsoftware.com/player-profile/B44D5381-342B-4AF0-8200-EA0CEE1E54B7", "Link")</f>
        <v/>
      </c>
      <c r="E612" s="3" t="n">
        <v>45.78</v>
      </c>
      <c r="F612" s="4" t="n">
        <v>3</v>
      </c>
      <c r="G612" t="inlineStr">
        <is>
          <t>Ontario Tennis Association</t>
        </is>
      </c>
      <c r="H612" t="inlineStr">
        <is>
          <t>Ontario Racquet Club</t>
        </is>
      </c>
      <c r="I612" t="n">
        <v>37.1</v>
      </c>
      <c r="J612" s="4" t="n">
        <v>23</v>
      </c>
      <c r="K612" t="inlineStr">
        <is>
          <t>12 / 11</t>
        </is>
      </c>
      <c r="L612" t="inlineStr">
        <is>
          <t>1 / 2</t>
        </is>
      </c>
      <c r="M612" s="5" t="n">
        <v>0.52</v>
      </c>
      <c r="N612" s="5" t="n">
        <v>0.33</v>
      </c>
    </row>
    <row r="613">
      <c r="A613" t="n">
        <v>612</v>
      </c>
      <c r="B613" t="n">
        <v>2016</v>
      </c>
      <c r="C613" t="inlineStr">
        <is>
          <t>Kiara Krishnan</t>
        </is>
      </c>
      <c r="D613">
        <f>HYPERLINK("https://ota.tournamentsoftware.com/player-profile/50D3305E-63D5-4EFB-B53F-B64E463DE26E", "Link")</f>
        <v/>
      </c>
      <c r="E613" s="3" t="n">
        <v>45.36</v>
      </c>
      <c r="F613" s="4" t="n">
        <v>30</v>
      </c>
      <c r="G613" t="inlineStr">
        <is>
          <t>Ontario Tennis Association</t>
        </is>
      </c>
      <c r="H613" t="inlineStr">
        <is>
          <t>Toronto Tennis Academy</t>
        </is>
      </c>
      <c r="I613" t="n">
        <v>37.6</v>
      </c>
      <c r="J613" s="4" t="n">
        <v>250</v>
      </c>
      <c r="K613" t="inlineStr">
        <is>
          <t>99 / 151</t>
        </is>
      </c>
      <c r="L613" t="inlineStr">
        <is>
          <t>12 / 34</t>
        </is>
      </c>
      <c r="M613" s="5" t="n">
        <v>0.4</v>
      </c>
      <c r="N613" s="5" t="n">
        <v>0.26</v>
      </c>
    </row>
    <row r="614">
      <c r="A614" t="n">
        <v>613</v>
      </c>
      <c r="B614" t="n">
        <v>2017</v>
      </c>
      <c r="C614" t="inlineStr">
        <is>
          <t>Arianna Fernanda Chacon</t>
        </is>
      </c>
      <c r="D614">
        <f>HYPERLINK("https://ota.tournamentsoftware.com/player-profile/3B36D99D-C9E7-48A2-BC06-6AD3725AC12E", "Link")</f>
        <v/>
      </c>
      <c r="E614" s="3" t="n">
        <v>45.016</v>
      </c>
      <c r="F614" s="4" t="n">
        <v>17</v>
      </c>
      <c r="G614" t="inlineStr">
        <is>
          <t>Tennis Alberta</t>
        </is>
      </c>
      <c r="H614" t="inlineStr">
        <is>
          <t>Aforza</t>
        </is>
      </c>
      <c r="I614" t="n">
        <v>34.9</v>
      </c>
      <c r="J614" s="4" t="n">
        <v>207</v>
      </c>
      <c r="K614" t="inlineStr">
        <is>
          <t>110 / 97</t>
        </is>
      </c>
      <c r="L614" t="inlineStr">
        <is>
          <t>37 / 21</t>
        </is>
      </c>
      <c r="M614" s="5" t="n">
        <v>0.53</v>
      </c>
      <c r="N614" s="5" t="n">
        <v>0.64</v>
      </c>
    </row>
    <row r="615">
      <c r="A615" t="n">
        <v>614</v>
      </c>
      <c r="B615" t="n">
        <v>2012</v>
      </c>
      <c r="C615" t="inlineStr">
        <is>
          <t>Selena Wazelle</t>
        </is>
      </c>
      <c r="D615">
        <f>HYPERLINK("https://ota.tournamentsoftware.com/player-profile/B596341F-BD27-43AF-8888-AAD072F39AFB", "Link")</f>
        <v/>
      </c>
      <c r="E615" s="3" t="n">
        <v>45</v>
      </c>
      <c r="F615" s="4" t="n">
        <v>1</v>
      </c>
      <c r="G615" t="inlineStr">
        <is>
          <t>British Columbia</t>
        </is>
      </c>
      <c r="H615" t="inlineStr">
        <is>
          <t>No Club</t>
        </is>
      </c>
      <c r="I615" t="n">
        <v>30.1</v>
      </c>
      <c r="J615" s="4" t="n">
        <v>159</v>
      </c>
      <c r="K615" t="inlineStr">
        <is>
          <t>89 / 70</t>
        </is>
      </c>
      <c r="L615" t="inlineStr">
        <is>
          <t>0 / 0</t>
        </is>
      </c>
      <c r="M615" s="5" t="n">
        <v>0.5600000000000001</v>
      </c>
      <c r="N615" s="5" t="n">
        <v>0</v>
      </c>
    </row>
    <row r="616">
      <c r="A616" t="n">
        <v>615</v>
      </c>
      <c r="B616" t="n">
        <v>2015</v>
      </c>
      <c r="C616" t="inlineStr">
        <is>
          <t>Kinsley Jade Lin</t>
        </is>
      </c>
      <c r="D616">
        <f>HYPERLINK("https://ota.tournamentsoftware.com/player-profile/1FF4FA2D-412B-4E4A-AE72-948C7BC68D73", "Link")</f>
        <v/>
      </c>
      <c r="E616" s="3" t="n">
        <v>44.956</v>
      </c>
      <c r="F616" s="4" t="n">
        <v>12</v>
      </c>
      <c r="G616" t="inlineStr">
        <is>
          <t>Ontario Tennis Association</t>
        </is>
      </c>
      <c r="H616" t="inlineStr">
        <is>
          <t>The Tennis School</t>
        </is>
      </c>
      <c r="I616" t="n">
        <v>36.9</v>
      </c>
      <c r="J616" s="4" t="n">
        <v>96</v>
      </c>
      <c r="K616" t="inlineStr">
        <is>
          <t>41 / 55</t>
        </is>
      </c>
      <c r="L616" t="inlineStr">
        <is>
          <t>6 / 12</t>
        </is>
      </c>
      <c r="M616" s="5" t="n">
        <v>0.43</v>
      </c>
      <c r="N616" s="5" t="n">
        <v>0.33</v>
      </c>
    </row>
    <row r="617">
      <c r="A617" t="n">
        <v>616</v>
      </c>
      <c r="B617" t="n">
        <v>2015</v>
      </c>
      <c r="C617" t="inlineStr">
        <is>
          <t>Milana Maor</t>
        </is>
      </c>
      <c r="D617">
        <f>HYPERLINK("https://ota.tournamentsoftware.com/player-profile/EFC2E194-22E1-4017-A2E8-0B41E7DB9101", "Link")</f>
        <v/>
      </c>
      <c r="E617" s="3" t="n">
        <v>44.009</v>
      </c>
      <c r="F617" s="4" t="n">
        <v>10</v>
      </c>
      <c r="G617" t="inlineStr">
        <is>
          <t>Ontario Tennis Association</t>
        </is>
      </c>
      <c r="H617" t="inlineStr">
        <is>
          <t>No Club</t>
        </is>
      </c>
      <c r="I617" t="n">
        <v>36.7</v>
      </c>
      <c r="J617" s="4" t="n">
        <v>60</v>
      </c>
      <c r="K617" t="inlineStr">
        <is>
          <t>25 / 35</t>
        </is>
      </c>
      <c r="L617" t="inlineStr">
        <is>
          <t>8 / 16</t>
        </is>
      </c>
      <c r="M617" s="5" t="n">
        <v>0.42</v>
      </c>
      <c r="N617" s="5" t="n">
        <v>0.33</v>
      </c>
    </row>
    <row r="618">
      <c r="A618" t="n">
        <v>617</v>
      </c>
      <c r="B618" t="n">
        <v>2012</v>
      </c>
      <c r="C618" t="inlineStr">
        <is>
          <t>Adelaide Morgan</t>
        </is>
      </c>
      <c r="D618">
        <f>HYPERLINK("https://ota.tournamentsoftware.com/player-profile/349677AB-87B2-407B-BDFF-04EE8550EE87", "Link")</f>
        <v/>
      </c>
      <c r="E618" s="3" t="n">
        <v>43.891</v>
      </c>
      <c r="F618" s="4" t="n">
        <v>3</v>
      </c>
      <c r="G618" t="inlineStr">
        <is>
          <t>Ontario Tennis Association</t>
        </is>
      </c>
      <c r="H618" t="inlineStr">
        <is>
          <t>Eglinton Flats Winter Tennis Club</t>
        </is>
      </c>
      <c r="I618" t="inlineStr">
        <is>
          <t>unavailable</t>
        </is>
      </c>
      <c r="J618" s="4" t="n">
        <v>17</v>
      </c>
      <c r="K618" t="inlineStr">
        <is>
          <t>5 / 12</t>
        </is>
      </c>
      <c r="L618" t="inlineStr">
        <is>
          <t>0 / 6</t>
        </is>
      </c>
      <c r="M618" s="5" t="n">
        <v>0.29</v>
      </c>
      <c r="N618" s="5" t="n">
        <v>0</v>
      </c>
    </row>
    <row r="619">
      <c r="A619" t="n">
        <v>618</v>
      </c>
      <c r="B619" t="n">
        <v>2013</v>
      </c>
      <c r="C619" t="inlineStr">
        <is>
          <t>Emma Isabella Lamacchia</t>
        </is>
      </c>
      <c r="D619">
        <f>HYPERLINK("https://ota.tournamentsoftware.com/player-profile/13408327-82EC-4D4E-B3D1-9FA084C53782", "Link")</f>
        <v/>
      </c>
      <c r="E619" s="3" t="n">
        <v>43.33</v>
      </c>
      <c r="F619" s="4" t="n">
        <v>3</v>
      </c>
      <c r="G619" t="inlineStr">
        <is>
          <t>Ontario Tennis Association</t>
        </is>
      </c>
      <c r="H619" t="inlineStr">
        <is>
          <t>Advantage Tennis International at Veneto</t>
        </is>
      </c>
      <c r="I619" t="n">
        <v>39.9</v>
      </c>
      <c r="J619" s="4" t="n">
        <v>19</v>
      </c>
      <c r="K619" t="inlineStr">
        <is>
          <t>2 / 17</t>
        </is>
      </c>
      <c r="L619" t="inlineStr">
        <is>
          <t>2 / 17</t>
        </is>
      </c>
      <c r="M619" s="5" t="n">
        <v>0.11</v>
      </c>
      <c r="N619" s="5" t="n">
        <v>0.11</v>
      </c>
    </row>
    <row r="620">
      <c r="A620" t="n">
        <v>619</v>
      </c>
      <c r="B620" t="n">
        <v>2012</v>
      </c>
      <c r="C620" t="inlineStr">
        <is>
          <t>Valeria Taborda - Valverde</t>
        </is>
      </c>
      <c r="D620">
        <f>HYPERLINK("https://ota.tournamentsoftware.com/player-profile/E0201B38-AEE1-4BAC-B0FB-FA389A1FFEA8", "Link")</f>
        <v/>
      </c>
      <c r="E620" s="3" t="n">
        <v>43.272</v>
      </c>
      <c r="F620" s="4" t="n">
        <v>2</v>
      </c>
      <c r="G620" t="inlineStr">
        <is>
          <t>Ontario Tennis Association</t>
        </is>
      </c>
      <c r="H620" t="inlineStr">
        <is>
          <t>Port Hope Racquet Club</t>
        </is>
      </c>
      <c r="I620" t="inlineStr">
        <is>
          <t>unavailable</t>
        </is>
      </c>
      <c r="J620" s="4" t="n">
        <v>38</v>
      </c>
      <c r="K620" t="inlineStr">
        <is>
          <t>16 / 22</t>
        </is>
      </c>
      <c r="L620" t="inlineStr">
        <is>
          <t>4 / 1</t>
        </is>
      </c>
      <c r="M620" s="5" t="n">
        <v>0.42</v>
      </c>
      <c r="N620" s="5" t="n">
        <v>0.8</v>
      </c>
    </row>
    <row r="621">
      <c r="A621" t="n">
        <v>620</v>
      </c>
      <c r="B621" t="n">
        <v>2015</v>
      </c>
      <c r="C621" t="inlineStr">
        <is>
          <t>Charlotte Harvey</t>
        </is>
      </c>
      <c r="D621">
        <f>HYPERLINK("https://ota.tournamentsoftware.com/player-profile/222A5F1C-DAD0-4E2A-B035-6A15561C1E0A", "Link")</f>
        <v/>
      </c>
      <c r="E621" s="3" t="n">
        <v>43.248</v>
      </c>
      <c r="F621" s="4" t="n">
        <v>4</v>
      </c>
      <c r="G621" t="inlineStr">
        <is>
          <t>Tennis Québec</t>
        </is>
      </c>
      <c r="H621" t="inlineStr">
        <is>
          <t>Les Tennis de Rimouski (intérieur)</t>
        </is>
      </c>
      <c r="I621" t="n">
        <v>36.1</v>
      </c>
      <c r="J621" s="4" t="n">
        <v>14</v>
      </c>
      <c r="K621" t="inlineStr">
        <is>
          <t>8 / 6</t>
        </is>
      </c>
      <c r="L621" t="inlineStr">
        <is>
          <t>6 / 5</t>
        </is>
      </c>
      <c r="M621" s="5" t="n">
        <v>0.57</v>
      </c>
      <c r="N621" s="5" t="n">
        <v>0.55</v>
      </c>
    </row>
    <row r="622">
      <c r="A622" t="n">
        <v>621</v>
      </c>
      <c r="B622" t="n">
        <v>2012</v>
      </c>
      <c r="C622" t="inlineStr">
        <is>
          <t>Mackenzie Quek</t>
        </is>
      </c>
      <c r="D622">
        <f>HYPERLINK("https://ota.tournamentsoftware.com/player-profile/51407A91-7051-4BC3-B583-F0DC1E06E113", "Link")</f>
        <v/>
      </c>
      <c r="E622" s="3" t="n">
        <v>42.274</v>
      </c>
      <c r="F622" s="4" t="n">
        <v>4</v>
      </c>
      <c r="G622" t="inlineStr">
        <is>
          <t>Ontario Tennis Association</t>
        </is>
      </c>
      <c r="H622" t="inlineStr">
        <is>
          <t>Concord Tennis Academy</t>
        </is>
      </c>
      <c r="I622" t="inlineStr">
        <is>
          <t>unavailable</t>
        </is>
      </c>
      <c r="J622" s="4" t="n">
        <v>13</v>
      </c>
      <c r="K622" t="inlineStr">
        <is>
          <t>3 / 10</t>
        </is>
      </c>
      <c r="L622" t="inlineStr">
        <is>
          <t>3 / 10</t>
        </is>
      </c>
      <c r="M622" s="5" t="n">
        <v>0.23</v>
      </c>
      <c r="N622" s="5" t="n">
        <v>0.23</v>
      </c>
    </row>
    <row r="623">
      <c r="A623" t="n">
        <v>622</v>
      </c>
      <c r="B623" t="n">
        <v>2015</v>
      </c>
      <c r="C623" t="inlineStr">
        <is>
          <t>Juliette Tremblay</t>
        </is>
      </c>
      <c r="D623">
        <f>HYPERLINK("https://ota.tournamentsoftware.com/player-profile/94E82DA2-01EF-471F-BB0F-8CEAA1C42076", "Link")</f>
        <v/>
      </c>
      <c r="E623" s="3" t="n">
        <v>41.998</v>
      </c>
      <c r="F623" s="4" t="n">
        <v>11</v>
      </c>
      <c r="G623" t="inlineStr">
        <is>
          <t>Tennis Québec</t>
        </is>
      </c>
      <c r="H623" t="inlineStr">
        <is>
          <t>Tennis Outaouais Performance (TOP)</t>
        </is>
      </c>
      <c r="I623" t="n">
        <v>37.7</v>
      </c>
      <c r="J623" s="4" t="n">
        <v>54</v>
      </c>
      <c r="K623" t="inlineStr">
        <is>
          <t>16 / 38</t>
        </is>
      </c>
      <c r="L623" t="inlineStr">
        <is>
          <t>5 / 13</t>
        </is>
      </c>
      <c r="M623" s="5" t="n">
        <v>0.3</v>
      </c>
      <c r="N623" s="5" t="n">
        <v>0.28</v>
      </c>
    </row>
    <row r="624">
      <c r="A624" t="n">
        <v>623</v>
      </c>
      <c r="B624" t="n">
        <v>2015</v>
      </c>
      <c r="C624" t="inlineStr">
        <is>
          <t>Mia Kojic</t>
        </is>
      </c>
      <c r="D624">
        <f>HYPERLINK("https://ota.tournamentsoftware.com/player-profile/1573DFB3-8189-4CE9-AAAC-9ADF1738AD9C", "Link")</f>
        <v/>
      </c>
      <c r="E624" s="3" t="n">
        <v>41.917</v>
      </c>
      <c r="F624" s="4" t="n">
        <v>8</v>
      </c>
      <c r="G624" t="inlineStr">
        <is>
          <t>Ontario Tennis Association</t>
        </is>
      </c>
      <c r="H624" t="inlineStr">
        <is>
          <t>Ontario Racquet Club</t>
        </is>
      </c>
      <c r="I624" t="n">
        <v>36.7</v>
      </c>
      <c r="J624" s="4" t="n">
        <v>98</v>
      </c>
      <c r="K624" t="inlineStr">
        <is>
          <t>43 / 55</t>
        </is>
      </c>
      <c r="L624" t="inlineStr">
        <is>
          <t>7 / 10</t>
        </is>
      </c>
      <c r="M624" s="5" t="n">
        <v>0.44</v>
      </c>
      <c r="N624" s="5" t="n">
        <v>0.41</v>
      </c>
    </row>
    <row r="625">
      <c r="A625" t="n">
        <v>624</v>
      </c>
      <c r="B625" t="n">
        <v>2014</v>
      </c>
      <c r="C625" t="inlineStr">
        <is>
          <t>Melina Ioannidis</t>
        </is>
      </c>
      <c r="D625">
        <f>HYPERLINK("https://ota.tournamentsoftware.com/player-profile/7105A5E6-611D-4531-9016-F7FBEE3F6368", "Link")</f>
        <v/>
      </c>
      <c r="E625" s="3" t="n">
        <v>41.56</v>
      </c>
      <c r="F625" s="4" t="n">
        <v>6</v>
      </c>
      <c r="G625" t="inlineStr">
        <is>
          <t>Ontario Tennis Association</t>
        </is>
      </c>
      <c r="H625" t="inlineStr">
        <is>
          <t>Aurora Community Tennis Club</t>
        </is>
      </c>
      <c r="I625" t="n">
        <v>37</v>
      </c>
      <c r="J625" s="4" t="n">
        <v>61</v>
      </c>
      <c r="K625" t="inlineStr">
        <is>
          <t>34 / 27</t>
        </is>
      </c>
      <c r="L625" t="inlineStr">
        <is>
          <t>4 / 5</t>
        </is>
      </c>
      <c r="M625" s="5" t="n">
        <v>0.5600000000000001</v>
      </c>
      <c r="N625" s="5" t="n">
        <v>0.44</v>
      </c>
    </row>
    <row r="626">
      <c r="A626" t="n">
        <v>625</v>
      </c>
      <c r="B626" t="n">
        <v>2017</v>
      </c>
      <c r="C626" t="inlineStr">
        <is>
          <t>Aria Bloom</t>
        </is>
      </c>
      <c r="D626">
        <f>HYPERLINK("https://ota.tournamentsoftware.com/player-profile/7C30BE00-7F15-42B9-BA96-B3B2895898A0", "Link")</f>
        <v/>
      </c>
      <c r="E626" s="3" t="n">
        <v>41.346</v>
      </c>
      <c r="F626" s="4" t="n">
        <v>9</v>
      </c>
      <c r="G626" t="inlineStr">
        <is>
          <t>Tennis Alberta</t>
        </is>
      </c>
      <c r="H626" t="inlineStr">
        <is>
          <t>Osten &amp; Victor Alberta Tennis Centre</t>
        </is>
      </c>
      <c r="I626" t="n">
        <v>33.8</v>
      </c>
      <c r="J626" s="4" t="n">
        <v>127</v>
      </c>
      <c r="K626" t="inlineStr">
        <is>
          <t>97 / 30</t>
        </is>
      </c>
      <c r="L626" t="inlineStr">
        <is>
          <t>43 / 7</t>
        </is>
      </c>
      <c r="M626" s="5" t="n">
        <v>0.76</v>
      </c>
      <c r="N626" s="5" t="n">
        <v>0.86</v>
      </c>
    </row>
    <row r="627">
      <c r="A627" t="n">
        <v>626</v>
      </c>
      <c r="B627" t="n">
        <v>2015</v>
      </c>
      <c r="C627" t="inlineStr">
        <is>
          <t>Léa Anténor</t>
        </is>
      </c>
      <c r="D627">
        <f>HYPERLINK("https://ota.tournamentsoftware.com/player-profile/C5888674-E1AF-487D-88CD-4864B4B9365E", "Link")</f>
        <v/>
      </c>
      <c r="E627" s="3" t="n">
        <v>41.288</v>
      </c>
      <c r="F627" s="4" t="n">
        <v>7</v>
      </c>
      <c r="G627" t="inlineStr">
        <is>
          <t>Tennis Québec</t>
        </is>
      </c>
      <c r="H627" t="inlineStr">
        <is>
          <t>No Club</t>
        </is>
      </c>
      <c r="I627" t="inlineStr">
        <is>
          <t>unavailable</t>
        </is>
      </c>
      <c r="J627" s="4" t="n">
        <v>13</v>
      </c>
      <c r="K627" t="inlineStr">
        <is>
          <t>6 / 7</t>
        </is>
      </c>
      <c r="L627" t="inlineStr">
        <is>
          <t>6 / 7</t>
        </is>
      </c>
      <c r="M627" s="5" t="n">
        <v>0.46</v>
      </c>
      <c r="N627" s="5" t="n">
        <v>0.46</v>
      </c>
    </row>
    <row r="628">
      <c r="A628" t="n">
        <v>627</v>
      </c>
      <c r="B628" t="n">
        <v>2015</v>
      </c>
      <c r="C628" t="inlineStr">
        <is>
          <t>Lillian Tooryani</t>
        </is>
      </c>
      <c r="D628">
        <f>HYPERLINK("https://ota.tournamentsoftware.com/player-profile/B149ED5D-E26B-4577-8AAB-620DB4A7A85F", "Link")</f>
        <v/>
      </c>
      <c r="E628" s="3" t="n">
        <v>41.04</v>
      </c>
      <c r="F628" s="4" t="n">
        <v>13</v>
      </c>
      <c r="G628" t="inlineStr">
        <is>
          <t>Ontario Tennis Association</t>
        </is>
      </c>
      <c r="H628" t="inlineStr">
        <is>
          <t>Mayfair West Fitness &amp; Racquet Club</t>
        </is>
      </c>
      <c r="I628" t="n">
        <v>37.4</v>
      </c>
      <c r="J628" s="4" t="n">
        <v>44</v>
      </c>
      <c r="K628" t="inlineStr">
        <is>
          <t>17 / 27</t>
        </is>
      </c>
      <c r="L628" t="inlineStr">
        <is>
          <t>14 / 14</t>
        </is>
      </c>
      <c r="M628" s="5" t="n">
        <v>0.39</v>
      </c>
      <c r="N628" s="5" t="n">
        <v>0.5</v>
      </c>
    </row>
    <row r="629">
      <c r="A629" t="n">
        <v>628</v>
      </c>
      <c r="B629" t="n">
        <v>2013</v>
      </c>
      <c r="C629" t="inlineStr">
        <is>
          <t>Naia Luke</t>
        </is>
      </c>
      <c r="D629">
        <f>HYPERLINK("https://ota.tournamentsoftware.com/player-profile/E8620DEC-5B72-4D85-9171-1F914B105E62", "Link")</f>
        <v/>
      </c>
      <c r="E629" s="3" t="n">
        <v>40.629</v>
      </c>
      <c r="F629" s="4" t="n">
        <v>4</v>
      </c>
      <c r="G629" t="inlineStr">
        <is>
          <t>British Columbia</t>
        </is>
      </c>
      <c r="H629" t="inlineStr">
        <is>
          <t>Jericho Tennis Club</t>
        </is>
      </c>
      <c r="I629" t="n">
        <v>39.7</v>
      </c>
      <c r="J629" s="4" t="n">
        <v>43</v>
      </c>
      <c r="K629" t="inlineStr">
        <is>
          <t>9 / 34</t>
        </is>
      </c>
      <c r="L629" t="inlineStr">
        <is>
          <t>0 / 9</t>
        </is>
      </c>
      <c r="M629" s="5" t="n">
        <v>0.21</v>
      </c>
      <c r="N629" s="5" t="n">
        <v>0</v>
      </c>
    </row>
    <row r="630">
      <c r="A630" t="n">
        <v>629</v>
      </c>
      <c r="B630" t="n">
        <v>2015</v>
      </c>
      <c r="C630" t="inlineStr">
        <is>
          <t>Mila Anglade</t>
        </is>
      </c>
      <c r="D630">
        <f>HYPERLINK("https://ota.tournamentsoftware.com/player-profile/05635752-0D80-4827-BA70-1CECB2BE0528", "Link")</f>
        <v/>
      </c>
      <c r="E630" s="3" t="n">
        <v>40.12</v>
      </c>
      <c r="F630" s="4" t="n">
        <v>4</v>
      </c>
      <c r="G630" t="inlineStr">
        <is>
          <t>Tennis Québec</t>
        </is>
      </c>
      <c r="H630" t="inlineStr">
        <is>
          <t>Carrefour Multisports</t>
        </is>
      </c>
      <c r="I630" t="inlineStr">
        <is>
          <t>unavailable</t>
        </is>
      </c>
      <c r="J630" s="4" t="n">
        <v>64</v>
      </c>
      <c r="K630" t="inlineStr">
        <is>
          <t>39 / 25</t>
        </is>
      </c>
      <c r="L630" t="inlineStr">
        <is>
          <t>8 / 2</t>
        </is>
      </c>
      <c r="M630" s="5" t="n">
        <v>0.61</v>
      </c>
      <c r="N630" s="5" t="n">
        <v>0.8</v>
      </c>
    </row>
    <row r="631">
      <c r="A631" t="n">
        <v>630</v>
      </c>
      <c r="B631" t="n">
        <v>2014</v>
      </c>
      <c r="C631" t="inlineStr">
        <is>
          <t>Juliette Viel</t>
        </is>
      </c>
      <c r="D631">
        <f>HYPERLINK("https://ota.tournamentsoftware.com/player-profile/3C42B108-2BA4-41D7-8AE2-19A52170601F", "Link")</f>
        <v/>
      </c>
      <c r="E631" s="3" t="n">
        <v>39.422</v>
      </c>
      <c r="F631" s="4" t="n">
        <v>3</v>
      </c>
      <c r="G631" t="inlineStr">
        <is>
          <t>Tennis Québec</t>
        </is>
      </c>
      <c r="H631" t="inlineStr">
        <is>
          <t>Club de tennis de Rivière-du-Loup</t>
        </is>
      </c>
      <c r="I631" t="n">
        <v>33.8</v>
      </c>
      <c r="J631" s="4" t="n">
        <v>24</v>
      </c>
      <c r="K631" t="inlineStr">
        <is>
          <t>11 / 13</t>
        </is>
      </c>
      <c r="L631" t="inlineStr">
        <is>
          <t>4 / 3</t>
        </is>
      </c>
      <c r="M631" s="5" t="n">
        <v>0.46</v>
      </c>
      <c r="N631" s="5" t="n">
        <v>0.57</v>
      </c>
    </row>
    <row r="632">
      <c r="A632" t="n">
        <v>631</v>
      </c>
      <c r="B632" t="n">
        <v>2014</v>
      </c>
      <c r="C632" t="inlineStr">
        <is>
          <t>Chloe Leblond</t>
        </is>
      </c>
      <c r="D632">
        <f>HYPERLINK("https://ota.tournamentsoftware.com/player-profile/B25C8E1B-DD5B-45CB-A94E-27B9E436CCF5", "Link")</f>
        <v/>
      </c>
      <c r="E632" s="3" t="n">
        <v>38.706</v>
      </c>
      <c r="F632" s="4" t="n">
        <v>4</v>
      </c>
      <c r="G632" t="inlineStr">
        <is>
          <t>Ontario Tennis Association</t>
        </is>
      </c>
      <c r="H632" t="inlineStr">
        <is>
          <t>Tam Heather Tennis Club</t>
        </is>
      </c>
      <c r="I632" t="inlineStr">
        <is>
          <t>unavailable</t>
        </is>
      </c>
      <c r="J632" s="4" t="n">
        <v>59</v>
      </c>
      <c r="K632" t="inlineStr">
        <is>
          <t>31 / 28</t>
        </is>
      </c>
      <c r="L632" t="inlineStr">
        <is>
          <t>6 / 4</t>
        </is>
      </c>
      <c r="M632" s="5" t="n">
        <v>0.53</v>
      </c>
      <c r="N632" s="5" t="n">
        <v>0.6</v>
      </c>
    </row>
    <row r="633">
      <c r="A633" t="n">
        <v>632</v>
      </c>
      <c r="B633" t="n">
        <v>2015</v>
      </c>
      <c r="C633" t="inlineStr">
        <is>
          <t>Nya BLANCHARD</t>
        </is>
      </c>
      <c r="D633">
        <f>HYPERLINK("https://ota.tournamentsoftware.com/player-profile/E8E00722-2274-4657-BCF4-B20EEBB0EB21", "Link")</f>
        <v/>
      </c>
      <c r="E633" s="3" t="n">
        <v>38.25</v>
      </c>
      <c r="F633" s="4" t="n">
        <v>8</v>
      </c>
      <c r="G633" t="inlineStr">
        <is>
          <t>Ontario Tennis Association</t>
        </is>
      </c>
      <c r="H633" t="inlineStr">
        <is>
          <t>Ontario Racquet Club</t>
        </is>
      </c>
      <c r="I633" t="n">
        <v>35.6</v>
      </c>
      <c r="J633" s="4" t="n">
        <v>44</v>
      </c>
      <c r="K633" t="inlineStr">
        <is>
          <t>24 / 20</t>
        </is>
      </c>
      <c r="L633" t="inlineStr">
        <is>
          <t>9 / 9</t>
        </is>
      </c>
      <c r="M633" s="5" t="n">
        <v>0.55</v>
      </c>
      <c r="N633" s="5" t="n">
        <v>0.5</v>
      </c>
    </row>
    <row r="634">
      <c r="A634" t="n">
        <v>633</v>
      </c>
      <c r="B634" t="n">
        <v>2014</v>
      </c>
      <c r="C634" t="inlineStr">
        <is>
          <t>Ariella Naomi Shegelman</t>
        </is>
      </c>
      <c r="D634">
        <f>HYPERLINK("https://ota.tournamentsoftware.com/player-profile/F4A076BF-B4C6-4301-B22A-3E13FD483AD5", "Link")</f>
        <v/>
      </c>
      <c r="E634" s="3" t="n">
        <v>38.011</v>
      </c>
      <c r="F634" s="4" t="n">
        <v>5</v>
      </c>
      <c r="G634" t="inlineStr">
        <is>
          <t>Ontario Tennis Association</t>
        </is>
      </c>
      <c r="H634" t="inlineStr">
        <is>
          <t>Concord Tennis Academy</t>
        </is>
      </c>
      <c r="I634" t="n">
        <v>35.7</v>
      </c>
      <c r="J634" s="4" t="n">
        <v>32</v>
      </c>
      <c r="K634" t="inlineStr">
        <is>
          <t>16 / 16</t>
        </is>
      </c>
      <c r="L634" t="inlineStr">
        <is>
          <t>6 / 6</t>
        </is>
      </c>
      <c r="M634" s="5" t="n">
        <v>0.5</v>
      </c>
      <c r="N634" s="5" t="n">
        <v>0.5</v>
      </c>
    </row>
    <row r="635">
      <c r="A635" t="n">
        <v>634</v>
      </c>
      <c r="B635" t="n">
        <v>2015</v>
      </c>
      <c r="C635" t="inlineStr">
        <is>
          <t>Sloane Burdick</t>
        </is>
      </c>
      <c r="D635">
        <f>HYPERLINK("https://ota.tournamentsoftware.com/player-profile/B4ED1890-6E53-4FCC-9711-828BDD90CD1F", "Link")</f>
        <v/>
      </c>
      <c r="E635" s="3" t="n">
        <v>37.799</v>
      </c>
      <c r="F635" s="4" t="n">
        <v>9</v>
      </c>
      <c r="G635" t="inlineStr">
        <is>
          <t>British Columbia</t>
        </is>
      </c>
      <c r="H635" t="inlineStr">
        <is>
          <t>Vanguard Tennis Academy</t>
        </is>
      </c>
      <c r="I635" t="n">
        <v>36.9</v>
      </c>
      <c r="J635" s="4" t="n">
        <v>74</v>
      </c>
      <c r="K635" t="inlineStr">
        <is>
          <t>36 / 38</t>
        </is>
      </c>
      <c r="L635" t="inlineStr">
        <is>
          <t>9 / 11</t>
        </is>
      </c>
      <c r="M635" s="5" t="n">
        <v>0.49</v>
      </c>
      <c r="N635" s="5" t="n">
        <v>0.45</v>
      </c>
    </row>
    <row r="636">
      <c r="A636" t="n">
        <v>635</v>
      </c>
      <c r="B636" t="n">
        <v>2014</v>
      </c>
      <c r="C636" t="inlineStr">
        <is>
          <t>Mathilde Langis</t>
        </is>
      </c>
      <c r="D636">
        <f>HYPERLINK("https://ota.tournamentsoftware.com/player-profile/39929D79-FF7E-4461-9561-38C5D88AE666", "Link")</f>
        <v/>
      </c>
      <c r="E636" s="3" t="n">
        <v>37.752</v>
      </c>
      <c r="F636" s="4" t="n">
        <v>5</v>
      </c>
      <c r="G636" t="inlineStr">
        <is>
          <t>Tennis Québec</t>
        </is>
      </c>
      <c r="H636" t="inlineStr">
        <is>
          <t>Rouge et Or - Université Laval</t>
        </is>
      </c>
      <c r="I636" t="n">
        <v>36.1</v>
      </c>
      <c r="J636" s="4" t="n">
        <v>73</v>
      </c>
      <c r="K636" t="inlineStr">
        <is>
          <t>31 / 42</t>
        </is>
      </c>
      <c r="L636" t="inlineStr">
        <is>
          <t>1 / 3</t>
        </is>
      </c>
      <c r="M636" s="5" t="n">
        <v>0.42</v>
      </c>
      <c r="N636" s="5" t="n">
        <v>0.25</v>
      </c>
    </row>
    <row r="637">
      <c r="A637" t="n">
        <v>636</v>
      </c>
      <c r="B637" t="n">
        <v>2013</v>
      </c>
      <c r="C637" t="inlineStr">
        <is>
          <t>Alexa Ardeleanu</t>
        </is>
      </c>
      <c r="D637">
        <f>HYPERLINK("https://ota.tournamentsoftware.com/player-profile/109D0444-3430-4CBD-A2CA-522592228926", "Link")</f>
        <v/>
      </c>
      <c r="E637" s="3" t="n">
        <v>37.397</v>
      </c>
      <c r="F637" s="4" t="n">
        <v>3</v>
      </c>
      <c r="G637" t="inlineStr">
        <is>
          <t>Ontario Tennis Association</t>
        </is>
      </c>
      <c r="H637" t="inlineStr">
        <is>
          <t>No Club</t>
        </is>
      </c>
      <c r="I637" t="n">
        <v>37.8</v>
      </c>
      <c r="J637" s="4" t="n">
        <v>5</v>
      </c>
      <c r="K637" t="inlineStr">
        <is>
          <t>1 / 4</t>
        </is>
      </c>
      <c r="L637" t="inlineStr">
        <is>
          <t>1 / 4</t>
        </is>
      </c>
      <c r="M637" s="5" t="n">
        <v>0.2</v>
      </c>
      <c r="N637" s="5" t="n">
        <v>0.2</v>
      </c>
    </row>
    <row r="638">
      <c r="A638" t="n">
        <v>637</v>
      </c>
      <c r="B638" t="n">
        <v>2015</v>
      </c>
      <c r="C638" t="inlineStr">
        <is>
          <t>Tamara Amad</t>
        </is>
      </c>
      <c r="D638">
        <f>HYPERLINK("https://ota.tournamentsoftware.com/player-profile/4DB13A7D-F9F2-45DD-AAD4-FA9987D24AC9", "Link")</f>
        <v/>
      </c>
      <c r="E638" s="3" t="n">
        <v>36.8</v>
      </c>
      <c r="F638" s="4" t="n">
        <v>2</v>
      </c>
      <c r="G638" t="inlineStr">
        <is>
          <t>Ontario Tennis Association</t>
        </is>
      </c>
      <c r="H638" t="inlineStr">
        <is>
          <t>Ontario Racquet Club</t>
        </is>
      </c>
      <c r="I638" t="inlineStr">
        <is>
          <t>unavailable</t>
        </is>
      </c>
      <c r="J638" s="4" t="n">
        <v>23</v>
      </c>
      <c r="K638" t="inlineStr">
        <is>
          <t>15 / 8</t>
        </is>
      </c>
      <c r="L638" t="inlineStr">
        <is>
          <t>6 / 3</t>
        </is>
      </c>
      <c r="M638" s="5" t="n">
        <v>0.65</v>
      </c>
      <c r="N638" s="5" t="n">
        <v>0.67</v>
      </c>
    </row>
    <row r="639">
      <c r="A639" t="n">
        <v>638</v>
      </c>
      <c r="B639" t="n">
        <v>2013</v>
      </c>
      <c r="C639" t="inlineStr">
        <is>
          <t>Mariya Fedchyshyna</t>
        </is>
      </c>
      <c r="D639">
        <f>HYPERLINK("https://ota.tournamentsoftware.com/player-profile/5A64317A-A412-4DEB-A68D-94CE45EAE2DD", "Link")</f>
        <v/>
      </c>
      <c r="E639" s="3" t="n">
        <v>35.767</v>
      </c>
      <c r="F639" s="4" t="n">
        <v>3</v>
      </c>
      <c r="G639" t="inlineStr">
        <is>
          <t>British Columbia</t>
        </is>
      </c>
      <c r="H639" t="inlineStr">
        <is>
          <t>Oak Bay Recreation Centre</t>
        </is>
      </c>
      <c r="I639" t="inlineStr">
        <is>
          <t>unavailable</t>
        </is>
      </c>
      <c r="J639" s="4" t="n">
        <v>9</v>
      </c>
      <c r="K639" t="inlineStr">
        <is>
          <t>1 / 8</t>
        </is>
      </c>
      <c r="L639" t="inlineStr">
        <is>
          <t>1 / 6</t>
        </is>
      </c>
      <c r="M639" s="5" t="n">
        <v>0.11</v>
      </c>
      <c r="N639" s="5" t="n">
        <v>0.14</v>
      </c>
    </row>
    <row r="640">
      <c r="A640" t="n">
        <v>639</v>
      </c>
      <c r="B640" t="n">
        <v>2015</v>
      </c>
      <c r="C640" t="inlineStr">
        <is>
          <t>Victoria Guo</t>
        </is>
      </c>
      <c r="D640">
        <f>HYPERLINK("https://ota.tournamentsoftware.com/player-profile/54FA7561-0327-4A42-A5FE-A5519116069C", "Link")</f>
        <v/>
      </c>
      <c r="E640" s="3" t="n">
        <v>35.632</v>
      </c>
      <c r="F640" s="4" t="n">
        <v>4</v>
      </c>
      <c r="G640" t="inlineStr">
        <is>
          <t>Ontario Tennis Association</t>
        </is>
      </c>
      <c r="H640" t="inlineStr">
        <is>
          <t>Craig Henry</t>
        </is>
      </c>
      <c r="I640" t="n">
        <v>39.3</v>
      </c>
      <c r="J640" s="4" t="n">
        <v>27</v>
      </c>
      <c r="K640" t="inlineStr">
        <is>
          <t>10 / 17</t>
        </is>
      </c>
      <c r="L640" t="inlineStr">
        <is>
          <t>1 / 4</t>
        </is>
      </c>
      <c r="M640" s="5" t="n">
        <v>0.37</v>
      </c>
      <c r="N640" s="5" t="n">
        <v>0.2</v>
      </c>
    </row>
    <row r="641">
      <c r="A641" t="n">
        <v>640</v>
      </c>
      <c r="B641" t="n">
        <v>2013</v>
      </c>
      <c r="C641" t="inlineStr">
        <is>
          <t>Mehak Garg</t>
        </is>
      </c>
      <c r="D641">
        <f>HYPERLINK("https://ota.tournamentsoftware.com/player-profile/2FA47597-FC2B-4F26-80C4-912C2FC70064", "Link")</f>
        <v/>
      </c>
      <c r="E641" s="3" t="n">
        <v>35.51</v>
      </c>
      <c r="F641" s="4" t="n">
        <v>1</v>
      </c>
      <c r="G641" t="inlineStr">
        <is>
          <t>Tennis Saskatchewan</t>
        </is>
      </c>
      <c r="H641" t="inlineStr">
        <is>
          <t>Lakewood Indoor Tennis Centre</t>
        </is>
      </c>
      <c r="I641" t="n">
        <v>35.1</v>
      </c>
      <c r="J641" s="4" t="n">
        <v>13</v>
      </c>
      <c r="K641" t="inlineStr">
        <is>
          <t>5 / 8</t>
        </is>
      </c>
      <c r="L641" t="inlineStr">
        <is>
          <t>5 / 8</t>
        </is>
      </c>
      <c r="M641" s="5" t="n">
        <v>0.38</v>
      </c>
      <c r="N641" s="5" t="n">
        <v>0.38</v>
      </c>
    </row>
    <row r="642">
      <c r="A642" t="n">
        <v>641</v>
      </c>
      <c r="B642" t="n">
        <v>2014</v>
      </c>
      <c r="C642" t="inlineStr">
        <is>
          <t>Violette Hébert</t>
        </is>
      </c>
      <c r="D642">
        <f>HYPERLINK("https://ota.tournamentsoftware.com/player-profile/53615BF8-C3DB-4C99-8745-F5A7E4DC7C2E", "Link")</f>
        <v/>
      </c>
      <c r="E642" s="3" t="n">
        <v>35.466</v>
      </c>
      <c r="F642" s="4" t="n">
        <v>11</v>
      </c>
      <c r="G642" t="inlineStr">
        <is>
          <t>Tennis Québec</t>
        </is>
      </c>
      <c r="H642" t="inlineStr">
        <is>
          <t>EB Tennis inc.</t>
        </is>
      </c>
      <c r="I642" t="n">
        <v>39.2</v>
      </c>
      <c r="J642" s="4" t="n">
        <v>49</v>
      </c>
      <c r="K642" t="inlineStr">
        <is>
          <t>14 / 35</t>
        </is>
      </c>
      <c r="L642" t="inlineStr">
        <is>
          <t>4 / 13</t>
        </is>
      </c>
      <c r="M642" s="5" t="n">
        <v>0.29</v>
      </c>
      <c r="N642" s="5" t="n">
        <v>0.24</v>
      </c>
    </row>
    <row r="643">
      <c r="A643" t="n">
        <v>642</v>
      </c>
      <c r="B643" t="n">
        <v>2014</v>
      </c>
      <c r="C643" t="inlineStr">
        <is>
          <t>Olivia Duthoit</t>
        </is>
      </c>
      <c r="D643">
        <f>HYPERLINK("https://ota.tournamentsoftware.com/player-profile/7ADA0A6D-C257-4896-AEB0-8E053AAA4B48", "Link")</f>
        <v/>
      </c>
      <c r="E643" s="3" t="n">
        <v>35.342</v>
      </c>
      <c r="F643" s="4" t="n">
        <v>3</v>
      </c>
      <c r="G643" t="inlineStr">
        <is>
          <t>Tennis Québec</t>
        </is>
      </c>
      <c r="H643" t="inlineStr">
        <is>
          <t>Club Avantage Multi-sports / Académie de tennis Hérisset Bordeleau</t>
        </is>
      </c>
      <c r="I643" t="n">
        <v>36</v>
      </c>
      <c r="J643" s="4" t="n">
        <v>20</v>
      </c>
      <c r="K643" t="inlineStr">
        <is>
          <t>4 / 16</t>
        </is>
      </c>
      <c r="L643" t="inlineStr">
        <is>
          <t>3 / 4</t>
        </is>
      </c>
      <c r="M643" s="5" t="n">
        <v>0.2</v>
      </c>
      <c r="N643" s="5" t="n">
        <v>0.43</v>
      </c>
    </row>
    <row r="644">
      <c r="A644" t="n">
        <v>643</v>
      </c>
      <c r="B644" t="n">
        <v>2016</v>
      </c>
      <c r="C644" t="inlineStr">
        <is>
          <t>Eliana Gamboa Puentevella</t>
        </is>
      </c>
      <c r="D644">
        <f>HYPERLINK("https://ota.tournamentsoftware.com/player-profile/F092EBD2-5997-4E03-AED5-C7E2E614192B", "Link")</f>
        <v/>
      </c>
      <c r="E644" s="3" t="n">
        <v>35.102</v>
      </c>
      <c r="F644" s="4" t="n">
        <v>12</v>
      </c>
      <c r="G644" t="inlineStr">
        <is>
          <t>British Columbia</t>
        </is>
      </c>
      <c r="H644" t="inlineStr">
        <is>
          <t>Suncoast Racquet Club</t>
        </is>
      </c>
      <c r="I644" t="n">
        <v>36.3</v>
      </c>
      <c r="J644" s="4" t="n">
        <v>137</v>
      </c>
      <c r="K644" t="inlineStr">
        <is>
          <t>68 / 69</t>
        </is>
      </c>
      <c r="L644" t="inlineStr">
        <is>
          <t>38 / 25</t>
        </is>
      </c>
      <c r="M644" s="5" t="n">
        <v>0.5</v>
      </c>
      <c r="N644" s="5" t="n">
        <v>0.6</v>
      </c>
    </row>
    <row r="645">
      <c r="A645" t="n">
        <v>644</v>
      </c>
      <c r="B645" t="n">
        <v>2015</v>
      </c>
      <c r="C645" t="inlineStr">
        <is>
          <t>Parine Jani</t>
        </is>
      </c>
      <c r="D645">
        <f>HYPERLINK("https://ota.tournamentsoftware.com/player-profile/DEF6C92A-14C0-4DEB-A4E3-22B40C75E14A", "Link")</f>
        <v/>
      </c>
      <c r="E645" s="3" t="n">
        <v>35.012</v>
      </c>
      <c r="F645" s="4" t="n">
        <v>5</v>
      </c>
      <c r="G645" t="inlineStr">
        <is>
          <t>Ontario Tennis Association</t>
        </is>
      </c>
      <c r="H645" t="inlineStr">
        <is>
          <t>Premier Racquet Club - Markham</t>
        </is>
      </c>
      <c r="I645" t="n">
        <v>39.7</v>
      </c>
      <c r="J645" s="4" t="n">
        <v>43</v>
      </c>
      <c r="K645" t="inlineStr">
        <is>
          <t>7 / 36</t>
        </is>
      </c>
      <c r="L645" t="inlineStr">
        <is>
          <t>1 / 11</t>
        </is>
      </c>
      <c r="M645" s="5" t="n">
        <v>0.16</v>
      </c>
      <c r="N645" s="5" t="n">
        <v>0.08</v>
      </c>
    </row>
    <row r="646">
      <c r="A646" t="n">
        <v>645</v>
      </c>
      <c r="B646" t="n">
        <v>2014</v>
      </c>
      <c r="C646" t="inlineStr">
        <is>
          <t>kunyou Guan</t>
        </is>
      </c>
      <c r="D646">
        <f>HYPERLINK("https://ota.tournamentsoftware.com/player-profile/1F3E9C6C-8AD9-4B0B-B88C-410B372DBAF5", "Link")</f>
        <v/>
      </c>
      <c r="E646" s="3" t="n">
        <v>34.771</v>
      </c>
      <c r="F646" s="4" t="n">
        <v>8</v>
      </c>
      <c r="G646" t="inlineStr">
        <is>
          <t>Ontario Tennis Association</t>
        </is>
      </c>
      <c r="H646" t="inlineStr">
        <is>
          <t>Mayfair West Fitness &amp; Racquet Club</t>
        </is>
      </c>
      <c r="I646" t="n">
        <v>37.4</v>
      </c>
      <c r="J646" s="4" t="n">
        <v>40</v>
      </c>
      <c r="K646" t="inlineStr">
        <is>
          <t>20 / 20</t>
        </is>
      </c>
      <c r="L646" t="inlineStr">
        <is>
          <t>7 / 9</t>
        </is>
      </c>
      <c r="M646" s="5" t="n">
        <v>0.5</v>
      </c>
      <c r="N646" s="5" t="n">
        <v>0.44</v>
      </c>
    </row>
    <row r="647">
      <c r="A647" t="n">
        <v>646</v>
      </c>
      <c r="B647" t="n">
        <v>2014</v>
      </c>
      <c r="C647" t="inlineStr">
        <is>
          <t>Rehmat Kaur Sandhar</t>
        </is>
      </c>
      <c r="D647">
        <f>HYPERLINK("https://ota.tournamentsoftware.com/player-profile/F8357E3D-210F-40E0-BA8A-8FFDBD0DC17E", "Link")</f>
        <v/>
      </c>
      <c r="E647" s="3" t="n">
        <v>34.56</v>
      </c>
      <c r="F647" s="4" t="n">
        <v>4</v>
      </c>
      <c r="G647" t="inlineStr">
        <is>
          <t>Ontario Tennis Association</t>
        </is>
      </c>
      <c r="H647" t="inlineStr">
        <is>
          <t>ON Tennis Toronto No Club</t>
        </is>
      </c>
      <c r="I647" t="n">
        <v>35.5</v>
      </c>
      <c r="J647" s="4" t="n">
        <v>39</v>
      </c>
      <c r="K647" t="inlineStr">
        <is>
          <t>20 / 19</t>
        </is>
      </c>
      <c r="L647" t="inlineStr">
        <is>
          <t>20 / 16</t>
        </is>
      </c>
      <c r="M647" s="5" t="n">
        <v>0.51</v>
      </c>
      <c r="N647" s="5" t="n">
        <v>0.5600000000000001</v>
      </c>
    </row>
    <row r="648">
      <c r="A648" t="n">
        <v>647</v>
      </c>
      <c r="B648" t="n">
        <v>2013</v>
      </c>
      <c r="C648" t="inlineStr">
        <is>
          <t>Caroline Chuyi Wang</t>
        </is>
      </c>
      <c r="D648">
        <f>HYPERLINK("https://ota.tournamentsoftware.com/player-profile/3F052198-DCE4-4852-8FA0-B0793E67B6FC", "Link")</f>
        <v/>
      </c>
      <c r="E648" s="3" t="n">
        <v>34.166</v>
      </c>
      <c r="F648" s="4" t="n">
        <v>4</v>
      </c>
      <c r="G648" t="inlineStr">
        <is>
          <t>British Columbia</t>
        </is>
      </c>
      <c r="H648" t="inlineStr">
        <is>
          <t>Richmond Country Club</t>
        </is>
      </c>
      <c r="I648" t="n">
        <v>37.8</v>
      </c>
      <c r="J648" s="4" t="n">
        <v>26</v>
      </c>
      <c r="K648" t="inlineStr">
        <is>
          <t>11 / 15</t>
        </is>
      </c>
      <c r="L648" t="inlineStr">
        <is>
          <t>11 / 15</t>
        </is>
      </c>
      <c r="M648" s="5" t="n">
        <v>0.42</v>
      </c>
      <c r="N648" s="5" t="n">
        <v>0.42</v>
      </c>
    </row>
    <row r="649">
      <c r="A649" t="n">
        <v>648</v>
      </c>
      <c r="B649" t="n">
        <v>2016</v>
      </c>
      <c r="C649" t="inlineStr">
        <is>
          <t>Emma Yu</t>
        </is>
      </c>
      <c r="D649">
        <f>HYPERLINK("https://ota.tournamentsoftware.com/player-profile/08E91FF6-D5E8-42FC-9B0D-2002B0263706", "Link")</f>
        <v/>
      </c>
      <c r="E649" s="3" t="n">
        <v>33.84</v>
      </c>
      <c r="F649" s="4" t="n">
        <v>6</v>
      </c>
      <c r="G649" t="inlineStr">
        <is>
          <t>Tennis Nova Scotia</t>
        </is>
      </c>
      <c r="H649" t="inlineStr">
        <is>
          <t>Atlantic Tennis Centre</t>
        </is>
      </c>
      <c r="I649" t="inlineStr">
        <is>
          <t>unavailable</t>
        </is>
      </c>
      <c r="J649" s="4" t="inlineStr"/>
      <c r="K649" t="inlineStr">
        <is>
          <t>unavailable</t>
        </is>
      </c>
      <c r="L649" t="inlineStr">
        <is>
          <t>unavailable</t>
        </is>
      </c>
      <c r="M649" s="5" t="inlineStr"/>
      <c r="N649" s="5" t="inlineStr"/>
    </row>
    <row r="650">
      <c r="A650" t="n">
        <v>649</v>
      </c>
      <c r="B650" t="n">
        <v>2014</v>
      </c>
      <c r="C650" t="inlineStr">
        <is>
          <t>Georgena Banquicio</t>
        </is>
      </c>
      <c r="D650">
        <f>HYPERLINK("https://ota.tournamentsoftware.com/player-profile/AB3893CF-B68D-4258-893E-E7C3FB601465", "Link")</f>
        <v/>
      </c>
      <c r="E650" s="3" t="n">
        <v>33.663</v>
      </c>
      <c r="F650" s="4" t="n">
        <v>5</v>
      </c>
      <c r="G650" t="inlineStr">
        <is>
          <t>Tennis New Brunswick</t>
        </is>
      </c>
      <c r="H650" t="inlineStr">
        <is>
          <t>Abony Family Tennis Center</t>
        </is>
      </c>
      <c r="I650" t="n">
        <v>37.4</v>
      </c>
      <c r="J650" s="4" t="n">
        <v>72</v>
      </c>
      <c r="K650" t="inlineStr">
        <is>
          <t>34 / 38</t>
        </is>
      </c>
      <c r="L650" t="inlineStr">
        <is>
          <t>2 / 6</t>
        </is>
      </c>
      <c r="M650" s="5" t="n">
        <v>0.47</v>
      </c>
      <c r="N650" s="5" t="n">
        <v>0.25</v>
      </c>
    </row>
    <row r="651">
      <c r="A651" t="n">
        <v>650</v>
      </c>
      <c r="B651" t="n">
        <v>2013</v>
      </c>
      <c r="C651" t="inlineStr">
        <is>
          <t>SOPHIA MARIA TRULESCU</t>
        </is>
      </c>
      <c r="D651">
        <f>HYPERLINK("https://ota.tournamentsoftware.com/player-profile/A41CCD9F-8BEB-4085-842F-8E5A7DA612FF", "Link")</f>
        <v/>
      </c>
      <c r="E651" s="3" t="n">
        <v>33.35</v>
      </c>
      <c r="F651" s="4" t="n">
        <v>2</v>
      </c>
      <c r="G651" t="inlineStr">
        <is>
          <t>Ontario Tennis Association</t>
        </is>
      </c>
      <c r="H651" t="inlineStr">
        <is>
          <t>Rosedale Tennis Club (Hamilton)</t>
        </is>
      </c>
      <c r="I651" t="n">
        <v>34.4</v>
      </c>
      <c r="J651" s="4" t="n">
        <v>55</v>
      </c>
      <c r="K651" t="inlineStr">
        <is>
          <t>41 / 14</t>
        </is>
      </c>
      <c r="L651" t="inlineStr">
        <is>
          <t>4 / 2</t>
        </is>
      </c>
      <c r="M651" s="5" t="n">
        <v>0.75</v>
      </c>
      <c r="N651" s="5" t="n">
        <v>0.67</v>
      </c>
    </row>
    <row r="652">
      <c r="A652" t="n">
        <v>651</v>
      </c>
      <c r="B652" t="n">
        <v>2014</v>
      </c>
      <c r="C652" t="inlineStr">
        <is>
          <t>Victoria Dorvius</t>
        </is>
      </c>
      <c r="D652">
        <f>HYPERLINK("https://ota.tournamentsoftware.com/player-profile/0742AD15-E29E-4761-9ABC-EF929E7499C5", "Link")</f>
        <v/>
      </c>
      <c r="E652" s="3" t="n">
        <v>33.305</v>
      </c>
      <c r="F652" s="4" t="n">
        <v>3</v>
      </c>
      <c r="G652" t="inlineStr">
        <is>
          <t>Tennis Québec</t>
        </is>
      </c>
      <c r="H652" t="inlineStr">
        <is>
          <t>No Club</t>
        </is>
      </c>
      <c r="I652" t="n">
        <v>40</v>
      </c>
      <c r="J652" s="4" t="n">
        <v>8</v>
      </c>
      <c r="K652" t="inlineStr">
        <is>
          <t>0 / 8</t>
        </is>
      </c>
      <c r="L652" t="inlineStr">
        <is>
          <t>0 / 3</t>
        </is>
      </c>
      <c r="M652" s="5" t="n">
        <v>0</v>
      </c>
      <c r="N652" s="5" t="n">
        <v>0</v>
      </c>
    </row>
    <row r="653">
      <c r="A653" t="n">
        <v>652</v>
      </c>
      <c r="B653" t="n">
        <v>2012</v>
      </c>
      <c r="C653" t="inlineStr">
        <is>
          <t>Elise Weaser</t>
        </is>
      </c>
      <c r="D653">
        <f>HYPERLINK("https://ota.tournamentsoftware.com/player-profile/DA22DB71-D6D8-4605-B329-E9AEA5B14695", "Link")</f>
        <v/>
      </c>
      <c r="E653" s="3" t="n">
        <v>33.264</v>
      </c>
      <c r="F653" s="4" t="n">
        <v>2</v>
      </c>
      <c r="G653" t="inlineStr">
        <is>
          <t>Ontario Tennis Association</t>
        </is>
      </c>
      <c r="H653" t="inlineStr">
        <is>
          <t>Ontario Racquet Club</t>
        </is>
      </c>
      <c r="I653" t="n">
        <v>37.6</v>
      </c>
      <c r="J653" s="4" t="n">
        <v>30</v>
      </c>
      <c r="K653" t="inlineStr">
        <is>
          <t>7 / 23</t>
        </is>
      </c>
      <c r="L653" t="inlineStr">
        <is>
          <t>2 / 2</t>
        </is>
      </c>
      <c r="M653" s="5" t="n">
        <v>0.23</v>
      </c>
      <c r="N653" s="5" t="n">
        <v>0.5</v>
      </c>
    </row>
    <row r="654">
      <c r="A654" t="n">
        <v>653</v>
      </c>
      <c r="B654" t="n">
        <v>2016</v>
      </c>
      <c r="C654" t="inlineStr">
        <is>
          <t>Yuetian Caroline Guo</t>
        </is>
      </c>
      <c r="D654">
        <f>HYPERLINK("https://ota.tournamentsoftware.com/player-profile/D9EEB088-31A0-4FD1-A91B-A82319998935", "Link")</f>
        <v/>
      </c>
      <c r="E654" s="3" t="n">
        <v>33.219</v>
      </c>
      <c r="F654" s="4" t="n">
        <v>13</v>
      </c>
      <c r="G654" t="inlineStr">
        <is>
          <t>British Columbia</t>
        </is>
      </c>
      <c r="H654" t="inlineStr">
        <is>
          <t>The Tennis Centre</t>
        </is>
      </c>
      <c r="I654" t="n">
        <v>36.5</v>
      </c>
      <c r="J654" s="4" t="n">
        <v>112</v>
      </c>
      <c r="K654" t="inlineStr">
        <is>
          <t>63 / 49</t>
        </is>
      </c>
      <c r="L654" t="inlineStr">
        <is>
          <t>33 / 23</t>
        </is>
      </c>
      <c r="M654" s="5" t="n">
        <v>0.5600000000000001</v>
      </c>
      <c r="N654" s="5" t="n">
        <v>0.59</v>
      </c>
    </row>
    <row r="655">
      <c r="A655" t="n">
        <v>654</v>
      </c>
      <c r="B655" t="n">
        <v>2015</v>
      </c>
      <c r="C655" t="inlineStr">
        <is>
          <t>Enlin Fan</t>
        </is>
      </c>
      <c r="D655">
        <f>HYPERLINK("https://ota.tournamentsoftware.com/player-profile/0F38D490-CA76-4A12-BE87-0BAC308EDC74", "Link")</f>
        <v/>
      </c>
      <c r="E655" s="3" t="n">
        <v>32.538</v>
      </c>
      <c r="F655" s="4" t="n">
        <v>6</v>
      </c>
      <c r="G655" t="inlineStr">
        <is>
          <t>British Columbia</t>
        </is>
      </c>
      <c r="H655" t="inlineStr">
        <is>
          <t>The Tennis Centre</t>
        </is>
      </c>
      <c r="I655" t="inlineStr">
        <is>
          <t>unavailable</t>
        </is>
      </c>
      <c r="J655" s="4" t="n">
        <v>93</v>
      </c>
      <c r="K655" t="inlineStr">
        <is>
          <t>42 / 51</t>
        </is>
      </c>
      <c r="L655" t="inlineStr">
        <is>
          <t>7 / 6</t>
        </is>
      </c>
      <c r="M655" s="5" t="n">
        <v>0.45</v>
      </c>
      <c r="N655" s="5" t="n">
        <v>0.54</v>
      </c>
    </row>
    <row r="656">
      <c r="A656" t="n">
        <v>655</v>
      </c>
      <c r="B656" t="n">
        <v>2015</v>
      </c>
      <c r="C656" t="inlineStr">
        <is>
          <t>GAURI BHARDWAJ</t>
        </is>
      </c>
      <c r="D656">
        <f>HYPERLINK("https://ota.tournamentsoftware.com/player-profile/7D0915D9-E26B-4DD0-AA8A-90DD2833C0F8", "Link")</f>
        <v/>
      </c>
      <c r="E656" s="3" t="n">
        <v>32.49</v>
      </c>
      <c r="F656" s="4" t="n">
        <v>5</v>
      </c>
      <c r="G656" t="inlineStr">
        <is>
          <t>Ontario Tennis Association</t>
        </is>
      </c>
      <c r="H656" t="inlineStr">
        <is>
          <t>Premier Racquet Clubs – Mississauga</t>
        </is>
      </c>
      <c r="I656" t="n">
        <v>37.6</v>
      </c>
      <c r="J656" s="4" t="n">
        <v>105</v>
      </c>
      <c r="K656" t="inlineStr">
        <is>
          <t>38 / 67</t>
        </is>
      </c>
      <c r="L656" t="inlineStr">
        <is>
          <t>3 / 3</t>
        </is>
      </c>
      <c r="M656" s="5" t="n">
        <v>0.36</v>
      </c>
      <c r="N656" s="5" t="n">
        <v>0.5</v>
      </c>
    </row>
    <row r="657">
      <c r="A657" t="n">
        <v>656</v>
      </c>
      <c r="B657" t="n">
        <v>2017</v>
      </c>
      <c r="C657" t="inlineStr">
        <is>
          <t>Anastasia Savtchenko</t>
        </is>
      </c>
      <c r="D657">
        <f>HYPERLINK("https://ota.tournamentsoftware.com/player-profile/FF881545-63C4-4D7F-B9E4-0A8D65FB9607", "Link")</f>
        <v/>
      </c>
      <c r="E657" s="3" t="n">
        <v>32.4</v>
      </c>
      <c r="F657" s="4" t="n">
        <v>7</v>
      </c>
      <c r="G657" t="inlineStr">
        <is>
          <t>Ontario Tennis Association</t>
        </is>
      </c>
      <c r="H657" t="inlineStr">
        <is>
          <t>Richmond Hill Country Club</t>
        </is>
      </c>
      <c r="I657" t="inlineStr">
        <is>
          <t>unavailable</t>
        </is>
      </c>
      <c r="J657" s="4" t="n">
        <v>95</v>
      </c>
      <c r="K657" t="inlineStr">
        <is>
          <t>53 / 42</t>
        </is>
      </c>
      <c r="L657" t="inlineStr">
        <is>
          <t>17 / 13</t>
        </is>
      </c>
      <c r="M657" s="5" t="n">
        <v>0.5600000000000001</v>
      </c>
      <c r="N657" s="5" t="n">
        <v>0.57</v>
      </c>
    </row>
    <row r="658">
      <c r="A658" t="n">
        <v>656</v>
      </c>
      <c r="B658" t="n">
        <v>2015</v>
      </c>
      <c r="C658" t="inlineStr">
        <is>
          <t>Meera Ramanathan</t>
        </is>
      </c>
      <c r="D658">
        <f>HYPERLINK("https://ota.tournamentsoftware.com/player-profile/4BFD1C94-F572-47D9-8892-3117B37D58A1", "Link")</f>
        <v/>
      </c>
      <c r="E658" s="3" t="n">
        <v>32.4</v>
      </c>
      <c r="F658" s="4" t="n">
        <v>3</v>
      </c>
      <c r="G658" t="inlineStr">
        <is>
          <t>Ontario Tennis Association</t>
        </is>
      </c>
      <c r="H658" t="inlineStr">
        <is>
          <t>Rideau Sports Centre</t>
        </is>
      </c>
      <c r="I658" t="n">
        <v>37.8</v>
      </c>
      <c r="J658" s="4" t="n">
        <v>13</v>
      </c>
      <c r="K658" t="inlineStr">
        <is>
          <t>7 / 6</t>
        </is>
      </c>
      <c r="L658" t="inlineStr">
        <is>
          <t>5 / 6</t>
        </is>
      </c>
      <c r="M658" s="5" t="n">
        <v>0.54</v>
      </c>
      <c r="N658" s="5" t="n">
        <v>0.45</v>
      </c>
    </row>
    <row r="659">
      <c r="A659" t="n">
        <v>658</v>
      </c>
      <c r="B659" t="n">
        <v>2014</v>
      </c>
      <c r="C659" t="inlineStr">
        <is>
          <t>Ignatia Walsh</t>
        </is>
      </c>
      <c r="D659">
        <f>HYPERLINK("https://ota.tournamentsoftware.com/player-profile/AEC8F080-693E-4608-867A-22E590A9E567", "Link")</f>
        <v/>
      </c>
      <c r="E659" s="3" t="n">
        <v>32.307</v>
      </c>
      <c r="F659" s="4" t="n">
        <v>15</v>
      </c>
      <c r="G659" t="inlineStr">
        <is>
          <t>Ontario Tennis Association</t>
        </is>
      </c>
      <c r="H659" t="inlineStr">
        <is>
          <t>Premier Racquet Clubs – Mississauga</t>
        </is>
      </c>
      <c r="I659" t="inlineStr">
        <is>
          <t>unavailable</t>
        </is>
      </c>
      <c r="J659" s="4" t="n">
        <v>56</v>
      </c>
      <c r="K659" t="inlineStr">
        <is>
          <t>14 / 42</t>
        </is>
      </c>
      <c r="L659" t="inlineStr">
        <is>
          <t>7 / 18</t>
        </is>
      </c>
      <c r="M659" s="5" t="n">
        <v>0.25</v>
      </c>
      <c r="N659" s="5" t="n">
        <v>0.28</v>
      </c>
    </row>
    <row r="660">
      <c r="A660" t="n">
        <v>659</v>
      </c>
      <c r="B660" t="n">
        <v>2015</v>
      </c>
      <c r="C660" t="inlineStr">
        <is>
          <t>Piper Harrison</t>
        </is>
      </c>
      <c r="D660">
        <f>HYPERLINK("https://ota.tournamentsoftware.com/player-profile/8FD01254-4DB3-4BFF-A784-65DB87717C42", "Link")</f>
        <v/>
      </c>
      <c r="E660" s="3" t="n">
        <v>31.992</v>
      </c>
      <c r="F660" s="4" t="n">
        <v>7</v>
      </c>
      <c r="G660" t="inlineStr">
        <is>
          <t>Ontario Tennis Association</t>
        </is>
      </c>
      <c r="H660" t="inlineStr">
        <is>
          <t>Boulevard Club</t>
        </is>
      </c>
      <c r="I660" t="n">
        <v>38.6</v>
      </c>
      <c r="J660" s="4" t="n">
        <v>56</v>
      </c>
      <c r="K660" t="inlineStr">
        <is>
          <t>18 / 38</t>
        </is>
      </c>
      <c r="L660" t="inlineStr">
        <is>
          <t>6 / 10</t>
        </is>
      </c>
      <c r="M660" s="5" t="n">
        <v>0.32</v>
      </c>
      <c r="N660" s="5" t="n">
        <v>0.38</v>
      </c>
    </row>
    <row r="661">
      <c r="A661" t="n">
        <v>660</v>
      </c>
      <c r="B661" t="n">
        <v>2014</v>
      </c>
      <c r="C661" t="inlineStr">
        <is>
          <t>Adrianna Rajchel</t>
        </is>
      </c>
      <c r="D661">
        <f>HYPERLINK("https://ota.tournamentsoftware.com/player-profile/CF345FA9-9F2F-4BDB-8B66-131A15D8B231", "Link")</f>
        <v/>
      </c>
      <c r="E661" s="3" t="n">
        <v>31.982</v>
      </c>
      <c r="F661" s="4" t="n">
        <v>4</v>
      </c>
      <c r="G661" t="inlineStr">
        <is>
          <t>Ontario Tennis Association</t>
        </is>
      </c>
      <c r="H661" t="inlineStr">
        <is>
          <t>Carleton Tennis Centre</t>
        </is>
      </c>
      <c r="I661" t="n">
        <v>37.9</v>
      </c>
      <c r="J661" s="4" t="n">
        <v>16</v>
      </c>
      <c r="K661" t="inlineStr">
        <is>
          <t>4 / 12</t>
        </is>
      </c>
      <c r="L661" t="inlineStr">
        <is>
          <t>1 / 4</t>
        </is>
      </c>
      <c r="M661" s="5" t="n">
        <v>0.25</v>
      </c>
      <c r="N661" s="5" t="n">
        <v>0.2</v>
      </c>
    </row>
    <row r="662">
      <c r="A662" t="n">
        <v>661</v>
      </c>
      <c r="B662" t="n">
        <v>2012</v>
      </c>
      <c r="C662" t="inlineStr">
        <is>
          <t>Rosalie Lanthier</t>
        </is>
      </c>
      <c r="D662">
        <f>HYPERLINK("https://ota.tournamentsoftware.com/player-profile/7853B67E-AF4D-4FFF-9839-6455ACC0C941", "Link")</f>
        <v/>
      </c>
      <c r="E662" s="3" t="n">
        <v>31.759</v>
      </c>
      <c r="F662" s="4" t="n">
        <v>5</v>
      </c>
      <c r="G662" t="inlineStr">
        <is>
          <t>Tennis Québec</t>
        </is>
      </c>
      <c r="H662" t="inlineStr">
        <is>
          <t>EB Tennis inc.</t>
        </is>
      </c>
      <c r="I662" t="n">
        <v>40</v>
      </c>
      <c r="J662" s="4" t="n">
        <v>15</v>
      </c>
      <c r="K662" t="inlineStr">
        <is>
          <t>1 / 14</t>
        </is>
      </c>
      <c r="L662" t="inlineStr">
        <is>
          <t>0 / 4</t>
        </is>
      </c>
      <c r="M662" s="5" t="n">
        <v>0.07000000000000001</v>
      </c>
      <c r="N662" s="5" t="n">
        <v>0</v>
      </c>
    </row>
    <row r="663">
      <c r="A663" t="n">
        <v>662</v>
      </c>
      <c r="B663" t="n">
        <v>2012</v>
      </c>
      <c r="C663" t="inlineStr">
        <is>
          <t>Belen Aldana</t>
        </is>
      </c>
      <c r="D663">
        <f>HYPERLINK("https://ota.tournamentsoftware.com/player-profile/403664F3-E594-4FFF-BEC0-1AF63F2F73E4", "Link")</f>
        <v/>
      </c>
      <c r="E663" s="3" t="n">
        <v>31.724</v>
      </c>
      <c r="F663" s="4" t="n">
        <v>6</v>
      </c>
      <c r="G663" t="inlineStr">
        <is>
          <t>Tennis Québec</t>
        </is>
      </c>
      <c r="H663" t="inlineStr">
        <is>
          <t>SANI Sport</t>
        </is>
      </c>
      <c r="I663" t="n">
        <v>37.9</v>
      </c>
      <c r="J663" s="4" t="n">
        <v>11</v>
      </c>
      <c r="K663" t="inlineStr">
        <is>
          <t>1 / 10</t>
        </is>
      </c>
      <c r="L663" t="inlineStr">
        <is>
          <t>1 / 10</t>
        </is>
      </c>
      <c r="M663" s="5" t="n">
        <v>0.09</v>
      </c>
      <c r="N663" s="5" t="n">
        <v>0.09</v>
      </c>
    </row>
    <row r="664">
      <c r="A664" t="n">
        <v>663</v>
      </c>
      <c r="B664" t="n">
        <v>2012</v>
      </c>
      <c r="C664" t="inlineStr">
        <is>
          <t>Elise Landry</t>
        </is>
      </c>
      <c r="D664">
        <f>HYPERLINK("https://ota.tournamentsoftware.com/player-profile/E61A7837-F4EB-4DDA-B26F-2D7CE7910B80", "Link")</f>
        <v/>
      </c>
      <c r="E664" s="3" t="n">
        <v>31.456</v>
      </c>
      <c r="F664" s="4" t="n">
        <v>3</v>
      </c>
      <c r="G664" t="inlineStr">
        <is>
          <t>Ontario Tennis Association</t>
        </is>
      </c>
      <c r="H664" t="inlineStr">
        <is>
          <t>Toronto Tennis City</t>
        </is>
      </c>
      <c r="I664" t="inlineStr">
        <is>
          <t>unavailable</t>
        </is>
      </c>
      <c r="J664" s="4" t="n">
        <v>9</v>
      </c>
      <c r="K664" t="inlineStr">
        <is>
          <t>5 / 4</t>
        </is>
      </c>
      <c r="L664" t="inlineStr">
        <is>
          <t>5 / 4</t>
        </is>
      </c>
      <c r="M664" s="5" t="n">
        <v>0.5600000000000001</v>
      </c>
      <c r="N664" s="5" t="n">
        <v>0.5600000000000001</v>
      </c>
    </row>
    <row r="665">
      <c r="A665" t="n">
        <v>664</v>
      </c>
      <c r="B665" t="n">
        <v>2016</v>
      </c>
      <c r="C665" t="inlineStr">
        <is>
          <t>Delia Stoian</t>
        </is>
      </c>
      <c r="D665">
        <f>HYPERLINK("https://ota.tournamentsoftware.com/player-profile/97BF71BC-EF3B-40A8-B2A8-4211E6570024", "Link")</f>
        <v/>
      </c>
      <c r="E665" s="3" t="n">
        <v>31.282</v>
      </c>
      <c r="F665" s="4" t="n">
        <v>5</v>
      </c>
      <c r="G665" t="inlineStr">
        <is>
          <t>Tennis Québec</t>
        </is>
      </c>
      <c r="H665" t="inlineStr">
        <is>
          <t>SANI Sport</t>
        </is>
      </c>
      <c r="I665" t="n">
        <v>36.5</v>
      </c>
      <c r="J665" s="4" t="n">
        <v>93</v>
      </c>
      <c r="K665" t="inlineStr">
        <is>
          <t>53 / 40</t>
        </is>
      </c>
      <c r="L665" t="inlineStr">
        <is>
          <t>25 / 19</t>
        </is>
      </c>
      <c r="M665" s="5" t="n">
        <v>0.57</v>
      </c>
      <c r="N665" s="5" t="n">
        <v>0.57</v>
      </c>
    </row>
    <row r="666">
      <c r="A666" t="n">
        <v>665</v>
      </c>
      <c r="B666" t="n">
        <v>2016</v>
      </c>
      <c r="C666" t="inlineStr">
        <is>
          <t>Talia Petrovski</t>
        </is>
      </c>
      <c r="D666">
        <f>HYPERLINK("https://ota.tournamentsoftware.com/player-profile/85787F1F-708B-4576-AEFA-F82C6105B16E", "Link")</f>
        <v/>
      </c>
      <c r="E666" s="3" t="n">
        <v>31.234</v>
      </c>
      <c r="F666" s="4" t="n">
        <v>20</v>
      </c>
      <c r="G666" t="inlineStr">
        <is>
          <t>Tennis Alberta</t>
        </is>
      </c>
      <c r="H666" t="inlineStr">
        <is>
          <t>IQ Tennis and Pickleball Centre</t>
        </is>
      </c>
      <c r="I666" t="n">
        <v>35.4</v>
      </c>
      <c r="J666" s="4" t="n">
        <v>148</v>
      </c>
      <c r="K666" t="inlineStr">
        <is>
          <t>84 / 64</t>
        </is>
      </c>
      <c r="L666" t="inlineStr">
        <is>
          <t>54 / 26</t>
        </is>
      </c>
      <c r="M666" s="5" t="n">
        <v>0.57</v>
      </c>
      <c r="N666" s="5" t="n">
        <v>0.68</v>
      </c>
    </row>
    <row r="667">
      <c r="A667" t="n">
        <v>666</v>
      </c>
      <c r="B667" t="n">
        <v>2012</v>
      </c>
      <c r="C667" t="inlineStr">
        <is>
          <t>Capri Metelitsa</t>
        </is>
      </c>
      <c r="D667">
        <f>HYPERLINK("https://ota.tournamentsoftware.com/player-profile/AD54A68E-D415-4925-B832-8287172FB727", "Link")</f>
        <v/>
      </c>
      <c r="E667" s="3" t="n">
        <v>31.075</v>
      </c>
      <c r="F667" s="4" t="n">
        <v>8</v>
      </c>
      <c r="G667" t="inlineStr">
        <is>
          <t>Tennis Alberta</t>
        </is>
      </c>
      <c r="H667" t="inlineStr">
        <is>
          <t>Aforza</t>
        </is>
      </c>
      <c r="I667" t="n">
        <v>36.4</v>
      </c>
      <c r="J667" s="4" t="n">
        <v>50</v>
      </c>
      <c r="K667" t="inlineStr">
        <is>
          <t>23 / 27</t>
        </is>
      </c>
      <c r="L667" t="inlineStr">
        <is>
          <t>2 / 8</t>
        </is>
      </c>
      <c r="M667" s="5" t="n">
        <v>0.46</v>
      </c>
      <c r="N667" s="5" t="n">
        <v>0.2</v>
      </c>
    </row>
    <row r="668">
      <c r="A668" t="n">
        <v>667</v>
      </c>
      <c r="B668" t="n">
        <v>2015</v>
      </c>
      <c r="C668" t="inlineStr">
        <is>
          <t>Daisy Dai</t>
        </is>
      </c>
      <c r="D668">
        <f>HYPERLINK("https://ota.tournamentsoftware.com/player-profile/C64DEFB9-4BBC-4AA1-8CC8-9020440935AB", "Link")</f>
        <v/>
      </c>
      <c r="E668" s="3" t="n">
        <v>30.448</v>
      </c>
      <c r="F668" s="4" t="n">
        <v>2</v>
      </c>
      <c r="G668" t="inlineStr">
        <is>
          <t>Tennis Nova Scotia</t>
        </is>
      </c>
      <c r="H668" t="inlineStr">
        <is>
          <t>Atlantic Tennis Centre</t>
        </is>
      </c>
      <c r="I668" t="n">
        <v>33.2</v>
      </c>
      <c r="J668" s="4" t="n">
        <v>23</v>
      </c>
      <c r="K668" t="inlineStr">
        <is>
          <t>16 / 7</t>
        </is>
      </c>
      <c r="L668" t="inlineStr">
        <is>
          <t>4 / 2</t>
        </is>
      </c>
      <c r="M668" s="5" t="n">
        <v>0.7</v>
      </c>
      <c r="N668" s="5" t="n">
        <v>0.67</v>
      </c>
    </row>
    <row r="669">
      <c r="A669" t="n">
        <v>668</v>
      </c>
      <c r="B669" t="n">
        <v>2016</v>
      </c>
      <c r="C669" t="inlineStr">
        <is>
          <t>Eiman Javaid Khan</t>
        </is>
      </c>
      <c r="D669">
        <f>HYPERLINK("https://ota.tournamentsoftware.com/player-profile/417EBA88-24AB-42AB-9421-1764C4FCA777", "Link")</f>
        <v/>
      </c>
      <c r="E669" s="3" t="n">
        <v>30.32</v>
      </c>
      <c r="F669" s="4" t="n">
        <v>3</v>
      </c>
      <c r="G669" t="inlineStr">
        <is>
          <t>Tennis Newfoundland &amp; Labrador</t>
        </is>
      </c>
      <c r="H669" t="inlineStr">
        <is>
          <t>Greenbelt Tennis Club</t>
        </is>
      </c>
      <c r="I669" t="inlineStr">
        <is>
          <t>unavailable</t>
        </is>
      </c>
      <c r="J669" s="4" t="n">
        <v>19</v>
      </c>
      <c r="K669" t="inlineStr">
        <is>
          <t>7 / 12</t>
        </is>
      </c>
      <c r="L669" t="inlineStr">
        <is>
          <t>6 / 8</t>
        </is>
      </c>
      <c r="M669" s="5" t="n">
        <v>0.37</v>
      </c>
      <c r="N669" s="5" t="n">
        <v>0.43</v>
      </c>
    </row>
    <row r="670">
      <c r="A670" t="n">
        <v>669</v>
      </c>
      <c r="B670" t="n">
        <v>2014</v>
      </c>
      <c r="C670" t="inlineStr">
        <is>
          <t>Bo Brisson</t>
        </is>
      </c>
      <c r="D670">
        <f>HYPERLINK("https://ota.tournamentsoftware.com/player-profile/836F9923-C4A5-42E1-8BF0-0788DAB02146", "Link")</f>
        <v/>
      </c>
      <c r="E670" s="3" t="n">
        <v>30.304</v>
      </c>
      <c r="F670" s="4" t="n">
        <v>3</v>
      </c>
      <c r="G670" t="inlineStr">
        <is>
          <t>Ontario Tennis Association</t>
        </is>
      </c>
      <c r="H670" t="inlineStr">
        <is>
          <t>GSM Tennis Club</t>
        </is>
      </c>
      <c r="I670" t="inlineStr">
        <is>
          <t>unavailable</t>
        </is>
      </c>
      <c r="J670" s="4" t="n">
        <v>117</v>
      </c>
      <c r="K670" t="inlineStr">
        <is>
          <t>38 / 79</t>
        </is>
      </c>
      <c r="L670" t="inlineStr">
        <is>
          <t>4 / 3</t>
        </is>
      </c>
      <c r="M670" s="5" t="n">
        <v>0.32</v>
      </c>
      <c r="N670" s="5" t="n">
        <v>0.57</v>
      </c>
    </row>
    <row r="671">
      <c r="A671" t="n">
        <v>670</v>
      </c>
      <c r="B671" t="n">
        <v>2015</v>
      </c>
      <c r="C671" t="inlineStr">
        <is>
          <t>Hannah Lewis</t>
        </is>
      </c>
      <c r="D671">
        <f>HYPERLINK("https://ota.tournamentsoftware.com/player-profile/B25290C5-DB82-4ED0-843D-33516AFF301F", "Link")</f>
        <v/>
      </c>
      <c r="E671" s="3" t="n">
        <v>30.058</v>
      </c>
      <c r="F671" s="4" t="n">
        <v>6</v>
      </c>
      <c r="G671" t="inlineStr">
        <is>
          <t>Ontario Tennis Association</t>
        </is>
      </c>
      <c r="H671" t="inlineStr">
        <is>
          <t>Tam Heather Tennis Club</t>
        </is>
      </c>
      <c r="I671" t="n">
        <v>38.7</v>
      </c>
      <c r="J671" s="4" t="n">
        <v>46</v>
      </c>
      <c r="K671" t="inlineStr">
        <is>
          <t>13 / 33</t>
        </is>
      </c>
      <c r="L671" t="inlineStr">
        <is>
          <t>12 / 16</t>
        </is>
      </c>
      <c r="M671" s="5" t="n">
        <v>0.28</v>
      </c>
      <c r="N671" s="5" t="n">
        <v>0.43</v>
      </c>
    </row>
    <row r="672">
      <c r="A672" t="n">
        <v>671</v>
      </c>
      <c r="B672" t="n">
        <v>2015</v>
      </c>
      <c r="C672" t="inlineStr">
        <is>
          <t>Diana Troitska</t>
        </is>
      </c>
      <c r="D672">
        <f>HYPERLINK("https://ota.tournamentsoftware.com/player-profile/6F22C01B-A1B6-4624-8606-C4D0FEB24026", "Link")</f>
        <v/>
      </c>
      <c r="E672" s="3" t="n">
        <v>29.666</v>
      </c>
      <c r="F672" s="4" t="n">
        <v>3</v>
      </c>
      <c r="G672" t="inlineStr">
        <is>
          <t>Tennis Québec</t>
        </is>
      </c>
      <c r="H672" t="inlineStr">
        <is>
          <t>No Club</t>
        </is>
      </c>
      <c r="I672" t="inlineStr">
        <is>
          <t>unavailable</t>
        </is>
      </c>
      <c r="J672" s="4" t="n">
        <v>16</v>
      </c>
      <c r="K672" t="inlineStr">
        <is>
          <t>3 / 13</t>
        </is>
      </c>
      <c r="L672" t="inlineStr">
        <is>
          <t>1 / 3</t>
        </is>
      </c>
      <c r="M672" s="5" t="n">
        <v>0.19</v>
      </c>
      <c r="N672" s="5" t="n">
        <v>0.25</v>
      </c>
    </row>
    <row r="673">
      <c r="A673" t="n">
        <v>672</v>
      </c>
      <c r="B673" t="n">
        <v>2012</v>
      </c>
      <c r="C673" t="inlineStr">
        <is>
          <t>Remy Quinn Durocher</t>
        </is>
      </c>
      <c r="D673">
        <f>HYPERLINK("https://ota.tournamentsoftware.com/player-profile/64BF8C80-3EDB-464A-896D-5D47CC387451", "Link")</f>
        <v/>
      </c>
      <c r="E673" s="3" t="n">
        <v>29.376</v>
      </c>
      <c r="F673" s="4" t="n">
        <v>1</v>
      </c>
      <c r="G673" t="inlineStr">
        <is>
          <t>Tennis Prince Edward Island</t>
        </is>
      </c>
      <c r="H673" t="inlineStr">
        <is>
          <t>Stratford Tennis Club</t>
        </is>
      </c>
      <c r="I673" t="n">
        <v>39.4</v>
      </c>
      <c r="J673" s="4" t="n">
        <v>13</v>
      </c>
      <c r="K673" t="inlineStr">
        <is>
          <t>2 / 11</t>
        </is>
      </c>
      <c r="L673" t="inlineStr">
        <is>
          <t>1 / 6</t>
        </is>
      </c>
      <c r="M673" s="5" t="n">
        <v>0.15</v>
      </c>
      <c r="N673" s="5" t="n">
        <v>0.14</v>
      </c>
    </row>
    <row r="674">
      <c r="A674" t="n">
        <v>673</v>
      </c>
      <c r="B674" t="n">
        <v>2014</v>
      </c>
      <c r="C674" t="inlineStr">
        <is>
          <t>Mila Levac</t>
        </is>
      </c>
      <c r="D674">
        <f>HYPERLINK("https://ota.tournamentsoftware.com/player-profile/7F793D8E-41D7-4B70-87B7-9D30B32ED35F", "Link")</f>
        <v/>
      </c>
      <c r="E674" s="3" t="n">
        <v>29.368</v>
      </c>
      <c r="F674" s="4" t="n">
        <v>4</v>
      </c>
      <c r="G674" t="inlineStr">
        <is>
          <t>Ontario Tennis Association</t>
        </is>
      </c>
      <c r="H674" t="inlineStr">
        <is>
          <t>Rideau Sports Centre</t>
        </is>
      </c>
      <c r="I674" t="n">
        <v>39.3</v>
      </c>
      <c r="J674" s="4" t="n">
        <v>79</v>
      </c>
      <c r="K674" t="inlineStr">
        <is>
          <t>15 / 64</t>
        </is>
      </c>
      <c r="L674" t="inlineStr">
        <is>
          <t>0 / 4</t>
        </is>
      </c>
      <c r="M674" s="5" t="n">
        <v>0.19</v>
      </c>
      <c r="N674" s="5" t="n">
        <v>0</v>
      </c>
    </row>
    <row r="675">
      <c r="A675" t="n">
        <v>674</v>
      </c>
      <c r="B675" t="n">
        <v>2015</v>
      </c>
      <c r="C675" t="inlineStr">
        <is>
          <t>Margot Couture</t>
        </is>
      </c>
      <c r="D675">
        <f>HYPERLINK("https://ota.tournamentsoftware.com/player-profile/7DE265DB-E3E6-4C4E-90BD-199DB99DCAEB", "Link")</f>
        <v/>
      </c>
      <c r="E675" s="3" t="n">
        <v>29.306</v>
      </c>
      <c r="F675" s="4" t="n">
        <v>6</v>
      </c>
      <c r="G675" t="inlineStr">
        <is>
          <t>Tennis Québec</t>
        </is>
      </c>
      <c r="H675" t="inlineStr">
        <is>
          <t>SANI Sport</t>
        </is>
      </c>
      <c r="I675" t="n">
        <v>37.5</v>
      </c>
      <c r="J675" s="4" t="n">
        <v>29</v>
      </c>
      <c r="K675" t="inlineStr">
        <is>
          <t>8 / 21</t>
        </is>
      </c>
      <c r="L675" t="inlineStr">
        <is>
          <t>3 / 6</t>
        </is>
      </c>
      <c r="M675" s="5" t="n">
        <v>0.28</v>
      </c>
      <c r="N675" s="5" t="n">
        <v>0.33</v>
      </c>
    </row>
    <row r="676">
      <c r="A676" t="n">
        <v>675</v>
      </c>
      <c r="B676" t="n">
        <v>2015</v>
      </c>
      <c r="C676" t="inlineStr">
        <is>
          <t>Margaux Eile</t>
        </is>
      </c>
      <c r="D676">
        <f>HYPERLINK("https://ota.tournamentsoftware.com/player-profile/9023DCCB-FDAB-4759-A4C9-E99C2FD3C6AD", "Link")</f>
        <v/>
      </c>
      <c r="E676" s="3" t="n">
        <v>28.841</v>
      </c>
      <c r="F676" s="4" t="n">
        <v>7</v>
      </c>
      <c r="G676" t="inlineStr">
        <is>
          <t>Tennis Québec</t>
        </is>
      </c>
      <c r="H676" t="inlineStr">
        <is>
          <t>Midtown Le Sporting Club Sanctuaire</t>
        </is>
      </c>
      <c r="I676" t="n">
        <v>39.4</v>
      </c>
      <c r="J676" s="4" t="n">
        <v>28</v>
      </c>
      <c r="K676" t="inlineStr">
        <is>
          <t>3 / 25</t>
        </is>
      </c>
      <c r="L676" t="inlineStr">
        <is>
          <t>1 / 8</t>
        </is>
      </c>
      <c r="M676" s="5" t="n">
        <v>0.11</v>
      </c>
      <c r="N676" s="5" t="n">
        <v>0.11</v>
      </c>
    </row>
    <row r="677">
      <c r="A677" t="n">
        <v>676</v>
      </c>
      <c r="B677" t="n">
        <v>2015</v>
      </c>
      <c r="C677" t="inlineStr">
        <is>
          <t>Asena Kiamil</t>
        </is>
      </c>
      <c r="D677">
        <f>HYPERLINK("https://ota.tournamentsoftware.com/player-profile/E9A72281-6B76-4B36-9040-E802436447FA", "Link")</f>
        <v/>
      </c>
      <c r="E677" s="3" t="n">
        <v>28.824</v>
      </c>
      <c r="F677" s="4" t="n">
        <v>6</v>
      </c>
      <c r="G677" t="inlineStr">
        <is>
          <t>Ontario Tennis Association</t>
        </is>
      </c>
      <c r="H677" t="inlineStr">
        <is>
          <t>Royal City Tennis Club</t>
        </is>
      </c>
      <c r="I677" t="n">
        <v>37.8</v>
      </c>
      <c r="J677" s="4" t="n">
        <v>86</v>
      </c>
      <c r="K677" t="inlineStr">
        <is>
          <t>46 / 40</t>
        </is>
      </c>
      <c r="L677" t="inlineStr">
        <is>
          <t>4 / 6</t>
        </is>
      </c>
      <c r="M677" s="5" t="n">
        <v>0.53</v>
      </c>
      <c r="N677" s="5" t="n">
        <v>0.4</v>
      </c>
    </row>
    <row r="678">
      <c r="A678" t="n">
        <v>677</v>
      </c>
      <c r="B678" t="n">
        <v>2013</v>
      </c>
      <c r="C678" t="inlineStr">
        <is>
          <t>Nitya Myneni</t>
        </is>
      </c>
      <c r="D678">
        <f>HYPERLINK("https://ota.tournamentsoftware.com/player-profile/482EDD14-11AD-4221-B031-4CDB8348AC62", "Link")</f>
        <v/>
      </c>
      <c r="E678" s="3" t="n">
        <v>28.564</v>
      </c>
      <c r="F678" s="4" t="n">
        <v>4</v>
      </c>
      <c r="G678" t="inlineStr">
        <is>
          <t>British Columbia</t>
        </is>
      </c>
      <c r="H678" t="inlineStr">
        <is>
          <t>The Tennis Centre</t>
        </is>
      </c>
      <c r="I678" t="n">
        <v>39.7</v>
      </c>
      <c r="J678" s="4" t="n">
        <v>30</v>
      </c>
      <c r="K678" t="inlineStr">
        <is>
          <t>8 / 22</t>
        </is>
      </c>
      <c r="L678" t="inlineStr">
        <is>
          <t>0 / 8</t>
        </is>
      </c>
      <c r="M678" s="5" t="n">
        <v>0.27</v>
      </c>
      <c r="N678" s="5" t="n">
        <v>0</v>
      </c>
    </row>
    <row r="679">
      <c r="A679" t="n">
        <v>678</v>
      </c>
      <c r="B679" t="n">
        <v>2013</v>
      </c>
      <c r="C679" t="inlineStr">
        <is>
          <t>TIFFANY ZHENG</t>
        </is>
      </c>
      <c r="D679">
        <f>HYPERLINK("https://ota.tournamentsoftware.com/player-profile/59B34621-D499-450A-BDB3-B38C363BEAD1", "Link")</f>
        <v/>
      </c>
      <c r="E679" s="3" t="n">
        <v>28.481</v>
      </c>
      <c r="F679" s="4" t="n">
        <v>1</v>
      </c>
      <c r="G679" t="inlineStr">
        <is>
          <t>Ontario Tennis Association</t>
        </is>
      </c>
      <c r="H679" t="inlineStr">
        <is>
          <t>Carleton Tennis Centre</t>
        </is>
      </c>
      <c r="I679" t="n">
        <v>34</v>
      </c>
      <c r="J679" s="4" t="n">
        <v>1</v>
      </c>
      <c r="K679" t="inlineStr">
        <is>
          <t>1 / 0</t>
        </is>
      </c>
      <c r="L679" t="inlineStr">
        <is>
          <t>1 / 0</t>
        </is>
      </c>
      <c r="M679" s="5" t="n">
        <v>1</v>
      </c>
      <c r="N679" s="5" t="n">
        <v>1</v>
      </c>
    </row>
    <row r="680">
      <c r="A680" t="n">
        <v>679</v>
      </c>
      <c r="B680" t="n">
        <v>2013</v>
      </c>
      <c r="C680" t="inlineStr">
        <is>
          <t>Meryem Besri Besri</t>
        </is>
      </c>
      <c r="D680">
        <f>HYPERLINK("https://ota.tournamentsoftware.com/player-profile/24E638E5-93ED-46F3-95E6-F944EA4EAAE7", "Link")</f>
        <v/>
      </c>
      <c r="E680" s="3" t="n">
        <v>28.425</v>
      </c>
      <c r="F680" s="4" t="n">
        <v>3</v>
      </c>
      <c r="G680" t="inlineStr">
        <is>
          <t>Tennis Alberta</t>
        </is>
      </c>
      <c r="H680" t="inlineStr">
        <is>
          <t>Calgary - Public</t>
        </is>
      </c>
      <c r="I680" t="n">
        <v>31.9</v>
      </c>
      <c r="J680" s="4" t="n">
        <v>6</v>
      </c>
      <c r="K680" t="inlineStr">
        <is>
          <t>3 / 3</t>
        </is>
      </c>
      <c r="L680" t="inlineStr">
        <is>
          <t>3 / 3</t>
        </is>
      </c>
      <c r="M680" s="5" t="n">
        <v>0.5</v>
      </c>
      <c r="N680" s="5" t="n">
        <v>0.5</v>
      </c>
    </row>
    <row r="681">
      <c r="A681" t="n">
        <v>680</v>
      </c>
      <c r="B681" t="n">
        <v>2016</v>
      </c>
      <c r="C681" t="inlineStr">
        <is>
          <t>Flora Ziyue Wang</t>
        </is>
      </c>
      <c r="D681">
        <f>HYPERLINK("https://ota.tournamentsoftware.com/player-profile/65435931-BBD0-46BD-839E-4188787640BE", "Link")</f>
        <v/>
      </c>
      <c r="E681" s="3" t="n">
        <v>28.368</v>
      </c>
      <c r="F681" s="4" t="n">
        <v>7</v>
      </c>
      <c r="G681" t="inlineStr">
        <is>
          <t>Ontario Tennis Association</t>
        </is>
      </c>
      <c r="H681" t="inlineStr">
        <is>
          <t>Unionville Tennis Club</t>
        </is>
      </c>
      <c r="I681" t="n">
        <v>35.4</v>
      </c>
      <c r="J681" s="4" t="n">
        <v>82</v>
      </c>
      <c r="K681" t="inlineStr">
        <is>
          <t>42 / 40</t>
        </is>
      </c>
      <c r="L681" t="inlineStr">
        <is>
          <t>15 / 9</t>
        </is>
      </c>
      <c r="M681" s="5" t="n">
        <v>0.51</v>
      </c>
      <c r="N681" s="5" t="n">
        <v>0.62</v>
      </c>
    </row>
    <row r="682">
      <c r="A682" t="n">
        <v>681</v>
      </c>
      <c r="B682" t="n">
        <v>2014</v>
      </c>
      <c r="C682" t="inlineStr">
        <is>
          <t>Vira Beskupska</t>
        </is>
      </c>
      <c r="D682">
        <f>HYPERLINK("https://ota.tournamentsoftware.com/player-profile/116FA89C-68A6-4FE9-ADC6-34260809351C", "Link")</f>
        <v/>
      </c>
      <c r="E682" s="3" t="n">
        <v>28.08</v>
      </c>
      <c r="F682" s="4" t="n">
        <v>3</v>
      </c>
      <c r="G682" t="inlineStr">
        <is>
          <t>Ontario Tennis Association</t>
        </is>
      </c>
      <c r="H682" t="inlineStr">
        <is>
          <t>Tennis Centre West Ottawa</t>
        </is>
      </c>
      <c r="I682" t="n">
        <v>38.4</v>
      </c>
      <c r="J682" s="4" t="n">
        <v>7</v>
      </c>
      <c r="K682" t="inlineStr">
        <is>
          <t>2 / 5</t>
        </is>
      </c>
      <c r="L682" t="inlineStr">
        <is>
          <t>2 / 5</t>
        </is>
      </c>
      <c r="M682" s="5" t="n">
        <v>0.29</v>
      </c>
      <c r="N682" s="5" t="n">
        <v>0.29</v>
      </c>
    </row>
    <row r="683">
      <c r="A683" t="n">
        <v>682</v>
      </c>
      <c r="B683" t="n">
        <v>2013</v>
      </c>
      <c r="C683" t="inlineStr">
        <is>
          <t>Phoebe Xu</t>
        </is>
      </c>
      <c r="D683">
        <f>HYPERLINK("https://ota.tournamentsoftware.com/player-profile/278C7B40-F6F9-4402-A8BF-F8069FAF9612", "Link")</f>
        <v/>
      </c>
      <c r="E683" s="3" t="n">
        <v>27.864</v>
      </c>
      <c r="F683" s="4" t="n">
        <v>1</v>
      </c>
      <c r="G683" t="inlineStr">
        <is>
          <t>Ontario Tennis Association</t>
        </is>
      </c>
      <c r="H683" t="inlineStr">
        <is>
          <t>Sandy Beach Tennis Club</t>
        </is>
      </c>
      <c r="I683" t="n">
        <v>31.9</v>
      </c>
      <c r="J683" s="4" t="n">
        <v>89</v>
      </c>
      <c r="K683" t="inlineStr">
        <is>
          <t>50 / 39</t>
        </is>
      </c>
      <c r="L683" t="inlineStr">
        <is>
          <t>1 / 1</t>
        </is>
      </c>
      <c r="M683" s="5" t="n">
        <v>0.5600000000000001</v>
      </c>
      <c r="N683" s="5" t="n">
        <v>0.5</v>
      </c>
    </row>
    <row r="684">
      <c r="A684" t="n">
        <v>682</v>
      </c>
      <c r="B684" t="n">
        <v>2015</v>
      </c>
      <c r="C684" t="inlineStr">
        <is>
          <t>Hattie Mengru Shi</t>
        </is>
      </c>
      <c r="D684">
        <f>HYPERLINK("https://ota.tournamentsoftware.com/player-profile/722E1AFC-349E-4E4B-8E5F-C3DF2E8CEECB", "Link")</f>
        <v/>
      </c>
      <c r="E684" s="3" t="n">
        <v>27.864</v>
      </c>
      <c r="F684" s="4" t="n">
        <v>3</v>
      </c>
      <c r="G684" t="inlineStr">
        <is>
          <t>Ontario Tennis Association</t>
        </is>
      </c>
      <c r="H684" t="inlineStr">
        <is>
          <t>Toronto Tennis Academy</t>
        </is>
      </c>
      <c r="I684" t="n">
        <v>34.7</v>
      </c>
      <c r="J684" s="4" t="n">
        <v>105</v>
      </c>
      <c r="K684" t="inlineStr">
        <is>
          <t>55 / 50</t>
        </is>
      </c>
      <c r="L684" t="inlineStr">
        <is>
          <t>1 / 4</t>
        </is>
      </c>
      <c r="M684" s="5" t="n">
        <v>0.52</v>
      </c>
      <c r="N684" s="5" t="n">
        <v>0.2</v>
      </c>
    </row>
    <row r="685">
      <c r="A685" t="n">
        <v>684</v>
      </c>
      <c r="B685" t="n">
        <v>2016</v>
      </c>
      <c r="C685" t="inlineStr">
        <is>
          <t>Madison Prsa</t>
        </is>
      </c>
      <c r="D685">
        <f>HYPERLINK("https://ota.tournamentsoftware.com/player-profile/E90BB9E9-F58B-415B-8202-1B024EFB9E36", "Link")</f>
        <v/>
      </c>
      <c r="E685" s="3" t="n">
        <v>27.648</v>
      </c>
      <c r="F685" s="4" t="n">
        <v>7</v>
      </c>
      <c r="G685" t="inlineStr">
        <is>
          <t>Ontario Tennis Association</t>
        </is>
      </c>
      <c r="H685" t="inlineStr">
        <is>
          <t>Advantage Tennis International at Veneto</t>
        </is>
      </c>
      <c r="I685" t="n">
        <v>36.3</v>
      </c>
      <c r="J685" s="4" t="n">
        <v>146</v>
      </c>
      <c r="K685" t="inlineStr">
        <is>
          <t>56 / 90</t>
        </is>
      </c>
      <c r="L685" t="inlineStr">
        <is>
          <t>15 / 22</t>
        </is>
      </c>
      <c r="M685" s="5" t="n">
        <v>0.38</v>
      </c>
      <c r="N685" s="5" t="n">
        <v>0.41</v>
      </c>
    </row>
    <row r="686">
      <c r="A686" t="n">
        <v>685</v>
      </c>
      <c r="B686" t="n">
        <v>2015</v>
      </c>
      <c r="C686" t="inlineStr">
        <is>
          <t>Iris RuiYing Cen</t>
        </is>
      </c>
      <c r="D686">
        <f>HYPERLINK("https://ota.tournamentsoftware.com/player-profile/D53FD847-C5AE-41A6-BFB8-EE8B251EDFBF", "Link")</f>
        <v/>
      </c>
      <c r="E686" s="3" t="n">
        <v>27.609</v>
      </c>
      <c r="F686" s="4" t="n">
        <v>6</v>
      </c>
      <c r="G686" t="inlineStr">
        <is>
          <t>Ontario Tennis Association</t>
        </is>
      </c>
      <c r="H686" t="inlineStr">
        <is>
          <t>Meadowvale West Tennis Club</t>
        </is>
      </c>
      <c r="I686" t="n">
        <v>38</v>
      </c>
      <c r="J686" s="4" t="n">
        <v>77</v>
      </c>
      <c r="K686" t="inlineStr">
        <is>
          <t>20 / 57</t>
        </is>
      </c>
      <c r="L686" t="inlineStr">
        <is>
          <t>2 / 4</t>
        </is>
      </c>
      <c r="M686" s="5" t="n">
        <v>0.26</v>
      </c>
      <c r="N686" s="5" t="n">
        <v>0.33</v>
      </c>
    </row>
    <row r="687">
      <c r="A687" t="n">
        <v>686</v>
      </c>
      <c r="B687" t="n">
        <v>2012</v>
      </c>
      <c r="C687" t="inlineStr">
        <is>
          <t>Tallulah Oakes</t>
        </is>
      </c>
      <c r="D687">
        <f>HYPERLINK("https://ota.tournamentsoftware.com/player-profile/B5372F0A-C15A-4DDD-A97C-9E3BACE4A05E", "Link")</f>
        <v/>
      </c>
      <c r="E687" s="3" t="n">
        <v>26.613</v>
      </c>
      <c r="F687" s="4" t="n">
        <v>2</v>
      </c>
      <c r="G687" t="inlineStr">
        <is>
          <t>British Columbia</t>
        </is>
      </c>
      <c r="H687" t="inlineStr">
        <is>
          <t>Hollyburn Country Club</t>
        </is>
      </c>
      <c r="I687" t="inlineStr">
        <is>
          <t>unavailable</t>
        </is>
      </c>
      <c r="J687" s="4" t="inlineStr"/>
      <c r="K687" t="inlineStr">
        <is>
          <t>unavailable</t>
        </is>
      </c>
      <c r="L687" t="inlineStr">
        <is>
          <t>unavailable</t>
        </is>
      </c>
      <c r="M687" s="5" t="inlineStr"/>
      <c r="N687" s="5" t="inlineStr"/>
    </row>
    <row r="688">
      <c r="A688" t="n">
        <v>687</v>
      </c>
      <c r="B688" t="n">
        <v>2012</v>
      </c>
      <c r="C688" t="inlineStr">
        <is>
          <t>Kira Karstoff</t>
        </is>
      </c>
      <c r="D688">
        <f>HYPERLINK("https://ota.tournamentsoftware.com/player-profile/1755679B-A50B-4F8F-B603-0578043F7638", "Link")</f>
        <v/>
      </c>
      <c r="E688" s="3" t="n">
        <v>26.611</v>
      </c>
      <c r="F688" s="4" t="n">
        <v>2</v>
      </c>
      <c r="G688" t="inlineStr">
        <is>
          <t>Ontario Tennis Association</t>
        </is>
      </c>
      <c r="H688" t="inlineStr">
        <is>
          <t>Toronto Cricket Skating &amp; Curling</t>
        </is>
      </c>
      <c r="I688" t="inlineStr">
        <is>
          <t>unavailable</t>
        </is>
      </c>
      <c r="J688" s="4" t="n">
        <v>48</v>
      </c>
      <c r="K688" t="inlineStr">
        <is>
          <t>21 / 27</t>
        </is>
      </c>
      <c r="L688" t="inlineStr">
        <is>
          <t>2 / 4</t>
        </is>
      </c>
      <c r="M688" s="5" t="n">
        <v>0.44</v>
      </c>
      <c r="N688" s="5" t="n">
        <v>0.33</v>
      </c>
    </row>
    <row r="689">
      <c r="A689" t="n">
        <v>688</v>
      </c>
      <c r="B689" t="n">
        <v>2013</v>
      </c>
      <c r="C689" t="inlineStr">
        <is>
          <t>Mayssa Maddouri</t>
        </is>
      </c>
      <c r="D689">
        <f>HYPERLINK("https://ota.tournamentsoftware.com/player-profile/911D4DB6-C985-4A43-8264-359A0386F2C5", "Link")</f>
        <v/>
      </c>
      <c r="E689" s="3" t="n">
        <v>26.568</v>
      </c>
      <c r="F689" s="4" t="n">
        <v>2</v>
      </c>
      <c r="G689" t="inlineStr">
        <is>
          <t>Tennis Québec</t>
        </is>
      </c>
      <c r="H689" t="inlineStr">
        <is>
          <t>EB Tennis inc.</t>
        </is>
      </c>
      <c r="I689" t="inlineStr">
        <is>
          <t>unavailable</t>
        </is>
      </c>
      <c r="J689" s="4" t="n">
        <v>3</v>
      </c>
      <c r="K689" t="inlineStr">
        <is>
          <t>0 / 3</t>
        </is>
      </c>
      <c r="L689" t="inlineStr">
        <is>
          <t>0 / 3</t>
        </is>
      </c>
      <c r="M689" s="5" t="n">
        <v>0</v>
      </c>
      <c r="N689" s="5" t="n">
        <v>0</v>
      </c>
    </row>
    <row r="690">
      <c r="A690" t="n">
        <v>688</v>
      </c>
      <c r="B690" t="n">
        <v>2013</v>
      </c>
      <c r="C690" t="inlineStr">
        <is>
          <t>Soély Expérience</t>
        </is>
      </c>
      <c r="D690">
        <f>HYPERLINK("https://ota.tournamentsoftware.com/player-profile/91892DC4-7E0E-400F-96DB-9DFFCE855771", "Link")</f>
        <v/>
      </c>
      <c r="E690" s="3" t="n">
        <v>26.568</v>
      </c>
      <c r="F690" s="4" t="n">
        <v>1</v>
      </c>
      <c r="G690" t="inlineStr">
        <is>
          <t>Tennis Québec</t>
        </is>
      </c>
      <c r="H690" t="inlineStr">
        <is>
          <t>Tennis Montréal Excellence</t>
        </is>
      </c>
      <c r="I690" t="n">
        <v>32.7</v>
      </c>
      <c r="J690" s="4" t="n">
        <v>163</v>
      </c>
      <c r="K690" t="inlineStr">
        <is>
          <t>95 / 68</t>
        </is>
      </c>
      <c r="L690" t="inlineStr">
        <is>
          <t>0 / 1</t>
        </is>
      </c>
      <c r="M690" s="5" t="n">
        <v>0.58</v>
      </c>
      <c r="N690" s="5" t="n">
        <v>0</v>
      </c>
    </row>
    <row r="691">
      <c r="A691" t="n">
        <v>690</v>
      </c>
      <c r="B691" t="n">
        <v>2012</v>
      </c>
      <c r="C691" t="inlineStr">
        <is>
          <t>Erica Amy Els</t>
        </is>
      </c>
      <c r="D691">
        <f>HYPERLINK("https://ota.tournamentsoftware.com/player-profile/2D6CC49A-BAE5-4768-9244-8FB4F1D2CABC", "Link")</f>
        <v/>
      </c>
      <c r="E691" s="3" t="n">
        <v>26.417</v>
      </c>
      <c r="F691" s="4" t="n">
        <v>5</v>
      </c>
      <c r="G691" t="inlineStr">
        <is>
          <t>Tennis Alberta</t>
        </is>
      </c>
      <c r="H691" t="inlineStr">
        <is>
          <t>No Club</t>
        </is>
      </c>
      <c r="I691" t="n">
        <v>39.2</v>
      </c>
      <c r="J691" s="4" t="n">
        <v>9</v>
      </c>
      <c r="K691" t="inlineStr">
        <is>
          <t>1 / 8</t>
        </is>
      </c>
      <c r="L691" t="inlineStr">
        <is>
          <t>1 / 8</t>
        </is>
      </c>
      <c r="M691" s="5" t="n">
        <v>0.11</v>
      </c>
      <c r="N691" s="5" t="n">
        <v>0.11</v>
      </c>
    </row>
    <row r="692">
      <c r="A692" t="n">
        <v>691</v>
      </c>
      <c r="B692" t="n">
        <v>2013</v>
      </c>
      <c r="C692" t="inlineStr">
        <is>
          <t>Kate Lalli</t>
        </is>
      </c>
      <c r="D692">
        <f>HYPERLINK("https://ota.tournamentsoftware.com/player-profile/37A0CF8B-C4DF-49F1-946F-E349A3E42015", "Link")</f>
        <v/>
      </c>
      <c r="E692" s="3" t="n">
        <v>26.327</v>
      </c>
      <c r="F692" s="4" t="n">
        <v>3</v>
      </c>
      <c r="G692" t="inlineStr">
        <is>
          <t>Tennis Québec</t>
        </is>
      </c>
      <c r="H692" t="inlineStr">
        <is>
          <t>No Club</t>
        </is>
      </c>
      <c r="I692" t="n">
        <v>37.5</v>
      </c>
      <c r="J692" s="4" t="n">
        <v>15</v>
      </c>
      <c r="K692" t="inlineStr">
        <is>
          <t>4 / 11</t>
        </is>
      </c>
      <c r="L692" t="inlineStr">
        <is>
          <t>1 / 6</t>
        </is>
      </c>
      <c r="M692" s="5" t="n">
        <v>0.27</v>
      </c>
      <c r="N692" s="5" t="n">
        <v>0.14</v>
      </c>
    </row>
    <row r="693">
      <c r="A693" t="n">
        <v>692</v>
      </c>
      <c r="B693" t="n">
        <v>2014</v>
      </c>
      <c r="C693" t="inlineStr">
        <is>
          <t>Mila Khayretdinova</t>
        </is>
      </c>
      <c r="D693">
        <f>HYPERLINK("https://ota.tournamentsoftware.com/player-profile/04DE0A72-CDB6-4637-88E8-378348327654", "Link")</f>
        <v/>
      </c>
      <c r="E693" s="3" t="n">
        <v>26.317</v>
      </c>
      <c r="F693" s="4" t="n">
        <v>5</v>
      </c>
      <c r="G693" t="inlineStr">
        <is>
          <t>Tennis Québec</t>
        </is>
      </c>
      <c r="H693" t="inlineStr">
        <is>
          <t>No Club</t>
        </is>
      </c>
      <c r="I693" t="n">
        <v>39.1</v>
      </c>
      <c r="J693" s="4" t="n">
        <v>42</v>
      </c>
      <c r="K693" t="inlineStr">
        <is>
          <t>3 / 39</t>
        </is>
      </c>
      <c r="L693" t="inlineStr">
        <is>
          <t>3 / 7</t>
        </is>
      </c>
      <c r="M693" s="5" t="n">
        <v>0.07000000000000001</v>
      </c>
      <c r="N693" s="5" t="n">
        <v>0.3</v>
      </c>
    </row>
    <row r="694">
      <c r="A694" t="n">
        <v>693</v>
      </c>
      <c r="B694" t="n">
        <v>2014</v>
      </c>
      <c r="C694" t="inlineStr">
        <is>
          <t>Audrey Lu</t>
        </is>
      </c>
      <c r="D694">
        <f>HYPERLINK("https://ota.tournamentsoftware.com/player-profile/01588371-7322-467B-AA75-DDD8230D1899", "Link")</f>
        <v/>
      </c>
      <c r="E694" s="3" t="n">
        <v>26.154</v>
      </c>
      <c r="F694" s="4" t="n">
        <v>6</v>
      </c>
      <c r="G694" t="inlineStr">
        <is>
          <t>Ontario Tennis Association</t>
        </is>
      </c>
      <c r="H694" t="inlineStr">
        <is>
          <t>Toronto Cricket Skating &amp; Curling</t>
        </is>
      </c>
      <c r="I694" t="inlineStr">
        <is>
          <t>unavailable</t>
        </is>
      </c>
      <c r="J694" s="4" t="n">
        <v>24</v>
      </c>
      <c r="K694" t="inlineStr">
        <is>
          <t>10 / 14</t>
        </is>
      </c>
      <c r="L694" t="inlineStr">
        <is>
          <t>10 / 11</t>
        </is>
      </c>
      <c r="M694" s="5" t="n">
        <v>0.42</v>
      </c>
      <c r="N694" s="5" t="n">
        <v>0.48</v>
      </c>
    </row>
    <row r="695">
      <c r="A695" t="n">
        <v>694</v>
      </c>
      <c r="B695" t="n">
        <v>2016</v>
      </c>
      <c r="C695" t="inlineStr">
        <is>
          <t>Harper Whitehead</t>
        </is>
      </c>
      <c r="D695">
        <f>HYPERLINK("https://ota.tournamentsoftware.com/player-profile/11F4D113-D7D4-48BC-9EC5-3040B116C96D", "Link")</f>
        <v/>
      </c>
      <c r="E695" s="3" t="n">
        <v>26.136</v>
      </c>
      <c r="F695" s="4" t="n">
        <v>10</v>
      </c>
      <c r="G695" t="inlineStr">
        <is>
          <t>Tennis Nova Scotia</t>
        </is>
      </c>
      <c r="H695" t="inlineStr">
        <is>
          <t>Atlantic Tennis Centre</t>
        </is>
      </c>
      <c r="I695" t="n">
        <v>38</v>
      </c>
      <c r="J695" s="4" t="n">
        <v>84</v>
      </c>
      <c r="K695" t="inlineStr">
        <is>
          <t>37 / 47</t>
        </is>
      </c>
      <c r="L695" t="inlineStr">
        <is>
          <t>12 / 17</t>
        </is>
      </c>
      <c r="M695" s="5" t="n">
        <v>0.44</v>
      </c>
      <c r="N695" s="5" t="n">
        <v>0.41</v>
      </c>
    </row>
    <row r="696">
      <c r="A696" t="n">
        <v>695</v>
      </c>
      <c r="B696" t="n">
        <v>2015</v>
      </c>
      <c r="C696" t="inlineStr">
        <is>
          <t>Isadora Xu</t>
        </is>
      </c>
      <c r="D696">
        <f>HYPERLINK("https://ota.tournamentsoftware.com/player-profile/78173253-32AB-4E0D-8618-AEF874C973EC", "Link")</f>
        <v/>
      </c>
      <c r="E696" s="3" t="n">
        <v>25.746</v>
      </c>
      <c r="F696" s="4" t="n">
        <v>11</v>
      </c>
      <c r="G696" t="inlineStr">
        <is>
          <t>British Columbia</t>
        </is>
      </c>
      <c r="H696" t="inlineStr">
        <is>
          <t>Arbutus Club</t>
        </is>
      </c>
      <c r="I696" t="n">
        <v>39.3</v>
      </c>
      <c r="J696" s="4" t="n">
        <v>46</v>
      </c>
      <c r="K696" t="inlineStr">
        <is>
          <t>19 / 27</t>
        </is>
      </c>
      <c r="L696" t="inlineStr">
        <is>
          <t>15 / 21</t>
        </is>
      </c>
      <c r="M696" s="5" t="n">
        <v>0.41</v>
      </c>
      <c r="N696" s="5" t="n">
        <v>0.42</v>
      </c>
    </row>
    <row r="697">
      <c r="A697" t="n">
        <v>696</v>
      </c>
      <c r="B697" t="n">
        <v>2012</v>
      </c>
      <c r="C697" t="inlineStr">
        <is>
          <t>Nika Yaghoubi</t>
        </is>
      </c>
      <c r="D697">
        <f>HYPERLINK("https://ota.tournamentsoftware.com/player-profile/D6970753-702D-4123-8798-708EAC6B7E32", "Link")</f>
        <v/>
      </c>
      <c r="E697" s="3" t="n">
        <v>25.651</v>
      </c>
      <c r="F697" s="4" t="n">
        <v>4</v>
      </c>
      <c r="G697" t="inlineStr">
        <is>
          <t>Tennis Alberta</t>
        </is>
      </c>
      <c r="H697" t="inlineStr">
        <is>
          <t>Saville Community Sports Centre</t>
        </is>
      </c>
      <c r="I697" t="n">
        <v>35.5</v>
      </c>
      <c r="J697" s="4" t="n">
        <v>16</v>
      </c>
      <c r="K697" t="inlineStr">
        <is>
          <t>6 / 10</t>
        </is>
      </c>
      <c r="L697" t="inlineStr">
        <is>
          <t>6 / 10</t>
        </is>
      </c>
      <c r="M697" s="5" t="n">
        <v>0.38</v>
      </c>
      <c r="N697" s="5" t="n">
        <v>0.38</v>
      </c>
    </row>
    <row r="698">
      <c r="A698" t="n">
        <v>697</v>
      </c>
      <c r="B698" t="n">
        <v>2013</v>
      </c>
      <c r="C698" t="inlineStr">
        <is>
          <t>Yujin Cao</t>
        </is>
      </c>
      <c r="D698">
        <f>HYPERLINK("https://ota.tournamentsoftware.com/player-profile/8260D181-2742-4015-AD52-73D66B6FD70A", "Link")</f>
        <v/>
      </c>
      <c r="E698" s="3" t="n">
        <v>25.574</v>
      </c>
      <c r="F698" s="4" t="n">
        <v>3</v>
      </c>
      <c r="G698" t="inlineStr">
        <is>
          <t>Tennis Québec</t>
        </is>
      </c>
      <c r="H698" t="inlineStr">
        <is>
          <t>Tennis 13</t>
        </is>
      </c>
      <c r="I698" t="inlineStr">
        <is>
          <t>unavailable</t>
        </is>
      </c>
      <c r="J698" s="4" t="n">
        <v>7</v>
      </c>
      <c r="K698" t="inlineStr">
        <is>
          <t>3 / 4</t>
        </is>
      </c>
      <c r="L698" t="inlineStr">
        <is>
          <t>1 / 2</t>
        </is>
      </c>
      <c r="M698" s="5" t="n">
        <v>0.43</v>
      </c>
      <c r="N698" s="5" t="n">
        <v>0.33</v>
      </c>
    </row>
    <row r="699">
      <c r="A699" t="n">
        <v>698</v>
      </c>
      <c r="B699" t="n">
        <v>2012</v>
      </c>
      <c r="C699" t="inlineStr">
        <is>
          <t>Harper Van Beveren</t>
        </is>
      </c>
      <c r="D699">
        <f>HYPERLINK("https://ota.tournamentsoftware.com/player-profile/5981FBA6-1FF9-4CF8-8DE2-DDB8BFEA4094", "Link")</f>
        <v/>
      </c>
      <c r="E699" s="3" t="n">
        <v>25.531</v>
      </c>
      <c r="F699" s="4" t="n">
        <v>2</v>
      </c>
      <c r="G699" t="inlineStr">
        <is>
          <t>Ontario Tennis Association</t>
        </is>
      </c>
      <c r="H699" t="inlineStr">
        <is>
          <t>Rosedale Tennis Club (Hamilton)</t>
        </is>
      </c>
      <c r="I699" t="inlineStr">
        <is>
          <t>unavailable</t>
        </is>
      </c>
      <c r="J699" s="4" t="n">
        <v>16</v>
      </c>
      <c r="K699" t="inlineStr">
        <is>
          <t>5 / 11</t>
        </is>
      </c>
      <c r="L699" t="inlineStr">
        <is>
          <t>1 / 1</t>
        </is>
      </c>
      <c r="M699" s="5" t="n">
        <v>0.31</v>
      </c>
      <c r="N699" s="5" t="n">
        <v>0.5</v>
      </c>
    </row>
    <row r="700">
      <c r="A700" t="n">
        <v>699</v>
      </c>
      <c r="B700" t="n">
        <v>2014</v>
      </c>
      <c r="C700" t="inlineStr">
        <is>
          <t>Yuxin Bella Cao</t>
        </is>
      </c>
      <c r="D700">
        <f>HYPERLINK("https://ota.tournamentsoftware.com/player-profile/ECABBEB5-67C3-48F1-8CC6-A7628D8721E8", "Link")</f>
        <v/>
      </c>
      <c r="E700" s="3" t="n">
        <v>25.375</v>
      </c>
      <c r="F700" s="4" t="n">
        <v>5</v>
      </c>
      <c r="G700" t="inlineStr">
        <is>
          <t>Ontario Tennis Association</t>
        </is>
      </c>
      <c r="H700" t="inlineStr">
        <is>
          <t>ACE Tennis - Burlington</t>
        </is>
      </c>
      <c r="I700" t="n">
        <v>38.8</v>
      </c>
      <c r="J700" s="4" t="n">
        <v>43</v>
      </c>
      <c r="K700" t="inlineStr">
        <is>
          <t>12 / 31</t>
        </is>
      </c>
      <c r="L700" t="inlineStr">
        <is>
          <t>2 / 5</t>
        </is>
      </c>
      <c r="M700" s="5" t="n">
        <v>0.28</v>
      </c>
      <c r="N700" s="5" t="n">
        <v>0.29</v>
      </c>
    </row>
    <row r="701">
      <c r="A701" t="n">
        <v>700</v>
      </c>
      <c r="B701" t="n">
        <v>2017</v>
      </c>
      <c r="C701" t="inlineStr">
        <is>
          <t>Kaja Gacanin</t>
        </is>
      </c>
      <c r="D701">
        <f>HYPERLINK("https://ota.tournamentsoftware.com/player-profile/51158AF8-F463-4974-AE1F-B1924D114B2F", "Link")</f>
        <v/>
      </c>
      <c r="E701" s="3" t="n">
        <v>24.84</v>
      </c>
      <c r="F701" s="4" t="n">
        <v>3</v>
      </c>
      <c r="G701" t="inlineStr">
        <is>
          <t>Ontario Tennis Association</t>
        </is>
      </c>
      <c r="H701" t="inlineStr">
        <is>
          <t>Zekelman Tennis Centre</t>
        </is>
      </c>
      <c r="I701" t="n">
        <v>38.5</v>
      </c>
      <c r="J701" s="4" t="n">
        <v>9</v>
      </c>
      <c r="K701" t="inlineStr">
        <is>
          <t>3 / 6</t>
        </is>
      </c>
      <c r="L701" t="inlineStr">
        <is>
          <t>3 / 6</t>
        </is>
      </c>
      <c r="M701" s="5" t="n">
        <v>0.33</v>
      </c>
      <c r="N701" s="5" t="n">
        <v>0.33</v>
      </c>
    </row>
    <row r="702">
      <c r="A702" t="n">
        <v>701</v>
      </c>
      <c r="B702" t="n">
        <v>2013</v>
      </c>
      <c r="C702" t="inlineStr">
        <is>
          <t>Aylin Iskenderova</t>
        </is>
      </c>
      <c r="D702">
        <f>HYPERLINK("https://ota.tournamentsoftware.com/player-profile/07B240E6-A596-4F2A-90A6-63993B9F2568", "Link")</f>
        <v/>
      </c>
      <c r="E702" s="3" t="n">
        <v>24.575</v>
      </c>
      <c r="F702" s="4" t="n">
        <v>2</v>
      </c>
      <c r="G702" t="inlineStr">
        <is>
          <t>Ontario Tennis Association</t>
        </is>
      </c>
      <c r="H702" t="inlineStr">
        <is>
          <t>Concord Tennis Academy</t>
        </is>
      </c>
      <c r="I702" t="n">
        <v>40</v>
      </c>
      <c r="J702" s="4" t="n">
        <v>16</v>
      </c>
      <c r="K702" t="inlineStr">
        <is>
          <t>6 / 10</t>
        </is>
      </c>
      <c r="L702" t="inlineStr">
        <is>
          <t>0 / 4</t>
        </is>
      </c>
      <c r="M702" s="5" t="n">
        <v>0.38</v>
      </c>
      <c r="N702" s="5" t="n">
        <v>0</v>
      </c>
    </row>
    <row r="703">
      <c r="A703" t="n">
        <v>702</v>
      </c>
      <c r="B703" t="n">
        <v>2013</v>
      </c>
      <c r="C703" t="inlineStr">
        <is>
          <t>Seher Sharma</t>
        </is>
      </c>
      <c r="D703">
        <f>HYPERLINK("https://ota.tournamentsoftware.com/player-profile/383B0843-9E5F-4A01-8304-C01EA147B7A2", "Link")</f>
        <v/>
      </c>
      <c r="E703" s="3" t="n">
        <v>24.524</v>
      </c>
      <c r="F703" s="4" t="n">
        <v>2</v>
      </c>
      <c r="G703" t="inlineStr">
        <is>
          <t>Ontario Tennis Association</t>
        </is>
      </c>
      <c r="H703" t="inlineStr">
        <is>
          <t>Glendale Tennis Club</t>
        </is>
      </c>
      <c r="I703" t="inlineStr">
        <is>
          <t>unavailable</t>
        </is>
      </c>
      <c r="J703" s="4" t="n">
        <v>17</v>
      </c>
      <c r="K703" t="inlineStr">
        <is>
          <t>4 / 13</t>
        </is>
      </c>
      <c r="L703" t="inlineStr">
        <is>
          <t>0 / 4</t>
        </is>
      </c>
      <c r="M703" s="5" t="n">
        <v>0.24</v>
      </c>
      <c r="N703" s="5" t="n">
        <v>0</v>
      </c>
    </row>
    <row r="704">
      <c r="A704" t="n">
        <v>703</v>
      </c>
      <c r="B704" t="n">
        <v>2016</v>
      </c>
      <c r="C704" t="inlineStr">
        <is>
          <t>Ama Marie Elvira Kouadio</t>
        </is>
      </c>
      <c r="D704">
        <f>HYPERLINK("https://ota.tournamentsoftware.com/player-profile/25362040-6649-44FF-A97B-DDFA8FFF0B73", "Link")</f>
        <v/>
      </c>
      <c r="E704" s="3" t="n">
        <v>24.103</v>
      </c>
      <c r="F704" s="4" t="n">
        <v>2</v>
      </c>
      <c r="G704" t="inlineStr">
        <is>
          <t>Tennis Québec</t>
        </is>
      </c>
      <c r="H704" t="inlineStr">
        <is>
          <t>Carrefour Multisports</t>
        </is>
      </c>
      <c r="I704" t="n">
        <v>34.4</v>
      </c>
      <c r="J704" s="4" t="n">
        <v>65</v>
      </c>
      <c r="K704" t="inlineStr">
        <is>
          <t>41 / 24</t>
        </is>
      </c>
      <c r="L704" t="inlineStr">
        <is>
          <t>5 / 4</t>
        </is>
      </c>
      <c r="M704" s="5" t="n">
        <v>0.63</v>
      </c>
      <c r="N704" s="5" t="n">
        <v>0.5600000000000001</v>
      </c>
    </row>
    <row r="705">
      <c r="A705" t="n">
        <v>704</v>
      </c>
      <c r="B705" t="n">
        <v>2015</v>
      </c>
      <c r="C705" t="inlineStr">
        <is>
          <t>Tara Sepahsalari</t>
        </is>
      </c>
      <c r="D705">
        <f>HYPERLINK("https://ota.tournamentsoftware.com/player-profile/EB26731B-07C8-4C3E-8214-7DD265D4A843", "Link")</f>
        <v/>
      </c>
      <c r="E705" s="3" t="n">
        <v>23.95</v>
      </c>
      <c r="F705" s="4" t="n">
        <v>6</v>
      </c>
      <c r="G705" t="inlineStr">
        <is>
          <t>Tennis Québec</t>
        </is>
      </c>
      <c r="H705" t="inlineStr">
        <is>
          <t>EB Tennis inc.</t>
        </is>
      </c>
      <c r="I705" t="n">
        <v>40</v>
      </c>
      <c r="J705" s="4" t="n">
        <v>36</v>
      </c>
      <c r="K705" t="inlineStr">
        <is>
          <t>5 / 31</t>
        </is>
      </c>
      <c r="L705" t="inlineStr">
        <is>
          <t>1 / 11</t>
        </is>
      </c>
      <c r="M705" s="5" t="n">
        <v>0.14</v>
      </c>
      <c r="N705" s="5" t="n">
        <v>0.08</v>
      </c>
    </row>
    <row r="706">
      <c r="A706" t="n">
        <v>705</v>
      </c>
      <c r="B706" t="n">
        <v>2014</v>
      </c>
      <c r="C706" t="inlineStr">
        <is>
          <t>Olivia V. Jin</t>
        </is>
      </c>
      <c r="D706">
        <f>HYPERLINK("https://ota.tournamentsoftware.com/player-profile/88713252-C9AF-4DC4-B40D-11479A26EE47", "Link")</f>
        <v/>
      </c>
      <c r="E706" s="3" t="n">
        <v>23.747</v>
      </c>
      <c r="F706" s="4" t="n">
        <v>6</v>
      </c>
      <c r="G706" t="inlineStr">
        <is>
          <t>British Columbia</t>
        </is>
      </c>
      <c r="H706" t="inlineStr">
        <is>
          <t>Hollyburn Country Club</t>
        </is>
      </c>
      <c r="I706" t="n">
        <v>35.5</v>
      </c>
      <c r="J706" s="4" t="n">
        <v>91</v>
      </c>
      <c r="K706" t="inlineStr">
        <is>
          <t>29 / 62</t>
        </is>
      </c>
      <c r="L706" t="inlineStr">
        <is>
          <t>9 / 5</t>
        </is>
      </c>
      <c r="M706" s="5" t="n">
        <v>0.32</v>
      </c>
      <c r="N706" s="5" t="n">
        <v>0.64</v>
      </c>
    </row>
    <row r="707">
      <c r="A707" t="n">
        <v>706</v>
      </c>
      <c r="B707" t="n">
        <v>2016</v>
      </c>
      <c r="C707" t="inlineStr">
        <is>
          <t>Scarlett Prsa</t>
        </is>
      </c>
      <c r="D707">
        <f>HYPERLINK("https://ota.tournamentsoftware.com/player-profile/CDBDFDF5-0DDE-4F1C-B33B-F163CF134B52", "Link")</f>
        <v/>
      </c>
      <c r="E707" s="3" t="n">
        <v>23.711</v>
      </c>
      <c r="F707" s="4" t="n">
        <v>7</v>
      </c>
      <c r="G707" t="inlineStr">
        <is>
          <t>Ontario Tennis Association</t>
        </is>
      </c>
      <c r="H707" t="inlineStr">
        <is>
          <t>Advantage Tennis International at Veneto</t>
        </is>
      </c>
      <c r="I707" t="n">
        <v>37.6</v>
      </c>
      <c r="J707" s="4" t="n">
        <v>142</v>
      </c>
      <c r="K707" t="inlineStr">
        <is>
          <t>54 / 88</t>
        </is>
      </c>
      <c r="L707" t="inlineStr">
        <is>
          <t>18 / 22</t>
        </is>
      </c>
      <c r="M707" s="5" t="n">
        <v>0.38</v>
      </c>
      <c r="N707" s="5" t="n">
        <v>0.45</v>
      </c>
    </row>
    <row r="708">
      <c r="A708" t="n">
        <v>707</v>
      </c>
      <c r="B708" t="n">
        <v>2014</v>
      </c>
      <c r="C708" t="inlineStr">
        <is>
          <t>Emma Jingya Xi</t>
        </is>
      </c>
      <c r="D708">
        <f>HYPERLINK("https://ota.tournamentsoftware.com/player-profile/540C86FB-2BC4-4357-8C94-AA0A3EEBDC22", "Link")</f>
        <v/>
      </c>
      <c r="E708" s="3" t="n">
        <v>23.597</v>
      </c>
      <c r="F708" s="4" t="n">
        <v>4</v>
      </c>
      <c r="G708" t="inlineStr">
        <is>
          <t>Ontario Tennis Association</t>
        </is>
      </c>
      <c r="H708" t="inlineStr">
        <is>
          <t>ACE Tennis - Burlington</t>
        </is>
      </c>
      <c r="I708" t="inlineStr">
        <is>
          <t>unavailable</t>
        </is>
      </c>
      <c r="J708" s="4" t="n">
        <v>42</v>
      </c>
      <c r="K708" t="inlineStr">
        <is>
          <t>14 / 28</t>
        </is>
      </c>
      <c r="L708" t="inlineStr">
        <is>
          <t>1 / 6</t>
        </is>
      </c>
      <c r="M708" s="5" t="n">
        <v>0.33</v>
      </c>
      <c r="N708" s="5" t="n">
        <v>0.14</v>
      </c>
    </row>
    <row r="709">
      <c r="A709" t="n">
        <v>708</v>
      </c>
      <c r="B709" t="n">
        <v>2015</v>
      </c>
      <c r="C709" t="inlineStr">
        <is>
          <t>Cassia Contreras</t>
        </is>
      </c>
      <c r="D709">
        <f>HYPERLINK("https://ota.tournamentsoftware.com/player-profile/84692E6B-274F-4FC9-9179-D4BC6F34FCEE", "Link")</f>
        <v/>
      </c>
      <c r="E709" s="3" t="n">
        <v>23.208</v>
      </c>
      <c r="F709" s="4" t="n">
        <v>4</v>
      </c>
      <c r="G709" t="inlineStr">
        <is>
          <t>Ontario Tennis Association</t>
        </is>
      </c>
      <c r="H709" t="inlineStr">
        <is>
          <t>Toronto Tennis Academy</t>
        </is>
      </c>
      <c r="I709" t="inlineStr">
        <is>
          <t>unavailable</t>
        </is>
      </c>
      <c r="J709" s="4" t="n">
        <v>50</v>
      </c>
      <c r="K709" t="inlineStr">
        <is>
          <t>18 / 32</t>
        </is>
      </c>
      <c r="L709" t="inlineStr">
        <is>
          <t>5 / 7</t>
        </is>
      </c>
      <c r="M709" s="5" t="n">
        <v>0.36</v>
      </c>
      <c r="N709" s="5" t="n">
        <v>0.42</v>
      </c>
    </row>
    <row r="710">
      <c r="A710" t="n">
        <v>709</v>
      </c>
      <c r="B710" t="n">
        <v>2015</v>
      </c>
      <c r="C710" t="inlineStr">
        <is>
          <t>Eliana Green</t>
        </is>
      </c>
      <c r="D710">
        <f>HYPERLINK("https://ota.tournamentsoftware.com/player-profile/6AF8FC12-BD58-4E7C-B446-1CAAB9ADE85D", "Link")</f>
        <v/>
      </c>
      <c r="E710" s="3" t="n">
        <v>23.112</v>
      </c>
      <c r="F710" s="4" t="n">
        <v>1</v>
      </c>
      <c r="G710" t="inlineStr">
        <is>
          <t>Tennis Saskatchewan</t>
        </is>
      </c>
      <c r="H710" t="inlineStr">
        <is>
          <t>Lakeshore Tennis Club</t>
        </is>
      </c>
      <c r="I710" t="n">
        <v>38.1</v>
      </c>
      <c r="J710" s="4" t="n">
        <v>32</v>
      </c>
      <c r="K710" t="inlineStr">
        <is>
          <t>5 / 27</t>
        </is>
      </c>
      <c r="L710" t="inlineStr">
        <is>
          <t>2 / 4</t>
        </is>
      </c>
      <c r="M710" s="5" t="n">
        <v>0.16</v>
      </c>
      <c r="N710" s="5" t="n">
        <v>0.33</v>
      </c>
    </row>
    <row r="711">
      <c r="A711" t="n">
        <v>710</v>
      </c>
      <c r="B711" t="n">
        <v>2015</v>
      </c>
      <c r="C711" t="inlineStr">
        <is>
          <t>Sofia Belyavskaya</t>
        </is>
      </c>
      <c r="D711">
        <f>HYPERLINK("https://ota.tournamentsoftware.com/player-profile/103C1284-54D3-4E14-8B3B-D860AD353A8C", "Link")</f>
        <v/>
      </c>
      <c r="E711" s="3" t="n">
        <v>23.046</v>
      </c>
      <c r="F711" s="4" t="n">
        <v>4</v>
      </c>
      <c r="G711" t="inlineStr">
        <is>
          <t>British Columbia</t>
        </is>
      </c>
      <c r="H711" t="inlineStr">
        <is>
          <t>The Tennis Centre</t>
        </is>
      </c>
      <c r="I711" t="n">
        <v>34.8</v>
      </c>
      <c r="J711" s="4" t="n">
        <v>91</v>
      </c>
      <c r="K711" t="inlineStr">
        <is>
          <t>38 / 53</t>
        </is>
      </c>
      <c r="L711" t="inlineStr">
        <is>
          <t>5 / 5</t>
        </is>
      </c>
      <c r="M711" s="5" t="n">
        <v>0.42</v>
      </c>
      <c r="N711" s="5" t="n">
        <v>0.5</v>
      </c>
    </row>
    <row r="712">
      <c r="A712" t="n">
        <v>711</v>
      </c>
      <c r="B712" t="n">
        <v>2014</v>
      </c>
      <c r="C712" t="inlineStr">
        <is>
          <t>Dina Chakri</t>
        </is>
      </c>
      <c r="D712">
        <f>HYPERLINK("https://ota.tournamentsoftware.com/player-profile/8824FD85-93E3-4F7D-8968-FC836D77769D", "Link")</f>
        <v/>
      </c>
      <c r="E712" s="3" t="n">
        <v>22.953</v>
      </c>
      <c r="F712" s="4" t="n">
        <v>7</v>
      </c>
      <c r="G712" t="inlineStr">
        <is>
          <t>Tennis Québec</t>
        </is>
      </c>
      <c r="H712" t="inlineStr">
        <is>
          <t>Tennis 13</t>
        </is>
      </c>
      <c r="I712" t="n">
        <v>38.9</v>
      </c>
      <c r="J712" s="4" t="n">
        <v>10</v>
      </c>
      <c r="K712" t="inlineStr">
        <is>
          <t>2 / 8</t>
        </is>
      </c>
      <c r="L712" t="inlineStr">
        <is>
          <t>2 / 8</t>
        </is>
      </c>
      <c r="M712" s="5" t="n">
        <v>0.2</v>
      </c>
      <c r="N712" s="5" t="n">
        <v>0.2</v>
      </c>
    </row>
    <row r="713">
      <c r="A713" t="n">
        <v>712</v>
      </c>
      <c r="B713" t="n">
        <v>2014</v>
      </c>
      <c r="C713" t="inlineStr">
        <is>
          <t>Cheryl Elizabeth Ong</t>
        </is>
      </c>
      <c r="D713">
        <f>HYPERLINK("https://ota.tournamentsoftware.com/player-profile/11AC4E6A-0B03-4BB4-ACB7-333E7FD9064F", "Link")</f>
        <v/>
      </c>
      <c r="E713" s="3" t="n">
        <v>22.613</v>
      </c>
      <c r="F713" s="4" t="n">
        <v>11</v>
      </c>
      <c r="G713" t="inlineStr">
        <is>
          <t>British Columbia</t>
        </is>
      </c>
      <c r="H713" t="inlineStr">
        <is>
          <t>Tennis for Life</t>
        </is>
      </c>
      <c r="I713" t="inlineStr">
        <is>
          <t>unavailable</t>
        </is>
      </c>
      <c r="J713" s="4" t="n">
        <v>47</v>
      </c>
      <c r="K713" t="inlineStr">
        <is>
          <t>15 / 32</t>
        </is>
      </c>
      <c r="L713" t="inlineStr">
        <is>
          <t>11 / 16</t>
        </is>
      </c>
      <c r="M713" s="5" t="n">
        <v>0.32</v>
      </c>
      <c r="N713" s="5" t="n">
        <v>0.41</v>
      </c>
    </row>
    <row r="714">
      <c r="A714" t="n">
        <v>713</v>
      </c>
      <c r="B714" t="n">
        <v>2015</v>
      </c>
      <c r="C714" t="inlineStr">
        <is>
          <t>Laila Hilmi</t>
        </is>
      </c>
      <c r="D714">
        <f>HYPERLINK("https://ota.tournamentsoftware.com/player-profile/73A707F1-78B1-45FE-A608-D2E6AA82EA8F", "Link")</f>
        <v/>
      </c>
      <c r="E714" s="3" t="n">
        <v>22.595</v>
      </c>
      <c r="F714" s="4" t="n">
        <v>3</v>
      </c>
      <c r="G714" t="inlineStr">
        <is>
          <t>Tennis Québec</t>
        </is>
      </c>
      <c r="H714" t="inlineStr">
        <is>
          <t>Tennis Montréal Excellence</t>
        </is>
      </c>
      <c r="I714" t="inlineStr">
        <is>
          <t>unavailable</t>
        </is>
      </c>
      <c r="J714" s="4" t="n">
        <v>46</v>
      </c>
      <c r="K714" t="inlineStr">
        <is>
          <t>13 / 33</t>
        </is>
      </c>
      <c r="L714" t="inlineStr">
        <is>
          <t>4 / 3</t>
        </is>
      </c>
      <c r="M714" s="5" t="n">
        <v>0.28</v>
      </c>
      <c r="N714" s="5" t="n">
        <v>0.57</v>
      </c>
    </row>
    <row r="715">
      <c r="A715" t="n">
        <v>714</v>
      </c>
      <c r="B715" t="n">
        <v>2012</v>
      </c>
      <c r="C715" t="inlineStr">
        <is>
          <t>Angel Wen</t>
        </is>
      </c>
      <c r="D715">
        <f>HYPERLINK("https://ota.tournamentsoftware.com/player-profile/2BF37F0F-B2BA-4533-859D-5AFB82154AAC", "Link")</f>
        <v/>
      </c>
      <c r="E715" s="3" t="n">
        <v>22.248</v>
      </c>
      <c r="F715" s="4" t="n">
        <v>2</v>
      </c>
      <c r="G715" t="inlineStr">
        <is>
          <t>Tennis Nova Scotia</t>
        </is>
      </c>
      <c r="H715" t="inlineStr">
        <is>
          <t>Atlantic Tennis Centre</t>
        </is>
      </c>
      <c r="I715" t="n">
        <v>37.2</v>
      </c>
      <c r="J715" s="4" t="n">
        <v>4</v>
      </c>
      <c r="K715" t="inlineStr">
        <is>
          <t>0 / 4</t>
        </is>
      </c>
      <c r="L715" t="inlineStr">
        <is>
          <t>0 / 2</t>
        </is>
      </c>
      <c r="M715" s="5" t="n">
        <v>0</v>
      </c>
      <c r="N715" s="5" t="n">
        <v>0</v>
      </c>
    </row>
    <row r="716">
      <c r="A716" t="n">
        <v>715</v>
      </c>
      <c r="B716" t="n">
        <v>2012</v>
      </c>
      <c r="C716" t="inlineStr">
        <is>
          <t>Yulli Anne Tsang</t>
        </is>
      </c>
      <c r="D716">
        <f>HYPERLINK("https://ota.tournamentsoftware.com/player-profile/E8CCFA74-9017-45A2-B403-724A9977CD1E", "Link")</f>
        <v/>
      </c>
      <c r="E716" s="3" t="n">
        <v>22.118</v>
      </c>
      <c r="F716" s="4" t="n">
        <v>6</v>
      </c>
      <c r="G716" t="inlineStr">
        <is>
          <t>Tennis Alberta</t>
        </is>
      </c>
      <c r="H716" t="inlineStr">
        <is>
          <t>Derrick Golf &amp; Winter Club</t>
        </is>
      </c>
      <c r="I716" t="n">
        <v>35.2</v>
      </c>
      <c r="J716" s="4" t="n">
        <v>30</v>
      </c>
      <c r="K716" t="inlineStr">
        <is>
          <t>10 / 20</t>
        </is>
      </c>
      <c r="L716" t="inlineStr">
        <is>
          <t>5 / 9</t>
        </is>
      </c>
      <c r="M716" s="5" t="n">
        <v>0.33</v>
      </c>
      <c r="N716" s="5" t="n">
        <v>0.36</v>
      </c>
    </row>
    <row r="717">
      <c r="A717" t="n">
        <v>716</v>
      </c>
      <c r="B717" t="n">
        <v>2014</v>
      </c>
      <c r="C717" t="inlineStr">
        <is>
          <t>Jasmine El Ouadi</t>
        </is>
      </c>
      <c r="D717">
        <f>HYPERLINK("https://ota.tournamentsoftware.com/player-profile/FBECFAB6-3ABF-4F1B-AD1C-230CB79A1119", "Link")</f>
        <v/>
      </c>
      <c r="E717" s="3" t="n">
        <v>21.997</v>
      </c>
      <c r="F717" s="4" t="n">
        <v>5</v>
      </c>
      <c r="G717" t="inlineStr">
        <is>
          <t>Tennis Alberta</t>
        </is>
      </c>
      <c r="H717" t="inlineStr">
        <is>
          <t>Calgary - Public</t>
        </is>
      </c>
      <c r="I717" t="n">
        <v>40</v>
      </c>
      <c r="J717" s="4" t="n">
        <v>11</v>
      </c>
      <c r="K717" t="inlineStr">
        <is>
          <t>0 / 11</t>
        </is>
      </c>
      <c r="L717" t="inlineStr">
        <is>
          <t>0 / 3</t>
        </is>
      </c>
      <c r="M717" s="5" t="n">
        <v>0</v>
      </c>
      <c r="N717" s="5" t="n">
        <v>0</v>
      </c>
    </row>
    <row r="718">
      <c r="A718" t="n">
        <v>717</v>
      </c>
      <c r="B718" t="n">
        <v>2015</v>
      </c>
      <c r="C718" t="inlineStr">
        <is>
          <t>Nalla Isabella Lteif</t>
        </is>
      </c>
      <c r="D718">
        <f>HYPERLINK("https://ota.tournamentsoftware.com/player-profile/B0DC1A2D-B87B-4E66-A5EE-9C9F6EC668D4", "Link")</f>
        <v/>
      </c>
      <c r="E718" s="3" t="n">
        <v>21.849</v>
      </c>
      <c r="F718" s="4" t="n">
        <v>4</v>
      </c>
      <c r="G718" t="inlineStr">
        <is>
          <t>Tennis Québec</t>
        </is>
      </c>
      <c r="H718" t="inlineStr">
        <is>
          <t>Carrefour Multisports</t>
        </is>
      </c>
      <c r="I718" t="n">
        <v>37.9</v>
      </c>
      <c r="J718" s="4" t="n">
        <v>12</v>
      </c>
      <c r="K718" t="inlineStr">
        <is>
          <t>5 / 7</t>
        </is>
      </c>
      <c r="L718" t="inlineStr">
        <is>
          <t>3 / 4</t>
        </is>
      </c>
      <c r="M718" s="5" t="n">
        <v>0.42</v>
      </c>
      <c r="N718" s="5" t="n">
        <v>0.43</v>
      </c>
    </row>
    <row r="719">
      <c r="A719" t="n">
        <v>718</v>
      </c>
      <c r="B719" t="n">
        <v>2016</v>
      </c>
      <c r="C719" t="inlineStr">
        <is>
          <t>Samantha Bronwyn Daniell</t>
        </is>
      </c>
      <c r="D719">
        <f>HYPERLINK("https://ota.tournamentsoftware.com/player-profile/7D796AB4-F8DD-43AD-8451-41C0A3E3949A", "Link")</f>
        <v/>
      </c>
      <c r="E719" s="3" t="n">
        <v>21.771</v>
      </c>
      <c r="F719" s="4" t="n">
        <v>10</v>
      </c>
      <c r="G719" t="inlineStr">
        <is>
          <t>British Columbia</t>
        </is>
      </c>
      <c r="H719" t="inlineStr">
        <is>
          <t>The Tennis Centre</t>
        </is>
      </c>
      <c r="I719" t="n">
        <v>37.4</v>
      </c>
      <c r="J719" s="4" t="n">
        <v>130</v>
      </c>
      <c r="K719" t="inlineStr">
        <is>
          <t>64 / 66</t>
        </is>
      </c>
      <c r="L719" t="inlineStr">
        <is>
          <t>32 / 28</t>
        </is>
      </c>
      <c r="M719" s="5" t="n">
        <v>0.49</v>
      </c>
      <c r="N719" s="5" t="n">
        <v>0.53</v>
      </c>
    </row>
    <row r="720">
      <c r="A720" t="n">
        <v>719</v>
      </c>
      <c r="B720" t="n">
        <v>2016</v>
      </c>
      <c r="C720" t="inlineStr">
        <is>
          <t>Brielle Han</t>
        </is>
      </c>
      <c r="D720">
        <f>HYPERLINK("https://ota.tournamentsoftware.com/player-profile/76F58D78-6F14-462B-9C79-943F718FD16A", "Link")</f>
        <v/>
      </c>
      <c r="E720" s="3" t="n">
        <v>21.501</v>
      </c>
      <c r="F720" s="4" t="n">
        <v>9</v>
      </c>
      <c r="G720" t="inlineStr">
        <is>
          <t>British Columbia</t>
        </is>
      </c>
      <c r="H720" t="inlineStr">
        <is>
          <t>North Vancouver Tennis Centre</t>
        </is>
      </c>
      <c r="I720" t="inlineStr">
        <is>
          <t>unavailable</t>
        </is>
      </c>
      <c r="J720" s="4" t="n">
        <v>200</v>
      </c>
      <c r="K720" t="inlineStr">
        <is>
          <t>69 / 131</t>
        </is>
      </c>
      <c r="L720" t="inlineStr">
        <is>
          <t>21 / 19</t>
        </is>
      </c>
      <c r="M720" s="5" t="n">
        <v>0.34</v>
      </c>
      <c r="N720" s="5" t="n">
        <v>0.53</v>
      </c>
    </row>
    <row r="721">
      <c r="A721" t="n">
        <v>720</v>
      </c>
      <c r="B721" t="n">
        <v>2015</v>
      </c>
      <c r="C721" t="inlineStr">
        <is>
          <t>Élisa Deschatelets</t>
        </is>
      </c>
      <c r="D721">
        <f>HYPERLINK("https://ota.tournamentsoftware.com/player-profile/C5ECD0AF-5510-44E4-897A-6A3A4D73CDEF", "Link")</f>
        <v/>
      </c>
      <c r="E721" s="3" t="n">
        <v>21.501</v>
      </c>
      <c r="F721" s="4" t="n">
        <v>4</v>
      </c>
      <c r="G721" t="inlineStr">
        <is>
          <t>Tennis Québec</t>
        </is>
      </c>
      <c r="H721" t="inlineStr">
        <is>
          <t>Centre Récréatif Rock Forest / École Tennestrie</t>
        </is>
      </c>
      <c r="I721" t="n">
        <v>40</v>
      </c>
      <c r="J721" s="4" t="n">
        <v>25</v>
      </c>
      <c r="K721" t="inlineStr">
        <is>
          <t>4 / 21</t>
        </is>
      </c>
      <c r="L721" t="inlineStr">
        <is>
          <t>0 / 7</t>
        </is>
      </c>
      <c r="M721" s="5" t="n">
        <v>0.16</v>
      </c>
      <c r="N721" s="5" t="n">
        <v>0</v>
      </c>
    </row>
    <row r="722">
      <c r="A722" t="n">
        <v>721</v>
      </c>
      <c r="B722" t="n">
        <v>2016</v>
      </c>
      <c r="C722" t="inlineStr">
        <is>
          <t>Elena Vukovic</t>
        </is>
      </c>
      <c r="D722">
        <f>HYPERLINK("https://ota.tournamentsoftware.com/player-profile/80B75DE2-D271-4234-BD86-FA7911D1C524", "Link")</f>
        <v/>
      </c>
      <c r="E722" s="3" t="n">
        <v>21.357</v>
      </c>
      <c r="F722" s="4" t="n">
        <v>4</v>
      </c>
      <c r="G722" t="inlineStr">
        <is>
          <t>Ontario Tennis Association</t>
        </is>
      </c>
      <c r="H722" t="inlineStr">
        <is>
          <t>Mayfair West Fitness &amp; Racquet Club</t>
        </is>
      </c>
      <c r="I722" t="n">
        <v>38.7</v>
      </c>
      <c r="J722" s="4" t="n">
        <v>64</v>
      </c>
      <c r="K722" t="inlineStr">
        <is>
          <t>22 / 42</t>
        </is>
      </c>
      <c r="L722" t="inlineStr">
        <is>
          <t>14 / 24</t>
        </is>
      </c>
      <c r="M722" s="5" t="n">
        <v>0.34</v>
      </c>
      <c r="N722" s="5" t="n">
        <v>0.37</v>
      </c>
    </row>
    <row r="723">
      <c r="A723" t="n">
        <v>722</v>
      </c>
      <c r="B723" t="n">
        <v>2017</v>
      </c>
      <c r="C723" t="inlineStr">
        <is>
          <t>Safiatou Ntentie Nchange</t>
        </is>
      </c>
      <c r="D723">
        <f>HYPERLINK("https://ota.tournamentsoftware.com/player-profile/5B1E15AE-3503-449A-B482-B98077F40A43", "Link")</f>
        <v/>
      </c>
      <c r="E723" s="3" t="n">
        <v>20.962</v>
      </c>
      <c r="F723" s="4" t="n">
        <v>9</v>
      </c>
      <c r="G723" t="inlineStr">
        <is>
          <t>Tennis Alberta</t>
        </is>
      </c>
      <c r="H723" t="inlineStr">
        <is>
          <t>No Club</t>
        </is>
      </c>
      <c r="I723" t="n">
        <v>35.2</v>
      </c>
      <c r="J723" s="4" t="n">
        <v>46</v>
      </c>
      <c r="K723" t="inlineStr">
        <is>
          <t>32 / 14</t>
        </is>
      </c>
      <c r="L723" t="inlineStr">
        <is>
          <t>28 / 13</t>
        </is>
      </c>
      <c r="M723" s="5" t="n">
        <v>0.7</v>
      </c>
      <c r="N723" s="5" t="n">
        <v>0.68</v>
      </c>
    </row>
    <row r="724">
      <c r="A724" t="n">
        <v>723</v>
      </c>
      <c r="B724" t="n">
        <v>2015</v>
      </c>
      <c r="C724" t="inlineStr">
        <is>
          <t>Autumn VandeCoevering</t>
        </is>
      </c>
      <c r="D724">
        <f>HYPERLINK("https://ota.tournamentsoftware.com/player-profile/1CD9DDAD-A036-4365-A97E-F88D56D4B94B", "Link")</f>
        <v/>
      </c>
      <c r="E724" s="3" t="n">
        <v>20.946</v>
      </c>
      <c r="F724" s="4" t="n">
        <v>3</v>
      </c>
      <c r="G724" t="inlineStr">
        <is>
          <t>Ontario Tennis Association</t>
        </is>
      </c>
      <c r="H724" t="inlineStr">
        <is>
          <t>Greenhills Golf Club</t>
        </is>
      </c>
      <c r="I724" t="inlineStr">
        <is>
          <t>unavailable</t>
        </is>
      </c>
      <c r="J724" s="4" t="n">
        <v>8</v>
      </c>
      <c r="K724" t="inlineStr">
        <is>
          <t>3 / 5</t>
        </is>
      </c>
      <c r="L724" t="inlineStr">
        <is>
          <t>3 / 5</t>
        </is>
      </c>
      <c r="M724" s="5" t="n">
        <v>0.38</v>
      </c>
      <c r="N724" s="5" t="n">
        <v>0.38</v>
      </c>
    </row>
    <row r="725">
      <c r="A725" t="n">
        <v>724</v>
      </c>
      <c r="B725" t="n">
        <v>2014</v>
      </c>
      <c r="C725" t="inlineStr">
        <is>
          <t>Marie Renaud</t>
        </is>
      </c>
      <c r="D725">
        <f>HYPERLINK("https://ota.tournamentsoftware.com/player-profile/9538BC58-3E12-400B-B7A6-AA4E495D60F5", "Link")</f>
        <v/>
      </c>
      <c r="E725" s="3" t="n">
        <v>20.916</v>
      </c>
      <c r="F725" s="4" t="n">
        <v>2</v>
      </c>
      <c r="G725" t="inlineStr">
        <is>
          <t>Tennis Québec</t>
        </is>
      </c>
      <c r="H725" t="inlineStr">
        <is>
          <t>Les Tennis de Rimouski (intérieur)</t>
        </is>
      </c>
      <c r="I725" t="inlineStr">
        <is>
          <t>unavailable</t>
        </is>
      </c>
      <c r="J725" s="4" t="n">
        <v>6</v>
      </c>
      <c r="K725" t="inlineStr">
        <is>
          <t>2 / 4</t>
        </is>
      </c>
      <c r="L725" t="inlineStr">
        <is>
          <t>2 / 4</t>
        </is>
      </c>
      <c r="M725" s="5" t="n">
        <v>0.33</v>
      </c>
      <c r="N725" s="5" t="n">
        <v>0.33</v>
      </c>
    </row>
    <row r="726">
      <c r="A726" t="n">
        <v>725</v>
      </c>
      <c r="B726" t="n">
        <v>2013</v>
      </c>
      <c r="C726" t="inlineStr">
        <is>
          <t>Vedika P Sant</t>
        </is>
      </c>
      <c r="D726">
        <f>HYPERLINK("https://ota.tournamentsoftware.com/player-profile/37441797-5F95-4518-997F-3F1602AC6E85", "Link")</f>
        <v/>
      </c>
      <c r="E726" s="3" t="n">
        <v>20.667</v>
      </c>
      <c r="F726" s="4" t="n">
        <v>1</v>
      </c>
      <c r="G726" t="inlineStr">
        <is>
          <t>Ontario Tennis Association</t>
        </is>
      </c>
      <c r="H726" t="inlineStr">
        <is>
          <t>Martingrove Tennis Club</t>
        </is>
      </c>
      <c r="I726" t="inlineStr">
        <is>
          <t>unavailable</t>
        </is>
      </c>
      <c r="J726" s="4" t="n">
        <v>8</v>
      </c>
      <c r="K726" t="inlineStr">
        <is>
          <t>2 / 6</t>
        </is>
      </c>
      <c r="L726" t="inlineStr">
        <is>
          <t>0 / 1</t>
        </is>
      </c>
      <c r="M726" s="5" t="n">
        <v>0.25</v>
      </c>
      <c r="N726" s="5" t="n">
        <v>0</v>
      </c>
    </row>
    <row r="727">
      <c r="A727" t="n">
        <v>726</v>
      </c>
      <c r="B727" t="n">
        <v>2013</v>
      </c>
      <c r="C727" t="inlineStr">
        <is>
          <t>Aura Hayer</t>
        </is>
      </c>
      <c r="D727">
        <f>HYPERLINK("https://ota.tournamentsoftware.com/player-profile/969F22DA-6980-4E13-BAE2-6BD2D0C08F88", "Link")</f>
        <v/>
      </c>
      <c r="E727" s="3" t="n">
        <v>20.562</v>
      </c>
      <c r="F727" s="4" t="n">
        <v>3</v>
      </c>
      <c r="G727" t="inlineStr">
        <is>
          <t>British Columbia</t>
        </is>
      </c>
      <c r="H727" t="inlineStr">
        <is>
          <t>Sunshine Hills Tennis Club</t>
        </is>
      </c>
      <c r="I727" t="n">
        <v>38.3</v>
      </c>
      <c r="J727" s="4" t="n">
        <v>105</v>
      </c>
      <c r="K727" t="inlineStr">
        <is>
          <t>32 / 73</t>
        </is>
      </c>
      <c r="L727" t="inlineStr">
        <is>
          <t>2 / 7</t>
        </is>
      </c>
      <c r="M727" s="5" t="n">
        <v>0.3</v>
      </c>
      <c r="N727" s="5" t="n">
        <v>0.22</v>
      </c>
    </row>
    <row r="728">
      <c r="A728" t="n">
        <v>727</v>
      </c>
      <c r="B728" t="n">
        <v>2016</v>
      </c>
      <c r="C728" t="inlineStr">
        <is>
          <t>Hazel Geng</t>
        </is>
      </c>
      <c r="D728">
        <f>HYPERLINK("https://ota.tournamentsoftware.com/player-profile/00BB4A74-B4FB-4FAC-B874-79D9E778FAAE", "Link")</f>
        <v/>
      </c>
      <c r="E728" s="3" t="n">
        <v>20.417</v>
      </c>
      <c r="F728" s="4" t="n">
        <v>4</v>
      </c>
      <c r="G728" t="inlineStr">
        <is>
          <t>British Columbia</t>
        </is>
      </c>
      <c r="H728" t="inlineStr">
        <is>
          <t>Vancouver Lawn Tennis and Badminton Club</t>
        </is>
      </c>
      <c r="I728" t="n">
        <v>36.1</v>
      </c>
      <c r="J728" s="4" t="n">
        <v>48</v>
      </c>
      <c r="K728" t="inlineStr">
        <is>
          <t>15 / 33</t>
        </is>
      </c>
      <c r="L728" t="inlineStr">
        <is>
          <t>8 / 5</t>
        </is>
      </c>
      <c r="M728" s="5" t="n">
        <v>0.31</v>
      </c>
      <c r="N728" s="5" t="n">
        <v>0.62</v>
      </c>
    </row>
    <row r="729">
      <c r="A729" t="n">
        <v>728</v>
      </c>
      <c r="B729" t="n">
        <v>2013</v>
      </c>
      <c r="C729" t="inlineStr">
        <is>
          <t>Yu Nohara</t>
        </is>
      </c>
      <c r="D729">
        <f>HYPERLINK("https://ota.tournamentsoftware.com/player-profile/4AB57DE3-C832-4B9F-8F8F-AECBF5EE5A81", "Link")</f>
        <v/>
      </c>
      <c r="E729" s="3" t="n">
        <v>20.288</v>
      </c>
      <c r="F729" s="4" t="n">
        <v>2</v>
      </c>
      <c r="G729" t="inlineStr">
        <is>
          <t>British Columbia</t>
        </is>
      </c>
      <c r="H729" t="inlineStr">
        <is>
          <t>Tennis for Life</t>
        </is>
      </c>
      <c r="I729" t="n">
        <v>36.5</v>
      </c>
      <c r="J729" s="4" t="n">
        <v>20</v>
      </c>
      <c r="K729" t="inlineStr">
        <is>
          <t>9 / 11</t>
        </is>
      </c>
      <c r="L729" t="inlineStr">
        <is>
          <t>1 / 3</t>
        </is>
      </c>
      <c r="M729" s="5" t="n">
        <v>0.45</v>
      </c>
      <c r="N729" s="5" t="n">
        <v>0.25</v>
      </c>
    </row>
    <row r="730">
      <c r="A730" t="n">
        <v>729</v>
      </c>
      <c r="B730" t="n">
        <v>2013</v>
      </c>
      <c r="C730" t="inlineStr">
        <is>
          <t>Rebecca Maria Marcu</t>
        </is>
      </c>
      <c r="D730">
        <f>HYPERLINK("https://ota.tournamentsoftware.com/player-profile/1A9DB997-6193-4975-8534-F68D4F83BF32", "Link")</f>
        <v/>
      </c>
      <c r="E730" s="3" t="n">
        <v>20.131</v>
      </c>
      <c r="F730" s="4" t="n">
        <v>2</v>
      </c>
      <c r="G730" t="inlineStr">
        <is>
          <t>Ontario Tennis Association</t>
        </is>
      </c>
      <c r="H730" t="inlineStr">
        <is>
          <t>National Capital Tennis Association</t>
        </is>
      </c>
      <c r="I730" t="inlineStr">
        <is>
          <t>unavailable</t>
        </is>
      </c>
      <c r="J730" s="4" t="n">
        <v>4</v>
      </c>
      <c r="K730" t="inlineStr">
        <is>
          <t>1 / 3</t>
        </is>
      </c>
      <c r="L730" t="inlineStr">
        <is>
          <t>0 / 2</t>
        </is>
      </c>
      <c r="M730" s="5" t="n">
        <v>0.25</v>
      </c>
      <c r="N730" s="5" t="n">
        <v>0</v>
      </c>
    </row>
    <row r="731">
      <c r="A731" t="n">
        <v>730</v>
      </c>
      <c r="B731" t="n">
        <v>2014</v>
      </c>
      <c r="C731" t="inlineStr">
        <is>
          <t>Sophia Marietta Dee</t>
        </is>
      </c>
      <c r="D731">
        <f>HYPERLINK("https://ota.tournamentsoftware.com/player-profile/C69F5ADB-3749-4D97-A809-250A73BB30C1", "Link")</f>
        <v/>
      </c>
      <c r="E731" s="3" t="n">
        <v>20.063</v>
      </c>
      <c r="F731" s="4" t="n">
        <v>7</v>
      </c>
      <c r="G731" t="inlineStr">
        <is>
          <t>British Columbia</t>
        </is>
      </c>
      <c r="H731" t="inlineStr">
        <is>
          <t>Arbutus Club</t>
        </is>
      </c>
      <c r="I731" t="n">
        <v>36.8</v>
      </c>
      <c r="J731" s="4" t="n">
        <v>42</v>
      </c>
      <c r="K731" t="inlineStr">
        <is>
          <t>15 / 27</t>
        </is>
      </c>
      <c r="L731" t="inlineStr">
        <is>
          <t>6 / 8</t>
        </is>
      </c>
      <c r="M731" s="5" t="n">
        <v>0.36</v>
      </c>
      <c r="N731" s="5" t="n">
        <v>0.43</v>
      </c>
    </row>
    <row r="732">
      <c r="A732" t="n">
        <v>731</v>
      </c>
      <c r="B732" t="n">
        <v>2015</v>
      </c>
      <c r="C732" t="inlineStr">
        <is>
          <t>Isla Cowper</t>
        </is>
      </c>
      <c r="D732">
        <f>HYPERLINK("https://ota.tournamentsoftware.com/player-profile/B4F82BC2-5552-446F-89FC-C5F7C7A674B7", "Link")</f>
        <v/>
      </c>
      <c r="E732" s="3" t="n">
        <v>20.032</v>
      </c>
      <c r="F732" s="4" t="n">
        <v>7</v>
      </c>
      <c r="G732" t="inlineStr">
        <is>
          <t>Ontario Tennis Association</t>
        </is>
      </c>
      <c r="H732" t="inlineStr">
        <is>
          <t>Tam Heather Tennis Club</t>
        </is>
      </c>
      <c r="I732" t="n">
        <v>38.9</v>
      </c>
      <c r="J732" s="4" t="n">
        <v>76</v>
      </c>
      <c r="K732" t="inlineStr">
        <is>
          <t>35 / 41</t>
        </is>
      </c>
      <c r="L732" t="inlineStr">
        <is>
          <t>15 / 17</t>
        </is>
      </c>
      <c r="M732" s="5" t="n">
        <v>0.46</v>
      </c>
      <c r="N732" s="5" t="n">
        <v>0.47</v>
      </c>
    </row>
    <row r="733">
      <c r="A733" t="n">
        <v>732</v>
      </c>
      <c r="B733" t="n">
        <v>2012</v>
      </c>
      <c r="C733" t="inlineStr">
        <is>
          <t>Emily Chai</t>
        </is>
      </c>
      <c r="D733">
        <f>HYPERLINK("https://ota.tournamentsoftware.com/player-profile/0DE38792-F237-4087-A5C1-369B6A3E0088", "Link")</f>
        <v/>
      </c>
      <c r="E733" s="3" t="n">
        <v>19.958</v>
      </c>
      <c r="F733" s="4" t="n">
        <v>2</v>
      </c>
      <c r="G733" t="inlineStr">
        <is>
          <t>Ontario Tennis Association</t>
        </is>
      </c>
      <c r="H733" t="inlineStr">
        <is>
          <t>ON Tennis Toronto No Club</t>
        </is>
      </c>
      <c r="I733" t="n">
        <v>38.4</v>
      </c>
      <c r="J733" s="4" t="n">
        <v>7</v>
      </c>
      <c r="K733" t="inlineStr">
        <is>
          <t>1 / 6</t>
        </is>
      </c>
      <c r="L733" t="inlineStr">
        <is>
          <t>1 / 6</t>
        </is>
      </c>
      <c r="M733" s="5" t="n">
        <v>0.14</v>
      </c>
      <c r="N733" s="5" t="n">
        <v>0.14</v>
      </c>
    </row>
    <row r="734">
      <c r="A734" t="n">
        <v>733</v>
      </c>
      <c r="B734" t="n">
        <v>2014</v>
      </c>
      <c r="C734" t="inlineStr">
        <is>
          <t>Saisha Sharma</t>
        </is>
      </c>
      <c r="D734">
        <f>HYPERLINK("https://ota.tournamentsoftware.com/player-profile/4141EEE9-8372-4477-B6C4-DE0E9616249B", "Link")</f>
        <v/>
      </c>
      <c r="E734" s="3" t="n">
        <v>19.895</v>
      </c>
      <c r="F734" s="4" t="n">
        <v>6</v>
      </c>
      <c r="G734" t="inlineStr">
        <is>
          <t>Ontario Tennis Association</t>
        </is>
      </c>
      <c r="H734" t="inlineStr">
        <is>
          <t>Premier Racquet Clubs – Brampton</t>
        </is>
      </c>
      <c r="I734" t="n">
        <v>38.9</v>
      </c>
      <c r="J734" s="4" t="n">
        <v>20</v>
      </c>
      <c r="K734" t="inlineStr">
        <is>
          <t>11 / 9</t>
        </is>
      </c>
      <c r="L734" t="inlineStr">
        <is>
          <t>11 / 9</t>
        </is>
      </c>
      <c r="M734" s="5" t="n">
        <v>0.55</v>
      </c>
      <c r="N734" s="5" t="n">
        <v>0.55</v>
      </c>
    </row>
    <row r="735">
      <c r="A735" t="n">
        <v>734</v>
      </c>
      <c r="B735" t="n">
        <v>2014</v>
      </c>
      <c r="C735" t="inlineStr">
        <is>
          <t>Mia Baker</t>
        </is>
      </c>
      <c r="D735">
        <f>HYPERLINK("https://ota.tournamentsoftware.com/player-profile/ABFF2DBE-5CD7-451A-B77E-526F2DB67DA2", "Link")</f>
        <v/>
      </c>
      <c r="E735" s="3" t="n">
        <v>19.695</v>
      </c>
      <c r="F735" s="4" t="n">
        <v>9</v>
      </c>
      <c r="G735" t="inlineStr">
        <is>
          <t>Tennis Québec</t>
        </is>
      </c>
      <c r="H735" t="inlineStr">
        <is>
          <t>SANI Sport</t>
        </is>
      </c>
      <c r="I735" t="n">
        <v>39.6</v>
      </c>
      <c r="J735" s="4" t="n">
        <v>63</v>
      </c>
      <c r="K735" t="inlineStr">
        <is>
          <t>3 / 60</t>
        </is>
      </c>
      <c r="L735" t="inlineStr">
        <is>
          <t>1 / 14</t>
        </is>
      </c>
      <c r="M735" s="5" t="n">
        <v>0.05</v>
      </c>
      <c r="N735" s="5" t="n">
        <v>0.07000000000000001</v>
      </c>
    </row>
    <row r="736">
      <c r="A736" t="n">
        <v>735</v>
      </c>
      <c r="B736" t="n">
        <v>2016</v>
      </c>
      <c r="C736" t="inlineStr">
        <is>
          <t>Heidi Liu</t>
        </is>
      </c>
      <c r="D736">
        <f>HYPERLINK("https://ota.tournamentsoftware.com/player-profile/E3F0466B-50E4-4105-A35A-1BB6B1C1C09C", "Link")</f>
        <v/>
      </c>
      <c r="E736" s="3" t="n">
        <v>19.65</v>
      </c>
      <c r="F736" s="4" t="n">
        <v>7</v>
      </c>
      <c r="G736" t="inlineStr">
        <is>
          <t>British Columbia</t>
        </is>
      </c>
      <c r="H736" t="inlineStr">
        <is>
          <t>UBC Tennis Centre</t>
        </is>
      </c>
      <c r="I736" t="n">
        <v>37.9</v>
      </c>
      <c r="J736" s="4" t="n">
        <v>79</v>
      </c>
      <c r="K736" t="inlineStr">
        <is>
          <t>45 / 34</t>
        </is>
      </c>
      <c r="L736" t="inlineStr">
        <is>
          <t>22 / 21</t>
        </is>
      </c>
      <c r="M736" s="5" t="n">
        <v>0.57</v>
      </c>
      <c r="N736" s="5" t="n">
        <v>0.51</v>
      </c>
    </row>
    <row r="737">
      <c r="A737" t="n">
        <v>736</v>
      </c>
      <c r="B737" t="n">
        <v>2017</v>
      </c>
      <c r="C737" t="inlineStr">
        <is>
          <t>Mackenzie Alexandra Greer</t>
        </is>
      </c>
      <c r="D737">
        <f>HYPERLINK("https://ota.tournamentsoftware.com/player-profile/E975EEBE-CD33-46CE-BFFF-1BB5A6FB8672", "Link")</f>
        <v/>
      </c>
      <c r="E737" s="3" t="n">
        <v>19.44</v>
      </c>
      <c r="F737" s="4" t="n">
        <v>3</v>
      </c>
      <c r="G737" t="inlineStr">
        <is>
          <t>Ontario Tennis Association</t>
        </is>
      </c>
      <c r="H737" t="inlineStr">
        <is>
          <t>Stefanovic Tennis Academy</t>
        </is>
      </c>
      <c r="I737" t="n">
        <v>37.2</v>
      </c>
      <c r="J737" s="4" t="n">
        <v>171</v>
      </c>
      <c r="K737" t="inlineStr">
        <is>
          <t>141 / 30</t>
        </is>
      </c>
      <c r="L737" t="inlineStr">
        <is>
          <t>97 / 12</t>
        </is>
      </c>
      <c r="M737" s="5" t="n">
        <v>0.82</v>
      </c>
      <c r="N737" s="5" t="n">
        <v>0.89</v>
      </c>
    </row>
    <row r="738">
      <c r="A738" t="n">
        <v>737</v>
      </c>
      <c r="B738" t="n">
        <v>2012</v>
      </c>
      <c r="C738" t="inlineStr">
        <is>
          <t>Rachael Qing Xu</t>
        </is>
      </c>
      <c r="D738">
        <f>HYPERLINK("https://ota.tournamentsoftware.com/player-profile/EF0FB6C4-F27A-45FB-BD75-3C3F4D9EF188", "Link")</f>
        <v/>
      </c>
      <c r="E738" s="3" t="n">
        <v>19.385</v>
      </c>
      <c r="F738" s="4" t="n">
        <v>1</v>
      </c>
      <c r="G738" t="inlineStr">
        <is>
          <t>Ontario Tennis Association</t>
        </is>
      </c>
      <c r="H738" t="inlineStr">
        <is>
          <t>Rosedale Tennis Club (Hamilton)</t>
        </is>
      </c>
      <c r="I738" t="n">
        <v>37.2</v>
      </c>
      <c r="J738" s="4" t="n">
        <v>55</v>
      </c>
      <c r="K738" t="inlineStr">
        <is>
          <t>20 / 35</t>
        </is>
      </c>
      <c r="L738" t="inlineStr">
        <is>
          <t>0 / 0</t>
        </is>
      </c>
      <c r="M738" s="5" t="n">
        <v>0.36</v>
      </c>
      <c r="N738" s="5" t="n">
        <v>0</v>
      </c>
    </row>
    <row r="739">
      <c r="A739" t="n">
        <v>738</v>
      </c>
      <c r="B739" t="n">
        <v>2014</v>
      </c>
      <c r="C739" t="inlineStr">
        <is>
          <t>Camilia Aroub</t>
        </is>
      </c>
      <c r="D739">
        <f>HYPERLINK("https://ota.tournamentsoftware.com/player-profile/7CE0472D-53F2-438D-B060-8BB037C14F01", "Link")</f>
        <v/>
      </c>
      <c r="E739" s="3" t="n">
        <v>18.866</v>
      </c>
      <c r="F739" s="4" t="n">
        <v>8</v>
      </c>
      <c r="G739" t="inlineStr">
        <is>
          <t>Tennis Québec</t>
        </is>
      </c>
      <c r="H739" t="inlineStr">
        <is>
          <t>Club Sportif Côte-de-Liesse</t>
        </is>
      </c>
      <c r="I739" t="n">
        <v>40</v>
      </c>
      <c r="J739" s="4" t="n">
        <v>16</v>
      </c>
      <c r="K739" t="inlineStr">
        <is>
          <t>2 / 14</t>
        </is>
      </c>
      <c r="L739" t="inlineStr">
        <is>
          <t>2 / 11</t>
        </is>
      </c>
      <c r="M739" s="5" t="n">
        <v>0.12</v>
      </c>
      <c r="N739" s="5" t="n">
        <v>0.15</v>
      </c>
    </row>
    <row r="740">
      <c r="A740" t="n">
        <v>739</v>
      </c>
      <c r="B740" t="n">
        <v>2012</v>
      </c>
      <c r="C740" t="inlineStr">
        <is>
          <t>Maddy Frances Hughes</t>
        </is>
      </c>
      <c r="D740">
        <f>HYPERLINK("https://ota.tournamentsoftware.com/player-profile/78566C46-653E-4667-ADCE-638FA56C318F", "Link")</f>
        <v/>
      </c>
      <c r="E740" s="3" t="n">
        <v>18.771</v>
      </c>
      <c r="F740" s="4" t="n">
        <v>2</v>
      </c>
      <c r="G740" t="inlineStr">
        <is>
          <t>Ontario Tennis Association</t>
        </is>
      </c>
      <c r="H740" t="inlineStr">
        <is>
          <t>Boulevard Club</t>
        </is>
      </c>
      <c r="I740" t="n">
        <v>37.7</v>
      </c>
      <c r="J740" s="4" t="n">
        <v>41</v>
      </c>
      <c r="K740" t="inlineStr">
        <is>
          <t>16 / 25</t>
        </is>
      </c>
      <c r="L740" t="inlineStr">
        <is>
          <t>4 / 7</t>
        </is>
      </c>
      <c r="M740" s="5" t="n">
        <v>0.39</v>
      </c>
      <c r="N740" s="5" t="n">
        <v>0.36</v>
      </c>
    </row>
    <row r="741">
      <c r="A741" t="n">
        <v>740</v>
      </c>
      <c r="B741" t="n">
        <v>2014</v>
      </c>
      <c r="C741" t="inlineStr">
        <is>
          <t>Avery Rose Kon</t>
        </is>
      </c>
      <c r="D741">
        <f>HYPERLINK("https://ota.tournamentsoftware.com/player-profile/3F621439-578C-4BDD-A8A2-880ECC795615", "Link")</f>
        <v/>
      </c>
      <c r="E741" s="3" t="n">
        <v>18.717</v>
      </c>
      <c r="F741" s="4" t="n">
        <v>4</v>
      </c>
      <c r="G741" t="inlineStr">
        <is>
          <t>Ontario Tennis Association</t>
        </is>
      </c>
      <c r="H741" t="inlineStr">
        <is>
          <t>Toronto Lawn Tennis Club</t>
        </is>
      </c>
      <c r="I741" t="n">
        <v>37.9</v>
      </c>
      <c r="J741" s="4" t="n">
        <v>10</v>
      </c>
      <c r="K741" t="inlineStr">
        <is>
          <t>1 / 9</t>
        </is>
      </c>
      <c r="L741" t="inlineStr">
        <is>
          <t>0 / 4</t>
        </is>
      </c>
      <c r="M741" s="5" t="n">
        <v>0.1</v>
      </c>
      <c r="N741" s="5" t="n">
        <v>0</v>
      </c>
    </row>
    <row r="742">
      <c r="A742" t="n">
        <v>741</v>
      </c>
      <c r="B742" t="n">
        <v>2015</v>
      </c>
      <c r="C742" t="inlineStr">
        <is>
          <t>ALYSSA MA</t>
        </is>
      </c>
      <c r="D742">
        <f>HYPERLINK("https://ota.tournamentsoftware.com/player-profile/7C80CDC4-31A2-4667-A2A3-AE7AD2699300", "Link")</f>
        <v/>
      </c>
      <c r="E742" s="3" t="n">
        <v>18.546</v>
      </c>
      <c r="F742" s="4" t="n">
        <v>4</v>
      </c>
      <c r="G742" t="inlineStr">
        <is>
          <t>Ontario Tennis Association</t>
        </is>
      </c>
      <c r="H742" t="inlineStr">
        <is>
          <t>Blackmore Tennis Club</t>
        </is>
      </c>
      <c r="I742" t="n">
        <v>38.4</v>
      </c>
      <c r="J742" s="4" t="n">
        <v>17</v>
      </c>
      <c r="K742" t="inlineStr">
        <is>
          <t>7 / 10</t>
        </is>
      </c>
      <c r="L742" t="inlineStr">
        <is>
          <t>1 / 7</t>
        </is>
      </c>
      <c r="M742" s="5" t="n">
        <v>0.41</v>
      </c>
      <c r="N742" s="5" t="n">
        <v>0.12</v>
      </c>
    </row>
    <row r="743">
      <c r="A743" t="n">
        <v>742</v>
      </c>
      <c r="B743" t="n">
        <v>2012</v>
      </c>
      <c r="C743" t="inlineStr">
        <is>
          <t>Diya Parkash</t>
        </is>
      </c>
      <c r="D743">
        <f>HYPERLINK("https://ota.tournamentsoftware.com/player-profile/73A3C93B-23D0-4FC2-9B92-CA5DFE4335FD", "Link")</f>
        <v/>
      </c>
      <c r="E743" s="3" t="n">
        <v>18.484</v>
      </c>
      <c r="F743" s="4" t="n">
        <v>1</v>
      </c>
      <c r="G743" t="inlineStr">
        <is>
          <t>Tennis Nova Scotia</t>
        </is>
      </c>
      <c r="H743" t="inlineStr">
        <is>
          <t>HEADSTART</t>
        </is>
      </c>
      <c r="I743" t="n">
        <v>36.8</v>
      </c>
      <c r="J743" s="4" t="n">
        <v>6</v>
      </c>
      <c r="K743" t="inlineStr">
        <is>
          <t>3 / 3</t>
        </is>
      </c>
      <c r="L743" t="inlineStr">
        <is>
          <t>3 / 3</t>
        </is>
      </c>
      <c r="M743" s="5" t="n">
        <v>0.5</v>
      </c>
      <c r="N743" s="5" t="n">
        <v>0.5</v>
      </c>
    </row>
    <row r="744">
      <c r="A744" t="n">
        <v>743</v>
      </c>
      <c r="B744" t="n">
        <v>2013</v>
      </c>
      <c r="C744" t="inlineStr">
        <is>
          <t>Eve Fuemana</t>
        </is>
      </c>
      <c r="D744">
        <f>HYPERLINK("https://ota.tournamentsoftware.com/player-profile/C6B89948-0347-4A82-9588-926B794A08CE", "Link")</f>
        <v/>
      </c>
      <c r="E744" s="3" t="n">
        <v>18.447</v>
      </c>
      <c r="F744" s="4" t="n">
        <v>1</v>
      </c>
      <c r="G744" t="inlineStr">
        <is>
          <t>Ontario Tennis Association</t>
        </is>
      </c>
      <c r="H744" t="inlineStr">
        <is>
          <t>Toronto Tennis City</t>
        </is>
      </c>
      <c r="I744" t="n">
        <v>28.3</v>
      </c>
      <c r="J744" s="4" t="n">
        <v>3</v>
      </c>
      <c r="K744" t="inlineStr">
        <is>
          <t>0 / 3</t>
        </is>
      </c>
      <c r="L744" t="inlineStr">
        <is>
          <t>0 / 1</t>
        </is>
      </c>
      <c r="M744" s="5" t="n">
        <v>0</v>
      </c>
      <c r="N744" s="5" t="n">
        <v>0</v>
      </c>
    </row>
    <row r="745">
      <c r="A745" t="n">
        <v>744</v>
      </c>
      <c r="B745" t="n">
        <v>2014</v>
      </c>
      <c r="C745" t="inlineStr">
        <is>
          <t>Éloïse Renaud</t>
        </is>
      </c>
      <c r="D745">
        <f>HYPERLINK("https://ota.tournamentsoftware.com/player-profile/B18DE2B4-0E8A-4263-8136-FCC7F7A61D01", "Link")</f>
        <v/>
      </c>
      <c r="E745" s="3" t="n">
        <v>18.36</v>
      </c>
      <c r="F745" s="4" t="n">
        <v>4</v>
      </c>
      <c r="G745" t="inlineStr">
        <is>
          <t>Tennis Québec</t>
        </is>
      </c>
      <c r="H745" t="inlineStr">
        <is>
          <t>Tennis 13</t>
        </is>
      </c>
      <c r="I745" t="inlineStr">
        <is>
          <t>unavailable</t>
        </is>
      </c>
      <c r="J745" s="4" t="n">
        <v>8</v>
      </c>
      <c r="K745" t="inlineStr">
        <is>
          <t>4 / 4</t>
        </is>
      </c>
      <c r="L745" t="inlineStr">
        <is>
          <t>1 / 2</t>
        </is>
      </c>
      <c r="M745" s="5" t="n">
        <v>0.5</v>
      </c>
      <c r="N745" s="5" t="n">
        <v>0.33</v>
      </c>
    </row>
    <row r="746">
      <c r="A746" t="n">
        <v>745</v>
      </c>
      <c r="B746" t="n">
        <v>2015</v>
      </c>
      <c r="C746" t="inlineStr">
        <is>
          <t>Simone Tremblay-Roy</t>
        </is>
      </c>
      <c r="D746">
        <f>HYPERLINK("https://ota.tournamentsoftware.com/player-profile/E7E1A20D-ED12-47F1-913D-3022C4BE6070", "Link")</f>
        <v/>
      </c>
      <c r="E746" s="3" t="n">
        <v>18.332</v>
      </c>
      <c r="F746" s="4" t="n">
        <v>2</v>
      </c>
      <c r="G746" t="inlineStr">
        <is>
          <t>Tennis Québec</t>
        </is>
      </c>
      <c r="H746" t="inlineStr">
        <is>
          <t>Club de tennis intérieur Saguenay</t>
        </is>
      </c>
      <c r="I746" t="n">
        <v>37.4</v>
      </c>
      <c r="J746" s="4" t="n">
        <v>7</v>
      </c>
      <c r="K746" t="inlineStr">
        <is>
          <t>4 / 3</t>
        </is>
      </c>
      <c r="L746" t="inlineStr">
        <is>
          <t>1 / 3</t>
        </is>
      </c>
      <c r="M746" s="5" t="n">
        <v>0.57</v>
      </c>
      <c r="N746" s="5" t="n">
        <v>0.25</v>
      </c>
    </row>
    <row r="747">
      <c r="A747" t="n">
        <v>746</v>
      </c>
      <c r="B747" t="n">
        <v>2015</v>
      </c>
      <c r="C747" t="inlineStr">
        <is>
          <t>Olive Allen</t>
        </is>
      </c>
      <c r="D747">
        <f>HYPERLINK("https://ota.tournamentsoftware.com/player-profile/B0709DF4-F657-4BE5-870B-1467DB919D18", "Link")</f>
        <v/>
      </c>
      <c r="E747" s="3" t="n">
        <v>18.145</v>
      </c>
      <c r="F747" s="4" t="n">
        <v>5</v>
      </c>
      <c r="G747" t="inlineStr">
        <is>
          <t>British Columbia</t>
        </is>
      </c>
      <c r="H747" t="inlineStr">
        <is>
          <t>Hollyburn Country Club</t>
        </is>
      </c>
      <c r="I747" t="n">
        <v>39.3</v>
      </c>
      <c r="J747" s="4" t="n">
        <v>43</v>
      </c>
      <c r="K747" t="inlineStr">
        <is>
          <t>14 / 29</t>
        </is>
      </c>
      <c r="L747" t="inlineStr">
        <is>
          <t>5 / 13</t>
        </is>
      </c>
      <c r="M747" s="5" t="n">
        <v>0.33</v>
      </c>
      <c r="N747" s="5" t="n">
        <v>0.28</v>
      </c>
    </row>
    <row r="748">
      <c r="A748" t="n">
        <v>747</v>
      </c>
      <c r="B748" t="n">
        <v>2012</v>
      </c>
      <c r="C748" t="inlineStr">
        <is>
          <t>Emma Gao</t>
        </is>
      </c>
      <c r="D748">
        <f>HYPERLINK("https://ota.tournamentsoftware.com/player-profile/C88BC343-3DFB-493C-85F2-14F8A90F6D68", "Link")</f>
        <v/>
      </c>
      <c r="E748" s="3" t="n">
        <v>18.144</v>
      </c>
      <c r="F748" s="4" t="n">
        <v>2</v>
      </c>
      <c r="G748" t="inlineStr">
        <is>
          <t>British Columbia</t>
        </is>
      </c>
      <c r="H748" t="inlineStr">
        <is>
          <t>Tennis for Life</t>
        </is>
      </c>
      <c r="I748" t="inlineStr">
        <is>
          <t>unavailable</t>
        </is>
      </c>
      <c r="J748" s="4" t="n">
        <v>33</v>
      </c>
      <c r="K748" t="inlineStr">
        <is>
          <t>9 / 24</t>
        </is>
      </c>
      <c r="L748" t="inlineStr">
        <is>
          <t>0 / 5</t>
        </is>
      </c>
      <c r="M748" s="5" t="n">
        <v>0.27</v>
      </c>
      <c r="N748" s="5" t="n">
        <v>0</v>
      </c>
    </row>
    <row r="749">
      <c r="A749" t="n">
        <v>748</v>
      </c>
      <c r="B749" t="n">
        <v>2014</v>
      </c>
      <c r="C749" t="inlineStr">
        <is>
          <t>Evelyn Foley</t>
        </is>
      </c>
      <c r="D749">
        <f>HYPERLINK("https://ota.tournamentsoftware.com/player-profile/1F8F4FE3-682A-4202-963D-8D61AA21A323", "Link")</f>
        <v/>
      </c>
      <c r="E749" s="3" t="n">
        <v>18.017</v>
      </c>
      <c r="F749" s="4" t="n">
        <v>2</v>
      </c>
      <c r="G749" t="inlineStr">
        <is>
          <t>British Columbia</t>
        </is>
      </c>
      <c r="H749" t="inlineStr">
        <is>
          <t>North Shore Winter Club</t>
        </is>
      </c>
      <c r="I749" t="n">
        <v>36.4</v>
      </c>
      <c r="J749" s="4" t="n">
        <v>5</v>
      </c>
      <c r="K749" t="inlineStr">
        <is>
          <t>2 / 3</t>
        </is>
      </c>
      <c r="L749" t="inlineStr">
        <is>
          <t>2 / 3</t>
        </is>
      </c>
      <c r="M749" s="5" t="n">
        <v>0.4</v>
      </c>
      <c r="N749" s="5" t="n">
        <v>0.4</v>
      </c>
    </row>
    <row r="750">
      <c r="A750" t="n">
        <v>749</v>
      </c>
      <c r="B750" t="n">
        <v>2015</v>
      </c>
      <c r="C750" t="inlineStr">
        <is>
          <t>Valentina Barrera Salazar</t>
        </is>
      </c>
      <c r="D750">
        <f>HYPERLINK("https://ota.tournamentsoftware.com/player-profile/8BE2D3BB-B3F1-4BC1-82A2-EBFE82844920", "Link")</f>
        <v/>
      </c>
      <c r="E750" s="3" t="n">
        <v>18</v>
      </c>
      <c r="F750" s="4" t="n">
        <v>1</v>
      </c>
      <c r="G750" t="inlineStr">
        <is>
          <t>Tennis Québec</t>
        </is>
      </c>
      <c r="H750" t="inlineStr">
        <is>
          <t>No Club</t>
        </is>
      </c>
      <c r="I750" t="inlineStr">
        <is>
          <t>unavailable</t>
        </is>
      </c>
      <c r="J750" s="4" t="n">
        <v>3</v>
      </c>
      <c r="K750" t="inlineStr">
        <is>
          <t>0 / 3</t>
        </is>
      </c>
      <c r="L750" t="inlineStr">
        <is>
          <t>0 / 3</t>
        </is>
      </c>
      <c r="M750" s="5" t="n">
        <v>0</v>
      </c>
      <c r="N750" s="5" t="n">
        <v>0</v>
      </c>
    </row>
    <row r="751">
      <c r="A751" t="n">
        <v>750</v>
      </c>
      <c r="B751" t="n">
        <v>2014</v>
      </c>
      <c r="C751" t="inlineStr">
        <is>
          <t>Neiva George</t>
        </is>
      </c>
      <c r="D751">
        <f>HYPERLINK("https://ota.tournamentsoftware.com/player-profile/1A9BA311-0F1E-40A7-9341-ECED97AEEBBD", "Link")</f>
        <v/>
      </c>
      <c r="E751" s="3" t="n">
        <v>17.766</v>
      </c>
      <c r="F751" s="4" t="n">
        <v>3</v>
      </c>
      <c r="G751" t="inlineStr">
        <is>
          <t>Ontario Tennis Association</t>
        </is>
      </c>
      <c r="H751" t="inlineStr">
        <is>
          <t>Headwaters Racquet Club</t>
        </is>
      </c>
      <c r="I751" t="n">
        <v>38.2</v>
      </c>
      <c r="J751" s="4" t="n">
        <v>47</v>
      </c>
      <c r="K751" t="inlineStr">
        <is>
          <t>23 / 24</t>
        </is>
      </c>
      <c r="L751" t="inlineStr">
        <is>
          <t>7 / 6</t>
        </is>
      </c>
      <c r="M751" s="5" t="n">
        <v>0.49</v>
      </c>
      <c r="N751" s="5" t="n">
        <v>0.54</v>
      </c>
    </row>
    <row r="752">
      <c r="A752" t="n">
        <v>751</v>
      </c>
      <c r="B752" t="n">
        <v>2015</v>
      </c>
      <c r="C752" t="inlineStr">
        <is>
          <t>Juliette Merino</t>
        </is>
      </c>
      <c r="D752">
        <f>HYPERLINK("https://ota.tournamentsoftware.com/player-profile/E3FBD49F-6297-464B-AD97-8C82D2E93FB7", "Link")</f>
        <v/>
      </c>
      <c r="E752" s="3" t="n">
        <v>17.623</v>
      </c>
      <c r="F752" s="4" t="n">
        <v>3</v>
      </c>
      <c r="G752" t="inlineStr">
        <is>
          <t>Ontario Tennis Association</t>
        </is>
      </c>
      <c r="H752" t="inlineStr">
        <is>
          <t>Ontario Racquet Club</t>
        </is>
      </c>
      <c r="I752" t="inlineStr">
        <is>
          <t>unavailable</t>
        </is>
      </c>
      <c r="J752" s="4" t="n">
        <v>35</v>
      </c>
      <c r="K752" t="inlineStr">
        <is>
          <t>12 / 23</t>
        </is>
      </c>
      <c r="L752" t="inlineStr">
        <is>
          <t>3 / 9</t>
        </is>
      </c>
      <c r="M752" s="5" t="n">
        <v>0.34</v>
      </c>
      <c r="N752" s="5" t="n">
        <v>0.25</v>
      </c>
    </row>
    <row r="753">
      <c r="A753" t="n">
        <v>752</v>
      </c>
      <c r="B753" t="n">
        <v>2014</v>
      </c>
      <c r="C753" t="inlineStr">
        <is>
          <t>Camila Danielle Arias</t>
        </is>
      </c>
      <c r="D753">
        <f>HYPERLINK("https://ota.tournamentsoftware.com/player-profile/7E2B5B8F-95C7-4374-8F7F-D60E81CAB657", "Link")</f>
        <v/>
      </c>
      <c r="E753" s="3" t="n">
        <v>17.39</v>
      </c>
      <c r="F753" s="4" t="n">
        <v>5</v>
      </c>
      <c r="G753" t="inlineStr">
        <is>
          <t>Tennis Québec</t>
        </is>
      </c>
      <c r="H753" t="inlineStr">
        <is>
          <t>SANI Sport</t>
        </is>
      </c>
      <c r="I753" t="inlineStr">
        <is>
          <t>unavailable</t>
        </is>
      </c>
      <c r="J753" s="4" t="n">
        <v>40</v>
      </c>
      <c r="K753" t="inlineStr">
        <is>
          <t>13 / 27</t>
        </is>
      </c>
      <c r="L753" t="inlineStr">
        <is>
          <t>4 / 4</t>
        </is>
      </c>
      <c r="M753" s="5" t="n">
        <v>0.33</v>
      </c>
      <c r="N753" s="5" t="n">
        <v>0.5</v>
      </c>
    </row>
    <row r="754">
      <c r="A754" t="n">
        <v>753</v>
      </c>
      <c r="B754" t="n">
        <v>2016</v>
      </c>
      <c r="C754" t="inlineStr">
        <is>
          <t>Nourine Chebitou</t>
        </is>
      </c>
      <c r="D754">
        <f>HYPERLINK("https://ota.tournamentsoftware.com/player-profile/7B847012-F77E-40EE-A816-39ABE1031DA9", "Link")</f>
        <v/>
      </c>
      <c r="E754" s="3" t="n">
        <v>17.28</v>
      </c>
      <c r="F754" s="4" t="n">
        <v>1</v>
      </c>
      <c r="G754" t="inlineStr">
        <is>
          <t>Tennis Québec</t>
        </is>
      </c>
      <c r="H754" t="inlineStr">
        <is>
          <t>SANI Sport</t>
        </is>
      </c>
      <c r="I754" t="n">
        <v>37.3</v>
      </c>
      <c r="J754" s="4" t="n">
        <v>5</v>
      </c>
      <c r="K754" t="inlineStr">
        <is>
          <t>1 / 4</t>
        </is>
      </c>
      <c r="L754" t="inlineStr">
        <is>
          <t>1 / 1</t>
        </is>
      </c>
      <c r="M754" s="5" t="n">
        <v>0.2</v>
      </c>
      <c r="N754" s="5" t="n">
        <v>0.5</v>
      </c>
    </row>
    <row r="755">
      <c r="A755" t="n">
        <v>753</v>
      </c>
      <c r="B755" t="n">
        <v>2016</v>
      </c>
      <c r="C755" t="inlineStr">
        <is>
          <t>Yanya Zhao</t>
        </is>
      </c>
      <c r="D755">
        <f>HYPERLINK("https://ota.tournamentsoftware.com/player-profile/60E4C9B4-B466-467C-B9D3-335A318BE74C", "Link")</f>
        <v/>
      </c>
      <c r="E755" s="3" t="n">
        <v>17.28</v>
      </c>
      <c r="F755" s="4" t="n">
        <v>3</v>
      </c>
      <c r="G755" t="inlineStr">
        <is>
          <t>Ontario Tennis Association</t>
        </is>
      </c>
      <c r="H755" t="inlineStr">
        <is>
          <t>Valan Tennis Academy</t>
        </is>
      </c>
      <c r="I755" t="n">
        <v>36.4</v>
      </c>
      <c r="J755" s="4" t="n">
        <v>92</v>
      </c>
      <c r="K755" t="inlineStr">
        <is>
          <t>57 / 35</t>
        </is>
      </c>
      <c r="L755" t="inlineStr">
        <is>
          <t>57 / 35</t>
        </is>
      </c>
      <c r="M755" s="5" t="n">
        <v>0.62</v>
      </c>
      <c r="N755" s="5" t="n">
        <v>0.62</v>
      </c>
    </row>
    <row r="756">
      <c r="A756" t="n">
        <v>753</v>
      </c>
      <c r="B756" t="n">
        <v>2016</v>
      </c>
      <c r="C756" t="inlineStr">
        <is>
          <t>Liv Evangeline Bulfon</t>
        </is>
      </c>
      <c r="D756">
        <f>HYPERLINK("https://ota.tournamentsoftware.com/player-profile/237E5FDF-8DB1-4A71-A617-6A9246A16101", "Link")</f>
        <v/>
      </c>
      <c r="E756" s="3" t="n">
        <v>17.28</v>
      </c>
      <c r="F756" s="4" t="n">
        <v>2</v>
      </c>
      <c r="G756" t="inlineStr">
        <is>
          <t>Ontario Tennis Association</t>
        </is>
      </c>
      <c r="H756" t="inlineStr">
        <is>
          <t>Joshua Creek Golf &amp; Tennis</t>
        </is>
      </c>
      <c r="I756" t="n">
        <v>38.3</v>
      </c>
      <c r="J756" s="4" t="n">
        <v>35</v>
      </c>
      <c r="K756" t="inlineStr">
        <is>
          <t>20 / 15</t>
        </is>
      </c>
      <c r="L756" t="inlineStr">
        <is>
          <t>12 / 8</t>
        </is>
      </c>
      <c r="M756" s="5" t="n">
        <v>0.57</v>
      </c>
      <c r="N756" s="5" t="n">
        <v>0.6</v>
      </c>
    </row>
    <row r="757">
      <c r="A757" t="n">
        <v>756</v>
      </c>
      <c r="B757" t="n">
        <v>2012</v>
      </c>
      <c r="C757" t="inlineStr">
        <is>
          <t>Emily Solc</t>
        </is>
      </c>
      <c r="D757">
        <f>HYPERLINK("https://ota.tournamentsoftware.com/player-profile/0117F9E7-8DFA-459F-859A-F7CFC440388D", "Link")</f>
        <v/>
      </c>
      <c r="E757" s="3" t="n">
        <v>17.16</v>
      </c>
      <c r="F757" s="4" t="n">
        <v>1</v>
      </c>
      <c r="G757" t="inlineStr">
        <is>
          <t>Ontario Tennis Association</t>
        </is>
      </c>
      <c r="H757" t="inlineStr">
        <is>
          <t>Ajax Tennis Club</t>
        </is>
      </c>
      <c r="I757" t="n">
        <v>35.6</v>
      </c>
      <c r="J757" s="4" t="n">
        <v>15</v>
      </c>
      <c r="K757" t="inlineStr">
        <is>
          <t>6 / 9</t>
        </is>
      </c>
      <c r="L757" t="inlineStr">
        <is>
          <t>0 / 0</t>
        </is>
      </c>
      <c r="M757" s="5" t="n">
        <v>0.4</v>
      </c>
      <c r="N757" s="5" t="n">
        <v>0</v>
      </c>
    </row>
    <row r="758">
      <c r="A758" t="n">
        <v>757</v>
      </c>
      <c r="B758" t="n">
        <v>2015</v>
      </c>
      <c r="C758" t="inlineStr">
        <is>
          <t>Maggie Yang</t>
        </is>
      </c>
      <c r="D758">
        <f>HYPERLINK("https://ota.tournamentsoftware.com/player-profile/1188855E-2EBD-473C-B3CD-74B3CDDF9042", "Link")</f>
        <v/>
      </c>
      <c r="E758" s="3" t="n">
        <v>17.037</v>
      </c>
      <c r="F758" s="4" t="n">
        <v>3</v>
      </c>
      <c r="G758" t="inlineStr">
        <is>
          <t>Ontario Tennis Association</t>
        </is>
      </c>
      <c r="H758" t="inlineStr">
        <is>
          <t>Royal City Tennis Club</t>
        </is>
      </c>
      <c r="I758" t="n">
        <v>35.7</v>
      </c>
      <c r="J758" s="4" t="n">
        <v>29</v>
      </c>
      <c r="K758" t="inlineStr">
        <is>
          <t>11 / 18</t>
        </is>
      </c>
      <c r="L758" t="inlineStr">
        <is>
          <t>2 / 3</t>
        </is>
      </c>
      <c r="M758" s="5" t="n">
        <v>0.38</v>
      </c>
      <c r="N758" s="5" t="n">
        <v>0.4</v>
      </c>
    </row>
    <row r="759">
      <c r="A759" t="n">
        <v>758</v>
      </c>
      <c r="B759" t="n">
        <v>2013</v>
      </c>
      <c r="C759" t="inlineStr">
        <is>
          <t>Zean Whyte Omayan Gerongco</t>
        </is>
      </c>
      <c r="D759">
        <f>HYPERLINK("https://ota.tournamentsoftware.com/player-profile/95E8FC8D-AC41-4C9F-8192-23788254309B", "Link")</f>
        <v/>
      </c>
      <c r="E759" s="3" t="n">
        <v>17</v>
      </c>
      <c r="F759" s="4" t="n">
        <v>2</v>
      </c>
      <c r="G759" t="inlineStr">
        <is>
          <t>Ontario Tennis Association</t>
        </is>
      </c>
      <c r="H759" t="inlineStr">
        <is>
          <t>Fountainhead Tennis Club</t>
        </is>
      </c>
      <c r="I759" t="n">
        <v>32.7</v>
      </c>
      <c r="J759" s="4" t="n">
        <v>167</v>
      </c>
      <c r="K759" t="inlineStr">
        <is>
          <t>95 / 72</t>
        </is>
      </c>
      <c r="L759" t="inlineStr">
        <is>
          <t>0 / 0</t>
        </is>
      </c>
      <c r="M759" s="5" t="n">
        <v>0.57</v>
      </c>
      <c r="N759" s="5" t="n">
        <v>0</v>
      </c>
    </row>
    <row r="760">
      <c r="A760" t="n">
        <v>759</v>
      </c>
      <c r="B760" t="n">
        <v>2015</v>
      </c>
      <c r="C760" t="inlineStr">
        <is>
          <t>Mirra Tverskaia</t>
        </is>
      </c>
      <c r="D760">
        <f>HYPERLINK("https://ota.tournamentsoftware.com/player-profile/A09D283B-5C23-4F54-A304-0C0125F7637B", "Link")</f>
        <v/>
      </c>
      <c r="E760" s="3" t="n">
        <v>16.736</v>
      </c>
      <c r="F760" s="4" t="n">
        <v>4</v>
      </c>
      <c r="G760" t="inlineStr">
        <is>
          <t>Tennis Prince Edward Island</t>
        </is>
      </c>
      <c r="H760" t="inlineStr">
        <is>
          <t>Royalty Racquet Centre</t>
        </is>
      </c>
      <c r="I760" t="inlineStr">
        <is>
          <t>unavailable</t>
        </is>
      </c>
      <c r="J760" s="4" t="n">
        <v>41</v>
      </c>
      <c r="K760" t="inlineStr">
        <is>
          <t>14 / 27</t>
        </is>
      </c>
      <c r="L760" t="inlineStr">
        <is>
          <t>0 / 3</t>
        </is>
      </c>
      <c r="M760" s="5" t="n">
        <v>0.34</v>
      </c>
      <c r="N760" s="5" t="n">
        <v>0</v>
      </c>
    </row>
    <row r="761">
      <c r="A761" t="n">
        <v>760</v>
      </c>
      <c r="B761" t="n">
        <v>2012</v>
      </c>
      <c r="C761" t="inlineStr">
        <is>
          <t>Alexandria Leah Fernandez</t>
        </is>
      </c>
      <c r="D761">
        <f>HYPERLINK("https://ota.tournamentsoftware.com/player-profile/42CC074A-F7BC-474A-AD80-389A35EF85E7", "Link")</f>
        <v/>
      </c>
      <c r="E761" s="3" t="n">
        <v>16.632</v>
      </c>
      <c r="F761" s="4" t="n">
        <v>1</v>
      </c>
      <c r="G761" t="inlineStr">
        <is>
          <t>Ontario Tennis Association</t>
        </is>
      </c>
      <c r="H761" t="inlineStr">
        <is>
          <t>Cambridge Tennis Club</t>
        </is>
      </c>
      <c r="I761" t="n">
        <v>35.2</v>
      </c>
      <c r="J761" s="4" t="n">
        <v>14</v>
      </c>
      <c r="K761" t="inlineStr">
        <is>
          <t>7 / 7</t>
        </is>
      </c>
      <c r="L761" t="inlineStr">
        <is>
          <t>7 / 1</t>
        </is>
      </c>
      <c r="M761" s="5" t="n">
        <v>0.5</v>
      </c>
      <c r="N761" s="5" t="n">
        <v>0.88</v>
      </c>
    </row>
    <row r="762">
      <c r="A762" t="n">
        <v>761</v>
      </c>
      <c r="B762" t="n">
        <v>2013</v>
      </c>
      <c r="C762" t="inlineStr">
        <is>
          <t>Vasta Keshavarz</t>
        </is>
      </c>
      <c r="D762">
        <f>HYPERLINK("https://ota.tournamentsoftware.com/player-profile/601A80FC-EABC-4AF6-9B13-BEBCF22814BA", "Link")</f>
        <v/>
      </c>
      <c r="E762" s="3" t="n">
        <v>16.603</v>
      </c>
      <c r="F762" s="4" t="n">
        <v>4</v>
      </c>
      <c r="G762" t="inlineStr">
        <is>
          <t>British Columbia</t>
        </is>
      </c>
      <c r="H762" t="inlineStr">
        <is>
          <t>North Vancouver Tennis Centre</t>
        </is>
      </c>
      <c r="I762" t="inlineStr">
        <is>
          <t>unavailable</t>
        </is>
      </c>
      <c r="J762" s="4" t="n">
        <v>43</v>
      </c>
      <c r="K762" t="inlineStr">
        <is>
          <t>16 / 27</t>
        </is>
      </c>
      <c r="L762" t="inlineStr">
        <is>
          <t>8 / 20</t>
        </is>
      </c>
      <c r="M762" s="5" t="n">
        <v>0.37</v>
      </c>
      <c r="N762" s="5" t="n">
        <v>0.29</v>
      </c>
    </row>
    <row r="763">
      <c r="A763" t="n">
        <v>762</v>
      </c>
      <c r="B763" t="n">
        <v>2015</v>
      </c>
      <c r="C763" t="inlineStr">
        <is>
          <t>Charlotte Huiyan Li</t>
        </is>
      </c>
      <c r="D763">
        <f>HYPERLINK("https://ota.tournamentsoftware.com/player-profile/150EC5E4-980E-4649-9619-E10B11D9BA5E", "Link")</f>
        <v/>
      </c>
      <c r="E763" s="3" t="n">
        <v>16.528</v>
      </c>
      <c r="F763" s="4" t="n">
        <v>4</v>
      </c>
      <c r="G763" t="inlineStr">
        <is>
          <t>British Columbia</t>
        </is>
      </c>
      <c r="H763" t="inlineStr">
        <is>
          <t>Tennis for Life</t>
        </is>
      </c>
      <c r="I763" t="n">
        <v>37.7</v>
      </c>
      <c r="J763" s="4" t="n">
        <v>42</v>
      </c>
      <c r="K763" t="inlineStr">
        <is>
          <t>15 / 27</t>
        </is>
      </c>
      <c r="L763" t="inlineStr">
        <is>
          <t>2 / 5</t>
        </is>
      </c>
      <c r="M763" s="5" t="n">
        <v>0.36</v>
      </c>
      <c r="N763" s="5" t="n">
        <v>0.29</v>
      </c>
    </row>
    <row r="764">
      <c r="A764" t="n">
        <v>763</v>
      </c>
      <c r="B764" t="n">
        <v>2012</v>
      </c>
      <c r="C764" t="inlineStr">
        <is>
          <t>Allison Wu</t>
        </is>
      </c>
      <c r="D764">
        <f>HYPERLINK("https://ota.tournamentsoftware.com/player-profile/5B6A5CCB-4E85-427C-99E0-E2078ED2493C", "Link")</f>
        <v/>
      </c>
      <c r="E764" s="3" t="n">
        <v>15.968</v>
      </c>
      <c r="F764" s="4" t="n">
        <v>3</v>
      </c>
      <c r="G764" t="inlineStr">
        <is>
          <t>British Columbia</t>
        </is>
      </c>
      <c r="H764" t="inlineStr">
        <is>
          <t>Coquitlam Tennis Club</t>
        </is>
      </c>
      <c r="I764" t="n">
        <v>39.4</v>
      </c>
      <c r="J764" s="4" t="n">
        <v>54</v>
      </c>
      <c r="K764" t="inlineStr">
        <is>
          <t>9 / 45</t>
        </is>
      </c>
      <c r="L764" t="inlineStr">
        <is>
          <t>0 / 4</t>
        </is>
      </c>
      <c r="M764" s="5" t="n">
        <v>0.17</v>
      </c>
      <c r="N764" s="5" t="n">
        <v>0</v>
      </c>
    </row>
    <row r="765">
      <c r="A765" t="n">
        <v>764</v>
      </c>
      <c r="B765" t="n">
        <v>2014</v>
      </c>
      <c r="C765" t="inlineStr">
        <is>
          <t>Anabelle Duchesne</t>
        </is>
      </c>
      <c r="D765">
        <f>HYPERLINK("https://ota.tournamentsoftware.com/player-profile/3D9B7A28-72A0-4133-925D-142C95DC7FA9", "Link")</f>
        <v/>
      </c>
      <c r="E765" s="3" t="n">
        <v>15.937</v>
      </c>
      <c r="F765" s="4" t="n">
        <v>2</v>
      </c>
      <c r="G765" t="inlineStr">
        <is>
          <t>Tennis Québec</t>
        </is>
      </c>
      <c r="H765" t="inlineStr">
        <is>
          <t>Les Tennis de Rimouski (intérieur)</t>
        </is>
      </c>
      <c r="I765" t="n">
        <v>40</v>
      </c>
      <c r="J765" s="4" t="n">
        <v>6</v>
      </c>
      <c r="K765" t="inlineStr">
        <is>
          <t>0 / 6</t>
        </is>
      </c>
      <c r="L765" t="inlineStr">
        <is>
          <t>0 / 6</t>
        </is>
      </c>
      <c r="M765" s="5" t="n">
        <v>0</v>
      </c>
      <c r="N765" s="5" t="n">
        <v>0</v>
      </c>
    </row>
    <row r="766">
      <c r="A766" t="n">
        <v>765</v>
      </c>
      <c r="B766" t="n">
        <v>2013</v>
      </c>
      <c r="C766" t="inlineStr">
        <is>
          <t>Amy Duo</t>
        </is>
      </c>
      <c r="D766">
        <f>HYPERLINK("https://ota.tournamentsoftware.com/player-profile/71495656-F9AD-402C-B368-62609F5D70B9", "Link")</f>
        <v/>
      </c>
      <c r="E766" s="3" t="n">
        <v>15.799</v>
      </c>
      <c r="F766" s="4" t="n">
        <v>2</v>
      </c>
      <c r="G766" t="inlineStr">
        <is>
          <t>British Columbia</t>
        </is>
      </c>
      <c r="H766" t="inlineStr">
        <is>
          <t>North Shore Winter Club</t>
        </is>
      </c>
      <c r="I766" t="inlineStr">
        <is>
          <t>unavailable</t>
        </is>
      </c>
      <c r="J766" s="4" t="n">
        <v>31</v>
      </c>
      <c r="K766" t="inlineStr">
        <is>
          <t>11 / 20</t>
        </is>
      </c>
      <c r="L766" t="inlineStr">
        <is>
          <t>3 / 3</t>
        </is>
      </c>
      <c r="M766" s="5" t="n">
        <v>0.35</v>
      </c>
      <c r="N766" s="5" t="n">
        <v>0.5</v>
      </c>
    </row>
    <row r="767">
      <c r="A767" t="n">
        <v>766</v>
      </c>
      <c r="B767" t="n">
        <v>2013</v>
      </c>
      <c r="C767" t="inlineStr">
        <is>
          <t>Lily Pilipowicz</t>
        </is>
      </c>
      <c r="D767">
        <f>HYPERLINK("https://ota.tournamentsoftware.com/player-profile/B42CFB1E-4A07-4108-A904-8512C36C48D8", "Link")</f>
        <v/>
      </c>
      <c r="E767" s="3" t="n">
        <v>15.153</v>
      </c>
      <c r="F767" s="4" t="n">
        <v>3</v>
      </c>
      <c r="G767" t="inlineStr">
        <is>
          <t>Tennis Alberta</t>
        </is>
      </c>
      <c r="H767" t="inlineStr">
        <is>
          <t>Aforza</t>
        </is>
      </c>
      <c r="I767" t="n">
        <v>33.9</v>
      </c>
      <c r="J767" s="4" t="n">
        <v>40</v>
      </c>
      <c r="K767" t="inlineStr">
        <is>
          <t>19 / 21</t>
        </is>
      </c>
      <c r="L767" t="inlineStr">
        <is>
          <t>0 / 1</t>
        </is>
      </c>
      <c r="M767" s="5" t="n">
        <v>0.47</v>
      </c>
      <c r="N767" s="5" t="n">
        <v>0</v>
      </c>
    </row>
    <row r="768">
      <c r="A768" t="n">
        <v>767</v>
      </c>
      <c r="B768" t="n">
        <v>2014</v>
      </c>
      <c r="C768" t="inlineStr">
        <is>
          <t>Adele Cui</t>
        </is>
      </c>
      <c r="D768">
        <f>HYPERLINK("https://ota.tournamentsoftware.com/player-profile/E096F094-0386-4439-807E-E147F97C754F", "Link")</f>
        <v/>
      </c>
      <c r="E768" s="3" t="n">
        <v>15.136</v>
      </c>
      <c r="F768" s="4" t="n">
        <v>4</v>
      </c>
      <c r="G768" t="inlineStr">
        <is>
          <t>British Columbia</t>
        </is>
      </c>
      <c r="H768" t="inlineStr">
        <is>
          <t>UBC Tennis Centre</t>
        </is>
      </c>
      <c r="I768" t="n">
        <v>35.8</v>
      </c>
      <c r="J768" s="4" t="n">
        <v>80</v>
      </c>
      <c r="K768" t="inlineStr">
        <is>
          <t>46 / 34</t>
        </is>
      </c>
      <c r="L768" t="inlineStr">
        <is>
          <t>1 / 4</t>
        </is>
      </c>
      <c r="M768" s="5" t="n">
        <v>0.57</v>
      </c>
      <c r="N768" s="5" t="n">
        <v>0.2</v>
      </c>
    </row>
    <row r="769">
      <c r="A769" t="n">
        <v>768</v>
      </c>
      <c r="B769" t="n">
        <v>2014</v>
      </c>
      <c r="C769" t="inlineStr">
        <is>
          <t>Precious J. Mutiku</t>
        </is>
      </c>
      <c r="D769">
        <f>HYPERLINK("https://ota.tournamentsoftware.com/player-profile/60A61325-C72A-4622-B3AF-5291E7A5657A", "Link")</f>
        <v/>
      </c>
      <c r="E769" s="3" t="n">
        <v>15.059</v>
      </c>
      <c r="F769" s="4" t="n">
        <v>1</v>
      </c>
      <c r="G769" t="inlineStr">
        <is>
          <t>Tennis Manitoba</t>
        </is>
      </c>
      <c r="H769" t="inlineStr">
        <is>
          <t>Taylor Tennis</t>
        </is>
      </c>
      <c r="I769" t="n">
        <v>37</v>
      </c>
      <c r="J769" s="4" t="n">
        <v>3</v>
      </c>
      <c r="K769" t="inlineStr">
        <is>
          <t>1 / 2</t>
        </is>
      </c>
      <c r="L769" t="inlineStr">
        <is>
          <t>0 / 1</t>
        </is>
      </c>
      <c r="M769" s="5" t="n">
        <v>0.33</v>
      </c>
      <c r="N769" s="5" t="n">
        <v>0</v>
      </c>
    </row>
    <row r="770">
      <c r="A770" t="n">
        <v>769</v>
      </c>
      <c r="B770" t="n">
        <v>2016</v>
      </c>
      <c r="C770" t="inlineStr">
        <is>
          <t>Keira El-Kettaneh</t>
        </is>
      </c>
      <c r="D770">
        <f>HYPERLINK("https://ota.tournamentsoftware.com/player-profile/A820994B-A350-4155-A437-EF3139C3E02A", "Link")</f>
        <v/>
      </c>
      <c r="E770" s="3" t="n">
        <v>14.877</v>
      </c>
      <c r="F770" s="4" t="n">
        <v>6</v>
      </c>
      <c r="G770" t="inlineStr">
        <is>
          <t>Ontario Tennis Association</t>
        </is>
      </c>
      <c r="H770" t="inlineStr">
        <is>
          <t>Toronto Tennis City</t>
        </is>
      </c>
      <c r="I770" t="n">
        <v>38.4</v>
      </c>
      <c r="J770" s="4" t="n">
        <v>80</v>
      </c>
      <c r="K770" t="inlineStr">
        <is>
          <t>33 / 47</t>
        </is>
      </c>
      <c r="L770" t="inlineStr">
        <is>
          <t>15 / 24</t>
        </is>
      </c>
      <c r="M770" s="5" t="n">
        <v>0.41</v>
      </c>
      <c r="N770" s="5" t="n">
        <v>0.38</v>
      </c>
    </row>
    <row r="771">
      <c r="A771" t="n">
        <v>770</v>
      </c>
      <c r="B771" t="n">
        <v>2012</v>
      </c>
      <c r="C771" t="inlineStr">
        <is>
          <t>Saaya Isabella Thompson</t>
        </is>
      </c>
      <c r="D771">
        <f>HYPERLINK("https://ota.tournamentsoftware.com/player-profile/E9B78A0F-EA3C-42B6-B795-AA591E989391", "Link")</f>
        <v/>
      </c>
      <c r="E771" s="3" t="n">
        <v>14.686</v>
      </c>
      <c r="F771" s="4" t="n">
        <v>2</v>
      </c>
      <c r="G771" t="inlineStr">
        <is>
          <t>British Columbia</t>
        </is>
      </c>
      <c r="H771" t="inlineStr">
        <is>
          <t>UBC Tennis Centre</t>
        </is>
      </c>
      <c r="I771" t="n">
        <v>38.8</v>
      </c>
      <c r="J771" s="4" t="n">
        <v>7</v>
      </c>
      <c r="K771" t="inlineStr">
        <is>
          <t>1 / 6</t>
        </is>
      </c>
      <c r="L771" t="inlineStr">
        <is>
          <t>0 / 3</t>
        </is>
      </c>
      <c r="M771" s="5" t="n">
        <v>0.14</v>
      </c>
      <c r="N771" s="5" t="n">
        <v>0</v>
      </c>
    </row>
    <row r="772">
      <c r="A772" t="n">
        <v>771</v>
      </c>
      <c r="B772" t="n">
        <v>2012</v>
      </c>
      <c r="C772" t="inlineStr">
        <is>
          <t>Navia Kaylynn Barlow</t>
        </is>
      </c>
      <c r="D772">
        <f>HYPERLINK("https://ota.tournamentsoftware.com/player-profile/44A25362-E73B-4E09-954B-7A375954482B", "Link")</f>
        <v/>
      </c>
      <c r="E772" s="3" t="n">
        <v>14.647</v>
      </c>
      <c r="F772" s="4" t="n">
        <v>3</v>
      </c>
      <c r="G772" t="inlineStr">
        <is>
          <t>Tennis Alberta</t>
        </is>
      </c>
      <c r="H772" t="inlineStr">
        <is>
          <t>Derrick Golf &amp; Winter Club</t>
        </is>
      </c>
      <c r="I772" t="inlineStr">
        <is>
          <t>unavailable</t>
        </is>
      </c>
      <c r="J772" s="4" t="n">
        <v>6</v>
      </c>
      <c r="K772" t="inlineStr">
        <is>
          <t>2 / 4</t>
        </is>
      </c>
      <c r="L772" t="inlineStr">
        <is>
          <t>2 / 4</t>
        </is>
      </c>
      <c r="M772" s="5" t="n">
        <v>0.33</v>
      </c>
      <c r="N772" s="5" t="n">
        <v>0.33</v>
      </c>
    </row>
    <row r="773">
      <c r="A773" t="n">
        <v>772</v>
      </c>
      <c r="B773" t="n">
        <v>2015</v>
      </c>
      <c r="C773" t="inlineStr">
        <is>
          <t>Mira Akhoundova</t>
        </is>
      </c>
      <c r="D773">
        <f>HYPERLINK("https://ota.tournamentsoftware.com/player-profile/DFAA2C12-ED04-42F9-9711-F91A6745B43A", "Link")</f>
        <v/>
      </c>
      <c r="E773" s="3" t="n">
        <v>14.585</v>
      </c>
      <c r="F773" s="4" t="n">
        <v>3</v>
      </c>
      <c r="G773" t="inlineStr">
        <is>
          <t>Ontario Tennis Association</t>
        </is>
      </c>
      <c r="H773" t="inlineStr">
        <is>
          <t>Marilyn Redvers Tennis Club</t>
        </is>
      </c>
      <c r="I773" t="n">
        <v>40</v>
      </c>
      <c r="J773" s="4" t="n">
        <v>31</v>
      </c>
      <c r="K773" t="inlineStr">
        <is>
          <t>14 / 17</t>
        </is>
      </c>
      <c r="L773" t="inlineStr">
        <is>
          <t>5 / 12</t>
        </is>
      </c>
      <c r="M773" s="5" t="n">
        <v>0.45</v>
      </c>
      <c r="N773" s="5" t="n">
        <v>0.29</v>
      </c>
    </row>
    <row r="774">
      <c r="A774" t="n">
        <v>773</v>
      </c>
      <c r="B774" t="n">
        <v>2017</v>
      </c>
      <c r="C774" t="inlineStr">
        <is>
          <t>Erika ko</t>
        </is>
      </c>
      <c r="D774">
        <f>HYPERLINK("https://ota.tournamentsoftware.com/player-profile/63E3DB95-CFC7-47F5-8461-E32C50FD6342", "Link")</f>
        <v/>
      </c>
      <c r="E774" s="3" t="n">
        <v>14.4</v>
      </c>
      <c r="F774" s="4" t="n">
        <v>6</v>
      </c>
      <c r="G774" t="inlineStr">
        <is>
          <t>British Columbia</t>
        </is>
      </c>
      <c r="H774" t="inlineStr">
        <is>
          <t>Richmond Country Club</t>
        </is>
      </c>
      <c r="I774" t="n">
        <v>37.9</v>
      </c>
      <c r="J774" s="4" t="n">
        <v>135</v>
      </c>
      <c r="K774" t="inlineStr">
        <is>
          <t>61 / 74</t>
        </is>
      </c>
      <c r="L774" t="inlineStr">
        <is>
          <t>4 / 8</t>
        </is>
      </c>
      <c r="M774" s="5" t="n">
        <v>0.45</v>
      </c>
      <c r="N774" s="5" t="n">
        <v>0.33</v>
      </c>
    </row>
    <row r="775">
      <c r="A775" t="n">
        <v>774</v>
      </c>
      <c r="B775" t="n">
        <v>2015</v>
      </c>
      <c r="C775" t="inlineStr">
        <is>
          <t>Nadia Mnyusiwalla</t>
        </is>
      </c>
      <c r="D775">
        <f>HYPERLINK("https://ota.tournamentsoftware.com/player-profile/0DB52458-FB00-472A-BE89-03A77FEBF08E", "Link")</f>
        <v/>
      </c>
      <c r="E775" s="3" t="n">
        <v>14.381</v>
      </c>
      <c r="F775" s="4" t="n">
        <v>3</v>
      </c>
      <c r="G775" t="inlineStr">
        <is>
          <t>Ontario Tennis Association</t>
        </is>
      </c>
      <c r="H775" t="inlineStr">
        <is>
          <t>Waterloo Tennis Club</t>
        </is>
      </c>
      <c r="I775" t="inlineStr">
        <is>
          <t>unavailable</t>
        </is>
      </c>
      <c r="J775" s="4" t="n">
        <v>54</v>
      </c>
      <c r="K775" t="inlineStr">
        <is>
          <t>15 / 39</t>
        </is>
      </c>
      <c r="L775" t="inlineStr">
        <is>
          <t>2 / 14</t>
        </is>
      </c>
      <c r="M775" s="5" t="n">
        <v>0.28</v>
      </c>
      <c r="N775" s="5" t="n">
        <v>0.12</v>
      </c>
    </row>
    <row r="776">
      <c r="A776" t="n">
        <v>775</v>
      </c>
      <c r="B776" t="n">
        <v>2014</v>
      </c>
      <c r="C776" t="inlineStr">
        <is>
          <t>Elise Hiu-Wing Lin</t>
        </is>
      </c>
      <c r="D776">
        <f>HYPERLINK("https://ota.tournamentsoftware.com/player-profile/6079C290-F004-492F-BD70-120B06A08264", "Link")</f>
        <v/>
      </c>
      <c r="E776" s="3" t="n">
        <v>14.283</v>
      </c>
      <c r="F776" s="4" t="n">
        <v>4</v>
      </c>
      <c r="G776" t="inlineStr">
        <is>
          <t>British Columbia</t>
        </is>
      </c>
      <c r="H776" t="inlineStr">
        <is>
          <t>No Club</t>
        </is>
      </c>
      <c r="I776" t="n">
        <v>36.2</v>
      </c>
      <c r="J776" s="4" t="n">
        <v>47</v>
      </c>
      <c r="K776" t="inlineStr">
        <is>
          <t>17 / 30</t>
        </is>
      </c>
      <c r="L776" t="inlineStr">
        <is>
          <t>4 / 5</t>
        </is>
      </c>
      <c r="M776" s="5" t="n">
        <v>0.36</v>
      </c>
      <c r="N776" s="5" t="n">
        <v>0.44</v>
      </c>
    </row>
    <row r="777">
      <c r="A777" t="n">
        <v>776</v>
      </c>
      <c r="B777" t="n">
        <v>2012</v>
      </c>
      <c r="C777" t="inlineStr">
        <is>
          <t>Nora Skogen</t>
        </is>
      </c>
      <c r="D777">
        <f>HYPERLINK("https://ota.tournamentsoftware.com/player-profile/84E488EE-ABCE-4936-AC77-DCF33DA7BE52", "Link")</f>
        <v/>
      </c>
      <c r="E777" s="3" t="n">
        <v>14.256</v>
      </c>
      <c r="F777" s="4" t="n">
        <v>1</v>
      </c>
      <c r="G777" t="inlineStr">
        <is>
          <t>British Columbia</t>
        </is>
      </c>
      <c r="H777" t="inlineStr">
        <is>
          <t>Hollyburn Country Club</t>
        </is>
      </c>
      <c r="I777" t="n">
        <v>32.2</v>
      </c>
      <c r="J777" s="4" t="n">
        <v>164</v>
      </c>
      <c r="K777" t="inlineStr">
        <is>
          <t>79 / 85</t>
        </is>
      </c>
      <c r="L777" t="inlineStr">
        <is>
          <t>1 / 1</t>
        </is>
      </c>
      <c r="M777" s="5" t="n">
        <v>0.48</v>
      </c>
      <c r="N777" s="5" t="n">
        <v>0.5</v>
      </c>
    </row>
    <row r="778">
      <c r="A778" t="n">
        <v>777</v>
      </c>
      <c r="B778" t="n">
        <v>2012</v>
      </c>
      <c r="C778" t="inlineStr">
        <is>
          <t>Renee Burton</t>
        </is>
      </c>
      <c r="D778">
        <f>HYPERLINK("https://ota.tournamentsoftware.com/player-profile/88D51E75-4EAF-4390-8A85-9E01D5A7B97C", "Link")</f>
        <v/>
      </c>
      <c r="E778" s="3" t="n">
        <v>14.11</v>
      </c>
      <c r="F778" s="4" t="n">
        <v>1</v>
      </c>
      <c r="G778" t="inlineStr">
        <is>
          <t>Ontario Tennis Association</t>
        </is>
      </c>
      <c r="H778" t="inlineStr">
        <is>
          <t>ACE Tennis - Burlington</t>
        </is>
      </c>
      <c r="I778" t="n">
        <v>35.8</v>
      </c>
      <c r="J778" s="4" t="n">
        <v>13</v>
      </c>
      <c r="K778" t="inlineStr">
        <is>
          <t>9 / 4</t>
        </is>
      </c>
      <c r="L778" t="inlineStr">
        <is>
          <t>9 / 4</t>
        </is>
      </c>
      <c r="M778" s="5" t="n">
        <v>0.6899999999999999</v>
      </c>
      <c r="N778" s="5" t="n">
        <v>0.6899999999999999</v>
      </c>
    </row>
    <row r="779">
      <c r="A779" t="n">
        <v>778</v>
      </c>
      <c r="B779" t="n">
        <v>2012</v>
      </c>
      <c r="C779" t="inlineStr">
        <is>
          <t>Alice Le</t>
        </is>
      </c>
      <c r="D779">
        <f>HYPERLINK("https://ota.tournamentsoftware.com/player-profile/762C717D-CB5B-4A61-877E-C235D5E4911F", "Link")</f>
        <v/>
      </c>
      <c r="E779" s="3" t="n">
        <v>14.04</v>
      </c>
      <c r="F779" s="4" t="n">
        <v>1</v>
      </c>
      <c r="G779" t="inlineStr">
        <is>
          <t>British Columbia</t>
        </is>
      </c>
      <c r="H779" t="inlineStr">
        <is>
          <t>City of Vancouver</t>
        </is>
      </c>
      <c r="I779" t="inlineStr">
        <is>
          <t>unavailable</t>
        </is>
      </c>
      <c r="J779" s="4" t="n">
        <v>10</v>
      </c>
      <c r="K779" t="inlineStr">
        <is>
          <t>7 / 3</t>
        </is>
      </c>
      <c r="L779" t="inlineStr">
        <is>
          <t>1 / 1</t>
        </is>
      </c>
      <c r="M779" s="5" t="n">
        <v>0.7</v>
      </c>
      <c r="N779" s="5" t="n">
        <v>0.5</v>
      </c>
    </row>
    <row r="780">
      <c r="A780" t="n">
        <v>779</v>
      </c>
      <c r="B780" t="n">
        <v>2013</v>
      </c>
      <c r="C780" t="inlineStr">
        <is>
          <t>Addison Gilbertson</t>
        </is>
      </c>
      <c r="D780">
        <f>HYPERLINK("https://ota.tournamentsoftware.com/player-profile/C50AF072-EF16-4516-9D5D-42DF1D345F44", "Link")</f>
        <v/>
      </c>
      <c r="E780" s="3" t="n">
        <v>13.929</v>
      </c>
      <c r="F780" s="4" t="n">
        <v>5</v>
      </c>
      <c r="G780" t="inlineStr">
        <is>
          <t>Tennis Alberta</t>
        </is>
      </c>
      <c r="H780" t="inlineStr">
        <is>
          <t>IQ Tennis and Pickleball Centre</t>
        </is>
      </c>
      <c r="I780" t="n">
        <v>38.2</v>
      </c>
      <c r="J780" s="4" t="n">
        <v>50</v>
      </c>
      <c r="K780" t="inlineStr">
        <is>
          <t>18 / 32</t>
        </is>
      </c>
      <c r="L780" t="inlineStr">
        <is>
          <t>1 / 6</t>
        </is>
      </c>
      <c r="M780" s="5" t="n">
        <v>0.36</v>
      </c>
      <c r="N780" s="5" t="n">
        <v>0.14</v>
      </c>
    </row>
    <row r="781">
      <c r="A781" t="n">
        <v>780</v>
      </c>
      <c r="B781" t="n">
        <v>2014</v>
      </c>
      <c r="C781" t="inlineStr">
        <is>
          <t>Livia Hu</t>
        </is>
      </c>
      <c r="D781">
        <f>HYPERLINK("https://ota.tournamentsoftware.com/player-profile/F0626954-59DE-45D2-AE30-FCA903A00699", "Link")</f>
        <v/>
      </c>
      <c r="E781" s="3" t="n">
        <v>13.867</v>
      </c>
      <c r="F781" s="4" t="n">
        <v>1</v>
      </c>
      <c r="G781" t="inlineStr">
        <is>
          <t>Tennis Saskatchewan</t>
        </is>
      </c>
      <c r="H781" t="inlineStr">
        <is>
          <t>No Club</t>
        </is>
      </c>
      <c r="I781" t="n">
        <v>29.5</v>
      </c>
      <c r="J781" s="4" t="n">
        <v>41</v>
      </c>
      <c r="K781" t="inlineStr">
        <is>
          <t>25 / 16</t>
        </is>
      </c>
      <c r="L781" t="inlineStr">
        <is>
          <t>7 / 4</t>
        </is>
      </c>
      <c r="M781" s="5" t="n">
        <v>0.61</v>
      </c>
      <c r="N781" s="5" t="n">
        <v>0.64</v>
      </c>
    </row>
    <row r="782">
      <c r="A782" t="n">
        <v>781</v>
      </c>
      <c r="B782" t="n">
        <v>2012</v>
      </c>
      <c r="C782" t="inlineStr">
        <is>
          <t>Julia Michelle Cipriano</t>
        </is>
      </c>
      <c r="D782">
        <f>HYPERLINK("https://ota.tournamentsoftware.com/player-profile/EC29FADF-ECEA-4CC3-AE9B-2987D1E47266", "Link")</f>
        <v/>
      </c>
      <c r="E782" s="3" t="n">
        <v>13.725</v>
      </c>
      <c r="F782" s="4" t="n">
        <v>2</v>
      </c>
      <c r="G782" t="inlineStr">
        <is>
          <t>British Columbia</t>
        </is>
      </c>
      <c r="H782" t="inlineStr">
        <is>
          <t>West Vancouver Tennis Club</t>
        </is>
      </c>
      <c r="I782" t="n">
        <v>37</v>
      </c>
      <c r="J782" s="4" t="n">
        <v>18</v>
      </c>
      <c r="K782" t="inlineStr">
        <is>
          <t>8 / 10</t>
        </is>
      </c>
      <c r="L782" t="inlineStr">
        <is>
          <t>6 / 6</t>
        </is>
      </c>
      <c r="M782" s="5" t="n">
        <v>0.44</v>
      </c>
      <c r="N782" s="5" t="n">
        <v>0.5</v>
      </c>
    </row>
    <row r="783">
      <c r="A783" t="n">
        <v>782</v>
      </c>
      <c r="B783" t="n">
        <v>2016</v>
      </c>
      <c r="C783" t="inlineStr">
        <is>
          <t>Joud Marmash</t>
        </is>
      </c>
      <c r="D783">
        <f>HYPERLINK("https://ota.tournamentsoftware.com/player-profile/7F8FB01C-3EB1-48B9-B051-119BB01F4118", "Link")</f>
        <v/>
      </c>
      <c r="E783" s="3" t="n">
        <v>13.68</v>
      </c>
      <c r="F783" s="4" t="n">
        <v>7</v>
      </c>
      <c r="G783" t="inlineStr">
        <is>
          <t>Ontario Tennis Association</t>
        </is>
      </c>
      <c r="H783" t="inlineStr">
        <is>
          <t>Zekelman Tennis Centre</t>
        </is>
      </c>
      <c r="I783" t="n">
        <v>37.7</v>
      </c>
      <c r="J783" s="4" t="n">
        <v>19</v>
      </c>
      <c r="K783" t="inlineStr">
        <is>
          <t>5 / 14</t>
        </is>
      </c>
      <c r="L783" t="inlineStr">
        <is>
          <t>5 / 14</t>
        </is>
      </c>
      <c r="M783" s="5" t="n">
        <v>0.26</v>
      </c>
      <c r="N783" s="5" t="n">
        <v>0.26</v>
      </c>
    </row>
    <row r="784">
      <c r="A784" t="n">
        <v>783</v>
      </c>
      <c r="B784" t="n">
        <v>2014</v>
      </c>
      <c r="C784" t="inlineStr">
        <is>
          <t>Mia Mengchen Sun</t>
        </is>
      </c>
      <c r="D784">
        <f>HYPERLINK("https://ota.tournamentsoftware.com/player-profile/BFD3D157-D2B6-45BF-BE92-CACB69CCC59C", "Link")</f>
        <v/>
      </c>
      <c r="E784" s="3" t="n">
        <v>13.578</v>
      </c>
      <c r="F784" s="4" t="n">
        <v>4</v>
      </c>
      <c r="G784" t="inlineStr">
        <is>
          <t>Ontario Tennis Association</t>
        </is>
      </c>
      <c r="H784" t="inlineStr">
        <is>
          <t>Markham Tennis Club</t>
        </is>
      </c>
      <c r="I784" t="n">
        <v>37.9</v>
      </c>
      <c r="J784" s="4" t="n">
        <v>51</v>
      </c>
      <c r="K784" t="inlineStr">
        <is>
          <t>32 / 19</t>
        </is>
      </c>
      <c r="L784" t="inlineStr">
        <is>
          <t>0 / 0</t>
        </is>
      </c>
      <c r="M784" s="5" t="n">
        <v>0.63</v>
      </c>
      <c r="N784" s="5" t="n">
        <v>0</v>
      </c>
    </row>
    <row r="785">
      <c r="A785" t="n">
        <v>784</v>
      </c>
      <c r="B785" t="n">
        <v>2016</v>
      </c>
      <c r="C785" t="inlineStr">
        <is>
          <t>Celeste Daphne Waye</t>
        </is>
      </c>
      <c r="D785">
        <f>HYPERLINK("https://ota.tournamentsoftware.com/player-profile/1EC2A81F-62E0-4E67-B0BD-B23E18D7220B", "Link")</f>
        <v/>
      </c>
      <c r="E785" s="3" t="n">
        <v>13.32</v>
      </c>
      <c r="F785" s="4" t="n">
        <v>4</v>
      </c>
      <c r="G785" t="inlineStr">
        <is>
          <t>Tennis Newfoundland &amp; Labrador</t>
        </is>
      </c>
      <c r="H785" t="inlineStr">
        <is>
          <t>Greenbelt Tennis Club</t>
        </is>
      </c>
      <c r="I785" t="inlineStr">
        <is>
          <t>unavailable</t>
        </is>
      </c>
      <c r="J785" s="4" t="n">
        <v>38</v>
      </c>
      <c r="K785" t="inlineStr">
        <is>
          <t>15 / 23</t>
        </is>
      </c>
      <c r="L785" t="inlineStr">
        <is>
          <t>6 / 14</t>
        </is>
      </c>
      <c r="M785" s="5" t="n">
        <v>0.39</v>
      </c>
      <c r="N785" s="5" t="n">
        <v>0.3</v>
      </c>
    </row>
    <row r="786">
      <c r="A786" t="n">
        <v>785</v>
      </c>
      <c r="B786" t="n">
        <v>2013</v>
      </c>
      <c r="C786" t="inlineStr">
        <is>
          <t>Hailey Johnson</t>
        </is>
      </c>
      <c r="D786">
        <f>HYPERLINK("https://ota.tournamentsoftware.com/player-profile/D4247C6C-DBD8-41D1-867E-D35290341BA8", "Link")</f>
        <v/>
      </c>
      <c r="E786" s="3" t="n">
        <v>13.23</v>
      </c>
      <c r="F786" s="4" t="n">
        <v>2</v>
      </c>
      <c r="G786" t="inlineStr">
        <is>
          <t>British Columbia</t>
        </is>
      </c>
      <c r="H786" t="inlineStr">
        <is>
          <t>Tennis for Life</t>
        </is>
      </c>
      <c r="I786" t="inlineStr">
        <is>
          <t>unavailable</t>
        </is>
      </c>
      <c r="J786" s="4" t="n">
        <v>49</v>
      </c>
      <c r="K786" t="inlineStr">
        <is>
          <t>28 / 21</t>
        </is>
      </c>
      <c r="L786" t="inlineStr">
        <is>
          <t>1 / 1</t>
        </is>
      </c>
      <c r="M786" s="5" t="n">
        <v>0.57</v>
      </c>
      <c r="N786" s="5" t="n">
        <v>0.5</v>
      </c>
    </row>
    <row r="787">
      <c r="A787" t="n">
        <v>786</v>
      </c>
      <c r="B787" t="n">
        <v>2013</v>
      </c>
      <c r="C787" t="inlineStr">
        <is>
          <t>caitlin wong</t>
        </is>
      </c>
      <c r="D787">
        <f>HYPERLINK("https://ota.tournamentsoftware.com/player-profile/A6697051-116D-4981-AA23-11E1BF963FD3", "Link")</f>
        <v/>
      </c>
      <c r="E787" s="3" t="n">
        <v>13</v>
      </c>
      <c r="F787" s="4" t="n">
        <v>1</v>
      </c>
      <c r="G787" t="inlineStr">
        <is>
          <t>Ontario Tennis Association</t>
        </is>
      </c>
      <c r="H787" t="inlineStr">
        <is>
          <t>Blackmore Tennis Club</t>
        </is>
      </c>
      <c r="I787" t="n">
        <v>37.2</v>
      </c>
      <c r="J787" s="4" t="n">
        <v>56</v>
      </c>
      <c r="K787" t="inlineStr">
        <is>
          <t>29 / 27</t>
        </is>
      </c>
      <c r="L787" t="inlineStr">
        <is>
          <t>0 / 0</t>
        </is>
      </c>
      <c r="M787" s="5" t="n">
        <v>0.52</v>
      </c>
      <c r="N787" s="5" t="n">
        <v>0</v>
      </c>
    </row>
    <row r="788">
      <c r="A788" t="n">
        <v>787</v>
      </c>
      <c r="B788" t="n">
        <v>2012</v>
      </c>
      <c r="C788" t="inlineStr">
        <is>
          <t>Ai-Ni Amelia Cheng</t>
        </is>
      </c>
      <c r="D788">
        <f>HYPERLINK("https://ota.tournamentsoftware.com/player-profile/040F8D36-CAF3-4E90-85FB-8F17F2F92E8F", "Link")</f>
        <v/>
      </c>
      <c r="E788" s="3" t="n">
        <v>12.906</v>
      </c>
      <c r="F788" s="4" t="n">
        <v>1</v>
      </c>
      <c r="G788" t="inlineStr">
        <is>
          <t>Ontario Tennis Association</t>
        </is>
      </c>
      <c r="H788" t="inlineStr">
        <is>
          <t>ON West Central No Club</t>
        </is>
      </c>
      <c r="I788" t="n">
        <v>38.5</v>
      </c>
      <c r="J788" s="4" t="n">
        <v>7</v>
      </c>
      <c r="K788" t="inlineStr">
        <is>
          <t>4 / 3</t>
        </is>
      </c>
      <c r="L788" t="inlineStr">
        <is>
          <t>0 / 2</t>
        </is>
      </c>
      <c r="M788" s="5" t="n">
        <v>0.57</v>
      </c>
      <c r="N788" s="5" t="n">
        <v>0</v>
      </c>
    </row>
    <row r="789">
      <c r="A789" t="n">
        <v>788</v>
      </c>
      <c r="B789" t="n">
        <v>2013</v>
      </c>
      <c r="C789" t="inlineStr">
        <is>
          <t>Felicia Mingfei Li</t>
        </is>
      </c>
      <c r="D789">
        <f>HYPERLINK("https://ota.tournamentsoftware.com/player-profile/32F60D7D-3E57-4800-9C5C-282147021863", "Link")</f>
        <v/>
      </c>
      <c r="E789" s="3" t="n">
        <v>12.378</v>
      </c>
      <c r="F789" s="4" t="n">
        <v>2</v>
      </c>
      <c r="G789" t="inlineStr">
        <is>
          <t>Ontario Tennis Association</t>
        </is>
      </c>
      <c r="H789" t="inlineStr">
        <is>
          <t>Marilyn Redvers Tennis Club</t>
        </is>
      </c>
      <c r="I789" t="n">
        <v>39.7</v>
      </c>
      <c r="J789" s="4" t="n">
        <v>31</v>
      </c>
      <c r="K789" t="inlineStr">
        <is>
          <t>9 / 22</t>
        </is>
      </c>
      <c r="L789" t="inlineStr">
        <is>
          <t>0 / 2</t>
        </is>
      </c>
      <c r="M789" s="5" t="n">
        <v>0.29</v>
      </c>
      <c r="N789" s="5" t="n">
        <v>0</v>
      </c>
    </row>
    <row r="790">
      <c r="A790" t="n">
        <v>789</v>
      </c>
      <c r="B790" t="n">
        <v>2012</v>
      </c>
      <c r="C790" t="inlineStr">
        <is>
          <t>Anzhuo Yi</t>
        </is>
      </c>
      <c r="D790">
        <f>HYPERLINK("https://ota.tournamentsoftware.com/player-profile/60444867-D5FF-4226-8841-4058D520099B", "Link")</f>
        <v/>
      </c>
      <c r="E790" s="3" t="n">
        <v>12.336</v>
      </c>
      <c r="F790" s="4" t="n">
        <v>1</v>
      </c>
      <c r="G790" t="inlineStr">
        <is>
          <t>Ontario Tennis Association</t>
        </is>
      </c>
      <c r="H790" t="inlineStr">
        <is>
          <t>Premier Racquet Clubs – Mississauga</t>
        </is>
      </c>
      <c r="I790" t="n">
        <v>37.6</v>
      </c>
      <c r="J790" s="4" t="n">
        <v>8</v>
      </c>
      <c r="K790" t="inlineStr">
        <is>
          <t>2 / 6</t>
        </is>
      </c>
      <c r="L790" t="inlineStr">
        <is>
          <t>2 / 6</t>
        </is>
      </c>
      <c r="M790" s="5" t="n">
        <v>0.25</v>
      </c>
      <c r="N790" s="5" t="n">
        <v>0.25</v>
      </c>
    </row>
    <row r="791">
      <c r="A791" t="n">
        <v>789</v>
      </c>
      <c r="B791" t="n">
        <v>2012</v>
      </c>
      <c r="C791" t="inlineStr">
        <is>
          <t>Erika Vanessa Petko</t>
        </is>
      </c>
      <c r="D791">
        <f>HYPERLINK("https://ota.tournamentsoftware.com/player-profile/F03891C3-70EF-4EDD-962E-3C87823000BE", "Link")</f>
        <v/>
      </c>
      <c r="E791" s="3" t="n">
        <v>12.336</v>
      </c>
      <c r="F791" s="4" t="n">
        <v>1</v>
      </c>
      <c r="G791" t="inlineStr">
        <is>
          <t>Ontario Tennis Association</t>
        </is>
      </c>
      <c r="H791" t="inlineStr">
        <is>
          <t>Applewood Tennis Club</t>
        </is>
      </c>
      <c r="I791" t="n">
        <v>37</v>
      </c>
      <c r="J791" s="4" t="n">
        <v>11</v>
      </c>
      <c r="K791" t="inlineStr">
        <is>
          <t>3 / 8</t>
        </is>
      </c>
      <c r="L791" t="inlineStr">
        <is>
          <t>0 / 3</t>
        </is>
      </c>
      <c r="M791" s="5" t="n">
        <v>0.27</v>
      </c>
      <c r="N791" s="5" t="n">
        <v>0</v>
      </c>
    </row>
    <row r="792">
      <c r="A792" t="n">
        <v>789</v>
      </c>
      <c r="B792" t="n">
        <v>2013</v>
      </c>
      <c r="C792" t="inlineStr">
        <is>
          <t>Julia Oliveira</t>
        </is>
      </c>
      <c r="D792">
        <f>HYPERLINK("https://ota.tournamentsoftware.com/player-profile/8FA709B7-042D-441D-AE4D-A4E0320D6B65", "Link")</f>
        <v/>
      </c>
      <c r="E792" s="3" t="n">
        <v>12.336</v>
      </c>
      <c r="F792" s="4" t="n">
        <v>1</v>
      </c>
      <c r="G792" t="inlineStr">
        <is>
          <t>Ontario Tennis Association</t>
        </is>
      </c>
      <c r="H792" t="inlineStr">
        <is>
          <t>No Club</t>
        </is>
      </c>
      <c r="I792" t="n">
        <v>36.6</v>
      </c>
      <c r="J792" s="4" t="n">
        <v>20</v>
      </c>
      <c r="K792" t="inlineStr">
        <is>
          <t>7 / 13</t>
        </is>
      </c>
      <c r="L792" t="inlineStr">
        <is>
          <t>6 / 11</t>
        </is>
      </c>
      <c r="M792" s="5" t="n">
        <v>0.35</v>
      </c>
      <c r="N792" s="5" t="n">
        <v>0.35</v>
      </c>
    </row>
    <row r="793">
      <c r="A793" t="n">
        <v>792</v>
      </c>
      <c r="B793" t="n">
        <v>2014</v>
      </c>
      <c r="C793" t="inlineStr">
        <is>
          <t>Kayla Caden</t>
        </is>
      </c>
      <c r="D793">
        <f>HYPERLINK("https://ota.tournamentsoftware.com/player-profile/EB31E71A-90E6-4B10-9538-33BC7B66EA6E", "Link")</f>
        <v/>
      </c>
      <c r="E793" s="3" t="n">
        <v>11.809</v>
      </c>
      <c r="F793" s="4" t="n">
        <v>3</v>
      </c>
      <c r="G793" t="inlineStr">
        <is>
          <t>Tennis Québec</t>
        </is>
      </c>
      <c r="H793" t="inlineStr">
        <is>
          <t>Club de tennis St-Lambert</t>
        </is>
      </c>
      <c r="I793" t="n">
        <v>38.1</v>
      </c>
      <c r="J793" s="4" t="n">
        <v>11</v>
      </c>
      <c r="K793" t="inlineStr">
        <is>
          <t>4 / 7</t>
        </is>
      </c>
      <c r="L793" t="inlineStr">
        <is>
          <t>2 / 3</t>
        </is>
      </c>
      <c r="M793" s="5" t="n">
        <v>0.36</v>
      </c>
      <c r="N793" s="5" t="n">
        <v>0.4</v>
      </c>
    </row>
    <row r="794">
      <c r="A794" t="n">
        <v>793</v>
      </c>
      <c r="B794" t="n">
        <v>2013</v>
      </c>
      <c r="C794" t="inlineStr">
        <is>
          <t>Robin Lee</t>
        </is>
      </c>
      <c r="D794">
        <f>HYPERLINK("https://ota.tournamentsoftware.com/player-profile/0DB12770-F2FF-469C-87ED-5B5A242C6A08", "Link")</f>
        <v/>
      </c>
      <c r="E794" s="3" t="n">
        <v>11.657</v>
      </c>
      <c r="F794" s="4" t="n">
        <v>2</v>
      </c>
      <c r="G794" t="inlineStr">
        <is>
          <t>Ontario Tennis Association</t>
        </is>
      </c>
      <c r="H794" t="inlineStr">
        <is>
          <t>No Club</t>
        </is>
      </c>
      <c r="I794" t="n">
        <v>39.2</v>
      </c>
      <c r="J794" s="4" t="n">
        <v>58</v>
      </c>
      <c r="K794" t="inlineStr">
        <is>
          <t>11 / 47</t>
        </is>
      </c>
      <c r="L794" t="inlineStr">
        <is>
          <t>0 / 0</t>
        </is>
      </c>
      <c r="M794" s="5" t="n">
        <v>0.19</v>
      </c>
      <c r="N794" s="5" t="n">
        <v>0</v>
      </c>
    </row>
    <row r="795">
      <c r="A795" t="n">
        <v>794</v>
      </c>
      <c r="B795" t="n">
        <v>2015</v>
      </c>
      <c r="C795" t="inlineStr">
        <is>
          <t>Cléony Le</t>
        </is>
      </c>
      <c r="D795">
        <f>HYPERLINK("https://ota.tournamentsoftware.com/player-profile/D1C4971B-CB54-436E-9303-C69424DC84AC", "Link")</f>
        <v/>
      </c>
      <c r="E795" s="3" t="n">
        <v>11.429</v>
      </c>
      <c r="F795" s="4" t="n">
        <v>1</v>
      </c>
      <c r="G795" t="inlineStr">
        <is>
          <t>Tennis Québec</t>
        </is>
      </c>
      <c r="H795" t="inlineStr">
        <is>
          <t>Centre récréatif de Repentigny / Académie Tennis Momentum</t>
        </is>
      </c>
      <c r="I795" t="n">
        <v>37</v>
      </c>
      <c r="J795" s="4" t="n">
        <v>32</v>
      </c>
      <c r="K795" t="inlineStr">
        <is>
          <t>15 / 17</t>
        </is>
      </c>
      <c r="L795" t="inlineStr">
        <is>
          <t>0 / 1</t>
        </is>
      </c>
      <c r="M795" s="5" t="n">
        <v>0.47</v>
      </c>
      <c r="N795" s="5" t="n">
        <v>0</v>
      </c>
    </row>
    <row r="796">
      <c r="A796" t="n">
        <v>795</v>
      </c>
      <c r="B796" t="n">
        <v>2016</v>
      </c>
      <c r="C796" t="inlineStr">
        <is>
          <t>Emma Hao</t>
        </is>
      </c>
      <c r="D796">
        <f>HYPERLINK("https://ota.tournamentsoftware.com/player-profile/144D222A-CD06-4355-817D-B27D5DB62B85", "Link")</f>
        <v/>
      </c>
      <c r="E796" s="3" t="n">
        <v>11.141</v>
      </c>
      <c r="F796" s="4" t="n">
        <v>5</v>
      </c>
      <c r="G796" t="inlineStr">
        <is>
          <t>Ontario Tennis Association</t>
        </is>
      </c>
      <c r="H796" t="inlineStr">
        <is>
          <t>Toronto Tennis City</t>
        </is>
      </c>
      <c r="I796" t="n">
        <v>38.1</v>
      </c>
      <c r="J796" s="4" t="n">
        <v>78</v>
      </c>
      <c r="K796" t="inlineStr">
        <is>
          <t>42 / 36</t>
        </is>
      </c>
      <c r="L796" t="inlineStr">
        <is>
          <t>22 / 12</t>
        </is>
      </c>
      <c r="M796" s="5" t="n">
        <v>0.54</v>
      </c>
      <c r="N796" s="5" t="n">
        <v>0.65</v>
      </c>
    </row>
    <row r="797">
      <c r="A797" t="n">
        <v>796</v>
      </c>
      <c r="B797" t="n">
        <v>2015</v>
      </c>
      <c r="C797" t="inlineStr">
        <is>
          <t>Marissa Grisedale</t>
        </is>
      </c>
      <c r="D797">
        <f>HYPERLINK("https://ota.tournamentsoftware.com/player-profile/FACB5C24-4DB7-463B-A373-69C70E1AC8E4", "Link")</f>
        <v/>
      </c>
      <c r="E797" s="3" t="n">
        <v>11.043</v>
      </c>
      <c r="F797" s="4" t="n">
        <v>3</v>
      </c>
      <c r="G797" t="inlineStr">
        <is>
          <t>British Columbia</t>
        </is>
      </c>
      <c r="H797" t="inlineStr">
        <is>
          <t>Commons Racquet Club at Predator Ridge</t>
        </is>
      </c>
      <c r="I797" t="n">
        <v>37.2</v>
      </c>
      <c r="J797" s="4" t="n">
        <v>40</v>
      </c>
      <c r="K797" t="inlineStr">
        <is>
          <t>20 / 20</t>
        </is>
      </c>
      <c r="L797" t="inlineStr">
        <is>
          <t>3 / 5</t>
        </is>
      </c>
      <c r="M797" s="5" t="n">
        <v>0.5</v>
      </c>
      <c r="N797" s="5" t="n">
        <v>0.38</v>
      </c>
    </row>
    <row r="798">
      <c r="A798" t="n">
        <v>797</v>
      </c>
      <c r="B798" t="n">
        <v>2012</v>
      </c>
      <c r="C798" t="inlineStr">
        <is>
          <t>Maya Chow</t>
        </is>
      </c>
      <c r="D798">
        <f>HYPERLINK("https://ota.tournamentsoftware.com/player-profile/FE33DD51-BEAF-4E17-BDBB-2558B4A2AFE6", "Link")</f>
        <v/>
      </c>
      <c r="E798" s="3" t="n">
        <v>11.011</v>
      </c>
      <c r="F798" s="4" t="n">
        <v>1</v>
      </c>
      <c r="G798" t="inlineStr">
        <is>
          <t>Ontario Tennis Association</t>
        </is>
      </c>
      <c r="H798" t="inlineStr">
        <is>
          <t>ACE Tennis - Toronto Tennis City</t>
        </is>
      </c>
      <c r="I798" t="n">
        <v>34.6</v>
      </c>
      <c r="J798" s="4" t="n">
        <v>16</v>
      </c>
      <c r="K798" t="inlineStr">
        <is>
          <t>10 / 6</t>
        </is>
      </c>
      <c r="L798" t="inlineStr">
        <is>
          <t>10 / 6</t>
        </is>
      </c>
      <c r="M798" s="5" t="n">
        <v>0.62</v>
      </c>
      <c r="N798" s="5" t="n">
        <v>0.62</v>
      </c>
    </row>
    <row r="799">
      <c r="A799" t="n">
        <v>798</v>
      </c>
      <c r="B799" t="n">
        <v>2015</v>
      </c>
      <c r="C799" t="inlineStr">
        <is>
          <t>Fabiola Antonella Sanchez Ferreyra</t>
        </is>
      </c>
      <c r="D799">
        <f>HYPERLINK("https://ota.tournamentsoftware.com/player-profile/B37A6388-D965-4303-A37E-1111875A98DF", "Link")</f>
        <v/>
      </c>
      <c r="E799" s="3" t="n">
        <v>10.873</v>
      </c>
      <c r="F799" s="4" t="n">
        <v>1</v>
      </c>
      <c r="G799" t="inlineStr">
        <is>
          <t>Tennis Québec</t>
        </is>
      </c>
      <c r="H799" t="inlineStr">
        <is>
          <t>SANI Sport</t>
        </is>
      </c>
      <c r="I799" t="n">
        <v>39.4</v>
      </c>
      <c r="J799" s="4" t="n">
        <v>13</v>
      </c>
      <c r="K799" t="inlineStr">
        <is>
          <t>7 / 6</t>
        </is>
      </c>
      <c r="L799" t="inlineStr">
        <is>
          <t>0 / 1</t>
        </is>
      </c>
      <c r="M799" s="5" t="n">
        <v>0.54</v>
      </c>
      <c r="N799" s="5" t="n">
        <v>0</v>
      </c>
    </row>
    <row r="800">
      <c r="A800" t="n">
        <v>799</v>
      </c>
      <c r="B800" t="n">
        <v>2016</v>
      </c>
      <c r="C800" t="inlineStr">
        <is>
          <t>Archini Bera</t>
        </is>
      </c>
      <c r="D800">
        <f>HYPERLINK("https://ota.tournamentsoftware.com/player-profile/6FA68B83-6E0E-4A78-81A0-6004576A8E6E", "Link")</f>
        <v/>
      </c>
      <c r="E800" s="3" t="n">
        <v>10.8</v>
      </c>
      <c r="F800" s="4" t="n">
        <v>3</v>
      </c>
      <c r="G800" t="inlineStr">
        <is>
          <t>Ontario Tennis Association</t>
        </is>
      </c>
      <c r="H800" t="inlineStr">
        <is>
          <t>Rideau Sports Centre</t>
        </is>
      </c>
      <c r="I800" t="n">
        <v>37.8</v>
      </c>
      <c r="J800" s="4" t="n">
        <v>50</v>
      </c>
      <c r="K800" t="inlineStr">
        <is>
          <t>30 / 20</t>
        </is>
      </c>
      <c r="L800" t="inlineStr">
        <is>
          <t>27 / 11</t>
        </is>
      </c>
      <c r="M800" s="5" t="n">
        <v>0.6</v>
      </c>
      <c r="N800" s="5" t="n">
        <v>0.71</v>
      </c>
    </row>
    <row r="801">
      <c r="A801" t="n">
        <v>799</v>
      </c>
      <c r="B801" t="n">
        <v>2016</v>
      </c>
      <c r="C801" t="inlineStr">
        <is>
          <t>Christina Chen</t>
        </is>
      </c>
      <c r="D801">
        <f>HYPERLINK("https://ota.tournamentsoftware.com/player-profile/77F19A45-EF05-4CCE-896B-44A6BEF594C7", "Link")</f>
        <v/>
      </c>
      <c r="E801" s="3" t="n">
        <v>10.8</v>
      </c>
      <c r="F801" s="4" t="n">
        <v>3</v>
      </c>
      <c r="G801" t="inlineStr">
        <is>
          <t>Ontario Tennis Association</t>
        </is>
      </c>
      <c r="H801" t="inlineStr">
        <is>
          <t>No Club</t>
        </is>
      </c>
      <c r="I801" t="n">
        <v>39.9</v>
      </c>
      <c r="J801" s="4" t="n">
        <v>74</v>
      </c>
      <c r="K801" t="inlineStr">
        <is>
          <t>7 / 67</t>
        </is>
      </c>
      <c r="L801" t="inlineStr">
        <is>
          <t>3 / 14</t>
        </is>
      </c>
      <c r="M801" s="5" t="n">
        <v>0.09</v>
      </c>
      <c r="N801" s="5" t="n">
        <v>0.18</v>
      </c>
    </row>
    <row r="802">
      <c r="A802" t="n">
        <v>799</v>
      </c>
      <c r="B802" t="n">
        <v>2012</v>
      </c>
      <c r="C802" t="inlineStr">
        <is>
          <t>Jiayi Emma Wang</t>
        </is>
      </c>
      <c r="D802">
        <f>HYPERLINK("https://ota.tournamentsoftware.com/player-profile/C6ED9D5C-83AD-4AC9-9DCE-1D21A2304573", "Link")</f>
        <v/>
      </c>
      <c r="E802" s="3" t="n">
        <v>10.8</v>
      </c>
      <c r="F802" s="4" t="n">
        <v>1</v>
      </c>
      <c r="G802" t="inlineStr">
        <is>
          <t>British Columbia</t>
        </is>
      </c>
      <c r="H802" t="inlineStr">
        <is>
          <t>No Club</t>
        </is>
      </c>
      <c r="I802" t="inlineStr">
        <is>
          <t>unavailable</t>
        </is>
      </c>
      <c r="J802" s="4" t="n">
        <v>12</v>
      </c>
      <c r="K802" t="inlineStr">
        <is>
          <t>2 / 10</t>
        </is>
      </c>
      <c r="L802" t="inlineStr">
        <is>
          <t>1 / 1</t>
        </is>
      </c>
      <c r="M802" s="5" t="n">
        <v>0.17</v>
      </c>
      <c r="N802" s="5" t="n">
        <v>0.5</v>
      </c>
    </row>
    <row r="803">
      <c r="A803" t="n">
        <v>802</v>
      </c>
      <c r="B803" t="n">
        <v>2015</v>
      </c>
      <c r="C803" t="inlineStr">
        <is>
          <t>marguerite yuruk</t>
        </is>
      </c>
      <c r="D803">
        <f>HYPERLINK("https://ota.tournamentsoftware.com/player-profile/9999A3D6-24BE-4317-B958-895DE1DECB34", "Link")</f>
        <v/>
      </c>
      <c r="E803" s="3" t="n">
        <v>10.628</v>
      </c>
      <c r="F803" s="4" t="n">
        <v>3</v>
      </c>
      <c r="G803" t="inlineStr">
        <is>
          <t>Tennis Québec</t>
        </is>
      </c>
      <c r="H803" t="inlineStr">
        <is>
          <t>Tennis 13</t>
        </is>
      </c>
      <c r="I803" t="n">
        <v>39.8</v>
      </c>
      <c r="J803" s="4" t="n">
        <v>8</v>
      </c>
      <c r="K803" t="inlineStr">
        <is>
          <t>2 / 6</t>
        </is>
      </c>
      <c r="L803" t="inlineStr">
        <is>
          <t>2 / 6</t>
        </is>
      </c>
      <c r="M803" s="5" t="n">
        <v>0.25</v>
      </c>
      <c r="N803" s="5" t="n">
        <v>0.25</v>
      </c>
    </row>
    <row r="804">
      <c r="A804" t="n">
        <v>803</v>
      </c>
      <c r="B804" t="n">
        <v>2016</v>
      </c>
      <c r="C804" t="inlineStr">
        <is>
          <t>Jaclyn Zhang</t>
        </is>
      </c>
      <c r="D804">
        <f>HYPERLINK("https://ota.tournamentsoftware.com/player-profile/E6E9780C-ACDE-4CFD-B134-4984C266BCEB", "Link")</f>
        <v/>
      </c>
      <c r="E804" s="3" t="n">
        <v>10.48</v>
      </c>
      <c r="F804" s="4" t="n">
        <v>6</v>
      </c>
      <c r="G804" t="inlineStr">
        <is>
          <t>British Columbia</t>
        </is>
      </c>
      <c r="H804" t="inlineStr">
        <is>
          <t>UBC Tennis Centre</t>
        </is>
      </c>
      <c r="I804" t="n">
        <v>39.1</v>
      </c>
      <c r="J804" s="4" t="n">
        <v>79</v>
      </c>
      <c r="K804" t="inlineStr">
        <is>
          <t>44 / 35</t>
        </is>
      </c>
      <c r="L804" t="inlineStr">
        <is>
          <t>18 / 23</t>
        </is>
      </c>
      <c r="M804" s="5" t="n">
        <v>0.5600000000000001</v>
      </c>
      <c r="N804" s="5" t="n">
        <v>0.44</v>
      </c>
    </row>
    <row r="805">
      <c r="A805" t="n">
        <v>804</v>
      </c>
      <c r="B805" t="n">
        <v>2014</v>
      </c>
      <c r="C805" t="inlineStr">
        <is>
          <t>Madelyn Palsat</t>
        </is>
      </c>
      <c r="D805">
        <f>HYPERLINK("https://ota.tournamentsoftware.com/player-profile/B7A28D92-CC5D-460E-A752-75C63DAB2E9F", "Link")</f>
        <v/>
      </c>
      <c r="E805" s="3" t="n">
        <v>10.44</v>
      </c>
      <c r="F805" s="4" t="n">
        <v>9</v>
      </c>
      <c r="G805" t="inlineStr">
        <is>
          <t>Tennis Alberta</t>
        </is>
      </c>
      <c r="H805" t="inlineStr">
        <is>
          <t>Royal Glenora Club</t>
        </is>
      </c>
      <c r="I805" t="n">
        <v>37</v>
      </c>
      <c r="J805" s="4" t="n">
        <v>21</v>
      </c>
      <c r="K805" t="inlineStr">
        <is>
          <t>10 / 11</t>
        </is>
      </c>
      <c r="L805" t="inlineStr">
        <is>
          <t>10 / 11</t>
        </is>
      </c>
      <c r="M805" s="5" t="n">
        <v>0.48</v>
      </c>
      <c r="N805" s="5" t="n">
        <v>0.48</v>
      </c>
    </row>
    <row r="806">
      <c r="A806" t="n">
        <v>805</v>
      </c>
      <c r="B806" t="n">
        <v>2013</v>
      </c>
      <c r="C806" t="inlineStr">
        <is>
          <t>Lingxi Li</t>
        </is>
      </c>
      <c r="D806">
        <f>HYPERLINK("https://ota.tournamentsoftware.com/player-profile/5F3C2697-7DC3-404F-86B1-B1440B580069", "Link")</f>
        <v/>
      </c>
      <c r="E806" s="3" t="n">
        <v>10.413</v>
      </c>
      <c r="F806" s="4" t="n">
        <v>2</v>
      </c>
      <c r="G806" t="inlineStr">
        <is>
          <t>British Columbia</t>
        </is>
      </c>
      <c r="H806" t="inlineStr">
        <is>
          <t>No Club</t>
        </is>
      </c>
      <c r="I806" t="n">
        <v>38.4</v>
      </c>
      <c r="J806" s="4" t="n">
        <v>3</v>
      </c>
      <c r="K806" t="inlineStr">
        <is>
          <t>1 / 2</t>
        </is>
      </c>
      <c r="L806" t="inlineStr">
        <is>
          <t>1 / 2</t>
        </is>
      </c>
      <c r="M806" s="5" t="n">
        <v>0.33</v>
      </c>
      <c r="N806" s="5" t="n">
        <v>0.33</v>
      </c>
    </row>
    <row r="807">
      <c r="A807" t="n">
        <v>806</v>
      </c>
      <c r="B807" t="n">
        <v>2016</v>
      </c>
      <c r="C807" t="inlineStr">
        <is>
          <t>Yuxuan Niu</t>
        </is>
      </c>
      <c r="D807">
        <f>HYPERLINK("https://ota.tournamentsoftware.com/player-profile/49C2723D-DBBA-48CA-B20D-69A550E45FB4", "Link")</f>
        <v/>
      </c>
      <c r="E807" s="3" t="n">
        <v>10.368</v>
      </c>
      <c r="F807" s="4" t="n">
        <v>3</v>
      </c>
      <c r="G807" t="inlineStr">
        <is>
          <t>Ontario Tennis Association</t>
        </is>
      </c>
      <c r="H807" t="inlineStr">
        <is>
          <t>Premier Racquet Clubs – Mississauga</t>
        </is>
      </c>
      <c r="I807" t="inlineStr">
        <is>
          <t>unavailable</t>
        </is>
      </c>
      <c r="J807" s="4" t="n">
        <v>21</v>
      </c>
      <c r="K807" t="inlineStr">
        <is>
          <t>14 / 7</t>
        </is>
      </c>
      <c r="L807" t="inlineStr">
        <is>
          <t>14 / 7</t>
        </is>
      </c>
      <c r="M807" s="5" t="n">
        <v>0.67</v>
      </c>
      <c r="N807" s="5" t="n">
        <v>0.67</v>
      </c>
    </row>
    <row r="808">
      <c r="A808" t="n">
        <v>806</v>
      </c>
      <c r="B808" t="n">
        <v>2015</v>
      </c>
      <c r="C808" t="inlineStr">
        <is>
          <t>Emmanuelle Farah Kwin Onana</t>
        </is>
      </c>
      <c r="D808">
        <f>HYPERLINK("https://ota.tournamentsoftware.com/player-profile/7931DDBA-D7CA-40E8-97CF-DF1CA8113B24", "Link")</f>
        <v/>
      </c>
      <c r="E808" s="3" t="n">
        <v>10.368</v>
      </c>
      <c r="F808" s="4" t="n">
        <v>1</v>
      </c>
      <c r="G808" t="inlineStr">
        <is>
          <t>Tennis Québec</t>
        </is>
      </c>
      <c r="H808" t="inlineStr">
        <is>
          <t>Tennis Outaouais Performance (TOP)</t>
        </is>
      </c>
      <c r="I808" t="inlineStr">
        <is>
          <t>unavailable</t>
        </is>
      </c>
      <c r="J808" s="4" t="n">
        <v>13</v>
      </c>
      <c r="K808" t="inlineStr">
        <is>
          <t>6 / 7</t>
        </is>
      </c>
      <c r="L808" t="inlineStr">
        <is>
          <t>0 / 1</t>
        </is>
      </c>
      <c r="M808" s="5" t="n">
        <v>0.46</v>
      </c>
      <c r="N808" s="5" t="n">
        <v>0</v>
      </c>
    </row>
    <row r="809">
      <c r="A809" t="n">
        <v>806</v>
      </c>
      <c r="B809" t="n">
        <v>2016</v>
      </c>
      <c r="C809" t="inlineStr">
        <is>
          <t>Alice Trépanier</t>
        </is>
      </c>
      <c r="D809">
        <f>HYPERLINK("https://ota.tournamentsoftware.com/player-profile/005FD3B5-057F-4BFE-B6D1-1D3CC87FBA27", "Link")</f>
        <v/>
      </c>
      <c r="E809" s="3" t="n">
        <v>10.368</v>
      </c>
      <c r="F809" s="4" t="n">
        <v>1</v>
      </c>
      <c r="G809" t="inlineStr">
        <is>
          <t>Tennis Québec</t>
        </is>
      </c>
      <c r="H809" t="inlineStr">
        <is>
          <t>Centre Récréatif Rock Forest</t>
        </is>
      </c>
      <c r="I809" t="inlineStr">
        <is>
          <t>unavailable</t>
        </is>
      </c>
      <c r="J809" s="4" t="n">
        <v>33</v>
      </c>
      <c r="K809" t="inlineStr">
        <is>
          <t>14 / 19</t>
        </is>
      </c>
      <c r="L809" t="inlineStr">
        <is>
          <t>10 / 11</t>
        </is>
      </c>
      <c r="M809" s="5" t="n">
        <v>0.42</v>
      </c>
      <c r="N809" s="5" t="n">
        <v>0.48</v>
      </c>
    </row>
    <row r="810">
      <c r="A810" t="n">
        <v>809</v>
      </c>
      <c r="B810" t="n">
        <v>2013</v>
      </c>
      <c r="C810" t="inlineStr">
        <is>
          <t>Harper Thompson</t>
        </is>
      </c>
      <c r="D810">
        <f>HYPERLINK("https://ota.tournamentsoftware.com/player-profile/D930EA05-6917-4BB8-9AD8-DE7F29C99324", "Link")</f>
        <v/>
      </c>
      <c r="E810" s="3" t="n">
        <v>10.235</v>
      </c>
      <c r="F810" s="4" t="n">
        <v>3</v>
      </c>
      <c r="G810" t="inlineStr">
        <is>
          <t>Tennis Alberta</t>
        </is>
      </c>
      <c r="H810" t="inlineStr">
        <is>
          <t>The Glencoe Club</t>
        </is>
      </c>
      <c r="I810" t="inlineStr">
        <is>
          <t>unavailable</t>
        </is>
      </c>
      <c r="J810" s="4" t="n">
        <v>46</v>
      </c>
      <c r="K810" t="inlineStr">
        <is>
          <t>2 / 44</t>
        </is>
      </c>
      <c r="L810" t="inlineStr">
        <is>
          <t>0 / 4</t>
        </is>
      </c>
      <c r="M810" s="5" t="n">
        <v>0.04</v>
      </c>
      <c r="N810" s="5" t="n">
        <v>0</v>
      </c>
    </row>
    <row r="811">
      <c r="A811" t="n">
        <v>810</v>
      </c>
      <c r="B811" t="n">
        <v>2016</v>
      </c>
      <c r="C811" t="inlineStr">
        <is>
          <t>Lexie Lapierre</t>
        </is>
      </c>
      <c r="D811">
        <f>HYPERLINK("https://ota.tournamentsoftware.com/player-profile/06ECEE5E-F58C-4E2A-9649-F258137798CC", "Link")</f>
        <v/>
      </c>
      <c r="E811" s="3" t="n">
        <v>10.2</v>
      </c>
      <c r="F811" s="4" t="n">
        <v>1</v>
      </c>
      <c r="G811" t="inlineStr">
        <is>
          <t>Tennis Québec</t>
        </is>
      </c>
      <c r="H811" t="inlineStr">
        <is>
          <t>Tennis Ile- des- Soeurs</t>
        </is>
      </c>
      <c r="I811" t="n">
        <v>35.2</v>
      </c>
      <c r="J811" s="4" t="n">
        <v>116</v>
      </c>
      <c r="K811" t="inlineStr">
        <is>
          <t>66 / 50</t>
        </is>
      </c>
      <c r="L811" t="inlineStr">
        <is>
          <t>29 / 17</t>
        </is>
      </c>
      <c r="M811" s="5" t="n">
        <v>0.57</v>
      </c>
      <c r="N811" s="5" t="n">
        <v>0.63</v>
      </c>
    </row>
    <row r="812">
      <c r="A812" t="n">
        <v>811</v>
      </c>
      <c r="B812" t="n">
        <v>2014</v>
      </c>
      <c r="C812" t="inlineStr">
        <is>
          <t>Flore Laferrière</t>
        </is>
      </c>
      <c r="D812">
        <f>HYPERLINK("https://ota.tournamentsoftware.com/player-profile/14AB607F-E600-4113-85A8-3FA78DC9A248", "Link")</f>
        <v/>
      </c>
      <c r="E812" s="3" t="n">
        <v>10.149</v>
      </c>
      <c r="F812" s="4" t="n">
        <v>3</v>
      </c>
      <c r="G812" t="inlineStr">
        <is>
          <t>Tennis Québec</t>
        </is>
      </c>
      <c r="H812" t="inlineStr">
        <is>
          <t>Tennis 3R- l’Academie l’échange</t>
        </is>
      </c>
      <c r="I812" t="n">
        <v>39.6</v>
      </c>
      <c r="J812" s="4" t="n">
        <v>8</v>
      </c>
      <c r="K812" t="inlineStr">
        <is>
          <t>1 / 7</t>
        </is>
      </c>
      <c r="L812" t="inlineStr">
        <is>
          <t>0 / 3</t>
        </is>
      </c>
      <c r="M812" s="5" t="n">
        <v>0.12</v>
      </c>
      <c r="N812" s="5" t="n">
        <v>0</v>
      </c>
    </row>
    <row r="813">
      <c r="A813" t="n">
        <v>812</v>
      </c>
      <c r="B813" t="n">
        <v>2015</v>
      </c>
      <c r="C813" t="inlineStr">
        <is>
          <t>Jaelynn Lumandas</t>
        </is>
      </c>
      <c r="D813">
        <f>HYPERLINK("https://ota.tournamentsoftware.com/player-profile/586CE1E5-E974-4A42-B919-DE1FC94F6144", "Link")</f>
        <v/>
      </c>
      <c r="E813" s="3" t="n">
        <v>10.137</v>
      </c>
      <c r="F813" s="4" t="n">
        <v>3</v>
      </c>
      <c r="G813" t="inlineStr">
        <is>
          <t>Tennis Alberta</t>
        </is>
      </c>
      <c r="H813" t="inlineStr">
        <is>
          <t>Saville Community Sports Centre</t>
        </is>
      </c>
      <c r="I813" t="n">
        <v>40</v>
      </c>
      <c r="J813" s="4" t="n">
        <v>25</v>
      </c>
      <c r="K813" t="inlineStr">
        <is>
          <t>1 / 24</t>
        </is>
      </c>
      <c r="L813" t="inlineStr">
        <is>
          <t>0 / 4</t>
        </is>
      </c>
      <c r="M813" s="5" t="n">
        <v>0.04</v>
      </c>
      <c r="N813" s="5" t="n">
        <v>0</v>
      </c>
    </row>
    <row r="814">
      <c r="A814" t="n">
        <v>813</v>
      </c>
      <c r="B814" t="n">
        <v>2013</v>
      </c>
      <c r="C814" t="inlineStr">
        <is>
          <t>Kate Sumner</t>
        </is>
      </c>
      <c r="D814">
        <f>HYPERLINK("https://ota.tournamentsoftware.com/player-profile/42BF9410-8926-4C81-9B50-F1262CEF0360", "Link")</f>
        <v/>
      </c>
      <c r="E814" s="3" t="n">
        <v>9.978999999999999</v>
      </c>
      <c r="F814" s="4" t="n">
        <v>2</v>
      </c>
      <c r="G814" t="inlineStr">
        <is>
          <t>Ontario Tennis Association</t>
        </is>
      </c>
      <c r="H814" t="inlineStr">
        <is>
          <t>Toronto Cricket Skating &amp; Curling</t>
        </is>
      </c>
      <c r="I814" t="inlineStr">
        <is>
          <t>unavailable</t>
        </is>
      </c>
      <c r="J814" s="4" t="n">
        <v>33</v>
      </c>
      <c r="K814" t="inlineStr">
        <is>
          <t>11 / 22</t>
        </is>
      </c>
      <c r="L814" t="inlineStr">
        <is>
          <t>1 / 1</t>
        </is>
      </c>
      <c r="M814" s="5" t="n">
        <v>0.33</v>
      </c>
      <c r="N814" s="5" t="n">
        <v>0.5</v>
      </c>
    </row>
    <row r="815">
      <c r="A815" t="n">
        <v>814</v>
      </c>
      <c r="B815" t="n">
        <v>2013</v>
      </c>
      <c r="C815" t="inlineStr">
        <is>
          <t>Alice Xinlan Zhang</t>
        </is>
      </c>
      <c r="D815">
        <f>HYPERLINK("https://ota.tournamentsoftware.com/player-profile/5AB3ED93-EFEA-4CB0-A2FB-B5B93AA6A37B", "Link")</f>
        <v/>
      </c>
      <c r="E815" s="3" t="n">
        <v>9.879</v>
      </c>
      <c r="F815" s="4" t="n">
        <v>1</v>
      </c>
      <c r="G815" t="inlineStr">
        <is>
          <t>Tennis Newfoundland &amp; Labrador</t>
        </is>
      </c>
      <c r="H815" t="inlineStr">
        <is>
          <t>Greenbelt Tennis Club</t>
        </is>
      </c>
      <c r="I815" t="n">
        <v>38.5</v>
      </c>
      <c r="J815" s="4" t="n">
        <v>2</v>
      </c>
      <c r="K815" t="inlineStr">
        <is>
          <t>0 / 2</t>
        </is>
      </c>
      <c r="L815" t="inlineStr">
        <is>
          <t>0 / 2</t>
        </is>
      </c>
      <c r="M815" s="5" t="n">
        <v>0</v>
      </c>
      <c r="N815" s="5" t="n">
        <v>0</v>
      </c>
    </row>
    <row r="816">
      <c r="A816" t="n">
        <v>815</v>
      </c>
      <c r="B816" t="n">
        <v>2015</v>
      </c>
      <c r="C816" t="inlineStr">
        <is>
          <t>Eleonore Dufour-McIver</t>
        </is>
      </c>
      <c r="D816">
        <f>HYPERLINK("https://ota.tournamentsoftware.com/player-profile/FF50EDFA-9603-4690-8980-1D1C475C4752", "Link")</f>
        <v/>
      </c>
      <c r="E816" s="3" t="n">
        <v>9.685</v>
      </c>
      <c r="F816" s="4" t="n">
        <v>2</v>
      </c>
      <c r="G816" t="inlineStr">
        <is>
          <t>Tennis Québec</t>
        </is>
      </c>
      <c r="H816" t="inlineStr">
        <is>
          <t>GRINDTENNIS</t>
        </is>
      </c>
      <c r="I816" t="n">
        <v>36</v>
      </c>
      <c r="J816" s="4" t="n">
        <v>12</v>
      </c>
      <c r="K816" t="inlineStr">
        <is>
          <t>9 / 3</t>
        </is>
      </c>
      <c r="L816" t="inlineStr">
        <is>
          <t>0 / 2</t>
        </is>
      </c>
      <c r="M816" s="5" t="n">
        <v>0.75</v>
      </c>
      <c r="N816" s="5" t="n">
        <v>0</v>
      </c>
    </row>
    <row r="817">
      <c r="A817" t="n">
        <v>816</v>
      </c>
      <c r="B817" t="n">
        <v>2013</v>
      </c>
      <c r="C817" t="inlineStr">
        <is>
          <t>Anastasia Gorceac</t>
        </is>
      </c>
      <c r="D817">
        <f>HYPERLINK("https://ota.tournamentsoftware.com/player-profile/34DB6E68-DC2D-46A3-9FCF-82A58A1EDBE3", "Link")</f>
        <v/>
      </c>
      <c r="E817" s="3" t="n">
        <v>9.612</v>
      </c>
      <c r="F817" s="4" t="n">
        <v>2</v>
      </c>
      <c r="G817" t="inlineStr">
        <is>
          <t>Tennis Québec</t>
        </is>
      </c>
      <c r="H817" t="inlineStr">
        <is>
          <t>No Club</t>
        </is>
      </c>
      <c r="I817" t="n">
        <v>37.9</v>
      </c>
      <c r="J817" s="4" t="n">
        <v>8</v>
      </c>
      <c r="K817" t="inlineStr">
        <is>
          <t>4 / 4</t>
        </is>
      </c>
      <c r="L817" t="inlineStr">
        <is>
          <t>0 / 0</t>
        </is>
      </c>
      <c r="M817" s="5" t="n">
        <v>0.5</v>
      </c>
      <c r="N817" s="5" t="n">
        <v>0</v>
      </c>
    </row>
    <row r="818">
      <c r="A818" t="n">
        <v>817</v>
      </c>
      <c r="B818" t="n">
        <v>2015</v>
      </c>
      <c r="C818" t="inlineStr">
        <is>
          <t>Violet Rose Divell</t>
        </is>
      </c>
      <c r="D818">
        <f>HYPERLINK("https://ota.tournamentsoftware.com/player-profile/264EFCE5-2D5B-4014-A1E4-CF0F958237B9", "Link")</f>
        <v/>
      </c>
      <c r="E818" s="3" t="n">
        <v>9.598000000000001</v>
      </c>
      <c r="F818" s="4" t="n">
        <v>3</v>
      </c>
      <c r="G818" t="inlineStr">
        <is>
          <t>Tennis Québec</t>
        </is>
      </c>
      <c r="H818" t="inlineStr">
        <is>
          <t>Académie de tennis UNI(T)</t>
        </is>
      </c>
      <c r="I818" t="n">
        <v>39.4</v>
      </c>
      <c r="J818" s="4" t="n">
        <v>6</v>
      </c>
      <c r="K818" t="inlineStr">
        <is>
          <t>1 / 5</t>
        </is>
      </c>
      <c r="L818" t="inlineStr">
        <is>
          <t>1 / 5</t>
        </is>
      </c>
      <c r="M818" s="5" t="n">
        <v>0.17</v>
      </c>
      <c r="N818" s="5" t="n">
        <v>0.17</v>
      </c>
    </row>
    <row r="819">
      <c r="A819" t="n">
        <v>818</v>
      </c>
      <c r="B819" t="n">
        <v>2012</v>
      </c>
      <c r="C819" t="inlineStr">
        <is>
          <t>Ava Woo</t>
        </is>
      </c>
      <c r="D819">
        <f>HYPERLINK("https://ota.tournamentsoftware.com/player-profile/2861CC9E-4474-476F-9204-9CCFF0C57778", "Link")</f>
        <v/>
      </c>
      <c r="E819" s="3" t="n">
        <v>9.537000000000001</v>
      </c>
      <c r="F819" s="4" t="n">
        <v>2</v>
      </c>
      <c r="G819" t="inlineStr">
        <is>
          <t>Tennis Alberta</t>
        </is>
      </c>
      <c r="H819" t="inlineStr">
        <is>
          <t>IQ Tennis and Pickleball Centre</t>
        </is>
      </c>
      <c r="I819" t="inlineStr">
        <is>
          <t>unavailable</t>
        </is>
      </c>
      <c r="J819" s="4" t="n">
        <v>4</v>
      </c>
      <c r="K819" t="inlineStr">
        <is>
          <t>1 / 3</t>
        </is>
      </c>
      <c r="L819" t="inlineStr">
        <is>
          <t>1 / 3</t>
        </is>
      </c>
      <c r="M819" s="5" t="n">
        <v>0.25</v>
      </c>
      <c r="N819" s="5" t="n">
        <v>0.25</v>
      </c>
    </row>
    <row r="820">
      <c r="A820" t="n">
        <v>819</v>
      </c>
      <c r="B820" t="n">
        <v>2012</v>
      </c>
      <c r="C820" t="inlineStr">
        <is>
          <t>Eya Louati</t>
        </is>
      </c>
      <c r="D820">
        <f>HYPERLINK("https://ota.tournamentsoftware.com/player-profile/679317D4-2CCC-4345-A8E0-4E4AB637C148", "Link")</f>
        <v/>
      </c>
      <c r="E820" s="3" t="n">
        <v>9.504</v>
      </c>
      <c r="F820" s="4" t="n">
        <v>1</v>
      </c>
      <c r="G820" t="inlineStr">
        <is>
          <t>Tennis Québec</t>
        </is>
      </c>
      <c r="H820" t="inlineStr">
        <is>
          <t>SANI Sport</t>
        </is>
      </c>
      <c r="I820" t="inlineStr">
        <is>
          <t>unavailable</t>
        </is>
      </c>
      <c r="J820" s="4" t="n">
        <v>90</v>
      </c>
      <c r="K820" t="inlineStr">
        <is>
          <t>28 / 62</t>
        </is>
      </c>
      <c r="L820" t="inlineStr">
        <is>
          <t>1 / 2</t>
        </is>
      </c>
      <c r="M820" s="5" t="n">
        <v>0.31</v>
      </c>
      <c r="N820" s="5" t="n">
        <v>0.33</v>
      </c>
    </row>
    <row r="821">
      <c r="A821" t="n">
        <v>820</v>
      </c>
      <c r="B821" t="n">
        <v>2014</v>
      </c>
      <c r="C821" t="inlineStr">
        <is>
          <t>Yingshan Zoey Chen</t>
        </is>
      </c>
      <c r="D821">
        <f>HYPERLINK("https://ota.tournamentsoftware.com/player-profile/A4F9AF2C-7FB4-474F-BA3A-0E1AB32672E3", "Link")</f>
        <v/>
      </c>
      <c r="E821" s="3" t="n">
        <v>9.414999999999999</v>
      </c>
      <c r="F821" s="4" t="n">
        <v>3</v>
      </c>
      <c r="G821" t="inlineStr">
        <is>
          <t>Ontario Tennis Association</t>
        </is>
      </c>
      <c r="H821" t="inlineStr">
        <is>
          <t>Thornhill Country Club</t>
        </is>
      </c>
      <c r="I821" t="n">
        <v>38.5</v>
      </c>
      <c r="J821" s="4" t="n">
        <v>24</v>
      </c>
      <c r="K821" t="inlineStr">
        <is>
          <t>5 / 19</t>
        </is>
      </c>
      <c r="L821" t="inlineStr">
        <is>
          <t>2 / 4</t>
        </is>
      </c>
      <c r="M821" s="5" t="n">
        <v>0.21</v>
      </c>
      <c r="N821" s="5" t="n">
        <v>0.33</v>
      </c>
    </row>
    <row r="822">
      <c r="A822" t="n">
        <v>821</v>
      </c>
      <c r="B822" t="n">
        <v>2012</v>
      </c>
      <c r="C822" t="inlineStr">
        <is>
          <t>Charley Burgess</t>
        </is>
      </c>
      <c r="D822">
        <f>HYPERLINK("https://ota.tournamentsoftware.com/player-profile/F7818ED5-A370-4D5D-9CAE-03309F03D5FD", "Link")</f>
        <v/>
      </c>
      <c r="E822" s="3" t="n">
        <v>9.228</v>
      </c>
      <c r="F822" s="4" t="n">
        <v>2</v>
      </c>
      <c r="G822" t="inlineStr">
        <is>
          <t>Tennis Alberta</t>
        </is>
      </c>
      <c r="H822" t="inlineStr">
        <is>
          <t>The Glencoe Club</t>
        </is>
      </c>
      <c r="I822" t="inlineStr">
        <is>
          <t>unavailable</t>
        </is>
      </c>
      <c r="J822" s="4" t="n">
        <v>52</v>
      </c>
      <c r="K822" t="inlineStr">
        <is>
          <t>23 / 29</t>
        </is>
      </c>
      <c r="L822" t="inlineStr">
        <is>
          <t>0 / 0</t>
        </is>
      </c>
      <c r="M822" s="5" t="n">
        <v>0.44</v>
      </c>
      <c r="N822" s="5" t="n">
        <v>0</v>
      </c>
    </row>
    <row r="823">
      <c r="A823" t="n">
        <v>822</v>
      </c>
      <c r="B823" t="n">
        <v>2015</v>
      </c>
      <c r="C823" t="inlineStr">
        <is>
          <t>Anaïs Abraham</t>
        </is>
      </c>
      <c r="D823">
        <f>HYPERLINK("https://ota.tournamentsoftware.com/player-profile/39B18892-7698-4742-BF55-CFCBEC0847D1", "Link")</f>
        <v/>
      </c>
      <c r="E823" s="3" t="n">
        <v>9.077999999999999</v>
      </c>
      <c r="F823" s="4" t="n">
        <v>2</v>
      </c>
      <c r="G823" t="inlineStr">
        <is>
          <t>Tennis Québec</t>
        </is>
      </c>
      <c r="H823" t="inlineStr">
        <is>
          <t>Association de tennis de Drummondville</t>
        </is>
      </c>
      <c r="I823" t="n">
        <v>37.5</v>
      </c>
      <c r="J823" s="4" t="n">
        <v>5</v>
      </c>
      <c r="K823" t="inlineStr">
        <is>
          <t>2 / 3</t>
        </is>
      </c>
      <c r="L823" t="inlineStr">
        <is>
          <t>2 / 3</t>
        </is>
      </c>
      <c r="M823" s="5" t="n">
        <v>0.4</v>
      </c>
      <c r="N823" s="5" t="n">
        <v>0.4</v>
      </c>
    </row>
    <row r="824">
      <c r="A824" t="n">
        <v>823</v>
      </c>
      <c r="B824" t="n">
        <v>2014</v>
      </c>
      <c r="C824" t="inlineStr">
        <is>
          <t>Annabelle Zhao</t>
        </is>
      </c>
      <c r="D824">
        <f>HYPERLINK("https://ota.tournamentsoftware.com/player-profile/F9367D16-E3B7-41BB-810F-85E4C6371542", "Link")</f>
        <v/>
      </c>
      <c r="E824" s="3" t="n">
        <v>8.882999999999999</v>
      </c>
      <c r="F824" s="4" t="n">
        <v>3</v>
      </c>
      <c r="G824" t="inlineStr">
        <is>
          <t>British Columbia</t>
        </is>
      </c>
      <c r="H824" t="inlineStr">
        <is>
          <t>The Tennis Centre</t>
        </is>
      </c>
      <c r="I824" t="n">
        <v>39</v>
      </c>
      <c r="J824" s="4" t="n">
        <v>61</v>
      </c>
      <c r="K824" t="inlineStr">
        <is>
          <t>30 / 31</t>
        </is>
      </c>
      <c r="L824" t="inlineStr">
        <is>
          <t>10 / 8</t>
        </is>
      </c>
      <c r="M824" s="5" t="n">
        <v>0.49</v>
      </c>
      <c r="N824" s="5" t="n">
        <v>0.5600000000000001</v>
      </c>
    </row>
    <row r="825">
      <c r="A825" t="n">
        <v>824</v>
      </c>
      <c r="B825" t="n">
        <v>2015</v>
      </c>
      <c r="C825" t="inlineStr">
        <is>
          <t>Isabella Maria Galati</t>
        </is>
      </c>
      <c r="D825">
        <f>HYPERLINK("https://ota.tournamentsoftware.com/player-profile/401ED85D-9EDD-4DED-B064-33902C7F4DF4", "Link")</f>
        <v/>
      </c>
      <c r="E825" s="3" t="n">
        <v>8.694000000000001</v>
      </c>
      <c r="F825" s="4" t="n">
        <v>2</v>
      </c>
      <c r="G825" t="inlineStr">
        <is>
          <t>Ontario Tennis Association</t>
        </is>
      </c>
      <c r="H825" t="inlineStr">
        <is>
          <t>Pickering Tennis Academy</t>
        </is>
      </c>
      <c r="I825" t="n">
        <v>37.7</v>
      </c>
      <c r="J825" s="4" t="n">
        <v>24</v>
      </c>
      <c r="K825" t="inlineStr">
        <is>
          <t>11 / 13</t>
        </is>
      </c>
      <c r="L825" t="inlineStr">
        <is>
          <t>5 / 2</t>
        </is>
      </c>
      <c r="M825" s="5" t="n">
        <v>0.46</v>
      </c>
      <c r="N825" s="5" t="n">
        <v>0.71</v>
      </c>
    </row>
    <row r="826">
      <c r="A826" t="n">
        <v>825</v>
      </c>
      <c r="B826" t="n">
        <v>2014</v>
      </c>
      <c r="C826" t="inlineStr">
        <is>
          <t>Candice Cui</t>
        </is>
      </c>
      <c r="D826">
        <f>HYPERLINK("https://ota.tournamentsoftware.com/player-profile/389A79F0-4AEE-4BAD-A33E-98A21CD35738", "Link")</f>
        <v/>
      </c>
      <c r="E826" s="3" t="n">
        <v>8.640000000000001</v>
      </c>
      <c r="F826" s="4" t="n">
        <v>2</v>
      </c>
      <c r="G826" t="inlineStr">
        <is>
          <t>British Columbia</t>
        </is>
      </c>
      <c r="H826" t="inlineStr">
        <is>
          <t>Okanagan Mission Tennis Club Kelowna</t>
        </is>
      </c>
      <c r="I826" t="inlineStr">
        <is>
          <t>unavailable</t>
        </is>
      </c>
      <c r="J826" s="4" t="n">
        <v>30</v>
      </c>
      <c r="K826" t="inlineStr">
        <is>
          <t>11 / 19</t>
        </is>
      </c>
      <c r="L826" t="inlineStr">
        <is>
          <t>2 / 2</t>
        </is>
      </c>
      <c r="M826" s="5" t="n">
        <v>0.37</v>
      </c>
      <c r="N826" s="5" t="n">
        <v>0.5</v>
      </c>
    </row>
    <row r="827">
      <c r="A827" t="n">
        <v>825</v>
      </c>
      <c r="B827" t="n">
        <v>2015</v>
      </c>
      <c r="C827" t="inlineStr">
        <is>
          <t>Chloe Brown</t>
        </is>
      </c>
      <c r="D827">
        <f>HYPERLINK("https://ota.tournamentsoftware.com/player-profile/E3B2C995-F41E-4C95-81DE-7B219EF03CBD", "Link")</f>
        <v/>
      </c>
      <c r="E827" s="3" t="n">
        <v>8.640000000000001</v>
      </c>
      <c r="F827" s="4" t="n">
        <v>2</v>
      </c>
      <c r="G827" t="inlineStr">
        <is>
          <t>British Columbia</t>
        </is>
      </c>
      <c r="H827" t="inlineStr">
        <is>
          <t>Commons Racquet Club at Predator Ridge</t>
        </is>
      </c>
      <c r="I827" t="n">
        <v>38.5</v>
      </c>
      <c r="J827" s="4" t="n">
        <v>25</v>
      </c>
      <c r="K827" t="inlineStr">
        <is>
          <t>10 / 15</t>
        </is>
      </c>
      <c r="L827" t="inlineStr">
        <is>
          <t>7 / 5</t>
        </is>
      </c>
      <c r="M827" s="5" t="n">
        <v>0.4</v>
      </c>
      <c r="N827" s="5" t="n">
        <v>0.58</v>
      </c>
    </row>
    <row r="828">
      <c r="A828" t="n">
        <v>827</v>
      </c>
      <c r="B828" t="n">
        <v>2015</v>
      </c>
      <c r="C828" t="inlineStr">
        <is>
          <t>Ivana Novatus Nguma</t>
        </is>
      </c>
      <c r="D828">
        <f>HYPERLINK("https://ota.tournamentsoftware.com/player-profile/152EACD1-B447-4FFD-B45D-419526079F6E", "Link")</f>
        <v/>
      </c>
      <c r="E828" s="3" t="n">
        <v>8.598000000000001</v>
      </c>
      <c r="F828" s="4" t="n">
        <v>3</v>
      </c>
      <c r="G828" t="inlineStr">
        <is>
          <t>Tennis Alberta</t>
        </is>
      </c>
      <c r="H828" t="inlineStr">
        <is>
          <t>Calgary Tennis Society</t>
        </is>
      </c>
      <c r="I828" t="n">
        <v>37.2</v>
      </c>
      <c r="J828" s="4" t="n">
        <v>29</v>
      </c>
      <c r="K828" t="inlineStr">
        <is>
          <t>15 / 14</t>
        </is>
      </c>
      <c r="L828" t="inlineStr">
        <is>
          <t>11 / 6</t>
        </is>
      </c>
      <c r="M828" s="5" t="n">
        <v>0.52</v>
      </c>
      <c r="N828" s="5" t="n">
        <v>0.65</v>
      </c>
    </row>
    <row r="829">
      <c r="A829" t="n">
        <v>828</v>
      </c>
      <c r="B829" t="n">
        <v>2016</v>
      </c>
      <c r="C829" t="inlineStr">
        <is>
          <t>Adele Birry</t>
        </is>
      </c>
      <c r="D829">
        <f>HYPERLINK("https://ota.tournamentsoftware.com/player-profile/0BCEA3D0-AE8B-4246-BED0-94C9920C9B7E", "Link")</f>
        <v/>
      </c>
      <c r="E829" s="3" t="n">
        <v>8.558999999999999</v>
      </c>
      <c r="F829" s="4" t="n">
        <v>2</v>
      </c>
      <c r="G829" t="inlineStr">
        <is>
          <t>Tennis Québec</t>
        </is>
      </c>
      <c r="H829" t="inlineStr">
        <is>
          <t>Club de tennis intérieur Saguenay</t>
        </is>
      </c>
      <c r="I829" t="inlineStr">
        <is>
          <t>unavailable</t>
        </is>
      </c>
      <c r="J829" s="4" t="n">
        <v>23</v>
      </c>
      <c r="K829" t="inlineStr">
        <is>
          <t>9 / 14</t>
        </is>
      </c>
      <c r="L829" t="inlineStr">
        <is>
          <t>7 / 13</t>
        </is>
      </c>
      <c r="M829" s="5" t="n">
        <v>0.39</v>
      </c>
      <c r="N829" s="5" t="n">
        <v>0.35</v>
      </c>
    </row>
    <row r="830">
      <c r="A830" t="n">
        <v>829</v>
      </c>
      <c r="B830" t="n">
        <v>2013</v>
      </c>
      <c r="C830" t="inlineStr">
        <is>
          <t>KIanna Jia Christianson</t>
        </is>
      </c>
      <c r="D830">
        <f>HYPERLINK("https://ota.tournamentsoftware.com/player-profile/A76E75A0-5CAF-4017-8B3C-2D69366CF0FB", "Link")</f>
        <v/>
      </c>
      <c r="E830" s="3" t="n">
        <v>8.423999999999999</v>
      </c>
      <c r="F830" s="4" t="n">
        <v>1</v>
      </c>
      <c r="G830" t="inlineStr">
        <is>
          <t>British Columbia</t>
        </is>
      </c>
      <c r="H830" t="inlineStr">
        <is>
          <t>City of Burnaby</t>
        </is>
      </c>
      <c r="I830" t="n">
        <v>40</v>
      </c>
      <c r="J830" s="4" t="n">
        <v>10</v>
      </c>
      <c r="K830" t="inlineStr">
        <is>
          <t>5 / 5</t>
        </is>
      </c>
      <c r="L830" t="inlineStr">
        <is>
          <t>2 / 3</t>
        </is>
      </c>
      <c r="M830" s="5" t="n">
        <v>0.5</v>
      </c>
      <c r="N830" s="5" t="n">
        <v>0.4</v>
      </c>
    </row>
    <row r="831">
      <c r="A831" t="n">
        <v>829</v>
      </c>
      <c r="B831" t="n">
        <v>2012</v>
      </c>
      <c r="C831" t="inlineStr">
        <is>
          <t>LUCY HA</t>
        </is>
      </c>
      <c r="D831">
        <f>HYPERLINK("https://ota.tournamentsoftware.com/player-profile/5289FB1D-8B94-446A-83C5-187068CE2F5D", "Link")</f>
        <v/>
      </c>
      <c r="E831" s="3" t="n">
        <v>8.423999999999999</v>
      </c>
      <c r="F831" s="4" t="n">
        <v>2</v>
      </c>
      <c r="G831" t="inlineStr">
        <is>
          <t>British Columbia</t>
        </is>
      </c>
      <c r="H831" t="inlineStr">
        <is>
          <t>Tennis BC Hub @ Richmond</t>
        </is>
      </c>
      <c r="I831" t="n">
        <v>37.7</v>
      </c>
      <c r="J831" s="4" t="n">
        <v>28</v>
      </c>
      <c r="K831" t="inlineStr">
        <is>
          <t>4 / 24</t>
        </is>
      </c>
      <c r="L831" t="inlineStr">
        <is>
          <t>0 / 2</t>
        </is>
      </c>
      <c r="M831" s="5" t="n">
        <v>0.14</v>
      </c>
      <c r="N831" s="5" t="n">
        <v>0</v>
      </c>
    </row>
    <row r="832">
      <c r="A832" t="n">
        <v>829</v>
      </c>
      <c r="B832" t="n">
        <v>2012</v>
      </c>
      <c r="C832" t="inlineStr">
        <is>
          <t>Elisha Lee</t>
        </is>
      </c>
      <c r="D832">
        <f>HYPERLINK("https://ota.tournamentsoftware.com/player-profile/0D8F1552-F5AE-4BBB-B462-7DFD495EA5D1", "Link")</f>
        <v/>
      </c>
      <c r="E832" s="3" t="n">
        <v>8.423999999999999</v>
      </c>
      <c r="F832" s="4" t="n">
        <v>1</v>
      </c>
      <c r="G832" t="inlineStr">
        <is>
          <t>British Columbia</t>
        </is>
      </c>
      <c r="H832" t="inlineStr">
        <is>
          <t>Great West Fitness and Racquets Club</t>
        </is>
      </c>
      <c r="I832" t="n">
        <v>37.8</v>
      </c>
      <c r="J832" s="4" t="n">
        <v>52</v>
      </c>
      <c r="K832" t="inlineStr">
        <is>
          <t>21 / 31</t>
        </is>
      </c>
      <c r="L832" t="inlineStr">
        <is>
          <t>11 / 14</t>
        </is>
      </c>
      <c r="M832" s="5" t="n">
        <v>0.4</v>
      </c>
      <c r="N832" s="5" t="n">
        <v>0.44</v>
      </c>
    </row>
    <row r="833">
      <c r="A833" t="n">
        <v>829</v>
      </c>
      <c r="B833" t="n">
        <v>2012</v>
      </c>
      <c r="C833" t="inlineStr">
        <is>
          <t>Ruike Ni</t>
        </is>
      </c>
      <c r="D833">
        <f>HYPERLINK("https://ota.tournamentsoftware.com/player-profile/862000EB-CE8E-4CA2-BA1E-5441407CA2E5", "Link")</f>
        <v/>
      </c>
      <c r="E833" s="3" t="n">
        <v>8.423999999999999</v>
      </c>
      <c r="F833" s="4" t="n">
        <v>1</v>
      </c>
      <c r="G833" t="inlineStr">
        <is>
          <t>British Columbia</t>
        </is>
      </c>
      <c r="H833" t="inlineStr">
        <is>
          <t>Tennis for Life</t>
        </is>
      </c>
      <c r="I833" t="n">
        <v>38.4</v>
      </c>
      <c r="J833" s="4" t="n">
        <v>7</v>
      </c>
      <c r="K833" t="inlineStr">
        <is>
          <t>2 / 5</t>
        </is>
      </c>
      <c r="L833" t="inlineStr">
        <is>
          <t>0 / 2</t>
        </is>
      </c>
      <c r="M833" s="5" t="n">
        <v>0.29</v>
      </c>
      <c r="N833" s="5" t="n">
        <v>0</v>
      </c>
    </row>
    <row r="834">
      <c r="A834" t="n">
        <v>833</v>
      </c>
      <c r="B834" t="n">
        <v>2015</v>
      </c>
      <c r="C834" t="inlineStr">
        <is>
          <t>Mila Sofia Galvez Bourgeois-Charbonneau</t>
        </is>
      </c>
      <c r="D834">
        <f>HYPERLINK("https://ota.tournamentsoftware.com/player-profile/4F9CCD8C-A7BD-4FA0-B17A-3689BD230A0C", "Link")</f>
        <v/>
      </c>
      <c r="E834" s="3" t="n">
        <v>8.298</v>
      </c>
      <c r="F834" s="4" t="n">
        <v>2</v>
      </c>
      <c r="G834" t="inlineStr">
        <is>
          <t>Tennis Québec</t>
        </is>
      </c>
      <c r="H834" t="inlineStr">
        <is>
          <t>AA Autre club</t>
        </is>
      </c>
      <c r="I834" t="n">
        <v>37.3</v>
      </c>
      <c r="J834" s="4" t="n">
        <v>10</v>
      </c>
      <c r="K834" t="inlineStr">
        <is>
          <t>5 / 5</t>
        </is>
      </c>
      <c r="L834" t="inlineStr">
        <is>
          <t>5 / 2</t>
        </is>
      </c>
      <c r="M834" s="5" t="n">
        <v>0.5</v>
      </c>
      <c r="N834" s="5" t="n">
        <v>0.71</v>
      </c>
    </row>
    <row r="835">
      <c r="A835" t="n">
        <v>834</v>
      </c>
      <c r="B835" t="n">
        <v>2016</v>
      </c>
      <c r="C835" t="inlineStr">
        <is>
          <t>Peiyu(Cici) Li</t>
        </is>
      </c>
      <c r="D835">
        <f>HYPERLINK("https://ota.tournamentsoftware.com/player-profile/C4571297-B444-4579-A011-D24753628021", "Link")</f>
        <v/>
      </c>
      <c r="E835" s="3" t="n">
        <v>8.156000000000001</v>
      </c>
      <c r="F835" s="4" t="n">
        <v>8</v>
      </c>
      <c r="G835" t="inlineStr">
        <is>
          <t>Tennis Nova Scotia</t>
        </is>
      </c>
      <c r="H835" t="inlineStr">
        <is>
          <t>Atlantic Tennis Centre</t>
        </is>
      </c>
      <c r="I835" t="n">
        <v>39.3</v>
      </c>
      <c r="J835" s="4" t="n">
        <v>51</v>
      </c>
      <c r="K835" t="inlineStr">
        <is>
          <t>18 / 33</t>
        </is>
      </c>
      <c r="L835" t="inlineStr">
        <is>
          <t>10 / 23</t>
        </is>
      </c>
      <c r="M835" s="5" t="n">
        <v>0.35</v>
      </c>
      <c r="N835" s="5" t="n">
        <v>0.3</v>
      </c>
    </row>
    <row r="836">
      <c r="A836" t="n">
        <v>835</v>
      </c>
      <c r="B836" t="n">
        <v>2013</v>
      </c>
      <c r="C836" t="inlineStr">
        <is>
          <t>Anaya Mohammed Shurrab</t>
        </is>
      </c>
      <c r="D836">
        <f>HYPERLINK("https://ota.tournamentsoftware.com/player-profile/A4BA7F79-3B20-4355-B83D-7B81774D6C97", "Link")</f>
        <v/>
      </c>
      <c r="E836" s="3" t="n">
        <v>8.01</v>
      </c>
      <c r="F836" s="4" t="n">
        <v>1</v>
      </c>
      <c r="G836" t="inlineStr">
        <is>
          <t>Ontario Tennis Association</t>
        </is>
      </c>
      <c r="H836" t="inlineStr">
        <is>
          <t>Sudbury Indoor Tennis Centre</t>
        </is>
      </c>
      <c r="I836" t="n">
        <v>38.8</v>
      </c>
      <c r="J836" s="4" t="n">
        <v>2</v>
      </c>
      <c r="K836" t="inlineStr">
        <is>
          <t>0 / 2</t>
        </is>
      </c>
      <c r="L836" t="inlineStr">
        <is>
          <t>0 / 0</t>
        </is>
      </c>
      <c r="M836" s="5" t="n">
        <v>0</v>
      </c>
      <c r="N836" s="5" t="n">
        <v>0</v>
      </c>
    </row>
    <row r="837">
      <c r="A837" t="n">
        <v>836</v>
      </c>
      <c r="B837" t="n">
        <v>2015</v>
      </c>
      <c r="C837" t="inlineStr">
        <is>
          <t>Lyskha Ann Louis</t>
        </is>
      </c>
      <c r="D837">
        <f>HYPERLINK("https://ota.tournamentsoftware.com/player-profile/E63460EF-56D0-4F3C-845C-D047E7B9C366", "Link")</f>
        <v/>
      </c>
      <c r="E837" s="3" t="n">
        <v>7.906</v>
      </c>
      <c r="F837" s="4" t="n">
        <v>2</v>
      </c>
      <c r="G837" t="inlineStr">
        <is>
          <t>Tennis Québec</t>
        </is>
      </c>
      <c r="H837" t="inlineStr">
        <is>
          <t>Tennis 13</t>
        </is>
      </c>
      <c r="I837" t="n">
        <v>36.4</v>
      </c>
      <c r="J837" s="4" t="n">
        <v>9</v>
      </c>
      <c r="K837" t="inlineStr">
        <is>
          <t>4 / 5</t>
        </is>
      </c>
      <c r="L837" t="inlineStr">
        <is>
          <t>4 / 2</t>
        </is>
      </c>
      <c r="M837" s="5" t="n">
        <v>0.44</v>
      </c>
      <c r="N837" s="5" t="n">
        <v>0.67</v>
      </c>
    </row>
    <row r="838">
      <c r="A838" t="n">
        <v>837</v>
      </c>
      <c r="B838" t="n">
        <v>2014</v>
      </c>
      <c r="C838" t="inlineStr">
        <is>
          <t>Abigale Julia Dioszeghy Beatty</t>
        </is>
      </c>
      <c r="D838">
        <f>HYPERLINK("https://ota.tournamentsoftware.com/player-profile/3376BA08-B4B7-40B5-A81E-8F995772526B", "Link")</f>
        <v/>
      </c>
      <c r="E838" s="3" t="n">
        <v>7.827</v>
      </c>
      <c r="F838" s="4" t="n">
        <v>7</v>
      </c>
      <c r="G838" t="inlineStr">
        <is>
          <t>Tennis Alberta</t>
        </is>
      </c>
      <c r="H838" t="inlineStr">
        <is>
          <t>Royal Glenora Club</t>
        </is>
      </c>
      <c r="I838" t="n">
        <v>37.2</v>
      </c>
      <c r="J838" s="4" t="n">
        <v>18</v>
      </c>
      <c r="K838" t="inlineStr">
        <is>
          <t>9 / 9</t>
        </is>
      </c>
      <c r="L838" t="inlineStr">
        <is>
          <t>9 / 9</t>
        </is>
      </c>
      <c r="M838" s="5" t="n">
        <v>0.5</v>
      </c>
      <c r="N838" s="5" t="n">
        <v>0.5</v>
      </c>
    </row>
    <row r="839">
      <c r="A839" t="n">
        <v>838</v>
      </c>
      <c r="B839" t="n">
        <v>2015</v>
      </c>
      <c r="C839" t="inlineStr">
        <is>
          <t>Dani Banquicio</t>
        </is>
      </c>
      <c r="D839">
        <f>HYPERLINK("https://ota.tournamentsoftware.com/player-profile/46430071-90F3-4471-A44B-9BE4F31E2D72", "Link")</f>
        <v/>
      </c>
      <c r="E839" s="3" t="n">
        <v>7.652</v>
      </c>
      <c r="F839" s="4" t="n">
        <v>2</v>
      </c>
      <c r="G839" t="inlineStr">
        <is>
          <t>Tennis New Brunswick</t>
        </is>
      </c>
      <c r="H839" t="inlineStr">
        <is>
          <t>Abony Family Tennis Center</t>
        </is>
      </c>
      <c r="I839" t="n">
        <v>40</v>
      </c>
      <c r="J839" s="4" t="n">
        <v>54</v>
      </c>
      <c r="K839" t="inlineStr">
        <is>
          <t>17 / 37</t>
        </is>
      </c>
      <c r="L839" t="inlineStr">
        <is>
          <t>3 / 7</t>
        </is>
      </c>
      <c r="M839" s="5" t="n">
        <v>0.31</v>
      </c>
      <c r="N839" s="5" t="n">
        <v>0.3</v>
      </c>
    </row>
    <row r="840">
      <c r="A840" t="n">
        <v>839</v>
      </c>
      <c r="B840" t="n">
        <v>2014</v>
      </c>
      <c r="C840" t="inlineStr">
        <is>
          <t>Audrey Dionne-Chen</t>
        </is>
      </c>
      <c r="D840">
        <f>HYPERLINK("https://ota.tournamentsoftware.com/player-profile/7AE565BD-506E-4133-AA69-F89B361E38C0", "Link")</f>
        <v/>
      </c>
      <c r="E840" s="3" t="n">
        <v>7.552</v>
      </c>
      <c r="F840" s="4" t="n">
        <v>1</v>
      </c>
      <c r="G840" t="inlineStr">
        <is>
          <t>Ontario Tennis Association</t>
        </is>
      </c>
      <c r="H840" t="inlineStr">
        <is>
          <t>Rideau Sports Centre</t>
        </is>
      </c>
      <c r="I840" t="n">
        <v>39.4</v>
      </c>
      <c r="J840" s="4" t="n">
        <v>14</v>
      </c>
      <c r="K840" t="inlineStr">
        <is>
          <t>4 / 10</t>
        </is>
      </c>
      <c r="L840" t="inlineStr">
        <is>
          <t>0 / 1</t>
        </is>
      </c>
      <c r="M840" s="5" t="n">
        <v>0.29</v>
      </c>
      <c r="N840" s="5" t="n">
        <v>0</v>
      </c>
    </row>
    <row r="841">
      <c r="A841" t="n">
        <v>840</v>
      </c>
      <c r="B841" t="n">
        <v>2012</v>
      </c>
      <c r="C841" t="inlineStr">
        <is>
          <t>Sofia Kalchenko</t>
        </is>
      </c>
      <c r="D841">
        <f>HYPERLINK("https://ota.tournamentsoftware.com/player-profile/95371403-EC89-475C-B20A-60F935026FFA", "Link")</f>
        <v/>
      </c>
      <c r="E841" s="3" t="n">
        <v>7.171</v>
      </c>
      <c r="F841" s="4" t="n">
        <v>3</v>
      </c>
      <c r="G841" t="inlineStr">
        <is>
          <t>Tennis Alberta</t>
        </is>
      </c>
      <c r="H841" t="inlineStr">
        <is>
          <t>Aforza</t>
        </is>
      </c>
      <c r="I841" t="inlineStr">
        <is>
          <t>unavailable</t>
        </is>
      </c>
      <c r="J841" s="4" t="n">
        <v>41</v>
      </c>
      <c r="K841" t="inlineStr">
        <is>
          <t>20 / 21</t>
        </is>
      </c>
      <c r="L841" t="inlineStr">
        <is>
          <t>3 / 1</t>
        </is>
      </c>
      <c r="M841" s="5" t="n">
        <v>0.49</v>
      </c>
      <c r="N841" s="5" t="n">
        <v>0.75</v>
      </c>
    </row>
    <row r="842">
      <c r="A842" t="n">
        <v>841</v>
      </c>
      <c r="B842" t="n">
        <v>2015</v>
      </c>
      <c r="C842" t="inlineStr">
        <is>
          <t>Ava Isabelle Bearss</t>
        </is>
      </c>
      <c r="D842">
        <f>HYPERLINK("https://ota.tournamentsoftware.com/player-profile/9B555CE5-3614-4E16-836F-FAD4CA5B4C91", "Link")</f>
        <v/>
      </c>
      <c r="E842" s="3" t="n">
        <v>7.15</v>
      </c>
      <c r="F842" s="4" t="n">
        <v>1</v>
      </c>
      <c r="G842" t="inlineStr">
        <is>
          <t>Ontario Tennis Association</t>
        </is>
      </c>
      <c r="H842" t="inlineStr">
        <is>
          <t>Royal City Tennis Club</t>
        </is>
      </c>
      <c r="I842" t="n">
        <v>36.3</v>
      </c>
      <c r="J842" s="4" t="n">
        <v>25</v>
      </c>
      <c r="K842" t="inlineStr">
        <is>
          <t>10 / 15</t>
        </is>
      </c>
      <c r="L842" t="inlineStr">
        <is>
          <t>3 / 4</t>
        </is>
      </c>
      <c r="M842" s="5" t="n">
        <v>0.4</v>
      </c>
      <c r="N842" s="5" t="n">
        <v>0.43</v>
      </c>
    </row>
    <row r="843">
      <c r="A843" t="n">
        <v>842</v>
      </c>
      <c r="B843" t="n">
        <v>2015</v>
      </c>
      <c r="C843" t="inlineStr">
        <is>
          <t>Tamara Skayem</t>
        </is>
      </c>
      <c r="D843">
        <f>HYPERLINK("https://ota.tournamentsoftware.com/player-profile/C90206C3-DC6E-4BE3-938F-C8608F20CDD6", "Link")</f>
        <v/>
      </c>
      <c r="E843" s="3" t="n">
        <v>6.874</v>
      </c>
      <c r="F843" s="4" t="n">
        <v>2</v>
      </c>
      <c r="G843" t="inlineStr">
        <is>
          <t>Tennis Québec</t>
        </is>
      </c>
      <c r="H843" t="inlineStr">
        <is>
          <t>Club Sportif Côte-de-Liesse</t>
        </is>
      </c>
      <c r="I843" t="n">
        <v>36.2</v>
      </c>
      <c r="J843" s="4" t="n">
        <v>6</v>
      </c>
      <c r="K843" t="inlineStr">
        <is>
          <t>3 / 3</t>
        </is>
      </c>
      <c r="L843" t="inlineStr">
        <is>
          <t>3 / 3</t>
        </is>
      </c>
      <c r="M843" s="5" t="n">
        <v>0.5</v>
      </c>
      <c r="N843" s="5" t="n">
        <v>0.5</v>
      </c>
    </row>
    <row r="844">
      <c r="A844" t="n">
        <v>843</v>
      </c>
      <c r="B844" t="n">
        <v>2015</v>
      </c>
      <c r="C844" t="inlineStr">
        <is>
          <t>Ruby Mika Szakacs</t>
        </is>
      </c>
      <c r="D844">
        <f>HYPERLINK("https://ota.tournamentsoftware.com/player-profile/200B8C95-20A4-4F60-90C6-7E30A84EAEA7", "Link")</f>
        <v/>
      </c>
      <c r="E844" s="3" t="n">
        <v>6.607</v>
      </c>
      <c r="F844" s="4" t="n">
        <v>2</v>
      </c>
      <c r="G844" t="inlineStr">
        <is>
          <t>Ontario Tennis Association</t>
        </is>
      </c>
      <c r="H844" t="inlineStr">
        <is>
          <t>No Club</t>
        </is>
      </c>
      <c r="I844" t="n">
        <v>39.4</v>
      </c>
      <c r="J844" s="4" t="n">
        <v>55</v>
      </c>
      <c r="K844" t="inlineStr">
        <is>
          <t>28 / 27</t>
        </is>
      </c>
      <c r="L844" t="inlineStr">
        <is>
          <t>0 / 4</t>
        </is>
      </c>
      <c r="M844" s="5" t="n">
        <v>0.51</v>
      </c>
      <c r="N844" s="5" t="n">
        <v>0</v>
      </c>
    </row>
    <row r="845">
      <c r="A845" t="n">
        <v>843</v>
      </c>
      <c r="B845" t="n">
        <v>2014</v>
      </c>
      <c r="C845" t="inlineStr">
        <is>
          <t>Mantian Ellie Ni</t>
        </is>
      </c>
      <c r="D845">
        <f>HYPERLINK("https://ota.tournamentsoftware.com/player-profile/7FD8D72E-3679-4613-A482-A282508BEA32", "Link")</f>
        <v/>
      </c>
      <c r="E845" s="3" t="n">
        <v>6.607</v>
      </c>
      <c r="F845" s="4" t="n">
        <v>2</v>
      </c>
      <c r="G845" t="inlineStr">
        <is>
          <t>Ontario Tennis Association</t>
        </is>
      </c>
      <c r="H845" t="inlineStr">
        <is>
          <t>Premier Racquet Club - Markham</t>
        </is>
      </c>
      <c r="I845" t="n">
        <v>39.5</v>
      </c>
      <c r="J845" s="4" t="n">
        <v>23</v>
      </c>
      <c r="K845" t="inlineStr">
        <is>
          <t>7 / 16</t>
        </is>
      </c>
      <c r="L845" t="inlineStr">
        <is>
          <t>3 / 4</t>
        </is>
      </c>
      <c r="M845" s="5" t="n">
        <v>0.3</v>
      </c>
      <c r="N845" s="5" t="n">
        <v>0.43</v>
      </c>
    </row>
    <row r="846">
      <c r="A846" t="n">
        <v>845</v>
      </c>
      <c r="B846" t="n">
        <v>2014</v>
      </c>
      <c r="C846" t="inlineStr">
        <is>
          <t>Jylian May II Mauricio Luces</t>
        </is>
      </c>
      <c r="D846">
        <f>HYPERLINK("https://ota.tournamentsoftware.com/player-profile/EE4C1547-2DEF-4E96-BA65-F8069863F09D", "Link")</f>
        <v/>
      </c>
      <c r="E846" s="3" t="n">
        <v>6.577</v>
      </c>
      <c r="F846" s="4" t="n">
        <v>5</v>
      </c>
      <c r="G846" t="inlineStr">
        <is>
          <t>Tennis Alberta</t>
        </is>
      </c>
      <c r="H846" t="inlineStr">
        <is>
          <t>Osten &amp; Victor Alberta Tennis Centre</t>
        </is>
      </c>
      <c r="I846" t="inlineStr">
        <is>
          <t>unavailable</t>
        </is>
      </c>
      <c r="J846" s="4" t="n">
        <v>33</v>
      </c>
      <c r="K846" t="inlineStr">
        <is>
          <t>6 / 27</t>
        </is>
      </c>
      <c r="L846" t="inlineStr">
        <is>
          <t>2 / 8</t>
        </is>
      </c>
      <c r="M846" s="5" t="n">
        <v>0.18</v>
      </c>
      <c r="N846" s="5" t="n">
        <v>0.2</v>
      </c>
    </row>
    <row r="847">
      <c r="A847" t="n">
        <v>846</v>
      </c>
      <c r="B847" t="n">
        <v>2013</v>
      </c>
      <c r="C847" t="inlineStr">
        <is>
          <t>Giselle Christine Lambert</t>
        </is>
      </c>
      <c r="D847">
        <f>HYPERLINK("https://ota.tournamentsoftware.com/player-profile/2E2CA1C3-86CC-418F-BF1B-9B9E4D99F292", "Link")</f>
        <v/>
      </c>
      <c r="E847" s="3" t="n">
        <v>6.48</v>
      </c>
      <c r="F847" s="4" t="n">
        <v>1</v>
      </c>
      <c r="G847" t="inlineStr">
        <is>
          <t>British Columbia</t>
        </is>
      </c>
      <c r="H847" t="inlineStr">
        <is>
          <t>Hollyburn Country Club</t>
        </is>
      </c>
      <c r="I847" t="n">
        <v>36.9</v>
      </c>
      <c r="J847" s="4" t="n">
        <v>44</v>
      </c>
      <c r="K847" t="inlineStr">
        <is>
          <t>10 / 34</t>
        </is>
      </c>
      <c r="L847" t="inlineStr">
        <is>
          <t>0 / 0</t>
        </is>
      </c>
      <c r="M847" s="5" t="n">
        <v>0.23</v>
      </c>
      <c r="N847" s="5" t="n">
        <v>0</v>
      </c>
    </row>
    <row r="848">
      <c r="A848" t="n">
        <v>846</v>
      </c>
      <c r="B848" t="n">
        <v>2016</v>
      </c>
      <c r="C848" t="inlineStr">
        <is>
          <t>Charlotte Gordovin</t>
        </is>
      </c>
      <c r="D848">
        <f>HYPERLINK("https://ota.tournamentsoftware.com/player-profile/961D5F8B-09E8-477B-A5D4-F4815570D913", "Link")</f>
        <v/>
      </c>
      <c r="E848" s="3" t="n">
        <v>6.48</v>
      </c>
      <c r="F848" s="4" t="n">
        <v>3</v>
      </c>
      <c r="G848" t="inlineStr">
        <is>
          <t>Ontario Tennis Association</t>
        </is>
      </c>
      <c r="H848" t="inlineStr">
        <is>
          <t>ON Tennis Toronto No Club</t>
        </is>
      </c>
      <c r="I848" t="inlineStr">
        <is>
          <t>unavailable</t>
        </is>
      </c>
      <c r="J848" s="4" t="n">
        <v>84</v>
      </c>
      <c r="K848" t="inlineStr">
        <is>
          <t>41 / 43</t>
        </is>
      </c>
      <c r="L848" t="inlineStr">
        <is>
          <t>14 / 16</t>
        </is>
      </c>
      <c r="M848" s="5" t="n">
        <v>0.49</v>
      </c>
      <c r="N848" s="5" t="n">
        <v>0.47</v>
      </c>
    </row>
    <row r="849">
      <c r="A849" t="n">
        <v>846</v>
      </c>
      <c r="B849" t="n">
        <v>2013</v>
      </c>
      <c r="C849" t="inlineStr">
        <is>
          <t>Juliana Pena</t>
        </is>
      </c>
      <c r="D849">
        <f>HYPERLINK("https://ota.tournamentsoftware.com/player-profile/8F1CA811-953C-4FAC-980B-55D7FE7A6E50", "Link")</f>
        <v/>
      </c>
      <c r="E849" s="3" t="n">
        <v>6.48</v>
      </c>
      <c r="F849" s="4" t="n">
        <v>1</v>
      </c>
      <c r="G849" t="inlineStr">
        <is>
          <t>Tennis Québec</t>
        </is>
      </c>
      <c r="H849" t="inlineStr">
        <is>
          <t>Tennis Québec (région Montréal Ouest)</t>
        </is>
      </c>
      <c r="I849" t="inlineStr">
        <is>
          <t>unavailable</t>
        </is>
      </c>
      <c r="J849" s="4" t="n">
        <v>10</v>
      </c>
      <c r="K849" t="inlineStr">
        <is>
          <t>3 / 7</t>
        </is>
      </c>
      <c r="L849" t="inlineStr">
        <is>
          <t>0 / 0</t>
        </is>
      </c>
      <c r="M849" s="5" t="n">
        <v>0.3</v>
      </c>
      <c r="N849" s="5" t="n">
        <v>0</v>
      </c>
    </row>
    <row r="850">
      <c r="A850" t="n">
        <v>846</v>
      </c>
      <c r="B850" t="n">
        <v>2014</v>
      </c>
      <c r="C850" t="inlineStr">
        <is>
          <t>Mila Isaeva</t>
        </is>
      </c>
      <c r="D850">
        <f>HYPERLINK("https://ota.tournamentsoftware.com/player-profile/318B72C3-8E32-46E5-B532-524E3B59755C", "Link")</f>
        <v/>
      </c>
      <c r="E850" s="3" t="n">
        <v>6.48</v>
      </c>
      <c r="F850" s="4" t="n">
        <v>1</v>
      </c>
      <c r="G850" t="inlineStr">
        <is>
          <t>Ontario Tennis Association</t>
        </is>
      </c>
      <c r="H850" t="inlineStr">
        <is>
          <t>Tam Heather Tennis Club</t>
        </is>
      </c>
      <c r="I850" t="n">
        <v>38.3</v>
      </c>
      <c r="J850" s="4" t="n">
        <v>21</v>
      </c>
      <c r="K850" t="inlineStr">
        <is>
          <t>11 / 10</t>
        </is>
      </c>
      <c r="L850" t="inlineStr">
        <is>
          <t>9 / 7</t>
        </is>
      </c>
      <c r="M850" s="5" t="n">
        <v>0.52</v>
      </c>
      <c r="N850" s="5" t="n">
        <v>0.5600000000000001</v>
      </c>
    </row>
    <row r="851">
      <c r="A851" t="n">
        <v>846</v>
      </c>
      <c r="B851" t="n">
        <v>2015</v>
      </c>
      <c r="C851" t="inlineStr">
        <is>
          <t>Catherine Qu</t>
        </is>
      </c>
      <c r="D851">
        <f>HYPERLINK("https://ota.tournamentsoftware.com/player-profile/6BFBAA24-1779-441C-B7FC-7EF81219D270", "Link")</f>
        <v/>
      </c>
      <c r="E851" s="3" t="n">
        <v>6.48</v>
      </c>
      <c r="F851" s="4" t="n">
        <v>1</v>
      </c>
      <c r="G851" t="inlineStr">
        <is>
          <t>Ontario Tennis Association</t>
        </is>
      </c>
      <c r="H851" t="inlineStr">
        <is>
          <t>Royal City Tennis Club</t>
        </is>
      </c>
      <c r="I851" t="n">
        <v>36.4</v>
      </c>
      <c r="J851" s="4" t="n">
        <v>19</v>
      </c>
      <c r="K851" t="inlineStr">
        <is>
          <t>3 / 16</t>
        </is>
      </c>
      <c r="L851" t="inlineStr">
        <is>
          <t>1 / 1</t>
        </is>
      </c>
      <c r="M851" s="5" t="n">
        <v>0.16</v>
      </c>
      <c r="N851" s="5" t="n">
        <v>0.5</v>
      </c>
    </row>
    <row r="852">
      <c r="A852" t="n">
        <v>846</v>
      </c>
      <c r="B852" t="n">
        <v>2014</v>
      </c>
      <c r="C852" t="inlineStr">
        <is>
          <t>Elina Chai</t>
        </is>
      </c>
      <c r="D852">
        <f>HYPERLINK("https://ota.tournamentsoftware.com/player-profile/93EB3F3A-118C-460C-AB18-42D8F042E5A9", "Link")</f>
        <v/>
      </c>
      <c r="E852" s="3" t="n">
        <v>6.48</v>
      </c>
      <c r="F852" s="4" t="n">
        <v>1</v>
      </c>
      <c r="G852" t="inlineStr">
        <is>
          <t>Ontario Tennis Association</t>
        </is>
      </c>
      <c r="H852" t="inlineStr">
        <is>
          <t>ACE Tennis - Toronto Tennis City</t>
        </is>
      </c>
      <c r="I852" t="n">
        <v>38.5</v>
      </c>
      <c r="J852" s="4" t="n">
        <v>6</v>
      </c>
      <c r="K852" t="inlineStr">
        <is>
          <t>4 / 2</t>
        </is>
      </c>
      <c r="L852" t="inlineStr">
        <is>
          <t>4 / 2</t>
        </is>
      </c>
      <c r="M852" s="5" t="n">
        <v>0.67</v>
      </c>
      <c r="N852" s="5" t="n">
        <v>0.67</v>
      </c>
    </row>
    <row r="853">
      <c r="A853" t="n">
        <v>846</v>
      </c>
      <c r="B853" t="n">
        <v>2017</v>
      </c>
      <c r="C853" t="inlineStr">
        <is>
          <t>Riley Yang</t>
        </is>
      </c>
      <c r="D853">
        <f>HYPERLINK("https://ota.tournamentsoftware.com/player-profile/26AD4F6A-B4DE-4D98-85C5-1F82427AD36B", "Link")</f>
        <v/>
      </c>
      <c r="E853" s="3" t="n">
        <v>6.48</v>
      </c>
      <c r="F853" s="4" t="n">
        <v>1</v>
      </c>
      <c r="G853" t="inlineStr">
        <is>
          <t>Ontario Tennis Association</t>
        </is>
      </c>
      <c r="H853" t="inlineStr">
        <is>
          <t>Mayfair West Fitness &amp; Racquet Club</t>
        </is>
      </c>
      <c r="I853" t="inlineStr">
        <is>
          <t>unavailable</t>
        </is>
      </c>
      <c r="J853" s="4" t="n">
        <v>184</v>
      </c>
      <c r="K853" t="inlineStr">
        <is>
          <t>96 / 88</t>
        </is>
      </c>
      <c r="L853" t="inlineStr">
        <is>
          <t>60 / 44</t>
        </is>
      </c>
      <c r="M853" s="5" t="n">
        <v>0.52</v>
      </c>
      <c r="N853" s="5" t="n">
        <v>0.58</v>
      </c>
    </row>
    <row r="854">
      <c r="A854" t="n">
        <v>853</v>
      </c>
      <c r="B854" t="n">
        <v>2015</v>
      </c>
      <c r="C854" t="inlineStr">
        <is>
          <t>Rowan Ferris</t>
        </is>
      </c>
      <c r="D854">
        <f>HYPERLINK("https://ota.tournamentsoftware.com/player-profile/48292DD6-1A8C-41C7-997E-9A5C5BD68EFF", "Link")</f>
        <v/>
      </c>
      <c r="E854" s="3" t="n">
        <v>6.478</v>
      </c>
      <c r="F854" s="4" t="n">
        <v>2</v>
      </c>
      <c r="G854" t="inlineStr">
        <is>
          <t>Tennis Alberta</t>
        </is>
      </c>
      <c r="H854" t="inlineStr">
        <is>
          <t>Medicine Hat Tennis Club</t>
        </is>
      </c>
      <c r="I854" t="n">
        <v>39.3</v>
      </c>
      <c r="J854" s="4" t="n">
        <v>10</v>
      </c>
      <c r="K854" t="inlineStr">
        <is>
          <t>3 / 7</t>
        </is>
      </c>
      <c r="L854" t="inlineStr">
        <is>
          <t>1 / 3</t>
        </is>
      </c>
      <c r="M854" s="5" t="n">
        <v>0.3</v>
      </c>
      <c r="N854" s="5" t="n">
        <v>0.25</v>
      </c>
    </row>
    <row r="855">
      <c r="A855" t="n">
        <v>854</v>
      </c>
      <c r="B855" t="n">
        <v>2015</v>
      </c>
      <c r="C855" t="inlineStr">
        <is>
          <t>Kennedy Charles</t>
        </is>
      </c>
      <c r="D855">
        <f>HYPERLINK("https://ota.tournamentsoftware.com/player-profile/9CB721EE-6588-4444-806B-53B18FAAEBA9", "Link")</f>
        <v/>
      </c>
      <c r="E855" s="3" t="n">
        <v>6.396</v>
      </c>
      <c r="F855" s="4" t="n">
        <v>2</v>
      </c>
      <c r="G855" t="inlineStr">
        <is>
          <t>Tennis Québec</t>
        </is>
      </c>
      <c r="H855" t="inlineStr">
        <is>
          <t>Tennis 13</t>
        </is>
      </c>
      <c r="I855" t="n">
        <v>38</v>
      </c>
      <c r="J855" s="4" t="n">
        <v>7</v>
      </c>
      <c r="K855" t="inlineStr">
        <is>
          <t>2 / 5</t>
        </is>
      </c>
      <c r="L855" t="inlineStr">
        <is>
          <t>2 / 5</t>
        </is>
      </c>
      <c r="M855" s="5" t="n">
        <v>0.29</v>
      </c>
      <c r="N855" s="5" t="n">
        <v>0.29</v>
      </c>
    </row>
    <row r="856">
      <c r="A856" t="n">
        <v>855</v>
      </c>
      <c r="B856" t="n">
        <v>2015</v>
      </c>
      <c r="C856" t="inlineStr">
        <is>
          <t>Niveah Watt-Shelton</t>
        </is>
      </c>
      <c r="D856">
        <f>HYPERLINK("https://ota.tournamentsoftware.com/player-profile/2142B288-43FF-46B4-8037-BD18E957E823", "Link")</f>
        <v/>
      </c>
      <c r="E856" s="3" t="n">
        <v>6.33</v>
      </c>
      <c r="F856" s="4" t="n">
        <v>2</v>
      </c>
      <c r="G856" t="inlineStr">
        <is>
          <t>British Columbia</t>
        </is>
      </c>
      <c r="H856" t="inlineStr">
        <is>
          <t>UBC Tennis Centre</t>
        </is>
      </c>
      <c r="I856" t="inlineStr">
        <is>
          <t>unavailable</t>
        </is>
      </c>
      <c r="J856" s="4" t="n">
        <v>58</v>
      </c>
      <c r="K856" t="inlineStr">
        <is>
          <t>28 / 30</t>
        </is>
      </c>
      <c r="L856" t="inlineStr">
        <is>
          <t>8 / 8</t>
        </is>
      </c>
      <c r="M856" s="5" t="n">
        <v>0.48</v>
      </c>
      <c r="N856" s="5" t="n">
        <v>0.5</v>
      </c>
    </row>
    <row r="857">
      <c r="A857" t="n">
        <v>856</v>
      </c>
      <c r="B857" t="n">
        <v>2016</v>
      </c>
      <c r="C857" t="inlineStr">
        <is>
          <t>Victoire Gayet</t>
        </is>
      </c>
      <c r="D857">
        <f>HYPERLINK("https://ota.tournamentsoftware.com/player-profile/DBBAA257-D054-46DF-AD87-43BF983BBD0C", "Link")</f>
        <v/>
      </c>
      <c r="E857" s="3" t="n">
        <v>6.264</v>
      </c>
      <c r="F857" s="4" t="n">
        <v>1</v>
      </c>
      <c r="G857" t="inlineStr">
        <is>
          <t>Tennis Québec</t>
        </is>
      </c>
      <c r="H857" t="inlineStr">
        <is>
          <t>Tennis Montréal Excellence</t>
        </is>
      </c>
      <c r="I857" t="n">
        <v>34.2</v>
      </c>
      <c r="J857" s="4" t="n">
        <v>47</v>
      </c>
      <c r="K857" t="inlineStr">
        <is>
          <t>27 / 20</t>
        </is>
      </c>
      <c r="L857" t="inlineStr">
        <is>
          <t>21 / 9</t>
        </is>
      </c>
      <c r="M857" s="5" t="n">
        <v>0.57</v>
      </c>
      <c r="N857" s="5" t="n">
        <v>0.7</v>
      </c>
    </row>
    <row r="858">
      <c r="A858" t="n">
        <v>857</v>
      </c>
      <c r="B858" t="n">
        <v>2012</v>
      </c>
      <c r="C858" t="inlineStr">
        <is>
          <t>Feiran Zhang</t>
        </is>
      </c>
      <c r="D858">
        <f>HYPERLINK("https://ota.tournamentsoftware.com/player-profile/8FFC114F-FEF3-40BF-AF97-E338D1EA4209", "Link")</f>
        <v/>
      </c>
      <c r="E858" s="3" t="n">
        <v>6.248</v>
      </c>
      <c r="F858" s="4" t="n">
        <v>1</v>
      </c>
      <c r="G858" t="inlineStr">
        <is>
          <t>British Columbia</t>
        </is>
      </c>
      <c r="H858" t="inlineStr">
        <is>
          <t>No Club</t>
        </is>
      </c>
      <c r="I858" t="n">
        <v>38.1</v>
      </c>
      <c r="J858" s="4" t="n">
        <v>14</v>
      </c>
      <c r="K858" t="inlineStr">
        <is>
          <t>5 / 9</t>
        </is>
      </c>
      <c r="L858" t="inlineStr">
        <is>
          <t>2 / 3</t>
        </is>
      </c>
      <c r="M858" s="5" t="n">
        <v>0.36</v>
      </c>
      <c r="N858" s="5" t="n">
        <v>0.4</v>
      </c>
    </row>
    <row r="859">
      <c r="A859" t="n">
        <v>857</v>
      </c>
      <c r="B859" t="n">
        <v>2012</v>
      </c>
      <c r="C859" t="inlineStr">
        <is>
          <t>Huiran Zhang</t>
        </is>
      </c>
      <c r="D859">
        <f>HYPERLINK("https://ota.tournamentsoftware.com/player-profile/1E917C5C-2B33-48E2-908B-A812DD532CD4", "Link")</f>
        <v/>
      </c>
      <c r="E859" s="3" t="n">
        <v>6.248</v>
      </c>
      <c r="F859" s="4" t="n">
        <v>1</v>
      </c>
      <c r="G859" t="inlineStr">
        <is>
          <t>British Columbia</t>
        </is>
      </c>
      <c r="H859" t="inlineStr">
        <is>
          <t>No Club</t>
        </is>
      </c>
      <c r="I859" t="n">
        <v>37.6</v>
      </c>
      <c r="J859" s="4" t="n">
        <v>13</v>
      </c>
      <c r="K859" t="inlineStr">
        <is>
          <t>2 / 11</t>
        </is>
      </c>
      <c r="L859" t="inlineStr">
        <is>
          <t>1 / 4</t>
        </is>
      </c>
      <c r="M859" s="5" t="n">
        <v>0.15</v>
      </c>
      <c r="N859" s="5" t="n">
        <v>0.2</v>
      </c>
    </row>
    <row r="860">
      <c r="A860" t="n">
        <v>859</v>
      </c>
      <c r="B860" t="n">
        <v>2014</v>
      </c>
      <c r="C860" t="inlineStr">
        <is>
          <t>Tillya Villeneuve</t>
        </is>
      </c>
      <c r="D860">
        <f>HYPERLINK("https://ota.tournamentsoftware.com/player-profile/B96926BC-0825-4914-B6C7-E7906E4AC960", "Link")</f>
        <v/>
      </c>
      <c r="E860" s="3" t="n">
        <v>6.178</v>
      </c>
      <c r="F860" s="4" t="n">
        <v>7</v>
      </c>
      <c r="G860" t="inlineStr">
        <is>
          <t>Tennis Alberta</t>
        </is>
      </c>
      <c r="H860" t="inlineStr">
        <is>
          <t>Aforza</t>
        </is>
      </c>
      <c r="I860" t="inlineStr">
        <is>
          <t>unavailable</t>
        </is>
      </c>
      <c r="J860" s="4" t="n">
        <v>15</v>
      </c>
      <c r="K860" t="inlineStr">
        <is>
          <t>6 / 9</t>
        </is>
      </c>
      <c r="L860" t="inlineStr">
        <is>
          <t>6 / 9</t>
        </is>
      </c>
      <c r="M860" s="5" t="n">
        <v>0.4</v>
      </c>
      <c r="N860" s="5" t="n">
        <v>0.4</v>
      </c>
    </row>
    <row r="861">
      <c r="A861" t="n">
        <v>860</v>
      </c>
      <c r="B861" t="n">
        <v>2016</v>
      </c>
      <c r="C861" t="inlineStr">
        <is>
          <t>Ève-Laurence Roy</t>
        </is>
      </c>
      <c r="D861">
        <f>HYPERLINK("https://ota.tournamentsoftware.com/player-profile/B4D10B2D-30C9-4834-A22F-B38142C82F9F", "Link")</f>
        <v/>
      </c>
      <c r="E861" s="3" t="n">
        <v>6.12</v>
      </c>
      <c r="F861" s="4" t="n">
        <v>1</v>
      </c>
      <c r="G861" t="inlineStr">
        <is>
          <t>Tennis Québec</t>
        </is>
      </c>
      <c r="H861" t="inlineStr">
        <is>
          <t>SANI Sport</t>
        </is>
      </c>
      <c r="I861" t="inlineStr">
        <is>
          <t>unavailable</t>
        </is>
      </c>
      <c r="J861" s="4" t="n">
        <v>37</v>
      </c>
      <c r="K861" t="inlineStr">
        <is>
          <t>9 / 28</t>
        </is>
      </c>
      <c r="L861" t="inlineStr">
        <is>
          <t>4 / 5</t>
        </is>
      </c>
      <c r="M861" s="5" t="n">
        <v>0.24</v>
      </c>
      <c r="N861" s="5" t="n">
        <v>0.44</v>
      </c>
    </row>
    <row r="862">
      <c r="A862" t="n">
        <v>861</v>
      </c>
      <c r="B862" t="n">
        <v>2013</v>
      </c>
      <c r="C862" t="inlineStr">
        <is>
          <t>Vittoria Veronica Noce</t>
        </is>
      </c>
      <c r="D862">
        <f>HYPERLINK("https://ota.tournamentsoftware.com/player-profile/00D388D4-0B24-4339-9B51-BDB96207A30D", "Link")</f>
        <v/>
      </c>
      <c r="E862" s="3" t="n">
        <v>6.093</v>
      </c>
      <c r="F862" s="4" t="n">
        <v>4</v>
      </c>
      <c r="G862" t="inlineStr">
        <is>
          <t>Tennis Alberta</t>
        </is>
      </c>
      <c r="H862" t="inlineStr">
        <is>
          <t>Saville Community Sports Centre</t>
        </is>
      </c>
      <c r="I862" t="n">
        <v>37.7</v>
      </c>
      <c r="J862" s="4" t="n">
        <v>54</v>
      </c>
      <c r="K862" t="inlineStr">
        <is>
          <t>14 / 40</t>
        </is>
      </c>
      <c r="L862" t="inlineStr">
        <is>
          <t>4 / 7</t>
        </is>
      </c>
      <c r="M862" s="5" t="n">
        <v>0.26</v>
      </c>
      <c r="N862" s="5" t="n">
        <v>0.36</v>
      </c>
    </row>
    <row r="863">
      <c r="A863" t="n">
        <v>862</v>
      </c>
      <c r="B863" t="n">
        <v>2016</v>
      </c>
      <c r="C863" t="inlineStr">
        <is>
          <t>Michelle Hiu Tung Law</t>
        </is>
      </c>
      <c r="D863">
        <f>HYPERLINK("https://ota.tournamentsoftware.com/player-profile/6B7246D7-C656-43B4-A93A-54E15E04D73D", "Link")</f>
        <v/>
      </c>
      <c r="E863" s="3" t="n">
        <v>6.048</v>
      </c>
      <c r="F863" s="4" t="n">
        <v>10</v>
      </c>
      <c r="G863" t="inlineStr">
        <is>
          <t>Tennis Alberta</t>
        </is>
      </c>
      <c r="H863" t="inlineStr">
        <is>
          <t>Saville Community Sports Centre</t>
        </is>
      </c>
      <c r="I863" t="n">
        <v>37.9</v>
      </c>
      <c r="J863" s="4" t="n">
        <v>84</v>
      </c>
      <c r="K863" t="inlineStr">
        <is>
          <t>37 / 47</t>
        </is>
      </c>
      <c r="L863" t="inlineStr">
        <is>
          <t>18 / 19</t>
        </is>
      </c>
      <c r="M863" s="5" t="n">
        <v>0.44</v>
      </c>
      <c r="N863" s="5" t="n">
        <v>0.49</v>
      </c>
    </row>
    <row r="864">
      <c r="A864" t="n">
        <v>863</v>
      </c>
      <c r="B864" t="n">
        <v>2015</v>
      </c>
      <c r="C864" t="inlineStr">
        <is>
          <t>Allison Zhang</t>
        </is>
      </c>
      <c r="D864">
        <f>HYPERLINK("https://ota.tournamentsoftware.com/player-profile/7EED065B-4139-4D18-B6C0-4800BB20D171", "Link")</f>
        <v/>
      </c>
      <c r="E864" s="3" t="n">
        <v>6</v>
      </c>
      <c r="F864" s="4" t="n">
        <v>1</v>
      </c>
      <c r="G864" t="inlineStr">
        <is>
          <t>Ontario Tennis Association</t>
        </is>
      </c>
      <c r="H864" t="inlineStr">
        <is>
          <t>No Club</t>
        </is>
      </c>
      <c r="I864" t="inlineStr">
        <is>
          <t>unavailable</t>
        </is>
      </c>
      <c r="J864" s="4" t="n">
        <v>23</v>
      </c>
      <c r="K864" t="inlineStr">
        <is>
          <t>4 / 19</t>
        </is>
      </c>
      <c r="L864" t="inlineStr">
        <is>
          <t>0 / 0</t>
        </is>
      </c>
      <c r="M864" s="5" t="n">
        <v>0.17</v>
      </c>
      <c r="N864" s="5" t="n">
        <v>0</v>
      </c>
    </row>
    <row r="865">
      <c r="A865" t="n">
        <v>863</v>
      </c>
      <c r="B865" t="n">
        <v>2014</v>
      </c>
      <c r="C865" t="inlineStr">
        <is>
          <t>Dina Karahotzitis</t>
        </is>
      </c>
      <c r="D865">
        <f>HYPERLINK("https://ota.tournamentsoftware.com/player-profile/741C9055-B842-4064-A339-E591B8FD72C4", "Link")</f>
        <v/>
      </c>
      <c r="E865" s="3" t="n">
        <v>6</v>
      </c>
      <c r="F865" s="4" t="n">
        <v>1</v>
      </c>
      <c r="G865" t="inlineStr">
        <is>
          <t>Ontario Tennis Association</t>
        </is>
      </c>
      <c r="H865" t="inlineStr">
        <is>
          <t>Mayfair West Fitness &amp; Racquet Club</t>
        </is>
      </c>
      <c r="I865" t="n">
        <v>34.9</v>
      </c>
      <c r="J865" s="4" t="n">
        <v>19</v>
      </c>
      <c r="K865" t="inlineStr">
        <is>
          <t>0 / 19</t>
        </is>
      </c>
      <c r="L865" t="inlineStr">
        <is>
          <t>0 / 0</t>
        </is>
      </c>
      <c r="M865" s="5" t="n">
        <v>0</v>
      </c>
      <c r="N865" s="5" t="n">
        <v>0</v>
      </c>
    </row>
    <row r="866">
      <c r="A866" t="n">
        <v>865</v>
      </c>
      <c r="B866" t="n">
        <v>2015</v>
      </c>
      <c r="C866" t="inlineStr">
        <is>
          <t>Vera Nino</t>
        </is>
      </c>
      <c r="D866">
        <f>HYPERLINK("https://ota.tournamentsoftware.com/player-profile/081EF9A9-B991-431D-B2FC-AC8426BD2711", "Link")</f>
        <v/>
      </c>
      <c r="E866" s="3" t="n">
        <v>5.803</v>
      </c>
      <c r="F866" s="4" t="n">
        <v>1</v>
      </c>
      <c r="G866" t="inlineStr">
        <is>
          <t>Ontario Tennis Association</t>
        </is>
      </c>
      <c r="H866" t="inlineStr">
        <is>
          <t>Zekelman Tennis Centre</t>
        </is>
      </c>
      <c r="I866" t="inlineStr">
        <is>
          <t>unavailable</t>
        </is>
      </c>
      <c r="J866" s="4" t="n">
        <v>9</v>
      </c>
      <c r="K866" t="inlineStr">
        <is>
          <t>1 / 8</t>
        </is>
      </c>
      <c r="L866" t="inlineStr">
        <is>
          <t>1 / 8</t>
        </is>
      </c>
      <c r="M866" s="5" t="n">
        <v>0.11</v>
      </c>
      <c r="N866" s="5" t="n">
        <v>0.11</v>
      </c>
    </row>
    <row r="867">
      <c r="A867" t="n">
        <v>866</v>
      </c>
      <c r="B867" t="n">
        <v>2014</v>
      </c>
      <c r="C867" t="inlineStr">
        <is>
          <t>Alexandra Ciacoi-Pop</t>
        </is>
      </c>
      <c r="D867">
        <f>HYPERLINK("https://ota.tournamentsoftware.com/player-profile/4F87B1A1-F52A-4C8C-8C6B-776A59CC6D03", "Link")</f>
        <v/>
      </c>
      <c r="E867" s="3" t="n">
        <v>5.125</v>
      </c>
      <c r="F867" s="4" t="n">
        <v>1</v>
      </c>
      <c r="G867" t="inlineStr">
        <is>
          <t>Ontario Tennis Association</t>
        </is>
      </c>
      <c r="H867" t="inlineStr">
        <is>
          <t>Parkway Valley Tennis Club</t>
        </is>
      </c>
      <c r="I867" t="n">
        <v>38.8</v>
      </c>
      <c r="J867" s="4" t="n">
        <v>28</v>
      </c>
      <c r="K867" t="inlineStr">
        <is>
          <t>11 / 17</t>
        </is>
      </c>
      <c r="L867" t="inlineStr">
        <is>
          <t>7 / 12</t>
        </is>
      </c>
      <c r="M867" s="5" t="n">
        <v>0.39</v>
      </c>
      <c r="N867" s="5" t="n">
        <v>0.37</v>
      </c>
    </row>
    <row r="868">
      <c r="A868" t="n">
        <v>866</v>
      </c>
      <c r="B868" t="n">
        <v>2016</v>
      </c>
      <c r="C868" t="inlineStr">
        <is>
          <t>Marusya Bakaeva</t>
        </is>
      </c>
      <c r="D868">
        <f>HYPERLINK("https://ota.tournamentsoftware.com/player-profile/B7C51186-F387-4E99-B849-E8275BB7C0E9", "Link")</f>
        <v/>
      </c>
      <c r="E868" s="3" t="n">
        <v>5.125</v>
      </c>
      <c r="F868" s="4" t="n">
        <v>3</v>
      </c>
      <c r="G868" t="inlineStr">
        <is>
          <t>Ontario Tennis Association</t>
        </is>
      </c>
      <c r="H868" t="inlineStr">
        <is>
          <t>Toronto Tennis City</t>
        </is>
      </c>
      <c r="I868" t="n">
        <v>38.4</v>
      </c>
      <c r="J868" s="4" t="n">
        <v>21</v>
      </c>
      <c r="K868" t="inlineStr">
        <is>
          <t>9 / 12</t>
        </is>
      </c>
      <c r="L868" t="inlineStr">
        <is>
          <t>6 / 8</t>
        </is>
      </c>
      <c r="M868" s="5" t="n">
        <v>0.43</v>
      </c>
      <c r="N868" s="5" t="n">
        <v>0.43</v>
      </c>
    </row>
    <row r="869">
      <c r="A869" t="n">
        <v>868</v>
      </c>
      <c r="B869" t="n">
        <v>2013</v>
      </c>
      <c r="C869" t="inlineStr">
        <is>
          <t>Nya Robinson</t>
        </is>
      </c>
      <c r="D869">
        <f>HYPERLINK("https://ota.tournamentsoftware.com/player-profile/FCE45E04-6DF1-4A68-89D1-ACB65286BF31", "Link")</f>
        <v/>
      </c>
      <c r="E869" s="3" t="n">
        <v>5.08</v>
      </c>
      <c r="F869" s="4" t="n">
        <v>3</v>
      </c>
      <c r="G869" t="inlineStr">
        <is>
          <t>Tennis Alberta</t>
        </is>
      </c>
      <c r="H869" t="inlineStr">
        <is>
          <t>Osten &amp; Victor Alberta Tennis Centre</t>
        </is>
      </c>
      <c r="I869" t="n">
        <v>38</v>
      </c>
      <c r="J869" s="4" t="n">
        <v>17</v>
      </c>
      <c r="K869" t="inlineStr">
        <is>
          <t>7 / 10</t>
        </is>
      </c>
      <c r="L869" t="inlineStr">
        <is>
          <t>2 / 1</t>
        </is>
      </c>
      <c r="M869" s="5" t="n">
        <v>0.41</v>
      </c>
      <c r="N869" s="5" t="n">
        <v>0.67</v>
      </c>
    </row>
    <row r="870">
      <c r="A870" t="n">
        <v>869</v>
      </c>
      <c r="B870" t="n">
        <v>2015</v>
      </c>
      <c r="C870" t="inlineStr">
        <is>
          <t>Ruhi Juneja</t>
        </is>
      </c>
      <c r="D870">
        <f>HYPERLINK("https://ota.tournamentsoftware.com/player-profile/E7A03006-4960-4A35-8B80-22CB122EB413", "Link")</f>
        <v/>
      </c>
      <c r="E870" s="3" t="n">
        <v>5.073</v>
      </c>
      <c r="F870" s="4" t="n">
        <v>6</v>
      </c>
      <c r="G870" t="inlineStr">
        <is>
          <t>Tennis Alberta</t>
        </is>
      </c>
      <c r="H870" t="inlineStr">
        <is>
          <t>IQ Tennis and Pickleball Centre</t>
        </is>
      </c>
      <c r="I870" t="n">
        <v>39.7</v>
      </c>
      <c r="J870" s="4" t="n">
        <v>10</v>
      </c>
      <c r="K870" t="inlineStr">
        <is>
          <t>1 / 9</t>
        </is>
      </c>
      <c r="L870" t="inlineStr">
        <is>
          <t>1 / 9</t>
        </is>
      </c>
      <c r="M870" s="5" t="n">
        <v>0.1</v>
      </c>
      <c r="N870" s="5" t="n">
        <v>0.1</v>
      </c>
    </row>
    <row r="871">
      <c r="A871" t="n">
        <v>870</v>
      </c>
      <c r="B871" t="n">
        <v>2012</v>
      </c>
      <c r="C871" t="inlineStr">
        <is>
          <t>Frankie Hunsberger</t>
        </is>
      </c>
      <c r="D871">
        <f>HYPERLINK("https://ota.tournamentsoftware.com/player-profile/288F03A3-20CB-46BE-B35D-7428B5B7FA35", "Link")</f>
        <v/>
      </c>
      <c r="E871" s="3" t="n">
        <v>5.054</v>
      </c>
      <c r="F871" s="4" t="n">
        <v>2</v>
      </c>
      <c r="G871" t="inlineStr">
        <is>
          <t>British Columbia</t>
        </is>
      </c>
      <c r="H871" t="inlineStr">
        <is>
          <t>North Shore Winter Club</t>
        </is>
      </c>
      <c r="I871" t="n">
        <v>38.6</v>
      </c>
      <c r="J871" s="4" t="n">
        <v>18</v>
      </c>
      <c r="K871" t="inlineStr">
        <is>
          <t>10 / 8</t>
        </is>
      </c>
      <c r="L871" t="inlineStr">
        <is>
          <t>3 / 2</t>
        </is>
      </c>
      <c r="M871" s="5" t="n">
        <v>0.5600000000000001</v>
      </c>
      <c r="N871" s="5" t="n">
        <v>0.6</v>
      </c>
    </row>
    <row r="872">
      <c r="A872" t="n">
        <v>871</v>
      </c>
      <c r="B872" t="n">
        <v>2014</v>
      </c>
      <c r="C872" t="inlineStr">
        <is>
          <t>Freya Run Rutledge</t>
        </is>
      </c>
      <c r="D872">
        <f>HYPERLINK("https://ota.tournamentsoftware.com/player-profile/76B60137-7272-4F42-A455-109E20840062", "Link")</f>
        <v/>
      </c>
      <c r="E872" s="3" t="n">
        <v>5</v>
      </c>
      <c r="F872" s="4" t="n">
        <v>1</v>
      </c>
      <c r="G872" t="inlineStr">
        <is>
          <t>Ontario Tennis Association</t>
        </is>
      </c>
      <c r="H872" t="inlineStr">
        <is>
          <t>Boulevard Club</t>
        </is>
      </c>
      <c r="I872" t="n">
        <v>34.9</v>
      </c>
      <c r="J872" s="4" t="n">
        <v>14</v>
      </c>
      <c r="K872" t="inlineStr">
        <is>
          <t>0 / 14</t>
        </is>
      </c>
      <c r="L872" t="inlineStr">
        <is>
          <t>0 / 1</t>
        </is>
      </c>
      <c r="M872" s="5" t="n">
        <v>0</v>
      </c>
      <c r="N872" s="5" t="n">
        <v>0</v>
      </c>
    </row>
    <row r="873">
      <c r="A873" t="n">
        <v>871</v>
      </c>
      <c r="B873" t="n">
        <v>2015</v>
      </c>
      <c r="C873" t="inlineStr">
        <is>
          <t>Cynthia Wang</t>
        </is>
      </c>
      <c r="D873">
        <f>HYPERLINK("https://ota.tournamentsoftware.com/player-profile/C8736B80-1071-4F4F-86B0-CA7FB630F618", "Link")</f>
        <v/>
      </c>
      <c r="E873" s="3" t="n">
        <v>5</v>
      </c>
      <c r="F873" s="4" t="n">
        <v>1</v>
      </c>
      <c r="G873" t="inlineStr">
        <is>
          <t>Ontario Tennis Association</t>
        </is>
      </c>
      <c r="H873" t="inlineStr">
        <is>
          <t>SmartVMC Racquetsports by ACE</t>
        </is>
      </c>
      <c r="I873" t="n">
        <v>37.3</v>
      </c>
      <c r="J873" s="4" t="n">
        <v>3</v>
      </c>
      <c r="K873" t="inlineStr">
        <is>
          <t>0 / 3</t>
        </is>
      </c>
      <c r="L873" t="inlineStr">
        <is>
          <t>0 / 0</t>
        </is>
      </c>
      <c r="M873" s="5" t="n">
        <v>0</v>
      </c>
      <c r="N873" s="5" t="n">
        <v>0</v>
      </c>
    </row>
    <row r="874">
      <c r="A874" t="n">
        <v>871</v>
      </c>
      <c r="B874" t="n">
        <v>2014</v>
      </c>
      <c r="C874" t="inlineStr">
        <is>
          <t>Mackenzie Lee</t>
        </is>
      </c>
      <c r="D874">
        <f>HYPERLINK("https://ota.tournamentsoftware.com/player-profile/7734E749-B5B7-4067-9AE1-B5CB58EFDC1A", "Link")</f>
        <v/>
      </c>
      <c r="E874" s="3" t="n">
        <v>5</v>
      </c>
      <c r="F874" s="4" t="n">
        <v>1</v>
      </c>
      <c r="G874" t="inlineStr">
        <is>
          <t>Ontario Tennis Association</t>
        </is>
      </c>
      <c r="H874" t="inlineStr">
        <is>
          <t>Toronto Lawn Tennis Club</t>
        </is>
      </c>
      <c r="I874" t="inlineStr">
        <is>
          <t>unavailable</t>
        </is>
      </c>
      <c r="J874" s="4" t="n">
        <v>13</v>
      </c>
      <c r="K874" t="inlineStr">
        <is>
          <t>5 / 8</t>
        </is>
      </c>
      <c r="L874" t="inlineStr">
        <is>
          <t>4 / 3</t>
        </is>
      </c>
      <c r="M874" s="5" t="n">
        <v>0.38</v>
      </c>
      <c r="N874" s="5" t="n">
        <v>0.57</v>
      </c>
    </row>
    <row r="875">
      <c r="A875" t="n">
        <v>874</v>
      </c>
      <c r="B875" t="n">
        <v>2014</v>
      </c>
      <c r="C875" t="inlineStr">
        <is>
          <t>Alicia Januario</t>
        </is>
      </c>
      <c r="D875">
        <f>HYPERLINK("https://ota.tournamentsoftware.com/player-profile/C042725A-21A9-463F-848F-04CEA3B56FE5", "Link")</f>
        <v/>
      </c>
      <c r="E875" s="3" t="n">
        <v>4.927</v>
      </c>
      <c r="F875" s="4" t="n">
        <v>2</v>
      </c>
      <c r="G875" t="inlineStr">
        <is>
          <t>Tennis Québec</t>
        </is>
      </c>
      <c r="H875" t="inlineStr">
        <is>
          <t>No Club</t>
        </is>
      </c>
      <c r="I875" t="n">
        <v>37.7</v>
      </c>
      <c r="J875" s="4" t="n">
        <v>6</v>
      </c>
      <c r="K875" t="inlineStr">
        <is>
          <t>1 / 5</t>
        </is>
      </c>
      <c r="L875" t="inlineStr">
        <is>
          <t>1 / 5</t>
        </is>
      </c>
      <c r="M875" s="5" t="n">
        <v>0.17</v>
      </c>
      <c r="N875" s="5" t="n">
        <v>0.17</v>
      </c>
    </row>
    <row r="876">
      <c r="A876" t="n">
        <v>875</v>
      </c>
      <c r="B876" t="n">
        <v>2016</v>
      </c>
      <c r="C876" t="inlineStr">
        <is>
          <t>Ella Luo</t>
        </is>
      </c>
      <c r="D876">
        <f>HYPERLINK("https://ota.tournamentsoftware.com/player-profile/3031CAE1-D7FD-42C8-B04F-2247B30476FE", "Link")</f>
        <v/>
      </c>
      <c r="E876" s="3" t="n">
        <v>4.838</v>
      </c>
      <c r="F876" s="4" t="n">
        <v>4</v>
      </c>
      <c r="G876" t="inlineStr">
        <is>
          <t>Tennis Alberta</t>
        </is>
      </c>
      <c r="H876" t="inlineStr">
        <is>
          <t>Saville Community Sports Centre</t>
        </is>
      </c>
      <c r="I876" t="n">
        <v>37.9</v>
      </c>
      <c r="J876" s="4" t="n">
        <v>37</v>
      </c>
      <c r="K876" t="inlineStr">
        <is>
          <t>17 / 20</t>
        </is>
      </c>
      <c r="L876" t="inlineStr">
        <is>
          <t>17 / 16</t>
        </is>
      </c>
      <c r="M876" s="5" t="n">
        <v>0.46</v>
      </c>
      <c r="N876" s="5" t="n">
        <v>0.52</v>
      </c>
    </row>
    <row r="877">
      <c r="A877" t="n">
        <v>876</v>
      </c>
      <c r="B877" t="n">
        <v>2016</v>
      </c>
      <c r="C877" t="inlineStr">
        <is>
          <t>Mira Miroievskaia</t>
        </is>
      </c>
      <c r="D877">
        <f>HYPERLINK("https://ota.tournamentsoftware.com/player-profile/9CEF7A8C-8736-467B-9AAC-F4F09A8061CA", "Link")</f>
        <v/>
      </c>
      <c r="E877" s="3" t="n">
        <v>4.806</v>
      </c>
      <c r="F877" s="4" t="n">
        <v>2</v>
      </c>
      <c r="G877" t="inlineStr">
        <is>
          <t>Ontario Tennis Association</t>
        </is>
      </c>
      <c r="H877" t="inlineStr">
        <is>
          <t>Barrie North Winter Tennis</t>
        </is>
      </c>
      <c r="I877" t="n">
        <v>38</v>
      </c>
      <c r="J877" s="4" t="n">
        <v>54</v>
      </c>
      <c r="K877" t="inlineStr">
        <is>
          <t>21 / 33</t>
        </is>
      </c>
      <c r="L877" t="inlineStr">
        <is>
          <t>21 / 33</t>
        </is>
      </c>
      <c r="M877" s="5" t="n">
        <v>0.39</v>
      </c>
      <c r="N877" s="5" t="n">
        <v>0.39</v>
      </c>
    </row>
    <row r="878">
      <c r="A878" t="n">
        <v>876</v>
      </c>
      <c r="B878" t="n">
        <v>2014</v>
      </c>
      <c r="C878" t="inlineStr">
        <is>
          <t>Emma Sun</t>
        </is>
      </c>
      <c r="D878">
        <f>HYPERLINK("https://ota.tournamentsoftware.com/player-profile/872E410F-742F-4F80-9387-6C15C73FE92E", "Link")</f>
        <v/>
      </c>
      <c r="E878" s="3" t="n">
        <v>4.806</v>
      </c>
      <c r="F878" s="4" t="n">
        <v>1</v>
      </c>
      <c r="G878" t="inlineStr">
        <is>
          <t>Ontario Tennis Association</t>
        </is>
      </c>
      <c r="H878" t="inlineStr">
        <is>
          <t>Valan Tennis Academy</t>
        </is>
      </c>
      <c r="I878" t="n">
        <v>38.5</v>
      </c>
      <c r="J878" s="4" t="n">
        <v>18</v>
      </c>
      <c r="K878" t="inlineStr">
        <is>
          <t>10 / 8</t>
        </is>
      </c>
      <c r="L878" t="inlineStr">
        <is>
          <t>1 / 1</t>
        </is>
      </c>
      <c r="M878" s="5" t="n">
        <v>0.5600000000000001</v>
      </c>
      <c r="N878" s="5" t="n">
        <v>0.5</v>
      </c>
    </row>
    <row r="879">
      <c r="A879" t="n">
        <v>876</v>
      </c>
      <c r="B879" t="n">
        <v>2014</v>
      </c>
      <c r="C879" t="inlineStr">
        <is>
          <t>Hannah Kucherawy</t>
        </is>
      </c>
      <c r="D879">
        <f>HYPERLINK("https://ota.tournamentsoftware.com/player-profile/E2ACD595-E7E5-40E3-935D-57DCECB8E04C", "Link")</f>
        <v/>
      </c>
      <c r="E879" s="3" t="n">
        <v>4.806</v>
      </c>
      <c r="F879" s="4" t="n">
        <v>1</v>
      </c>
      <c r="G879" t="inlineStr">
        <is>
          <t>Ontario Tennis Association</t>
        </is>
      </c>
      <c r="H879" t="inlineStr">
        <is>
          <t>Simcoe Tennis</t>
        </is>
      </c>
      <c r="I879" t="n">
        <v>35.6</v>
      </c>
      <c r="J879" s="4" t="n">
        <v>23</v>
      </c>
      <c r="K879" t="inlineStr">
        <is>
          <t>3 / 20</t>
        </is>
      </c>
      <c r="L879" t="inlineStr">
        <is>
          <t>1 / 1</t>
        </is>
      </c>
      <c r="M879" s="5" t="n">
        <v>0.13</v>
      </c>
      <c r="N879" s="5" t="n">
        <v>0.5</v>
      </c>
    </row>
    <row r="880">
      <c r="A880" t="n">
        <v>876</v>
      </c>
      <c r="B880" t="n">
        <v>2014</v>
      </c>
      <c r="C880" t="inlineStr">
        <is>
          <t>Iris Li</t>
        </is>
      </c>
      <c r="D880">
        <f>HYPERLINK("https://ota.tournamentsoftware.com/player-profile/CC36F5CC-203F-4A28-B27C-068A0E15610C", "Link")</f>
        <v/>
      </c>
      <c r="E880" s="3" t="n">
        <v>4.806</v>
      </c>
      <c r="F880" s="4" t="n">
        <v>2</v>
      </c>
      <c r="G880" t="inlineStr">
        <is>
          <t>British Columbia</t>
        </is>
      </c>
      <c r="H880" t="inlineStr">
        <is>
          <t>Tennis for Life</t>
        </is>
      </c>
      <c r="I880" t="n">
        <v>39.5</v>
      </c>
      <c r="J880" s="4" t="n">
        <v>43</v>
      </c>
      <c r="K880" t="inlineStr">
        <is>
          <t>17 / 26</t>
        </is>
      </c>
      <c r="L880" t="inlineStr">
        <is>
          <t>8 / 4</t>
        </is>
      </c>
      <c r="M880" s="5" t="n">
        <v>0.4</v>
      </c>
      <c r="N880" s="5" t="n">
        <v>0.67</v>
      </c>
    </row>
    <row r="881">
      <c r="A881" t="n">
        <v>876</v>
      </c>
      <c r="B881" t="n">
        <v>2013</v>
      </c>
      <c r="C881" t="inlineStr">
        <is>
          <t>Grâce-David Adzo TRAORÉ</t>
        </is>
      </c>
      <c r="D881">
        <f>HYPERLINK("https://ota.tournamentsoftware.com/player-profile/2A96F5BB-709B-450E-A0CA-0442985A8D03", "Link")</f>
        <v/>
      </c>
      <c r="E881" s="3" t="n">
        <v>4.806</v>
      </c>
      <c r="F881" s="4" t="n">
        <v>1</v>
      </c>
      <c r="G881" t="inlineStr">
        <is>
          <t>Tennis Québec</t>
        </is>
      </c>
      <c r="H881" t="inlineStr">
        <is>
          <t>QC AutreClub</t>
        </is>
      </c>
      <c r="I881" t="inlineStr">
        <is>
          <t>unavailable</t>
        </is>
      </c>
      <c r="J881" s="4" t="n">
        <v>1</v>
      </c>
      <c r="K881" t="inlineStr">
        <is>
          <t>0 / 1</t>
        </is>
      </c>
      <c r="L881" t="inlineStr">
        <is>
          <t>0 / 0</t>
        </is>
      </c>
      <c r="M881" s="5" t="n">
        <v>0</v>
      </c>
      <c r="N881" s="5" t="n">
        <v>0</v>
      </c>
    </row>
    <row r="882">
      <c r="A882" t="n">
        <v>881</v>
      </c>
      <c r="B882" t="n">
        <v>2015</v>
      </c>
      <c r="C882" t="inlineStr">
        <is>
          <t>Jade Adepetu</t>
        </is>
      </c>
      <c r="D882">
        <f>HYPERLINK("https://ota.tournamentsoftware.com/player-profile/44B25337-8306-4D62-BB4F-8BAB0C726BA7", "Link")</f>
        <v/>
      </c>
      <c r="E882" s="3" t="n">
        <v>4.418</v>
      </c>
      <c r="F882" s="4" t="n">
        <v>4</v>
      </c>
      <c r="G882" t="inlineStr">
        <is>
          <t>Tennis Alberta</t>
        </is>
      </c>
      <c r="H882" t="inlineStr">
        <is>
          <t>Osten &amp; Victor Alberta Tennis Centre</t>
        </is>
      </c>
      <c r="I882" t="inlineStr">
        <is>
          <t>unavailable</t>
        </is>
      </c>
      <c r="J882" s="4" t="n">
        <v>27</v>
      </c>
      <c r="K882" t="inlineStr">
        <is>
          <t>6 / 21</t>
        </is>
      </c>
      <c r="L882" t="inlineStr">
        <is>
          <t>5 / 11</t>
        </is>
      </c>
      <c r="M882" s="5" t="n">
        <v>0.22</v>
      </c>
      <c r="N882" s="5" t="n">
        <v>0.31</v>
      </c>
    </row>
    <row r="883">
      <c r="A883" t="n">
        <v>882</v>
      </c>
      <c r="B883" t="n">
        <v>2013</v>
      </c>
      <c r="C883" t="inlineStr">
        <is>
          <t>rafaela pena</t>
        </is>
      </c>
      <c r="D883">
        <f>HYPERLINK("https://ota.tournamentsoftware.com/player-profile/A4EAF82E-5402-4B2B-B03B-0E790D9A9F99", "Link")</f>
        <v/>
      </c>
      <c r="E883" s="3" t="n">
        <v>4.29</v>
      </c>
      <c r="F883" s="4" t="n">
        <v>1</v>
      </c>
      <c r="G883" t="inlineStr">
        <is>
          <t>Tennis Québec</t>
        </is>
      </c>
      <c r="H883" t="inlineStr">
        <is>
          <t>Tennis Québec (région Montréal Ouest)</t>
        </is>
      </c>
      <c r="I883" t="inlineStr">
        <is>
          <t>unavailable</t>
        </is>
      </c>
      <c r="J883" s="4" t="n">
        <v>10</v>
      </c>
      <c r="K883" t="inlineStr">
        <is>
          <t>4 / 6</t>
        </is>
      </c>
      <c r="L883" t="inlineStr">
        <is>
          <t>0 / 0</t>
        </is>
      </c>
      <c r="M883" s="5" t="n">
        <v>0.4</v>
      </c>
      <c r="N883" s="5" t="n">
        <v>0</v>
      </c>
    </row>
    <row r="884">
      <c r="A884" t="n">
        <v>883</v>
      </c>
      <c r="B884" t="n">
        <v>2014</v>
      </c>
      <c r="C884" t="inlineStr">
        <is>
          <t>Leonor Carolina Villarroel</t>
        </is>
      </c>
      <c r="D884">
        <f>HYPERLINK("https://ota.tournamentsoftware.com/player-profile/EC7FA318-1E25-4F5B-B01E-8B6C88C02638", "Link")</f>
        <v/>
      </c>
      <c r="E884" s="3" t="n">
        <v>4.104</v>
      </c>
      <c r="F884" s="4" t="n">
        <v>1</v>
      </c>
      <c r="G884" t="inlineStr">
        <is>
          <t>Tennis Nova Scotia</t>
        </is>
      </c>
      <c r="H884" t="inlineStr">
        <is>
          <t>The Cougar Dome</t>
        </is>
      </c>
      <c r="I884" t="n">
        <v>37</v>
      </c>
      <c r="J884" s="4" t="n">
        <v>1</v>
      </c>
      <c r="K884" t="inlineStr">
        <is>
          <t>0 / 1</t>
        </is>
      </c>
      <c r="L884" t="inlineStr">
        <is>
          <t>0 / 1</t>
        </is>
      </c>
      <c r="M884" s="5" t="n">
        <v>0</v>
      </c>
      <c r="N884" s="5" t="n">
        <v>0</v>
      </c>
    </row>
    <row r="885">
      <c r="A885" t="n">
        <v>884</v>
      </c>
      <c r="B885" t="n">
        <v>2015</v>
      </c>
      <c r="C885" t="inlineStr">
        <is>
          <t>Emmy Judge</t>
        </is>
      </c>
      <c r="D885">
        <f>HYPERLINK("https://ota.tournamentsoftware.com/player-profile/553284DE-2D65-4837-B86A-2230DB300AC5", "Link")</f>
        <v/>
      </c>
      <c r="E885" s="3" t="n">
        <v>4.077</v>
      </c>
      <c r="F885" s="4" t="n">
        <v>1</v>
      </c>
      <c r="G885" t="inlineStr">
        <is>
          <t>Ontario Tennis Association</t>
        </is>
      </c>
      <c r="H885" t="inlineStr">
        <is>
          <t>No Club</t>
        </is>
      </c>
      <c r="I885" t="inlineStr">
        <is>
          <t>unavailable</t>
        </is>
      </c>
      <c r="J885" s="4" t="n">
        <v>4</v>
      </c>
      <c r="K885" t="inlineStr">
        <is>
          <t>0 / 4</t>
        </is>
      </c>
      <c r="L885" t="inlineStr">
        <is>
          <t>0 / 4</t>
        </is>
      </c>
      <c r="M885" s="5" t="n">
        <v>0</v>
      </c>
      <c r="N885" s="5" t="n">
        <v>0</v>
      </c>
    </row>
    <row r="886">
      <c r="A886" t="n">
        <v>885</v>
      </c>
      <c r="B886" t="n">
        <v>2015</v>
      </c>
      <c r="C886" t="inlineStr">
        <is>
          <t>Sophie Wu</t>
        </is>
      </c>
      <c r="D886">
        <f>HYPERLINK("https://ota.tournamentsoftware.com/player-profile/86FD02FE-3422-4F25-8D27-A4FD05572855", "Link")</f>
        <v/>
      </c>
      <c r="E886" s="3" t="n">
        <v>3.942</v>
      </c>
      <c r="F886" s="4" t="n">
        <v>1</v>
      </c>
      <c r="G886" t="inlineStr">
        <is>
          <t>Tennis Québec</t>
        </is>
      </c>
      <c r="H886" t="inlineStr">
        <is>
          <t>No Club</t>
        </is>
      </c>
      <c r="I886" t="n">
        <v>38.7</v>
      </c>
      <c r="J886" s="4" t="n">
        <v>1</v>
      </c>
      <c r="K886" t="inlineStr">
        <is>
          <t>0 / 1</t>
        </is>
      </c>
      <c r="L886" t="inlineStr">
        <is>
          <t>0 / 1</t>
        </is>
      </c>
      <c r="M886" s="5" t="n">
        <v>0</v>
      </c>
      <c r="N886" s="5" t="n">
        <v>0</v>
      </c>
    </row>
    <row r="887">
      <c r="A887" t="n">
        <v>886</v>
      </c>
      <c r="B887" t="n">
        <v>2013</v>
      </c>
      <c r="C887" t="inlineStr">
        <is>
          <t>Brooklyn Desjardins</t>
        </is>
      </c>
      <c r="D887">
        <f>HYPERLINK("https://ota.tournamentsoftware.com/player-profile/EDCAF363-81B5-4378-83DC-E36CD3ACC539", "Link")</f>
        <v/>
      </c>
      <c r="E887" s="3" t="n">
        <v>3.888</v>
      </c>
      <c r="F887" s="4" t="n">
        <v>1</v>
      </c>
      <c r="G887" t="inlineStr">
        <is>
          <t>Tennis Québec</t>
        </is>
      </c>
      <c r="H887" t="inlineStr">
        <is>
          <t>Club Sportif Côte-de-Liesse</t>
        </is>
      </c>
      <c r="I887" t="n">
        <v>37.7</v>
      </c>
      <c r="J887" s="4" t="n">
        <v>49</v>
      </c>
      <c r="K887" t="inlineStr">
        <is>
          <t>19 / 30</t>
        </is>
      </c>
      <c r="L887" t="inlineStr">
        <is>
          <t>0 / 0</t>
        </is>
      </c>
      <c r="M887" s="5" t="n">
        <v>0.39</v>
      </c>
      <c r="N887" s="5" t="n">
        <v>0</v>
      </c>
    </row>
    <row r="888">
      <c r="A888" t="n">
        <v>886</v>
      </c>
      <c r="B888" t="n">
        <v>2014</v>
      </c>
      <c r="C888" t="inlineStr">
        <is>
          <t>Gloriana Shiqi Zhang</t>
        </is>
      </c>
      <c r="D888">
        <f>HYPERLINK("https://ota.tournamentsoftware.com/player-profile/2717E828-0882-43B7-ADDB-D078FFA580CF", "Link")</f>
        <v/>
      </c>
      <c r="E888" s="3" t="n">
        <v>3.888</v>
      </c>
      <c r="F888" s="4" t="n">
        <v>1</v>
      </c>
      <c r="G888" t="inlineStr">
        <is>
          <t>British Columbia</t>
        </is>
      </c>
      <c r="H888" t="inlineStr">
        <is>
          <t>Hollyburn Country Club</t>
        </is>
      </c>
      <c r="I888" t="inlineStr">
        <is>
          <t>unavailable</t>
        </is>
      </c>
      <c r="J888" s="4" t="n">
        <v>32</v>
      </c>
      <c r="K888" t="inlineStr">
        <is>
          <t>5 / 27</t>
        </is>
      </c>
      <c r="L888" t="inlineStr">
        <is>
          <t>0 / 0</t>
        </is>
      </c>
      <c r="M888" s="5" t="n">
        <v>0.16</v>
      </c>
      <c r="N888" s="5" t="n">
        <v>0</v>
      </c>
    </row>
    <row r="889">
      <c r="A889" t="n">
        <v>886</v>
      </c>
      <c r="B889" t="n">
        <v>2017</v>
      </c>
      <c r="C889" t="inlineStr">
        <is>
          <t>Nysa Iyer</t>
        </is>
      </c>
      <c r="D889">
        <f>HYPERLINK("https://ota.tournamentsoftware.com/player-profile/7133F3A1-6724-4B35-BBF9-2DFB20E0D933", "Link")</f>
        <v/>
      </c>
      <c r="E889" s="3" t="n">
        <v>3.888</v>
      </c>
      <c r="F889" s="4" t="n">
        <v>4</v>
      </c>
      <c r="G889" t="inlineStr">
        <is>
          <t>Tennis Alberta</t>
        </is>
      </c>
      <c r="H889" t="inlineStr">
        <is>
          <t>No Club</t>
        </is>
      </c>
      <c r="I889" t="n">
        <v>38.4</v>
      </c>
      <c r="J889" s="4" t="n">
        <v>67</v>
      </c>
      <c r="K889" t="inlineStr">
        <is>
          <t>32 / 35</t>
        </is>
      </c>
      <c r="L889" t="inlineStr">
        <is>
          <t>15 / 14</t>
        </is>
      </c>
      <c r="M889" s="5" t="n">
        <v>0.48</v>
      </c>
      <c r="N889" s="5" t="n">
        <v>0.52</v>
      </c>
    </row>
    <row r="890">
      <c r="A890" t="n">
        <v>886</v>
      </c>
      <c r="B890" t="n">
        <v>2015</v>
      </c>
      <c r="C890" t="inlineStr">
        <is>
          <t>JIAYI LIN</t>
        </is>
      </c>
      <c r="D890">
        <f>HYPERLINK("https://ota.tournamentsoftware.com/player-profile/9025A036-DFDA-4A69-B03F-EEE43D14A3C3", "Link")</f>
        <v/>
      </c>
      <c r="E890" s="3" t="n">
        <v>3.888</v>
      </c>
      <c r="F890" s="4" t="n">
        <v>1</v>
      </c>
      <c r="G890" t="inlineStr">
        <is>
          <t>Ontario Tennis Association</t>
        </is>
      </c>
      <c r="H890" t="inlineStr">
        <is>
          <t>Mayfair Parkway Racquet Club</t>
        </is>
      </c>
      <c r="I890" t="n">
        <v>39.1</v>
      </c>
      <c r="J890" s="4" t="n">
        <v>2</v>
      </c>
      <c r="K890" t="inlineStr">
        <is>
          <t>0 / 2</t>
        </is>
      </c>
      <c r="L890" t="inlineStr">
        <is>
          <t>0 / 2</t>
        </is>
      </c>
      <c r="M890" s="5" t="n">
        <v>0</v>
      </c>
      <c r="N890" s="5" t="n">
        <v>0</v>
      </c>
    </row>
    <row r="891">
      <c r="A891" t="n">
        <v>886</v>
      </c>
      <c r="B891" t="n">
        <v>2015</v>
      </c>
      <c r="C891" t="inlineStr">
        <is>
          <t>Olivia Franchi</t>
        </is>
      </c>
      <c r="D891">
        <f>HYPERLINK("https://ota.tournamentsoftware.com/player-profile/71DEE53D-92D1-4C5D-A9AE-0F02860DD189", "Link")</f>
        <v/>
      </c>
      <c r="E891" s="3" t="n">
        <v>3.888</v>
      </c>
      <c r="F891" s="4" t="n">
        <v>1</v>
      </c>
      <c r="G891" t="inlineStr">
        <is>
          <t>Ontario Tennis Association</t>
        </is>
      </c>
      <c r="H891" t="inlineStr">
        <is>
          <t>Barrie North Winter Tennis</t>
        </is>
      </c>
      <c r="I891" t="n">
        <v>37.6</v>
      </c>
      <c r="J891" s="4" t="n">
        <v>14</v>
      </c>
      <c r="K891" t="inlineStr">
        <is>
          <t>0 / 14</t>
        </is>
      </c>
      <c r="L891" t="inlineStr">
        <is>
          <t>0 / 2</t>
        </is>
      </c>
      <c r="M891" s="5" t="n">
        <v>0</v>
      </c>
      <c r="N891" s="5" t="n">
        <v>0</v>
      </c>
    </row>
    <row r="892">
      <c r="A892" t="n">
        <v>886</v>
      </c>
      <c r="B892" t="n">
        <v>2015</v>
      </c>
      <c r="C892" t="inlineStr">
        <is>
          <t>Maya Clara Shakra</t>
        </is>
      </c>
      <c r="D892">
        <f>HYPERLINK("https://ota.tournamentsoftware.com/player-profile/50FA5A17-1808-42C0-B8C3-34766E9151A2", "Link")</f>
        <v/>
      </c>
      <c r="E892" s="3" t="n">
        <v>3.888</v>
      </c>
      <c r="F892" s="4" t="n">
        <v>1</v>
      </c>
      <c r="G892" t="inlineStr">
        <is>
          <t>Ontario Tennis Association</t>
        </is>
      </c>
      <c r="H892" t="inlineStr">
        <is>
          <t>Toronto Tennis Academy</t>
        </is>
      </c>
      <c r="I892" t="inlineStr">
        <is>
          <t>unavailable</t>
        </is>
      </c>
      <c r="J892" s="4" t="n">
        <v>44</v>
      </c>
      <c r="K892" t="inlineStr">
        <is>
          <t>14 / 30</t>
        </is>
      </c>
      <c r="L892" t="inlineStr">
        <is>
          <t>3 / 6</t>
        </is>
      </c>
      <c r="M892" s="5" t="n">
        <v>0.32</v>
      </c>
      <c r="N892" s="5" t="n">
        <v>0.33</v>
      </c>
    </row>
    <row r="893">
      <c r="A893" t="n">
        <v>886</v>
      </c>
      <c r="B893" t="n">
        <v>2014</v>
      </c>
      <c r="C893" t="inlineStr">
        <is>
          <t>Yanxi Chen</t>
        </is>
      </c>
      <c r="D893">
        <f>HYPERLINK("https://ota.tournamentsoftware.com/player-profile/E6571B14-6651-4CD3-A420-8263947DBA1E", "Link")</f>
        <v/>
      </c>
      <c r="E893" s="3" t="n">
        <v>3.888</v>
      </c>
      <c r="F893" s="4" t="n">
        <v>1</v>
      </c>
      <c r="G893" t="inlineStr">
        <is>
          <t>British Columbia</t>
        </is>
      </c>
      <c r="H893" t="inlineStr">
        <is>
          <t>West Vancouver Tennis Club</t>
        </is>
      </c>
      <c r="I893" t="n">
        <v>38.6</v>
      </c>
      <c r="J893" s="4" t="n">
        <v>10</v>
      </c>
      <c r="K893" t="inlineStr">
        <is>
          <t>5 / 5</t>
        </is>
      </c>
      <c r="L893" t="inlineStr">
        <is>
          <t>3 / 3</t>
        </is>
      </c>
      <c r="M893" s="5" t="n">
        <v>0.5</v>
      </c>
      <c r="N893" s="5" t="n">
        <v>0.5</v>
      </c>
    </row>
    <row r="894">
      <c r="A894" t="n">
        <v>886</v>
      </c>
      <c r="B894" t="n">
        <v>2015</v>
      </c>
      <c r="C894" t="inlineStr">
        <is>
          <t>Emmanuelle Gibson</t>
        </is>
      </c>
      <c r="D894">
        <f>HYPERLINK("https://ota.tournamentsoftware.com/player-profile/5C3DC2E1-A341-4A2A-8044-256BC649BACA", "Link")</f>
        <v/>
      </c>
      <c r="E894" s="3" t="n">
        <v>3.888</v>
      </c>
      <c r="F894" s="4" t="n">
        <v>1</v>
      </c>
      <c r="G894" t="inlineStr">
        <is>
          <t>Ontario Tennis Association</t>
        </is>
      </c>
      <c r="H894" t="inlineStr">
        <is>
          <t>Concord Tennis Academy</t>
        </is>
      </c>
      <c r="I894" t="inlineStr">
        <is>
          <t>unavailable</t>
        </is>
      </c>
      <c r="J894" s="4" t="n">
        <v>15</v>
      </c>
      <c r="K894" t="inlineStr">
        <is>
          <t>8 / 7</t>
        </is>
      </c>
      <c r="L894" t="inlineStr">
        <is>
          <t>8 / 7</t>
        </is>
      </c>
      <c r="M894" s="5" t="n">
        <v>0.53</v>
      </c>
      <c r="N894" s="5" t="n">
        <v>0.53</v>
      </c>
    </row>
    <row r="895">
      <c r="A895" t="n">
        <v>894</v>
      </c>
      <c r="B895" t="n">
        <v>2015</v>
      </c>
      <c r="C895" t="inlineStr">
        <is>
          <t>Isla Lynn Wong</t>
        </is>
      </c>
      <c r="D895">
        <f>HYPERLINK("https://ota.tournamentsoftware.com/player-profile/315A4D2D-63EA-4161-B14B-B850BA3784AF", "Link")</f>
        <v/>
      </c>
      <c r="E895" s="3" t="n">
        <v>3.845</v>
      </c>
      <c r="F895" s="4" t="n">
        <v>3</v>
      </c>
      <c r="G895" t="inlineStr">
        <is>
          <t>Tennis Alberta</t>
        </is>
      </c>
      <c r="H895" t="inlineStr">
        <is>
          <t>No Club</t>
        </is>
      </c>
      <c r="I895" t="n">
        <v>37.3</v>
      </c>
      <c r="J895" s="4" t="n">
        <v>21</v>
      </c>
      <c r="K895" t="inlineStr">
        <is>
          <t>12 / 9</t>
        </is>
      </c>
      <c r="L895" t="inlineStr">
        <is>
          <t>8 / 4</t>
        </is>
      </c>
      <c r="M895" s="5" t="n">
        <v>0.57</v>
      </c>
      <c r="N895" s="5" t="n">
        <v>0.67</v>
      </c>
    </row>
    <row r="896">
      <c r="A896" t="n">
        <v>895</v>
      </c>
      <c r="B896" t="n">
        <v>2014</v>
      </c>
      <c r="C896" t="inlineStr">
        <is>
          <t>Baani Kaur Saini</t>
        </is>
      </c>
      <c r="D896">
        <f>HYPERLINK("https://ota.tournamentsoftware.com/player-profile/F8A85050-87CB-4D78-BB4D-4D11F0D18229", "Link")</f>
        <v/>
      </c>
      <c r="E896" s="3" t="n">
        <v>3.806</v>
      </c>
      <c r="F896" s="4" t="n">
        <v>1</v>
      </c>
      <c r="G896" t="inlineStr">
        <is>
          <t>Ontario Tennis Association</t>
        </is>
      </c>
      <c r="H896" t="inlineStr">
        <is>
          <t>Bramalea Tennis Club</t>
        </is>
      </c>
      <c r="I896" t="n">
        <v>39.2</v>
      </c>
      <c r="J896" s="4" t="n">
        <v>5</v>
      </c>
      <c r="K896" t="inlineStr">
        <is>
          <t>0 / 5</t>
        </is>
      </c>
      <c r="L896" t="inlineStr">
        <is>
          <t>0 / 0</t>
        </is>
      </c>
      <c r="M896" s="5" t="n">
        <v>0</v>
      </c>
      <c r="N896" s="5" t="n">
        <v>0</v>
      </c>
    </row>
    <row r="897">
      <c r="A897" t="n">
        <v>896</v>
      </c>
      <c r="B897" t="n">
        <v>2014</v>
      </c>
      <c r="C897" t="inlineStr">
        <is>
          <t>Della Lynn Bulmer</t>
        </is>
      </c>
      <c r="D897">
        <f>HYPERLINK("https://ota.tournamentsoftware.com/player-profile/6487BDBD-D547-439D-A14A-BDB7B38FD35A", "Link")</f>
        <v/>
      </c>
      <c r="E897" s="3" t="n">
        <v>3.763</v>
      </c>
      <c r="F897" s="4" t="n">
        <v>1</v>
      </c>
      <c r="G897" t="inlineStr">
        <is>
          <t>British Columbia</t>
        </is>
      </c>
      <c r="H897" t="inlineStr">
        <is>
          <t>Nelson Tennis Club</t>
        </is>
      </c>
      <c r="I897" t="n">
        <v>39.5</v>
      </c>
      <c r="J897" s="4" t="n">
        <v>2</v>
      </c>
      <c r="K897" t="inlineStr">
        <is>
          <t>0 / 2</t>
        </is>
      </c>
      <c r="L897" t="inlineStr">
        <is>
          <t>0 / 2</t>
        </is>
      </c>
      <c r="M897" s="5" t="n">
        <v>0</v>
      </c>
      <c r="N897" s="5" t="n">
        <v>0</v>
      </c>
    </row>
    <row r="898">
      <c r="A898" t="n">
        <v>897</v>
      </c>
      <c r="B898" t="n">
        <v>2014</v>
      </c>
      <c r="C898" t="inlineStr">
        <is>
          <t>Charlotte Lanthier</t>
        </is>
      </c>
      <c r="D898">
        <f>HYPERLINK("https://ota.tournamentsoftware.com/player-profile/930A92EC-BBE2-40FD-8684-CB6F18EAD19A", "Link")</f>
        <v/>
      </c>
      <c r="E898" s="3" t="n">
        <v>3.758</v>
      </c>
      <c r="F898" s="4" t="n">
        <v>5</v>
      </c>
      <c r="G898" t="inlineStr">
        <is>
          <t>Tennis Québec</t>
        </is>
      </c>
      <c r="H898" t="inlineStr">
        <is>
          <t>EB Tennis inc.</t>
        </is>
      </c>
      <c r="I898" t="n">
        <v>39.6</v>
      </c>
      <c r="J898" s="4" t="n">
        <v>6</v>
      </c>
      <c r="K898" t="inlineStr">
        <is>
          <t>0 / 6</t>
        </is>
      </c>
      <c r="L898" t="inlineStr">
        <is>
          <t>0 / 4</t>
        </is>
      </c>
      <c r="M898" s="5" t="n">
        <v>0</v>
      </c>
      <c r="N898" s="5" t="n">
        <v>0</v>
      </c>
    </row>
    <row r="899">
      <c r="A899" t="n">
        <v>898</v>
      </c>
      <c r="B899" t="n">
        <v>2015</v>
      </c>
      <c r="C899" t="inlineStr">
        <is>
          <t>Lélia Gauthier Kassy</t>
        </is>
      </c>
      <c r="D899">
        <f>HYPERLINK("https://ota.tournamentsoftware.com/player-profile/FD5FD02A-F8C2-4C4D-8430-982023D8C014", "Link")</f>
        <v/>
      </c>
      <c r="E899" s="3" t="n">
        <v>3.672</v>
      </c>
      <c r="F899" s="4" t="n">
        <v>1</v>
      </c>
      <c r="G899" t="inlineStr">
        <is>
          <t>Tennis Québec</t>
        </is>
      </c>
      <c r="H899" t="inlineStr">
        <is>
          <t>Tennis 13 / Académie Ménard et associé</t>
        </is>
      </c>
      <c r="I899" t="n">
        <v>38.3</v>
      </c>
      <c r="J899" s="4" t="n">
        <v>3</v>
      </c>
      <c r="K899" t="inlineStr">
        <is>
          <t>1 / 2</t>
        </is>
      </c>
      <c r="L899" t="inlineStr">
        <is>
          <t>1 / 2</t>
        </is>
      </c>
      <c r="M899" s="5" t="n">
        <v>0.33</v>
      </c>
      <c r="N899" s="5" t="n">
        <v>0.33</v>
      </c>
    </row>
    <row r="900">
      <c r="A900" t="n">
        <v>899</v>
      </c>
      <c r="B900" t="n">
        <v>2014</v>
      </c>
      <c r="C900" t="inlineStr">
        <is>
          <t>Kaira Ankit Arora</t>
        </is>
      </c>
      <c r="D900">
        <f>HYPERLINK("https://ota.tournamentsoftware.com/player-profile/48CDC473-6B50-4781-BB3F-2B72F12C6320", "Link")</f>
        <v/>
      </c>
      <c r="E900" s="3" t="n">
        <v>3.629</v>
      </c>
      <c r="F900" s="4" t="n">
        <v>1</v>
      </c>
      <c r="G900" t="inlineStr">
        <is>
          <t>Ontario Tennis Association</t>
        </is>
      </c>
      <c r="H900" t="inlineStr">
        <is>
          <t>The Tennis School</t>
        </is>
      </c>
      <c r="I900" t="n">
        <v>39</v>
      </c>
      <c r="J900" s="4" t="n">
        <v>32</v>
      </c>
      <c r="K900" t="inlineStr">
        <is>
          <t>3 / 29</t>
        </is>
      </c>
      <c r="L900" t="inlineStr">
        <is>
          <t>1 / 8</t>
        </is>
      </c>
      <c r="M900" s="5" t="n">
        <v>0.09</v>
      </c>
      <c r="N900" s="5" t="n">
        <v>0.11</v>
      </c>
    </row>
    <row r="901">
      <c r="A901" t="n">
        <v>899</v>
      </c>
      <c r="B901" t="n">
        <v>2013</v>
      </c>
      <c r="C901" t="inlineStr">
        <is>
          <t>Apphia Anderson</t>
        </is>
      </c>
      <c r="D901">
        <f>HYPERLINK("https://ota.tournamentsoftware.com/player-profile/557E4D67-D9E9-47B3-800F-DB2194C8FCA3", "Link")</f>
        <v/>
      </c>
      <c r="E901" s="3" t="n">
        <v>3.629</v>
      </c>
      <c r="F901" s="4" t="n">
        <v>2</v>
      </c>
      <c r="G901" t="inlineStr">
        <is>
          <t>Tennis Alberta</t>
        </is>
      </c>
      <c r="H901" t="inlineStr">
        <is>
          <t>No Club</t>
        </is>
      </c>
      <c r="I901" t="inlineStr">
        <is>
          <t>unavailable</t>
        </is>
      </c>
      <c r="J901" s="4" t="n">
        <v>3</v>
      </c>
      <c r="K901" t="inlineStr">
        <is>
          <t>0 / 3</t>
        </is>
      </c>
      <c r="L901" t="inlineStr">
        <is>
          <t>0 / 3</t>
        </is>
      </c>
      <c r="M901" s="5" t="n">
        <v>0</v>
      </c>
      <c r="N901" s="5" t="n">
        <v>0</v>
      </c>
    </row>
  </sheetData>
  <autoFilter ref="A1:N9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21" customWidth="1" min="4" max="4"/>
    <col width="14" customWidth="1" min="5" max="5"/>
    <col width="33" customWidth="1" min="6" max="6"/>
    <col width="69" customWidth="1" min="7" max="7"/>
    <col width="15" customWidth="1" min="8" max="8"/>
    <col width="17" customWidth="1" min="9" max="9"/>
    <col width="21" customWidth="1" min="10" max="10"/>
    <col width="20" customWidth="1" min="11" max="11"/>
  </cols>
  <sheetData>
    <row r="1">
      <c r="A1" s="6" t="inlineStr">
        <is>
          <t>Rank</t>
        </is>
      </c>
      <c r="B1" s="6" t="inlineStr">
        <is>
          <t>Player</t>
        </is>
      </c>
      <c r="C1" s="6" t="inlineStr">
        <is>
          <t>Year of Birth</t>
        </is>
      </c>
      <c r="D1" s="6" t="inlineStr">
        <is>
          <t>Points</t>
        </is>
      </c>
      <c r="E1" s="6" t="inlineStr">
        <is>
          <t>Tournaments</t>
        </is>
      </c>
      <c r="F1" s="6" t="inlineStr">
        <is>
          <t>Province</t>
        </is>
      </c>
      <c r="G1" s="6" t="inlineStr">
        <is>
          <t>Club</t>
        </is>
      </c>
      <c r="H1" s="6" t="inlineStr">
        <is>
          <t>Singles WTN</t>
        </is>
      </c>
      <c r="I1" s="6" t="inlineStr">
        <is>
          <t>Career Matches</t>
        </is>
      </c>
      <c r="J1" s="6" t="inlineStr">
        <is>
          <t>Singles W/L-Career</t>
        </is>
      </c>
      <c r="K1" s="6" t="inlineStr">
        <is>
          <t>Singles W/L-YTD %</t>
        </is>
      </c>
    </row>
    <row r="2">
      <c r="A2" s="7" t="inlineStr">
        <is>
          <t>1</t>
        </is>
      </c>
      <c r="B2" t="inlineStr">
        <is>
          <t>Alexie Duclair</t>
        </is>
      </c>
      <c r="C2" t="n">
        <v>2012</v>
      </c>
      <c r="D2" s="7" t="inlineStr">
        <is>
          <t>18720.00</t>
        </is>
      </c>
      <c r="E2" s="7" t="inlineStr">
        <is>
          <t>18</t>
        </is>
      </c>
      <c r="F2" t="inlineStr">
        <is>
          <t>Tennis Québec</t>
        </is>
      </c>
      <c r="G2" t="inlineStr">
        <is>
          <t>No Club</t>
        </is>
      </c>
      <c r="H2" s="7" t="inlineStr">
        <is>
          <t>19.8</t>
        </is>
      </c>
      <c r="I2" t="n">
        <v>340</v>
      </c>
      <c r="J2" t="inlineStr">
        <is>
          <t>183 / 157</t>
        </is>
      </c>
      <c r="K2" s="7" t="inlineStr">
        <is>
          <t>57%</t>
        </is>
      </c>
    </row>
    <row r="3">
      <c r="A3" s="7" t="inlineStr">
        <is>
          <t>2</t>
        </is>
      </c>
      <c r="B3" t="inlineStr">
        <is>
          <t>Evelina Nicolaeva</t>
        </is>
      </c>
      <c r="C3" t="n">
        <v>2012</v>
      </c>
      <c r="D3" s="7" t="inlineStr">
        <is>
          <t>12800.00</t>
        </is>
      </c>
      <c r="E3" s="7" t="inlineStr">
        <is>
          <t>22</t>
        </is>
      </c>
      <c r="F3" t="inlineStr">
        <is>
          <t>Ontario Tennis Association</t>
        </is>
      </c>
      <c r="G3" t="inlineStr">
        <is>
          <t>Valan Tennis Academy</t>
        </is>
      </c>
      <c r="H3" s="7" t="inlineStr">
        <is>
          <t>20.6</t>
        </is>
      </c>
      <c r="I3" t="n">
        <v>338</v>
      </c>
      <c r="J3" t="inlineStr">
        <is>
          <t>202 / 136</t>
        </is>
      </c>
      <c r="K3" s="7" t="inlineStr">
        <is>
          <t>53%</t>
        </is>
      </c>
    </row>
    <row r="4">
      <c r="A4" s="7" t="inlineStr">
        <is>
          <t>3</t>
        </is>
      </c>
      <c r="B4" t="inlineStr">
        <is>
          <t>kendra zhang</t>
        </is>
      </c>
      <c r="C4" t="n">
        <v>2012</v>
      </c>
      <c r="D4" s="7" t="inlineStr">
        <is>
          <t>12761.11</t>
        </is>
      </c>
      <c r="E4" s="7" t="inlineStr">
        <is>
          <t>18</t>
        </is>
      </c>
      <c r="F4" t="inlineStr">
        <is>
          <t>Tennis Alberta</t>
        </is>
      </c>
      <c r="G4" t="inlineStr">
        <is>
          <t>Osten &amp; Victor Alberta Tennis Centre</t>
        </is>
      </c>
      <c r="H4" s="7" t="inlineStr">
        <is>
          <t>18.6</t>
        </is>
      </c>
      <c r="I4" t="n">
        <v>315</v>
      </c>
      <c r="J4" t="inlineStr">
        <is>
          <t>248 / 67</t>
        </is>
      </c>
      <c r="K4" s="7" t="inlineStr">
        <is>
          <t>89%</t>
        </is>
      </c>
    </row>
    <row r="5">
      <c r="A5" s="7" t="inlineStr">
        <is>
          <t>4</t>
        </is>
      </c>
      <c r="B5" t="inlineStr">
        <is>
          <t>Brielle Amey</t>
        </is>
      </c>
      <c r="C5" t="n">
        <v>2012</v>
      </c>
      <c r="D5" s="7" t="inlineStr">
        <is>
          <t>10198.40</t>
        </is>
      </c>
      <c r="E5" s="7" t="inlineStr">
        <is>
          <t>11</t>
        </is>
      </c>
      <c r="F5" t="inlineStr">
        <is>
          <t>Ontario Tennis Association</t>
        </is>
      </c>
      <c r="G5" t="inlineStr">
        <is>
          <t>City of Kitchener</t>
        </is>
      </c>
      <c r="H5" s="7" t="inlineStr">
        <is>
          <t>18.0</t>
        </is>
      </c>
      <c r="I5" t="n">
        <v>31</v>
      </c>
      <c r="J5" t="inlineStr">
        <is>
          <t>23 / 8</t>
        </is>
      </c>
      <c r="K5" s="7" t="inlineStr">
        <is>
          <t>0%</t>
        </is>
      </c>
    </row>
    <row r="6">
      <c r="A6" s="7" t="inlineStr">
        <is>
          <t>5</t>
        </is>
      </c>
      <c r="B6" t="inlineStr">
        <is>
          <t>Emma Cuirassier</t>
        </is>
      </c>
      <c r="C6" t="n">
        <v>2012</v>
      </c>
      <c r="D6" s="8" t="inlineStr">
        <is>
          <t>9635.89 (▲50.08)</t>
        </is>
      </c>
      <c r="E6" s="7" t="inlineStr">
        <is>
          <t>10</t>
        </is>
      </c>
      <c r="F6" t="inlineStr">
        <is>
          <t>Tennis Québec</t>
        </is>
      </c>
      <c r="G6" t="inlineStr">
        <is>
          <t>Tennis Montréal Excellence</t>
        </is>
      </c>
      <c r="H6" s="7" t="inlineStr">
        <is>
          <t>19.1</t>
        </is>
      </c>
      <c r="I6" t="n">
        <v>304</v>
      </c>
      <c r="J6" t="inlineStr">
        <is>
          <t>198 / 106</t>
        </is>
      </c>
      <c r="K6" s="7" t="inlineStr">
        <is>
          <t>71%</t>
        </is>
      </c>
    </row>
    <row r="7">
      <c r="A7" s="7" t="inlineStr">
        <is>
          <t>6</t>
        </is>
      </c>
      <c r="B7" t="inlineStr">
        <is>
          <t>Zimo Xiang</t>
        </is>
      </c>
      <c r="C7" t="n">
        <v>2012</v>
      </c>
      <c r="D7" s="7" t="inlineStr">
        <is>
          <t>9097.88</t>
        </is>
      </c>
      <c r="E7" s="7" t="inlineStr">
        <is>
          <t>21</t>
        </is>
      </c>
      <c r="F7" t="inlineStr">
        <is>
          <t>Tennis Alberta</t>
        </is>
      </c>
      <c r="G7" t="inlineStr">
        <is>
          <t>Osten &amp; Victor Alberta Tennis Centre</t>
        </is>
      </c>
      <c r="H7" s="7" t="inlineStr">
        <is>
          <t>17.8</t>
        </is>
      </c>
      <c r="I7" t="n">
        <v>348</v>
      </c>
      <c r="J7" t="inlineStr">
        <is>
          <t>266 / 82</t>
        </is>
      </c>
      <c r="K7" s="7" t="inlineStr">
        <is>
          <t>85%</t>
        </is>
      </c>
    </row>
    <row r="8">
      <c r="A8" s="7" t="inlineStr">
        <is>
          <t>7</t>
        </is>
      </c>
      <c r="B8" t="inlineStr">
        <is>
          <t>Emma Ciobanu</t>
        </is>
      </c>
      <c r="C8" t="n">
        <v>2012</v>
      </c>
      <c r="D8" s="7" t="inlineStr">
        <is>
          <t>8554.24</t>
        </is>
      </c>
      <c r="E8" s="9" t="inlineStr">
        <is>
          <t>16 (-1)</t>
        </is>
      </c>
      <c r="F8" t="inlineStr">
        <is>
          <t>Tennis Québec</t>
        </is>
      </c>
      <c r="G8" t="inlineStr">
        <is>
          <t>No Club</t>
        </is>
      </c>
      <c r="H8" s="9" t="inlineStr">
        <is>
          <t>21.6 (▼0.1)</t>
        </is>
      </c>
      <c r="I8" t="n">
        <v>445</v>
      </c>
      <c r="J8" t="inlineStr">
        <is>
          <t>254 / 191</t>
        </is>
      </c>
      <c r="K8" s="7" t="inlineStr">
        <is>
          <t>56%</t>
        </is>
      </c>
    </row>
    <row r="9">
      <c r="A9" s="8" t="inlineStr">
        <is>
          <t>8 (▲1)</t>
        </is>
      </c>
      <c r="B9" t="inlineStr">
        <is>
          <t>Ruijing Chen</t>
        </is>
      </c>
      <c r="C9" t="n">
        <v>2012</v>
      </c>
      <c r="D9" s="8" t="inlineStr">
        <is>
          <t>8248.07 (▲222.00)</t>
        </is>
      </c>
      <c r="E9" s="8" t="inlineStr">
        <is>
          <t>21 (+1)</t>
        </is>
      </c>
      <c r="F9" t="inlineStr">
        <is>
          <t>British Columbia</t>
        </is>
      </c>
      <c r="G9" t="inlineStr">
        <is>
          <t>North Vancouver Tennis Centre</t>
        </is>
      </c>
      <c r="H9" s="8" t="inlineStr">
        <is>
          <t>20.2 (▲0.2)</t>
        </is>
      </c>
      <c r="I9" t="n">
        <v>276</v>
      </c>
      <c r="J9" t="inlineStr">
        <is>
          <t>162 / 114</t>
        </is>
      </c>
      <c r="K9" s="8" t="inlineStr">
        <is>
          <t>70% (▲1%)</t>
        </is>
      </c>
    </row>
    <row r="10">
      <c r="A10" s="9" t="inlineStr">
        <is>
          <t>9 (▼1)</t>
        </is>
      </c>
      <c r="B10" t="inlineStr">
        <is>
          <t>Victoria Koniouchine</t>
        </is>
      </c>
      <c r="C10" t="n">
        <v>2012</v>
      </c>
      <c r="D10" s="9" t="inlineStr">
        <is>
          <t>7921.24 (▼255.76)</t>
        </is>
      </c>
      <c r="E10" s="7" t="inlineStr">
        <is>
          <t>13</t>
        </is>
      </c>
      <c r="F10" t="inlineStr">
        <is>
          <t>Tennis Québec</t>
        </is>
      </c>
      <c r="G10" t="inlineStr">
        <is>
          <t>Tennis Montréal Excellence</t>
        </is>
      </c>
      <c r="H10" s="9" t="inlineStr">
        <is>
          <t>20.9 (▼0.2)</t>
        </is>
      </c>
      <c r="I10" t="n">
        <v>380</v>
      </c>
      <c r="J10" t="inlineStr">
        <is>
          <t>244 / 136</t>
        </is>
      </c>
      <c r="K10" s="7" t="inlineStr">
        <is>
          <t>79%</t>
        </is>
      </c>
    </row>
    <row r="11">
      <c r="A11" s="7" t="inlineStr">
        <is>
          <t>10</t>
        </is>
      </c>
      <c r="B11" t="inlineStr">
        <is>
          <t>Karina Swaminath</t>
        </is>
      </c>
      <c r="C11" t="n">
        <v>2012</v>
      </c>
      <c r="D11" s="7" t="inlineStr">
        <is>
          <t>7284.40</t>
        </is>
      </c>
      <c r="E11" s="7" t="inlineStr">
        <is>
          <t>19</t>
        </is>
      </c>
      <c r="F11" t="inlineStr">
        <is>
          <t>Ontario Tennis Association</t>
        </is>
      </c>
      <c r="G11" t="inlineStr">
        <is>
          <t>Premier Racquet Clubs – Mississauga</t>
        </is>
      </c>
      <c r="H11" s="9" t="inlineStr">
        <is>
          <t>20.9 (▼0.3)</t>
        </is>
      </c>
      <c r="I11" t="n">
        <v>318</v>
      </c>
      <c r="J11" t="inlineStr">
        <is>
          <t>206 / 112</t>
        </is>
      </c>
      <c r="K11" s="7" t="inlineStr">
        <is>
          <t>69%</t>
        </is>
      </c>
    </row>
    <row r="12">
      <c r="A12" s="7" t="inlineStr">
        <is>
          <t>11</t>
        </is>
      </c>
      <c r="B12" t="inlineStr">
        <is>
          <t>Callie Raharinosy</t>
        </is>
      </c>
      <c r="C12" t="n">
        <v>2013</v>
      </c>
      <c r="D12" s="7" t="inlineStr">
        <is>
          <t>7178.29</t>
        </is>
      </c>
      <c r="E12" s="8" t="inlineStr">
        <is>
          <t>15 (+1)</t>
        </is>
      </c>
      <c r="F12" t="inlineStr">
        <is>
          <t>Ontario Tennis Association</t>
        </is>
      </c>
      <c r="G12" t="inlineStr">
        <is>
          <t>Richmondhill Golf &amp; Country Club</t>
        </is>
      </c>
      <c r="H12" s="8" t="inlineStr">
        <is>
          <t>20.5 (▲0.1)</t>
        </is>
      </c>
      <c r="I12" t="n">
        <v>243</v>
      </c>
      <c r="J12" t="inlineStr">
        <is>
          <t>157 / 86</t>
        </is>
      </c>
      <c r="K12" s="7" t="inlineStr">
        <is>
          <t>70%</t>
        </is>
      </c>
    </row>
    <row r="13">
      <c r="A13" s="7" t="inlineStr">
        <is>
          <t>12</t>
        </is>
      </c>
      <c r="B13" t="inlineStr">
        <is>
          <t>Olivia Ma</t>
        </is>
      </c>
      <c r="C13" t="n">
        <v>2013</v>
      </c>
      <c r="D13" s="7" t="inlineStr">
        <is>
          <t>6870.01</t>
        </is>
      </c>
      <c r="E13" s="9" t="inlineStr">
        <is>
          <t>22 (-1)</t>
        </is>
      </c>
      <c r="F13" t="inlineStr">
        <is>
          <t>British Columbia</t>
        </is>
      </c>
      <c r="G13" t="inlineStr">
        <is>
          <t>Kamloops Tennis Centre</t>
        </is>
      </c>
      <c r="H13" s="7" t="inlineStr">
        <is>
          <t>20.4</t>
        </is>
      </c>
      <c r="I13" t="n">
        <v>240</v>
      </c>
      <c r="J13" t="inlineStr">
        <is>
          <t>161 / 79</t>
        </is>
      </c>
      <c r="K13" s="7" t="inlineStr">
        <is>
          <t>70%</t>
        </is>
      </c>
    </row>
    <row r="14">
      <c r="A14" s="7" t="inlineStr">
        <is>
          <t>13</t>
        </is>
      </c>
      <c r="B14" t="inlineStr">
        <is>
          <t>Elise Chen</t>
        </is>
      </c>
      <c r="C14" t="n">
        <v>2012</v>
      </c>
      <c r="D14" s="7" t="inlineStr">
        <is>
          <t>6210.15</t>
        </is>
      </c>
      <c r="E14" s="7" t="inlineStr">
        <is>
          <t>18</t>
        </is>
      </c>
      <c r="F14" t="inlineStr">
        <is>
          <t>Tennis Québec</t>
        </is>
      </c>
      <c r="G14" t="inlineStr">
        <is>
          <t>AA Autre club</t>
        </is>
      </c>
      <c r="H14" s="7" t="inlineStr">
        <is>
          <t>21.5</t>
        </is>
      </c>
      <c r="I14" t="n">
        <v>345</v>
      </c>
      <c r="J14" t="inlineStr">
        <is>
          <t>227 / 118</t>
        </is>
      </c>
      <c r="K14" s="7" t="inlineStr">
        <is>
          <t>74%</t>
        </is>
      </c>
    </row>
    <row r="15">
      <c r="A15" s="7" t="inlineStr">
        <is>
          <t>14</t>
        </is>
      </c>
      <c r="B15" t="inlineStr">
        <is>
          <t>Paris Radovic</t>
        </is>
      </c>
      <c r="C15" t="n">
        <v>2013</v>
      </c>
      <c r="D15" s="7" t="inlineStr">
        <is>
          <t>6019.13</t>
        </is>
      </c>
      <c r="E15" s="8" t="inlineStr">
        <is>
          <t>15 (+1)</t>
        </is>
      </c>
      <c r="F15" t="inlineStr">
        <is>
          <t>Ontario Tennis Association</t>
        </is>
      </c>
      <c r="G15" t="inlineStr">
        <is>
          <t>Advantage Tennis International at Veneto</t>
        </is>
      </c>
      <c r="H15" s="8" t="inlineStr">
        <is>
          <t>20.1 (▲0.1)</t>
        </is>
      </c>
      <c r="I15" t="n">
        <v>290</v>
      </c>
      <c r="J15" t="inlineStr">
        <is>
          <t>188 / 102</t>
        </is>
      </c>
      <c r="K15" s="7" t="inlineStr">
        <is>
          <t>73%</t>
        </is>
      </c>
    </row>
    <row r="16">
      <c r="A16" s="7" t="inlineStr">
        <is>
          <t>15</t>
        </is>
      </c>
      <c r="B16" t="inlineStr">
        <is>
          <t>Urvi Singh</t>
        </is>
      </c>
      <c r="C16" t="n">
        <v>2013</v>
      </c>
      <c r="D16" s="7" t="inlineStr">
        <is>
          <t>5954.96</t>
        </is>
      </c>
      <c r="E16" s="8" t="inlineStr">
        <is>
          <t>17 (+1)</t>
        </is>
      </c>
      <c r="F16" t="inlineStr">
        <is>
          <t>Ontario Tennis Association</t>
        </is>
      </c>
      <c r="G16" t="inlineStr">
        <is>
          <t>Guildwood Tennis Club</t>
        </is>
      </c>
      <c r="H16" s="9" t="inlineStr">
        <is>
          <t>19.3 (▼0.1)</t>
        </is>
      </c>
      <c r="I16" t="n">
        <v>265</v>
      </c>
      <c r="J16" t="inlineStr">
        <is>
          <t>167 / 98</t>
        </is>
      </c>
      <c r="K16" s="7" t="inlineStr">
        <is>
          <t>71%</t>
        </is>
      </c>
    </row>
    <row r="17">
      <c r="A17" s="7" t="inlineStr">
        <is>
          <t>16</t>
        </is>
      </c>
      <c r="B17" t="inlineStr">
        <is>
          <t>Angelica Panzieri</t>
        </is>
      </c>
      <c r="C17" t="n">
        <v>2012</v>
      </c>
      <c r="D17" s="7" t="inlineStr">
        <is>
          <t>5079.44</t>
        </is>
      </c>
      <c r="E17" s="7" t="inlineStr">
        <is>
          <t>24</t>
        </is>
      </c>
      <c r="F17" t="inlineStr">
        <is>
          <t>British Columbia</t>
        </is>
      </c>
      <c r="G17" t="inlineStr">
        <is>
          <t>North Vancouver Tennis Centre</t>
        </is>
      </c>
      <c r="H17" s="9" t="inlineStr">
        <is>
          <t>21.5 (▼0.7)</t>
        </is>
      </c>
      <c r="I17" t="n">
        <v>354</v>
      </c>
      <c r="J17" t="inlineStr">
        <is>
          <t>203 / 151</t>
        </is>
      </c>
      <c r="K17" s="7" t="inlineStr">
        <is>
          <t>66%</t>
        </is>
      </c>
    </row>
    <row r="18">
      <c r="A18" s="7" t="inlineStr">
        <is>
          <t>17</t>
        </is>
      </c>
      <c r="B18" t="inlineStr">
        <is>
          <t>Amelia Mishelle Simutin</t>
        </is>
      </c>
      <c r="C18" t="n">
        <v>2012</v>
      </c>
      <c r="D18" s="7" t="inlineStr">
        <is>
          <t>4877.64</t>
        </is>
      </c>
      <c r="E18" s="7" t="inlineStr">
        <is>
          <t>22</t>
        </is>
      </c>
      <c r="F18" t="inlineStr">
        <is>
          <t>Ontario Tennis Association</t>
        </is>
      </c>
      <c r="G18" t="inlineStr">
        <is>
          <t>North Toronto Tennis Club</t>
        </is>
      </c>
      <c r="H18" s="7" t="inlineStr">
        <is>
          <t>20.0</t>
        </is>
      </c>
      <c r="I18" t="n">
        <v>306</v>
      </c>
      <c r="J18" t="inlineStr">
        <is>
          <t>209 / 97</t>
        </is>
      </c>
      <c r="K18" s="7" t="inlineStr">
        <is>
          <t>63%</t>
        </is>
      </c>
    </row>
    <row r="19">
      <c r="A19" s="7" t="inlineStr">
        <is>
          <t>18</t>
        </is>
      </c>
      <c r="B19" t="inlineStr">
        <is>
          <t>Zoe Mao</t>
        </is>
      </c>
      <c r="C19" t="n">
        <v>2014</v>
      </c>
      <c r="D19" s="7" t="inlineStr">
        <is>
          <t>4747.12</t>
        </is>
      </c>
      <c r="E19" s="9" t="inlineStr">
        <is>
          <t>22 (-1)</t>
        </is>
      </c>
      <c r="F19" t="inlineStr">
        <is>
          <t>Tennis Alberta</t>
        </is>
      </c>
      <c r="G19" t="inlineStr">
        <is>
          <t>No Club</t>
        </is>
      </c>
      <c r="H19" s="7" t="inlineStr">
        <is>
          <t>23.3</t>
        </is>
      </c>
      <c r="I19" t="n">
        <v>217</v>
      </c>
      <c r="J19" t="inlineStr">
        <is>
          <t>150 / 67</t>
        </is>
      </c>
      <c r="K19" s="7" t="inlineStr">
        <is>
          <t>84%</t>
        </is>
      </c>
    </row>
    <row r="20">
      <c r="A20" s="7" t="inlineStr">
        <is>
          <t>19</t>
        </is>
      </c>
      <c r="B20" t="inlineStr">
        <is>
          <t>Charlotte MacDonald</t>
        </is>
      </c>
      <c r="C20" t="n">
        <v>2013</v>
      </c>
      <c r="D20" s="7" t="inlineStr">
        <is>
          <t>4700.49</t>
        </is>
      </c>
      <c r="E20" s="7" t="inlineStr">
        <is>
          <t>18</t>
        </is>
      </c>
      <c r="F20" t="inlineStr">
        <is>
          <t>Ontario Tennis Association</t>
        </is>
      </c>
      <c r="G20" t="inlineStr">
        <is>
          <t>10XTO</t>
        </is>
      </c>
      <c r="H20" s="7" t="inlineStr">
        <is>
          <t>20.9</t>
        </is>
      </c>
      <c r="I20" t="n">
        <v>343</v>
      </c>
      <c r="J20" t="inlineStr">
        <is>
          <t>237 / 106</t>
        </is>
      </c>
      <c r="K20" s="7" t="inlineStr">
        <is>
          <t>67%</t>
        </is>
      </c>
    </row>
    <row r="21">
      <c r="A21" s="7" t="inlineStr">
        <is>
          <t>20</t>
        </is>
      </c>
      <c r="B21" t="inlineStr">
        <is>
          <t>Clara Vicol</t>
        </is>
      </c>
      <c r="C21" t="n">
        <v>2012</v>
      </c>
      <c r="D21" s="7" t="inlineStr">
        <is>
          <t>4462.04</t>
        </is>
      </c>
      <c r="E21" s="8" t="inlineStr">
        <is>
          <t>14 (+1)</t>
        </is>
      </c>
      <c r="F21" t="inlineStr">
        <is>
          <t>British Columbia</t>
        </is>
      </c>
      <c r="G21" t="inlineStr">
        <is>
          <t>Jericho Tennis Club</t>
        </is>
      </c>
      <c r="H21" s="7" t="inlineStr">
        <is>
          <t>21.2</t>
        </is>
      </c>
      <c r="I21" t="n">
        <v>406</v>
      </c>
      <c r="J21" t="inlineStr">
        <is>
          <t>251 / 155</t>
        </is>
      </c>
      <c r="K21" s="7" t="inlineStr">
        <is>
          <t>73%</t>
        </is>
      </c>
    </row>
    <row r="22">
      <c r="A22" s="8" t="inlineStr">
        <is>
          <t>21 (▲1)</t>
        </is>
      </c>
      <c r="B22" t="inlineStr">
        <is>
          <t>Olivia Laberge</t>
        </is>
      </c>
      <c r="C22" t="n">
        <v>2012</v>
      </c>
      <c r="D22" s="8" t="inlineStr">
        <is>
          <t>4352.63 (▲247.90)</t>
        </is>
      </c>
      <c r="E22" s="8" t="inlineStr">
        <is>
          <t>23 (+2)</t>
        </is>
      </c>
      <c r="F22" t="inlineStr">
        <is>
          <t>Tennis Québec</t>
        </is>
      </c>
      <c r="G22" t="inlineStr">
        <is>
          <t>Tennis 13</t>
        </is>
      </c>
      <c r="H22" s="7" t="inlineStr">
        <is>
          <t>22.3</t>
        </is>
      </c>
      <c r="I22" t="n">
        <v>315</v>
      </c>
      <c r="J22" t="inlineStr">
        <is>
          <t>198 / 117</t>
        </is>
      </c>
      <c r="K22" s="7" t="inlineStr">
        <is>
          <t>70%</t>
        </is>
      </c>
    </row>
    <row r="23">
      <c r="A23" s="9" t="inlineStr">
        <is>
          <t>22 (▼1)</t>
        </is>
      </c>
      <c r="B23" t="inlineStr">
        <is>
          <t>Bishop Yonna Grossutti</t>
        </is>
      </c>
      <c r="C23" t="n">
        <v>2013</v>
      </c>
      <c r="D23" s="7" t="inlineStr">
        <is>
          <t>4342.59</t>
        </is>
      </c>
      <c r="E23" s="7" t="inlineStr">
        <is>
          <t>15</t>
        </is>
      </c>
      <c r="F23" t="inlineStr">
        <is>
          <t>British Columbia</t>
        </is>
      </c>
      <c r="G23" t="inlineStr">
        <is>
          <t>No Club</t>
        </is>
      </c>
      <c r="H23" s="7" t="inlineStr">
        <is>
          <t>21.8</t>
        </is>
      </c>
      <c r="I23" t="n">
        <v>221</v>
      </c>
      <c r="J23" t="inlineStr">
        <is>
          <t>149 / 72</t>
        </is>
      </c>
      <c r="K23" s="7" t="inlineStr">
        <is>
          <t>74%</t>
        </is>
      </c>
    </row>
    <row r="24">
      <c r="A24" s="8" t="inlineStr">
        <is>
          <t>23 (▲1)</t>
        </is>
      </c>
      <c r="B24" t="inlineStr">
        <is>
          <t>Victoria Cui</t>
        </is>
      </c>
      <c r="C24" t="n">
        <v>2012</v>
      </c>
      <c r="D24" s="8" t="inlineStr">
        <is>
          <t>4096.60 (▲138.60)</t>
        </is>
      </c>
      <c r="E24" s="8" t="inlineStr">
        <is>
          <t>23 (+1)</t>
        </is>
      </c>
      <c r="F24" t="inlineStr">
        <is>
          <t>Ontario Tennis Association</t>
        </is>
      </c>
      <c r="G24" t="inlineStr">
        <is>
          <t>Mayfair East Racquet Club</t>
        </is>
      </c>
      <c r="H24" s="8" t="inlineStr">
        <is>
          <t>23.3 (▲0.3)</t>
        </is>
      </c>
      <c r="I24" t="n">
        <v>267</v>
      </c>
      <c r="J24" t="inlineStr">
        <is>
          <t>173 / 94</t>
        </is>
      </c>
      <c r="K24" s="8" t="inlineStr">
        <is>
          <t>68% (▲1%)</t>
        </is>
      </c>
    </row>
    <row r="25">
      <c r="A25" s="9" t="inlineStr">
        <is>
          <t>24 (▼1)</t>
        </is>
      </c>
      <c r="B25" t="inlineStr">
        <is>
          <t>Tabitha Olivia Morisette</t>
        </is>
      </c>
      <c r="C25" t="n">
        <v>2012</v>
      </c>
      <c r="D25" s="7" t="inlineStr">
        <is>
          <t>3960.81</t>
        </is>
      </c>
      <c r="E25" s="8" t="inlineStr">
        <is>
          <t>14 (+1)</t>
        </is>
      </c>
      <c r="F25" t="inlineStr">
        <is>
          <t>British Columbia</t>
        </is>
      </c>
      <c r="G25" t="inlineStr">
        <is>
          <t>Burnaby Tennis Club</t>
        </is>
      </c>
      <c r="H25" s="9" t="inlineStr">
        <is>
          <t>22.3 (▼0.1)</t>
        </is>
      </c>
      <c r="I25" t="n">
        <v>303</v>
      </c>
      <c r="J25" t="inlineStr">
        <is>
          <t>177 / 126</t>
        </is>
      </c>
      <c r="K25" s="7" t="inlineStr">
        <is>
          <t>61%</t>
        </is>
      </c>
    </row>
    <row r="26">
      <c r="A26" s="7" t="inlineStr">
        <is>
          <t>25</t>
        </is>
      </c>
      <c r="B26" t="inlineStr">
        <is>
          <t>mackenzie zeidel</t>
        </is>
      </c>
      <c r="C26" t="n">
        <v>2012</v>
      </c>
      <c r="D26" s="7" t="inlineStr">
        <is>
          <t>3810.45</t>
        </is>
      </c>
      <c r="E26" s="7" t="inlineStr">
        <is>
          <t>10</t>
        </is>
      </c>
      <c r="F26" t="inlineStr">
        <is>
          <t>Ontario Tennis Association</t>
        </is>
      </c>
      <c r="G26" t="inlineStr">
        <is>
          <t>Toronto Cricket Skating &amp; Curling</t>
        </is>
      </c>
      <c r="H26" s="8" t="inlineStr">
        <is>
          <t>20.9 (▲0.3)</t>
        </is>
      </c>
      <c r="I26" t="n">
        <v>258</v>
      </c>
      <c r="J26" t="inlineStr">
        <is>
          <t>172 / 86</t>
        </is>
      </c>
      <c r="K26" s="7" t="inlineStr">
        <is>
          <t>66%</t>
        </is>
      </c>
    </row>
    <row r="27">
      <c r="A27" s="7" t="inlineStr">
        <is>
          <t>26</t>
        </is>
      </c>
      <c r="B27" t="inlineStr">
        <is>
          <t>Nadine Belmabrouk</t>
        </is>
      </c>
      <c r="C27" t="n">
        <v>2013</v>
      </c>
      <c r="D27" s="7" t="inlineStr">
        <is>
          <t>3620.09</t>
        </is>
      </c>
      <c r="E27" s="7" t="inlineStr">
        <is>
          <t>15</t>
        </is>
      </c>
      <c r="F27" t="inlineStr">
        <is>
          <t>Tennis Québec</t>
        </is>
      </c>
      <c r="G27" t="inlineStr">
        <is>
          <t>Tennis Ile- des- Soeurs</t>
        </is>
      </c>
      <c r="H27" s="7" t="inlineStr">
        <is>
          <t>22.3</t>
        </is>
      </c>
      <c r="I27" t="n">
        <v>274</v>
      </c>
      <c r="J27" t="inlineStr">
        <is>
          <t>186 / 88</t>
        </is>
      </c>
      <c r="K27" s="7" t="inlineStr">
        <is>
          <t>74%</t>
        </is>
      </c>
    </row>
    <row r="28">
      <c r="A28" s="7" t="inlineStr">
        <is>
          <t>27</t>
        </is>
      </c>
      <c r="B28" t="inlineStr">
        <is>
          <t>Yoyo Siyi Li</t>
        </is>
      </c>
      <c r="C28" t="n">
        <v>2014</v>
      </c>
      <c r="D28" s="7" t="inlineStr">
        <is>
          <t>3589.52</t>
        </is>
      </c>
      <c r="E28" s="7" t="inlineStr">
        <is>
          <t>12</t>
        </is>
      </c>
      <c r="F28" t="inlineStr">
        <is>
          <t>Tennis Saskatchewan</t>
        </is>
      </c>
      <c r="G28" t="inlineStr">
        <is>
          <t>Lakeshore Tennis Club</t>
        </is>
      </c>
      <c r="H28" s="7" t="inlineStr">
        <is>
          <t>unavailable</t>
        </is>
      </c>
      <c r="I28" t="n">
        <v>250</v>
      </c>
      <c r="J28" t="inlineStr">
        <is>
          <t>175 / 75</t>
        </is>
      </c>
      <c r="K28" s="7" t="inlineStr">
        <is>
          <t>83%</t>
        </is>
      </c>
    </row>
    <row r="29">
      <c r="A29" s="7" t="inlineStr">
        <is>
          <t>28</t>
        </is>
      </c>
      <c r="B29" t="inlineStr">
        <is>
          <t>Hailey MacDonald</t>
        </is>
      </c>
      <c r="C29" t="n">
        <v>2012</v>
      </c>
      <c r="D29" s="7" t="inlineStr">
        <is>
          <t>3466.48</t>
        </is>
      </c>
      <c r="E29" s="8" t="inlineStr">
        <is>
          <t>15 (+1)</t>
        </is>
      </c>
      <c r="F29" t="inlineStr">
        <is>
          <t>Ontario Tennis Association</t>
        </is>
      </c>
      <c r="G29" t="inlineStr">
        <is>
          <t>Advantage Tennis International at Veneto</t>
        </is>
      </c>
      <c r="H29" s="8" t="inlineStr">
        <is>
          <t>23.5 (▲0.3)</t>
        </is>
      </c>
      <c r="I29" t="n">
        <v>331</v>
      </c>
      <c r="J29" t="inlineStr">
        <is>
          <t>227 / 104</t>
        </is>
      </c>
      <c r="K29" s="7" t="inlineStr">
        <is>
          <t>72%</t>
        </is>
      </c>
    </row>
    <row r="30">
      <c r="A30" s="7" t="inlineStr">
        <is>
          <t>29</t>
        </is>
      </c>
      <c r="B30" t="inlineStr">
        <is>
          <t>Vera Wing</t>
        </is>
      </c>
      <c r="C30" t="n">
        <v>2013</v>
      </c>
      <c r="D30" s="7" t="inlineStr">
        <is>
          <t>3359.94</t>
        </is>
      </c>
      <c r="E30" s="7" t="inlineStr">
        <is>
          <t>22</t>
        </is>
      </c>
      <c r="F30" t="inlineStr">
        <is>
          <t>Tennis Alberta</t>
        </is>
      </c>
      <c r="G30" t="inlineStr">
        <is>
          <t>Aforza</t>
        </is>
      </c>
      <c r="H30" s="7" t="inlineStr">
        <is>
          <t>21.8</t>
        </is>
      </c>
      <c r="I30" t="n">
        <v>347</v>
      </c>
      <c r="J30" t="inlineStr">
        <is>
          <t>219 / 128</t>
        </is>
      </c>
      <c r="K30" s="7" t="inlineStr">
        <is>
          <t>66%</t>
        </is>
      </c>
    </row>
    <row r="31">
      <c r="A31" s="7" t="inlineStr">
        <is>
          <t>30</t>
        </is>
      </c>
      <c r="B31" t="inlineStr">
        <is>
          <t>Ariel Desbiens</t>
        </is>
      </c>
      <c r="C31" t="n">
        <v>2012</v>
      </c>
      <c r="D31" s="7" t="inlineStr">
        <is>
          <t>3288.00</t>
        </is>
      </c>
      <c r="E31" s="9" t="inlineStr">
        <is>
          <t>27 (-1)</t>
        </is>
      </c>
      <c r="F31" t="inlineStr">
        <is>
          <t>Tennis Québec</t>
        </is>
      </c>
      <c r="G31" t="inlineStr">
        <is>
          <t>SANI Sport</t>
        </is>
      </c>
      <c r="H31" s="7" t="inlineStr">
        <is>
          <t>24.4</t>
        </is>
      </c>
      <c r="I31" t="n">
        <v>389</v>
      </c>
      <c r="J31" t="inlineStr">
        <is>
          <t>240 / 149</t>
        </is>
      </c>
      <c r="K31" s="7" t="inlineStr">
        <is>
          <t>62%</t>
        </is>
      </c>
    </row>
    <row r="32">
      <c r="A32" s="7" t="inlineStr">
        <is>
          <t>31</t>
        </is>
      </c>
      <c r="B32" t="inlineStr">
        <is>
          <t>Valesca Calabrese</t>
        </is>
      </c>
      <c r="C32" t="n">
        <v>2013</v>
      </c>
      <c r="D32" s="7" t="inlineStr">
        <is>
          <t>3053.02</t>
        </is>
      </c>
      <c r="E32" s="9" t="inlineStr">
        <is>
          <t>21 (-1)</t>
        </is>
      </c>
      <c r="F32" t="inlineStr">
        <is>
          <t>Ontario Tennis Association</t>
        </is>
      </c>
      <c r="G32" t="inlineStr">
        <is>
          <t>Kingston Racquet Centre</t>
        </is>
      </c>
      <c r="H32" s="7" t="inlineStr">
        <is>
          <t>24.0</t>
        </is>
      </c>
      <c r="I32" t="n">
        <v>272</v>
      </c>
      <c r="J32" t="inlineStr">
        <is>
          <t>182 / 90</t>
        </is>
      </c>
      <c r="K32" s="7" t="inlineStr">
        <is>
          <t>70%</t>
        </is>
      </c>
    </row>
    <row r="33">
      <c r="A33" s="8" t="inlineStr">
        <is>
          <t>32 (▲1)</t>
        </is>
      </c>
      <c r="B33" t="inlineStr">
        <is>
          <t>Misaki Rukovanjski</t>
        </is>
      </c>
      <c r="C33" t="n">
        <v>2012</v>
      </c>
      <c r="D33" s="7" t="inlineStr">
        <is>
          <t>2886.12</t>
        </is>
      </c>
      <c r="E33" s="7" t="inlineStr">
        <is>
          <t>22</t>
        </is>
      </c>
      <c r="F33" t="inlineStr">
        <is>
          <t>Ontario Tennis Association</t>
        </is>
      </c>
      <c r="G33" t="inlineStr">
        <is>
          <t>No Club</t>
        </is>
      </c>
      <c r="H33" s="8" t="inlineStr">
        <is>
          <t>23.3 (▲0.5)</t>
        </is>
      </c>
      <c r="I33" t="n">
        <v>288</v>
      </c>
      <c r="J33" t="inlineStr">
        <is>
          <t>184 / 104</t>
        </is>
      </c>
      <c r="K33" s="8" t="inlineStr">
        <is>
          <t>62% (▲1%)</t>
        </is>
      </c>
    </row>
    <row r="34">
      <c r="A34" s="8" t="inlineStr">
        <is>
          <t>33 (▲1)</t>
        </is>
      </c>
      <c r="B34" t="inlineStr">
        <is>
          <t>Sophie Rachel Murray</t>
        </is>
      </c>
      <c r="C34" t="n">
        <v>2012</v>
      </c>
      <c r="D34" s="7" t="inlineStr">
        <is>
          <t>2878.56</t>
        </is>
      </c>
      <c r="E34" s="7" t="inlineStr">
        <is>
          <t>17</t>
        </is>
      </c>
      <c r="F34" t="inlineStr">
        <is>
          <t>Tennis Alberta</t>
        </is>
      </c>
      <c r="G34" t="inlineStr">
        <is>
          <t>Osten &amp; Victor Alberta Tennis Centre</t>
        </is>
      </c>
      <c r="H34" s="7" t="inlineStr">
        <is>
          <t>21.0</t>
        </is>
      </c>
      <c r="I34" t="n">
        <v>322</v>
      </c>
      <c r="J34" t="inlineStr">
        <is>
          <t>194 / 128</t>
        </is>
      </c>
      <c r="K34" s="7" t="inlineStr">
        <is>
          <t>77%</t>
        </is>
      </c>
    </row>
    <row r="35">
      <c r="A35" s="8" t="inlineStr">
        <is>
          <t>34 (▲1)</t>
        </is>
      </c>
      <c r="B35" t="inlineStr">
        <is>
          <t>Mia Zhou</t>
        </is>
      </c>
      <c r="C35" t="n">
        <v>2013</v>
      </c>
      <c r="D35" s="7" t="inlineStr">
        <is>
          <t>2807.22</t>
        </is>
      </c>
      <c r="E35" s="7" t="inlineStr">
        <is>
          <t>24</t>
        </is>
      </c>
      <c r="F35" t="inlineStr">
        <is>
          <t>Ontario Tennis Association</t>
        </is>
      </c>
      <c r="G35" t="inlineStr">
        <is>
          <t>Richmondhill Golf &amp; Country Club</t>
        </is>
      </c>
      <c r="H35" s="7" t="inlineStr">
        <is>
          <t>23.5</t>
        </is>
      </c>
      <c r="I35" t="n">
        <v>264</v>
      </c>
      <c r="J35" t="inlineStr">
        <is>
          <t>147 / 117</t>
        </is>
      </c>
      <c r="K35" s="7" t="inlineStr">
        <is>
          <t>61%</t>
        </is>
      </c>
    </row>
    <row r="36">
      <c r="A36" s="9" t="inlineStr">
        <is>
          <t>35 (▼3)</t>
        </is>
      </c>
      <c r="B36" t="inlineStr">
        <is>
          <t>Joni Faye Colburne</t>
        </is>
      </c>
      <c r="C36" t="n">
        <v>2012</v>
      </c>
      <c r="D36" s="9" t="inlineStr">
        <is>
          <t>2764.97 (▼124.73)</t>
        </is>
      </c>
      <c r="E36" s="9" t="inlineStr">
        <is>
          <t>8 (-1)</t>
        </is>
      </c>
      <c r="F36" t="inlineStr">
        <is>
          <t>Tennis Québec</t>
        </is>
      </c>
      <c r="G36" t="inlineStr">
        <is>
          <t>Stade IGA</t>
        </is>
      </c>
      <c r="H36" s="7" t="inlineStr">
        <is>
          <t>19.7</t>
        </is>
      </c>
      <c r="I36" t="n">
        <v>320</v>
      </c>
      <c r="J36" t="inlineStr">
        <is>
          <t>198 / 122</t>
        </is>
      </c>
      <c r="K36" s="7" t="inlineStr">
        <is>
          <t>80%</t>
        </is>
      </c>
    </row>
    <row r="37">
      <c r="A37" s="7" t="inlineStr">
        <is>
          <t>36</t>
        </is>
      </c>
      <c r="B37" t="inlineStr">
        <is>
          <t>Allyson Experience</t>
        </is>
      </c>
      <c r="C37" t="n">
        <v>2012</v>
      </c>
      <c r="D37" s="7" t="inlineStr">
        <is>
          <t>2513.28</t>
        </is>
      </c>
      <c r="E37" s="7" t="inlineStr">
        <is>
          <t>23</t>
        </is>
      </c>
      <c r="F37" t="inlineStr">
        <is>
          <t>Tennis Québec</t>
        </is>
      </c>
      <c r="G37" t="inlineStr">
        <is>
          <t>Tennis Montréal Excellence</t>
        </is>
      </c>
      <c r="H37" s="7" t="inlineStr">
        <is>
          <t>24.2</t>
        </is>
      </c>
      <c r="I37" t="n">
        <v>268</v>
      </c>
      <c r="J37" t="inlineStr">
        <is>
          <t>126 / 142</t>
        </is>
      </c>
      <c r="K37" s="7" t="inlineStr">
        <is>
          <t>52%</t>
        </is>
      </c>
    </row>
    <row r="38">
      <c r="A38" s="7" t="inlineStr">
        <is>
          <t>37</t>
        </is>
      </c>
      <c r="B38" t="inlineStr">
        <is>
          <t>xiayue(Cecelia) Bi</t>
        </is>
      </c>
      <c r="C38" t="n">
        <v>2013</v>
      </c>
      <c r="D38" s="7" t="inlineStr">
        <is>
          <t>2498.40</t>
        </is>
      </c>
      <c r="E38" s="7" t="inlineStr">
        <is>
          <t>14</t>
        </is>
      </c>
      <c r="F38" t="inlineStr">
        <is>
          <t>British Columbia</t>
        </is>
      </c>
      <c r="G38" t="inlineStr">
        <is>
          <t>North Vancouver Tennis Centre</t>
        </is>
      </c>
      <c r="H38" s="7" t="inlineStr">
        <is>
          <t>22.8</t>
        </is>
      </c>
      <c r="I38" t="n">
        <v>248</v>
      </c>
      <c r="J38" t="inlineStr">
        <is>
          <t>158 / 90</t>
        </is>
      </c>
      <c r="K38" s="7" t="inlineStr">
        <is>
          <t>46%</t>
        </is>
      </c>
    </row>
    <row r="39">
      <c r="A39" s="7" t="inlineStr">
        <is>
          <t>38</t>
        </is>
      </c>
      <c r="B39" t="inlineStr">
        <is>
          <t>Hannah Yiwei Wang</t>
        </is>
      </c>
      <c r="C39" t="n">
        <v>2012</v>
      </c>
      <c r="D39" s="7" t="inlineStr">
        <is>
          <t>2456.86</t>
        </is>
      </c>
      <c r="E39" s="8" t="inlineStr">
        <is>
          <t>17 (+1)</t>
        </is>
      </c>
      <c r="F39" t="inlineStr">
        <is>
          <t>Ontario Tennis Association</t>
        </is>
      </c>
      <c r="G39" t="inlineStr">
        <is>
          <t>Richmondhill Golf &amp; Country Club</t>
        </is>
      </c>
      <c r="H39" s="9" t="inlineStr">
        <is>
          <t>24.7 (▼0.2)</t>
        </is>
      </c>
      <c r="I39" t="n">
        <v>181</v>
      </c>
      <c r="J39" t="inlineStr">
        <is>
          <t>96 / 85</t>
        </is>
      </c>
      <c r="K39" s="7" t="inlineStr">
        <is>
          <t>57%</t>
        </is>
      </c>
    </row>
    <row r="40">
      <c r="A40" s="7" t="inlineStr">
        <is>
          <t>39</t>
        </is>
      </c>
      <c r="B40" t="inlineStr">
        <is>
          <t>Janelle Mao</t>
        </is>
      </c>
      <c r="C40" t="n">
        <v>2013</v>
      </c>
      <c r="D40" s="7" t="inlineStr">
        <is>
          <t>2442.36</t>
        </is>
      </c>
      <c r="E40" s="7" t="inlineStr">
        <is>
          <t>15</t>
        </is>
      </c>
      <c r="F40" t="inlineStr">
        <is>
          <t>Ontario Tennis Association</t>
        </is>
      </c>
      <c r="G40" t="inlineStr">
        <is>
          <t>London Hunt &amp; Country Club</t>
        </is>
      </c>
      <c r="H40" s="7" t="inlineStr">
        <is>
          <t>24.4</t>
        </is>
      </c>
      <c r="I40" t="n">
        <v>213</v>
      </c>
      <c r="J40" t="inlineStr">
        <is>
          <t>125 / 88</t>
        </is>
      </c>
      <c r="K40" s="7" t="inlineStr">
        <is>
          <t>50%</t>
        </is>
      </c>
    </row>
    <row r="41">
      <c r="A41" s="7" t="inlineStr">
        <is>
          <t>40</t>
        </is>
      </c>
      <c r="B41" t="inlineStr">
        <is>
          <t>Daisy Okechukwu</t>
        </is>
      </c>
      <c r="C41" t="n">
        <v>2012</v>
      </c>
      <c r="D41" s="7" t="inlineStr">
        <is>
          <t>2400.00</t>
        </is>
      </c>
      <c r="E41" s="7" t="inlineStr">
        <is>
          <t>10</t>
        </is>
      </c>
      <c r="F41" t="inlineStr">
        <is>
          <t>Ontario Tennis Association</t>
        </is>
      </c>
      <c r="G41" t="inlineStr">
        <is>
          <t>Carleton Tennis Centre</t>
        </is>
      </c>
      <c r="H41" s="7" t="inlineStr">
        <is>
          <t>26.8</t>
        </is>
      </c>
      <c r="I41" t="n">
        <v>129</v>
      </c>
      <c r="J41" t="inlineStr">
        <is>
          <t>36 / 93</t>
        </is>
      </c>
      <c r="K41" s="7" t="inlineStr">
        <is>
          <t>0%</t>
        </is>
      </c>
    </row>
    <row r="42">
      <c r="A42" s="7" t="inlineStr">
        <is>
          <t>41</t>
        </is>
      </c>
      <c r="B42" t="inlineStr">
        <is>
          <t>scarlett Ai</t>
        </is>
      </c>
      <c r="C42" t="n">
        <v>2012</v>
      </c>
      <c r="D42" s="7" t="inlineStr">
        <is>
          <t>2328.05</t>
        </is>
      </c>
      <c r="E42" s="7" t="inlineStr">
        <is>
          <t>15</t>
        </is>
      </c>
      <c r="F42" t="inlineStr">
        <is>
          <t>Ontario Tennis Association</t>
        </is>
      </c>
      <c r="G42" t="inlineStr">
        <is>
          <t>Toronto Tennis Academy</t>
        </is>
      </c>
      <c r="H42" s="7" t="inlineStr">
        <is>
          <t>25.1</t>
        </is>
      </c>
      <c r="I42" t="n">
        <v>222</v>
      </c>
      <c r="J42" t="inlineStr">
        <is>
          <t>120 / 102</t>
        </is>
      </c>
      <c r="K42" s="7" t="inlineStr">
        <is>
          <t>56%</t>
        </is>
      </c>
    </row>
    <row r="43">
      <c r="A43" s="7" t="inlineStr">
        <is>
          <t>42</t>
        </is>
      </c>
      <c r="B43" t="inlineStr">
        <is>
          <t>Wilma Wai Bo Yue</t>
        </is>
      </c>
      <c r="C43" t="n">
        <v>2014</v>
      </c>
      <c r="D43" s="7" t="inlineStr">
        <is>
          <t>2309.91</t>
        </is>
      </c>
      <c r="E43" s="7" t="inlineStr">
        <is>
          <t>13</t>
        </is>
      </c>
      <c r="F43" t="inlineStr">
        <is>
          <t>Ontario Tennis Association</t>
        </is>
      </c>
      <c r="G43" t="inlineStr">
        <is>
          <t>No Club</t>
        </is>
      </c>
      <c r="H43" s="7" t="inlineStr">
        <is>
          <t>24.8</t>
        </is>
      </c>
      <c r="I43" t="n">
        <v>212</v>
      </c>
      <c r="J43" t="inlineStr">
        <is>
          <t>153 / 59</t>
        </is>
      </c>
      <c r="K43" s="7" t="inlineStr">
        <is>
          <t>75%</t>
        </is>
      </c>
    </row>
    <row r="44">
      <c r="A44" s="7" t="inlineStr">
        <is>
          <t>43</t>
        </is>
      </c>
      <c r="B44" t="inlineStr">
        <is>
          <t>Xinyi Kwan</t>
        </is>
      </c>
      <c r="C44" t="n">
        <v>2012</v>
      </c>
      <c r="D44" s="7" t="inlineStr">
        <is>
          <t>2308.90</t>
        </is>
      </c>
      <c r="E44" s="9" t="inlineStr">
        <is>
          <t>17 (-2)</t>
        </is>
      </c>
      <c r="F44" t="inlineStr">
        <is>
          <t>Ontario Tennis Association</t>
        </is>
      </c>
      <c r="G44" t="inlineStr">
        <is>
          <t>Burlington Hall Sporting Club</t>
        </is>
      </c>
      <c r="H44" s="7" t="inlineStr">
        <is>
          <t>21.9</t>
        </is>
      </c>
      <c r="I44" t="n">
        <v>219</v>
      </c>
      <c r="J44" t="inlineStr">
        <is>
          <t>108 / 111</t>
        </is>
      </c>
      <c r="K44" s="7" t="inlineStr">
        <is>
          <t>57%</t>
        </is>
      </c>
    </row>
    <row r="45">
      <c r="A45" s="8" t="inlineStr">
        <is>
          <t>44 (▲271)</t>
        </is>
      </c>
      <c r="B45" t="inlineStr">
        <is>
          <t>Saroop Randhawa</t>
        </is>
      </c>
      <c r="C45" t="n">
        <v>2012</v>
      </c>
      <c r="D45" s="8" t="inlineStr">
        <is>
          <t>2228.00 (▲2000.00)</t>
        </is>
      </c>
      <c r="E45" s="8" t="inlineStr">
        <is>
          <t>4 (+2)</t>
        </is>
      </c>
      <c r="F45" t="inlineStr">
        <is>
          <t>Ontario Tennis Association</t>
        </is>
      </c>
      <c r="G45" t="inlineStr">
        <is>
          <t>Advantage Tennis International at Veneto</t>
        </is>
      </c>
      <c r="H45" s="8" t="inlineStr">
        <is>
          <t>19.2 (▲3.2)</t>
        </is>
      </c>
      <c r="I45" t="n">
        <v>155</v>
      </c>
      <c r="J45" t="inlineStr">
        <is>
          <t>115 / 40</t>
        </is>
      </c>
      <c r="K45" s="7" t="inlineStr">
        <is>
          <t>100%</t>
        </is>
      </c>
    </row>
    <row r="46">
      <c r="A46" s="9" t="inlineStr">
        <is>
          <t>45 (▼1)</t>
        </is>
      </c>
      <c r="B46" t="inlineStr">
        <is>
          <t>YASMINE SOUISSI</t>
        </is>
      </c>
      <c r="C46" t="n">
        <v>2013</v>
      </c>
      <c r="D46" s="7" t="inlineStr">
        <is>
          <t>2224.52</t>
        </is>
      </c>
      <c r="E46" s="7" t="inlineStr">
        <is>
          <t>9</t>
        </is>
      </c>
      <c r="F46" t="inlineStr">
        <is>
          <t>Tennis Québec</t>
        </is>
      </c>
      <c r="G46" t="inlineStr">
        <is>
          <t>Tennis 13</t>
        </is>
      </c>
      <c r="H46" s="8" t="inlineStr">
        <is>
          <t>22.1 (▲0.1)</t>
        </is>
      </c>
      <c r="I46" t="n">
        <v>248</v>
      </c>
      <c r="J46" t="inlineStr">
        <is>
          <t>167 / 81</t>
        </is>
      </c>
      <c r="K46" s="7" t="inlineStr">
        <is>
          <t>65%</t>
        </is>
      </c>
    </row>
    <row r="47">
      <c r="A47" s="9" t="inlineStr">
        <is>
          <t>46 (▼1)</t>
        </is>
      </c>
      <c r="B47" t="inlineStr">
        <is>
          <t>Adelina Tanashikova</t>
        </is>
      </c>
      <c r="C47" t="n">
        <v>2014</v>
      </c>
      <c r="D47" s="7" t="inlineStr">
        <is>
          <t>2209.81</t>
        </is>
      </c>
      <c r="E47" s="7" t="inlineStr">
        <is>
          <t>14</t>
        </is>
      </c>
      <c r="F47" t="inlineStr">
        <is>
          <t>Ontario Tennis Association</t>
        </is>
      </c>
      <c r="G47" t="inlineStr">
        <is>
          <t>No Club</t>
        </is>
      </c>
      <c r="H47" s="7" t="inlineStr">
        <is>
          <t>23.9</t>
        </is>
      </c>
      <c r="I47" t="n">
        <v>275</v>
      </c>
      <c r="J47" t="inlineStr">
        <is>
          <t>148 / 127</t>
        </is>
      </c>
      <c r="K47" s="7" t="inlineStr">
        <is>
          <t>76%</t>
        </is>
      </c>
    </row>
    <row r="48">
      <c r="A48" s="9" t="inlineStr">
        <is>
          <t>47 (▼1)</t>
        </is>
      </c>
      <c r="B48" t="inlineStr">
        <is>
          <t>Marilyn deBruin-Sawutz</t>
        </is>
      </c>
      <c r="C48" t="n">
        <v>2012</v>
      </c>
      <c r="D48" s="7" t="inlineStr">
        <is>
          <t>2134.82</t>
        </is>
      </c>
      <c r="E48" s="9" t="inlineStr">
        <is>
          <t>25 (-1)</t>
        </is>
      </c>
      <c r="F48" t="inlineStr">
        <is>
          <t>Ontario Tennis Association</t>
        </is>
      </c>
      <c r="G48" t="inlineStr">
        <is>
          <t>Advantage Tennis International at Veneto</t>
        </is>
      </c>
      <c r="H48" s="7" t="inlineStr">
        <is>
          <t>23.5</t>
        </is>
      </c>
      <c r="I48" t="n">
        <v>296</v>
      </c>
      <c r="J48" t="inlineStr">
        <is>
          <t>155 / 141</t>
        </is>
      </c>
      <c r="K48" s="7" t="inlineStr">
        <is>
          <t>61%</t>
        </is>
      </c>
    </row>
    <row r="49">
      <c r="A49" s="9" t="inlineStr">
        <is>
          <t>48 (▼1)</t>
        </is>
      </c>
      <c r="B49" t="inlineStr">
        <is>
          <t>SOPHIA JIAJIA DENG</t>
        </is>
      </c>
      <c r="C49" t="n">
        <v>2014</v>
      </c>
      <c r="D49" s="7" t="inlineStr">
        <is>
          <t>2125.70</t>
        </is>
      </c>
      <c r="E49" s="7" t="inlineStr">
        <is>
          <t>15</t>
        </is>
      </c>
      <c r="F49" t="inlineStr">
        <is>
          <t>Ontario Tennis Association</t>
        </is>
      </c>
      <c r="G49" t="inlineStr">
        <is>
          <t>Peak Performance Tennis Academy</t>
        </is>
      </c>
      <c r="H49" s="7" t="inlineStr">
        <is>
          <t>25.6</t>
        </is>
      </c>
      <c r="I49" t="n">
        <v>186</v>
      </c>
      <c r="J49" t="inlineStr">
        <is>
          <t>137 / 49</t>
        </is>
      </c>
      <c r="K49" s="7" t="inlineStr">
        <is>
          <t>71%</t>
        </is>
      </c>
    </row>
    <row r="50">
      <c r="A50" s="9" t="inlineStr">
        <is>
          <t>49 (▼1)</t>
        </is>
      </c>
      <c r="B50" t="inlineStr">
        <is>
          <t>Fiona Huang</t>
        </is>
      </c>
      <c r="C50" t="n">
        <v>2014</v>
      </c>
      <c r="D50" s="7" t="inlineStr">
        <is>
          <t>2111.25</t>
        </is>
      </c>
      <c r="E50" s="7" t="inlineStr">
        <is>
          <t>14</t>
        </is>
      </c>
      <c r="F50" t="inlineStr">
        <is>
          <t>British Columbia</t>
        </is>
      </c>
      <c r="G50" t="inlineStr">
        <is>
          <t>No Club</t>
        </is>
      </c>
      <c r="H50" s="8" t="inlineStr">
        <is>
          <t>24.6 (▲0.5)</t>
        </is>
      </c>
      <c r="I50" t="n">
        <v>224</v>
      </c>
      <c r="J50" t="inlineStr">
        <is>
          <t>142 / 82</t>
        </is>
      </c>
      <c r="K50" s="9" t="inlineStr">
        <is>
          <t>69% (▼2%)</t>
        </is>
      </c>
    </row>
    <row r="51">
      <c r="A51" s="9" t="inlineStr">
        <is>
          <t>50 (▼1)</t>
        </is>
      </c>
      <c r="B51" t="inlineStr">
        <is>
          <t>Roseline Nana</t>
        </is>
      </c>
      <c r="C51" t="n">
        <v>2014</v>
      </c>
      <c r="D51" s="7" t="inlineStr">
        <is>
          <t>1993.20</t>
        </is>
      </c>
      <c r="E51" s="9" t="inlineStr">
        <is>
          <t>24 (-1)</t>
        </is>
      </c>
      <c r="F51" t="inlineStr">
        <is>
          <t>Tennis Québec</t>
        </is>
      </c>
      <c r="G51" t="inlineStr">
        <is>
          <t>Tennis Montréal Excellence</t>
        </is>
      </c>
      <c r="H51" s="7" t="inlineStr">
        <is>
          <t>25.0</t>
        </is>
      </c>
      <c r="I51" t="n">
        <v>193</v>
      </c>
      <c r="J51" t="inlineStr">
        <is>
          <t>137 / 56</t>
        </is>
      </c>
      <c r="K51" s="7" t="inlineStr">
        <is>
          <t>75%</t>
        </is>
      </c>
    </row>
    <row r="52">
      <c r="A52" s="9" t="inlineStr">
        <is>
          <t>51 (▼1)</t>
        </is>
      </c>
      <c r="B52" t="inlineStr">
        <is>
          <t>Amaliia Bakumenko</t>
        </is>
      </c>
      <c r="C52" t="n">
        <v>2012</v>
      </c>
      <c r="D52" s="7" t="inlineStr">
        <is>
          <t>1923.94</t>
        </is>
      </c>
      <c r="E52" s="7" t="inlineStr">
        <is>
          <t>2</t>
        </is>
      </c>
      <c r="F52" t="inlineStr">
        <is>
          <t>Tennis Québec</t>
        </is>
      </c>
      <c r="G52" t="inlineStr">
        <is>
          <t>Tennis 13 / Académie Ménard et associé</t>
        </is>
      </c>
      <c r="H52" s="8" t="inlineStr">
        <is>
          <t>17.5 (▲0.1)</t>
        </is>
      </c>
      <c r="I52" t="n">
        <v>81</v>
      </c>
      <c r="J52" t="inlineStr">
        <is>
          <t>60 / 21</t>
        </is>
      </c>
      <c r="K52" s="7" t="inlineStr">
        <is>
          <t>0%</t>
        </is>
      </c>
    </row>
    <row r="53">
      <c r="A53" s="9" t="inlineStr">
        <is>
          <t>52 (▼1)</t>
        </is>
      </c>
      <c r="B53" t="inlineStr">
        <is>
          <t>Anvitha Mahadevaswamy</t>
        </is>
      </c>
      <c r="C53" t="n">
        <v>2013</v>
      </c>
      <c r="D53" s="7" t="inlineStr">
        <is>
          <t>1922.91</t>
        </is>
      </c>
      <c r="E53" s="7" t="inlineStr">
        <is>
          <t>14</t>
        </is>
      </c>
      <c r="F53" t="inlineStr">
        <is>
          <t>Tennis New Brunswick</t>
        </is>
      </c>
      <c r="G53" t="inlineStr">
        <is>
          <t>Abony Family Tennis Center</t>
        </is>
      </c>
      <c r="H53" s="7" t="inlineStr">
        <is>
          <t>25.4</t>
        </is>
      </c>
      <c r="I53" t="n">
        <v>243</v>
      </c>
      <c r="J53" t="inlineStr">
        <is>
          <t>140 / 103</t>
        </is>
      </c>
      <c r="K53" s="9" t="inlineStr">
        <is>
          <t>57% (▼3%)</t>
        </is>
      </c>
    </row>
    <row r="54">
      <c r="A54" s="9" t="inlineStr">
        <is>
          <t>53 (▼1)</t>
        </is>
      </c>
      <c r="B54" t="inlineStr">
        <is>
          <t>Aida Idrissi Serghini</t>
        </is>
      </c>
      <c r="C54" t="n">
        <v>2013</v>
      </c>
      <c r="D54" s="7" t="inlineStr">
        <is>
          <t>1836.28</t>
        </is>
      </c>
      <c r="E54" s="9" t="inlineStr">
        <is>
          <t>15 (-1)</t>
        </is>
      </c>
      <c r="F54" t="inlineStr">
        <is>
          <t>Tennis Québec</t>
        </is>
      </c>
      <c r="G54" t="inlineStr">
        <is>
          <t>Centre récréatif de Repentigny / Académie Tennis Momentum</t>
        </is>
      </c>
      <c r="H54" s="7" t="inlineStr">
        <is>
          <t>25.1</t>
        </is>
      </c>
      <c r="I54" t="n">
        <v>228</v>
      </c>
      <c r="J54" t="inlineStr">
        <is>
          <t>157 / 71</t>
        </is>
      </c>
      <c r="K54" s="7" t="inlineStr">
        <is>
          <t>63%</t>
        </is>
      </c>
    </row>
    <row r="55">
      <c r="A55" s="9" t="inlineStr">
        <is>
          <t>54 (▼1)</t>
        </is>
      </c>
      <c r="B55" t="inlineStr">
        <is>
          <t>Aleksandra Alymov</t>
        </is>
      </c>
      <c r="C55" t="n">
        <v>2014</v>
      </c>
      <c r="D55" s="7" t="inlineStr">
        <is>
          <t>1804.28</t>
        </is>
      </c>
      <c r="E55" s="8" t="inlineStr">
        <is>
          <t>14 (+1)</t>
        </is>
      </c>
      <c r="F55" t="inlineStr">
        <is>
          <t>Ontario Tennis Association</t>
        </is>
      </c>
      <c r="G55" t="inlineStr">
        <is>
          <t>Rexall Centre</t>
        </is>
      </c>
      <c r="H55" s="9" t="inlineStr">
        <is>
          <t>25.3 (▼0.5)</t>
        </is>
      </c>
      <c r="I55" t="n">
        <v>224</v>
      </c>
      <c r="J55" t="inlineStr">
        <is>
          <t>139 / 85</t>
        </is>
      </c>
      <c r="K55" s="9" t="inlineStr">
        <is>
          <t>70% (▼1%)</t>
        </is>
      </c>
    </row>
    <row r="56">
      <c r="A56" s="9" t="inlineStr">
        <is>
          <t>55 (▼1)</t>
        </is>
      </c>
      <c r="B56" t="inlineStr">
        <is>
          <t>Etooluwa Michelle Bammeke</t>
        </is>
      </c>
      <c r="C56" t="n">
        <v>2013</v>
      </c>
      <c r="D56" s="7" t="inlineStr">
        <is>
          <t>1799.70</t>
        </is>
      </c>
      <c r="E56" s="7" t="inlineStr">
        <is>
          <t>26</t>
        </is>
      </c>
      <c r="F56" t="inlineStr">
        <is>
          <t>Ontario Tennis Association</t>
        </is>
      </c>
      <c r="G56" t="inlineStr">
        <is>
          <t>Joshua Creek Golf &amp; Tennis</t>
        </is>
      </c>
      <c r="H56" s="7" t="inlineStr">
        <is>
          <t>27.5</t>
        </is>
      </c>
      <c r="I56" t="n">
        <v>277</v>
      </c>
      <c r="J56" t="inlineStr">
        <is>
          <t>170 / 107</t>
        </is>
      </c>
      <c r="K56" s="7" t="inlineStr">
        <is>
          <t>60%</t>
        </is>
      </c>
    </row>
    <row r="57">
      <c r="A57" s="9" t="inlineStr">
        <is>
          <t>56 (▼1)</t>
        </is>
      </c>
      <c r="B57" t="inlineStr">
        <is>
          <t>Daria Glinna</t>
        </is>
      </c>
      <c r="C57" t="n">
        <v>2012</v>
      </c>
      <c r="D57" s="7" t="inlineStr">
        <is>
          <t>1760.55</t>
        </is>
      </c>
      <c r="E57" s="7" t="inlineStr">
        <is>
          <t>12</t>
        </is>
      </c>
      <c r="F57" t="inlineStr">
        <is>
          <t>Ontario Tennis Association</t>
        </is>
      </c>
      <c r="G57" t="inlineStr">
        <is>
          <t>Premier Racquet Clubs – Mississauga</t>
        </is>
      </c>
      <c r="H57" s="7" t="inlineStr">
        <is>
          <t>28.1</t>
        </is>
      </c>
      <c r="I57" t="n">
        <v>158</v>
      </c>
      <c r="J57" t="inlineStr">
        <is>
          <t>59 / 99</t>
        </is>
      </c>
      <c r="K57" s="7" t="inlineStr">
        <is>
          <t>33%</t>
        </is>
      </c>
    </row>
    <row r="58">
      <c r="A58" s="9" t="inlineStr">
        <is>
          <t>57 (▼1)</t>
        </is>
      </c>
      <c r="B58" t="inlineStr">
        <is>
          <t>Kelly L Zhang</t>
        </is>
      </c>
      <c r="C58" t="n">
        <v>2012</v>
      </c>
      <c r="D58" s="7" t="inlineStr">
        <is>
          <t>1758.84</t>
        </is>
      </c>
      <c r="E58" s="7" t="inlineStr">
        <is>
          <t>22</t>
        </is>
      </c>
      <c r="F58" t="inlineStr">
        <is>
          <t>Ontario Tennis Association</t>
        </is>
      </c>
      <c r="G58" t="inlineStr">
        <is>
          <t>NYTA Winter Tennis Club</t>
        </is>
      </c>
      <c r="H58" s="7" t="inlineStr">
        <is>
          <t>27.5</t>
        </is>
      </c>
      <c r="I58" t="n">
        <v>191</v>
      </c>
      <c r="J58" t="inlineStr">
        <is>
          <t>94 / 97</t>
        </is>
      </c>
      <c r="K58" s="7" t="inlineStr">
        <is>
          <t>59%</t>
        </is>
      </c>
    </row>
    <row r="59">
      <c r="A59" s="9" t="inlineStr">
        <is>
          <t>58 (▼1)</t>
        </is>
      </c>
      <c r="B59" t="inlineStr">
        <is>
          <t>Katelyn Pasula</t>
        </is>
      </c>
      <c r="C59" t="n">
        <v>2012</v>
      </c>
      <c r="D59" s="7" t="inlineStr">
        <is>
          <t>1747.49</t>
        </is>
      </c>
      <c r="E59" s="7" t="inlineStr">
        <is>
          <t>7</t>
        </is>
      </c>
      <c r="F59" t="inlineStr">
        <is>
          <t>British Columbia</t>
        </is>
      </c>
      <c r="G59" t="inlineStr">
        <is>
          <t>BC NI No Club</t>
        </is>
      </c>
      <c r="H59" s="7" t="inlineStr">
        <is>
          <t>unavailable</t>
        </is>
      </c>
      <c r="I59" t="n">
        <v>35</v>
      </c>
      <c r="J59" t="inlineStr">
        <is>
          <t>21 / 14</t>
        </is>
      </c>
      <c r="K59" s="7" t="inlineStr">
        <is>
          <t>62%</t>
        </is>
      </c>
    </row>
    <row r="60">
      <c r="A60" s="9" t="inlineStr">
        <is>
          <t>59 (▼1)</t>
        </is>
      </c>
      <c r="B60" t="inlineStr">
        <is>
          <t>Haeun (Emily) Jo</t>
        </is>
      </c>
      <c r="C60" t="n">
        <v>2013</v>
      </c>
      <c r="D60" s="7" t="inlineStr">
        <is>
          <t>1714.80</t>
        </is>
      </c>
      <c r="E60" s="7" t="inlineStr">
        <is>
          <t>13</t>
        </is>
      </c>
      <c r="F60" t="inlineStr">
        <is>
          <t>Tennis Nova Scotia</t>
        </is>
      </c>
      <c r="G60" t="inlineStr">
        <is>
          <t>Atlantic Tennis Centre</t>
        </is>
      </c>
      <c r="H60" s="7" t="inlineStr">
        <is>
          <t>25.4</t>
        </is>
      </c>
      <c r="I60" t="n">
        <v>288</v>
      </c>
      <c r="J60" t="inlineStr">
        <is>
          <t>192 / 96</t>
        </is>
      </c>
      <c r="K60" s="7" t="inlineStr">
        <is>
          <t>72%</t>
        </is>
      </c>
    </row>
    <row r="61">
      <c r="A61" s="9" t="inlineStr">
        <is>
          <t>60 (▼1)</t>
        </is>
      </c>
      <c r="B61" t="inlineStr">
        <is>
          <t>Naomi Danyod</t>
        </is>
      </c>
      <c r="C61" t="n">
        <v>2014</v>
      </c>
      <c r="D61" s="7" t="inlineStr">
        <is>
          <t>1697.74</t>
        </is>
      </c>
      <c r="E61" s="9" t="inlineStr">
        <is>
          <t>17 (-1)</t>
        </is>
      </c>
      <c r="F61" t="inlineStr">
        <is>
          <t>Tennis Québec</t>
        </is>
      </c>
      <c r="G61" t="inlineStr">
        <is>
          <t>Rouge et Or - Université Laval</t>
        </is>
      </c>
      <c r="H61" s="7" t="inlineStr">
        <is>
          <t>25.1</t>
        </is>
      </c>
      <c r="I61" t="n">
        <v>168</v>
      </c>
      <c r="J61" t="inlineStr">
        <is>
          <t>108 / 60</t>
        </is>
      </c>
      <c r="K61" s="7" t="inlineStr">
        <is>
          <t>64%</t>
        </is>
      </c>
    </row>
    <row r="62">
      <c r="A62" s="9" t="inlineStr">
        <is>
          <t>61 (▼1)</t>
        </is>
      </c>
      <c r="B62" t="inlineStr">
        <is>
          <t>Adèle Juneau</t>
        </is>
      </c>
      <c r="C62" t="n">
        <v>2013</v>
      </c>
      <c r="D62" s="7" t="inlineStr">
        <is>
          <t>1669.44</t>
        </is>
      </c>
      <c r="E62" s="9" t="inlineStr">
        <is>
          <t>15 (-1)</t>
        </is>
      </c>
      <c r="F62" t="inlineStr">
        <is>
          <t>Tennis Québec</t>
        </is>
      </c>
      <c r="G62" t="inlineStr">
        <is>
          <t>Tennis 13 / Académie Ménard et associé</t>
        </is>
      </c>
      <c r="H62" s="7" t="inlineStr">
        <is>
          <t>24.4</t>
        </is>
      </c>
      <c r="I62" t="n">
        <v>337</v>
      </c>
      <c r="J62" t="inlineStr">
        <is>
          <t>189 / 148</t>
        </is>
      </c>
      <c r="K62" s="7" t="inlineStr">
        <is>
          <t>47%</t>
        </is>
      </c>
    </row>
    <row r="63">
      <c r="A63" s="9" t="inlineStr">
        <is>
          <t>62 (▼1)</t>
        </is>
      </c>
      <c r="B63" t="inlineStr">
        <is>
          <t>Annika Richards</t>
        </is>
      </c>
      <c r="C63" t="n">
        <v>2012</v>
      </c>
      <c r="D63" s="7" t="inlineStr">
        <is>
          <t>1646.69</t>
        </is>
      </c>
      <c r="E63" s="7" t="inlineStr">
        <is>
          <t>16</t>
        </is>
      </c>
      <c r="F63" t="inlineStr">
        <is>
          <t>Ontario Tennis Association</t>
        </is>
      </c>
      <c r="G63" t="inlineStr">
        <is>
          <t>Toronto Cricket Skating &amp; Curling</t>
        </is>
      </c>
      <c r="H63" s="7" t="inlineStr">
        <is>
          <t>27.0</t>
        </is>
      </c>
      <c r="I63" t="n">
        <v>192</v>
      </c>
      <c r="J63" t="inlineStr">
        <is>
          <t>82 / 110</t>
        </is>
      </c>
      <c r="K63" s="7" t="inlineStr">
        <is>
          <t>32%</t>
        </is>
      </c>
    </row>
    <row r="64">
      <c r="A64" s="8" t="inlineStr">
        <is>
          <t>63 (▲1)</t>
        </is>
      </c>
      <c r="B64" t="inlineStr">
        <is>
          <t>Alexane Deschênes</t>
        </is>
      </c>
      <c r="C64" t="n">
        <v>2013</v>
      </c>
      <c r="D64" s="8" t="inlineStr">
        <is>
          <t>1642.33 (▲107.74)</t>
        </is>
      </c>
      <c r="E64" s="8" t="inlineStr">
        <is>
          <t>23 (+1)</t>
        </is>
      </c>
      <c r="F64" t="inlineStr">
        <is>
          <t>Tennis Québec</t>
        </is>
      </c>
      <c r="G64" t="inlineStr">
        <is>
          <t>Centre récréatif de Repentigny / Académie Tennis Momentum</t>
        </is>
      </c>
      <c r="H64" s="8" t="inlineStr">
        <is>
          <t>24.5 (▲0.4)</t>
        </is>
      </c>
      <c r="I64" t="n">
        <v>298</v>
      </c>
      <c r="J64" t="inlineStr">
        <is>
          <t>160 / 138</t>
        </is>
      </c>
      <c r="K64" s="8" t="inlineStr">
        <is>
          <t>53% (▲2%)</t>
        </is>
      </c>
    </row>
    <row r="65">
      <c r="A65" s="9" t="inlineStr">
        <is>
          <t>64 (▼2)</t>
        </is>
      </c>
      <c r="B65" t="inlineStr">
        <is>
          <t>Amelia Grace Balasuriya</t>
        </is>
      </c>
      <c r="C65" t="n">
        <v>2014</v>
      </c>
      <c r="D65" s="7" t="inlineStr">
        <is>
          <t>1640.80</t>
        </is>
      </c>
      <c r="E65" s="8" t="inlineStr">
        <is>
          <t>26 (+1)</t>
        </is>
      </c>
      <c r="F65" t="inlineStr">
        <is>
          <t>Ontario Tennis Association</t>
        </is>
      </c>
      <c r="G65" t="inlineStr">
        <is>
          <t>The Supreme Court Tennis Club</t>
        </is>
      </c>
      <c r="H65" s="8" t="inlineStr">
        <is>
          <t>26.7 (▲0.1)</t>
        </is>
      </c>
      <c r="I65" t="n">
        <v>274</v>
      </c>
      <c r="J65" t="inlineStr">
        <is>
          <t>176 / 98</t>
        </is>
      </c>
      <c r="K65" s="9" t="inlineStr">
        <is>
          <t>65% (▼1%)</t>
        </is>
      </c>
    </row>
    <row r="66">
      <c r="A66" s="9" t="inlineStr">
        <is>
          <t>65 (▼2)</t>
        </is>
      </c>
      <c r="B66" t="inlineStr">
        <is>
          <t>Naella Sehic</t>
        </is>
      </c>
      <c r="C66" t="n">
        <v>2014</v>
      </c>
      <c r="D66" s="7" t="inlineStr">
        <is>
          <t>1547.58</t>
        </is>
      </c>
      <c r="E66" s="7" t="inlineStr">
        <is>
          <t>22</t>
        </is>
      </c>
      <c r="F66" t="inlineStr">
        <is>
          <t>Tennis Québec</t>
        </is>
      </c>
      <c r="G66" t="inlineStr">
        <is>
          <t>Tennis Ile- des- Soeurs</t>
        </is>
      </c>
      <c r="H66" s="7" t="inlineStr">
        <is>
          <t>25.3</t>
        </is>
      </c>
      <c r="I66" t="n">
        <v>306</v>
      </c>
      <c r="J66" t="inlineStr">
        <is>
          <t>190 / 116</t>
        </is>
      </c>
      <c r="K66" s="7" t="inlineStr">
        <is>
          <t>76%</t>
        </is>
      </c>
    </row>
    <row r="67">
      <c r="A67" s="8" t="inlineStr">
        <is>
          <t>66 (▲4)</t>
        </is>
      </c>
      <c r="B67" t="inlineStr">
        <is>
          <t>Dewa Ayu Devin Sum</t>
        </is>
      </c>
      <c r="C67" t="n">
        <v>2013</v>
      </c>
      <c r="D67" s="8" t="inlineStr">
        <is>
          <t>1527.37 (▲68.32)</t>
        </is>
      </c>
      <c r="E67" s="7" t="inlineStr">
        <is>
          <t>29</t>
        </is>
      </c>
      <c r="F67" t="inlineStr">
        <is>
          <t>Ontario Tennis Association</t>
        </is>
      </c>
      <c r="G67" t="inlineStr">
        <is>
          <t>Premier Racquet Clubs – Mississauga</t>
        </is>
      </c>
      <c r="H67" s="8" t="inlineStr">
        <is>
          <t>26.5 (▲1.4)</t>
        </is>
      </c>
      <c r="I67" t="n">
        <v>188</v>
      </c>
      <c r="J67" t="inlineStr">
        <is>
          <t>97 / 91</t>
        </is>
      </c>
      <c r="K67" s="8" t="inlineStr">
        <is>
          <t>54% (▲1%)</t>
        </is>
      </c>
    </row>
    <row r="68">
      <c r="A68" s="9" t="inlineStr">
        <is>
          <t>67 (▼2)</t>
        </is>
      </c>
      <c r="B68" t="inlineStr">
        <is>
          <t>Karina Zhang</t>
        </is>
      </c>
      <c r="C68" t="n">
        <v>2012</v>
      </c>
      <c r="D68" s="7" t="inlineStr">
        <is>
          <t>1493.37</t>
        </is>
      </c>
      <c r="E68" s="7" t="inlineStr">
        <is>
          <t>26</t>
        </is>
      </c>
      <c r="F68" t="inlineStr">
        <is>
          <t>Ontario Tennis Association</t>
        </is>
      </c>
      <c r="G68" t="inlineStr">
        <is>
          <t>Richmondhill Golf &amp; Country Club</t>
        </is>
      </c>
      <c r="H68" s="9" t="inlineStr">
        <is>
          <t>24.9 (▼0.1)</t>
        </is>
      </c>
      <c r="I68" t="n">
        <v>217</v>
      </c>
      <c r="J68" t="inlineStr">
        <is>
          <t>136 / 81</t>
        </is>
      </c>
      <c r="K68" s="7" t="inlineStr">
        <is>
          <t>59%</t>
        </is>
      </c>
    </row>
    <row r="69">
      <c r="A69" s="9" t="inlineStr">
        <is>
          <t>68 (▼2)</t>
        </is>
      </c>
      <c r="B69" t="inlineStr">
        <is>
          <t>Varvara Lutsyk</t>
        </is>
      </c>
      <c r="C69" t="n">
        <v>2013</v>
      </c>
      <c r="D69" s="7" t="inlineStr">
        <is>
          <t>1491.99</t>
        </is>
      </c>
      <c r="E69" s="7" t="inlineStr">
        <is>
          <t>18</t>
        </is>
      </c>
      <c r="F69" t="inlineStr">
        <is>
          <t>Tennis Québec</t>
        </is>
      </c>
      <c r="G69" t="inlineStr">
        <is>
          <t>Club Sportif Côte-de-Liesse</t>
        </is>
      </c>
      <c r="H69" s="7" t="inlineStr">
        <is>
          <t>24.7</t>
        </is>
      </c>
      <c r="I69" t="n">
        <v>214</v>
      </c>
      <c r="J69" t="inlineStr">
        <is>
          <t>141 / 73</t>
        </is>
      </c>
      <c r="K69" s="7" t="inlineStr">
        <is>
          <t>67%</t>
        </is>
      </c>
    </row>
    <row r="70">
      <c r="A70" s="9" t="inlineStr">
        <is>
          <t>69 (▼2)</t>
        </is>
      </c>
      <c r="B70" t="inlineStr">
        <is>
          <t>Natalie Le'er Sang</t>
        </is>
      </c>
      <c r="C70" t="n">
        <v>2012</v>
      </c>
      <c r="D70" s="7" t="inlineStr">
        <is>
          <t>1488.96</t>
        </is>
      </c>
      <c r="E70" s="7" t="inlineStr">
        <is>
          <t>16</t>
        </is>
      </c>
      <c r="F70" t="inlineStr">
        <is>
          <t>British Columbia</t>
        </is>
      </c>
      <c r="G70" t="inlineStr">
        <is>
          <t>No Club</t>
        </is>
      </c>
      <c r="H70" s="8" t="inlineStr">
        <is>
          <t>23.8 (▲1.5)</t>
        </is>
      </c>
      <c r="I70" t="n">
        <v>114</v>
      </c>
      <c r="J70" t="inlineStr">
        <is>
          <t>80 / 34</t>
        </is>
      </c>
      <c r="K70" s="7" t="inlineStr">
        <is>
          <t>53%</t>
        </is>
      </c>
    </row>
    <row r="71">
      <c r="A71" s="9" t="inlineStr">
        <is>
          <t>70 (▼2)</t>
        </is>
      </c>
      <c r="B71" t="inlineStr">
        <is>
          <t>Avery Badyal</t>
        </is>
      </c>
      <c r="C71" t="n">
        <v>2013</v>
      </c>
      <c r="D71" s="7" t="inlineStr">
        <is>
          <t>1469.91</t>
        </is>
      </c>
      <c r="E71" s="7" t="inlineStr">
        <is>
          <t>11</t>
        </is>
      </c>
      <c r="F71" t="inlineStr">
        <is>
          <t>British Columbia</t>
        </is>
      </c>
      <c r="G71" t="inlineStr">
        <is>
          <t>The Tennis Centre</t>
        </is>
      </c>
      <c r="H71" s="8" t="inlineStr">
        <is>
          <t>25.0 (▲0.2)</t>
        </is>
      </c>
      <c r="I71" t="n">
        <v>241</v>
      </c>
      <c r="J71" t="inlineStr">
        <is>
          <t>146 / 95</t>
        </is>
      </c>
      <c r="K71" s="7" t="inlineStr">
        <is>
          <t>47%</t>
        </is>
      </c>
    </row>
    <row r="72">
      <c r="A72" s="9" t="inlineStr">
        <is>
          <t>71 (▼2)</t>
        </is>
      </c>
      <c r="B72" t="inlineStr">
        <is>
          <t>Iris Fu</t>
        </is>
      </c>
      <c r="C72" t="n">
        <v>2013</v>
      </c>
      <c r="D72" s="7" t="inlineStr">
        <is>
          <t>1460.76</t>
        </is>
      </c>
      <c r="E72" s="8" t="inlineStr">
        <is>
          <t>20 (+1)</t>
        </is>
      </c>
      <c r="F72" t="inlineStr">
        <is>
          <t>Ontario Tennis Association</t>
        </is>
      </c>
      <c r="G72" t="inlineStr">
        <is>
          <t>Premier Racquet Clubs – Mississauga</t>
        </is>
      </c>
      <c r="H72" s="7" t="inlineStr">
        <is>
          <t>unavailable</t>
        </is>
      </c>
      <c r="I72" t="n">
        <v>252</v>
      </c>
      <c r="J72" t="inlineStr">
        <is>
          <t>148 / 104</t>
        </is>
      </c>
      <c r="K72" s="9" t="inlineStr">
        <is>
          <t>70% (▼1%)</t>
        </is>
      </c>
    </row>
    <row r="73">
      <c r="A73" s="9" t="inlineStr">
        <is>
          <t>72 (▼1)</t>
        </is>
      </c>
      <c r="B73" t="inlineStr">
        <is>
          <t>jocelyn ai</t>
        </is>
      </c>
      <c r="C73" t="n">
        <v>2014</v>
      </c>
      <c r="D73" s="7" t="inlineStr">
        <is>
          <t>1450.91</t>
        </is>
      </c>
      <c r="E73" s="7" t="inlineStr">
        <is>
          <t>19</t>
        </is>
      </c>
      <c r="F73" t="inlineStr">
        <is>
          <t>Ontario Tennis Association</t>
        </is>
      </c>
      <c r="G73" t="inlineStr">
        <is>
          <t>No Club</t>
        </is>
      </c>
      <c r="H73" s="7" t="inlineStr">
        <is>
          <t>26.4</t>
        </is>
      </c>
      <c r="I73" t="n">
        <v>223</v>
      </c>
      <c r="J73" t="inlineStr">
        <is>
          <t>135 / 88</t>
        </is>
      </c>
      <c r="K73" s="7" t="inlineStr">
        <is>
          <t>62%</t>
        </is>
      </c>
    </row>
    <row r="74">
      <c r="A74" s="9" t="inlineStr">
        <is>
          <t>73 (▼1)</t>
        </is>
      </c>
      <c r="B74" t="inlineStr">
        <is>
          <t>Elena Rusic</t>
        </is>
      </c>
      <c r="C74" t="n">
        <v>2013</v>
      </c>
      <c r="D74" s="7" t="inlineStr">
        <is>
          <t>1449.81</t>
        </is>
      </c>
      <c r="E74" s="8" t="inlineStr">
        <is>
          <t>23 (+1)</t>
        </is>
      </c>
      <c r="F74" t="inlineStr">
        <is>
          <t>Ontario Tennis Association</t>
        </is>
      </c>
      <c r="G74" t="inlineStr">
        <is>
          <t>Joshua Creek Golf &amp; Tennis</t>
        </is>
      </c>
      <c r="H74" s="9" t="inlineStr">
        <is>
          <t>26.3 (▼0.2)</t>
        </is>
      </c>
      <c r="I74" t="n">
        <v>263</v>
      </c>
      <c r="J74" t="inlineStr">
        <is>
          <t>186 / 77</t>
        </is>
      </c>
      <c r="K74" s="8" t="inlineStr">
        <is>
          <t>55% (▲1%)</t>
        </is>
      </c>
    </row>
    <row r="75">
      <c r="A75" s="9" t="inlineStr">
        <is>
          <t>74 (▼1)</t>
        </is>
      </c>
      <c r="B75" t="inlineStr">
        <is>
          <t>Emma Allen</t>
        </is>
      </c>
      <c r="C75" t="n">
        <v>2014</v>
      </c>
      <c r="D75" s="7" t="inlineStr">
        <is>
          <t>1427.49</t>
        </is>
      </c>
      <c r="E75" s="7" t="inlineStr">
        <is>
          <t>21</t>
        </is>
      </c>
      <c r="F75" t="inlineStr">
        <is>
          <t>Ontario Tennis Association</t>
        </is>
      </c>
      <c r="G75" t="inlineStr">
        <is>
          <t>Joshua Creek Golf &amp; Tennis</t>
        </is>
      </c>
      <c r="H75" s="7" t="inlineStr">
        <is>
          <t>26.2</t>
        </is>
      </c>
      <c r="I75" t="n">
        <v>264</v>
      </c>
      <c r="J75" t="inlineStr">
        <is>
          <t>190 / 74</t>
        </is>
      </c>
      <c r="K75" s="7" t="inlineStr">
        <is>
          <t>66%</t>
        </is>
      </c>
    </row>
    <row r="76">
      <c r="A76" s="9" t="inlineStr">
        <is>
          <t>75 (▼1)</t>
        </is>
      </c>
      <c r="B76" t="inlineStr">
        <is>
          <t>Olivia Escobar</t>
        </is>
      </c>
      <c r="C76" t="n">
        <v>2012</v>
      </c>
      <c r="D76" s="7" t="inlineStr">
        <is>
          <t>1405.00</t>
        </is>
      </c>
      <c r="E76" s="9" t="inlineStr">
        <is>
          <t>36 (-1)</t>
        </is>
      </c>
      <c r="F76" t="inlineStr">
        <is>
          <t>Tennis Québec</t>
        </is>
      </c>
      <c r="G76" t="inlineStr">
        <is>
          <t>Tennis Ile- des- Soeurs</t>
        </is>
      </c>
      <c r="H76" s="7" t="inlineStr">
        <is>
          <t>27.0</t>
        </is>
      </c>
      <c r="I76" t="n">
        <v>352</v>
      </c>
      <c r="J76" t="inlineStr">
        <is>
          <t>133 / 219</t>
        </is>
      </c>
      <c r="K76" s="7" t="inlineStr">
        <is>
          <t>42%</t>
        </is>
      </c>
    </row>
    <row r="77">
      <c r="A77" s="9" t="inlineStr">
        <is>
          <t>76 (▼1)</t>
        </is>
      </c>
      <c r="B77" t="inlineStr">
        <is>
          <t>Zahava Olszynko</t>
        </is>
      </c>
      <c r="C77" t="n">
        <v>2012</v>
      </c>
      <c r="D77" s="7" t="inlineStr">
        <is>
          <t>1396.12</t>
        </is>
      </c>
      <c r="E77" s="7" t="inlineStr">
        <is>
          <t>30</t>
        </is>
      </c>
      <c r="F77" t="inlineStr">
        <is>
          <t>Ontario Tennis Association</t>
        </is>
      </c>
      <c r="G77" t="inlineStr">
        <is>
          <t>Rideau Sports Centre</t>
        </is>
      </c>
      <c r="H77" s="9" t="inlineStr">
        <is>
          <t>26.2 (▼0.1)</t>
        </is>
      </c>
      <c r="I77" t="n">
        <v>232</v>
      </c>
      <c r="J77" t="inlineStr">
        <is>
          <t>127 / 105</t>
        </is>
      </c>
      <c r="K77" s="9" t="inlineStr">
        <is>
          <t>57% (▼1%)</t>
        </is>
      </c>
    </row>
    <row r="78">
      <c r="A78" s="9" t="inlineStr">
        <is>
          <t>77 (▼1)</t>
        </is>
      </c>
      <c r="B78" t="inlineStr">
        <is>
          <t>Eleanor Victoria Paura</t>
        </is>
      </c>
      <c r="C78" t="n">
        <v>2013</v>
      </c>
      <c r="D78" s="7" t="inlineStr">
        <is>
          <t>1376.14</t>
        </is>
      </c>
      <c r="E78" s="9" t="inlineStr">
        <is>
          <t>10 (-1)</t>
        </is>
      </c>
      <c r="F78" t="inlineStr">
        <is>
          <t>Tennis Saskatchewan</t>
        </is>
      </c>
      <c r="G78" t="inlineStr">
        <is>
          <t>Lakeshore Tennis Club</t>
        </is>
      </c>
      <c r="H78" s="7" t="inlineStr">
        <is>
          <t>29.7</t>
        </is>
      </c>
      <c r="I78" t="n">
        <v>196</v>
      </c>
      <c r="J78" t="inlineStr">
        <is>
          <t>85 / 111</t>
        </is>
      </c>
      <c r="K78" s="7" t="inlineStr">
        <is>
          <t>55%</t>
        </is>
      </c>
    </row>
    <row r="79">
      <c r="A79" s="9" t="inlineStr">
        <is>
          <t>78 (▼1)</t>
        </is>
      </c>
      <c r="B79" t="inlineStr">
        <is>
          <t>Nanette Du</t>
        </is>
      </c>
      <c r="C79" t="n">
        <v>2014</v>
      </c>
      <c r="D79" s="7" t="inlineStr">
        <is>
          <t>1337.77</t>
        </is>
      </c>
      <c r="E79" s="8" t="inlineStr">
        <is>
          <t>17 (+1)</t>
        </is>
      </c>
      <c r="F79" t="inlineStr">
        <is>
          <t>Ontario Tennis Association</t>
        </is>
      </c>
      <c r="G79" t="inlineStr">
        <is>
          <t>Advantage Tennis International at Veneto</t>
        </is>
      </c>
      <c r="H79" s="8" t="inlineStr">
        <is>
          <t>27.4 (▲0.6)</t>
        </is>
      </c>
      <c r="I79" t="n">
        <v>153</v>
      </c>
      <c r="J79" t="inlineStr">
        <is>
          <t>95 / 58</t>
        </is>
      </c>
      <c r="K79" s="9" t="inlineStr">
        <is>
          <t>67% (▼1%)</t>
        </is>
      </c>
    </row>
    <row r="80">
      <c r="A80" s="9" t="inlineStr">
        <is>
          <t>79 (▼1)</t>
        </is>
      </c>
      <c r="B80" t="inlineStr">
        <is>
          <t>Charlotte Dawes</t>
        </is>
      </c>
      <c r="C80" t="n">
        <v>2013</v>
      </c>
      <c r="D80" s="7" t="inlineStr">
        <is>
          <t>1333.14</t>
        </is>
      </c>
      <c r="E80" s="7" t="inlineStr">
        <is>
          <t>14</t>
        </is>
      </c>
      <c r="F80" t="inlineStr">
        <is>
          <t>Tennis Alberta</t>
        </is>
      </c>
      <c r="G80" t="inlineStr">
        <is>
          <t>Osten &amp; Victor Alberta Tennis Centre</t>
        </is>
      </c>
      <c r="H80" s="8" t="inlineStr">
        <is>
          <t>25.1 (▲0.3)</t>
        </is>
      </c>
      <c r="I80" t="n">
        <v>225</v>
      </c>
      <c r="J80" t="inlineStr">
        <is>
          <t>112 / 113</t>
        </is>
      </c>
      <c r="K80" s="7" t="inlineStr">
        <is>
          <t>57%</t>
        </is>
      </c>
    </row>
    <row r="81">
      <c r="A81" s="9" t="inlineStr">
        <is>
          <t>80 (▼1)</t>
        </is>
      </c>
      <c r="B81" t="inlineStr">
        <is>
          <t>Emilie Chen</t>
        </is>
      </c>
      <c r="C81" t="n">
        <v>2012</v>
      </c>
      <c r="D81" s="7" t="inlineStr">
        <is>
          <t>1230.69</t>
        </is>
      </c>
      <c r="E81" s="7" t="inlineStr">
        <is>
          <t>12</t>
        </is>
      </c>
      <c r="F81" t="inlineStr">
        <is>
          <t>Ontario Tennis Association</t>
        </is>
      </c>
      <c r="G81" t="inlineStr">
        <is>
          <t>Toronto Cricket Skating &amp; Curling</t>
        </is>
      </c>
      <c r="H81" s="7" t="inlineStr">
        <is>
          <t>26.4</t>
        </is>
      </c>
      <c r="I81" t="n">
        <v>219</v>
      </c>
      <c r="J81" t="inlineStr">
        <is>
          <t>91 / 128</t>
        </is>
      </c>
      <c r="K81" s="7" t="inlineStr">
        <is>
          <t>47%</t>
        </is>
      </c>
    </row>
    <row r="82">
      <c r="A82" s="9" t="inlineStr">
        <is>
          <t>81 (▼1)</t>
        </is>
      </c>
      <c r="B82" t="inlineStr">
        <is>
          <t>Maia-Alexandra Popa</t>
        </is>
      </c>
      <c r="C82" t="n">
        <v>2012</v>
      </c>
      <c r="D82" s="7" t="inlineStr">
        <is>
          <t>1213.55</t>
        </is>
      </c>
      <c r="E82" s="7" t="inlineStr">
        <is>
          <t>20</t>
        </is>
      </c>
      <c r="F82" t="inlineStr">
        <is>
          <t>Ontario Tennis Association</t>
        </is>
      </c>
      <c r="G82" t="inlineStr">
        <is>
          <t>No Club</t>
        </is>
      </c>
      <c r="H82" s="7" t="inlineStr">
        <is>
          <t>25.2</t>
        </is>
      </c>
      <c r="I82" t="n">
        <v>213</v>
      </c>
      <c r="J82" t="inlineStr">
        <is>
          <t>113 / 100</t>
        </is>
      </c>
      <c r="K82" s="7" t="inlineStr">
        <is>
          <t>67%</t>
        </is>
      </c>
    </row>
    <row r="83">
      <c r="A83" s="9" t="inlineStr">
        <is>
          <t>82 (▼1)</t>
        </is>
      </c>
      <c r="B83" t="inlineStr">
        <is>
          <t>Ruoran Hou</t>
        </is>
      </c>
      <c r="C83" t="n">
        <v>2014</v>
      </c>
      <c r="D83" s="7" t="inlineStr">
        <is>
          <t>1181.09</t>
        </is>
      </c>
      <c r="E83" s="7" t="inlineStr">
        <is>
          <t>16</t>
        </is>
      </c>
      <c r="F83" t="inlineStr">
        <is>
          <t>Tennis Nova Scotia</t>
        </is>
      </c>
      <c r="G83" t="inlineStr">
        <is>
          <t>Atlantic Tennis Centre</t>
        </is>
      </c>
      <c r="H83" s="7" t="inlineStr">
        <is>
          <t>29.1</t>
        </is>
      </c>
      <c r="I83" t="n">
        <v>239</v>
      </c>
      <c r="J83" t="inlineStr">
        <is>
          <t>139 / 100</t>
        </is>
      </c>
      <c r="K83" s="7" t="inlineStr">
        <is>
          <t>60%</t>
        </is>
      </c>
    </row>
    <row r="84">
      <c r="A84" s="9" t="inlineStr">
        <is>
          <t>83 (▼1)</t>
        </is>
      </c>
      <c r="B84" t="inlineStr">
        <is>
          <t>Alessia Lungu</t>
        </is>
      </c>
      <c r="C84" t="n">
        <v>2012</v>
      </c>
      <c r="D84" s="7" t="inlineStr">
        <is>
          <t>1170.89</t>
        </is>
      </c>
      <c r="E84" s="9" t="inlineStr">
        <is>
          <t>7 (-1)</t>
        </is>
      </c>
      <c r="F84" t="inlineStr">
        <is>
          <t>Ontario Tennis Association</t>
        </is>
      </c>
      <c r="G84" t="inlineStr">
        <is>
          <t>Joshua Creek Golf &amp; Tennis</t>
        </is>
      </c>
      <c r="H84" s="7" t="inlineStr">
        <is>
          <t>23.1</t>
        </is>
      </c>
      <c r="I84" t="n">
        <v>188</v>
      </c>
      <c r="J84" t="inlineStr">
        <is>
          <t>121 / 67</t>
        </is>
      </c>
      <c r="K84" s="8" t="inlineStr">
        <is>
          <t>67% (▲5%)</t>
        </is>
      </c>
    </row>
    <row r="85">
      <c r="A85" s="9" t="inlineStr">
        <is>
          <t>84 (▼1)</t>
        </is>
      </c>
      <c r="B85" t="inlineStr">
        <is>
          <t>Ashlee Hanul Yoo</t>
        </is>
      </c>
      <c r="C85" t="n">
        <v>2012</v>
      </c>
      <c r="D85" s="7" t="inlineStr">
        <is>
          <t>1170.50</t>
        </is>
      </c>
      <c r="E85" s="7" t="inlineStr">
        <is>
          <t>11</t>
        </is>
      </c>
      <c r="F85" t="inlineStr">
        <is>
          <t>British Columbia</t>
        </is>
      </c>
      <c r="G85" t="inlineStr">
        <is>
          <t>No Club</t>
        </is>
      </c>
      <c r="H85" s="7" t="inlineStr">
        <is>
          <t>unavailable</t>
        </is>
      </c>
      <c r="I85" t="n">
        <v>205</v>
      </c>
      <c r="J85" t="inlineStr">
        <is>
          <t>109 / 96</t>
        </is>
      </c>
      <c r="K85" s="7" t="inlineStr">
        <is>
          <t>50%</t>
        </is>
      </c>
    </row>
    <row r="86">
      <c r="A86" s="9" t="inlineStr">
        <is>
          <t>85 (▼1)</t>
        </is>
      </c>
      <c r="B86" t="inlineStr">
        <is>
          <t>Halo Boyu Li</t>
        </is>
      </c>
      <c r="C86" t="n">
        <v>2013</v>
      </c>
      <c r="D86" s="7" t="inlineStr">
        <is>
          <t>1165.15</t>
        </is>
      </c>
      <c r="E86" s="7" t="inlineStr">
        <is>
          <t>11</t>
        </is>
      </c>
      <c r="F86" t="inlineStr">
        <is>
          <t>Tennis Saskatchewan</t>
        </is>
      </c>
      <c r="G86" t="inlineStr">
        <is>
          <t>No Club</t>
        </is>
      </c>
      <c r="H86" s="7" t="inlineStr">
        <is>
          <t>30.9</t>
        </is>
      </c>
      <c r="I86" t="n">
        <v>181</v>
      </c>
      <c r="J86" t="inlineStr">
        <is>
          <t>79 / 102</t>
        </is>
      </c>
      <c r="K86" s="7" t="inlineStr">
        <is>
          <t>52%</t>
        </is>
      </c>
    </row>
    <row r="87">
      <c r="A87" s="9" t="inlineStr">
        <is>
          <t>86 (▼1)</t>
        </is>
      </c>
      <c r="B87" t="inlineStr">
        <is>
          <t>Alexsandra Stanislavksy</t>
        </is>
      </c>
      <c r="C87" t="n">
        <v>2012</v>
      </c>
      <c r="D87" s="7" t="inlineStr">
        <is>
          <t>1142.63</t>
        </is>
      </c>
      <c r="E87" s="9" t="inlineStr">
        <is>
          <t>29 (-1)</t>
        </is>
      </c>
      <c r="F87" t="inlineStr">
        <is>
          <t>Ontario Tennis Association</t>
        </is>
      </c>
      <c r="G87" t="inlineStr">
        <is>
          <t>No Club</t>
        </is>
      </c>
      <c r="H87" s="7" t="inlineStr">
        <is>
          <t>28.8</t>
        </is>
      </c>
      <c r="I87" t="n">
        <v>200</v>
      </c>
      <c r="J87" t="inlineStr">
        <is>
          <t>90 / 110</t>
        </is>
      </c>
      <c r="K87" s="7" t="inlineStr">
        <is>
          <t>48%</t>
        </is>
      </c>
    </row>
    <row r="88">
      <c r="A88" s="9" t="inlineStr">
        <is>
          <t>87 (▼1)</t>
        </is>
      </c>
      <c r="B88" t="inlineStr">
        <is>
          <t>Chloé Normandin</t>
        </is>
      </c>
      <c r="C88" t="n">
        <v>2013</v>
      </c>
      <c r="D88" s="7" t="inlineStr">
        <is>
          <t>1139.46</t>
        </is>
      </c>
      <c r="E88" s="9" t="inlineStr">
        <is>
          <t>21 (-1)</t>
        </is>
      </c>
      <c r="F88" t="inlineStr">
        <is>
          <t>Tennis Québec</t>
        </is>
      </c>
      <c r="G88" t="inlineStr">
        <is>
          <t>Tennis Ile- des- Soeurs</t>
        </is>
      </c>
      <c r="H88" s="7" t="inlineStr">
        <is>
          <t>25.7</t>
        </is>
      </c>
      <c r="I88" t="n">
        <v>273</v>
      </c>
      <c r="J88" t="inlineStr">
        <is>
          <t>149 / 124</t>
        </is>
      </c>
      <c r="K88" s="7" t="inlineStr">
        <is>
          <t>62%</t>
        </is>
      </c>
    </row>
    <row r="89">
      <c r="A89" s="9" t="inlineStr">
        <is>
          <t>88 (▼1)</t>
        </is>
      </c>
      <c r="B89" t="inlineStr">
        <is>
          <t>Kate Louise Violet Dee</t>
        </is>
      </c>
      <c r="C89" t="n">
        <v>2012</v>
      </c>
      <c r="D89" s="7" t="inlineStr">
        <is>
          <t>1135.53</t>
        </is>
      </c>
      <c r="E89" s="9" t="inlineStr">
        <is>
          <t>10 (-1)</t>
        </is>
      </c>
      <c r="F89" t="inlineStr">
        <is>
          <t>British Columbia</t>
        </is>
      </c>
      <c r="G89" t="inlineStr">
        <is>
          <t>North Vancouver Tennis Centre</t>
        </is>
      </c>
      <c r="H89" s="7" t="inlineStr">
        <is>
          <t>25.7</t>
        </is>
      </c>
      <c r="I89" t="n">
        <v>244</v>
      </c>
      <c r="J89" t="inlineStr">
        <is>
          <t>136 / 108</t>
        </is>
      </c>
      <c r="K89" s="7" t="inlineStr">
        <is>
          <t>47%</t>
        </is>
      </c>
    </row>
    <row r="90">
      <c r="A90" s="9" t="inlineStr">
        <is>
          <t>89 (▼1)</t>
        </is>
      </c>
      <c r="B90" t="inlineStr">
        <is>
          <t>Sofia Tabunshchyk</t>
        </is>
      </c>
      <c r="C90" t="n">
        <v>2015</v>
      </c>
      <c r="D90" s="7" t="inlineStr">
        <is>
          <t>1122.61</t>
        </is>
      </c>
      <c r="E90" s="8" t="inlineStr">
        <is>
          <t>39 (+1)</t>
        </is>
      </c>
      <c r="F90" t="inlineStr">
        <is>
          <t>Ontario Tennis Association</t>
        </is>
      </c>
      <c r="G90" t="inlineStr">
        <is>
          <t>ACE Tennis - Burlington</t>
        </is>
      </c>
      <c r="H90" s="8" t="inlineStr">
        <is>
          <t>27.4 (▲0.1)</t>
        </is>
      </c>
      <c r="I90" t="n">
        <v>335</v>
      </c>
      <c r="J90" t="inlineStr">
        <is>
          <t>168 / 167</t>
        </is>
      </c>
      <c r="K90" s="9" t="inlineStr">
        <is>
          <t>65% (▼1%)</t>
        </is>
      </c>
    </row>
    <row r="91">
      <c r="A91" s="9" t="inlineStr">
        <is>
          <t>90 (▼1)</t>
        </is>
      </c>
      <c r="B91" t="inlineStr">
        <is>
          <t>Adrienne Keaton Nelson</t>
        </is>
      </c>
      <c r="C91" t="n">
        <v>2012</v>
      </c>
      <c r="D91" s="7" t="inlineStr">
        <is>
          <t>1117.41</t>
        </is>
      </c>
      <c r="E91" s="7" t="inlineStr">
        <is>
          <t>42</t>
        </is>
      </c>
      <c r="F91" t="inlineStr">
        <is>
          <t>Ontario Tennis Association</t>
        </is>
      </c>
      <c r="G91" t="inlineStr">
        <is>
          <t>Blackmore Tennis Club</t>
        </is>
      </c>
      <c r="H91" s="7" t="inlineStr">
        <is>
          <t>26.9</t>
        </is>
      </c>
      <c r="I91" t="n">
        <v>236</v>
      </c>
      <c r="J91" t="inlineStr">
        <is>
          <t>114 / 122</t>
        </is>
      </c>
      <c r="K91" s="7" t="inlineStr">
        <is>
          <t>51%</t>
        </is>
      </c>
    </row>
    <row r="92">
      <c r="A92" s="9" t="inlineStr">
        <is>
          <t>91 (▼1)</t>
        </is>
      </c>
      <c r="B92" t="inlineStr">
        <is>
          <t>Cindy Liu</t>
        </is>
      </c>
      <c r="C92" t="n">
        <v>2013</v>
      </c>
      <c r="D92" s="7" t="inlineStr">
        <is>
          <t>1113.27</t>
        </is>
      </c>
      <c r="E92" s="8" t="inlineStr">
        <is>
          <t>23 (+1)</t>
        </is>
      </c>
      <c r="F92" t="inlineStr">
        <is>
          <t>British Columbia</t>
        </is>
      </c>
      <c r="G92" t="inlineStr">
        <is>
          <t>The Tennis Centre</t>
        </is>
      </c>
      <c r="H92" s="8" t="inlineStr">
        <is>
          <t>25.5 (▲0.2)</t>
        </is>
      </c>
      <c r="I92" t="n">
        <v>199</v>
      </c>
      <c r="J92" t="inlineStr">
        <is>
          <t>105 / 94</t>
        </is>
      </c>
      <c r="K92" s="9" t="inlineStr">
        <is>
          <t>62% (▼1%)</t>
        </is>
      </c>
    </row>
    <row r="93">
      <c r="A93" s="9" t="inlineStr">
        <is>
          <t>92 (▼1)</t>
        </is>
      </c>
      <c r="B93" t="inlineStr">
        <is>
          <t>Alecia Yahan Liu</t>
        </is>
      </c>
      <c r="C93" t="n">
        <v>2012</v>
      </c>
      <c r="D93" s="7" t="inlineStr">
        <is>
          <t>1097.87</t>
        </is>
      </c>
      <c r="E93" s="7" t="inlineStr">
        <is>
          <t>20</t>
        </is>
      </c>
      <c r="F93" t="inlineStr">
        <is>
          <t>Tennis Alberta</t>
        </is>
      </c>
      <c r="G93" t="inlineStr">
        <is>
          <t>Saville Community Sports Centre</t>
        </is>
      </c>
      <c r="H93" s="7" t="inlineStr">
        <is>
          <t>26.2</t>
        </is>
      </c>
      <c r="I93" t="n">
        <v>242</v>
      </c>
      <c r="J93" t="inlineStr">
        <is>
          <t>125 / 117</t>
        </is>
      </c>
      <c r="K93" s="7" t="inlineStr">
        <is>
          <t>51%</t>
        </is>
      </c>
    </row>
    <row r="94">
      <c r="A94" s="9" t="inlineStr">
        <is>
          <t>93 (▼1)</t>
        </is>
      </c>
      <c r="B94" t="inlineStr">
        <is>
          <t>Charlotte Ng</t>
        </is>
      </c>
      <c r="C94" t="n">
        <v>2013</v>
      </c>
      <c r="D94" s="7" t="inlineStr">
        <is>
          <t>1096.86</t>
        </is>
      </c>
      <c r="E94" s="7" t="inlineStr">
        <is>
          <t>28</t>
        </is>
      </c>
      <c r="F94" t="inlineStr">
        <is>
          <t>Ontario Tennis Association</t>
        </is>
      </c>
      <c r="G94" t="inlineStr">
        <is>
          <t>Blackmore Tennis Club</t>
        </is>
      </c>
      <c r="H94" s="7" t="inlineStr">
        <is>
          <t>30.5</t>
        </is>
      </c>
      <c r="I94" t="n">
        <v>220</v>
      </c>
      <c r="J94" t="inlineStr">
        <is>
          <t>124 / 96</t>
        </is>
      </c>
      <c r="K94" s="7" t="inlineStr">
        <is>
          <t>60%</t>
        </is>
      </c>
    </row>
    <row r="95">
      <c r="A95" s="9" t="inlineStr">
        <is>
          <t>94 (▼1)</t>
        </is>
      </c>
      <c r="B95" t="inlineStr">
        <is>
          <t>Emilia Klimek</t>
        </is>
      </c>
      <c r="C95" t="n">
        <v>2012</v>
      </c>
      <c r="D95" s="7" t="inlineStr">
        <is>
          <t>1074.82</t>
        </is>
      </c>
      <c r="E95" s="9" t="inlineStr">
        <is>
          <t>18 (-1)</t>
        </is>
      </c>
      <c r="F95" t="inlineStr">
        <is>
          <t>British Columbia</t>
        </is>
      </c>
      <c r="G95" t="inlineStr">
        <is>
          <t>No Club</t>
        </is>
      </c>
      <c r="H95" s="7" t="inlineStr">
        <is>
          <t>25.9</t>
        </is>
      </c>
      <c r="I95" t="n">
        <v>223</v>
      </c>
      <c r="J95" t="inlineStr">
        <is>
          <t>119 / 104</t>
        </is>
      </c>
      <c r="K95" s="7" t="inlineStr">
        <is>
          <t>62%</t>
        </is>
      </c>
    </row>
    <row r="96">
      <c r="A96" s="9" t="inlineStr">
        <is>
          <t>95 (▼1)</t>
        </is>
      </c>
      <c r="B96" t="inlineStr">
        <is>
          <t>Sophia Gettle</t>
        </is>
      </c>
      <c r="C96" t="n">
        <v>2013</v>
      </c>
      <c r="D96" s="7" t="inlineStr">
        <is>
          <t>1060.25</t>
        </is>
      </c>
      <c r="E96" s="9" t="inlineStr">
        <is>
          <t>12 (-1)</t>
        </is>
      </c>
      <c r="F96" t="inlineStr">
        <is>
          <t>Tennis Saskatchewan</t>
        </is>
      </c>
      <c r="G96" t="inlineStr">
        <is>
          <t>Lakeshore Tennis Club</t>
        </is>
      </c>
      <c r="H96" s="7" t="inlineStr">
        <is>
          <t>unavailable</t>
        </is>
      </c>
      <c r="I96" t="n">
        <v>209</v>
      </c>
      <c r="J96" t="inlineStr">
        <is>
          <t>92 / 117</t>
        </is>
      </c>
      <c r="K96" s="7" t="inlineStr">
        <is>
          <t>43%</t>
        </is>
      </c>
    </row>
    <row r="97">
      <c r="A97" s="9" t="inlineStr">
        <is>
          <t>96 (▼1)</t>
        </is>
      </c>
      <c r="B97" t="inlineStr">
        <is>
          <t>Laura Patsynka</t>
        </is>
      </c>
      <c r="C97" t="n">
        <v>2012</v>
      </c>
      <c r="D97" s="7" t="inlineStr">
        <is>
          <t>1060.10</t>
        </is>
      </c>
      <c r="E97" s="9" t="inlineStr">
        <is>
          <t>27 (-1)</t>
        </is>
      </c>
      <c r="F97" t="inlineStr">
        <is>
          <t>Ontario Tennis Association</t>
        </is>
      </c>
      <c r="G97" t="inlineStr">
        <is>
          <t>SmartVMC Racquetsports by ACE</t>
        </is>
      </c>
      <c r="H97" s="7" t="inlineStr">
        <is>
          <t>unavailable</t>
        </is>
      </c>
      <c r="I97" t="n">
        <v>205</v>
      </c>
      <c r="J97" t="inlineStr">
        <is>
          <t>81 / 124</t>
        </is>
      </c>
      <c r="K97" s="7" t="inlineStr">
        <is>
          <t>32%</t>
        </is>
      </c>
    </row>
    <row r="98">
      <c r="A98" s="9" t="inlineStr">
        <is>
          <t>97 (▼1)</t>
        </is>
      </c>
      <c r="B98" t="inlineStr">
        <is>
          <t>Victoria Markova</t>
        </is>
      </c>
      <c r="C98" t="n">
        <v>2014</v>
      </c>
      <c r="D98" s="7" t="inlineStr">
        <is>
          <t>1059.34</t>
        </is>
      </c>
      <c r="E98" s="8" t="inlineStr">
        <is>
          <t>25 (+1)</t>
        </is>
      </c>
      <c r="F98" t="inlineStr">
        <is>
          <t>Tennis Québec</t>
        </is>
      </c>
      <c r="G98" t="inlineStr">
        <is>
          <t>Carrefour Multisports</t>
        </is>
      </c>
      <c r="H98" s="8" t="inlineStr">
        <is>
          <t>28.9 (▲0.1)</t>
        </is>
      </c>
      <c r="I98" t="n">
        <v>243</v>
      </c>
      <c r="J98" t="inlineStr">
        <is>
          <t>133 / 110</t>
        </is>
      </c>
      <c r="K98" s="9" t="inlineStr">
        <is>
          <t>60% (▼1%)</t>
        </is>
      </c>
    </row>
    <row r="99">
      <c r="A99" s="8" t="inlineStr">
        <is>
          <t>98 (▲14)</t>
        </is>
      </c>
      <c r="B99" t="inlineStr">
        <is>
          <t>Natalia Sena</t>
        </is>
      </c>
      <c r="C99" t="n">
        <v>2013</v>
      </c>
      <c r="D99" s="8" t="inlineStr">
        <is>
          <t>1054.44 (▲189.94)</t>
        </is>
      </c>
      <c r="E99" s="8" t="inlineStr">
        <is>
          <t>30 (+1)</t>
        </is>
      </c>
      <c r="F99" t="inlineStr">
        <is>
          <t>Tennis Québec</t>
        </is>
      </c>
      <c r="G99" t="inlineStr">
        <is>
          <t>No Club</t>
        </is>
      </c>
      <c r="H99" s="8" t="inlineStr">
        <is>
          <t>28.4 (▲0.4)</t>
        </is>
      </c>
      <c r="I99" t="n">
        <v>99</v>
      </c>
      <c r="J99" t="inlineStr">
        <is>
          <t>52 / 47</t>
        </is>
      </c>
      <c r="K99" s="7" t="inlineStr">
        <is>
          <t>65%</t>
        </is>
      </c>
    </row>
    <row r="100">
      <c r="A100" s="9" t="inlineStr">
        <is>
          <t>99 (▼2)</t>
        </is>
      </c>
      <c r="B100" t="inlineStr">
        <is>
          <t>JOANNA QIHENG FEI</t>
        </is>
      </c>
      <c r="C100" t="n">
        <v>2014</v>
      </c>
      <c r="D100" s="7" t="inlineStr">
        <is>
          <t>1051.66</t>
        </is>
      </c>
      <c r="E100" s="9" t="inlineStr">
        <is>
          <t>18 (-1)</t>
        </is>
      </c>
      <c r="F100" t="inlineStr">
        <is>
          <t>British Columbia</t>
        </is>
      </c>
      <c r="G100" t="inlineStr">
        <is>
          <t>Richmond Country Club</t>
        </is>
      </c>
      <c r="H100" s="7" t="inlineStr">
        <is>
          <t>25.9</t>
        </is>
      </c>
      <c r="I100" t="n">
        <v>271</v>
      </c>
      <c r="J100" t="inlineStr">
        <is>
          <t>135 / 136</t>
        </is>
      </c>
      <c r="K100" s="7" t="inlineStr">
        <is>
          <t>68%</t>
        </is>
      </c>
    </row>
    <row r="101">
      <c r="A101" s="9" t="inlineStr">
        <is>
          <t>100 (▼2)</t>
        </is>
      </c>
      <c r="B101" t="inlineStr">
        <is>
          <t>Margarita Ter-Grigoryan</t>
        </is>
      </c>
      <c r="C101" t="n">
        <v>2012</v>
      </c>
      <c r="D101" s="7" t="inlineStr">
        <is>
          <t>1020.42</t>
        </is>
      </c>
      <c r="E101" s="9" t="inlineStr">
        <is>
          <t>13 (-1)</t>
        </is>
      </c>
      <c r="F101" t="inlineStr">
        <is>
          <t>Tennis Saskatchewan</t>
        </is>
      </c>
      <c r="G101" t="inlineStr">
        <is>
          <t>No Club</t>
        </is>
      </c>
      <c r="H101" s="7" t="inlineStr">
        <is>
          <t>29.9</t>
        </is>
      </c>
      <c r="I101" t="n">
        <v>130</v>
      </c>
      <c r="J101" t="inlineStr">
        <is>
          <t>70 / 60</t>
        </is>
      </c>
      <c r="K101" s="7" t="inlineStr">
        <is>
          <t>50%</t>
        </is>
      </c>
    </row>
    <row r="102">
      <c r="A102" s="9" t="inlineStr">
        <is>
          <t>101 (▼2)</t>
        </is>
      </c>
      <c r="B102" t="inlineStr">
        <is>
          <t>Amelia Karapalevski</t>
        </is>
      </c>
      <c r="C102" t="n">
        <v>2013</v>
      </c>
      <c r="D102" s="7" t="inlineStr">
        <is>
          <t>1010.26</t>
        </is>
      </c>
      <c r="E102" s="8" t="inlineStr">
        <is>
          <t>32 (+1)</t>
        </is>
      </c>
      <c r="F102" t="inlineStr">
        <is>
          <t>Ontario Tennis Association</t>
        </is>
      </c>
      <c r="G102" t="inlineStr">
        <is>
          <t>SmartVMC Racquetsports by ACE</t>
        </is>
      </c>
      <c r="H102" s="7" t="inlineStr">
        <is>
          <t>27.6</t>
        </is>
      </c>
      <c r="I102" t="n">
        <v>227</v>
      </c>
      <c r="J102" t="inlineStr">
        <is>
          <t>131 / 96</t>
        </is>
      </c>
      <c r="K102" s="7" t="inlineStr">
        <is>
          <t>60%</t>
        </is>
      </c>
    </row>
    <row r="103">
      <c r="A103" s="8" t="inlineStr">
        <is>
          <t>102 (▲8)</t>
        </is>
      </c>
      <c r="B103" t="inlineStr">
        <is>
          <t>Jeanne Lampron</t>
        </is>
      </c>
      <c r="C103" t="n">
        <v>2013</v>
      </c>
      <c r="D103" s="8" t="inlineStr">
        <is>
          <t>1005.79 (▲130.03)</t>
        </is>
      </c>
      <c r="E103" s="8" t="inlineStr">
        <is>
          <t>24 (+1)</t>
        </is>
      </c>
      <c r="F103" t="inlineStr">
        <is>
          <t>Tennis Québec</t>
        </is>
      </c>
      <c r="G103" t="inlineStr">
        <is>
          <t>Tennis Montréal Excellence</t>
        </is>
      </c>
      <c r="H103" s="8" t="inlineStr">
        <is>
          <t>25.9 (▲0.5)</t>
        </is>
      </c>
      <c r="I103" t="n">
        <v>141</v>
      </c>
      <c r="J103" t="inlineStr">
        <is>
          <t>67 / 74</t>
        </is>
      </c>
      <c r="K103" s="9" t="inlineStr">
        <is>
          <t>54% (▼1%)</t>
        </is>
      </c>
    </row>
    <row r="104">
      <c r="A104" s="9" t="inlineStr">
        <is>
          <t>103 (▼3)</t>
        </is>
      </c>
      <c r="B104" t="inlineStr">
        <is>
          <t>Estelle Kroupetski</t>
        </is>
      </c>
      <c r="C104" t="n">
        <v>2012</v>
      </c>
      <c r="D104" s="7" t="inlineStr">
        <is>
          <t>982.26</t>
        </is>
      </c>
      <c r="E104" s="7" t="inlineStr">
        <is>
          <t>20</t>
        </is>
      </c>
      <c r="F104" t="inlineStr">
        <is>
          <t>Ontario Tennis Association</t>
        </is>
      </c>
      <c r="G104" t="inlineStr">
        <is>
          <t>Ontario Racquet Club</t>
        </is>
      </c>
      <c r="H104" s="7" t="inlineStr">
        <is>
          <t>27.2</t>
        </is>
      </c>
      <c r="I104" t="n">
        <v>151</v>
      </c>
      <c r="J104" t="inlineStr">
        <is>
          <t>77 / 74</t>
        </is>
      </c>
      <c r="K104" s="7" t="inlineStr">
        <is>
          <t>73%</t>
        </is>
      </c>
    </row>
    <row r="105">
      <c r="A105" s="9" t="inlineStr">
        <is>
          <t>104 (▼3)</t>
        </is>
      </c>
      <c r="B105" t="inlineStr">
        <is>
          <t>Aubrianna Ellen York</t>
        </is>
      </c>
      <c r="C105" t="n">
        <v>2013</v>
      </c>
      <c r="D105" s="7" t="inlineStr">
        <is>
          <t>970.94</t>
        </is>
      </c>
      <c r="E105" s="7" t="inlineStr">
        <is>
          <t>18</t>
        </is>
      </c>
      <c r="F105" t="inlineStr">
        <is>
          <t>Tennis Alberta</t>
        </is>
      </c>
      <c r="G105" t="inlineStr">
        <is>
          <t>Aforza</t>
        </is>
      </c>
      <c r="H105" s="7" t="inlineStr">
        <is>
          <t>27.1</t>
        </is>
      </c>
      <c r="I105" t="n">
        <v>218</v>
      </c>
      <c r="J105" t="inlineStr">
        <is>
          <t>116 / 102</t>
        </is>
      </c>
      <c r="K105" s="7" t="inlineStr">
        <is>
          <t>61%</t>
        </is>
      </c>
    </row>
    <row r="106">
      <c r="A106" s="9" t="inlineStr">
        <is>
          <t>105 (▼3)</t>
        </is>
      </c>
      <c r="B106" t="inlineStr">
        <is>
          <t>Qiuyue Li</t>
        </is>
      </c>
      <c r="C106" t="n">
        <v>2014</v>
      </c>
      <c r="D106" s="7" t="inlineStr">
        <is>
          <t>961.80</t>
        </is>
      </c>
      <c r="E106" s="7" t="inlineStr">
        <is>
          <t>5</t>
        </is>
      </c>
      <c r="F106" t="inlineStr">
        <is>
          <t>Ontario Tennis Association</t>
        </is>
      </c>
      <c r="G106" t="inlineStr">
        <is>
          <t>No Club</t>
        </is>
      </c>
      <c r="H106" s="7" t="inlineStr">
        <is>
          <t>26.6</t>
        </is>
      </c>
      <c r="I106" t="n">
        <v>26</v>
      </c>
      <c r="J106" t="inlineStr">
        <is>
          <t>24 / 2</t>
        </is>
      </c>
      <c r="K106" s="7" t="inlineStr">
        <is>
          <t>93%</t>
        </is>
      </c>
    </row>
    <row r="107">
      <c r="A107" s="9" t="inlineStr">
        <is>
          <t>106 (▼3)</t>
        </is>
      </c>
      <c r="B107" t="inlineStr">
        <is>
          <t>Chloe Lou Friesen</t>
        </is>
      </c>
      <c r="C107" t="n">
        <v>2012</v>
      </c>
      <c r="D107" s="7" t="inlineStr">
        <is>
          <t>959.69</t>
        </is>
      </c>
      <c r="E107" s="7" t="inlineStr">
        <is>
          <t>17</t>
        </is>
      </c>
      <c r="F107" t="inlineStr">
        <is>
          <t>British Columbia</t>
        </is>
      </c>
      <c r="G107" t="inlineStr">
        <is>
          <t>Vancouver Lawn Tennis and Badminton Club</t>
        </is>
      </c>
      <c r="H107" s="8" t="inlineStr">
        <is>
          <t>25.7 (▲0.2)</t>
        </is>
      </c>
      <c r="I107" t="n">
        <v>239</v>
      </c>
      <c r="J107" t="inlineStr">
        <is>
          <t>131 / 108</t>
        </is>
      </c>
      <c r="K107" s="9" t="inlineStr">
        <is>
          <t>59% (▼1%)</t>
        </is>
      </c>
    </row>
    <row r="108">
      <c r="A108" s="9" t="inlineStr">
        <is>
          <t>107 (▼3)</t>
        </is>
      </c>
      <c r="B108" t="inlineStr">
        <is>
          <t>Evelyn J.C. Liu</t>
        </is>
      </c>
      <c r="C108" t="n">
        <v>2015</v>
      </c>
      <c r="D108" s="7" t="inlineStr">
        <is>
          <t>945.35</t>
        </is>
      </c>
      <c r="E108" s="8" t="inlineStr">
        <is>
          <t>17 (+1)</t>
        </is>
      </c>
      <c r="F108" t="inlineStr">
        <is>
          <t>British Columbia</t>
        </is>
      </c>
      <c r="G108" t="inlineStr">
        <is>
          <t>Vancouver Lawn Tennis and Badminton Club</t>
        </is>
      </c>
      <c r="H108" s="9" t="inlineStr">
        <is>
          <t>27.0 (▼0.1)</t>
        </is>
      </c>
      <c r="I108" t="n">
        <v>273</v>
      </c>
      <c r="J108" t="inlineStr">
        <is>
          <t>152 / 121</t>
        </is>
      </c>
      <c r="K108" s="9" t="inlineStr">
        <is>
          <t>63% (▼2%)</t>
        </is>
      </c>
    </row>
    <row r="109">
      <c r="A109" s="9" t="inlineStr">
        <is>
          <t>108 (▼3)</t>
        </is>
      </c>
      <c r="B109" t="inlineStr">
        <is>
          <t>Aahana Guha</t>
        </is>
      </c>
      <c r="C109" t="n">
        <v>2015</v>
      </c>
      <c r="D109" s="7" t="inlineStr">
        <is>
          <t>944.75</t>
        </is>
      </c>
      <c r="E109" s="9" t="inlineStr">
        <is>
          <t>11 (-1)</t>
        </is>
      </c>
      <c r="F109" t="inlineStr">
        <is>
          <t>Tennis Saskatchewan</t>
        </is>
      </c>
      <c r="G109" t="inlineStr">
        <is>
          <t>Lakeshore Tennis Club</t>
        </is>
      </c>
      <c r="H109" s="7" t="inlineStr">
        <is>
          <t>30.8</t>
        </is>
      </c>
      <c r="I109" t="n">
        <v>171</v>
      </c>
      <c r="J109" t="inlineStr">
        <is>
          <t>90 / 81</t>
        </is>
      </c>
      <c r="K109" s="7" t="inlineStr">
        <is>
          <t>60%</t>
        </is>
      </c>
    </row>
    <row r="110">
      <c r="A110" s="9" t="inlineStr">
        <is>
          <t>109 (▼3)</t>
        </is>
      </c>
      <c r="B110" t="inlineStr">
        <is>
          <t>Emma Abdou</t>
        </is>
      </c>
      <c r="C110" t="n">
        <v>2012</v>
      </c>
      <c r="D110" s="7" t="inlineStr">
        <is>
          <t>933.24</t>
        </is>
      </c>
      <c r="E110" s="7" t="inlineStr">
        <is>
          <t>35</t>
        </is>
      </c>
      <c r="F110" t="inlineStr">
        <is>
          <t>Ontario Tennis Association</t>
        </is>
      </c>
      <c r="G110" t="inlineStr">
        <is>
          <t>Granite Club</t>
        </is>
      </c>
      <c r="H110" s="9" t="inlineStr">
        <is>
          <t>30.1 (▼0.1)</t>
        </is>
      </c>
      <c r="I110" t="n">
        <v>220</v>
      </c>
      <c r="J110" t="inlineStr">
        <is>
          <t>103 / 117</t>
        </is>
      </c>
      <c r="K110" s="9" t="inlineStr">
        <is>
          <t>51% (▼1%)</t>
        </is>
      </c>
    </row>
    <row r="111">
      <c r="A111" s="9" t="inlineStr">
        <is>
          <t>110 (▼3)</t>
        </is>
      </c>
      <c r="B111" t="inlineStr">
        <is>
          <t>Akshara Bavanaka</t>
        </is>
      </c>
      <c r="C111" t="n">
        <v>2013</v>
      </c>
      <c r="D111" s="7" t="inlineStr">
        <is>
          <t>923.84</t>
        </is>
      </c>
      <c r="E111" s="9" t="inlineStr">
        <is>
          <t>36 (-1)</t>
        </is>
      </c>
      <c r="F111" t="inlineStr">
        <is>
          <t>Ontario Tennis Association</t>
        </is>
      </c>
      <c r="G111" t="inlineStr">
        <is>
          <t>Advantage Tennis International at Veneto</t>
        </is>
      </c>
      <c r="H111" s="7" t="inlineStr">
        <is>
          <t>30.3</t>
        </is>
      </c>
      <c r="I111" t="n">
        <v>241</v>
      </c>
      <c r="J111" t="inlineStr">
        <is>
          <t>123 / 118</t>
        </is>
      </c>
      <c r="K111" s="7" t="inlineStr">
        <is>
          <t>45%</t>
        </is>
      </c>
    </row>
    <row r="112">
      <c r="A112" s="9" t="inlineStr">
        <is>
          <t>111 (▼3)</t>
        </is>
      </c>
      <c r="B112" t="inlineStr">
        <is>
          <t>Nyah Morgan</t>
        </is>
      </c>
      <c r="C112" t="n">
        <v>2014</v>
      </c>
      <c r="D112" s="7" t="inlineStr">
        <is>
          <t>920.14</t>
        </is>
      </c>
      <c r="E112" s="7" t="inlineStr">
        <is>
          <t>23</t>
        </is>
      </c>
      <c r="F112" t="inlineStr">
        <is>
          <t>Ontario Tennis Association</t>
        </is>
      </c>
      <c r="G112" t="inlineStr">
        <is>
          <t>Premier Racquet Clubs – Mississauga</t>
        </is>
      </c>
      <c r="H112" s="7" t="inlineStr">
        <is>
          <t>28.0</t>
        </is>
      </c>
      <c r="I112" t="n">
        <v>214</v>
      </c>
      <c r="J112" t="inlineStr">
        <is>
          <t>138 / 76</t>
        </is>
      </c>
      <c r="K112" s="7" t="inlineStr">
        <is>
          <t>64%</t>
        </is>
      </c>
    </row>
    <row r="113">
      <c r="A113" s="9" t="inlineStr">
        <is>
          <t>112 (▼3)</t>
        </is>
      </c>
      <c r="B113" t="inlineStr">
        <is>
          <t>Mia Nikolovska</t>
        </is>
      </c>
      <c r="C113" t="n">
        <v>2013</v>
      </c>
      <c r="D113" s="9" t="inlineStr">
        <is>
          <t>894.76 (▼1.20)</t>
        </is>
      </c>
      <c r="E113" s="9" t="inlineStr">
        <is>
          <t>32 (-1)</t>
        </is>
      </c>
      <c r="F113" t="inlineStr">
        <is>
          <t>Ontario Tennis Association</t>
        </is>
      </c>
      <c r="G113" t="inlineStr">
        <is>
          <t>No Club</t>
        </is>
      </c>
      <c r="H113" s="7" t="inlineStr">
        <is>
          <t>unavailable</t>
        </is>
      </c>
      <c r="I113" t="n">
        <v>366</v>
      </c>
      <c r="J113" t="inlineStr">
        <is>
          <t>223 / 143</t>
        </is>
      </c>
      <c r="K113" s="7" t="inlineStr">
        <is>
          <t>60%</t>
        </is>
      </c>
    </row>
    <row r="114">
      <c r="A114" s="9" t="inlineStr">
        <is>
          <t>113 (▼2)</t>
        </is>
      </c>
      <c r="B114" t="inlineStr">
        <is>
          <t>Emilie Joly</t>
        </is>
      </c>
      <c r="C114" t="n">
        <v>2015</v>
      </c>
      <c r="D114" s="7" t="inlineStr">
        <is>
          <t>865.32</t>
        </is>
      </c>
      <c r="E114" s="9" t="inlineStr">
        <is>
          <t>15 (-1)</t>
        </is>
      </c>
      <c r="F114" t="inlineStr">
        <is>
          <t>Ontario Tennis Association</t>
        </is>
      </c>
      <c r="G114" t="inlineStr">
        <is>
          <t>Kingston Racquet Centre</t>
        </is>
      </c>
      <c r="H114" s="7" t="inlineStr">
        <is>
          <t>27.5</t>
        </is>
      </c>
      <c r="I114" t="n">
        <v>224</v>
      </c>
      <c r="J114" t="inlineStr">
        <is>
          <t>156 / 68</t>
        </is>
      </c>
      <c r="K114" s="7" t="inlineStr">
        <is>
          <t>80%</t>
        </is>
      </c>
    </row>
    <row r="115">
      <c r="A115" s="9" t="inlineStr">
        <is>
          <t>114 (▼1)</t>
        </is>
      </c>
      <c r="B115" t="inlineStr">
        <is>
          <t>Jaydalie Isaac</t>
        </is>
      </c>
      <c r="C115" t="n">
        <v>2012</v>
      </c>
      <c r="D115" s="7" t="inlineStr">
        <is>
          <t>851.11</t>
        </is>
      </c>
      <c r="E115" s="7" t="inlineStr">
        <is>
          <t>13</t>
        </is>
      </c>
      <c r="F115" t="inlineStr">
        <is>
          <t>Tennis Québec</t>
        </is>
      </c>
      <c r="G115" t="inlineStr">
        <is>
          <t>No Club</t>
        </is>
      </c>
      <c r="H115" s="7" t="inlineStr">
        <is>
          <t>27.9</t>
        </is>
      </c>
      <c r="I115" t="n">
        <v>235</v>
      </c>
      <c r="J115" t="inlineStr">
        <is>
          <t>111 / 124</t>
        </is>
      </c>
      <c r="K115" s="7" t="inlineStr">
        <is>
          <t>64%</t>
        </is>
      </c>
    </row>
    <row r="116">
      <c r="A116" s="9" t="inlineStr">
        <is>
          <t>115 (▼1)</t>
        </is>
      </c>
      <c r="B116" t="inlineStr">
        <is>
          <t>Thanida (Belle) Shaipanich</t>
        </is>
      </c>
      <c r="C116" t="n">
        <v>2014</v>
      </c>
      <c r="D116" s="7" t="inlineStr">
        <is>
          <t>835.51</t>
        </is>
      </c>
      <c r="E116" s="9" t="inlineStr">
        <is>
          <t>13 (-1)</t>
        </is>
      </c>
      <c r="F116" t="inlineStr">
        <is>
          <t>British Columbia</t>
        </is>
      </c>
      <c r="G116" t="inlineStr">
        <is>
          <t>UBC Tennis Centre</t>
        </is>
      </c>
      <c r="H116" s="7" t="inlineStr">
        <is>
          <t>27.6</t>
        </is>
      </c>
      <c r="I116" t="n">
        <v>206</v>
      </c>
      <c r="J116" t="inlineStr">
        <is>
          <t>148 / 58</t>
        </is>
      </c>
      <c r="K116" s="7" t="inlineStr">
        <is>
          <t>60%</t>
        </is>
      </c>
    </row>
    <row r="117">
      <c r="A117" s="9" t="inlineStr">
        <is>
          <t>116 (▼1)</t>
        </is>
      </c>
      <c r="B117" t="inlineStr">
        <is>
          <t>Zenaida May Kolesnikov</t>
        </is>
      </c>
      <c r="C117" t="n">
        <v>2012</v>
      </c>
      <c r="D117" s="7" t="inlineStr">
        <is>
          <t>834.88</t>
        </is>
      </c>
      <c r="E117" s="7" t="inlineStr">
        <is>
          <t>5</t>
        </is>
      </c>
      <c r="F117" t="inlineStr">
        <is>
          <t>Ontario Tennis Association</t>
        </is>
      </c>
      <c r="G117" t="inlineStr">
        <is>
          <t>Kew Gardens Tennis Club</t>
        </is>
      </c>
      <c r="H117" s="7" t="inlineStr">
        <is>
          <t>24.2</t>
        </is>
      </c>
      <c r="I117" t="n">
        <v>87</v>
      </c>
      <c r="J117" t="inlineStr">
        <is>
          <t>67 / 20</t>
        </is>
      </c>
      <c r="K117" s="7" t="inlineStr">
        <is>
          <t>81%</t>
        </is>
      </c>
    </row>
    <row r="118">
      <c r="A118" s="9" t="inlineStr">
        <is>
          <t>117 (▼1)</t>
        </is>
      </c>
      <c r="B118" t="inlineStr">
        <is>
          <t>Edwina Ed Xue</t>
        </is>
      </c>
      <c r="C118" t="n">
        <v>2014</v>
      </c>
      <c r="D118" s="7" t="inlineStr">
        <is>
          <t>821.78</t>
        </is>
      </c>
      <c r="E118" s="9" t="inlineStr">
        <is>
          <t>18 (-1)</t>
        </is>
      </c>
      <c r="F118" t="inlineStr">
        <is>
          <t>Ontario Tennis Association</t>
        </is>
      </c>
      <c r="G118" t="inlineStr">
        <is>
          <t>Granite Club</t>
        </is>
      </c>
      <c r="H118" s="7" t="inlineStr">
        <is>
          <t>28.5</t>
        </is>
      </c>
      <c r="I118" t="n">
        <v>288</v>
      </c>
      <c r="J118" t="inlineStr">
        <is>
          <t>169 / 119</t>
        </is>
      </c>
      <c r="K118" s="7" t="inlineStr">
        <is>
          <t>56%</t>
        </is>
      </c>
    </row>
    <row r="119">
      <c r="A119" s="9" t="inlineStr">
        <is>
          <t>118 (▼1)</t>
        </is>
      </c>
      <c r="B119" t="inlineStr">
        <is>
          <t>Olivia Lu</t>
        </is>
      </c>
      <c r="C119" t="n">
        <v>2015</v>
      </c>
      <c r="D119" s="7" t="inlineStr">
        <is>
          <t>814.57</t>
        </is>
      </c>
      <c r="E119" s="9" t="inlineStr">
        <is>
          <t>21 (-1)</t>
        </is>
      </c>
      <c r="F119" t="inlineStr">
        <is>
          <t>Ontario Tennis Association</t>
        </is>
      </c>
      <c r="G119" t="inlineStr">
        <is>
          <t>Advantage Tennis International at Veneto</t>
        </is>
      </c>
      <c r="H119" s="7" t="inlineStr">
        <is>
          <t>30.8</t>
        </is>
      </c>
      <c r="I119" t="n">
        <v>165</v>
      </c>
      <c r="J119" t="inlineStr">
        <is>
          <t>95 / 70</t>
        </is>
      </c>
      <c r="K119" s="7" t="inlineStr">
        <is>
          <t>61%</t>
        </is>
      </c>
    </row>
    <row r="120">
      <c r="A120" s="9" t="inlineStr">
        <is>
          <t>119 (▼1)</t>
        </is>
      </c>
      <c r="B120" t="inlineStr">
        <is>
          <t>Fengfei ZHANG</t>
        </is>
      </c>
      <c r="C120" t="n">
        <v>2014</v>
      </c>
      <c r="D120" s="7" t="inlineStr">
        <is>
          <t>806.84</t>
        </is>
      </c>
      <c r="E120" s="7" t="inlineStr">
        <is>
          <t>30</t>
        </is>
      </c>
      <c r="F120" t="inlineStr">
        <is>
          <t>Tennis Québec</t>
        </is>
      </c>
      <c r="G120" t="inlineStr">
        <is>
          <t>Tennis Ile- des- Soeurs</t>
        </is>
      </c>
      <c r="H120" s="9" t="inlineStr">
        <is>
          <t>28.5 (▼0.2)</t>
        </is>
      </c>
      <c r="I120" t="n">
        <v>248</v>
      </c>
      <c r="J120" t="inlineStr">
        <is>
          <t>113 / 135</t>
        </is>
      </c>
      <c r="K120" s="9" t="inlineStr">
        <is>
          <t>56% (▼0%)</t>
        </is>
      </c>
    </row>
    <row r="121">
      <c r="A121" s="9" t="inlineStr">
        <is>
          <t>120 (▼1)</t>
        </is>
      </c>
      <c r="B121" t="inlineStr">
        <is>
          <t>Penelope Brandt</t>
        </is>
      </c>
      <c r="C121" t="n">
        <v>2012</v>
      </c>
      <c r="D121" s="7" t="inlineStr">
        <is>
          <t>793.88</t>
        </is>
      </c>
      <c r="E121" s="7" t="inlineStr">
        <is>
          <t>24</t>
        </is>
      </c>
      <c r="F121" t="inlineStr">
        <is>
          <t>Tennis Québec</t>
        </is>
      </c>
      <c r="G121" t="inlineStr">
        <is>
          <t>SANI Sport</t>
        </is>
      </c>
      <c r="H121" s="7" t="inlineStr">
        <is>
          <t>27.8</t>
        </is>
      </c>
      <c r="I121" t="n">
        <v>251</v>
      </c>
      <c r="J121" t="inlineStr">
        <is>
          <t>127 / 124</t>
        </is>
      </c>
      <c r="K121" s="7" t="inlineStr">
        <is>
          <t>60%</t>
        </is>
      </c>
    </row>
    <row r="122">
      <c r="A122" s="9" t="inlineStr">
        <is>
          <t>121 (▼1)</t>
        </is>
      </c>
      <c r="B122" t="inlineStr">
        <is>
          <t>Joanna Pananchickal</t>
        </is>
      </c>
      <c r="C122" t="n">
        <v>2012</v>
      </c>
      <c r="D122" s="7" t="inlineStr">
        <is>
          <t>788.02</t>
        </is>
      </c>
      <c r="E122" s="9" t="inlineStr">
        <is>
          <t>13 (-1)</t>
        </is>
      </c>
      <c r="F122" t="inlineStr">
        <is>
          <t>Ontario Tennis Association</t>
        </is>
      </c>
      <c r="G122" t="inlineStr">
        <is>
          <t>No Club</t>
        </is>
      </c>
      <c r="H122" s="7" t="inlineStr">
        <is>
          <t>29.5</t>
        </is>
      </c>
      <c r="I122" t="n">
        <v>75</v>
      </c>
      <c r="J122" t="inlineStr">
        <is>
          <t>36 / 39</t>
        </is>
      </c>
      <c r="K122" s="9" t="inlineStr">
        <is>
          <t>62% (▼5%)</t>
        </is>
      </c>
    </row>
    <row r="123">
      <c r="A123" s="9" t="inlineStr">
        <is>
          <t>122 (▼1)</t>
        </is>
      </c>
      <c r="B123" t="inlineStr">
        <is>
          <t>Melanie Moon</t>
        </is>
      </c>
      <c r="C123" t="n">
        <v>2013</v>
      </c>
      <c r="D123" s="7" t="inlineStr">
        <is>
          <t>784.84</t>
        </is>
      </c>
      <c r="E123" s="9" t="inlineStr">
        <is>
          <t>14 (-1)</t>
        </is>
      </c>
      <c r="F123" t="inlineStr">
        <is>
          <t>British Columbia</t>
        </is>
      </c>
      <c r="G123" t="inlineStr">
        <is>
          <t>Vancouver Lawn Tennis and Badminton Club</t>
        </is>
      </c>
      <c r="H123" s="7" t="inlineStr">
        <is>
          <t>28.1</t>
        </is>
      </c>
      <c r="I123" t="n">
        <v>236</v>
      </c>
      <c r="J123" t="inlineStr">
        <is>
          <t>119 / 117</t>
        </is>
      </c>
      <c r="K123" s="7" t="inlineStr">
        <is>
          <t>37%</t>
        </is>
      </c>
    </row>
    <row r="124">
      <c r="A124" s="9" t="inlineStr">
        <is>
          <t>123 (▼1)</t>
        </is>
      </c>
      <c r="B124" t="inlineStr">
        <is>
          <t>Élianne Bouchard</t>
        </is>
      </c>
      <c r="C124" t="n">
        <v>2013</v>
      </c>
      <c r="D124" s="7" t="inlineStr">
        <is>
          <t>784.31</t>
        </is>
      </c>
      <c r="E124" s="9" t="inlineStr">
        <is>
          <t>30 (-1)</t>
        </is>
      </c>
      <c r="F124" t="inlineStr">
        <is>
          <t>Tennis Québec</t>
        </is>
      </c>
      <c r="G124" t="inlineStr">
        <is>
          <t>Tennis Interclub Piedmont</t>
        </is>
      </c>
      <c r="H124" s="7" t="inlineStr">
        <is>
          <t>29.5</t>
        </is>
      </c>
      <c r="I124" t="n">
        <v>255</v>
      </c>
      <c r="J124" t="inlineStr">
        <is>
          <t>121 / 134</t>
        </is>
      </c>
      <c r="K124" s="7" t="inlineStr">
        <is>
          <t>56%</t>
        </is>
      </c>
    </row>
    <row r="125">
      <c r="A125" s="9" t="inlineStr">
        <is>
          <t>124 (▼1)</t>
        </is>
      </c>
      <c r="B125" t="inlineStr">
        <is>
          <t>Navya Chawla</t>
        </is>
      </c>
      <c r="C125" t="n">
        <v>2013</v>
      </c>
      <c r="D125" s="7" t="inlineStr">
        <is>
          <t>777.96</t>
        </is>
      </c>
      <c r="E125" s="7" t="inlineStr">
        <is>
          <t>18</t>
        </is>
      </c>
      <c r="F125" t="inlineStr">
        <is>
          <t>Tennis Alberta</t>
        </is>
      </c>
      <c r="G125" t="inlineStr">
        <is>
          <t>Osten &amp; Victor Alberta Tennis Centre</t>
        </is>
      </c>
      <c r="H125" s="7" t="inlineStr">
        <is>
          <t>24.5</t>
        </is>
      </c>
      <c r="I125" t="n">
        <v>281</v>
      </c>
      <c r="J125" t="inlineStr">
        <is>
          <t>178 / 103</t>
        </is>
      </c>
      <c r="K125" s="7" t="inlineStr">
        <is>
          <t>52%</t>
        </is>
      </c>
    </row>
    <row r="126">
      <c r="A126" s="9" t="inlineStr">
        <is>
          <t>125 (▼1)</t>
        </is>
      </c>
      <c r="B126" t="inlineStr">
        <is>
          <t>Anna Lucenti</t>
        </is>
      </c>
      <c r="C126" t="n">
        <v>2012</v>
      </c>
      <c r="D126" s="7" t="inlineStr">
        <is>
          <t>766.53</t>
        </is>
      </c>
      <c r="E126" s="9" t="inlineStr">
        <is>
          <t>26 (-1)</t>
        </is>
      </c>
      <c r="F126" t="inlineStr">
        <is>
          <t>Ontario Tennis Association</t>
        </is>
      </c>
      <c r="G126" t="inlineStr">
        <is>
          <t>SmartVMC Racquetsports by ACE</t>
        </is>
      </c>
      <c r="H126" s="7" t="inlineStr">
        <is>
          <t>29.2</t>
        </is>
      </c>
      <c r="I126" t="n">
        <v>138</v>
      </c>
      <c r="J126" t="inlineStr">
        <is>
          <t>59 / 79</t>
        </is>
      </c>
      <c r="K126" s="7" t="inlineStr">
        <is>
          <t>62%</t>
        </is>
      </c>
    </row>
    <row r="127">
      <c r="A127" s="9" t="inlineStr">
        <is>
          <t>126 (▼1)</t>
        </is>
      </c>
      <c r="B127" t="inlineStr">
        <is>
          <t>Lourdes Valentina Haun</t>
        </is>
      </c>
      <c r="C127" t="n">
        <v>2012</v>
      </c>
      <c r="D127" s="7" t="inlineStr">
        <is>
          <t>761.73</t>
        </is>
      </c>
      <c r="E127" s="7" t="inlineStr">
        <is>
          <t>14</t>
        </is>
      </c>
      <c r="F127" t="inlineStr">
        <is>
          <t>Tennis Alberta</t>
        </is>
      </c>
      <c r="G127" t="inlineStr">
        <is>
          <t>Osten &amp; Victor Alberta Tennis Centre</t>
        </is>
      </c>
      <c r="H127" s="7" t="inlineStr">
        <is>
          <t>26.1</t>
        </is>
      </c>
      <c r="I127" t="n">
        <v>292</v>
      </c>
      <c r="J127" t="inlineStr">
        <is>
          <t>170 / 122</t>
        </is>
      </c>
      <c r="K127" s="7" t="inlineStr">
        <is>
          <t>56%</t>
        </is>
      </c>
    </row>
    <row r="128">
      <c r="A128" s="9" t="inlineStr">
        <is>
          <t>127 (▼1)</t>
        </is>
      </c>
      <c r="B128" t="inlineStr">
        <is>
          <t>Victoria Chow</t>
        </is>
      </c>
      <c r="C128" t="n">
        <v>2012</v>
      </c>
      <c r="D128" s="7" t="inlineStr">
        <is>
          <t>743.38</t>
        </is>
      </c>
      <c r="E128" s="7" t="inlineStr">
        <is>
          <t>20</t>
        </is>
      </c>
      <c r="F128" t="inlineStr">
        <is>
          <t>Ontario Tennis Association</t>
        </is>
      </c>
      <c r="G128" t="inlineStr">
        <is>
          <t>No Club</t>
        </is>
      </c>
      <c r="H128" s="7" t="inlineStr">
        <is>
          <t>unavailable</t>
        </is>
      </c>
      <c r="I128" t="n">
        <v>280</v>
      </c>
      <c r="J128" t="inlineStr">
        <is>
          <t>142 / 138</t>
        </is>
      </c>
      <c r="K128" s="7" t="inlineStr">
        <is>
          <t>40%</t>
        </is>
      </c>
    </row>
    <row r="129">
      <c r="A129" s="9" t="inlineStr">
        <is>
          <t>128 (▼1)</t>
        </is>
      </c>
      <c r="B129" t="inlineStr">
        <is>
          <t>Michelle Zhang</t>
        </is>
      </c>
      <c r="C129" t="n">
        <v>2014</v>
      </c>
      <c r="D129" s="7" t="inlineStr">
        <is>
          <t>738.68</t>
        </is>
      </c>
      <c r="E129" s="7" t="inlineStr">
        <is>
          <t>13</t>
        </is>
      </c>
      <c r="F129" t="inlineStr">
        <is>
          <t>Tennis Nova Scotia</t>
        </is>
      </c>
      <c r="G129" t="inlineStr">
        <is>
          <t>Atlantic Tennis Centre</t>
        </is>
      </c>
      <c r="H129" s="7" t="inlineStr">
        <is>
          <t>29.3</t>
        </is>
      </c>
      <c r="I129" t="n">
        <v>159</v>
      </c>
      <c r="J129" t="inlineStr">
        <is>
          <t>89 / 70</t>
        </is>
      </c>
      <c r="K129" s="7" t="inlineStr">
        <is>
          <t>48%</t>
        </is>
      </c>
    </row>
    <row r="130">
      <c r="A130" s="9" t="inlineStr">
        <is>
          <t>129 (▼1)</t>
        </is>
      </c>
      <c r="B130" t="inlineStr">
        <is>
          <t>Nuanyi Li</t>
        </is>
      </c>
      <c r="C130" t="n">
        <v>2014</v>
      </c>
      <c r="D130" s="7" t="inlineStr">
        <is>
          <t>728.70</t>
        </is>
      </c>
      <c r="E130" s="7" t="inlineStr">
        <is>
          <t>28</t>
        </is>
      </c>
      <c r="F130" t="inlineStr">
        <is>
          <t>Ontario Tennis Association</t>
        </is>
      </c>
      <c r="G130" t="inlineStr">
        <is>
          <t>Fainblum Tennis Academy</t>
        </is>
      </c>
      <c r="H130" s="7" t="inlineStr">
        <is>
          <t>28.4</t>
        </is>
      </c>
      <c r="I130" t="n">
        <v>294</v>
      </c>
      <c r="J130" t="inlineStr">
        <is>
          <t>183 / 111</t>
        </is>
      </c>
      <c r="K130" s="7" t="inlineStr">
        <is>
          <t>53%</t>
        </is>
      </c>
    </row>
    <row r="131">
      <c r="A131" s="9" t="inlineStr">
        <is>
          <t>130 (▼1)</t>
        </is>
      </c>
      <c r="B131" t="inlineStr">
        <is>
          <t>Dina Yijia Zhang</t>
        </is>
      </c>
      <c r="C131" t="n">
        <v>2012</v>
      </c>
      <c r="D131" s="7" t="inlineStr">
        <is>
          <t>714.65</t>
        </is>
      </c>
      <c r="E131" s="7" t="inlineStr">
        <is>
          <t>10</t>
        </is>
      </c>
      <c r="F131" t="inlineStr">
        <is>
          <t>Tennis Nova Scotia</t>
        </is>
      </c>
      <c r="G131" t="inlineStr">
        <is>
          <t>HEADSTART</t>
        </is>
      </c>
      <c r="H131" s="7" t="inlineStr">
        <is>
          <t>30.1</t>
        </is>
      </c>
      <c r="I131" t="n">
        <v>163</v>
      </c>
      <c r="J131" t="inlineStr">
        <is>
          <t>67 / 96</t>
        </is>
      </c>
      <c r="K131" s="7" t="inlineStr">
        <is>
          <t>39%</t>
        </is>
      </c>
    </row>
    <row r="132">
      <c r="A132" s="8" t="inlineStr">
        <is>
          <t>131 (▲28)</t>
        </is>
      </c>
      <c r="B132" t="inlineStr">
        <is>
          <t>Mathilde Labeeuw</t>
        </is>
      </c>
      <c r="C132" t="n">
        <v>2013</v>
      </c>
      <c r="D132" s="8" t="inlineStr">
        <is>
          <t>709.98 (▲131.20)</t>
        </is>
      </c>
      <c r="E132" s="7" t="inlineStr">
        <is>
          <t>21</t>
        </is>
      </c>
      <c r="F132" t="inlineStr">
        <is>
          <t>Tennis Québec</t>
        </is>
      </c>
      <c r="G132" t="inlineStr">
        <is>
          <t>SANI Sport</t>
        </is>
      </c>
      <c r="H132" s="8" t="inlineStr">
        <is>
          <t>29.6 (▲0.7)</t>
        </is>
      </c>
      <c r="I132" t="n">
        <v>200</v>
      </c>
      <c r="J132" t="inlineStr">
        <is>
          <t>97 / 103</t>
        </is>
      </c>
      <c r="K132" s="8" t="inlineStr">
        <is>
          <t>53% (▲5%)</t>
        </is>
      </c>
    </row>
    <row r="133">
      <c r="A133" s="9" t="inlineStr">
        <is>
          <t>132 (▼2)</t>
        </is>
      </c>
      <c r="B133" t="inlineStr">
        <is>
          <t>Elena Vamoser</t>
        </is>
      </c>
      <c r="C133" t="n">
        <v>2013</v>
      </c>
      <c r="D133" s="7" t="inlineStr">
        <is>
          <t>697.77</t>
        </is>
      </c>
      <c r="E133" s="7" t="inlineStr">
        <is>
          <t>25</t>
        </is>
      </c>
      <c r="F133" t="inlineStr">
        <is>
          <t>Ontario Tennis Association</t>
        </is>
      </c>
      <c r="G133" t="inlineStr">
        <is>
          <t>ACE Tennis - Burlington</t>
        </is>
      </c>
      <c r="H133" s="7" t="inlineStr">
        <is>
          <t>30.8</t>
        </is>
      </c>
      <c r="I133" t="n">
        <v>132</v>
      </c>
      <c r="J133" t="inlineStr">
        <is>
          <t>75 / 57</t>
        </is>
      </c>
      <c r="K133" s="7" t="inlineStr">
        <is>
          <t>44%</t>
        </is>
      </c>
    </row>
    <row r="134">
      <c r="A134" s="9" t="inlineStr">
        <is>
          <t>133 (▼2)</t>
        </is>
      </c>
      <c r="B134" t="inlineStr">
        <is>
          <t>Sofia Chan</t>
        </is>
      </c>
      <c r="C134" t="n">
        <v>2015</v>
      </c>
      <c r="D134" s="7" t="inlineStr">
        <is>
          <t>695.93</t>
        </is>
      </c>
      <c r="E134" s="7" t="inlineStr">
        <is>
          <t>33</t>
        </is>
      </c>
      <c r="F134" t="inlineStr">
        <is>
          <t>Ontario Tennis Association</t>
        </is>
      </c>
      <c r="G134" t="inlineStr">
        <is>
          <t>No Club</t>
        </is>
      </c>
      <c r="H134" s="7" t="inlineStr">
        <is>
          <t>30.2</t>
        </is>
      </c>
      <c r="I134" t="n">
        <v>162</v>
      </c>
      <c r="J134" t="inlineStr">
        <is>
          <t>103 / 59</t>
        </is>
      </c>
      <c r="K134" s="7" t="inlineStr">
        <is>
          <t>62%</t>
        </is>
      </c>
    </row>
    <row r="135">
      <c r="A135" s="9" t="inlineStr">
        <is>
          <t>134 (▼2)</t>
        </is>
      </c>
      <c r="B135" t="inlineStr">
        <is>
          <t>Kaili Ear Gui</t>
        </is>
      </c>
      <c r="C135" t="n">
        <v>2016</v>
      </c>
      <c r="D135" s="7" t="inlineStr">
        <is>
          <t>695.77</t>
        </is>
      </c>
      <c r="E135" s="9" t="inlineStr">
        <is>
          <t>12 (-1)</t>
        </is>
      </c>
      <c r="F135" t="inlineStr">
        <is>
          <t>Tennis Saskatchewan</t>
        </is>
      </c>
      <c r="G135" t="inlineStr">
        <is>
          <t>Lakeshore Tennis Club</t>
        </is>
      </c>
      <c r="H135" s="7" t="inlineStr">
        <is>
          <t>unavailable</t>
        </is>
      </c>
      <c r="I135" t="n">
        <v/>
      </c>
      <c r="J135" t="inlineStr">
        <is>
          <t>unavailable</t>
        </is>
      </c>
      <c r="K135" s="7" t="inlineStr">
        <is>
          <t>0%</t>
        </is>
      </c>
    </row>
    <row r="136">
      <c r="A136" s="8" t="inlineStr">
        <is>
          <t>135 (▲26)</t>
        </is>
      </c>
      <c r="B136" t="inlineStr">
        <is>
          <t>Sophie Lu</t>
        </is>
      </c>
      <c r="C136" t="n">
        <v>2014</v>
      </c>
      <c r="D136" s="8" t="inlineStr">
        <is>
          <t>692.29 (▲123.21)</t>
        </is>
      </c>
      <c r="E136" s="8" t="inlineStr">
        <is>
          <t>21 (+2)</t>
        </is>
      </c>
      <c r="F136" t="inlineStr">
        <is>
          <t>Tennis Québec</t>
        </is>
      </c>
      <c r="G136" t="inlineStr">
        <is>
          <t>Tennis Ile- des- Soeurs</t>
        </is>
      </c>
      <c r="H136" s="7" t="inlineStr">
        <is>
          <t>unavailable</t>
        </is>
      </c>
      <c r="I136" t="n">
        <v>215</v>
      </c>
      <c r="J136" t="inlineStr">
        <is>
          <t>111 / 104</t>
        </is>
      </c>
      <c r="K136" s="8" t="inlineStr">
        <is>
          <t>62% (▲3%)</t>
        </is>
      </c>
    </row>
    <row r="137">
      <c r="A137" s="9" t="inlineStr">
        <is>
          <t>136 (▼3)</t>
        </is>
      </c>
      <c r="B137" t="inlineStr">
        <is>
          <t>Avea Ungureanu Pinto</t>
        </is>
      </c>
      <c r="C137" t="n">
        <v>2012</v>
      </c>
      <c r="D137" s="7" t="inlineStr">
        <is>
          <t>681.78</t>
        </is>
      </c>
      <c r="E137" s="7" t="inlineStr">
        <is>
          <t>26</t>
        </is>
      </c>
      <c r="F137" t="inlineStr">
        <is>
          <t>Ontario Tennis Association</t>
        </is>
      </c>
      <c r="G137" t="inlineStr">
        <is>
          <t>Mayfair East Racquet Club</t>
        </is>
      </c>
      <c r="H137" s="7" t="inlineStr">
        <is>
          <t>28.2</t>
        </is>
      </c>
      <c r="I137" t="n">
        <v>148</v>
      </c>
      <c r="J137" t="inlineStr">
        <is>
          <t>79 / 69</t>
        </is>
      </c>
      <c r="K137" s="9" t="inlineStr">
        <is>
          <t>55% (▼1%)</t>
        </is>
      </c>
    </row>
    <row r="138">
      <c r="A138" s="9" t="inlineStr">
        <is>
          <t>137 (▼3)</t>
        </is>
      </c>
      <c r="B138" t="inlineStr">
        <is>
          <t>Bianca Nestor</t>
        </is>
      </c>
      <c r="C138" t="n">
        <v>2013</v>
      </c>
      <c r="D138" s="7" t="inlineStr">
        <is>
          <t>674.75</t>
        </is>
      </c>
      <c r="E138" s="9" t="inlineStr">
        <is>
          <t>19 (-1)</t>
        </is>
      </c>
      <c r="F138" t="inlineStr">
        <is>
          <t>Ontario Tennis Association</t>
        </is>
      </c>
      <c r="G138" t="inlineStr">
        <is>
          <t>Toronto Lawn Tennis Club</t>
        </is>
      </c>
      <c r="H138" s="7" t="inlineStr">
        <is>
          <t>30.2</t>
        </is>
      </c>
      <c r="I138" t="n">
        <v>203</v>
      </c>
      <c r="J138" t="inlineStr">
        <is>
          <t>98 / 105</t>
        </is>
      </c>
      <c r="K138" s="7" t="inlineStr">
        <is>
          <t>47%</t>
        </is>
      </c>
    </row>
    <row r="139">
      <c r="A139" s="8" t="inlineStr">
        <is>
          <t>138 (▲97)</t>
        </is>
      </c>
      <c r="B139" t="inlineStr">
        <is>
          <t>Mia Louise LADEWIG</t>
        </is>
      </c>
      <c r="C139" t="n">
        <v>2015</v>
      </c>
      <c r="D139" s="8" t="inlineStr">
        <is>
          <t>671.14 (▲333.40)</t>
        </is>
      </c>
      <c r="E139" s="7" t="inlineStr">
        <is>
          <t>23</t>
        </is>
      </c>
      <c r="F139" t="inlineStr">
        <is>
          <t>British Columbia</t>
        </is>
      </c>
      <c r="G139" t="inlineStr">
        <is>
          <t>North Vancouver Tennis Centre</t>
        </is>
      </c>
      <c r="H139" s="7" t="inlineStr">
        <is>
          <t>27.9</t>
        </is>
      </c>
      <c r="I139" t="n">
        <v>233</v>
      </c>
      <c r="J139" t="inlineStr">
        <is>
          <t>151 / 82</t>
        </is>
      </c>
      <c r="K139" s="7" t="inlineStr">
        <is>
          <t>67%</t>
        </is>
      </c>
    </row>
    <row r="140">
      <c r="A140" s="9" t="inlineStr">
        <is>
          <t>139 (▼3)</t>
        </is>
      </c>
      <c r="B140" t="inlineStr">
        <is>
          <t>Leyan Isabella Yik Sum Leung</t>
        </is>
      </c>
      <c r="C140" t="n">
        <v>2013</v>
      </c>
      <c r="D140" s="7" t="inlineStr">
        <is>
          <t>663.99</t>
        </is>
      </c>
      <c r="E140" s="7" t="inlineStr">
        <is>
          <t>20</t>
        </is>
      </c>
      <c r="F140" t="inlineStr">
        <is>
          <t>British Columbia</t>
        </is>
      </c>
      <c r="G140" t="inlineStr">
        <is>
          <t>Vanguard Tennis Academy</t>
        </is>
      </c>
      <c r="H140" s="8" t="inlineStr">
        <is>
          <t>26.4 (▲0.7)</t>
        </is>
      </c>
      <c r="I140" t="n">
        <v>131</v>
      </c>
      <c r="J140" t="inlineStr">
        <is>
          <t>85 / 46</t>
        </is>
      </c>
      <c r="K140" s="8" t="inlineStr">
        <is>
          <t>66% (▲1%)</t>
        </is>
      </c>
    </row>
    <row r="141">
      <c r="A141" s="9" t="inlineStr">
        <is>
          <t>140 (▼3)</t>
        </is>
      </c>
      <c r="B141" t="inlineStr">
        <is>
          <t>Cindy Zixuan Li</t>
        </is>
      </c>
      <c r="C141" t="n">
        <v>2012</v>
      </c>
      <c r="D141" s="7" t="inlineStr">
        <is>
          <t>661.30</t>
        </is>
      </c>
      <c r="E141" s="9" t="inlineStr">
        <is>
          <t>10 (-1)</t>
        </is>
      </c>
      <c r="F141" t="inlineStr">
        <is>
          <t>British Columbia</t>
        </is>
      </c>
      <c r="G141" t="inlineStr">
        <is>
          <t>Vanguard Tennis Academy</t>
        </is>
      </c>
      <c r="H141" s="7" t="inlineStr">
        <is>
          <t>25.8</t>
        </is>
      </c>
      <c r="I141" t="n">
        <v>137</v>
      </c>
      <c r="J141" t="inlineStr">
        <is>
          <t>69 / 68</t>
        </is>
      </c>
      <c r="K141" s="7" t="inlineStr">
        <is>
          <t>53%</t>
        </is>
      </c>
    </row>
    <row r="142">
      <c r="A142" s="9" t="inlineStr">
        <is>
          <t>141 (▼3)</t>
        </is>
      </c>
      <c r="B142" t="inlineStr">
        <is>
          <t>Luisa Victoria Davis</t>
        </is>
      </c>
      <c r="C142" t="n">
        <v>2012</v>
      </c>
      <c r="D142" s="7" t="inlineStr">
        <is>
          <t>656.05</t>
        </is>
      </c>
      <c r="E142" s="7" t="inlineStr">
        <is>
          <t>12</t>
        </is>
      </c>
      <c r="F142" t="inlineStr">
        <is>
          <t>Ontario Tennis Association</t>
        </is>
      </c>
      <c r="G142" t="inlineStr">
        <is>
          <t>Mayfair West Fitness &amp; Racquet Club</t>
        </is>
      </c>
      <c r="H142" s="7" t="inlineStr">
        <is>
          <t>unavailable</t>
        </is>
      </c>
      <c r="I142" t="n">
        <v>200</v>
      </c>
      <c r="J142" t="inlineStr">
        <is>
          <t>128 / 72</t>
        </is>
      </c>
      <c r="K142" s="7" t="inlineStr">
        <is>
          <t>38%</t>
        </is>
      </c>
    </row>
    <row r="143">
      <c r="A143" s="9" t="inlineStr">
        <is>
          <t>142 (▼3)</t>
        </is>
      </c>
      <c r="B143" t="inlineStr">
        <is>
          <t>Margot de Candé</t>
        </is>
      </c>
      <c r="C143" t="n">
        <v>2012</v>
      </c>
      <c r="D143" s="7" t="inlineStr">
        <is>
          <t>647.80</t>
        </is>
      </c>
      <c r="E143" s="7" t="inlineStr">
        <is>
          <t>14</t>
        </is>
      </c>
      <c r="F143" t="inlineStr">
        <is>
          <t>Tennis Québec</t>
        </is>
      </c>
      <c r="G143" t="inlineStr">
        <is>
          <t>Tennis Ile- des- Soeurs</t>
        </is>
      </c>
      <c r="H143" s="7" t="inlineStr">
        <is>
          <t>29.8</t>
        </is>
      </c>
      <c r="I143" t="n">
        <v>125</v>
      </c>
      <c r="J143" t="inlineStr">
        <is>
          <t>60 / 65</t>
        </is>
      </c>
      <c r="K143" s="7" t="inlineStr">
        <is>
          <t>72%</t>
        </is>
      </c>
    </row>
    <row r="144">
      <c r="A144" s="9" t="inlineStr">
        <is>
          <t>143 (▼3)</t>
        </is>
      </c>
      <c r="B144" t="inlineStr">
        <is>
          <t>Chloe Fischer</t>
        </is>
      </c>
      <c r="C144" t="n">
        <v>2012</v>
      </c>
      <c r="D144" s="7" t="inlineStr">
        <is>
          <t>646.65</t>
        </is>
      </c>
      <c r="E144" s="7" t="inlineStr">
        <is>
          <t>21</t>
        </is>
      </c>
      <c r="F144" t="inlineStr">
        <is>
          <t>Ontario Tennis Association</t>
        </is>
      </c>
      <c r="G144" t="inlineStr">
        <is>
          <t>No Club</t>
        </is>
      </c>
      <c r="H144" s="9" t="inlineStr">
        <is>
          <t>32.9 (▼0.3)</t>
        </is>
      </c>
      <c r="I144" t="n">
        <v>223</v>
      </c>
      <c r="J144" t="inlineStr">
        <is>
          <t>103 / 120</t>
        </is>
      </c>
      <c r="K144" s="8" t="inlineStr">
        <is>
          <t>22% (▲1%)</t>
        </is>
      </c>
    </row>
    <row r="145">
      <c r="A145" s="9" t="inlineStr">
        <is>
          <t>144 (▼3)</t>
        </is>
      </c>
      <c r="B145" t="inlineStr">
        <is>
          <t>Chloe Elizabeth Kotorobai</t>
        </is>
      </c>
      <c r="C145" t="n">
        <v>2013</v>
      </c>
      <c r="D145" s="7" t="inlineStr">
        <is>
          <t>644.04</t>
        </is>
      </c>
      <c r="E145" s="7" t="inlineStr">
        <is>
          <t>23</t>
        </is>
      </c>
      <c r="F145" t="inlineStr">
        <is>
          <t>Ontario Tennis Association</t>
        </is>
      </c>
      <c r="G145" t="inlineStr">
        <is>
          <t>City of Stoney Creek</t>
        </is>
      </c>
      <c r="H145" s="7" t="inlineStr">
        <is>
          <t>31.1</t>
        </is>
      </c>
      <c r="I145" t="n">
        <v>101</v>
      </c>
      <c r="J145" t="inlineStr">
        <is>
          <t>39 / 62</t>
        </is>
      </c>
      <c r="K145" s="7" t="inlineStr">
        <is>
          <t>34%</t>
        </is>
      </c>
    </row>
    <row r="146">
      <c r="A146" s="9" t="inlineStr">
        <is>
          <t>145 (▼3)</t>
        </is>
      </c>
      <c r="B146" t="inlineStr">
        <is>
          <t>Amy Jiao</t>
        </is>
      </c>
      <c r="C146" t="n">
        <v>2015</v>
      </c>
      <c r="D146" s="7" t="inlineStr">
        <is>
          <t>641.84</t>
        </is>
      </c>
      <c r="E146" s="9" t="inlineStr">
        <is>
          <t>24 (-1)</t>
        </is>
      </c>
      <c r="F146" t="inlineStr">
        <is>
          <t>Ontario Tennis Association</t>
        </is>
      </c>
      <c r="G146" t="inlineStr">
        <is>
          <t>Rideau Sports Centre</t>
        </is>
      </c>
      <c r="H146" s="7" t="inlineStr">
        <is>
          <t>30.0</t>
        </is>
      </c>
      <c r="I146" t="n">
        <v>302</v>
      </c>
      <c r="J146" t="inlineStr">
        <is>
          <t>171 / 131</t>
        </is>
      </c>
      <c r="K146" s="7" t="inlineStr">
        <is>
          <t>64%</t>
        </is>
      </c>
    </row>
    <row r="147">
      <c r="A147" s="9" t="inlineStr">
        <is>
          <t>146 (▼3)</t>
        </is>
      </c>
      <c r="B147" t="inlineStr">
        <is>
          <t>Sonya Resnikova</t>
        </is>
      </c>
      <c r="C147" t="n">
        <v>2013</v>
      </c>
      <c r="D147" s="7" t="inlineStr">
        <is>
          <t>632.70</t>
        </is>
      </c>
      <c r="E147" s="8" t="inlineStr">
        <is>
          <t>30 (+1)</t>
        </is>
      </c>
      <c r="F147" t="inlineStr">
        <is>
          <t>Ontario Tennis Association</t>
        </is>
      </c>
      <c r="G147" t="inlineStr">
        <is>
          <t>SmartVMC Racquetsports by ACE</t>
        </is>
      </c>
      <c r="H147" s="8" t="inlineStr">
        <is>
          <t>29.9 (▲0.1)</t>
        </is>
      </c>
      <c r="I147" t="n">
        <v>97</v>
      </c>
      <c r="J147" t="inlineStr">
        <is>
          <t>61 / 36</t>
        </is>
      </c>
      <c r="K147" s="7" t="inlineStr">
        <is>
          <t>56%</t>
        </is>
      </c>
    </row>
    <row r="148">
      <c r="A148" s="9" t="inlineStr">
        <is>
          <t>147 (▼12)</t>
        </is>
      </c>
      <c r="B148" t="inlineStr">
        <is>
          <t>Maliah Morgan</t>
        </is>
      </c>
      <c r="C148" t="n">
        <v>2013</v>
      </c>
      <c r="D148" s="9" t="inlineStr">
        <is>
          <t>629.68 (▼39.76)</t>
        </is>
      </c>
      <c r="E148" s="9" t="inlineStr">
        <is>
          <t>19 (-1)</t>
        </is>
      </c>
      <c r="F148" t="inlineStr">
        <is>
          <t>Ontario Tennis Association</t>
        </is>
      </c>
      <c r="G148" t="inlineStr">
        <is>
          <t>Joshua Creek Golf &amp; Tennis</t>
        </is>
      </c>
      <c r="H148" s="7" t="inlineStr">
        <is>
          <t>27.7</t>
        </is>
      </c>
      <c r="I148" t="n">
        <v>201</v>
      </c>
      <c r="J148" t="inlineStr">
        <is>
          <t>122 / 79</t>
        </is>
      </c>
      <c r="K148" s="7" t="inlineStr">
        <is>
          <t>57%</t>
        </is>
      </c>
    </row>
    <row r="149">
      <c r="A149" s="9" t="inlineStr">
        <is>
          <t>148 (▼4)</t>
        </is>
      </c>
      <c r="B149" t="inlineStr">
        <is>
          <t>Emmanuella Ibrahim</t>
        </is>
      </c>
      <c r="C149" t="n">
        <v>2014</v>
      </c>
      <c r="D149" s="7" t="inlineStr">
        <is>
          <t>628.72</t>
        </is>
      </c>
      <c r="E149" s="7" t="inlineStr">
        <is>
          <t>16</t>
        </is>
      </c>
      <c r="F149" t="inlineStr">
        <is>
          <t>Tennis Alberta</t>
        </is>
      </c>
      <c r="G149" t="inlineStr">
        <is>
          <t>Aforza</t>
        </is>
      </c>
      <c r="H149" s="7" t="inlineStr">
        <is>
          <t>unavailable</t>
        </is>
      </c>
      <c r="I149" t="n">
        <v>190</v>
      </c>
      <c r="J149" t="inlineStr">
        <is>
          <t>137 / 53</t>
        </is>
      </c>
      <c r="K149" s="7" t="inlineStr">
        <is>
          <t>71%</t>
        </is>
      </c>
    </row>
    <row r="150">
      <c r="A150" s="8" t="inlineStr">
        <is>
          <t>149 (▲16)</t>
        </is>
      </c>
      <c r="B150" t="inlineStr">
        <is>
          <t>NELIA BERKOUD</t>
        </is>
      </c>
      <c r="C150" t="n">
        <v>2015</v>
      </c>
      <c r="D150" s="8" t="inlineStr">
        <is>
          <t>628.06 (▲73.92)</t>
        </is>
      </c>
      <c r="E150" s="7" t="inlineStr">
        <is>
          <t>23</t>
        </is>
      </c>
      <c r="F150" t="inlineStr">
        <is>
          <t>Tennis Québec</t>
        </is>
      </c>
      <c r="G150" t="inlineStr">
        <is>
          <t>Carrefour Multisports</t>
        </is>
      </c>
      <c r="H150" s="7" t="inlineStr">
        <is>
          <t>30.9</t>
        </is>
      </c>
      <c r="I150" t="n">
        <v>149</v>
      </c>
      <c r="J150" t="inlineStr">
        <is>
          <t>90 / 59</t>
        </is>
      </c>
      <c r="K150" s="8" t="inlineStr">
        <is>
          <t>52% (▲1%)</t>
        </is>
      </c>
    </row>
    <row r="151">
      <c r="A151" s="9" t="inlineStr">
        <is>
          <t>150 (▼5)</t>
        </is>
      </c>
      <c r="B151" t="inlineStr">
        <is>
          <t>Yutong (Olivia) Ha</t>
        </is>
      </c>
      <c r="C151" t="n">
        <v>2012</v>
      </c>
      <c r="D151" s="7" t="inlineStr">
        <is>
          <t>624.74</t>
        </is>
      </c>
      <c r="E151" s="7" t="inlineStr">
        <is>
          <t>14</t>
        </is>
      </c>
      <c r="F151" t="inlineStr">
        <is>
          <t>Ontario Tennis Association</t>
        </is>
      </c>
      <c r="G151" t="inlineStr">
        <is>
          <t>Richmondhill Golf &amp; Country Club</t>
        </is>
      </c>
      <c r="H151" s="7" t="inlineStr">
        <is>
          <t>unavailable</t>
        </is>
      </c>
      <c r="I151" t="n">
        <v>195</v>
      </c>
      <c r="J151" t="inlineStr">
        <is>
          <t>84 / 111</t>
        </is>
      </c>
      <c r="K151" s="7" t="inlineStr">
        <is>
          <t>27%</t>
        </is>
      </c>
    </row>
    <row r="152">
      <c r="A152" s="9" t="inlineStr">
        <is>
          <t>151 (▼5)</t>
        </is>
      </c>
      <c r="B152" t="inlineStr">
        <is>
          <t>Marisol Hilal</t>
        </is>
      </c>
      <c r="C152" t="n">
        <v>2012</v>
      </c>
      <c r="D152" s="7" t="inlineStr">
        <is>
          <t>621.99</t>
        </is>
      </c>
      <c r="E152" s="9" t="inlineStr">
        <is>
          <t>32 (-1)</t>
        </is>
      </c>
      <c r="F152" t="inlineStr">
        <is>
          <t>Tennis Québec</t>
        </is>
      </c>
      <c r="G152" t="inlineStr">
        <is>
          <t>Carrefour Multisports</t>
        </is>
      </c>
      <c r="H152" s="8" t="inlineStr">
        <is>
          <t>29.5 (▲0.3)</t>
        </is>
      </c>
      <c r="I152" t="n">
        <v>295</v>
      </c>
      <c r="J152" t="inlineStr">
        <is>
          <t>118 / 177</t>
        </is>
      </c>
      <c r="K152" s="7" t="inlineStr">
        <is>
          <t>38%</t>
        </is>
      </c>
    </row>
    <row r="153">
      <c r="A153" s="9" t="inlineStr">
        <is>
          <t>152 (▼5)</t>
        </is>
      </c>
      <c r="B153" t="inlineStr">
        <is>
          <t>Evelyn Wang</t>
        </is>
      </c>
      <c r="C153" t="n">
        <v>2014</v>
      </c>
      <c r="D153" s="7" t="inlineStr">
        <is>
          <t>615.36</t>
        </is>
      </c>
      <c r="E153" s="8" t="inlineStr">
        <is>
          <t>17 (+1)</t>
        </is>
      </c>
      <c r="F153" t="inlineStr">
        <is>
          <t>British Columbia</t>
        </is>
      </c>
      <c r="G153" t="inlineStr">
        <is>
          <t>UBC Tennis Centre</t>
        </is>
      </c>
      <c r="H153" s="8" t="inlineStr">
        <is>
          <t>28.4 (▲0.3)</t>
        </is>
      </c>
      <c r="I153" t="n">
        <v>254</v>
      </c>
      <c r="J153" t="inlineStr">
        <is>
          <t>127 / 127</t>
        </is>
      </c>
      <c r="K153" s="9" t="inlineStr">
        <is>
          <t>53% (▼1%)</t>
        </is>
      </c>
    </row>
    <row r="154">
      <c r="A154" s="9" t="inlineStr">
        <is>
          <t>153 (▼5)</t>
        </is>
      </c>
      <c r="B154" t="inlineStr">
        <is>
          <t>Emma Yin</t>
        </is>
      </c>
      <c r="C154" t="n">
        <v>2015</v>
      </c>
      <c r="D154" s="7" t="inlineStr">
        <is>
          <t>613.71</t>
        </is>
      </c>
      <c r="E154" s="9" t="inlineStr">
        <is>
          <t>10 (-1)</t>
        </is>
      </c>
      <c r="F154" t="inlineStr">
        <is>
          <t>Tennis Saskatchewan</t>
        </is>
      </c>
      <c r="G154" t="inlineStr">
        <is>
          <t>Lakeshore Tennis Club</t>
        </is>
      </c>
      <c r="H154" s="7" t="inlineStr">
        <is>
          <t>30.1</t>
        </is>
      </c>
      <c r="I154" t="n">
        <v>157</v>
      </c>
      <c r="J154" t="inlineStr">
        <is>
          <t>80 / 77</t>
        </is>
      </c>
      <c r="K154" s="7" t="inlineStr">
        <is>
          <t>61%</t>
        </is>
      </c>
    </row>
    <row r="155">
      <c r="A155" s="9" t="inlineStr">
        <is>
          <t>154 (▼5)</t>
        </is>
      </c>
      <c r="B155" t="inlineStr">
        <is>
          <t>Blaire Ming min kaminski</t>
        </is>
      </c>
      <c r="C155" t="n">
        <v>2013</v>
      </c>
      <c r="D155" s="7" t="inlineStr">
        <is>
          <t>612.01</t>
        </is>
      </c>
      <c r="E155" s="9" t="inlineStr">
        <is>
          <t>15 (-1)</t>
        </is>
      </c>
      <c r="F155" t="inlineStr">
        <is>
          <t>Tennis Alberta</t>
        </is>
      </c>
      <c r="G155" t="inlineStr">
        <is>
          <t>Osten &amp; Victor Alberta Tennis Centre</t>
        </is>
      </c>
      <c r="H155" s="7" t="inlineStr">
        <is>
          <t>unavailable</t>
        </is>
      </c>
      <c r="I155" t="n">
        <v>128</v>
      </c>
      <c r="J155" t="inlineStr">
        <is>
          <t>64 / 64</t>
        </is>
      </c>
      <c r="K155" s="7" t="inlineStr">
        <is>
          <t>59%</t>
        </is>
      </c>
    </row>
    <row r="156">
      <c r="A156" s="9" t="inlineStr">
        <is>
          <t>155 (▼5)</t>
        </is>
      </c>
      <c r="B156" t="inlineStr">
        <is>
          <t>Alice Yu-Qi Ren</t>
        </is>
      </c>
      <c r="C156" t="n">
        <v>2014</v>
      </c>
      <c r="D156" s="7" t="inlineStr">
        <is>
          <t>610.30</t>
        </is>
      </c>
      <c r="E156" s="7" t="inlineStr">
        <is>
          <t>18</t>
        </is>
      </c>
      <c r="F156" t="inlineStr">
        <is>
          <t>Tennis Alberta</t>
        </is>
      </c>
      <c r="G156" t="inlineStr">
        <is>
          <t>Saville Community Sports Centre</t>
        </is>
      </c>
      <c r="H156" s="7" t="inlineStr">
        <is>
          <t>28.2</t>
        </is>
      </c>
      <c r="I156" t="n">
        <v>208</v>
      </c>
      <c r="J156" t="inlineStr">
        <is>
          <t>142 / 66</t>
        </is>
      </c>
      <c r="K156" s="7" t="inlineStr">
        <is>
          <t>70%</t>
        </is>
      </c>
    </row>
    <row r="157">
      <c r="A157" s="9" t="inlineStr">
        <is>
          <t>156 (▼5)</t>
        </is>
      </c>
      <c r="B157" t="inlineStr">
        <is>
          <t>OLIVIA JUNHAN CAO</t>
        </is>
      </c>
      <c r="C157" t="n">
        <v>2012</v>
      </c>
      <c r="D157" s="7" t="inlineStr">
        <is>
          <t>608.60</t>
        </is>
      </c>
      <c r="E157" s="8" t="inlineStr">
        <is>
          <t>21 (+1)</t>
        </is>
      </c>
      <c r="F157" t="inlineStr">
        <is>
          <t>British Columbia</t>
        </is>
      </c>
      <c r="G157" t="inlineStr">
        <is>
          <t>Richmond Country Club</t>
        </is>
      </c>
      <c r="H157" s="9" t="inlineStr">
        <is>
          <t>27.8 (▼0.6)</t>
        </is>
      </c>
      <c r="I157" t="n">
        <v>152</v>
      </c>
      <c r="J157" t="inlineStr">
        <is>
          <t>102 / 50</t>
        </is>
      </c>
      <c r="K157" s="9" t="inlineStr">
        <is>
          <t>67% (▼2%)</t>
        </is>
      </c>
    </row>
    <row r="158">
      <c r="A158" s="9" t="inlineStr">
        <is>
          <t>157 (▼5)</t>
        </is>
      </c>
      <c r="B158" t="inlineStr">
        <is>
          <t>Madison Tam</t>
        </is>
      </c>
      <c r="C158" t="n">
        <v>2012</v>
      </c>
      <c r="D158" s="7" t="inlineStr">
        <is>
          <t>603.40</t>
        </is>
      </c>
      <c r="E158" s="7" t="inlineStr">
        <is>
          <t>16</t>
        </is>
      </c>
      <c r="F158" t="inlineStr">
        <is>
          <t>Ontario Tennis Association</t>
        </is>
      </c>
      <c r="G158" t="inlineStr">
        <is>
          <t>Sir Winston Churchill Tennis Club</t>
        </is>
      </c>
      <c r="H158" s="7" t="inlineStr">
        <is>
          <t>29.1</t>
        </is>
      </c>
      <c r="I158" t="n">
        <v>441</v>
      </c>
      <c r="J158" t="inlineStr">
        <is>
          <t>316 / 125</t>
        </is>
      </c>
      <c r="K158" s="7" t="inlineStr">
        <is>
          <t>66%</t>
        </is>
      </c>
    </row>
    <row r="159">
      <c r="A159" s="9" t="inlineStr">
        <is>
          <t>158 (▼5)</t>
        </is>
      </c>
      <c r="B159" t="inlineStr">
        <is>
          <t>Veronica Mourlatov</t>
        </is>
      </c>
      <c r="C159" t="n">
        <v>2014</v>
      </c>
      <c r="D159" s="7" t="inlineStr">
        <is>
          <t>589.40</t>
        </is>
      </c>
      <c r="E159" s="7" t="inlineStr">
        <is>
          <t>34</t>
        </is>
      </c>
      <c r="F159" t="inlineStr">
        <is>
          <t>Ontario Tennis Association</t>
        </is>
      </c>
      <c r="G159" t="inlineStr">
        <is>
          <t>SmartVMC Racquetsports by ACE</t>
        </is>
      </c>
      <c r="H159" s="9" t="inlineStr">
        <is>
          <t>30.4 (▼0.2)</t>
        </is>
      </c>
      <c r="I159" t="n">
        <v>225</v>
      </c>
      <c r="J159" t="inlineStr">
        <is>
          <t>142 / 83</t>
        </is>
      </c>
      <c r="K159" s="9" t="inlineStr">
        <is>
          <t>69% (▼1%)</t>
        </is>
      </c>
    </row>
    <row r="160">
      <c r="A160" s="9" t="inlineStr">
        <is>
          <t>159 (▼5)</t>
        </is>
      </c>
      <c r="B160" t="inlineStr">
        <is>
          <t>Zoe Yeung</t>
        </is>
      </c>
      <c r="C160" t="n">
        <v>2013</v>
      </c>
      <c r="D160" s="7" t="inlineStr">
        <is>
          <t>583.94</t>
        </is>
      </c>
      <c r="E160" s="9" t="inlineStr">
        <is>
          <t>15 (-1)</t>
        </is>
      </c>
      <c r="F160" t="inlineStr">
        <is>
          <t>Tennis Alberta</t>
        </is>
      </c>
      <c r="G160" t="inlineStr">
        <is>
          <t>Osten &amp; Victor Alberta Tennis Centre</t>
        </is>
      </c>
      <c r="H160" s="7" t="inlineStr">
        <is>
          <t>29.1</t>
        </is>
      </c>
      <c r="I160" t="n">
        <v>186</v>
      </c>
      <c r="J160" t="inlineStr">
        <is>
          <t>88 / 98</t>
        </is>
      </c>
      <c r="K160" s="7" t="inlineStr">
        <is>
          <t>45%</t>
        </is>
      </c>
    </row>
    <row r="161">
      <c r="A161" s="9" t="inlineStr">
        <is>
          <t>160 (▼5)</t>
        </is>
      </c>
      <c r="B161" t="inlineStr">
        <is>
          <t>Malia Lee Datta</t>
        </is>
      </c>
      <c r="C161" t="n">
        <v>2012</v>
      </c>
      <c r="D161" s="7" t="inlineStr">
        <is>
          <t>583.38</t>
        </is>
      </c>
      <c r="E161" s="7" t="inlineStr">
        <is>
          <t>17</t>
        </is>
      </c>
      <c r="F161" t="inlineStr">
        <is>
          <t>Tennis Alberta</t>
        </is>
      </c>
      <c r="G161" t="inlineStr">
        <is>
          <t>Osten &amp; Victor Alberta Tennis Centre</t>
        </is>
      </c>
      <c r="H161" s="7" t="inlineStr">
        <is>
          <t>28.1</t>
        </is>
      </c>
      <c r="I161" t="n">
        <v>149</v>
      </c>
      <c r="J161" t="inlineStr">
        <is>
          <t>64 / 85</t>
        </is>
      </c>
      <c r="K161" s="7" t="inlineStr">
        <is>
          <t>42%</t>
        </is>
      </c>
    </row>
    <row r="162">
      <c r="A162" s="9" t="inlineStr">
        <is>
          <t>161 (▼5)</t>
        </is>
      </c>
      <c r="B162" t="inlineStr">
        <is>
          <t>Naomi Iamandi</t>
        </is>
      </c>
      <c r="C162" t="n">
        <v>2014</v>
      </c>
      <c r="D162" s="7" t="inlineStr">
        <is>
          <t>582.02</t>
        </is>
      </c>
      <c r="E162" s="7" t="inlineStr">
        <is>
          <t>21</t>
        </is>
      </c>
      <c r="F162" t="inlineStr">
        <is>
          <t>Ontario Tennis Association</t>
        </is>
      </c>
      <c r="G162" t="inlineStr">
        <is>
          <t>Joshua Creek Golf &amp; Tennis</t>
        </is>
      </c>
      <c r="H162" s="7" t="inlineStr">
        <is>
          <t>30.2</t>
        </is>
      </c>
      <c r="I162" t="n">
        <v>235</v>
      </c>
      <c r="J162" t="inlineStr">
        <is>
          <t>126 / 109</t>
        </is>
      </c>
      <c r="K162" s="8" t="inlineStr">
        <is>
          <t>38% (▲2%)</t>
        </is>
      </c>
    </row>
    <row r="163">
      <c r="A163" s="9" t="inlineStr">
        <is>
          <t>162 (▼5)</t>
        </is>
      </c>
      <c r="B163" t="inlineStr">
        <is>
          <t>Adrianna Gianvito</t>
        </is>
      </c>
      <c r="C163" t="n">
        <v>2014</v>
      </c>
      <c r="D163" s="7" t="inlineStr">
        <is>
          <t>579.15</t>
        </is>
      </c>
      <c r="E163" s="7" t="inlineStr">
        <is>
          <t>22</t>
        </is>
      </c>
      <c r="F163" t="inlineStr">
        <is>
          <t>Tennis Québec</t>
        </is>
      </c>
      <c r="G163" t="inlineStr">
        <is>
          <t>No Club</t>
        </is>
      </c>
      <c r="H163" s="7" t="inlineStr">
        <is>
          <t>unavailable</t>
        </is>
      </c>
      <c r="I163" t="n">
        <v>152</v>
      </c>
      <c r="J163" t="inlineStr">
        <is>
          <t>80 / 72</t>
        </is>
      </c>
      <c r="K163" s="7" t="inlineStr">
        <is>
          <t>60%</t>
        </is>
      </c>
    </row>
    <row r="164">
      <c r="A164" s="9" t="inlineStr">
        <is>
          <t>163 (▼3)</t>
        </is>
      </c>
      <c r="B164" t="inlineStr">
        <is>
          <t>Caroline ChuYun Yang</t>
        </is>
      </c>
      <c r="C164" t="n">
        <v>2012</v>
      </c>
      <c r="D164" s="7" t="inlineStr">
        <is>
          <t>574.07</t>
        </is>
      </c>
      <c r="E164" s="9" t="inlineStr">
        <is>
          <t>19 (-1)</t>
        </is>
      </c>
      <c r="F164" t="inlineStr">
        <is>
          <t>British Columbia</t>
        </is>
      </c>
      <c r="G164" t="inlineStr">
        <is>
          <t>The Tennis Centre</t>
        </is>
      </c>
      <c r="H164" s="7" t="inlineStr">
        <is>
          <t>28.4</t>
        </is>
      </c>
      <c r="I164" t="n">
        <v>265</v>
      </c>
      <c r="J164" t="inlineStr">
        <is>
          <t>159 / 106</t>
        </is>
      </c>
      <c r="K164" s="7" t="inlineStr">
        <is>
          <t>56%</t>
        </is>
      </c>
    </row>
    <row r="165">
      <c r="A165" s="9" t="inlineStr">
        <is>
          <t>164 (▼2)</t>
        </is>
      </c>
      <c r="B165" t="inlineStr">
        <is>
          <t>Alexandra Dorobantu</t>
        </is>
      </c>
      <c r="C165" t="n">
        <v>2012</v>
      </c>
      <c r="D165" s="7" t="inlineStr">
        <is>
          <t>568.77</t>
        </is>
      </c>
      <c r="E165" s="7" t="inlineStr">
        <is>
          <t>13</t>
        </is>
      </c>
      <c r="F165" t="inlineStr">
        <is>
          <t>Tennis Alberta</t>
        </is>
      </c>
      <c r="G165" t="inlineStr">
        <is>
          <t>Saville Community Sports Centre</t>
        </is>
      </c>
      <c r="H165" s="7" t="inlineStr">
        <is>
          <t>unavailable</t>
        </is>
      </c>
      <c r="I165" t="n">
        <v>156</v>
      </c>
      <c r="J165" t="inlineStr">
        <is>
          <t>76 / 80</t>
        </is>
      </c>
      <c r="K165" s="7" t="inlineStr">
        <is>
          <t>45%</t>
        </is>
      </c>
    </row>
    <row r="166">
      <c r="A166" s="8" t="inlineStr">
        <is>
          <t>165 (▲23)</t>
        </is>
      </c>
      <c r="B166" t="inlineStr">
        <is>
          <t>Elina Wang</t>
        </is>
      </c>
      <c r="C166" t="n">
        <v>2015</v>
      </c>
      <c r="D166" s="8" t="inlineStr">
        <is>
          <t>564.60 (▲82.00)</t>
        </is>
      </c>
      <c r="E166" s="8" t="inlineStr">
        <is>
          <t>22 (+1)</t>
        </is>
      </c>
      <c r="F166" t="inlineStr">
        <is>
          <t>Ontario Tennis Association</t>
        </is>
      </c>
      <c r="G166" t="inlineStr">
        <is>
          <t>Richmondhill Golf &amp; Country Club</t>
        </is>
      </c>
      <c r="H166" s="8" t="inlineStr">
        <is>
          <t>30.3 (▲0.3)</t>
        </is>
      </c>
      <c r="I166" t="n">
        <v>240</v>
      </c>
      <c r="J166" t="inlineStr">
        <is>
          <t>159 / 81</t>
        </is>
      </c>
      <c r="K166" s="8" t="inlineStr">
        <is>
          <t>72% (▲1%)</t>
        </is>
      </c>
    </row>
    <row r="167">
      <c r="A167" s="8" t="inlineStr">
        <is>
          <t>166 (▲8)</t>
        </is>
      </c>
      <c r="B167" t="inlineStr">
        <is>
          <t>Daniella Kulemin</t>
        </is>
      </c>
      <c r="C167" t="n">
        <v>2012</v>
      </c>
      <c r="D167" s="8" t="inlineStr">
        <is>
          <t>564.47 (▲49.00)</t>
        </is>
      </c>
      <c r="E167" s="8" t="inlineStr">
        <is>
          <t>21 (+1)</t>
        </is>
      </c>
      <c r="F167" t="inlineStr">
        <is>
          <t>Ontario Tennis Association</t>
        </is>
      </c>
      <c r="G167" t="inlineStr">
        <is>
          <t>Concord Tennis Academy</t>
        </is>
      </c>
      <c r="H167" s="8" t="inlineStr">
        <is>
          <t>29.7 (▲0.7)</t>
        </is>
      </c>
      <c r="I167" t="n">
        <v>62</v>
      </c>
      <c r="J167" t="inlineStr">
        <is>
          <t>30 / 32</t>
        </is>
      </c>
      <c r="K167" s="8" t="inlineStr">
        <is>
          <t>53% (▲4%)</t>
        </is>
      </c>
    </row>
    <row r="168">
      <c r="A168" s="8" t="inlineStr">
        <is>
          <t>167 (▲8)</t>
        </is>
      </c>
      <c r="B168" t="inlineStr">
        <is>
          <t>Nelly Campagna</t>
        </is>
      </c>
      <c r="C168" t="n">
        <v>2013</v>
      </c>
      <c r="D168" s="8" t="inlineStr">
        <is>
          <t>563.73 (▲49.13)</t>
        </is>
      </c>
      <c r="E168" s="7" t="inlineStr">
        <is>
          <t>20</t>
        </is>
      </c>
      <c r="F168" t="inlineStr">
        <is>
          <t>Tennis Québec</t>
        </is>
      </c>
      <c r="G168" t="inlineStr">
        <is>
          <t>Centre récréatif de Repentigny / Académie Tennis Momentum</t>
        </is>
      </c>
      <c r="H168" s="8" t="inlineStr">
        <is>
          <t>29.4 (▲0.1)</t>
        </is>
      </c>
      <c r="I168" t="n">
        <v>175</v>
      </c>
      <c r="J168" t="inlineStr">
        <is>
          <t>93 / 82</t>
        </is>
      </c>
      <c r="K168" s="8" t="inlineStr">
        <is>
          <t>56% (▲1%)</t>
        </is>
      </c>
    </row>
    <row r="169">
      <c r="A169" s="9" t="inlineStr">
        <is>
          <t>168 (▼5)</t>
        </is>
      </c>
      <c r="B169" t="inlineStr">
        <is>
          <t>Alexia Djomo</t>
        </is>
      </c>
      <c r="C169" t="n">
        <v>2015</v>
      </c>
      <c r="D169" s="7" t="inlineStr">
        <is>
          <t>559.02</t>
        </is>
      </c>
      <c r="E169" s="9" t="inlineStr">
        <is>
          <t>12 (-1)</t>
        </is>
      </c>
      <c r="F169" t="inlineStr">
        <is>
          <t>Tennis Manitoba</t>
        </is>
      </c>
      <c r="G169" t="inlineStr">
        <is>
          <t>Winnipeg Winter Club</t>
        </is>
      </c>
      <c r="H169" s="7" t="inlineStr">
        <is>
          <t>33.0</t>
        </is>
      </c>
      <c r="I169" t="n">
        <v>78</v>
      </c>
      <c r="J169" t="inlineStr">
        <is>
          <t>31 / 47</t>
        </is>
      </c>
      <c r="K169" s="7" t="inlineStr">
        <is>
          <t>46%</t>
        </is>
      </c>
    </row>
    <row r="170">
      <c r="A170" s="9" t="inlineStr">
        <is>
          <t>169 (▼5)</t>
        </is>
      </c>
      <c r="B170" t="inlineStr">
        <is>
          <t>Riddhi Jha</t>
        </is>
      </c>
      <c r="C170" t="n">
        <v>2012</v>
      </c>
      <c r="D170" s="7" t="inlineStr">
        <is>
          <t>558.93</t>
        </is>
      </c>
      <c r="E170" s="7" t="inlineStr">
        <is>
          <t>16</t>
        </is>
      </c>
      <c r="F170" t="inlineStr">
        <is>
          <t>Ontario Tennis Association</t>
        </is>
      </c>
      <c r="G170" t="inlineStr">
        <is>
          <t>Bramalea Tennis Club</t>
        </is>
      </c>
      <c r="H170" s="7" t="inlineStr">
        <is>
          <t>30.6</t>
        </is>
      </c>
      <c r="I170" t="n">
        <v>249</v>
      </c>
      <c r="J170" t="inlineStr">
        <is>
          <t>91 / 158</t>
        </is>
      </c>
      <c r="K170" s="9" t="inlineStr">
        <is>
          <t>54% (▼2%)</t>
        </is>
      </c>
    </row>
    <row r="171">
      <c r="A171" s="9" t="inlineStr">
        <is>
          <t>170 (▼4)</t>
        </is>
      </c>
      <c r="B171" t="inlineStr">
        <is>
          <t>Grace Wang</t>
        </is>
      </c>
      <c r="C171" t="n">
        <v>2015</v>
      </c>
      <c r="D171" s="7" t="inlineStr">
        <is>
          <t>553.76</t>
        </is>
      </c>
      <c r="E171" s="8" t="inlineStr">
        <is>
          <t>25 (+1)</t>
        </is>
      </c>
      <c r="F171" t="inlineStr">
        <is>
          <t>British Columbia</t>
        </is>
      </c>
      <c r="G171" t="inlineStr">
        <is>
          <t>No Club</t>
        </is>
      </c>
      <c r="H171" s="7" t="inlineStr">
        <is>
          <t>28.9</t>
        </is>
      </c>
      <c r="I171" t="n">
        <v>247</v>
      </c>
      <c r="J171" t="inlineStr">
        <is>
          <t>146 / 101</t>
        </is>
      </c>
      <c r="K171" s="9" t="inlineStr">
        <is>
          <t>62% (▼1%)</t>
        </is>
      </c>
    </row>
    <row r="172">
      <c r="A172" s="9" t="inlineStr">
        <is>
          <t>171 (▼4)</t>
        </is>
      </c>
      <c r="B172" t="inlineStr">
        <is>
          <t>Sunandita Pal</t>
        </is>
      </c>
      <c r="C172" t="n">
        <v>2015</v>
      </c>
      <c r="D172" s="7" t="inlineStr">
        <is>
          <t>551.15</t>
        </is>
      </c>
      <c r="E172" s="7" t="inlineStr">
        <is>
          <t>29</t>
        </is>
      </c>
      <c r="F172" t="inlineStr">
        <is>
          <t>Ontario Tennis Association</t>
        </is>
      </c>
      <c r="G172" t="inlineStr">
        <is>
          <t>No Club</t>
        </is>
      </c>
      <c r="H172" s="7" t="inlineStr">
        <is>
          <t>31.7</t>
        </is>
      </c>
      <c r="I172" t="n">
        <v>242</v>
      </c>
      <c r="J172" t="inlineStr">
        <is>
          <t>117 / 125</t>
        </is>
      </c>
      <c r="K172" s="7" t="inlineStr">
        <is>
          <t>57%</t>
        </is>
      </c>
    </row>
    <row r="173">
      <c r="A173" s="9" t="inlineStr">
        <is>
          <t>172 (▼4)</t>
        </is>
      </c>
      <c r="B173" t="inlineStr">
        <is>
          <t>Charlie Thomas-Simard</t>
        </is>
      </c>
      <c r="C173" t="n">
        <v>2014</v>
      </c>
      <c r="D173" s="7" t="inlineStr">
        <is>
          <t>550.77</t>
        </is>
      </c>
      <c r="E173" s="7" t="inlineStr">
        <is>
          <t>21</t>
        </is>
      </c>
      <c r="F173" t="inlineStr">
        <is>
          <t>Tennis Québec</t>
        </is>
      </c>
      <c r="G173" t="inlineStr">
        <is>
          <t>Club Avantage Multi-sports / Académie de tennis Hérisset Bordeleau</t>
        </is>
      </c>
      <c r="H173" s="9" t="inlineStr">
        <is>
          <t>31.9 (▼0.2)</t>
        </is>
      </c>
      <c r="I173" t="n">
        <v>125</v>
      </c>
      <c r="J173" t="inlineStr">
        <is>
          <t>66 / 59</t>
        </is>
      </c>
      <c r="K173" s="9" t="inlineStr">
        <is>
          <t>49% (▼1%)</t>
        </is>
      </c>
    </row>
    <row r="174">
      <c r="A174" s="8" t="inlineStr">
        <is>
          <t>173 (▲10)</t>
        </is>
      </c>
      <c r="B174" t="inlineStr">
        <is>
          <t>Yuehan DONG</t>
        </is>
      </c>
      <c r="C174" t="n">
        <v>2012</v>
      </c>
      <c r="D174" s="8" t="inlineStr">
        <is>
          <t>543.11 (▲51.71)</t>
        </is>
      </c>
      <c r="E174" s="7" t="inlineStr">
        <is>
          <t>23</t>
        </is>
      </c>
      <c r="F174" t="inlineStr">
        <is>
          <t>Ontario Tennis Association</t>
        </is>
      </c>
      <c r="G174" t="inlineStr">
        <is>
          <t>Fainblum Tennis Academy</t>
        </is>
      </c>
      <c r="H174" s="8" t="inlineStr">
        <is>
          <t>30.6 (▲1.1)</t>
        </is>
      </c>
      <c r="I174" t="n">
        <v>128</v>
      </c>
      <c r="J174" t="inlineStr">
        <is>
          <t>59 / 69</t>
        </is>
      </c>
      <c r="K174" s="8" t="inlineStr">
        <is>
          <t>38% (▲7%)</t>
        </is>
      </c>
    </row>
    <row r="175">
      <c r="A175" s="9" t="inlineStr">
        <is>
          <t>174 (▼16)</t>
        </is>
      </c>
      <c r="B175" t="inlineStr">
        <is>
          <t>Eliana Cantin</t>
        </is>
      </c>
      <c r="C175" t="n">
        <v>2012</v>
      </c>
      <c r="D175" s="9" t="inlineStr">
        <is>
          <t>541.57 (▼37.58)</t>
        </is>
      </c>
      <c r="E175" s="9" t="inlineStr">
        <is>
          <t>13 (-1)</t>
        </is>
      </c>
      <c r="F175" t="inlineStr">
        <is>
          <t>Tennis Québec</t>
        </is>
      </c>
      <c r="G175" t="inlineStr">
        <is>
          <t>Centre récréatif de Repentigny / Académie Tennis Momentum</t>
        </is>
      </c>
      <c r="H175" s="7" t="inlineStr">
        <is>
          <t>28.9</t>
        </is>
      </c>
      <c r="I175" t="n">
        <v>186</v>
      </c>
      <c r="J175" t="inlineStr">
        <is>
          <t>91 / 95</t>
        </is>
      </c>
      <c r="K175" s="7" t="inlineStr">
        <is>
          <t>36%</t>
        </is>
      </c>
    </row>
    <row r="176">
      <c r="A176" s="8" t="inlineStr">
        <is>
          <t>175 (▲54)</t>
        </is>
      </c>
      <c r="B176" t="inlineStr">
        <is>
          <t>Noelle Coyne</t>
        </is>
      </c>
      <c r="C176" t="n">
        <v>2013</v>
      </c>
      <c r="D176" s="8" t="inlineStr">
        <is>
          <t>534.27 (▲166.42)</t>
        </is>
      </c>
      <c r="E176" s="8" t="inlineStr">
        <is>
          <t>26 (+1)</t>
        </is>
      </c>
      <c r="F176" t="inlineStr">
        <is>
          <t>Tennis Alberta</t>
        </is>
      </c>
      <c r="G176" t="inlineStr">
        <is>
          <t>Osten &amp; Victor Alberta Tennis Centre</t>
        </is>
      </c>
      <c r="H176" s="8" t="inlineStr">
        <is>
          <t>30.8 (▲1.0)</t>
        </is>
      </c>
      <c r="I176" t="n">
        <v>127</v>
      </c>
      <c r="J176" t="inlineStr">
        <is>
          <t>54 / 73</t>
        </is>
      </c>
      <c r="K176" s="8" t="inlineStr">
        <is>
          <t>43% (▲1%)</t>
        </is>
      </c>
    </row>
    <row r="177">
      <c r="A177" s="9" t="inlineStr">
        <is>
          <t>176 (▼7)</t>
        </is>
      </c>
      <c r="B177" t="inlineStr">
        <is>
          <t>Alyanna Jane Principe</t>
        </is>
      </c>
      <c r="C177" t="n">
        <v>2015</v>
      </c>
      <c r="D177" s="7" t="inlineStr">
        <is>
          <t>532.04</t>
        </is>
      </c>
      <c r="E177" s="7" t="inlineStr">
        <is>
          <t>20</t>
        </is>
      </c>
      <c r="F177" t="inlineStr">
        <is>
          <t>British Columbia</t>
        </is>
      </c>
      <c r="G177" t="inlineStr">
        <is>
          <t>The Tennis Centre</t>
        </is>
      </c>
      <c r="H177" s="7" t="inlineStr">
        <is>
          <t>28.6</t>
        </is>
      </c>
      <c r="I177" t="n">
        <v>242</v>
      </c>
      <c r="J177" t="inlineStr">
        <is>
          <t>159 / 83</t>
        </is>
      </c>
      <c r="K177" s="7" t="inlineStr">
        <is>
          <t>61%</t>
        </is>
      </c>
    </row>
    <row r="178">
      <c r="A178" s="9" t="inlineStr">
        <is>
          <t>177 (▼7)</t>
        </is>
      </c>
      <c r="B178" t="inlineStr">
        <is>
          <t>Laetitia Thuy Van Nguyen</t>
        </is>
      </c>
      <c r="C178" t="n">
        <v>2014</v>
      </c>
      <c r="D178" s="7" t="inlineStr">
        <is>
          <t>530.67</t>
        </is>
      </c>
      <c r="E178" s="9" t="inlineStr">
        <is>
          <t>23 (-1)</t>
        </is>
      </c>
      <c r="F178" t="inlineStr">
        <is>
          <t>Tennis Québec</t>
        </is>
      </c>
      <c r="G178" t="inlineStr">
        <is>
          <t>Tennis Montréal Excellence</t>
        </is>
      </c>
      <c r="H178" s="7" t="inlineStr">
        <is>
          <t>29.2</t>
        </is>
      </c>
      <c r="I178" t="n">
        <v>224</v>
      </c>
      <c r="J178" t="inlineStr">
        <is>
          <t>123 / 101</t>
        </is>
      </c>
      <c r="K178" s="7" t="inlineStr">
        <is>
          <t>59%</t>
        </is>
      </c>
    </row>
    <row r="179">
      <c r="A179" s="9" t="inlineStr">
        <is>
          <t>178 (▼7)</t>
        </is>
      </c>
      <c r="B179" t="inlineStr">
        <is>
          <t>Sonya Notta</t>
        </is>
      </c>
      <c r="C179" t="n">
        <v>2013</v>
      </c>
      <c r="D179" s="7" t="inlineStr">
        <is>
          <t>530.57</t>
        </is>
      </c>
      <c r="E179" s="7" t="inlineStr">
        <is>
          <t>8</t>
        </is>
      </c>
      <c r="F179" t="inlineStr">
        <is>
          <t>Ontario Tennis Association</t>
        </is>
      </c>
      <c r="G179" t="inlineStr">
        <is>
          <t>Mayfair East Racquet Club</t>
        </is>
      </c>
      <c r="H179" s="7" t="inlineStr">
        <is>
          <t>unavailable</t>
        </is>
      </c>
      <c r="I179" t="n">
        <v>78</v>
      </c>
      <c r="J179" t="inlineStr">
        <is>
          <t>53 / 25</t>
        </is>
      </c>
      <c r="K179" s="7" t="inlineStr">
        <is>
          <t>77%</t>
        </is>
      </c>
    </row>
    <row r="180">
      <c r="A180" s="9" t="inlineStr">
        <is>
          <t>179 (▼7)</t>
        </is>
      </c>
      <c r="B180" t="inlineStr">
        <is>
          <t>Bianca Bordogna</t>
        </is>
      </c>
      <c r="C180" t="n">
        <v>2013</v>
      </c>
      <c r="D180" s="7" t="inlineStr">
        <is>
          <t>529.64</t>
        </is>
      </c>
      <c r="E180" s="7" t="inlineStr">
        <is>
          <t>17</t>
        </is>
      </c>
      <c r="F180" t="inlineStr">
        <is>
          <t>Ontario Tennis Association</t>
        </is>
      </c>
      <c r="G180" t="inlineStr">
        <is>
          <t>Carleton Tennis Centre</t>
        </is>
      </c>
      <c r="H180" s="7" t="inlineStr">
        <is>
          <t>30.4</t>
        </is>
      </c>
      <c r="I180" t="n">
        <v>114</v>
      </c>
      <c r="J180" t="inlineStr">
        <is>
          <t>60 / 54</t>
        </is>
      </c>
      <c r="K180" s="7" t="inlineStr">
        <is>
          <t>55%</t>
        </is>
      </c>
    </row>
    <row r="181">
      <c r="A181" s="9" t="inlineStr">
        <is>
          <t>180 (▼7)</t>
        </is>
      </c>
      <c r="B181" t="inlineStr">
        <is>
          <t>Meeth Kaur Rai</t>
        </is>
      </c>
      <c r="C181" t="n">
        <v>2012</v>
      </c>
      <c r="D181" s="7" t="inlineStr">
        <is>
          <t>517.12</t>
        </is>
      </c>
      <c r="E181" s="7" t="inlineStr">
        <is>
          <t>18</t>
        </is>
      </c>
      <c r="F181" t="inlineStr">
        <is>
          <t>British Columbia</t>
        </is>
      </c>
      <c r="G181" t="inlineStr">
        <is>
          <t>No Club</t>
        </is>
      </c>
      <c r="H181" s="7" t="inlineStr">
        <is>
          <t>28.3</t>
        </is>
      </c>
      <c r="I181" t="n">
        <v>230</v>
      </c>
      <c r="J181" t="inlineStr">
        <is>
          <t>126 / 104</t>
        </is>
      </c>
      <c r="K181" s="7" t="inlineStr">
        <is>
          <t>37%</t>
        </is>
      </c>
    </row>
    <row r="182">
      <c r="A182" s="9" t="inlineStr">
        <is>
          <t>181 (▼5)</t>
        </is>
      </c>
      <c r="B182" t="inlineStr">
        <is>
          <t>Ira Karthi</t>
        </is>
      </c>
      <c r="C182" t="n">
        <v>2012</v>
      </c>
      <c r="D182" s="7" t="inlineStr">
        <is>
          <t>508.61</t>
        </is>
      </c>
      <c r="E182" s="7" t="inlineStr">
        <is>
          <t>19</t>
        </is>
      </c>
      <c r="F182" t="inlineStr">
        <is>
          <t>Ontario Tennis Association</t>
        </is>
      </c>
      <c r="G182" t="inlineStr">
        <is>
          <t>Sandy Beach Tennis Club</t>
        </is>
      </c>
      <c r="H182" s="7" t="inlineStr">
        <is>
          <t>31.7</t>
        </is>
      </c>
      <c r="I182" t="n">
        <v>77</v>
      </c>
      <c r="J182" t="inlineStr">
        <is>
          <t>23 / 54</t>
        </is>
      </c>
      <c r="K182" s="7" t="inlineStr">
        <is>
          <t>43%</t>
        </is>
      </c>
    </row>
    <row r="183">
      <c r="A183" s="9" t="inlineStr">
        <is>
          <t>182 (▼5)</t>
        </is>
      </c>
      <c r="B183" t="inlineStr">
        <is>
          <t>Emma Sun</t>
        </is>
      </c>
      <c r="C183" t="n">
        <v>2012</v>
      </c>
      <c r="D183" s="7" t="inlineStr">
        <is>
          <t>503.72</t>
        </is>
      </c>
      <c r="E183" s="7" t="inlineStr">
        <is>
          <t>15</t>
        </is>
      </c>
      <c r="F183" t="inlineStr">
        <is>
          <t>British Columbia</t>
        </is>
      </c>
      <c r="G183" t="inlineStr">
        <is>
          <t>The Tennis Centre</t>
        </is>
      </c>
      <c r="H183" s="8" t="inlineStr">
        <is>
          <t>27.0 (▲0.5)</t>
        </is>
      </c>
      <c r="I183" t="n">
        <v>262</v>
      </c>
      <c r="J183" t="inlineStr">
        <is>
          <t>125 / 137</t>
        </is>
      </c>
      <c r="K183" s="7" t="inlineStr">
        <is>
          <t>50%</t>
        </is>
      </c>
    </row>
    <row r="184">
      <c r="A184" s="9" t="inlineStr">
        <is>
          <t>183 (▼5)</t>
        </is>
      </c>
      <c r="B184" t="inlineStr">
        <is>
          <t>Hanna Julia Barta</t>
        </is>
      </c>
      <c r="C184" t="n">
        <v>2014</v>
      </c>
      <c r="D184" s="7" t="inlineStr">
        <is>
          <t>500.28</t>
        </is>
      </c>
      <c r="E184" s="9" t="inlineStr">
        <is>
          <t>24 (-1)</t>
        </is>
      </c>
      <c r="F184" t="inlineStr">
        <is>
          <t>Ontario Tennis Association</t>
        </is>
      </c>
      <c r="G184" t="inlineStr">
        <is>
          <t>Advantage Tennis International at Veneto</t>
        </is>
      </c>
      <c r="H184" s="7" t="inlineStr">
        <is>
          <t>31.8</t>
        </is>
      </c>
      <c r="I184" t="n">
        <v>211</v>
      </c>
      <c r="J184" t="inlineStr">
        <is>
          <t>105 / 106</t>
        </is>
      </c>
      <c r="K184" s="7" t="inlineStr">
        <is>
          <t>56%</t>
        </is>
      </c>
    </row>
    <row r="185">
      <c r="A185" s="9" t="inlineStr">
        <is>
          <t>184 (▼5)</t>
        </is>
      </c>
      <c r="B185" t="inlineStr">
        <is>
          <t>Mariela Ibrahim</t>
        </is>
      </c>
      <c r="C185" t="n">
        <v>2013</v>
      </c>
      <c r="D185" s="7" t="inlineStr">
        <is>
          <t>499.04</t>
        </is>
      </c>
      <c r="E185" s="9" t="inlineStr">
        <is>
          <t>31 (-1)</t>
        </is>
      </c>
      <c r="F185" t="inlineStr">
        <is>
          <t>Ontario Tennis Association</t>
        </is>
      </c>
      <c r="G185" t="inlineStr">
        <is>
          <t>Concord Tennis Academy</t>
        </is>
      </c>
      <c r="H185" s="7" t="inlineStr">
        <is>
          <t>unavailable</t>
        </is>
      </c>
      <c r="I185" t="n">
        <v>114</v>
      </c>
      <c r="J185" t="inlineStr">
        <is>
          <t>66 / 48</t>
        </is>
      </c>
      <c r="K185" s="7" t="inlineStr">
        <is>
          <t>59%</t>
        </is>
      </c>
    </row>
    <row r="186">
      <c r="A186" s="9" t="inlineStr">
        <is>
          <t>185 (▼5)</t>
        </is>
      </c>
      <c r="B186" t="inlineStr">
        <is>
          <t>Alexandra Bayentin</t>
        </is>
      </c>
      <c r="C186" t="n">
        <v>2012</v>
      </c>
      <c r="D186" s="7" t="inlineStr">
        <is>
          <t>499.02</t>
        </is>
      </c>
      <c r="E186" s="7" t="inlineStr">
        <is>
          <t>14</t>
        </is>
      </c>
      <c r="F186" t="inlineStr">
        <is>
          <t>Tennis Alberta</t>
        </is>
      </c>
      <c r="G186" t="inlineStr">
        <is>
          <t>Osten &amp; Victor Alberta Tennis Centre</t>
        </is>
      </c>
      <c r="H186" s="7" t="inlineStr">
        <is>
          <t>28.3</t>
        </is>
      </c>
      <c r="I186" t="n">
        <v>167</v>
      </c>
      <c r="J186" t="inlineStr">
        <is>
          <t>81 / 86</t>
        </is>
      </c>
      <c r="K186" s="7" t="inlineStr">
        <is>
          <t>48%</t>
        </is>
      </c>
    </row>
    <row r="187">
      <c r="A187" s="9" t="inlineStr">
        <is>
          <t>186 (▼5)</t>
        </is>
      </c>
      <c r="B187" t="inlineStr">
        <is>
          <t>Abbey Crump</t>
        </is>
      </c>
      <c r="C187" t="n">
        <v>2015</v>
      </c>
      <c r="D187" s="7" t="inlineStr">
        <is>
          <t>493.89</t>
        </is>
      </c>
      <c r="E187" s="7" t="inlineStr">
        <is>
          <t>16</t>
        </is>
      </c>
      <c r="F187" t="inlineStr">
        <is>
          <t>Ontario Tennis Association</t>
        </is>
      </c>
      <c r="G187" t="inlineStr">
        <is>
          <t>Joshua Creek Golf &amp; Tennis</t>
        </is>
      </c>
      <c r="H187" s="7" t="inlineStr">
        <is>
          <t>30.7</t>
        </is>
      </c>
      <c r="I187" t="n">
        <v>146</v>
      </c>
      <c r="J187" t="inlineStr">
        <is>
          <t>120 / 26</t>
        </is>
      </c>
      <c r="K187" s="7" t="inlineStr">
        <is>
          <t>65%</t>
        </is>
      </c>
    </row>
    <row r="188">
      <c r="A188" s="9" t="inlineStr">
        <is>
          <t>187 (▼5)</t>
        </is>
      </c>
      <c r="B188" t="inlineStr">
        <is>
          <t>Livia Seguin</t>
        </is>
      </c>
      <c r="C188" t="n">
        <v>2013</v>
      </c>
      <c r="D188" s="7" t="inlineStr">
        <is>
          <t>493.70</t>
        </is>
      </c>
      <c r="E188" s="7" t="inlineStr">
        <is>
          <t>38</t>
        </is>
      </c>
      <c r="F188" t="inlineStr">
        <is>
          <t>Tennis Québec</t>
        </is>
      </c>
      <c r="G188" t="inlineStr">
        <is>
          <t>Tennis Interclub Piedmont</t>
        </is>
      </c>
      <c r="H188" s="7" t="inlineStr">
        <is>
          <t>32.8</t>
        </is>
      </c>
      <c r="I188" t="n">
        <v>139</v>
      </c>
      <c r="J188" t="inlineStr">
        <is>
          <t>43 / 96</t>
        </is>
      </c>
      <c r="K188" s="9" t="inlineStr">
        <is>
          <t>35% (▼1%)</t>
        </is>
      </c>
    </row>
    <row r="189">
      <c r="A189" s="9" t="inlineStr">
        <is>
          <t>188 (▼4)</t>
        </is>
      </c>
      <c r="B189" t="inlineStr">
        <is>
          <t>Mila Anna Kodjian</t>
        </is>
      </c>
      <c r="C189" t="n">
        <v>2013</v>
      </c>
      <c r="D189" s="7" t="inlineStr">
        <is>
          <t>491.40</t>
        </is>
      </c>
      <c r="E189" s="7" t="inlineStr">
        <is>
          <t>17</t>
        </is>
      </c>
      <c r="F189" t="inlineStr">
        <is>
          <t>Ontario Tennis Association</t>
        </is>
      </c>
      <c r="G189" t="inlineStr">
        <is>
          <t>Rosethorn Tennis Club</t>
        </is>
      </c>
      <c r="H189" s="7" t="inlineStr">
        <is>
          <t>31.9</t>
        </is>
      </c>
      <c r="I189" t="n">
        <v>115</v>
      </c>
      <c r="J189" t="inlineStr">
        <is>
          <t>66 / 49</t>
        </is>
      </c>
      <c r="K189" s="7" t="inlineStr">
        <is>
          <t>69%</t>
        </is>
      </c>
    </row>
    <row r="190">
      <c r="A190" s="9" t="inlineStr">
        <is>
          <t>189 (▼4)</t>
        </is>
      </c>
      <c r="B190" t="inlineStr">
        <is>
          <t>MISHIKA SURESH BALAJI</t>
        </is>
      </c>
      <c r="C190" t="n">
        <v>2012</v>
      </c>
      <c r="D190" s="7" t="inlineStr">
        <is>
          <t>488.52</t>
        </is>
      </c>
      <c r="E190" s="7" t="inlineStr">
        <is>
          <t>18</t>
        </is>
      </c>
      <c r="F190" t="inlineStr">
        <is>
          <t>Tennis Nova Scotia</t>
        </is>
      </c>
      <c r="G190" t="inlineStr">
        <is>
          <t>Atlantic Tennis Centre</t>
        </is>
      </c>
      <c r="H190" s="7" t="inlineStr">
        <is>
          <t>27.8</t>
        </is>
      </c>
      <c r="I190" t="n">
        <v>173</v>
      </c>
      <c r="J190" t="inlineStr">
        <is>
          <t>91 / 82</t>
        </is>
      </c>
      <c r="K190" s="7" t="inlineStr">
        <is>
          <t>65%</t>
        </is>
      </c>
    </row>
    <row r="191">
      <c r="A191" s="9" t="inlineStr">
        <is>
          <t>190 (▼4)</t>
        </is>
      </c>
      <c r="B191" t="inlineStr">
        <is>
          <t>Maya Sophia Abdullah</t>
        </is>
      </c>
      <c r="C191" t="n">
        <v>2012</v>
      </c>
      <c r="D191" s="7" t="inlineStr">
        <is>
          <t>485.93</t>
        </is>
      </c>
      <c r="E191" s="7" t="inlineStr">
        <is>
          <t>20</t>
        </is>
      </c>
      <c r="F191" t="inlineStr">
        <is>
          <t>Tennis Alberta</t>
        </is>
      </c>
      <c r="G191" t="inlineStr">
        <is>
          <t>Aforza</t>
        </is>
      </c>
      <c r="H191" s="7" t="inlineStr">
        <is>
          <t>30.6</t>
        </is>
      </c>
      <c r="I191" t="n">
        <v>64</v>
      </c>
      <c r="J191" t="inlineStr">
        <is>
          <t>32 / 32</t>
        </is>
      </c>
      <c r="K191" s="7" t="inlineStr">
        <is>
          <t>50%</t>
        </is>
      </c>
    </row>
    <row r="192">
      <c r="A192" s="9" t="inlineStr">
        <is>
          <t>191 (▼4)</t>
        </is>
      </c>
      <c r="B192" t="inlineStr">
        <is>
          <t>Naima Majumdar-Moreau</t>
        </is>
      </c>
      <c r="C192" t="n">
        <v>2014</v>
      </c>
      <c r="D192" s="7" t="inlineStr">
        <is>
          <t>485.90</t>
        </is>
      </c>
      <c r="E192" s="8" t="inlineStr">
        <is>
          <t>32 (+1)</t>
        </is>
      </c>
      <c r="F192" t="inlineStr">
        <is>
          <t>Tennis Québec</t>
        </is>
      </c>
      <c r="G192" t="inlineStr">
        <is>
          <t>Tennis Ile- des- Soeurs</t>
        </is>
      </c>
      <c r="H192" s="7" t="inlineStr">
        <is>
          <t>unavailable</t>
        </is>
      </c>
      <c r="I192" t="n">
        <v>166</v>
      </c>
      <c r="J192" t="inlineStr">
        <is>
          <t>77 / 89</t>
        </is>
      </c>
      <c r="K192" s="9" t="inlineStr">
        <is>
          <t>50% (▼1%)</t>
        </is>
      </c>
    </row>
    <row r="193">
      <c r="A193" s="9" t="inlineStr">
        <is>
          <t>192 (▼3)</t>
        </is>
      </c>
      <c r="B193" t="inlineStr">
        <is>
          <t>Anica Yachun Liu</t>
        </is>
      </c>
      <c r="C193" t="n">
        <v>2014</v>
      </c>
      <c r="D193" s="9" t="inlineStr">
        <is>
          <t>474.09 (▼5.02)</t>
        </is>
      </c>
      <c r="E193" s="9" t="inlineStr">
        <is>
          <t>21 (-1)</t>
        </is>
      </c>
      <c r="F193" t="inlineStr">
        <is>
          <t>Tennis Alberta</t>
        </is>
      </c>
      <c r="G193" t="inlineStr">
        <is>
          <t>Saville Community Sports Centre</t>
        </is>
      </c>
      <c r="H193" s="7" t="inlineStr">
        <is>
          <t>29.3</t>
        </is>
      </c>
      <c r="I193" t="n">
        <v>224</v>
      </c>
      <c r="J193" t="inlineStr">
        <is>
          <t>111 / 113</t>
        </is>
      </c>
      <c r="K193" s="7" t="inlineStr">
        <is>
          <t>46%</t>
        </is>
      </c>
    </row>
    <row r="194">
      <c r="A194" s="9" t="inlineStr">
        <is>
          <t>193 (▼3)</t>
        </is>
      </c>
      <c r="B194" t="inlineStr">
        <is>
          <t>Juliana Sophie Ho</t>
        </is>
      </c>
      <c r="C194" t="n">
        <v>2013</v>
      </c>
      <c r="D194" s="7" t="inlineStr">
        <is>
          <t>468.72</t>
        </is>
      </c>
      <c r="E194" s="7" t="inlineStr">
        <is>
          <t>28</t>
        </is>
      </c>
      <c r="F194" t="inlineStr">
        <is>
          <t>Ontario Tennis Association</t>
        </is>
      </c>
      <c r="G194" t="inlineStr">
        <is>
          <t>Ontario Racquet Club</t>
        </is>
      </c>
      <c r="H194" s="7" t="inlineStr">
        <is>
          <t>32.1</t>
        </is>
      </c>
      <c r="I194" t="n">
        <v>144</v>
      </c>
      <c r="J194" t="inlineStr">
        <is>
          <t>73 / 71</t>
        </is>
      </c>
      <c r="K194" s="7" t="inlineStr">
        <is>
          <t>51%</t>
        </is>
      </c>
    </row>
    <row r="195">
      <c r="A195" s="9" t="inlineStr">
        <is>
          <t>194 (▼3)</t>
        </is>
      </c>
      <c r="B195" t="inlineStr">
        <is>
          <t>Izibeyle Bhopal</t>
        </is>
      </c>
      <c r="C195" t="n">
        <v>2012</v>
      </c>
      <c r="D195" s="7" t="inlineStr">
        <is>
          <t>468.45</t>
        </is>
      </c>
      <c r="E195" s="7" t="inlineStr">
        <is>
          <t>2</t>
        </is>
      </c>
      <c r="F195" t="inlineStr">
        <is>
          <t>British Columbia</t>
        </is>
      </c>
      <c r="G195" t="inlineStr">
        <is>
          <t>Bear Mountain Golf and Tennis Club</t>
        </is>
      </c>
      <c r="H195" s="7" t="inlineStr">
        <is>
          <t>24.3</t>
        </is>
      </c>
      <c r="I195" t="n">
        <v>64</v>
      </c>
      <c r="J195" t="inlineStr">
        <is>
          <t>39 / 25</t>
        </is>
      </c>
      <c r="K195" s="7" t="inlineStr">
        <is>
          <t>100%</t>
        </is>
      </c>
    </row>
    <row r="196">
      <c r="A196" s="9" t="inlineStr">
        <is>
          <t>195 (▼3)</t>
        </is>
      </c>
      <c r="B196" t="inlineStr">
        <is>
          <t>Eva Larose</t>
        </is>
      </c>
      <c r="C196" t="n">
        <v>2014</v>
      </c>
      <c r="D196" s="7" t="inlineStr">
        <is>
          <t>466.78</t>
        </is>
      </c>
      <c r="E196" s="9" t="inlineStr">
        <is>
          <t>22 (-1)</t>
        </is>
      </c>
      <c r="F196" t="inlineStr">
        <is>
          <t>Tennis Québec</t>
        </is>
      </c>
      <c r="G196" t="inlineStr">
        <is>
          <t>Tennis Ile- des- Soeurs</t>
        </is>
      </c>
      <c r="H196" s="7" t="inlineStr">
        <is>
          <t>unavailable</t>
        </is>
      </c>
      <c r="I196" t="n">
        <v>171</v>
      </c>
      <c r="J196" t="inlineStr">
        <is>
          <t>99 / 72</t>
        </is>
      </c>
      <c r="K196" s="7" t="inlineStr">
        <is>
          <t>68%</t>
        </is>
      </c>
    </row>
    <row r="197">
      <c r="A197" s="9" t="inlineStr">
        <is>
          <t>196 (▼3)</t>
        </is>
      </c>
      <c r="B197" t="inlineStr">
        <is>
          <t>Alisha Goel</t>
        </is>
      </c>
      <c r="C197" t="n">
        <v>2016</v>
      </c>
      <c r="D197" s="7" t="inlineStr">
        <is>
          <t>459.47</t>
        </is>
      </c>
      <c r="E197" s="7" t="inlineStr">
        <is>
          <t>27</t>
        </is>
      </c>
      <c r="F197" t="inlineStr">
        <is>
          <t>Ontario Tennis Association</t>
        </is>
      </c>
      <c r="G197" t="inlineStr">
        <is>
          <t>The Supreme Court Tennis Club</t>
        </is>
      </c>
      <c r="H197" s="7" t="inlineStr">
        <is>
          <t>32.5</t>
        </is>
      </c>
      <c r="I197" t="n">
        <v>185</v>
      </c>
      <c r="J197" t="inlineStr">
        <is>
          <t>124 / 61</t>
        </is>
      </c>
      <c r="K197" s="7" t="inlineStr">
        <is>
          <t>62%</t>
        </is>
      </c>
    </row>
    <row r="198">
      <c r="A198" s="9" t="inlineStr">
        <is>
          <t>197 (▼3)</t>
        </is>
      </c>
      <c r="B198" t="inlineStr">
        <is>
          <t>Audrey Yiyi Xu</t>
        </is>
      </c>
      <c r="C198" t="n">
        <v>2013</v>
      </c>
      <c r="D198" s="7" t="inlineStr">
        <is>
          <t>458.02</t>
        </is>
      </c>
      <c r="E198" s="8" t="inlineStr">
        <is>
          <t>25 (+1)</t>
        </is>
      </c>
      <c r="F198" t="inlineStr">
        <is>
          <t>Ontario Tennis Association</t>
        </is>
      </c>
      <c r="G198" t="inlineStr">
        <is>
          <t>Joshua Creek Golf &amp; Tennis</t>
        </is>
      </c>
      <c r="H198" s="9" t="inlineStr">
        <is>
          <t>31.7 (▼0.4)</t>
        </is>
      </c>
      <c r="I198" t="n">
        <v>152</v>
      </c>
      <c r="J198" t="inlineStr">
        <is>
          <t>68 / 84</t>
        </is>
      </c>
      <c r="K198" s="9" t="inlineStr">
        <is>
          <t>59% (▼1%)</t>
        </is>
      </c>
    </row>
    <row r="199">
      <c r="A199" s="8" t="inlineStr">
        <is>
          <t>198 (▲10)</t>
        </is>
      </c>
      <c r="B199" t="inlineStr">
        <is>
          <t>Ria Tamber</t>
        </is>
      </c>
      <c r="C199" t="n">
        <v>2013</v>
      </c>
      <c r="D199" s="8" t="inlineStr">
        <is>
          <t>453.48 (▲30.96)</t>
        </is>
      </c>
      <c r="E199" s="7" t="inlineStr">
        <is>
          <t>24</t>
        </is>
      </c>
      <c r="F199" t="inlineStr">
        <is>
          <t>Ontario Tennis Association</t>
        </is>
      </c>
      <c r="G199" t="inlineStr">
        <is>
          <t>Premier Racquet Clubs – Mississauga</t>
        </is>
      </c>
      <c r="H199" s="7" t="inlineStr">
        <is>
          <t>unavailable</t>
        </is>
      </c>
      <c r="I199" t="n">
        <v>107</v>
      </c>
      <c r="J199" t="inlineStr">
        <is>
          <t>48 / 59</t>
        </is>
      </c>
      <c r="K199" s="8" t="inlineStr">
        <is>
          <t>53% (▲2%)</t>
        </is>
      </c>
    </row>
    <row r="200">
      <c r="A200" s="9" t="inlineStr">
        <is>
          <t>199 (▼4)</t>
        </is>
      </c>
      <c r="B200" t="inlineStr">
        <is>
          <t>Rosemarie Gagnon</t>
        </is>
      </c>
      <c r="C200" t="n">
        <v>2013</v>
      </c>
      <c r="D200" s="7" t="inlineStr">
        <is>
          <t>449.92</t>
        </is>
      </c>
      <c r="E200" s="9" t="inlineStr">
        <is>
          <t>21 (-1)</t>
        </is>
      </c>
      <c r="F200" t="inlineStr">
        <is>
          <t>Tennis Québec</t>
        </is>
      </c>
      <c r="G200" t="inlineStr">
        <is>
          <t>Club de tennis intérieur Saguenay / École de tennis Delisle-Poirel</t>
        </is>
      </c>
      <c r="H200" s="7" t="inlineStr">
        <is>
          <t>31.7</t>
        </is>
      </c>
      <c r="I200" t="n">
        <v>116</v>
      </c>
      <c r="J200" t="inlineStr">
        <is>
          <t>51 / 65</t>
        </is>
      </c>
      <c r="K200" s="7" t="inlineStr">
        <is>
          <t>39%</t>
        </is>
      </c>
    </row>
    <row r="201">
      <c r="A201" s="9" t="inlineStr">
        <is>
          <t>200 (▼4)</t>
        </is>
      </c>
      <c r="B201" t="inlineStr">
        <is>
          <t>Alexandra Choe</t>
        </is>
      </c>
      <c r="C201" t="n">
        <v>2013</v>
      </c>
      <c r="D201" s="7" t="inlineStr">
        <is>
          <t>449.28</t>
        </is>
      </c>
      <c r="E201" s="7" t="inlineStr">
        <is>
          <t>11</t>
        </is>
      </c>
      <c r="F201" t="inlineStr">
        <is>
          <t>Ontario Tennis Association</t>
        </is>
      </c>
      <c r="G201" t="inlineStr">
        <is>
          <t>Joshua Creek Golf &amp; Tennis</t>
        </is>
      </c>
      <c r="H201" s="7" t="inlineStr">
        <is>
          <t>29.9</t>
        </is>
      </c>
      <c r="I201" t="n">
        <v>221</v>
      </c>
      <c r="J201" t="inlineStr">
        <is>
          <t>135 / 86</t>
        </is>
      </c>
      <c r="K201" s="7" t="inlineStr">
        <is>
          <t>67%</t>
        </is>
      </c>
    </row>
    <row r="202">
      <c r="A202" s="9" t="inlineStr">
        <is>
          <t>201 (▼4)</t>
        </is>
      </c>
      <c r="B202" t="inlineStr">
        <is>
          <t>Katelyn Li</t>
        </is>
      </c>
      <c r="C202" t="n">
        <v>2014</v>
      </c>
      <c r="D202" s="7" t="inlineStr">
        <is>
          <t>449.06</t>
        </is>
      </c>
      <c r="E202" s="8" t="inlineStr">
        <is>
          <t>27 (+1)</t>
        </is>
      </c>
      <c r="F202" t="inlineStr">
        <is>
          <t>Ontario Tennis Association</t>
        </is>
      </c>
      <c r="G202" t="inlineStr">
        <is>
          <t>Burlington Hall Sporting Club</t>
        </is>
      </c>
      <c r="H202" s="7" t="inlineStr">
        <is>
          <t>unavailable</t>
        </is>
      </c>
      <c r="I202" t="n">
        <v>140</v>
      </c>
      <c r="J202" t="inlineStr">
        <is>
          <t>66 / 74</t>
        </is>
      </c>
      <c r="K202" s="9" t="inlineStr">
        <is>
          <t>51% (▼1%)</t>
        </is>
      </c>
    </row>
    <row r="203">
      <c r="A203" s="9" t="inlineStr">
        <is>
          <t>202 (▼4)</t>
        </is>
      </c>
      <c r="B203" t="inlineStr">
        <is>
          <t>Tia Patel</t>
        </is>
      </c>
      <c r="C203" t="n">
        <v>2013</v>
      </c>
      <c r="D203" s="8" t="inlineStr">
        <is>
          <t>448.39 (▲0.24)</t>
        </is>
      </c>
      <c r="E203" s="8" t="inlineStr">
        <is>
          <t>17 (+1)</t>
        </is>
      </c>
      <c r="F203" t="inlineStr">
        <is>
          <t>Ontario Tennis Association</t>
        </is>
      </c>
      <c r="G203" t="inlineStr">
        <is>
          <t>Waterloo Tennis Club</t>
        </is>
      </c>
      <c r="H203" s="8" t="inlineStr">
        <is>
          <t>32.8 (▲0.3)</t>
        </is>
      </c>
      <c r="I203" t="n">
        <v>87</v>
      </c>
      <c r="J203" t="inlineStr">
        <is>
          <t>33 / 54</t>
        </is>
      </c>
      <c r="K203" s="8" t="inlineStr">
        <is>
          <t>44% (▲3%)</t>
        </is>
      </c>
    </row>
    <row r="204">
      <c r="A204" s="9" t="inlineStr">
        <is>
          <t>203 (▼4)</t>
        </is>
      </c>
      <c r="B204" t="inlineStr">
        <is>
          <t>Rihanna Kulyk</t>
        </is>
      </c>
      <c r="C204" t="n">
        <v>2013</v>
      </c>
      <c r="D204" s="7" t="inlineStr">
        <is>
          <t>444.67</t>
        </is>
      </c>
      <c r="E204" s="7" t="inlineStr">
        <is>
          <t>24</t>
        </is>
      </c>
      <c r="F204" t="inlineStr">
        <is>
          <t>Tennis Québec</t>
        </is>
      </c>
      <c r="G204" t="inlineStr">
        <is>
          <t>Tennis Ile- des- Soeurs</t>
        </is>
      </c>
      <c r="H204" s="7" t="inlineStr">
        <is>
          <t>unavailable</t>
        </is>
      </c>
      <c r="I204" t="n">
        <v>242</v>
      </c>
      <c r="J204" t="inlineStr">
        <is>
          <t>106 / 136</t>
        </is>
      </c>
      <c r="K204" s="7" t="inlineStr">
        <is>
          <t>38%</t>
        </is>
      </c>
    </row>
    <row r="205">
      <c r="A205" s="9" t="inlineStr">
        <is>
          <t>204 (▼4)</t>
        </is>
      </c>
      <c r="B205" t="inlineStr">
        <is>
          <t>Sara Liao</t>
        </is>
      </c>
      <c r="C205" t="n">
        <v>2014</v>
      </c>
      <c r="D205" s="7" t="inlineStr">
        <is>
          <t>443.84</t>
        </is>
      </c>
      <c r="E205" s="8" t="inlineStr">
        <is>
          <t>36 (+1)</t>
        </is>
      </c>
      <c r="F205" t="inlineStr">
        <is>
          <t>Ontario Tennis Association</t>
        </is>
      </c>
      <c r="G205" t="inlineStr">
        <is>
          <t>Ontario Racquet Club</t>
        </is>
      </c>
      <c r="H205" s="8" t="inlineStr">
        <is>
          <t>31.7 (▲0.3)</t>
        </is>
      </c>
      <c r="I205" t="n">
        <v>126</v>
      </c>
      <c r="J205" t="inlineStr">
        <is>
          <t>62 / 64</t>
        </is>
      </c>
      <c r="K205" s="7" t="inlineStr">
        <is>
          <t>53%</t>
        </is>
      </c>
    </row>
    <row r="206">
      <c r="A206" s="9" t="inlineStr">
        <is>
          <t>205 (▼4)</t>
        </is>
      </c>
      <c r="B206" t="inlineStr">
        <is>
          <t>Ella Zhao</t>
        </is>
      </c>
      <c r="C206" t="n">
        <v>2012</v>
      </c>
      <c r="D206" s="7" t="inlineStr">
        <is>
          <t>442.48</t>
        </is>
      </c>
      <c r="E206" s="9" t="inlineStr">
        <is>
          <t>8 (-1)</t>
        </is>
      </c>
      <c r="F206" t="inlineStr">
        <is>
          <t>British Columbia</t>
        </is>
      </c>
      <c r="G206" t="inlineStr">
        <is>
          <t>North Shore Winter Club</t>
        </is>
      </c>
      <c r="H206" s="7" t="inlineStr">
        <is>
          <t>26.8</t>
        </is>
      </c>
      <c r="I206" t="n">
        <v>121</v>
      </c>
      <c r="J206" t="inlineStr">
        <is>
          <t>89 / 32</t>
        </is>
      </c>
      <c r="K206" s="7" t="inlineStr">
        <is>
          <t>56%</t>
        </is>
      </c>
    </row>
    <row r="207">
      <c r="A207" s="7" t="inlineStr">
        <is>
          <t>206</t>
        </is>
      </c>
      <c r="B207" t="inlineStr">
        <is>
          <t>Ema Zonjic</t>
        </is>
      </c>
      <c r="C207" t="n">
        <v>2014</v>
      </c>
      <c r="D207" s="8" t="inlineStr">
        <is>
          <t>436.90 (▲9.20)</t>
        </is>
      </c>
      <c r="E207" s="9" t="inlineStr">
        <is>
          <t>27 (-1)</t>
        </is>
      </c>
      <c r="F207" t="inlineStr">
        <is>
          <t>Ontario Tennis Association</t>
        </is>
      </c>
      <c r="G207" t="inlineStr">
        <is>
          <t>Rideau Sports Centre</t>
        </is>
      </c>
      <c r="H207" s="7" t="inlineStr">
        <is>
          <t>30.5</t>
        </is>
      </c>
      <c r="I207" t="n">
        <v>197</v>
      </c>
      <c r="J207" t="inlineStr">
        <is>
          <t>114 / 83</t>
        </is>
      </c>
      <c r="K207" s="8" t="inlineStr">
        <is>
          <t>64% (▲1%)</t>
        </is>
      </c>
    </row>
    <row r="208">
      <c r="A208" s="9" t="inlineStr">
        <is>
          <t>207 (▼5)</t>
        </is>
      </c>
      <c r="B208" t="inlineStr">
        <is>
          <t>Tina liu</t>
        </is>
      </c>
      <c r="C208" t="n">
        <v>2015</v>
      </c>
      <c r="D208" s="7" t="inlineStr">
        <is>
          <t>436.51</t>
        </is>
      </c>
      <c r="E208" s="7" t="inlineStr">
        <is>
          <t>28</t>
        </is>
      </c>
      <c r="F208" t="inlineStr">
        <is>
          <t>Ontario Tennis Association</t>
        </is>
      </c>
      <c r="G208" t="inlineStr">
        <is>
          <t>Advantage Tennis International at Veneto</t>
        </is>
      </c>
      <c r="H208" s="7" t="inlineStr">
        <is>
          <t>32.1</t>
        </is>
      </c>
      <c r="I208" t="n">
        <v>205</v>
      </c>
      <c r="J208" t="inlineStr">
        <is>
          <t>131 / 74</t>
        </is>
      </c>
      <c r="K208" s="7" t="inlineStr">
        <is>
          <t>62%</t>
        </is>
      </c>
    </row>
    <row r="209">
      <c r="A209" s="9" t="inlineStr">
        <is>
          <t>208 (▼5)</t>
        </is>
      </c>
      <c r="B209" t="inlineStr">
        <is>
          <t>Maeva Cantin</t>
        </is>
      </c>
      <c r="C209" t="n">
        <v>2014</v>
      </c>
      <c r="D209" s="7" t="inlineStr">
        <is>
          <t>433.01</t>
        </is>
      </c>
      <c r="E209" s="9" t="inlineStr">
        <is>
          <t>15 (-1)</t>
        </is>
      </c>
      <c r="F209" t="inlineStr">
        <is>
          <t>Tennis Québec</t>
        </is>
      </c>
      <c r="G209" t="inlineStr">
        <is>
          <t>Centre récréatif de Repentigny / Académie Tennis Momentum</t>
        </is>
      </c>
      <c r="H209" s="7" t="inlineStr">
        <is>
          <t>30.7</t>
        </is>
      </c>
      <c r="I209" t="n">
        <v>152</v>
      </c>
      <c r="J209" t="inlineStr">
        <is>
          <t>82 / 70</t>
        </is>
      </c>
      <c r="K209" s="7" t="inlineStr">
        <is>
          <t>63%</t>
        </is>
      </c>
    </row>
    <row r="210">
      <c r="A210" s="9" t="inlineStr">
        <is>
          <t>209 (▼5)</t>
        </is>
      </c>
      <c r="B210" t="inlineStr">
        <is>
          <t>Olivia Zhang</t>
        </is>
      </c>
      <c r="C210" t="n">
        <v>2014</v>
      </c>
      <c r="D210" s="7" t="inlineStr">
        <is>
          <t>428.80</t>
        </is>
      </c>
      <c r="E210" s="7" t="inlineStr">
        <is>
          <t>23</t>
        </is>
      </c>
      <c r="F210" t="inlineStr">
        <is>
          <t>Ontario Tennis Association</t>
        </is>
      </c>
      <c r="G210" t="inlineStr">
        <is>
          <t>Richmondhill Golf &amp; Country Club</t>
        </is>
      </c>
      <c r="H210" s="9" t="inlineStr">
        <is>
          <t>29.9 (▼0.1)</t>
        </is>
      </c>
      <c r="I210" t="n">
        <v>109</v>
      </c>
      <c r="J210" t="inlineStr">
        <is>
          <t>66 / 43</t>
        </is>
      </c>
      <c r="K210" s="7" t="inlineStr">
        <is>
          <t>64%</t>
        </is>
      </c>
    </row>
    <row r="211">
      <c r="A211" s="9" t="inlineStr">
        <is>
          <t>210 (▼5)</t>
        </is>
      </c>
      <c r="B211" t="inlineStr">
        <is>
          <t>Milena Mavrin</t>
        </is>
      </c>
      <c r="C211" t="n">
        <v>2012</v>
      </c>
      <c r="D211" s="7" t="inlineStr">
        <is>
          <t>428.13</t>
        </is>
      </c>
      <c r="E211" s="7" t="inlineStr">
        <is>
          <t>27</t>
        </is>
      </c>
      <c r="F211" t="inlineStr">
        <is>
          <t>Ontario Tennis Association</t>
        </is>
      </c>
      <c r="G211" t="inlineStr">
        <is>
          <t>Thornhill Park Tennis Club</t>
        </is>
      </c>
      <c r="H211" s="7" t="inlineStr">
        <is>
          <t>31.7</t>
        </is>
      </c>
      <c r="I211" t="n">
        <v>83</v>
      </c>
      <c r="J211" t="inlineStr">
        <is>
          <t>38 / 45</t>
        </is>
      </c>
      <c r="K211" s="7" t="inlineStr">
        <is>
          <t>55%</t>
        </is>
      </c>
    </row>
    <row r="212">
      <c r="A212" s="9" t="inlineStr">
        <is>
          <t>211 (▼2)</t>
        </is>
      </c>
      <c r="B212" t="inlineStr">
        <is>
          <t>Erin Yida Li</t>
        </is>
      </c>
      <c r="C212" t="n">
        <v>2014</v>
      </c>
      <c r="D212" s="7" t="inlineStr">
        <is>
          <t>416.18</t>
        </is>
      </c>
      <c r="E212" s="7" t="inlineStr">
        <is>
          <t>23</t>
        </is>
      </c>
      <c r="F212" t="inlineStr">
        <is>
          <t>Ontario Tennis Association</t>
        </is>
      </c>
      <c r="G212" t="inlineStr">
        <is>
          <t>Richmondhill Golf &amp; Country Club</t>
        </is>
      </c>
      <c r="H212" s="7" t="inlineStr">
        <is>
          <t>32.2</t>
        </is>
      </c>
      <c r="I212" t="n">
        <v>89</v>
      </c>
      <c r="J212" t="inlineStr">
        <is>
          <t>44 / 45</t>
        </is>
      </c>
      <c r="K212" s="7" t="inlineStr">
        <is>
          <t>51%</t>
        </is>
      </c>
    </row>
    <row r="213">
      <c r="A213" s="8" t="inlineStr">
        <is>
          <t>212 (▲35)</t>
        </is>
      </c>
      <c r="B213" t="inlineStr">
        <is>
          <t>Josephine Yitong Wu</t>
        </is>
      </c>
      <c r="C213" t="n">
        <v>2015</v>
      </c>
      <c r="D213" s="8" t="inlineStr">
        <is>
          <t>414.49 (▲92.81)</t>
        </is>
      </c>
      <c r="E213" s="8" t="inlineStr">
        <is>
          <t>18 (+1)</t>
        </is>
      </c>
      <c r="F213" t="inlineStr">
        <is>
          <t>British Columbia</t>
        </is>
      </c>
      <c r="G213" t="inlineStr">
        <is>
          <t>North Vancouver Tennis Centre</t>
        </is>
      </c>
      <c r="H213" s="7" t="inlineStr">
        <is>
          <t>29.0</t>
        </is>
      </c>
      <c r="I213" t="n">
        <v>172</v>
      </c>
      <c r="J213" t="inlineStr">
        <is>
          <t>102 / 70</t>
        </is>
      </c>
      <c r="K213" s="7" t="inlineStr">
        <is>
          <t>64%</t>
        </is>
      </c>
    </row>
    <row r="214">
      <c r="A214" s="9" t="inlineStr">
        <is>
          <t>213 (▼3)</t>
        </is>
      </c>
      <c r="B214" t="inlineStr">
        <is>
          <t>Sophia Pavlovska</t>
        </is>
      </c>
      <c r="C214" t="n">
        <v>2014</v>
      </c>
      <c r="D214" s="7" t="inlineStr">
        <is>
          <t>413.79</t>
        </is>
      </c>
      <c r="E214" s="7" t="inlineStr">
        <is>
          <t>14</t>
        </is>
      </c>
      <c r="F214" t="inlineStr">
        <is>
          <t>Tennis New Brunswick</t>
        </is>
      </c>
      <c r="G214" t="inlineStr">
        <is>
          <t>Dieppe</t>
        </is>
      </c>
      <c r="H214" s="7" t="inlineStr">
        <is>
          <t>33.3</t>
        </is>
      </c>
      <c r="I214" t="n">
        <v>178</v>
      </c>
      <c r="J214" t="inlineStr">
        <is>
          <t>66 / 112</t>
        </is>
      </c>
      <c r="K214" s="7" t="inlineStr">
        <is>
          <t>51%</t>
        </is>
      </c>
    </row>
    <row r="215">
      <c r="A215" s="9" t="inlineStr">
        <is>
          <t>214 (▼3)</t>
        </is>
      </c>
      <c r="B215" t="inlineStr">
        <is>
          <t>Élisabeth Circé</t>
        </is>
      </c>
      <c r="C215" t="n">
        <v>2013</v>
      </c>
      <c r="D215" s="7" t="inlineStr">
        <is>
          <t>413.55</t>
        </is>
      </c>
      <c r="E215" s="7" t="inlineStr">
        <is>
          <t>28</t>
        </is>
      </c>
      <c r="F215" t="inlineStr">
        <is>
          <t>Tennis Québec</t>
        </is>
      </c>
      <c r="G215" t="inlineStr">
        <is>
          <t>Tennis Interclub Piedmont</t>
        </is>
      </c>
      <c r="H215" s="7" t="inlineStr">
        <is>
          <t>unavailable</t>
        </is>
      </c>
      <c r="I215" t="n">
        <v>154</v>
      </c>
      <c r="J215" t="inlineStr">
        <is>
          <t>52 / 102</t>
        </is>
      </c>
      <c r="K215" s="8" t="inlineStr">
        <is>
          <t>41% (▲0%)</t>
        </is>
      </c>
    </row>
    <row r="216">
      <c r="A216" s="9" t="inlineStr">
        <is>
          <t>215 (▼3)</t>
        </is>
      </c>
      <c r="B216" t="inlineStr">
        <is>
          <t>Trisha Singh</t>
        </is>
      </c>
      <c r="C216" t="n">
        <v>2012</v>
      </c>
      <c r="D216" s="7" t="inlineStr">
        <is>
          <t>409.35</t>
        </is>
      </c>
      <c r="E216" s="7" t="inlineStr">
        <is>
          <t>17</t>
        </is>
      </c>
      <c r="F216" t="inlineStr">
        <is>
          <t>Ontario Tennis Association</t>
        </is>
      </c>
      <c r="G216" t="inlineStr">
        <is>
          <t>Rideau Sports Centre</t>
        </is>
      </c>
      <c r="H216" s="8" t="inlineStr">
        <is>
          <t>31.0 (▲0.3)</t>
        </is>
      </c>
      <c r="I216" t="n">
        <v>106</v>
      </c>
      <c r="J216" t="inlineStr">
        <is>
          <t>50 / 56</t>
        </is>
      </c>
      <c r="K216" s="8" t="inlineStr">
        <is>
          <t>42% (▲1%)</t>
        </is>
      </c>
    </row>
    <row r="217">
      <c r="A217" s="9" t="inlineStr">
        <is>
          <t>216 (▼3)</t>
        </is>
      </c>
      <c r="B217" t="inlineStr">
        <is>
          <t>Coralie D'Amours</t>
        </is>
      </c>
      <c r="C217" t="n">
        <v>2013</v>
      </c>
      <c r="D217" s="7" t="inlineStr">
        <is>
          <t>408.39</t>
        </is>
      </c>
      <c r="E217" s="9" t="inlineStr">
        <is>
          <t>17 (-1)</t>
        </is>
      </c>
      <c r="F217" t="inlineStr">
        <is>
          <t>Ontario Tennis Association</t>
        </is>
      </c>
      <c r="G217" t="inlineStr">
        <is>
          <t>Rideau Sports Centre</t>
        </is>
      </c>
      <c r="H217" s="7" t="inlineStr">
        <is>
          <t>33.1</t>
        </is>
      </c>
      <c r="I217" t="n">
        <v>66</v>
      </c>
      <c r="J217" t="inlineStr">
        <is>
          <t>24 / 42</t>
        </is>
      </c>
      <c r="K217" s="7" t="inlineStr">
        <is>
          <t>44%</t>
        </is>
      </c>
    </row>
    <row r="218">
      <c r="A218" s="9" t="inlineStr">
        <is>
          <t>217 (▼3)</t>
        </is>
      </c>
      <c r="B218" t="inlineStr">
        <is>
          <t>Isidora Trkulja</t>
        </is>
      </c>
      <c r="C218" t="n">
        <v>2013</v>
      </c>
      <c r="D218" s="7" t="inlineStr">
        <is>
          <t>406.92</t>
        </is>
      </c>
      <c r="E218" s="7" t="inlineStr">
        <is>
          <t>7</t>
        </is>
      </c>
      <c r="F218" t="inlineStr">
        <is>
          <t>Tennis Alberta</t>
        </is>
      </c>
      <c r="G218" t="inlineStr">
        <is>
          <t>Saville Community Sports Centre</t>
        </is>
      </c>
      <c r="H218" s="7" t="inlineStr">
        <is>
          <t>26.1</t>
        </is>
      </c>
      <c r="I218" t="n">
        <v>194</v>
      </c>
      <c r="J218" t="inlineStr">
        <is>
          <t>125 / 69</t>
        </is>
      </c>
      <c r="K218" s="7" t="inlineStr">
        <is>
          <t>56%</t>
        </is>
      </c>
    </row>
    <row r="219">
      <c r="A219" s="9" t="inlineStr">
        <is>
          <t>218 (▼3)</t>
        </is>
      </c>
      <c r="B219" t="inlineStr">
        <is>
          <t>Arya Kaur Dhillon</t>
        </is>
      </c>
      <c r="C219" t="n">
        <v>2013</v>
      </c>
      <c r="D219" s="7" t="inlineStr">
        <is>
          <t>405.45</t>
        </is>
      </c>
      <c r="E219" s="9" t="inlineStr">
        <is>
          <t>17 (-1)</t>
        </is>
      </c>
      <c r="F219" t="inlineStr">
        <is>
          <t>Tennis Alberta</t>
        </is>
      </c>
      <c r="G219" t="inlineStr">
        <is>
          <t>Saville Community Sports Centre</t>
        </is>
      </c>
      <c r="H219" s="7" t="inlineStr">
        <is>
          <t>29.3</t>
        </is>
      </c>
      <c r="I219" t="n">
        <v>175</v>
      </c>
      <c r="J219" t="inlineStr">
        <is>
          <t>86 / 89</t>
        </is>
      </c>
      <c r="K219" s="7" t="inlineStr">
        <is>
          <t>53%</t>
        </is>
      </c>
    </row>
    <row r="220">
      <c r="A220" s="9" t="inlineStr">
        <is>
          <t>219 (▼3)</t>
        </is>
      </c>
      <c r="B220" t="inlineStr">
        <is>
          <t>Alina Luo</t>
        </is>
      </c>
      <c r="C220" t="n">
        <v>2013</v>
      </c>
      <c r="D220" s="7" t="inlineStr">
        <is>
          <t>399.29</t>
        </is>
      </c>
      <c r="E220" s="9" t="inlineStr">
        <is>
          <t>20 (-1)</t>
        </is>
      </c>
      <c r="F220" t="inlineStr">
        <is>
          <t>Tennis Québec</t>
        </is>
      </c>
      <c r="G220" t="inlineStr">
        <is>
          <t>SANI Sport</t>
        </is>
      </c>
      <c r="H220" s="7" t="inlineStr">
        <is>
          <t>29.9</t>
        </is>
      </c>
      <c r="I220" t="n">
        <v>223</v>
      </c>
      <c r="J220" t="inlineStr">
        <is>
          <t>107 / 116</t>
        </is>
      </c>
      <c r="K220" s="7" t="inlineStr">
        <is>
          <t>27%</t>
        </is>
      </c>
    </row>
    <row r="221">
      <c r="A221" s="9" t="inlineStr">
        <is>
          <t>220 (▼3)</t>
        </is>
      </c>
      <c r="B221" t="inlineStr">
        <is>
          <t>Rachel Daniel</t>
        </is>
      </c>
      <c r="C221" t="n">
        <v>2013</v>
      </c>
      <c r="D221" s="7" t="inlineStr">
        <is>
          <t>398.85</t>
        </is>
      </c>
      <c r="E221" s="7" t="inlineStr">
        <is>
          <t>18</t>
        </is>
      </c>
      <c r="F221" t="inlineStr">
        <is>
          <t>Ontario Tennis Association</t>
        </is>
      </c>
      <c r="G221" t="inlineStr">
        <is>
          <t>Advantage Tennis International at Veneto</t>
        </is>
      </c>
      <c r="H221" s="8" t="inlineStr">
        <is>
          <t>31.8 (▲0.9)</t>
        </is>
      </c>
      <c r="I221" t="n">
        <v>105</v>
      </c>
      <c r="J221" t="inlineStr">
        <is>
          <t>42 / 63</t>
        </is>
      </c>
      <c r="K221" s="8" t="inlineStr">
        <is>
          <t>46% (▲3%)</t>
        </is>
      </c>
    </row>
    <row r="222">
      <c r="A222" s="8" t="inlineStr">
        <is>
          <t>221 (▲6)</t>
        </is>
      </c>
      <c r="B222" t="inlineStr">
        <is>
          <t>KENZA JERBI</t>
        </is>
      </c>
      <c r="C222" t="n">
        <v>2014</v>
      </c>
      <c r="D222" s="8" t="inlineStr">
        <is>
          <t>397.58 (▲22.43)</t>
        </is>
      </c>
      <c r="E222" s="7" t="inlineStr">
        <is>
          <t>13</t>
        </is>
      </c>
      <c r="F222" t="inlineStr">
        <is>
          <t>Tennis Québec</t>
        </is>
      </c>
      <c r="G222" t="inlineStr">
        <is>
          <t>Tennis Montréal Excellence</t>
        </is>
      </c>
      <c r="H222" s="8" t="inlineStr">
        <is>
          <t>30.4 (▲1.4)</t>
        </is>
      </c>
      <c r="I222" t="n">
        <v>112</v>
      </c>
      <c r="J222" t="inlineStr">
        <is>
          <t>68 / 44</t>
        </is>
      </c>
      <c r="K222" s="8" t="inlineStr">
        <is>
          <t>45% (▲6%)</t>
        </is>
      </c>
    </row>
    <row r="223">
      <c r="A223" s="9" t="inlineStr">
        <is>
          <t>222 (▼4)</t>
        </is>
      </c>
      <c r="B223" t="inlineStr">
        <is>
          <t>Victoria Perez Vargas</t>
        </is>
      </c>
      <c r="C223" t="n">
        <v>2012</v>
      </c>
      <c r="D223" s="7" t="inlineStr">
        <is>
          <t>396.09</t>
        </is>
      </c>
      <c r="E223" s="9" t="inlineStr">
        <is>
          <t>24 (-1)</t>
        </is>
      </c>
      <c r="F223" t="inlineStr">
        <is>
          <t>Tennis Québec</t>
        </is>
      </c>
      <c r="G223" t="inlineStr">
        <is>
          <t>Centre récréatif de Repentigny / Académie Tennis Momentum</t>
        </is>
      </c>
      <c r="H223" s="7" t="inlineStr">
        <is>
          <t>32.3</t>
        </is>
      </c>
      <c r="I223" t="n">
        <v>110</v>
      </c>
      <c r="J223" t="inlineStr">
        <is>
          <t>55 / 55</t>
        </is>
      </c>
      <c r="K223" s="7" t="inlineStr">
        <is>
          <t>62%</t>
        </is>
      </c>
    </row>
    <row r="224">
      <c r="A224" s="9" t="inlineStr">
        <is>
          <t>223 (▼2)</t>
        </is>
      </c>
      <c r="B224" t="inlineStr">
        <is>
          <t>Mila Caporusso</t>
        </is>
      </c>
      <c r="C224" t="n">
        <v>2015</v>
      </c>
      <c r="D224" s="8" t="inlineStr">
        <is>
          <t>395.81 (▲3.67)</t>
        </is>
      </c>
      <c r="E224" s="7" t="inlineStr">
        <is>
          <t>8</t>
        </is>
      </c>
      <c r="F224" t="inlineStr">
        <is>
          <t>Tennis Québec</t>
        </is>
      </c>
      <c r="G224" t="inlineStr">
        <is>
          <t>Tennis 13 / Académie Ménard et associé</t>
        </is>
      </c>
      <c r="H224" s="9" t="inlineStr">
        <is>
          <t>31.1 (▼0.5)</t>
        </is>
      </c>
      <c r="I224" t="n">
        <v>116</v>
      </c>
      <c r="J224" t="inlineStr">
        <is>
          <t>75 / 41</t>
        </is>
      </c>
      <c r="K224" s="7" t="inlineStr">
        <is>
          <t>50%</t>
        </is>
      </c>
    </row>
    <row r="225">
      <c r="A225" s="9" t="inlineStr">
        <is>
          <t>224 (▼5)</t>
        </is>
      </c>
      <c r="B225" t="inlineStr">
        <is>
          <t>Danica Stamatovic</t>
        </is>
      </c>
      <c r="C225" t="n">
        <v>2015</v>
      </c>
      <c r="D225" s="7" t="inlineStr">
        <is>
          <t>395.23</t>
        </is>
      </c>
      <c r="E225" s="8" t="inlineStr">
        <is>
          <t>26 (+1)</t>
        </is>
      </c>
      <c r="F225" t="inlineStr">
        <is>
          <t>Ontario Tennis Association</t>
        </is>
      </c>
      <c r="G225" t="inlineStr">
        <is>
          <t>SmartVMC Racquetsports by ACE</t>
        </is>
      </c>
      <c r="H225" s="9" t="inlineStr">
        <is>
          <t>31.5 (▼0.3)</t>
        </is>
      </c>
      <c r="I225" t="n">
        <v>207</v>
      </c>
      <c r="J225" t="inlineStr">
        <is>
          <t>108 / 99</t>
        </is>
      </c>
      <c r="K225" s="9" t="inlineStr">
        <is>
          <t>67% (▼1%)</t>
        </is>
      </c>
    </row>
    <row r="226">
      <c r="A226" s="9" t="inlineStr">
        <is>
          <t>225 (▼18)</t>
        </is>
      </c>
      <c r="B226" t="inlineStr">
        <is>
          <t>Tiffany Ren Jun Cao</t>
        </is>
      </c>
      <c r="C226" t="n">
        <v>2012</v>
      </c>
      <c r="D226" s="9" t="inlineStr">
        <is>
          <t>394.33 (▼32.09)</t>
        </is>
      </c>
      <c r="E226" s="7" t="inlineStr">
        <is>
          <t>21</t>
        </is>
      </c>
      <c r="F226" t="inlineStr">
        <is>
          <t>British Columbia</t>
        </is>
      </c>
      <c r="G226" t="inlineStr">
        <is>
          <t>Richmond Country Club</t>
        </is>
      </c>
      <c r="H226" s="8" t="inlineStr">
        <is>
          <t>29.6 (▲0.1)</t>
        </is>
      </c>
      <c r="I226" t="n">
        <v>209</v>
      </c>
      <c r="J226" t="inlineStr">
        <is>
          <t>105 / 104</t>
        </is>
      </c>
      <c r="K226" s="9" t="inlineStr">
        <is>
          <t>43% (▼2%)</t>
        </is>
      </c>
    </row>
    <row r="227">
      <c r="A227" s="9" t="inlineStr">
        <is>
          <t>226 (▼6)</t>
        </is>
      </c>
      <c r="B227" t="inlineStr">
        <is>
          <t>Isabella Quintero-Gonzalez</t>
        </is>
      </c>
      <c r="C227" t="n">
        <v>2014</v>
      </c>
      <c r="D227" s="7" t="inlineStr">
        <is>
          <t>392.28</t>
        </is>
      </c>
      <c r="E227" s="7" t="inlineStr">
        <is>
          <t>14</t>
        </is>
      </c>
      <c r="F227" t="inlineStr">
        <is>
          <t>Tennis Nova Scotia</t>
        </is>
      </c>
      <c r="G227" t="inlineStr">
        <is>
          <t>Atlantic Tennis Centre</t>
        </is>
      </c>
      <c r="H227" s="7" t="inlineStr">
        <is>
          <t>31.4</t>
        </is>
      </c>
      <c r="I227" t="n">
        <v>133</v>
      </c>
      <c r="J227" t="inlineStr">
        <is>
          <t>69 / 64</t>
        </is>
      </c>
      <c r="K227" s="7" t="inlineStr">
        <is>
          <t>57%</t>
        </is>
      </c>
    </row>
    <row r="228">
      <c r="A228" s="8" t="inlineStr">
        <is>
          <t>227 (▲1)</t>
        </is>
      </c>
      <c r="B228" t="inlineStr">
        <is>
          <t>Clara Fanoos</t>
        </is>
      </c>
      <c r="C228" t="n">
        <v>2015</v>
      </c>
      <c r="D228" s="8" t="inlineStr">
        <is>
          <t>389.04 (▲14.69)</t>
        </is>
      </c>
      <c r="E228" s="7" t="inlineStr">
        <is>
          <t>22</t>
        </is>
      </c>
      <c r="F228" t="inlineStr">
        <is>
          <t>Tennis Québec</t>
        </is>
      </c>
      <c r="G228" t="inlineStr">
        <is>
          <t>Rouge et Or - Université Laval</t>
        </is>
      </c>
      <c r="H228" s="7" t="inlineStr">
        <is>
          <t>unavailable</t>
        </is>
      </c>
      <c r="I228" t="n">
        <v>204</v>
      </c>
      <c r="J228" t="inlineStr">
        <is>
          <t>124 / 80</t>
        </is>
      </c>
      <c r="K228" s="9" t="inlineStr">
        <is>
          <t>60% (▼1%)</t>
        </is>
      </c>
    </row>
    <row r="229">
      <c r="A229" s="9" t="inlineStr">
        <is>
          <t>228 (▼6)</t>
        </is>
      </c>
      <c r="B229" t="inlineStr">
        <is>
          <t>EMMA ANTONIA DOBREAN</t>
        </is>
      </c>
      <c r="C229" t="n">
        <v>2013</v>
      </c>
      <c r="D229" s="7" t="inlineStr">
        <is>
          <t>386.42</t>
        </is>
      </c>
      <c r="E229" s="7" t="inlineStr">
        <is>
          <t>3</t>
        </is>
      </c>
      <c r="F229" t="inlineStr">
        <is>
          <t>Ontario Tennis Association</t>
        </is>
      </c>
      <c r="G229" t="inlineStr">
        <is>
          <t>No Club</t>
        </is>
      </c>
      <c r="H229" s="7" t="inlineStr">
        <is>
          <t>unavailable</t>
        </is>
      </c>
      <c r="I229" t="n">
        <v>137</v>
      </c>
      <c r="J229" t="inlineStr">
        <is>
          <t>98 / 39</t>
        </is>
      </c>
      <c r="K229" s="7" t="inlineStr">
        <is>
          <t>40%</t>
        </is>
      </c>
    </row>
    <row r="230">
      <c r="A230" s="9" t="inlineStr">
        <is>
          <t>229 (▼6)</t>
        </is>
      </c>
      <c r="B230" t="inlineStr">
        <is>
          <t>Naomi Brown</t>
        </is>
      </c>
      <c r="C230" t="n">
        <v>2012</v>
      </c>
      <c r="D230" s="7" t="inlineStr">
        <is>
          <t>385.24</t>
        </is>
      </c>
      <c r="E230" s="7" t="inlineStr">
        <is>
          <t>12</t>
        </is>
      </c>
      <c r="F230" t="inlineStr">
        <is>
          <t>Ontario Tennis Association</t>
        </is>
      </c>
      <c r="G230" t="inlineStr">
        <is>
          <t>No Club</t>
        </is>
      </c>
      <c r="H230" s="7" t="inlineStr">
        <is>
          <t>unavailable</t>
        </is>
      </c>
      <c r="I230" t="n">
        <v>90</v>
      </c>
      <c r="J230" t="inlineStr">
        <is>
          <t>40 / 50</t>
        </is>
      </c>
      <c r="K230" s="7" t="inlineStr">
        <is>
          <t>50%</t>
        </is>
      </c>
    </row>
    <row r="231">
      <c r="A231" s="9" t="inlineStr">
        <is>
          <t>230 (▼5)</t>
        </is>
      </c>
      <c r="B231" t="inlineStr">
        <is>
          <t>Ariyana Usharah Mahanandan</t>
        </is>
      </c>
      <c r="C231" t="n">
        <v>2012</v>
      </c>
      <c r="D231" s="7" t="inlineStr">
        <is>
          <t>378.82</t>
        </is>
      </c>
      <c r="E231" s="8" t="inlineStr">
        <is>
          <t>25 (+1)</t>
        </is>
      </c>
      <c r="F231" t="inlineStr">
        <is>
          <t>Ontario Tennis Association</t>
        </is>
      </c>
      <c r="G231" t="inlineStr">
        <is>
          <t>Premier Racquet Clubs – Mississauga</t>
        </is>
      </c>
      <c r="H231" s="7" t="inlineStr">
        <is>
          <t>unavailable</t>
        </is>
      </c>
      <c r="I231" t="n">
        <v>146</v>
      </c>
      <c r="J231" t="inlineStr">
        <is>
          <t>64 / 82</t>
        </is>
      </c>
      <c r="K231" s="8" t="inlineStr">
        <is>
          <t>43% (▲1%)</t>
        </is>
      </c>
    </row>
    <row r="232">
      <c r="A232" s="9" t="inlineStr">
        <is>
          <t>231 (▼5)</t>
        </is>
      </c>
      <c r="B232" t="inlineStr">
        <is>
          <t>anne xie</t>
        </is>
      </c>
      <c r="C232" t="n">
        <v>2014</v>
      </c>
      <c r="D232" s="7" t="inlineStr">
        <is>
          <t>378.60</t>
        </is>
      </c>
      <c r="E232" s="7" t="inlineStr">
        <is>
          <t>24</t>
        </is>
      </c>
      <c r="F232" t="inlineStr">
        <is>
          <t>British Columbia</t>
        </is>
      </c>
      <c r="G232" t="inlineStr">
        <is>
          <t>North Vancouver Tennis Centre</t>
        </is>
      </c>
      <c r="H232" s="7" t="inlineStr">
        <is>
          <t>29.3</t>
        </is>
      </c>
      <c r="I232" t="n">
        <v>264</v>
      </c>
      <c r="J232" t="inlineStr">
        <is>
          <t>128 / 136</t>
        </is>
      </c>
      <c r="K232" s="7" t="inlineStr">
        <is>
          <t>53%</t>
        </is>
      </c>
    </row>
    <row r="233">
      <c r="A233" s="9" t="inlineStr">
        <is>
          <t>232 (▼2)</t>
        </is>
      </c>
      <c r="B233" t="inlineStr">
        <is>
          <t>Mary Grace MacDonnell Doak</t>
        </is>
      </c>
      <c r="C233" t="n">
        <v>2013</v>
      </c>
      <c r="D233" s="7" t="inlineStr">
        <is>
          <t>366.08</t>
        </is>
      </c>
      <c r="E233" s="9" t="inlineStr">
        <is>
          <t>16 (-1)</t>
        </is>
      </c>
      <c r="F233" t="inlineStr">
        <is>
          <t>Ontario Tennis Association</t>
        </is>
      </c>
      <c r="G233" t="inlineStr">
        <is>
          <t>St. James Tennis Club</t>
        </is>
      </c>
      <c r="H233" s="7" t="inlineStr">
        <is>
          <t>36.5</t>
        </is>
      </c>
      <c r="I233" t="n">
        <v>147</v>
      </c>
      <c r="J233" t="inlineStr">
        <is>
          <t>69 / 78</t>
        </is>
      </c>
      <c r="K233" s="7" t="inlineStr">
        <is>
          <t>24%</t>
        </is>
      </c>
    </row>
    <row r="234">
      <c r="A234" s="9" t="inlineStr">
        <is>
          <t>233 (▼2)</t>
        </is>
      </c>
      <c r="B234" t="inlineStr">
        <is>
          <t>Eva Paquette</t>
        </is>
      </c>
      <c r="C234" t="n">
        <v>2014</v>
      </c>
      <c r="D234" s="7" t="inlineStr">
        <is>
          <t>358.45</t>
        </is>
      </c>
      <c r="E234" s="9" t="inlineStr">
        <is>
          <t>32 (-1)</t>
        </is>
      </c>
      <c r="F234" t="inlineStr">
        <is>
          <t>Tennis Québec</t>
        </is>
      </c>
      <c r="G234" t="inlineStr">
        <is>
          <t>Club Sportif Côte-de-Liesse</t>
        </is>
      </c>
      <c r="H234" s="9" t="inlineStr">
        <is>
          <t>31.9 (▼0.8)</t>
        </is>
      </c>
      <c r="I234" t="n">
        <v>212</v>
      </c>
      <c r="J234" t="inlineStr">
        <is>
          <t>108 / 104</t>
        </is>
      </c>
      <c r="K234" s="7" t="inlineStr">
        <is>
          <t>60%</t>
        </is>
      </c>
    </row>
    <row r="235">
      <c r="A235" s="8" t="inlineStr">
        <is>
          <t>234 (▲9)</t>
        </is>
      </c>
      <c r="B235" t="inlineStr">
        <is>
          <t>Jessica Li</t>
        </is>
      </c>
      <c r="C235" t="n">
        <v>2012</v>
      </c>
      <c r="D235" s="8" t="inlineStr">
        <is>
          <t>349.56 (▲18.58)</t>
        </is>
      </c>
      <c r="E235" s="7" t="inlineStr">
        <is>
          <t>15</t>
        </is>
      </c>
      <c r="F235" t="inlineStr">
        <is>
          <t>Ontario Tennis Association</t>
        </is>
      </c>
      <c r="G235" t="inlineStr">
        <is>
          <t>Markham Tennis Club</t>
        </is>
      </c>
      <c r="H235" s="7" t="inlineStr">
        <is>
          <t>unavailable</t>
        </is>
      </c>
      <c r="I235" t="n">
        <v>68</v>
      </c>
      <c r="J235" t="inlineStr">
        <is>
          <t>33 / 35</t>
        </is>
      </c>
      <c r="K235" s="7" t="inlineStr">
        <is>
          <t>54%</t>
        </is>
      </c>
    </row>
    <row r="236">
      <c r="A236" s="9" t="inlineStr">
        <is>
          <t>235 (▼3)</t>
        </is>
      </c>
      <c r="B236" t="inlineStr">
        <is>
          <t>Hailey Zhou</t>
        </is>
      </c>
      <c r="C236" t="n">
        <v>2014</v>
      </c>
      <c r="D236" s="7" t="inlineStr">
        <is>
          <t>344.77</t>
        </is>
      </c>
      <c r="E236" s="7" t="inlineStr">
        <is>
          <t>39</t>
        </is>
      </c>
      <c r="F236" t="inlineStr">
        <is>
          <t>Ontario Tennis Association</t>
        </is>
      </c>
      <c r="G236" t="inlineStr">
        <is>
          <t>Advantage Tennis International at Veneto</t>
        </is>
      </c>
      <c r="H236" s="7" t="inlineStr">
        <is>
          <t>33.4</t>
        </is>
      </c>
      <c r="I236" t="n">
        <v>92</v>
      </c>
      <c r="J236" t="inlineStr">
        <is>
          <t>45 / 47</t>
        </is>
      </c>
      <c r="K236" s="7" t="inlineStr">
        <is>
          <t>50%</t>
        </is>
      </c>
    </row>
    <row r="237">
      <c r="A237" s="9" t="inlineStr">
        <is>
          <t>236 (▼3)</t>
        </is>
      </c>
      <c r="B237" t="inlineStr">
        <is>
          <t>Sneha Sahiba Bhatti</t>
        </is>
      </c>
      <c r="C237" t="n">
        <v>2012</v>
      </c>
      <c r="D237" s="7" t="inlineStr">
        <is>
          <t>343.77</t>
        </is>
      </c>
      <c r="E237" s="9" t="inlineStr">
        <is>
          <t>16 (-1)</t>
        </is>
      </c>
      <c r="F237" t="inlineStr">
        <is>
          <t>British Columbia</t>
        </is>
      </c>
      <c r="G237" t="inlineStr">
        <is>
          <t>Coquitlam Tennis Club</t>
        </is>
      </c>
      <c r="H237" s="7" t="inlineStr">
        <is>
          <t>30.2</t>
        </is>
      </c>
      <c r="I237" t="n">
        <v>188</v>
      </c>
      <c r="J237" t="inlineStr">
        <is>
          <t>93 / 95</t>
        </is>
      </c>
      <c r="K237" s="7" t="inlineStr">
        <is>
          <t>42%</t>
        </is>
      </c>
    </row>
    <row r="238">
      <c r="A238" s="9" t="inlineStr">
        <is>
          <t>237 (▼3)</t>
        </is>
      </c>
      <c r="B238" t="inlineStr">
        <is>
          <t>Isabelle Prusinkiewicz</t>
        </is>
      </c>
      <c r="C238" t="n">
        <v>2014</v>
      </c>
      <c r="D238" s="7" t="inlineStr">
        <is>
          <t>338.55</t>
        </is>
      </c>
      <c r="E238" s="9" t="inlineStr">
        <is>
          <t>21 (-1)</t>
        </is>
      </c>
      <c r="F238" t="inlineStr">
        <is>
          <t>Tennis Alberta</t>
        </is>
      </c>
      <c r="G238" t="inlineStr">
        <is>
          <t>Aforza</t>
        </is>
      </c>
      <c r="H238" s="7" t="inlineStr">
        <is>
          <t>32.0</t>
        </is>
      </c>
      <c r="I238" t="n">
        <v>178</v>
      </c>
      <c r="J238" t="inlineStr">
        <is>
          <t>102 / 76</t>
        </is>
      </c>
      <c r="K238" s="7" t="inlineStr">
        <is>
          <t>60%</t>
        </is>
      </c>
    </row>
    <row r="239">
      <c r="A239" s="9" t="inlineStr">
        <is>
          <t>238 (▼2)</t>
        </is>
      </c>
      <c r="B239" t="inlineStr">
        <is>
          <t>Anne-Frédérique Jacob</t>
        </is>
      </c>
      <c r="C239" t="n">
        <v>2012</v>
      </c>
      <c r="D239" s="7" t="inlineStr">
        <is>
          <t>337.25</t>
        </is>
      </c>
      <c r="E239" s="7" t="inlineStr">
        <is>
          <t>14</t>
        </is>
      </c>
      <c r="F239" t="inlineStr">
        <is>
          <t>Tennis Québec</t>
        </is>
      </c>
      <c r="G239" t="inlineStr">
        <is>
          <t>SANI Sport</t>
        </is>
      </c>
      <c r="H239" s="7" t="inlineStr">
        <is>
          <t>30.3</t>
        </is>
      </c>
      <c r="I239" t="n">
        <v>149</v>
      </c>
      <c r="J239" t="inlineStr">
        <is>
          <t>73 / 76</t>
        </is>
      </c>
      <c r="K239" s="7" t="inlineStr">
        <is>
          <t>28%</t>
        </is>
      </c>
    </row>
    <row r="240">
      <c r="A240" s="9" t="inlineStr">
        <is>
          <t>239 (▼2)</t>
        </is>
      </c>
      <c r="B240" t="inlineStr">
        <is>
          <t>Jessica Rosemary Hill</t>
        </is>
      </c>
      <c r="C240" t="n">
        <v>2013</v>
      </c>
      <c r="D240" s="7" t="inlineStr">
        <is>
          <t>337.00</t>
        </is>
      </c>
      <c r="E240" s="9" t="inlineStr">
        <is>
          <t>19 (-1)</t>
        </is>
      </c>
      <c r="F240" t="inlineStr">
        <is>
          <t>British Columbia</t>
        </is>
      </c>
      <c r="G240" t="inlineStr">
        <is>
          <t>No Club</t>
        </is>
      </c>
      <c r="H240" s="7" t="inlineStr">
        <is>
          <t>30.5</t>
        </is>
      </c>
      <c r="I240" t="n">
        <v>167</v>
      </c>
      <c r="J240" t="inlineStr">
        <is>
          <t>93 / 74</t>
        </is>
      </c>
      <c r="K240" s="7" t="inlineStr">
        <is>
          <t>55%</t>
        </is>
      </c>
    </row>
    <row r="241">
      <c r="A241" s="9" t="inlineStr">
        <is>
          <t>240 (▼2)</t>
        </is>
      </c>
      <c r="B241" t="inlineStr">
        <is>
          <t>Yunia Bartha</t>
        </is>
      </c>
      <c r="C241" t="n">
        <v>2012</v>
      </c>
      <c r="D241" s="7" t="inlineStr">
        <is>
          <t>336.32</t>
        </is>
      </c>
      <c r="E241" s="7" t="inlineStr">
        <is>
          <t>26</t>
        </is>
      </c>
      <c r="F241" t="inlineStr">
        <is>
          <t>Tennis Québec</t>
        </is>
      </c>
      <c r="G241" t="inlineStr">
        <is>
          <t>Club Sportif Côte-de-Liesse</t>
        </is>
      </c>
      <c r="H241" s="7" t="inlineStr">
        <is>
          <t>31.8</t>
        </is>
      </c>
      <c r="I241" t="n">
        <v>144</v>
      </c>
      <c r="J241" t="inlineStr">
        <is>
          <t>57 / 87</t>
        </is>
      </c>
      <c r="K241" s="7" t="inlineStr">
        <is>
          <t>36%</t>
        </is>
      </c>
    </row>
    <row r="242">
      <c r="A242" s="9" t="inlineStr">
        <is>
          <t>241 (▼2)</t>
        </is>
      </c>
      <c r="B242" t="inlineStr">
        <is>
          <t>Anastazia De Lain</t>
        </is>
      </c>
      <c r="C242" t="n">
        <v>2013</v>
      </c>
      <c r="D242" s="7" t="inlineStr">
        <is>
          <t>335.36</t>
        </is>
      </c>
      <c r="E242" s="9" t="inlineStr">
        <is>
          <t>19 (-1)</t>
        </is>
      </c>
      <c r="F242" t="inlineStr">
        <is>
          <t>Tennis Québec</t>
        </is>
      </c>
      <c r="G242" t="inlineStr">
        <is>
          <t>EB Tennis inc.</t>
        </is>
      </c>
      <c r="H242" s="8" t="inlineStr">
        <is>
          <t>36.3 (▲0.3)</t>
        </is>
      </c>
      <c r="I242" t="n">
        <v>174</v>
      </c>
      <c r="J242" t="inlineStr">
        <is>
          <t>37 / 137</t>
        </is>
      </c>
      <c r="K242" s="7" t="inlineStr">
        <is>
          <t>15%</t>
        </is>
      </c>
    </row>
    <row r="243">
      <c r="A243" s="9" t="inlineStr">
        <is>
          <t>242 (▼2)</t>
        </is>
      </c>
      <c r="B243" t="inlineStr">
        <is>
          <t>Kmar ELHOUIJ</t>
        </is>
      </c>
      <c r="C243" t="n">
        <v>2013</v>
      </c>
      <c r="D243" s="7" t="inlineStr">
        <is>
          <t>335.18</t>
        </is>
      </c>
      <c r="E243" s="7" t="inlineStr">
        <is>
          <t>4</t>
        </is>
      </c>
      <c r="F243" t="inlineStr">
        <is>
          <t>Tennis New Brunswick</t>
        </is>
      </c>
      <c r="G243" t="inlineStr">
        <is>
          <t>No Club</t>
        </is>
      </c>
      <c r="H243" s="7" t="inlineStr">
        <is>
          <t>28.3</t>
        </is>
      </c>
      <c r="I243" t="n">
        <v>42</v>
      </c>
      <c r="J243" t="inlineStr">
        <is>
          <t>30 / 12</t>
        </is>
      </c>
      <c r="K243" s="7" t="inlineStr">
        <is>
          <t>68%</t>
        </is>
      </c>
    </row>
    <row r="244">
      <c r="A244" s="8" t="inlineStr">
        <is>
          <t>243 (▲44)</t>
        </is>
      </c>
      <c r="B244" t="inlineStr">
        <is>
          <t>Sofia Twynam</t>
        </is>
      </c>
      <c r="C244" t="n">
        <v>2015</v>
      </c>
      <c r="D244" s="8" t="inlineStr">
        <is>
          <t>334.26 (▲75.22)</t>
        </is>
      </c>
      <c r="E244" s="8" t="inlineStr">
        <is>
          <t>18 (+1)</t>
        </is>
      </c>
      <c r="F244" t="inlineStr">
        <is>
          <t>Tennis Québec</t>
        </is>
      </c>
      <c r="G244" t="inlineStr">
        <is>
          <t>SANI Sport</t>
        </is>
      </c>
      <c r="H244" s="8" t="inlineStr">
        <is>
          <t>31.2 (▲0.8)</t>
        </is>
      </c>
      <c r="I244" t="n">
        <v>136</v>
      </c>
      <c r="J244" t="inlineStr">
        <is>
          <t>76 / 60</t>
        </is>
      </c>
      <c r="K244" s="8" t="inlineStr">
        <is>
          <t>55% (▲2%)</t>
        </is>
      </c>
    </row>
    <row r="245">
      <c r="A245" s="9" t="inlineStr">
        <is>
          <t>244 (▼3)</t>
        </is>
      </c>
      <c r="B245" t="inlineStr">
        <is>
          <t>Alaia Grace Serravalle</t>
        </is>
      </c>
      <c r="C245" t="n">
        <v>2014</v>
      </c>
      <c r="D245" s="7" t="inlineStr">
        <is>
          <t>333.24</t>
        </is>
      </c>
      <c r="E245" s="7" t="inlineStr">
        <is>
          <t>24</t>
        </is>
      </c>
      <c r="F245" t="inlineStr">
        <is>
          <t>Ontario Tennis Association</t>
        </is>
      </c>
      <c r="G245" t="inlineStr">
        <is>
          <t>Youngs Sportsplex</t>
        </is>
      </c>
      <c r="H245" s="8" t="inlineStr">
        <is>
          <t>32.2 (▲0.4)</t>
        </is>
      </c>
      <c r="I245" t="n">
        <v>65</v>
      </c>
      <c r="J245" t="inlineStr">
        <is>
          <t>35 / 30</t>
        </is>
      </c>
      <c r="K245" s="9" t="inlineStr">
        <is>
          <t>52% (▼1%)</t>
        </is>
      </c>
    </row>
    <row r="246">
      <c r="A246" s="9" t="inlineStr">
        <is>
          <t>245 (▼3)</t>
        </is>
      </c>
      <c r="B246" t="inlineStr">
        <is>
          <t>Aicha Ben Ali</t>
        </is>
      </c>
      <c r="C246" t="n">
        <v>2013</v>
      </c>
      <c r="D246" s="7" t="inlineStr">
        <is>
          <t>330.99</t>
        </is>
      </c>
      <c r="E246" s="9" t="inlineStr">
        <is>
          <t>8 (-1)</t>
        </is>
      </c>
      <c r="F246" t="inlineStr">
        <is>
          <t>Tennis Saskatchewan</t>
        </is>
      </c>
      <c r="G246" t="inlineStr">
        <is>
          <t>Lakeshore Tennis Club</t>
        </is>
      </c>
      <c r="H246" s="7" t="inlineStr">
        <is>
          <t>unavailable</t>
        </is>
      </c>
      <c r="I246" t="n">
        <v>31</v>
      </c>
      <c r="J246" t="inlineStr">
        <is>
          <t>4 / 27</t>
        </is>
      </c>
      <c r="K246" s="7" t="inlineStr">
        <is>
          <t>15%</t>
        </is>
      </c>
    </row>
    <row r="247">
      <c r="A247" s="9" t="inlineStr">
        <is>
          <t>246 (▼2)</t>
        </is>
      </c>
      <c r="B247" t="inlineStr">
        <is>
          <t>Eva Brisson</t>
        </is>
      </c>
      <c r="C247" t="n">
        <v>2012</v>
      </c>
      <c r="D247" s="7" t="inlineStr">
        <is>
          <t>327.96</t>
        </is>
      </c>
      <c r="E247" s="7" t="inlineStr">
        <is>
          <t>23</t>
        </is>
      </c>
      <c r="F247" t="inlineStr">
        <is>
          <t>Tennis Québec</t>
        </is>
      </c>
      <c r="G247" t="inlineStr">
        <is>
          <t>Club Sportif Côte-de-Liesse</t>
        </is>
      </c>
      <c r="H247" s="7" t="inlineStr">
        <is>
          <t>31.0</t>
        </is>
      </c>
      <c r="I247" t="n">
        <v>150</v>
      </c>
      <c r="J247" t="inlineStr">
        <is>
          <t>63 / 87</t>
        </is>
      </c>
      <c r="K247" s="7" t="inlineStr">
        <is>
          <t>47%</t>
        </is>
      </c>
    </row>
    <row r="248">
      <c r="A248" s="8" t="inlineStr">
        <is>
          <t>247 (▲33)</t>
        </is>
      </c>
      <c r="B248" t="inlineStr">
        <is>
          <t>Sophia Shiqi Zeng</t>
        </is>
      </c>
      <c r="C248" t="n">
        <v>2015</v>
      </c>
      <c r="D248" s="8" t="inlineStr">
        <is>
          <t>323.05 (▲55.22)</t>
        </is>
      </c>
      <c r="E248" s="7" t="inlineStr">
        <is>
          <t>21</t>
        </is>
      </c>
      <c r="F248" t="inlineStr">
        <is>
          <t>British Columbia</t>
        </is>
      </c>
      <c r="G248" t="inlineStr">
        <is>
          <t>The Tennis Centre</t>
        </is>
      </c>
      <c r="H248" s="9" t="inlineStr">
        <is>
          <t>31.5 (▼0.1)</t>
        </is>
      </c>
      <c r="I248" t="n">
        <v>194</v>
      </c>
      <c r="J248" t="inlineStr">
        <is>
          <t>106 / 88</t>
        </is>
      </c>
      <c r="K248" s="7" t="inlineStr">
        <is>
          <t>63%</t>
        </is>
      </c>
    </row>
    <row r="249">
      <c r="A249" s="9" t="inlineStr">
        <is>
          <t>248 (▼3)</t>
        </is>
      </c>
      <c r="B249" t="inlineStr">
        <is>
          <t>Kany Kaba</t>
        </is>
      </c>
      <c r="C249" t="n">
        <v>2013</v>
      </c>
      <c r="D249" s="7" t="inlineStr">
        <is>
          <t>322.76</t>
        </is>
      </c>
      <c r="E249" s="7" t="inlineStr">
        <is>
          <t>12</t>
        </is>
      </c>
      <c r="F249" t="inlineStr">
        <is>
          <t>Tennis Québec</t>
        </is>
      </c>
      <c r="G249" t="inlineStr">
        <is>
          <t>EB Tennis inc.</t>
        </is>
      </c>
      <c r="H249" s="9" t="inlineStr">
        <is>
          <t>32.8 (▼0.1)</t>
        </is>
      </c>
      <c r="I249" t="n">
        <v>140</v>
      </c>
      <c r="J249" t="inlineStr">
        <is>
          <t>84 / 56</t>
        </is>
      </c>
      <c r="K249" s="7" t="inlineStr">
        <is>
          <t>32%</t>
        </is>
      </c>
    </row>
    <row r="250">
      <c r="A250" s="9" t="inlineStr">
        <is>
          <t>249 (▼3)</t>
        </is>
      </c>
      <c r="B250" t="inlineStr">
        <is>
          <t>Vrishti Gehlot</t>
        </is>
      </c>
      <c r="C250" t="n">
        <v>2014</v>
      </c>
      <c r="D250" s="7" t="inlineStr">
        <is>
          <t>322.53</t>
        </is>
      </c>
      <c r="E250" s="7" t="inlineStr">
        <is>
          <t>25</t>
        </is>
      </c>
      <c r="F250" t="inlineStr">
        <is>
          <t>Ontario Tennis Association</t>
        </is>
      </c>
      <c r="G250" t="inlineStr">
        <is>
          <t>Premier Racquet Clubs – Mississauga</t>
        </is>
      </c>
      <c r="H250" s="7" t="inlineStr">
        <is>
          <t>33.0</t>
        </is>
      </c>
      <c r="I250" t="n">
        <v>161</v>
      </c>
      <c r="J250" t="inlineStr">
        <is>
          <t>81 / 80</t>
        </is>
      </c>
      <c r="K250" s="7" t="inlineStr">
        <is>
          <t>61%</t>
        </is>
      </c>
    </row>
    <row r="251">
      <c r="A251" s="9" t="inlineStr">
        <is>
          <t>250 (▼2)</t>
        </is>
      </c>
      <c r="B251" t="inlineStr">
        <is>
          <t>Isabella Huang</t>
        </is>
      </c>
      <c r="C251" t="n">
        <v>2014</v>
      </c>
      <c r="D251" s="7" t="inlineStr">
        <is>
          <t>320.94</t>
        </is>
      </c>
      <c r="E251" s="7" t="inlineStr">
        <is>
          <t>17</t>
        </is>
      </c>
      <c r="F251" t="inlineStr">
        <is>
          <t>British Columbia</t>
        </is>
      </c>
      <c r="G251" t="inlineStr">
        <is>
          <t>Burnaby Tennis Club</t>
        </is>
      </c>
      <c r="H251" s="7" t="inlineStr">
        <is>
          <t>unavailable</t>
        </is>
      </c>
      <c r="I251" t="n">
        <v>201</v>
      </c>
      <c r="J251" t="inlineStr">
        <is>
          <t>116 / 85</t>
        </is>
      </c>
      <c r="K251" s="7" t="inlineStr">
        <is>
          <t>69%</t>
        </is>
      </c>
    </row>
    <row r="252">
      <c r="A252" s="9" t="inlineStr">
        <is>
          <t>251 (▼2)</t>
        </is>
      </c>
      <c r="B252" t="inlineStr">
        <is>
          <t>Abby Jean Tobac</t>
        </is>
      </c>
      <c r="C252" t="n">
        <v>2012</v>
      </c>
      <c r="D252" s="7" t="inlineStr">
        <is>
          <t>318.53</t>
        </is>
      </c>
      <c r="E252" s="7" t="inlineStr">
        <is>
          <t>6</t>
        </is>
      </c>
      <c r="F252" t="inlineStr">
        <is>
          <t>Tennis Manitoba</t>
        </is>
      </c>
      <c r="G252" t="inlineStr">
        <is>
          <t>Taylor Tennis</t>
        </is>
      </c>
      <c r="H252" s="7" t="inlineStr">
        <is>
          <t>35.1</t>
        </is>
      </c>
      <c r="I252" t="n">
        <v>49</v>
      </c>
      <c r="J252" t="inlineStr">
        <is>
          <t>14 / 35</t>
        </is>
      </c>
      <c r="K252" s="7" t="inlineStr">
        <is>
          <t>18%</t>
        </is>
      </c>
    </row>
    <row r="253">
      <c r="A253" s="9" t="inlineStr">
        <is>
          <t>252 (▼2)</t>
        </is>
      </c>
      <c r="B253" t="inlineStr">
        <is>
          <t>helena Khorsid-G-Mahdi</t>
        </is>
      </c>
      <c r="C253" t="n">
        <v>2012</v>
      </c>
      <c r="D253" s="7" t="inlineStr">
        <is>
          <t>312.56</t>
        </is>
      </c>
      <c r="E253" s="9" t="inlineStr">
        <is>
          <t>21 (-1)</t>
        </is>
      </c>
      <c r="F253" t="inlineStr">
        <is>
          <t>Ontario Tennis Association</t>
        </is>
      </c>
      <c r="G253" t="inlineStr">
        <is>
          <t>Cottingham Tennis Club</t>
        </is>
      </c>
      <c r="H253" s="7" t="inlineStr">
        <is>
          <t>unavailable</t>
        </is>
      </c>
      <c r="I253" t="n">
        <v>56</v>
      </c>
      <c r="J253" t="inlineStr">
        <is>
          <t>33 / 23</t>
        </is>
      </c>
      <c r="K253" s="7" t="inlineStr">
        <is>
          <t>54%</t>
        </is>
      </c>
    </row>
    <row r="254">
      <c r="A254" s="8" t="inlineStr">
        <is>
          <t>253 (▲13)</t>
        </is>
      </c>
      <c r="B254" t="inlineStr">
        <is>
          <t>Victoria Chang</t>
        </is>
      </c>
      <c r="C254" t="n">
        <v>2016</v>
      </c>
      <c r="D254" s="8" t="inlineStr">
        <is>
          <t>312.52 (▲27.40)</t>
        </is>
      </c>
      <c r="E254" s="8" t="inlineStr">
        <is>
          <t>21 (+1)</t>
        </is>
      </c>
      <c r="F254" t="inlineStr">
        <is>
          <t>Ontario Tennis Association</t>
        </is>
      </c>
      <c r="G254" t="inlineStr">
        <is>
          <t>Richmond Hill Country Club</t>
        </is>
      </c>
      <c r="H254" s="9" t="inlineStr">
        <is>
          <t>30.4 (▼0.1)</t>
        </is>
      </c>
      <c r="I254" t="n">
        <v>131</v>
      </c>
      <c r="J254" t="inlineStr">
        <is>
          <t>102 / 29</t>
        </is>
      </c>
      <c r="K254" s="7" t="inlineStr">
        <is>
          <t>81%</t>
        </is>
      </c>
    </row>
    <row r="255">
      <c r="A255" s="9" t="inlineStr">
        <is>
          <t>254 (▼3)</t>
        </is>
      </c>
      <c r="B255" t="inlineStr">
        <is>
          <t>Katelyn Zhao</t>
        </is>
      </c>
      <c r="C255" t="n">
        <v>2013</v>
      </c>
      <c r="D255" s="7" t="inlineStr">
        <is>
          <t>312.47</t>
        </is>
      </c>
      <c r="E255" s="8" t="inlineStr">
        <is>
          <t>28 (+1)</t>
        </is>
      </c>
      <c r="F255" t="inlineStr">
        <is>
          <t>Ontario Tennis Association</t>
        </is>
      </c>
      <c r="G255" t="inlineStr">
        <is>
          <t>Premier Racquet Club - Markham</t>
        </is>
      </c>
      <c r="H255" s="9" t="inlineStr">
        <is>
          <t>33.5 (▼0.1)</t>
        </is>
      </c>
      <c r="I255" t="n">
        <v>103</v>
      </c>
      <c r="J255" t="inlineStr">
        <is>
          <t>52 / 51</t>
        </is>
      </c>
      <c r="K255" s="9" t="inlineStr">
        <is>
          <t>44% (▼1%)</t>
        </is>
      </c>
    </row>
    <row r="256">
      <c r="A256" s="9" t="inlineStr">
        <is>
          <t>255 (▼3)</t>
        </is>
      </c>
      <c r="B256" t="inlineStr">
        <is>
          <t>Camie Wang</t>
        </is>
      </c>
      <c r="C256" t="n">
        <v>2012</v>
      </c>
      <c r="D256" s="7" t="inlineStr">
        <is>
          <t>311.91</t>
        </is>
      </c>
      <c r="E256" s="7" t="inlineStr">
        <is>
          <t>16</t>
        </is>
      </c>
      <c r="F256" t="inlineStr">
        <is>
          <t>Tennis Alberta</t>
        </is>
      </c>
      <c r="G256" t="inlineStr">
        <is>
          <t>Osten &amp; Victor Alberta Tennis Centre</t>
        </is>
      </c>
      <c r="H256" s="7" t="inlineStr">
        <is>
          <t>27.9</t>
        </is>
      </c>
      <c r="I256" t="n">
        <v>115</v>
      </c>
      <c r="J256" t="inlineStr">
        <is>
          <t>61 / 54</t>
        </is>
      </c>
      <c r="K256" s="7" t="inlineStr">
        <is>
          <t>51%</t>
        </is>
      </c>
    </row>
    <row r="257">
      <c r="A257" s="9" t="inlineStr">
        <is>
          <t>256 (▼3)</t>
        </is>
      </c>
      <c r="B257" t="inlineStr">
        <is>
          <t>Daisy Tingru Wang</t>
        </is>
      </c>
      <c r="C257" t="n">
        <v>2012</v>
      </c>
      <c r="D257" s="7" t="inlineStr">
        <is>
          <t>310.85</t>
        </is>
      </c>
      <c r="E257" s="7" t="inlineStr">
        <is>
          <t>9</t>
        </is>
      </c>
      <c r="F257" t="inlineStr">
        <is>
          <t>Tennis Nova Scotia</t>
        </is>
      </c>
      <c r="G257" t="inlineStr">
        <is>
          <t>HEADSTART</t>
        </is>
      </c>
      <c r="H257" s="7" t="inlineStr">
        <is>
          <t>36.1</t>
        </is>
      </c>
      <c r="I257" t="n">
        <v>45</v>
      </c>
      <c r="J257" t="inlineStr">
        <is>
          <t>10 / 35</t>
        </is>
      </c>
      <c r="K257" s="7" t="inlineStr">
        <is>
          <t>22%</t>
        </is>
      </c>
    </row>
    <row r="258">
      <c r="A258" s="9" t="inlineStr">
        <is>
          <t>257 (▼3)</t>
        </is>
      </c>
      <c r="B258" t="inlineStr">
        <is>
          <t>Lily Gaumond-Boivin</t>
        </is>
      </c>
      <c r="C258" t="n">
        <v>2013</v>
      </c>
      <c r="D258" s="7" t="inlineStr">
        <is>
          <t>310.60</t>
        </is>
      </c>
      <c r="E258" s="8" t="inlineStr">
        <is>
          <t>22 (+1)</t>
        </is>
      </c>
      <c r="F258" t="inlineStr">
        <is>
          <t>Tennis Québec</t>
        </is>
      </c>
      <c r="G258" t="inlineStr">
        <is>
          <t>Club Avantage Multi-sports / Académie de tennis Hérisset Bordeleau</t>
        </is>
      </c>
      <c r="H258" s="7" t="inlineStr">
        <is>
          <t>unavailable</t>
        </is>
      </c>
      <c r="I258" t="n">
        <v>132</v>
      </c>
      <c r="J258" t="inlineStr">
        <is>
          <t>64 / 68</t>
        </is>
      </c>
      <c r="K258" s="7" t="inlineStr">
        <is>
          <t>42%</t>
        </is>
      </c>
    </row>
    <row r="259">
      <c r="A259" s="9" t="inlineStr">
        <is>
          <t>258 (▼3)</t>
        </is>
      </c>
      <c r="B259" t="inlineStr">
        <is>
          <t>Maya Lupu</t>
        </is>
      </c>
      <c r="C259" t="n">
        <v>2015</v>
      </c>
      <c r="D259" s="7" t="inlineStr">
        <is>
          <t>308.77</t>
        </is>
      </c>
      <c r="E259" s="7" t="inlineStr">
        <is>
          <t>16</t>
        </is>
      </c>
      <c r="F259" t="inlineStr">
        <is>
          <t>Tennis Alberta</t>
        </is>
      </c>
      <c r="G259" t="inlineStr">
        <is>
          <t>Saville Community Sports Centre</t>
        </is>
      </c>
      <c r="H259" s="7" t="inlineStr">
        <is>
          <t>31.2</t>
        </is>
      </c>
      <c r="I259" t="n">
        <v>165</v>
      </c>
      <c r="J259" t="inlineStr">
        <is>
          <t>104 / 61</t>
        </is>
      </c>
      <c r="K259" s="7" t="inlineStr">
        <is>
          <t>42%</t>
        </is>
      </c>
    </row>
    <row r="260">
      <c r="A260" s="9" t="inlineStr">
        <is>
          <t>259 (▼3)</t>
        </is>
      </c>
      <c r="B260" t="inlineStr">
        <is>
          <t>Keona Asogwa</t>
        </is>
      </c>
      <c r="C260" t="n">
        <v>2013</v>
      </c>
      <c r="D260" s="7" t="inlineStr">
        <is>
          <t>308.25</t>
        </is>
      </c>
      <c r="E260" s="9" t="inlineStr">
        <is>
          <t>14 (-1)</t>
        </is>
      </c>
      <c r="F260" t="inlineStr">
        <is>
          <t>Ontario Tennis Association</t>
        </is>
      </c>
      <c r="G260" t="inlineStr">
        <is>
          <t>Carleton Tennis Centre</t>
        </is>
      </c>
      <c r="H260" s="7" t="inlineStr">
        <is>
          <t>unavailable</t>
        </is>
      </c>
      <c r="I260" t="n">
        <v>110</v>
      </c>
      <c r="J260" t="inlineStr">
        <is>
          <t>41 / 69</t>
        </is>
      </c>
      <c r="K260" s="7" t="inlineStr">
        <is>
          <t>28%</t>
        </is>
      </c>
    </row>
    <row r="261">
      <c r="A261" s="9" t="inlineStr">
        <is>
          <t>260 (▼3)</t>
        </is>
      </c>
      <c r="B261" t="inlineStr">
        <is>
          <t>ZOE SOFIA CARDENAS PANIAGUA</t>
        </is>
      </c>
      <c r="C261" t="n">
        <v>2013</v>
      </c>
      <c r="D261" s="7" t="inlineStr">
        <is>
          <t>307.12</t>
        </is>
      </c>
      <c r="E261" s="7" t="inlineStr">
        <is>
          <t>6</t>
        </is>
      </c>
      <c r="F261" t="inlineStr">
        <is>
          <t>Tennis Manitoba</t>
        </is>
      </c>
      <c r="G261" t="inlineStr">
        <is>
          <t>Tuxedo Tennis Club</t>
        </is>
      </c>
      <c r="H261" s="7" t="inlineStr">
        <is>
          <t>unavailable</t>
        </is>
      </c>
      <c r="I261" t="n">
        <v>59</v>
      </c>
      <c r="J261" t="inlineStr">
        <is>
          <t>22 / 37</t>
        </is>
      </c>
      <c r="K261" s="7" t="inlineStr">
        <is>
          <t>43%</t>
        </is>
      </c>
    </row>
    <row r="262">
      <c r="A262" s="9" t="inlineStr">
        <is>
          <t>261 (▼3)</t>
        </is>
      </c>
      <c r="B262" t="inlineStr">
        <is>
          <t>Victoria Ta</t>
        </is>
      </c>
      <c r="C262" t="n">
        <v>2013</v>
      </c>
      <c r="D262" s="7" t="inlineStr">
        <is>
          <t>307.00</t>
        </is>
      </c>
      <c r="E262" s="7" t="inlineStr">
        <is>
          <t>20</t>
        </is>
      </c>
      <c r="F262" t="inlineStr">
        <is>
          <t>Ontario Tennis Association</t>
        </is>
      </c>
      <c r="G262" t="inlineStr">
        <is>
          <t>Lambton Golf &amp; Country Club</t>
        </is>
      </c>
      <c r="H262" s="7" t="inlineStr">
        <is>
          <t>31.4</t>
        </is>
      </c>
      <c r="I262" t="n">
        <v>107</v>
      </c>
      <c r="J262" t="inlineStr">
        <is>
          <t>53 / 54</t>
        </is>
      </c>
      <c r="K262" s="7" t="inlineStr">
        <is>
          <t>56%</t>
        </is>
      </c>
    </row>
    <row r="263">
      <c r="A263" s="9" t="inlineStr">
        <is>
          <t>262 (▼3)</t>
        </is>
      </c>
      <c r="B263" t="inlineStr">
        <is>
          <t>Aliya Star Michel</t>
        </is>
      </c>
      <c r="C263" t="n">
        <v>2012</v>
      </c>
      <c r="D263" s="7" t="inlineStr">
        <is>
          <t>306.19</t>
        </is>
      </c>
      <c r="E263" s="7" t="inlineStr">
        <is>
          <t>4</t>
        </is>
      </c>
      <c r="F263" t="inlineStr">
        <is>
          <t>Tennis Québec</t>
        </is>
      </c>
      <c r="G263" t="inlineStr">
        <is>
          <t>Carrefour Multisports</t>
        </is>
      </c>
      <c r="H263" s="7" t="inlineStr">
        <is>
          <t>29.9</t>
        </is>
      </c>
      <c r="I263" t="n">
        <v>184</v>
      </c>
      <c r="J263" t="inlineStr">
        <is>
          <t>96 / 88</t>
        </is>
      </c>
      <c r="K263" s="7" t="inlineStr">
        <is>
          <t>50%</t>
        </is>
      </c>
    </row>
    <row r="264">
      <c r="A264" s="9" t="inlineStr">
        <is>
          <t>263 (▼3)</t>
        </is>
      </c>
      <c r="B264" t="inlineStr">
        <is>
          <t>Rosie Mai Kowalewski</t>
        </is>
      </c>
      <c r="C264" t="n">
        <v>2014</v>
      </c>
      <c r="D264" s="7" t="inlineStr">
        <is>
          <t>303.33</t>
        </is>
      </c>
      <c r="E264" s="9" t="inlineStr">
        <is>
          <t>15 (-1)</t>
        </is>
      </c>
      <c r="F264" t="inlineStr">
        <is>
          <t>Ontario Tennis Association</t>
        </is>
      </c>
      <c r="G264" t="inlineStr">
        <is>
          <t>No Club</t>
        </is>
      </c>
      <c r="H264" s="7" t="inlineStr">
        <is>
          <t>31.5</t>
        </is>
      </c>
      <c r="I264" t="n">
        <v>192</v>
      </c>
      <c r="J264" t="inlineStr">
        <is>
          <t>113 / 79</t>
        </is>
      </c>
      <c r="K264" s="7" t="inlineStr">
        <is>
          <t>56%</t>
        </is>
      </c>
    </row>
    <row r="265">
      <c r="A265" s="9" t="inlineStr">
        <is>
          <t>264 (▼3)</t>
        </is>
      </c>
      <c r="B265" t="inlineStr">
        <is>
          <t>Chloe Lu</t>
        </is>
      </c>
      <c r="C265" t="n">
        <v>2013</v>
      </c>
      <c r="D265" s="7" t="inlineStr">
        <is>
          <t>300.71</t>
        </is>
      </c>
      <c r="E265" s="7" t="inlineStr">
        <is>
          <t>23</t>
        </is>
      </c>
      <c r="F265" t="inlineStr">
        <is>
          <t>British Columbia</t>
        </is>
      </c>
      <c r="G265" t="inlineStr">
        <is>
          <t>UBC Tennis Centre</t>
        </is>
      </c>
      <c r="H265" s="7" t="inlineStr">
        <is>
          <t>32.0</t>
        </is>
      </c>
      <c r="I265" t="n">
        <v>164</v>
      </c>
      <c r="J265" t="inlineStr">
        <is>
          <t>61 / 103</t>
        </is>
      </c>
      <c r="K265" s="7" t="inlineStr">
        <is>
          <t>46%</t>
        </is>
      </c>
    </row>
    <row r="266">
      <c r="A266" s="9" t="inlineStr">
        <is>
          <t>265 (▼3)</t>
        </is>
      </c>
      <c r="B266" t="inlineStr">
        <is>
          <t>Zoë Crago</t>
        </is>
      </c>
      <c r="C266" t="n">
        <v>2015</v>
      </c>
      <c r="D266" s="7" t="inlineStr">
        <is>
          <t>298.67</t>
        </is>
      </c>
      <c r="E266" s="8" t="inlineStr">
        <is>
          <t>29 (+1)</t>
        </is>
      </c>
      <c r="F266" t="inlineStr">
        <is>
          <t>Tennis Québec</t>
        </is>
      </c>
      <c r="G266" t="inlineStr">
        <is>
          <t>Tennis Montréal Excellence</t>
        </is>
      </c>
      <c r="H266" s="9" t="inlineStr">
        <is>
          <t>33.3 (▼0.3)</t>
        </is>
      </c>
      <c r="I266" t="n">
        <v>201</v>
      </c>
      <c r="J266" t="inlineStr">
        <is>
          <t>105 / 96</t>
        </is>
      </c>
      <c r="K266" s="9" t="inlineStr">
        <is>
          <t>54% (▼1%)</t>
        </is>
      </c>
    </row>
    <row r="267">
      <c r="A267" s="9" t="inlineStr">
        <is>
          <t>266 (▼3)</t>
        </is>
      </c>
      <c r="B267" t="inlineStr">
        <is>
          <t>Tehzeeb MRAR</t>
        </is>
      </c>
      <c r="C267" t="n">
        <v>2014</v>
      </c>
      <c r="D267" s="7" t="inlineStr">
        <is>
          <t>293.83</t>
        </is>
      </c>
      <c r="E267" s="7" t="inlineStr">
        <is>
          <t>19</t>
        </is>
      </c>
      <c r="F267" t="inlineStr">
        <is>
          <t>British Columbia</t>
        </is>
      </c>
      <c r="G267" t="inlineStr">
        <is>
          <t>No Club</t>
        </is>
      </c>
      <c r="H267" s="7" t="inlineStr">
        <is>
          <t>29.7</t>
        </is>
      </c>
      <c r="I267" t="n">
        <v>201</v>
      </c>
      <c r="J267" t="inlineStr">
        <is>
          <t>111 / 90</t>
        </is>
      </c>
      <c r="K267" s="7" t="inlineStr">
        <is>
          <t>56%</t>
        </is>
      </c>
    </row>
    <row r="268">
      <c r="A268" s="9" t="inlineStr">
        <is>
          <t>267 (▼3)</t>
        </is>
      </c>
      <c r="B268" t="inlineStr">
        <is>
          <t>Krystal Xuan Sun</t>
        </is>
      </c>
      <c r="C268" t="n">
        <v>2014</v>
      </c>
      <c r="D268" s="7" t="inlineStr">
        <is>
          <t>289.98</t>
        </is>
      </c>
      <c r="E268" s="7" t="inlineStr">
        <is>
          <t>11</t>
        </is>
      </c>
      <c r="F268" t="inlineStr">
        <is>
          <t>Tennis Manitoba</t>
        </is>
      </c>
      <c r="G268" t="inlineStr">
        <is>
          <t>Taylor Tennis</t>
        </is>
      </c>
      <c r="H268" s="7" t="inlineStr">
        <is>
          <t>unavailable</t>
        </is>
      </c>
      <c r="I268" t="n">
        <v>74</v>
      </c>
      <c r="J268" t="inlineStr">
        <is>
          <t>21 / 53</t>
        </is>
      </c>
      <c r="K268" s="7" t="inlineStr">
        <is>
          <t>26%</t>
        </is>
      </c>
    </row>
    <row r="269">
      <c r="A269" s="9" t="inlineStr">
        <is>
          <t>268 (▼3)</t>
        </is>
      </c>
      <c r="B269" t="inlineStr">
        <is>
          <t>Norah Diop</t>
        </is>
      </c>
      <c r="C269" t="n">
        <v>2012</v>
      </c>
      <c r="D269" s="7" t="inlineStr">
        <is>
          <t>289.52</t>
        </is>
      </c>
      <c r="E269" s="9" t="inlineStr">
        <is>
          <t>15 (-1)</t>
        </is>
      </c>
      <c r="F269" t="inlineStr">
        <is>
          <t>Tennis Québec</t>
        </is>
      </c>
      <c r="G269" t="inlineStr">
        <is>
          <t>Tennis 13</t>
        </is>
      </c>
      <c r="H269" s="7" t="inlineStr">
        <is>
          <t>unavailable</t>
        </is>
      </c>
      <c r="I269" t="n">
        <v>85</v>
      </c>
      <c r="J269" t="inlineStr">
        <is>
          <t>38 / 47</t>
        </is>
      </c>
      <c r="K269" s="7" t="inlineStr">
        <is>
          <t>52%</t>
        </is>
      </c>
    </row>
    <row r="270">
      <c r="A270" s="8" t="inlineStr">
        <is>
          <t>269 (▲19)</t>
        </is>
      </c>
      <c r="B270" t="inlineStr">
        <is>
          <t>Mégane Bernard</t>
        </is>
      </c>
      <c r="C270" t="n">
        <v>2014</v>
      </c>
      <c r="D270" s="8" t="inlineStr">
        <is>
          <t>287.55 (▲29.52)</t>
        </is>
      </c>
      <c r="E270" s="7" t="inlineStr">
        <is>
          <t>23</t>
        </is>
      </c>
      <c r="F270" t="inlineStr">
        <is>
          <t>Tennis Québec</t>
        </is>
      </c>
      <c r="G270" t="inlineStr">
        <is>
          <t>Tennis 13</t>
        </is>
      </c>
      <c r="H270" s="8" t="inlineStr">
        <is>
          <t>32.1 (▲0.1)</t>
        </is>
      </c>
      <c r="I270" t="n">
        <v>203</v>
      </c>
      <c r="J270" t="inlineStr">
        <is>
          <t>91 / 112</t>
        </is>
      </c>
      <c r="K270" s="8" t="inlineStr">
        <is>
          <t>45% (▲1%)</t>
        </is>
      </c>
    </row>
    <row r="271">
      <c r="A271" s="9" t="inlineStr">
        <is>
          <t>270 (▼3)</t>
        </is>
      </c>
      <c r="B271" t="inlineStr">
        <is>
          <t>Sasha Stack</t>
        </is>
      </c>
      <c r="C271" t="n">
        <v>2013</v>
      </c>
      <c r="D271" s="7" t="inlineStr">
        <is>
          <t>283.68</t>
        </is>
      </c>
      <c r="E271" s="7" t="inlineStr">
        <is>
          <t>13</t>
        </is>
      </c>
      <c r="F271" t="inlineStr">
        <is>
          <t>British Columbia</t>
        </is>
      </c>
      <c r="G271" t="inlineStr">
        <is>
          <t>Hollyburn Country Club</t>
        </is>
      </c>
      <c r="H271" s="7" t="inlineStr">
        <is>
          <t>32.9</t>
        </is>
      </c>
      <c r="I271" t="n">
        <v>113</v>
      </c>
      <c r="J271" t="inlineStr">
        <is>
          <t>52 / 61</t>
        </is>
      </c>
      <c r="K271" s="7" t="inlineStr">
        <is>
          <t>35%</t>
        </is>
      </c>
    </row>
    <row r="272">
      <c r="A272" s="9" t="inlineStr">
        <is>
          <t>271 (▼3)</t>
        </is>
      </c>
      <c r="B272" t="inlineStr">
        <is>
          <t>Ela Velic</t>
        </is>
      </c>
      <c r="C272" t="n">
        <v>2014</v>
      </c>
      <c r="D272" s="7" t="inlineStr">
        <is>
          <t>283.44</t>
        </is>
      </c>
      <c r="E272" s="8" t="inlineStr">
        <is>
          <t>29 (+1)</t>
        </is>
      </c>
      <c r="F272" t="inlineStr">
        <is>
          <t>Ontario Tennis Association</t>
        </is>
      </c>
      <c r="G272" t="inlineStr">
        <is>
          <t>Central Tennis Club</t>
        </is>
      </c>
      <c r="H272" s="9" t="inlineStr">
        <is>
          <t>33.8 (▼0.1)</t>
        </is>
      </c>
      <c r="I272" t="n">
        <v>112</v>
      </c>
      <c r="J272" t="inlineStr">
        <is>
          <t>57 / 55</t>
        </is>
      </c>
      <c r="K272" s="7" t="inlineStr">
        <is>
          <t>49%</t>
        </is>
      </c>
    </row>
    <row r="273">
      <c r="A273" s="9" t="inlineStr">
        <is>
          <t>272 (▼3)</t>
        </is>
      </c>
      <c r="B273" t="inlineStr">
        <is>
          <t>Jana Karkoukli</t>
        </is>
      </c>
      <c r="C273" t="n">
        <v>2012</v>
      </c>
      <c r="D273" s="7" t="inlineStr">
        <is>
          <t>282.69</t>
        </is>
      </c>
      <c r="E273" s="8" t="inlineStr">
        <is>
          <t>23 (+1)</t>
        </is>
      </c>
      <c r="F273" t="inlineStr">
        <is>
          <t>Tennis Québec</t>
        </is>
      </c>
      <c r="G273" t="inlineStr">
        <is>
          <t>EB Tennis inc.</t>
        </is>
      </c>
      <c r="H273" s="8" t="inlineStr">
        <is>
          <t>34.7 (▲0.1)</t>
        </is>
      </c>
      <c r="I273" t="n">
        <v>190</v>
      </c>
      <c r="J273" t="inlineStr">
        <is>
          <t>52 / 138</t>
        </is>
      </c>
      <c r="K273" s="9" t="inlineStr">
        <is>
          <t>12% (▼1%)</t>
        </is>
      </c>
    </row>
    <row r="274">
      <c r="A274" s="9" t="inlineStr">
        <is>
          <t>273 (▼3)</t>
        </is>
      </c>
      <c r="B274" t="inlineStr">
        <is>
          <t>Avelyn Deepak</t>
        </is>
      </c>
      <c r="C274" t="n">
        <v>2014</v>
      </c>
      <c r="D274" s="7" t="inlineStr">
        <is>
          <t>282.55</t>
        </is>
      </c>
      <c r="E274" s="7" t="inlineStr">
        <is>
          <t>10</t>
        </is>
      </c>
      <c r="F274" t="inlineStr">
        <is>
          <t>Tennis Manitoba</t>
        </is>
      </c>
      <c r="G274" t="inlineStr">
        <is>
          <t>Winnipeg Winter Club</t>
        </is>
      </c>
      <c r="H274" s="7" t="inlineStr">
        <is>
          <t>35.2</t>
        </is>
      </c>
      <c r="I274" t="n">
        <v>35</v>
      </c>
      <c r="J274" t="inlineStr">
        <is>
          <t>9 / 26</t>
        </is>
      </c>
      <c r="K274" s="7" t="inlineStr">
        <is>
          <t>26%</t>
        </is>
      </c>
    </row>
    <row r="275">
      <c r="A275" s="8" t="inlineStr">
        <is>
          <t>274 (▲36)</t>
        </is>
      </c>
      <c r="B275" t="inlineStr">
        <is>
          <t>Harsimran Kaur Sandhu</t>
        </is>
      </c>
      <c r="C275" t="n">
        <v>2012</v>
      </c>
      <c r="D275" s="8" t="inlineStr">
        <is>
          <t>280.68 (▲49.20)</t>
        </is>
      </c>
      <c r="E275" s="8" t="inlineStr">
        <is>
          <t>28 (+1)</t>
        </is>
      </c>
      <c r="F275" t="inlineStr">
        <is>
          <t>Ontario Tennis Association</t>
        </is>
      </c>
      <c r="G275" t="inlineStr">
        <is>
          <t>Premier Racquet Clubs – Mississauga</t>
        </is>
      </c>
      <c r="H275" s="7" t="inlineStr">
        <is>
          <t>unavailable</t>
        </is>
      </c>
      <c r="I275" t="n">
        <v>115</v>
      </c>
      <c r="J275" t="inlineStr">
        <is>
          <t>53 / 62</t>
        </is>
      </c>
      <c r="K275" s="8" t="inlineStr">
        <is>
          <t>55% (▲1%)</t>
        </is>
      </c>
    </row>
    <row r="276">
      <c r="A276" s="9" t="inlineStr">
        <is>
          <t>275 (▼4)</t>
        </is>
      </c>
      <c r="B276" t="inlineStr">
        <is>
          <t>Chanjoban Kaur Birdi</t>
        </is>
      </c>
      <c r="C276" t="n">
        <v>2013</v>
      </c>
      <c r="D276" s="7" t="inlineStr">
        <is>
          <t>279.11</t>
        </is>
      </c>
      <c r="E276" s="7" t="inlineStr">
        <is>
          <t>20</t>
        </is>
      </c>
      <c r="F276" t="inlineStr">
        <is>
          <t>British Columbia</t>
        </is>
      </c>
      <c r="G276" t="inlineStr">
        <is>
          <t>Newton Tennis Club</t>
        </is>
      </c>
      <c r="H276" s="7" t="inlineStr">
        <is>
          <t>29.3</t>
        </is>
      </c>
      <c r="I276" t="n">
        <v>207</v>
      </c>
      <c r="J276" t="inlineStr">
        <is>
          <t>103 / 104</t>
        </is>
      </c>
      <c r="K276" s="7" t="inlineStr">
        <is>
          <t>62%</t>
        </is>
      </c>
    </row>
    <row r="277">
      <c r="A277" s="9" t="inlineStr">
        <is>
          <t>276 (▼4)</t>
        </is>
      </c>
      <c r="B277" t="inlineStr">
        <is>
          <t>Elliette Leah Tran</t>
        </is>
      </c>
      <c r="C277" t="n">
        <v>2014</v>
      </c>
      <c r="D277" s="7" t="inlineStr">
        <is>
          <t>278.54</t>
        </is>
      </c>
      <c r="E277" s="8" t="inlineStr">
        <is>
          <t>18 (+1)</t>
        </is>
      </c>
      <c r="F277" t="inlineStr">
        <is>
          <t>Tennis Alberta</t>
        </is>
      </c>
      <c r="G277" t="inlineStr">
        <is>
          <t>Saville Community Sports Centre</t>
        </is>
      </c>
      <c r="H277" s="7" t="inlineStr">
        <is>
          <t>unavailable</t>
        </is>
      </c>
      <c r="I277" t="n">
        <v>125</v>
      </c>
      <c r="J277" t="inlineStr">
        <is>
          <t>64 / 61</t>
        </is>
      </c>
      <c r="K277" s="8" t="inlineStr">
        <is>
          <t>57% (▲1%)</t>
        </is>
      </c>
    </row>
    <row r="278">
      <c r="A278" s="9" t="inlineStr">
        <is>
          <t>277 (▼4)</t>
        </is>
      </c>
      <c r="B278" t="inlineStr">
        <is>
          <t>Maddie Kershaw</t>
        </is>
      </c>
      <c r="C278" t="n">
        <v>2013</v>
      </c>
      <c r="D278" s="7" t="inlineStr">
        <is>
          <t>278.43</t>
        </is>
      </c>
      <c r="E278" s="7" t="inlineStr">
        <is>
          <t>10</t>
        </is>
      </c>
      <c r="F278" t="inlineStr">
        <is>
          <t>Tennis New Brunswick</t>
        </is>
      </c>
      <c r="G278" t="inlineStr">
        <is>
          <t>Abony Family Tennis Center</t>
        </is>
      </c>
      <c r="H278" s="7" t="inlineStr">
        <is>
          <t>33.8</t>
        </is>
      </c>
      <c r="I278" t="n">
        <v>188</v>
      </c>
      <c r="J278" t="inlineStr">
        <is>
          <t>95 / 93</t>
        </is>
      </c>
      <c r="K278" s="7" t="inlineStr">
        <is>
          <t>41%</t>
        </is>
      </c>
    </row>
    <row r="279">
      <c r="A279" s="9" t="inlineStr">
        <is>
          <t>278 (▼4)</t>
        </is>
      </c>
      <c r="B279" t="inlineStr">
        <is>
          <t>Keira Braudo</t>
        </is>
      </c>
      <c r="C279" t="n">
        <v>2015</v>
      </c>
      <c r="D279" s="7" t="inlineStr">
        <is>
          <t>277.50</t>
        </is>
      </c>
      <c r="E279" s="7" t="inlineStr">
        <is>
          <t>14</t>
        </is>
      </c>
      <c r="F279" t="inlineStr">
        <is>
          <t>Ontario Tennis Association</t>
        </is>
      </c>
      <c r="G279" t="inlineStr">
        <is>
          <t>Mayfair West Fitness &amp; Racquet Club</t>
        </is>
      </c>
      <c r="H279" s="7" t="inlineStr">
        <is>
          <t>29.8</t>
        </is>
      </c>
      <c r="I279" t="n">
        <v>77</v>
      </c>
      <c r="J279" t="inlineStr">
        <is>
          <t>52 / 25</t>
        </is>
      </c>
      <c r="K279" s="7" t="inlineStr">
        <is>
          <t>81%</t>
        </is>
      </c>
    </row>
    <row r="280">
      <c r="A280" s="8" t="inlineStr">
        <is>
          <t>279 (▲15)</t>
        </is>
      </c>
      <c r="B280" t="inlineStr">
        <is>
          <t>Shrreya Elkturi</t>
        </is>
      </c>
      <c r="C280" t="n">
        <v>2012</v>
      </c>
      <c r="D280" s="8" t="inlineStr">
        <is>
          <t>274.43 (▲24.80)</t>
        </is>
      </c>
      <c r="E280" s="7" t="inlineStr">
        <is>
          <t>23</t>
        </is>
      </c>
      <c r="F280" t="inlineStr">
        <is>
          <t>Ontario Tennis Association</t>
        </is>
      </c>
      <c r="G280" t="inlineStr">
        <is>
          <t>No Club</t>
        </is>
      </c>
      <c r="H280" s="8" t="inlineStr">
        <is>
          <t>32.5 (▲0.1)</t>
        </is>
      </c>
      <c r="I280" t="n">
        <v>89</v>
      </c>
      <c r="J280" t="inlineStr">
        <is>
          <t>32 / 57</t>
        </is>
      </c>
      <c r="K280" s="7" t="inlineStr">
        <is>
          <t>47%</t>
        </is>
      </c>
    </row>
    <row r="281">
      <c r="A281" s="9" t="inlineStr">
        <is>
          <t>280 (▼5)</t>
        </is>
      </c>
      <c r="B281" t="inlineStr">
        <is>
          <t>ella kim brend</t>
        </is>
      </c>
      <c r="C281" t="n">
        <v>2012</v>
      </c>
      <c r="D281" s="7" t="inlineStr">
        <is>
          <t>274.30</t>
        </is>
      </c>
      <c r="E281" s="7" t="inlineStr">
        <is>
          <t>19</t>
        </is>
      </c>
      <c r="F281" t="inlineStr">
        <is>
          <t>British Columbia</t>
        </is>
      </c>
      <c r="G281" t="inlineStr">
        <is>
          <t>The Tennis Centre</t>
        </is>
      </c>
      <c r="H281" s="7" t="inlineStr">
        <is>
          <t>30.1</t>
        </is>
      </c>
      <c r="I281" t="n">
        <v>128</v>
      </c>
      <c r="J281" t="inlineStr">
        <is>
          <t>88 / 40</t>
        </is>
      </c>
      <c r="K281" s="7" t="inlineStr">
        <is>
          <t>71%</t>
        </is>
      </c>
    </row>
    <row r="282">
      <c r="A282" s="9" t="inlineStr">
        <is>
          <t>281 (▼5)</t>
        </is>
      </c>
      <c r="B282" t="inlineStr">
        <is>
          <t>Candice YAO</t>
        </is>
      </c>
      <c r="C282" t="n">
        <v>2014</v>
      </c>
      <c r="D282" s="7" t="inlineStr">
        <is>
          <t>273.27</t>
        </is>
      </c>
      <c r="E282" s="7" t="inlineStr">
        <is>
          <t>20</t>
        </is>
      </c>
      <c r="F282" t="inlineStr">
        <is>
          <t>Ontario Tennis Association</t>
        </is>
      </c>
      <c r="G282" t="inlineStr">
        <is>
          <t>Richmondhill Golf &amp; Country Club</t>
        </is>
      </c>
      <c r="H282" s="7" t="inlineStr">
        <is>
          <t>32.6</t>
        </is>
      </c>
      <c r="I282" t="n">
        <v>99</v>
      </c>
      <c r="J282" t="inlineStr">
        <is>
          <t>45 / 54</t>
        </is>
      </c>
      <c r="K282" s="7" t="inlineStr">
        <is>
          <t>57%</t>
        </is>
      </c>
    </row>
    <row r="283">
      <c r="A283" s="9" t="inlineStr">
        <is>
          <t>282 (▼5)</t>
        </is>
      </c>
      <c r="B283" t="inlineStr">
        <is>
          <t>Elisa Krumov</t>
        </is>
      </c>
      <c r="C283" t="n">
        <v>2014</v>
      </c>
      <c r="D283" s="7" t="inlineStr">
        <is>
          <t>270.27</t>
        </is>
      </c>
      <c r="E283" s="7" t="inlineStr">
        <is>
          <t>21</t>
        </is>
      </c>
      <c r="F283" t="inlineStr">
        <is>
          <t>Ontario Tennis Association</t>
        </is>
      </c>
      <c r="G283" t="inlineStr">
        <is>
          <t>Joshua Creek Golf &amp; Tennis</t>
        </is>
      </c>
      <c r="H283" s="7" t="inlineStr">
        <is>
          <t>33.2</t>
        </is>
      </c>
      <c r="I283" t="n">
        <v>95</v>
      </c>
      <c r="J283" t="inlineStr">
        <is>
          <t>43 / 52</t>
        </is>
      </c>
      <c r="K283" s="7" t="inlineStr">
        <is>
          <t>42%</t>
        </is>
      </c>
    </row>
    <row r="284">
      <c r="A284" s="9" t="inlineStr">
        <is>
          <t>283 (▼5)</t>
        </is>
      </c>
      <c r="B284" t="inlineStr">
        <is>
          <t>Kristina Khlyebnykova</t>
        </is>
      </c>
      <c r="C284" t="n">
        <v>2012</v>
      </c>
      <c r="D284" s="7" t="inlineStr">
        <is>
          <t>269.60</t>
        </is>
      </c>
      <c r="E284" s="7" t="inlineStr">
        <is>
          <t>16</t>
        </is>
      </c>
      <c r="F284" t="inlineStr">
        <is>
          <t>Ontario Tennis Association</t>
        </is>
      </c>
      <c r="G284" t="inlineStr">
        <is>
          <t>Concord Tennis Academy</t>
        </is>
      </c>
      <c r="H284" s="7" t="inlineStr">
        <is>
          <t>31.8</t>
        </is>
      </c>
      <c r="I284" t="n">
        <v>76</v>
      </c>
      <c r="J284" t="inlineStr">
        <is>
          <t>36 / 40</t>
        </is>
      </c>
      <c r="K284" s="7" t="inlineStr">
        <is>
          <t>54%</t>
        </is>
      </c>
    </row>
    <row r="285">
      <c r="A285" s="9" t="inlineStr">
        <is>
          <t>284 (▼5)</t>
        </is>
      </c>
      <c r="B285" t="inlineStr">
        <is>
          <t>Gabriela Gardonyi</t>
        </is>
      </c>
      <c r="C285" t="n">
        <v>2013</v>
      </c>
      <c r="D285" s="7" t="inlineStr">
        <is>
          <t>269.54</t>
        </is>
      </c>
      <c r="E285" s="9" t="inlineStr">
        <is>
          <t>21 (-1)</t>
        </is>
      </c>
      <c r="F285" t="inlineStr">
        <is>
          <t>Ontario Tennis Association</t>
        </is>
      </c>
      <c r="G285" t="inlineStr">
        <is>
          <t>Richmond Hill Country Club</t>
        </is>
      </c>
      <c r="H285" s="7" t="inlineStr">
        <is>
          <t>unavailable</t>
        </is>
      </c>
      <c r="I285" t="n">
        <v>122</v>
      </c>
      <c r="J285" t="inlineStr">
        <is>
          <t>56 / 66</t>
        </is>
      </c>
      <c r="K285" s="7" t="inlineStr">
        <is>
          <t>49%</t>
        </is>
      </c>
    </row>
    <row r="286">
      <c r="A286" s="9" t="inlineStr">
        <is>
          <t>285 (▼4)</t>
        </is>
      </c>
      <c r="B286" t="inlineStr">
        <is>
          <t>Alia Idrissi Serghini</t>
        </is>
      </c>
      <c r="C286" t="n">
        <v>2015</v>
      </c>
      <c r="D286" s="7" t="inlineStr">
        <is>
          <t>267.46</t>
        </is>
      </c>
      <c r="E286" s="7" t="inlineStr">
        <is>
          <t>18</t>
        </is>
      </c>
      <c r="F286" t="inlineStr">
        <is>
          <t>Tennis Québec</t>
        </is>
      </c>
      <c r="G286" t="inlineStr">
        <is>
          <t>Centre récréatif de Repentigny / Académie Tennis Momentum</t>
        </is>
      </c>
      <c r="H286" s="9" t="inlineStr">
        <is>
          <t>32.7 (▼0.1)</t>
        </is>
      </c>
      <c r="I286" t="n">
        <v>143</v>
      </c>
      <c r="J286" t="inlineStr">
        <is>
          <t>86 / 57</t>
        </is>
      </c>
      <c r="K286" s="7" t="inlineStr">
        <is>
          <t>50%</t>
        </is>
      </c>
    </row>
    <row r="287">
      <c r="A287" s="9" t="inlineStr">
        <is>
          <t>286 (▼4)</t>
        </is>
      </c>
      <c r="B287" t="inlineStr">
        <is>
          <t>Alexia Picciola</t>
        </is>
      </c>
      <c r="C287" t="n">
        <v>2015</v>
      </c>
      <c r="D287" s="7" t="inlineStr">
        <is>
          <t>264.42</t>
        </is>
      </c>
      <c r="E287" s="7" t="inlineStr">
        <is>
          <t>19</t>
        </is>
      </c>
      <c r="F287" t="inlineStr">
        <is>
          <t>Tennis Québec</t>
        </is>
      </c>
      <c r="G287" t="inlineStr">
        <is>
          <t>Tennis Montréal Excellence</t>
        </is>
      </c>
      <c r="H287" s="8" t="inlineStr">
        <is>
          <t>31.5 (▲0.1)</t>
        </is>
      </c>
      <c r="I287" t="n">
        <v>167</v>
      </c>
      <c r="J287" t="inlineStr">
        <is>
          <t>80 / 87</t>
        </is>
      </c>
      <c r="K287" s="9" t="inlineStr">
        <is>
          <t>61% (▼2%)</t>
        </is>
      </c>
    </row>
    <row r="288">
      <c r="A288" s="9" t="inlineStr">
        <is>
          <t>287 (▼4)</t>
        </is>
      </c>
      <c r="B288" t="inlineStr">
        <is>
          <t>Mia Tran</t>
        </is>
      </c>
      <c r="C288" t="n">
        <v>2013</v>
      </c>
      <c r="D288" s="7" t="inlineStr">
        <is>
          <t>263.72</t>
        </is>
      </c>
      <c r="E288" s="8" t="inlineStr">
        <is>
          <t>13 (+1)</t>
        </is>
      </c>
      <c r="F288" t="inlineStr">
        <is>
          <t>Ontario Tennis Association</t>
        </is>
      </c>
      <c r="G288" t="inlineStr">
        <is>
          <t>SmartVMC Racquetsports by ACE</t>
        </is>
      </c>
      <c r="H288" s="8" t="inlineStr">
        <is>
          <t>32.0 (▲0.2)</t>
        </is>
      </c>
      <c r="I288" t="n">
        <v>94</v>
      </c>
      <c r="J288" t="inlineStr">
        <is>
          <t>58 / 36</t>
        </is>
      </c>
      <c r="K288" s="7" t="inlineStr">
        <is>
          <t>63%</t>
        </is>
      </c>
    </row>
    <row r="289">
      <c r="A289" s="9" t="inlineStr">
        <is>
          <t>288 (▼4)</t>
        </is>
      </c>
      <c r="B289" t="inlineStr">
        <is>
          <t>Hannah D'Souza</t>
        </is>
      </c>
      <c r="C289" t="n">
        <v>2015</v>
      </c>
      <c r="D289" s="7" t="inlineStr">
        <is>
          <t>263.06</t>
        </is>
      </c>
      <c r="E289" s="7" t="inlineStr">
        <is>
          <t>29</t>
        </is>
      </c>
      <c r="F289" t="inlineStr">
        <is>
          <t>Ontario Tennis Association</t>
        </is>
      </c>
      <c r="G289" t="inlineStr">
        <is>
          <t>No Club</t>
        </is>
      </c>
      <c r="H289" s="7" t="inlineStr">
        <is>
          <t>33.2</t>
        </is>
      </c>
      <c r="I289" t="n">
        <v>163</v>
      </c>
      <c r="J289" t="inlineStr">
        <is>
          <t>67 / 96</t>
        </is>
      </c>
      <c r="K289" s="7" t="inlineStr">
        <is>
          <t>46%</t>
        </is>
      </c>
    </row>
    <row r="290">
      <c r="A290" s="9" t="inlineStr">
        <is>
          <t>289 (▼4)</t>
        </is>
      </c>
      <c r="B290" t="inlineStr">
        <is>
          <t>Thanushka Sadasivam</t>
        </is>
      </c>
      <c r="C290" t="n">
        <v>2014</v>
      </c>
      <c r="D290" s="7" t="inlineStr">
        <is>
          <t>260.40</t>
        </is>
      </c>
      <c r="E290" s="7" t="inlineStr">
        <is>
          <t>15</t>
        </is>
      </c>
      <c r="F290" t="inlineStr">
        <is>
          <t>Ontario Tennis Association</t>
        </is>
      </c>
      <c r="G290" t="inlineStr">
        <is>
          <t>Ontario Racquet Club</t>
        </is>
      </c>
      <c r="H290" s="7" t="inlineStr">
        <is>
          <t>35.1</t>
        </is>
      </c>
      <c r="I290" t="n">
        <v>59</v>
      </c>
      <c r="J290" t="inlineStr">
        <is>
          <t>25 / 34</t>
        </is>
      </c>
      <c r="K290" s="7" t="inlineStr">
        <is>
          <t>37%</t>
        </is>
      </c>
    </row>
    <row r="291">
      <c r="A291" s="9" t="inlineStr">
        <is>
          <t>290 (▼4)</t>
        </is>
      </c>
      <c r="B291" t="inlineStr">
        <is>
          <t>Emma Xu</t>
        </is>
      </c>
      <c r="C291" t="n">
        <v>2015</v>
      </c>
      <c r="D291" s="7" t="inlineStr">
        <is>
          <t>259.34</t>
        </is>
      </c>
      <c r="E291" s="7" t="inlineStr">
        <is>
          <t>9</t>
        </is>
      </c>
      <c r="F291" t="inlineStr">
        <is>
          <t>Tennis Manitoba</t>
        </is>
      </c>
      <c r="G291" t="inlineStr">
        <is>
          <t>Taylor Tennis</t>
        </is>
      </c>
      <c r="H291" s="7" t="inlineStr">
        <is>
          <t>36.3</t>
        </is>
      </c>
      <c r="I291" t="n">
        <v>100</v>
      </c>
      <c r="J291" t="inlineStr">
        <is>
          <t>27 / 73</t>
        </is>
      </c>
      <c r="K291" s="7" t="inlineStr">
        <is>
          <t>24%</t>
        </is>
      </c>
    </row>
    <row r="292">
      <c r="A292" s="9" t="inlineStr">
        <is>
          <t>291 (▼2)</t>
        </is>
      </c>
      <c r="B292" t="inlineStr">
        <is>
          <t>Ebun Fasanya</t>
        </is>
      </c>
      <c r="C292" t="n">
        <v>2013</v>
      </c>
      <c r="D292" s="7" t="inlineStr">
        <is>
          <t>256.17</t>
        </is>
      </c>
      <c r="E292" s="7" t="inlineStr">
        <is>
          <t>17</t>
        </is>
      </c>
      <c r="F292" t="inlineStr">
        <is>
          <t>Ontario Tennis Association</t>
        </is>
      </c>
      <c r="G292" t="inlineStr">
        <is>
          <t>Joshua Creek Golf &amp; Tennis</t>
        </is>
      </c>
      <c r="H292" s="7" t="inlineStr">
        <is>
          <t>33.9</t>
        </is>
      </c>
      <c r="I292" t="n">
        <v>82</v>
      </c>
      <c r="J292" t="inlineStr">
        <is>
          <t>45 / 37</t>
        </is>
      </c>
      <c r="K292" s="7" t="inlineStr">
        <is>
          <t>55%</t>
        </is>
      </c>
    </row>
    <row r="293">
      <c r="A293" s="9" t="inlineStr">
        <is>
          <t>292 (▼2)</t>
        </is>
      </c>
      <c r="B293" t="inlineStr">
        <is>
          <t>SOFIA LUCKY</t>
        </is>
      </c>
      <c r="C293" t="n">
        <v>2014</v>
      </c>
      <c r="D293" s="7" t="inlineStr">
        <is>
          <t>252.38</t>
        </is>
      </c>
      <c r="E293" s="8" t="inlineStr">
        <is>
          <t>12 (+1)</t>
        </is>
      </c>
      <c r="F293" t="inlineStr">
        <is>
          <t>Tennis Québec</t>
        </is>
      </c>
      <c r="G293" t="inlineStr">
        <is>
          <t>Académie de tennis UNI(T)</t>
        </is>
      </c>
      <c r="H293" s="9" t="inlineStr">
        <is>
          <t>34.2 (▼0.2)</t>
        </is>
      </c>
      <c r="I293" t="n">
        <v>89</v>
      </c>
      <c r="J293" t="inlineStr">
        <is>
          <t>33 / 56</t>
        </is>
      </c>
      <c r="K293" s="7" t="inlineStr">
        <is>
          <t>52%</t>
        </is>
      </c>
    </row>
    <row r="294">
      <c r="A294" s="9" t="inlineStr">
        <is>
          <t>293 (▼2)</t>
        </is>
      </c>
      <c r="B294" t="inlineStr">
        <is>
          <t>Ella Potechin</t>
        </is>
      </c>
      <c r="C294" t="n">
        <v>2015</v>
      </c>
      <c r="D294" s="7" t="inlineStr">
        <is>
          <t>251.01</t>
        </is>
      </c>
      <c r="E294" s="8" t="inlineStr">
        <is>
          <t>17 (+1)</t>
        </is>
      </c>
      <c r="F294" t="inlineStr">
        <is>
          <t>Ontario Tennis Association</t>
        </is>
      </c>
      <c r="G294" t="inlineStr">
        <is>
          <t>Tennis Outaouais Performance (TOP) ON</t>
        </is>
      </c>
      <c r="H294" s="8" t="inlineStr">
        <is>
          <t>34.6 (▲0.2)</t>
        </is>
      </c>
      <c r="I294" t="n">
        <v>101</v>
      </c>
      <c r="J294" t="inlineStr">
        <is>
          <t>41 / 60</t>
        </is>
      </c>
      <c r="K294" s="9" t="inlineStr">
        <is>
          <t>50% (▼2%)</t>
        </is>
      </c>
    </row>
    <row r="295">
      <c r="A295" s="9" t="inlineStr">
        <is>
          <t>294 (▼2)</t>
        </is>
      </c>
      <c r="B295" t="inlineStr">
        <is>
          <t>Violetta Munoz</t>
        </is>
      </c>
      <c r="C295" t="n">
        <v>2015</v>
      </c>
      <c r="D295" s="7" t="inlineStr">
        <is>
          <t>250.66</t>
        </is>
      </c>
      <c r="E295" s="9" t="inlineStr">
        <is>
          <t>23 (-1)</t>
        </is>
      </c>
      <c r="F295" t="inlineStr">
        <is>
          <t>Tennis Québec</t>
        </is>
      </c>
      <c r="G295" t="inlineStr">
        <is>
          <t>Carrefour Multisports</t>
        </is>
      </c>
      <c r="H295" s="9" t="inlineStr">
        <is>
          <t>32.7 (▼0.2)</t>
        </is>
      </c>
      <c r="I295" t="n">
        <v>181</v>
      </c>
      <c r="J295" t="inlineStr">
        <is>
          <t>94 / 87</t>
        </is>
      </c>
      <c r="K295" s="7" t="inlineStr">
        <is>
          <t>51%</t>
        </is>
      </c>
    </row>
    <row r="296">
      <c r="A296" s="9" t="inlineStr">
        <is>
          <t>295 (▼2)</t>
        </is>
      </c>
      <c r="B296" t="inlineStr">
        <is>
          <t>Lydia Huang</t>
        </is>
      </c>
      <c r="C296" t="n">
        <v>2015</v>
      </c>
      <c r="D296" s="7" t="inlineStr">
        <is>
          <t>250.07</t>
        </is>
      </c>
      <c r="E296" s="9" t="inlineStr">
        <is>
          <t>30 (-1)</t>
        </is>
      </c>
      <c r="F296" t="inlineStr">
        <is>
          <t>Ontario Tennis Association</t>
        </is>
      </c>
      <c r="G296" t="inlineStr">
        <is>
          <t>The Supreme Court Tennis Club</t>
        </is>
      </c>
      <c r="H296" s="7" t="inlineStr">
        <is>
          <t>32.4</t>
        </is>
      </c>
      <c r="I296" t="n">
        <v>106</v>
      </c>
      <c r="J296" t="inlineStr">
        <is>
          <t>65 / 41</t>
        </is>
      </c>
      <c r="K296" s="7" t="inlineStr">
        <is>
          <t>61%</t>
        </is>
      </c>
    </row>
    <row r="297">
      <c r="A297" s="9" t="inlineStr">
        <is>
          <t>296 (▼1)</t>
        </is>
      </c>
      <c r="B297" t="inlineStr">
        <is>
          <t>Emma Lajoie</t>
        </is>
      </c>
      <c r="C297" t="n">
        <v>2014</v>
      </c>
      <c r="D297" s="7" t="inlineStr">
        <is>
          <t>247.65</t>
        </is>
      </c>
      <c r="E297" s="7" t="inlineStr">
        <is>
          <t>18</t>
        </is>
      </c>
      <c r="F297" t="inlineStr">
        <is>
          <t>Tennis Québec</t>
        </is>
      </c>
      <c r="G297" t="inlineStr">
        <is>
          <t>SANI Sport</t>
        </is>
      </c>
      <c r="H297" s="7" t="inlineStr">
        <is>
          <t>33.0</t>
        </is>
      </c>
      <c r="I297" t="n">
        <v>160</v>
      </c>
      <c r="J297" t="inlineStr">
        <is>
          <t>81 / 79</t>
        </is>
      </c>
      <c r="K297" s="7" t="inlineStr">
        <is>
          <t>45%</t>
        </is>
      </c>
    </row>
    <row r="298">
      <c r="A298" s="9" t="inlineStr">
        <is>
          <t>297 (▼1)</t>
        </is>
      </c>
      <c r="B298" t="inlineStr">
        <is>
          <t>Aryella Ainame Duran Khongwir</t>
        </is>
      </c>
      <c r="C298" t="n">
        <v>2014</v>
      </c>
      <c r="D298" s="7" t="inlineStr">
        <is>
          <t>245.44</t>
        </is>
      </c>
      <c r="E298" s="8" t="inlineStr">
        <is>
          <t>20 (+1)</t>
        </is>
      </c>
      <c r="F298" t="inlineStr">
        <is>
          <t>Ontario Tennis Association</t>
        </is>
      </c>
      <c r="G298" t="inlineStr">
        <is>
          <t>Stefanovic Tennis Academy</t>
        </is>
      </c>
      <c r="H298" s="9" t="inlineStr">
        <is>
          <t>34.2 (▼0.1)</t>
        </is>
      </c>
      <c r="I298" t="n">
        <v>186</v>
      </c>
      <c r="J298" t="inlineStr">
        <is>
          <t>54 / 132</t>
        </is>
      </c>
      <c r="K298" s="7" t="inlineStr">
        <is>
          <t>50%</t>
        </is>
      </c>
    </row>
    <row r="299">
      <c r="A299" s="9" t="inlineStr">
        <is>
          <t>298 (▼1)</t>
        </is>
      </c>
      <c r="B299" t="inlineStr">
        <is>
          <t>Ava Dancik</t>
        </is>
      </c>
      <c r="C299" t="n">
        <v>2013</v>
      </c>
      <c r="D299" s="7" t="inlineStr">
        <is>
          <t>245.24</t>
        </is>
      </c>
      <c r="E299" s="7" t="inlineStr">
        <is>
          <t>14</t>
        </is>
      </c>
      <c r="F299" t="inlineStr">
        <is>
          <t>Tennis Québec</t>
        </is>
      </c>
      <c r="G299" t="inlineStr">
        <is>
          <t>Tennis Ile- des- Soeurs</t>
        </is>
      </c>
      <c r="H299" s="7" t="inlineStr">
        <is>
          <t>31.5</t>
        </is>
      </c>
      <c r="I299" t="n">
        <v>219</v>
      </c>
      <c r="J299" t="inlineStr">
        <is>
          <t>112 / 107</t>
        </is>
      </c>
      <c r="K299" s="7" t="inlineStr">
        <is>
          <t>62%</t>
        </is>
      </c>
    </row>
    <row r="300">
      <c r="A300" s="9" t="inlineStr">
        <is>
          <t>299 (▼1)</t>
        </is>
      </c>
      <c r="B300" t="inlineStr">
        <is>
          <t>MASAL ELA YAZICI</t>
        </is>
      </c>
      <c r="C300" t="n">
        <v>2015</v>
      </c>
      <c r="D300" s="7" t="inlineStr">
        <is>
          <t>245.19</t>
        </is>
      </c>
      <c r="E300" s="8" t="inlineStr">
        <is>
          <t>24 (+1)</t>
        </is>
      </c>
      <c r="F300" t="inlineStr">
        <is>
          <t>Ontario Tennis Association</t>
        </is>
      </c>
      <c r="G300" t="inlineStr">
        <is>
          <t>Mayfair West Fitness &amp; Racquet Club</t>
        </is>
      </c>
      <c r="H300" s="9" t="inlineStr">
        <is>
          <t>33.9 (▼0.4)</t>
        </is>
      </c>
      <c r="I300" t="n">
        <v>64</v>
      </c>
      <c r="J300" t="inlineStr">
        <is>
          <t>38 / 26</t>
        </is>
      </c>
      <c r="K300" s="9" t="inlineStr">
        <is>
          <t>61% (▼1%)</t>
        </is>
      </c>
    </row>
    <row r="301">
      <c r="A301" s="9" t="inlineStr">
        <is>
          <t>300 (▼1)</t>
        </is>
      </c>
      <c r="B301" t="inlineStr">
        <is>
          <t>Minna TAN</t>
        </is>
      </c>
      <c r="C301" t="n">
        <v>2016</v>
      </c>
      <c r="D301" s="7" t="inlineStr">
        <is>
          <t>244.92</t>
        </is>
      </c>
      <c r="E301" s="7" t="inlineStr">
        <is>
          <t>12</t>
        </is>
      </c>
      <c r="F301" t="inlineStr">
        <is>
          <t>Tennis Québec</t>
        </is>
      </c>
      <c r="G301" t="inlineStr">
        <is>
          <t>Tennis Ile- des- Soeurs</t>
        </is>
      </c>
      <c r="H301" s="7" t="inlineStr">
        <is>
          <t>31.5</t>
        </is>
      </c>
      <c r="I301" t="n">
        <v>91</v>
      </c>
      <c r="J301" t="inlineStr">
        <is>
          <t>59 / 32</t>
        </is>
      </c>
      <c r="K301" s="7" t="inlineStr">
        <is>
          <t>79%</t>
        </is>
      </c>
    </row>
    <row r="302">
      <c r="A302" s="7" t="inlineStr">
        <is>
          <t>301</t>
        </is>
      </c>
      <c r="B302" t="inlineStr">
        <is>
          <t>MICHELLE OREANE OLA ECHAO</t>
        </is>
      </c>
      <c r="C302" t="n">
        <v>2012</v>
      </c>
      <c r="D302" s="7" t="inlineStr">
        <is>
          <t>241.10</t>
        </is>
      </c>
      <c r="E302" s="7" t="inlineStr">
        <is>
          <t>9</t>
        </is>
      </c>
      <c r="F302" t="inlineStr">
        <is>
          <t>Ontario Tennis Association</t>
        </is>
      </c>
      <c r="G302" t="inlineStr">
        <is>
          <t>Rideau Sports Centre</t>
        </is>
      </c>
      <c r="H302" s="7" t="inlineStr">
        <is>
          <t>36.9</t>
        </is>
      </c>
      <c r="I302" t="n">
        <v>55</v>
      </c>
      <c r="J302" t="inlineStr">
        <is>
          <t>12 / 43</t>
        </is>
      </c>
      <c r="K302" s="7" t="inlineStr">
        <is>
          <t>27%</t>
        </is>
      </c>
    </row>
    <row r="303">
      <c r="A303" s="7" t="inlineStr">
        <is>
          <t>302</t>
        </is>
      </c>
      <c r="B303" t="inlineStr">
        <is>
          <t>Liana Arendain</t>
        </is>
      </c>
      <c r="C303" t="n">
        <v>2015</v>
      </c>
      <c r="D303" s="7" t="inlineStr">
        <is>
          <t>238.24</t>
        </is>
      </c>
      <c r="E303" s="8" t="inlineStr">
        <is>
          <t>20 (+1)</t>
        </is>
      </c>
      <c r="F303" t="inlineStr">
        <is>
          <t>Tennis Alberta</t>
        </is>
      </c>
      <c r="G303" t="inlineStr">
        <is>
          <t>Saville Community Sports Centre</t>
        </is>
      </c>
      <c r="H303" s="8" t="inlineStr">
        <is>
          <t>29.8 (▲0.6)</t>
        </is>
      </c>
      <c r="I303" t="n">
        <v>154</v>
      </c>
      <c r="J303" t="inlineStr">
        <is>
          <t>107 / 47</t>
        </is>
      </c>
      <c r="K303" s="8" t="inlineStr">
        <is>
          <t>68% (▲3%)</t>
        </is>
      </c>
    </row>
    <row r="304">
      <c r="A304" s="7" t="inlineStr">
        <is>
          <t>303</t>
        </is>
      </c>
      <c r="B304" t="inlineStr">
        <is>
          <t>Ariella Wainer</t>
        </is>
      </c>
      <c r="C304" t="n">
        <v>2012</v>
      </c>
      <c r="D304" s="7" t="inlineStr">
        <is>
          <t>238.16</t>
        </is>
      </c>
      <c r="E304" s="7" t="inlineStr">
        <is>
          <t>21</t>
        </is>
      </c>
      <c r="F304" t="inlineStr">
        <is>
          <t>Tennis Québec</t>
        </is>
      </c>
      <c r="G304" t="inlineStr">
        <is>
          <t>Club Sportif Côte-de-Liesse</t>
        </is>
      </c>
      <c r="H304" s="9" t="inlineStr">
        <is>
          <t>34.4 (▼0.3)</t>
        </is>
      </c>
      <c r="I304" t="n">
        <v>174</v>
      </c>
      <c r="J304" t="inlineStr">
        <is>
          <t>61 / 113</t>
        </is>
      </c>
      <c r="K304" s="8" t="inlineStr">
        <is>
          <t>28% (▲2%)</t>
        </is>
      </c>
    </row>
    <row r="305">
      <c r="A305" s="7" t="inlineStr">
        <is>
          <t>304</t>
        </is>
      </c>
      <c r="B305" t="inlineStr">
        <is>
          <t>Penelope Anne McMillan</t>
        </is>
      </c>
      <c r="C305" t="n">
        <v>2014</v>
      </c>
      <c r="D305" s="7" t="inlineStr">
        <is>
          <t>235.81</t>
        </is>
      </c>
      <c r="E305" s="7" t="inlineStr">
        <is>
          <t>9</t>
        </is>
      </c>
      <c r="F305" t="inlineStr">
        <is>
          <t>Tennis Nova Scotia</t>
        </is>
      </c>
      <c r="G305" t="inlineStr">
        <is>
          <t>Atlantic Tennis Centre</t>
        </is>
      </c>
      <c r="H305" s="7" t="inlineStr">
        <is>
          <t>35.7</t>
        </is>
      </c>
      <c r="I305" t="n">
        <v>110</v>
      </c>
      <c r="J305" t="inlineStr">
        <is>
          <t>46 / 64</t>
        </is>
      </c>
      <c r="K305" s="7" t="inlineStr">
        <is>
          <t>40%</t>
        </is>
      </c>
    </row>
    <row r="306">
      <c r="A306" s="7" t="inlineStr">
        <is>
          <t>305</t>
        </is>
      </c>
      <c r="B306" t="inlineStr">
        <is>
          <t>Hazel Sharma</t>
        </is>
      </c>
      <c r="C306" t="n">
        <v>2013</v>
      </c>
      <c r="D306" s="7" t="inlineStr">
        <is>
          <t>234.93</t>
        </is>
      </c>
      <c r="E306" s="7" t="inlineStr">
        <is>
          <t>13</t>
        </is>
      </c>
      <c r="F306" t="inlineStr">
        <is>
          <t>British Columbia</t>
        </is>
      </c>
      <c r="G306" t="inlineStr">
        <is>
          <t>The Tennis Centre</t>
        </is>
      </c>
      <c r="H306" s="7" t="inlineStr">
        <is>
          <t>32.5</t>
        </is>
      </c>
      <c r="I306" t="n">
        <v>192</v>
      </c>
      <c r="J306" t="inlineStr">
        <is>
          <t>85 / 107</t>
        </is>
      </c>
      <c r="K306" s="7" t="inlineStr">
        <is>
          <t>56%</t>
        </is>
      </c>
    </row>
    <row r="307">
      <c r="A307" s="8" t="inlineStr">
        <is>
          <t>306 (▲1)</t>
        </is>
      </c>
      <c r="B307" t="inlineStr">
        <is>
          <t>Daniella Lynne Lee</t>
        </is>
      </c>
      <c r="C307" t="n">
        <v>2015</v>
      </c>
      <c r="D307" s="8" t="inlineStr">
        <is>
          <t>234.33 (▲1.69)</t>
        </is>
      </c>
      <c r="E307" s="7" t="inlineStr">
        <is>
          <t>27</t>
        </is>
      </c>
      <c r="F307" t="inlineStr">
        <is>
          <t>British Columbia</t>
        </is>
      </c>
      <c r="G307" t="inlineStr">
        <is>
          <t>Arbutus Club</t>
        </is>
      </c>
      <c r="H307" s="7" t="inlineStr">
        <is>
          <t>32.3</t>
        </is>
      </c>
      <c r="I307" t="n">
        <v>140</v>
      </c>
      <c r="J307" t="inlineStr">
        <is>
          <t>71 / 69</t>
        </is>
      </c>
      <c r="K307" s="7" t="inlineStr">
        <is>
          <t>52%</t>
        </is>
      </c>
    </row>
    <row r="308">
      <c r="A308" s="9" t="inlineStr">
        <is>
          <t>307 (▼1)</t>
        </is>
      </c>
      <c r="B308" t="inlineStr">
        <is>
          <t>ESTHER HAO</t>
        </is>
      </c>
      <c r="C308" t="n">
        <v>2015</v>
      </c>
      <c r="D308" s="7" t="inlineStr">
        <is>
          <t>233.33</t>
        </is>
      </c>
      <c r="E308" s="9" t="inlineStr">
        <is>
          <t>13 (-1)</t>
        </is>
      </c>
      <c r="F308" t="inlineStr">
        <is>
          <t>Ontario Tennis Association</t>
        </is>
      </c>
      <c r="G308" t="inlineStr">
        <is>
          <t>Ontario Racquet Club</t>
        </is>
      </c>
      <c r="H308" s="7" t="inlineStr">
        <is>
          <t>34.1</t>
        </is>
      </c>
      <c r="I308" t="n">
        <v>215</v>
      </c>
      <c r="J308" t="inlineStr">
        <is>
          <t>131 / 84</t>
        </is>
      </c>
      <c r="K308" s="7" t="inlineStr">
        <is>
          <t>50%</t>
        </is>
      </c>
    </row>
    <row r="309">
      <c r="A309" s="7" t="inlineStr">
        <is>
          <t>308</t>
        </is>
      </c>
      <c r="B309" t="inlineStr">
        <is>
          <t>Tanishka Varishtha Tripathi</t>
        </is>
      </c>
      <c r="C309" t="n">
        <v>2016</v>
      </c>
      <c r="D309" s="7" t="inlineStr">
        <is>
          <t>232.27</t>
        </is>
      </c>
      <c r="E309" s="8" t="inlineStr">
        <is>
          <t>15 (+1)</t>
        </is>
      </c>
      <c r="F309" t="inlineStr">
        <is>
          <t>Ontario Tennis Association</t>
        </is>
      </c>
      <c r="G309" t="inlineStr">
        <is>
          <t>Tennis Outaouais Performance (TOP) ON</t>
        </is>
      </c>
      <c r="H309" s="9" t="inlineStr">
        <is>
          <t>32.3 (▼0.1)</t>
        </is>
      </c>
      <c r="I309" t="n">
        <v>153</v>
      </c>
      <c r="J309" t="inlineStr">
        <is>
          <t>112 / 41</t>
        </is>
      </c>
      <c r="K309" s="9" t="inlineStr">
        <is>
          <t>71% (▼2%)</t>
        </is>
      </c>
    </row>
    <row r="310">
      <c r="A310" s="7" t="inlineStr">
        <is>
          <t>309</t>
        </is>
      </c>
      <c r="B310" t="inlineStr">
        <is>
          <t>Navena Thelepan</t>
        </is>
      </c>
      <c r="C310" t="n">
        <v>2015</v>
      </c>
      <c r="D310" s="7" t="inlineStr">
        <is>
          <t>231.66</t>
        </is>
      </c>
      <c r="E310" s="8" t="inlineStr">
        <is>
          <t>48 (+1)</t>
        </is>
      </c>
      <c r="F310" t="inlineStr">
        <is>
          <t>Ontario Tennis Association</t>
        </is>
      </c>
      <c r="G310" t="inlineStr">
        <is>
          <t>Markham Tennis Club</t>
        </is>
      </c>
      <c r="H310" s="7" t="inlineStr">
        <is>
          <t>35.7</t>
        </is>
      </c>
      <c r="I310" t="n">
        <v>155</v>
      </c>
      <c r="J310" t="inlineStr">
        <is>
          <t>69 / 86</t>
        </is>
      </c>
      <c r="K310" s="8" t="inlineStr">
        <is>
          <t>34% (▲1%)</t>
        </is>
      </c>
    </row>
    <row r="311">
      <c r="A311" s="8" t="inlineStr">
        <is>
          <t>310 (▲1)</t>
        </is>
      </c>
      <c r="B311" t="inlineStr">
        <is>
          <t>Lacey Isabella Ly</t>
        </is>
      </c>
      <c r="C311" t="n">
        <v>2015</v>
      </c>
      <c r="D311" s="7" t="inlineStr">
        <is>
          <t>231.26</t>
        </is>
      </c>
      <c r="E311" s="7" t="inlineStr">
        <is>
          <t>11</t>
        </is>
      </c>
      <c r="F311" t="inlineStr">
        <is>
          <t>British Columbia</t>
        </is>
      </c>
      <c r="G311" t="inlineStr">
        <is>
          <t>The Tennis Centre</t>
        </is>
      </c>
      <c r="H311" s="7" t="inlineStr">
        <is>
          <t>30.8</t>
        </is>
      </c>
      <c r="I311" t="n">
        <v>133</v>
      </c>
      <c r="J311" t="inlineStr">
        <is>
          <t>100 / 33</t>
        </is>
      </c>
      <c r="K311" s="7" t="inlineStr">
        <is>
          <t>72%</t>
        </is>
      </c>
    </row>
    <row r="312">
      <c r="A312" s="8" t="inlineStr">
        <is>
          <t>311 (▲2)</t>
        </is>
      </c>
      <c r="B312" t="inlineStr">
        <is>
          <t>Charlotte Gal</t>
        </is>
      </c>
      <c r="C312" t="n">
        <v>2012</v>
      </c>
      <c r="D312" s="7" t="inlineStr">
        <is>
          <t>229.16</t>
        </is>
      </c>
      <c r="E312" s="7" t="inlineStr">
        <is>
          <t>4</t>
        </is>
      </c>
      <c r="F312" t="inlineStr">
        <is>
          <t>Tennis Nova Scotia</t>
        </is>
      </c>
      <c r="G312" t="inlineStr">
        <is>
          <t>HEADSTART</t>
        </is>
      </c>
      <c r="H312" s="7" t="inlineStr">
        <is>
          <t>37.1</t>
        </is>
      </c>
      <c r="I312" t="n">
        <v>24</v>
      </c>
      <c r="J312" t="inlineStr">
        <is>
          <t>6 / 18</t>
        </is>
      </c>
      <c r="K312" s="7" t="inlineStr">
        <is>
          <t>14%</t>
        </is>
      </c>
    </row>
    <row r="313">
      <c r="A313" s="8" t="inlineStr">
        <is>
          <t>312 (▲2)</t>
        </is>
      </c>
      <c r="B313" t="inlineStr">
        <is>
          <t>Jamie Cui</t>
        </is>
      </c>
      <c r="C313" t="n">
        <v>2012</v>
      </c>
      <c r="D313" s="7" t="inlineStr">
        <is>
          <t>228.11</t>
        </is>
      </c>
      <c r="E313" s="9" t="inlineStr">
        <is>
          <t>18 (-1)</t>
        </is>
      </c>
      <c r="F313" t="inlineStr">
        <is>
          <t>British Columbia</t>
        </is>
      </c>
      <c r="G313" t="inlineStr">
        <is>
          <t>Coquitlam Tennis Club</t>
        </is>
      </c>
      <c r="H313" s="7" t="inlineStr">
        <is>
          <t>unavailable</t>
        </is>
      </c>
      <c r="I313" t="n">
        <v>173</v>
      </c>
      <c r="J313" t="inlineStr">
        <is>
          <t>49 / 124</t>
        </is>
      </c>
      <c r="K313" s="7" t="inlineStr">
        <is>
          <t>36%</t>
        </is>
      </c>
    </row>
    <row r="314">
      <c r="A314" s="8" t="inlineStr">
        <is>
          <t>313 (▲3)</t>
        </is>
      </c>
      <c r="B314" t="inlineStr">
        <is>
          <t>Xinyi Zhang</t>
        </is>
      </c>
      <c r="C314" t="n">
        <v>2012</v>
      </c>
      <c r="D314" s="7" t="inlineStr">
        <is>
          <t>225.19</t>
        </is>
      </c>
      <c r="E314" s="7" t="inlineStr">
        <is>
          <t>17</t>
        </is>
      </c>
      <c r="F314" t="inlineStr">
        <is>
          <t>Ontario Tennis Association</t>
        </is>
      </c>
      <c r="G314" t="inlineStr">
        <is>
          <t>Marilyn Redvers Tennis Club</t>
        </is>
      </c>
      <c r="H314" s="7" t="inlineStr">
        <is>
          <t>33.4</t>
        </is>
      </c>
      <c r="I314" t="n">
        <v>57</v>
      </c>
      <c r="J314" t="inlineStr">
        <is>
          <t>28 / 29</t>
        </is>
      </c>
      <c r="K314" s="7" t="inlineStr">
        <is>
          <t>45%</t>
        </is>
      </c>
    </row>
    <row r="315">
      <c r="A315" s="8" t="inlineStr">
        <is>
          <t>314 (▲7)</t>
        </is>
      </c>
      <c r="B315" t="inlineStr">
        <is>
          <t>Mikaëlla Jean-Bart</t>
        </is>
      </c>
      <c r="C315" t="n">
        <v>2015</v>
      </c>
      <c r="D315" s="8" t="inlineStr">
        <is>
          <t>224.30 (▲5.47)</t>
        </is>
      </c>
      <c r="E315" s="7" t="inlineStr">
        <is>
          <t>16</t>
        </is>
      </c>
      <c r="F315" t="inlineStr">
        <is>
          <t>Tennis Québec</t>
        </is>
      </c>
      <c r="G315" t="inlineStr">
        <is>
          <t>Centre récréatif de Repentigny / Académie Tennis Momentum</t>
        </is>
      </c>
      <c r="H315" s="9" t="inlineStr">
        <is>
          <t>34.5 (▼0.5)</t>
        </is>
      </c>
      <c r="I315" t="n">
        <v>77</v>
      </c>
      <c r="J315" t="inlineStr">
        <is>
          <t>32 / 45</t>
        </is>
      </c>
      <c r="K315" s="7" t="inlineStr">
        <is>
          <t>47%</t>
        </is>
      </c>
    </row>
    <row r="316">
      <c r="A316" s="8" t="inlineStr">
        <is>
          <t>315 (▲2)</t>
        </is>
      </c>
      <c r="B316" t="inlineStr">
        <is>
          <t>Mavis Li</t>
        </is>
      </c>
      <c r="C316" t="n">
        <v>2012</v>
      </c>
      <c r="D316" s="7" t="inlineStr">
        <is>
          <t>224.26</t>
        </is>
      </c>
      <c r="E316" s="9" t="inlineStr">
        <is>
          <t>20 (-1)</t>
        </is>
      </c>
      <c r="F316" t="inlineStr">
        <is>
          <t>Ontario Tennis Association</t>
        </is>
      </c>
      <c r="G316" t="inlineStr">
        <is>
          <t>Blackmore Tennis Club</t>
        </is>
      </c>
      <c r="H316" s="7" t="inlineStr">
        <is>
          <t>35.4</t>
        </is>
      </c>
      <c r="I316" t="n">
        <v>67</v>
      </c>
      <c r="J316" t="inlineStr">
        <is>
          <t>24 / 43</t>
        </is>
      </c>
      <c r="K316" s="7" t="inlineStr">
        <is>
          <t>26%</t>
        </is>
      </c>
    </row>
    <row r="317">
      <c r="A317" s="8" t="inlineStr">
        <is>
          <t>316 (▲2)</t>
        </is>
      </c>
      <c r="B317" t="inlineStr">
        <is>
          <t>Skylar Isabelle JOHNSTON</t>
        </is>
      </c>
      <c r="C317" t="n">
        <v>2014</v>
      </c>
      <c r="D317" s="7" t="inlineStr">
        <is>
          <t>223.40</t>
        </is>
      </c>
      <c r="E317" s="7" t="inlineStr">
        <is>
          <t>13</t>
        </is>
      </c>
      <c r="F317" t="inlineStr">
        <is>
          <t>Tennis Nova Scotia</t>
        </is>
      </c>
      <c r="G317" t="inlineStr">
        <is>
          <t>Gordon Hughes Tennis Club</t>
        </is>
      </c>
      <c r="H317" s="7" t="inlineStr">
        <is>
          <t>32.8</t>
        </is>
      </c>
      <c r="I317" t="n">
        <v>98</v>
      </c>
      <c r="J317" t="inlineStr">
        <is>
          <t>49 / 49</t>
        </is>
      </c>
      <c r="K317" s="7" t="inlineStr">
        <is>
          <t>64%</t>
        </is>
      </c>
    </row>
    <row r="318">
      <c r="A318" s="8" t="inlineStr">
        <is>
          <t>317 (▲2)</t>
        </is>
      </c>
      <c r="B318" t="inlineStr">
        <is>
          <t>Léa Crépault</t>
        </is>
      </c>
      <c r="C318" t="n">
        <v>2013</v>
      </c>
      <c r="D318" s="7" t="inlineStr">
        <is>
          <t>219.74</t>
        </is>
      </c>
      <c r="E318" s="7" t="inlineStr">
        <is>
          <t>21</t>
        </is>
      </c>
      <c r="F318" t="inlineStr">
        <is>
          <t>Tennis Québec</t>
        </is>
      </c>
      <c r="G318" t="inlineStr">
        <is>
          <t>EB Tennis inc.</t>
        </is>
      </c>
      <c r="H318" s="8" t="inlineStr">
        <is>
          <t>34.6 (▲0.1)</t>
        </is>
      </c>
      <c r="I318" t="n">
        <v>161</v>
      </c>
      <c r="J318" t="inlineStr">
        <is>
          <t>45 / 116</t>
        </is>
      </c>
      <c r="K318" s="7" t="inlineStr">
        <is>
          <t>35%</t>
        </is>
      </c>
    </row>
    <row r="319">
      <c r="A319" s="8" t="inlineStr">
        <is>
          <t>318 (▲2)</t>
        </is>
      </c>
      <c r="B319" t="inlineStr">
        <is>
          <t>Makayla Najjar</t>
        </is>
      </c>
      <c r="C319" t="n">
        <v>2013</v>
      </c>
      <c r="D319" s="7" t="inlineStr">
        <is>
          <t>219.58</t>
        </is>
      </c>
      <c r="E319" s="7" t="inlineStr">
        <is>
          <t>13</t>
        </is>
      </c>
      <c r="F319" t="inlineStr">
        <is>
          <t>Ontario Tennis Association</t>
        </is>
      </c>
      <c r="G319" t="inlineStr">
        <is>
          <t>Premier Racquet Clubs – Mississauga</t>
        </is>
      </c>
      <c r="H319" s="7" t="inlineStr">
        <is>
          <t>33.3</t>
        </is>
      </c>
      <c r="I319" t="n">
        <v>90</v>
      </c>
      <c r="J319" t="inlineStr">
        <is>
          <t>60 / 30</t>
        </is>
      </c>
      <c r="K319" s="7" t="inlineStr">
        <is>
          <t>61%</t>
        </is>
      </c>
    </row>
    <row r="320">
      <c r="A320" s="8" t="inlineStr">
        <is>
          <t>319 (▲3)</t>
        </is>
      </c>
      <c r="B320" t="inlineStr">
        <is>
          <t>Helena Shengyi Chen</t>
        </is>
      </c>
      <c r="C320" t="n">
        <v>2013</v>
      </c>
      <c r="D320" s="7" t="inlineStr">
        <is>
          <t>218.44</t>
        </is>
      </c>
      <c r="E320" s="7" t="inlineStr">
        <is>
          <t>15</t>
        </is>
      </c>
      <c r="F320" t="inlineStr">
        <is>
          <t>British Columbia</t>
        </is>
      </c>
      <c r="G320" t="inlineStr">
        <is>
          <t>Tennis BC Hub @ Richmond</t>
        </is>
      </c>
      <c r="H320" s="7" t="inlineStr">
        <is>
          <t>32.8</t>
        </is>
      </c>
      <c r="I320" t="n">
        <v>118</v>
      </c>
      <c r="J320" t="inlineStr">
        <is>
          <t>50 / 68</t>
        </is>
      </c>
      <c r="K320" s="7" t="inlineStr">
        <is>
          <t>43%</t>
        </is>
      </c>
    </row>
    <row r="321">
      <c r="A321" s="8" t="inlineStr">
        <is>
          <t>320 (▲3)</t>
        </is>
      </c>
      <c r="B321" t="inlineStr">
        <is>
          <t>Kayla Chevez</t>
        </is>
      </c>
      <c r="C321" t="n">
        <v>2015</v>
      </c>
      <c r="D321" s="7" t="inlineStr">
        <is>
          <t>218.12</t>
        </is>
      </c>
      <c r="E321" s="7" t="inlineStr">
        <is>
          <t>28</t>
        </is>
      </c>
      <c r="F321" t="inlineStr">
        <is>
          <t>Tennis Québec</t>
        </is>
      </c>
      <c r="G321" t="inlineStr">
        <is>
          <t>Tennis Montréal Excellence</t>
        </is>
      </c>
      <c r="H321" s="7" t="inlineStr">
        <is>
          <t>33.8</t>
        </is>
      </c>
      <c r="I321" t="n">
        <v>150</v>
      </c>
      <c r="J321" t="inlineStr">
        <is>
          <t>72 / 78</t>
        </is>
      </c>
      <c r="K321" s="9" t="inlineStr">
        <is>
          <t>44% (▼1%)</t>
        </is>
      </c>
    </row>
    <row r="322">
      <c r="A322" s="8" t="inlineStr">
        <is>
          <t>321 (▲3)</t>
        </is>
      </c>
      <c r="B322" t="inlineStr">
        <is>
          <t>Alma Safinia</t>
        </is>
      </c>
      <c r="C322" t="n">
        <v>2013</v>
      </c>
      <c r="D322" s="7" t="inlineStr">
        <is>
          <t>217.83</t>
        </is>
      </c>
      <c r="E322" s="7" t="inlineStr">
        <is>
          <t>2</t>
        </is>
      </c>
      <c r="F322" t="inlineStr">
        <is>
          <t>Tennis Nova Scotia</t>
        </is>
      </c>
      <c r="G322" t="inlineStr">
        <is>
          <t>Atlantic Tennis Centre</t>
        </is>
      </c>
      <c r="H322" s="7" t="inlineStr">
        <is>
          <t>33.9</t>
        </is>
      </c>
      <c r="I322" t="n">
        <v>26</v>
      </c>
      <c r="J322" t="inlineStr">
        <is>
          <t>13 / 13</t>
        </is>
      </c>
      <c r="K322" s="7" t="inlineStr">
        <is>
          <t>28%</t>
        </is>
      </c>
    </row>
    <row r="323">
      <c r="A323" s="8" t="inlineStr">
        <is>
          <t>322 (▲3)</t>
        </is>
      </c>
      <c r="B323" t="inlineStr">
        <is>
          <t>Clémence Martin</t>
        </is>
      </c>
      <c r="C323" t="n">
        <v>2012</v>
      </c>
      <c r="D323" s="7" t="inlineStr">
        <is>
          <t>216.99</t>
        </is>
      </c>
      <c r="E323" s="7" t="inlineStr">
        <is>
          <t>5</t>
        </is>
      </c>
      <c r="F323" t="inlineStr">
        <is>
          <t>Tennis Québec</t>
        </is>
      </c>
      <c r="G323" t="inlineStr">
        <is>
          <t>Centre sportif Sport Scène / Élite Tennis Académie</t>
        </is>
      </c>
      <c r="H323" s="7" t="inlineStr">
        <is>
          <t>31.2</t>
        </is>
      </c>
      <c r="I323" t="n">
        <v>34</v>
      </c>
      <c r="J323" t="inlineStr">
        <is>
          <t>19 / 15</t>
        </is>
      </c>
      <c r="K323" s="7" t="inlineStr">
        <is>
          <t>50%</t>
        </is>
      </c>
    </row>
    <row r="324">
      <c r="A324" s="9" t="inlineStr">
        <is>
          <t>323 (▼11)</t>
        </is>
      </c>
      <c r="B324" t="inlineStr">
        <is>
          <t>Louanna Perron</t>
        </is>
      </c>
      <c r="C324" t="n">
        <v>2012</v>
      </c>
      <c r="D324" s="9" t="inlineStr">
        <is>
          <t>215.29 (▼14.05)</t>
        </is>
      </c>
      <c r="E324" s="9" t="inlineStr">
        <is>
          <t>9 (-1)</t>
        </is>
      </c>
      <c r="F324" t="inlineStr">
        <is>
          <t>Tennis Québec</t>
        </is>
      </c>
      <c r="G324" t="inlineStr">
        <is>
          <t>Tennis 13 / Académie Ménard et associé</t>
        </is>
      </c>
      <c r="H324" s="7" t="inlineStr">
        <is>
          <t>33.2</t>
        </is>
      </c>
      <c r="I324" t="n">
        <v>27</v>
      </c>
      <c r="J324" t="inlineStr">
        <is>
          <t>10 / 17</t>
        </is>
      </c>
      <c r="K324" s="7" t="inlineStr">
        <is>
          <t>31%</t>
        </is>
      </c>
    </row>
    <row r="325">
      <c r="A325" s="8" t="inlineStr">
        <is>
          <t>324 (▲2)</t>
        </is>
      </c>
      <c r="B325" t="inlineStr">
        <is>
          <t>Yasmine Maazouz</t>
        </is>
      </c>
      <c r="C325" t="n">
        <v>2015</v>
      </c>
      <c r="D325" s="7" t="inlineStr">
        <is>
          <t>215.21</t>
        </is>
      </c>
      <c r="E325" s="7" t="inlineStr">
        <is>
          <t>9</t>
        </is>
      </c>
      <c r="F325" t="inlineStr">
        <is>
          <t>Tennis Québec</t>
        </is>
      </c>
      <c r="G325" t="inlineStr">
        <is>
          <t>Tennis Montréal Excellence</t>
        </is>
      </c>
      <c r="H325" s="7" t="inlineStr">
        <is>
          <t>31.4</t>
        </is>
      </c>
      <c r="I325" t="n">
        <v>116</v>
      </c>
      <c r="J325" t="inlineStr">
        <is>
          <t>69 / 47</t>
        </is>
      </c>
      <c r="K325" s="7" t="inlineStr">
        <is>
          <t>71%</t>
        </is>
      </c>
    </row>
    <row r="326">
      <c r="A326" s="8" t="inlineStr">
        <is>
          <t>325 (▲22)</t>
        </is>
      </c>
      <c r="B326" t="inlineStr">
        <is>
          <t>Isla J Green</t>
        </is>
      </c>
      <c r="C326" t="n">
        <v>2015</v>
      </c>
      <c r="D326" s="8" t="inlineStr">
        <is>
          <t>213.18 (▲20.00)</t>
        </is>
      </c>
      <c r="E326" s="8" t="inlineStr">
        <is>
          <t>31 (+1)</t>
        </is>
      </c>
      <c r="F326" t="inlineStr">
        <is>
          <t>Ontario Tennis Association</t>
        </is>
      </c>
      <c r="G326" t="inlineStr">
        <is>
          <t>Advantage Tennis International at Veneto</t>
        </is>
      </c>
      <c r="H326" s="8" t="inlineStr">
        <is>
          <t>32.1 (▲0.4)</t>
        </is>
      </c>
      <c r="I326" t="n">
        <v>262</v>
      </c>
      <c r="J326" t="inlineStr">
        <is>
          <t>176 / 86</t>
        </is>
      </c>
      <c r="K326" s="8" t="inlineStr">
        <is>
          <t>68% (▲1%)</t>
        </is>
      </c>
    </row>
    <row r="327">
      <c r="A327" s="8" t="inlineStr">
        <is>
          <t>326 (▲1)</t>
        </is>
      </c>
      <c r="B327" t="inlineStr">
        <is>
          <t>Kiyara Dinuli Hinidumarachchi</t>
        </is>
      </c>
      <c r="C327" t="n">
        <v>2015</v>
      </c>
      <c r="D327" s="7" t="inlineStr">
        <is>
          <t>213.04</t>
        </is>
      </c>
      <c r="E327" s="7" t="inlineStr">
        <is>
          <t>17</t>
        </is>
      </c>
      <c r="F327" t="inlineStr">
        <is>
          <t>Ontario Tennis Association</t>
        </is>
      </c>
      <c r="G327" t="inlineStr">
        <is>
          <t>Sarnia Tennis Club</t>
        </is>
      </c>
      <c r="H327" s="7" t="inlineStr">
        <is>
          <t>unavailable</t>
        </is>
      </c>
      <c r="I327" t="n">
        <v>159</v>
      </c>
      <c r="J327" t="inlineStr">
        <is>
          <t>97 / 62</t>
        </is>
      </c>
      <c r="K327" s="7" t="inlineStr">
        <is>
          <t>43%</t>
        </is>
      </c>
    </row>
    <row r="328">
      <c r="A328" s="8" t="inlineStr">
        <is>
          <t>327 (▲1)</t>
        </is>
      </c>
      <c r="B328" t="inlineStr">
        <is>
          <t>Esabel Liu</t>
        </is>
      </c>
      <c r="C328" t="n">
        <v>2014</v>
      </c>
      <c r="D328" s="7" t="inlineStr">
        <is>
          <t>212.86</t>
        </is>
      </c>
      <c r="E328" s="7" t="inlineStr">
        <is>
          <t>20</t>
        </is>
      </c>
      <c r="F328" t="inlineStr">
        <is>
          <t>British Columbia</t>
        </is>
      </c>
      <c r="G328" t="inlineStr">
        <is>
          <t>North Vancouver Tennis Centre</t>
        </is>
      </c>
      <c r="H328" s="7" t="inlineStr">
        <is>
          <t>30.5</t>
        </is>
      </c>
      <c r="I328" t="n">
        <v>232</v>
      </c>
      <c r="J328" t="inlineStr">
        <is>
          <t>144 / 88</t>
        </is>
      </c>
      <c r="K328" s="7" t="inlineStr">
        <is>
          <t>62%</t>
        </is>
      </c>
    </row>
    <row r="329">
      <c r="A329" s="8" t="inlineStr">
        <is>
          <t>328 (▲1)</t>
        </is>
      </c>
      <c r="B329" t="inlineStr">
        <is>
          <t>Sophie Pothel</t>
        </is>
      </c>
      <c r="C329" t="n">
        <v>2013</v>
      </c>
      <c r="D329" s="7" t="inlineStr">
        <is>
          <t>209.78</t>
        </is>
      </c>
      <c r="E329" s="7" t="inlineStr">
        <is>
          <t>18</t>
        </is>
      </c>
      <c r="F329" t="inlineStr">
        <is>
          <t>Tennis Québec</t>
        </is>
      </c>
      <c r="G329" t="inlineStr">
        <is>
          <t>Tennis Ile- des- Soeurs</t>
        </is>
      </c>
      <c r="H329" s="7" t="inlineStr">
        <is>
          <t>unavailable</t>
        </is>
      </c>
      <c r="I329" t="n">
        <v>61</v>
      </c>
      <c r="J329" t="inlineStr">
        <is>
          <t>10 / 51</t>
        </is>
      </c>
      <c r="K329" s="7" t="inlineStr">
        <is>
          <t>21%</t>
        </is>
      </c>
    </row>
    <row r="330">
      <c r="A330" s="8" t="inlineStr">
        <is>
          <t>329 (▲1)</t>
        </is>
      </c>
      <c r="B330" t="inlineStr">
        <is>
          <t>Payton Isabelle JOHNSTON</t>
        </is>
      </c>
      <c r="C330" t="n">
        <v>2014</v>
      </c>
      <c r="D330" s="7" t="inlineStr">
        <is>
          <t>209.30</t>
        </is>
      </c>
      <c r="E330" s="7" t="inlineStr">
        <is>
          <t>13</t>
        </is>
      </c>
      <c r="F330" t="inlineStr">
        <is>
          <t>Tennis Nova Scotia</t>
        </is>
      </c>
      <c r="G330" t="inlineStr">
        <is>
          <t>Gordon Hughes Tennis Club</t>
        </is>
      </c>
      <c r="H330" s="7" t="inlineStr">
        <is>
          <t>34.3</t>
        </is>
      </c>
      <c r="I330" t="n">
        <v>100</v>
      </c>
      <c r="J330" t="inlineStr">
        <is>
          <t>51 / 49</t>
        </is>
      </c>
      <c r="K330" s="7" t="inlineStr">
        <is>
          <t>47%</t>
        </is>
      </c>
    </row>
    <row r="331">
      <c r="A331" s="8" t="inlineStr">
        <is>
          <t>330 (▲1)</t>
        </is>
      </c>
      <c r="B331" t="inlineStr">
        <is>
          <t>Ruoyu Wang</t>
        </is>
      </c>
      <c r="C331" t="n">
        <v>2012</v>
      </c>
      <c r="D331" s="7" t="inlineStr">
        <is>
          <t>206.59</t>
        </is>
      </c>
      <c r="E331" s="7" t="inlineStr">
        <is>
          <t>13</t>
        </is>
      </c>
      <c r="F331" t="inlineStr">
        <is>
          <t>Tennis Québec</t>
        </is>
      </c>
      <c r="G331" t="inlineStr">
        <is>
          <t>Tennis 13</t>
        </is>
      </c>
      <c r="H331" s="7" t="inlineStr">
        <is>
          <t>unavailable</t>
        </is>
      </c>
      <c r="I331" t="n">
        <v>24</v>
      </c>
      <c r="J331" t="inlineStr">
        <is>
          <t>7 / 17</t>
        </is>
      </c>
      <c r="K331" s="7" t="inlineStr">
        <is>
          <t>35%</t>
        </is>
      </c>
    </row>
    <row r="332">
      <c r="A332" s="8" t="inlineStr">
        <is>
          <t>331 (▲1)</t>
        </is>
      </c>
      <c r="B332" t="inlineStr">
        <is>
          <t>Vida Jeftic</t>
        </is>
      </c>
      <c r="C332" t="n">
        <v>2014</v>
      </c>
      <c r="D332" s="7" t="inlineStr">
        <is>
          <t>206.56</t>
        </is>
      </c>
      <c r="E332" s="7" t="inlineStr">
        <is>
          <t>9</t>
        </is>
      </c>
      <c r="F332" t="inlineStr">
        <is>
          <t>Ontario Tennis Association</t>
        </is>
      </c>
      <c r="G332" t="inlineStr">
        <is>
          <t>Parkside Tennis Club</t>
        </is>
      </c>
      <c r="H332" s="8" t="inlineStr">
        <is>
          <t>30.2 (▲0.6)</t>
        </is>
      </c>
      <c r="I332" t="n">
        <v>38</v>
      </c>
      <c r="J332" t="inlineStr">
        <is>
          <t>27 / 11</t>
        </is>
      </c>
      <c r="K332" s="7" t="inlineStr">
        <is>
          <t>73%</t>
        </is>
      </c>
    </row>
    <row r="333">
      <c r="A333" s="8" t="inlineStr">
        <is>
          <t>332 (▲2)</t>
        </is>
      </c>
      <c r="B333" t="inlineStr">
        <is>
          <t>Ella Iva Mavretic</t>
        </is>
      </c>
      <c r="C333" t="n">
        <v>2013</v>
      </c>
      <c r="D333" s="7" t="inlineStr">
        <is>
          <t>203.74</t>
        </is>
      </c>
      <c r="E333" s="7" t="inlineStr">
        <is>
          <t>11</t>
        </is>
      </c>
      <c r="F333" t="inlineStr">
        <is>
          <t>Ontario Tennis Association</t>
        </is>
      </c>
      <c r="G333" t="inlineStr">
        <is>
          <t>Pinafore Park</t>
        </is>
      </c>
      <c r="H333" s="7" t="inlineStr">
        <is>
          <t>34.7</t>
        </is>
      </c>
      <c r="I333" t="n">
        <v>198</v>
      </c>
      <c r="J333" t="inlineStr">
        <is>
          <t>88 / 110</t>
        </is>
      </c>
      <c r="K333" s="7" t="inlineStr">
        <is>
          <t>40%</t>
        </is>
      </c>
    </row>
    <row r="334">
      <c r="A334" s="8" t="inlineStr">
        <is>
          <t>333 (▲2)</t>
        </is>
      </c>
      <c r="B334" t="inlineStr">
        <is>
          <t>Freya Jiaxin He</t>
        </is>
      </c>
      <c r="C334" t="n">
        <v>2014</v>
      </c>
      <c r="D334" s="7" t="inlineStr">
        <is>
          <t>203.59</t>
        </is>
      </c>
      <c r="E334" s="7" t="inlineStr">
        <is>
          <t>6</t>
        </is>
      </c>
      <c r="F334" t="inlineStr">
        <is>
          <t>Tennis Prince Edward Island</t>
        </is>
      </c>
      <c r="G334" t="inlineStr">
        <is>
          <t>Charlottetown Recreation Tennis Group</t>
        </is>
      </c>
      <c r="H334" s="7" t="inlineStr">
        <is>
          <t>31.9</t>
        </is>
      </c>
      <c r="I334" t="n">
        <v>104</v>
      </c>
      <c r="J334" t="inlineStr">
        <is>
          <t>58 / 46</t>
        </is>
      </c>
      <c r="K334" s="7" t="inlineStr">
        <is>
          <t>73%</t>
        </is>
      </c>
    </row>
    <row r="335">
      <c r="A335" s="8" t="inlineStr">
        <is>
          <t>334 (▲2)</t>
        </is>
      </c>
      <c r="B335" t="inlineStr">
        <is>
          <t>Victoria Trempe</t>
        </is>
      </c>
      <c r="C335" t="n">
        <v>2012</v>
      </c>
      <c r="D335" s="7" t="inlineStr">
        <is>
          <t>203.57</t>
        </is>
      </c>
      <c r="E335" s="9" t="inlineStr">
        <is>
          <t>6 (-2)</t>
        </is>
      </c>
      <c r="F335" t="inlineStr">
        <is>
          <t>Tennis Québec</t>
        </is>
      </c>
      <c r="G335" t="inlineStr">
        <is>
          <t>Club Sportif Côte-de-Liesse</t>
        </is>
      </c>
      <c r="H335" s="7" t="inlineStr">
        <is>
          <t>34.0</t>
        </is>
      </c>
      <c r="I335" t="n">
        <v>122</v>
      </c>
      <c r="J335" t="inlineStr">
        <is>
          <t>45 / 77</t>
        </is>
      </c>
      <c r="K335" s="7" t="inlineStr">
        <is>
          <t>33%</t>
        </is>
      </c>
    </row>
    <row r="336">
      <c r="A336" s="8" t="inlineStr">
        <is>
          <t>335 (▲5)</t>
        </is>
      </c>
      <c r="B336" t="inlineStr">
        <is>
          <t>Lana Kasumovic</t>
        </is>
      </c>
      <c r="C336" t="n">
        <v>2014</v>
      </c>
      <c r="D336" s="8" t="inlineStr">
        <is>
          <t>203.56 (▲3.29)</t>
        </is>
      </c>
      <c r="E336" s="8" t="inlineStr">
        <is>
          <t>26 (+1)</t>
        </is>
      </c>
      <c r="F336" t="inlineStr">
        <is>
          <t>Ontario Tennis Association</t>
        </is>
      </c>
      <c r="G336" t="inlineStr">
        <is>
          <t>Rideau Sports Centre</t>
        </is>
      </c>
      <c r="H336" s="9" t="inlineStr">
        <is>
          <t>33.9 (▼0.2)</t>
        </is>
      </c>
      <c r="I336" t="n">
        <v>158</v>
      </c>
      <c r="J336" t="inlineStr">
        <is>
          <t>56 / 102</t>
        </is>
      </c>
      <c r="K336" s="9" t="inlineStr">
        <is>
          <t>53% (▼2%)</t>
        </is>
      </c>
    </row>
    <row r="337">
      <c r="A337" s="8" t="inlineStr">
        <is>
          <t>336 (▲1)</t>
        </is>
      </c>
      <c r="B337" t="inlineStr">
        <is>
          <t>Annabelle Chen</t>
        </is>
      </c>
      <c r="C337" t="n">
        <v>2013</v>
      </c>
      <c r="D337" s="7" t="inlineStr">
        <is>
          <t>203.34</t>
        </is>
      </c>
      <c r="E337" s="7" t="inlineStr">
        <is>
          <t>7</t>
        </is>
      </c>
      <c r="F337" t="inlineStr">
        <is>
          <t>British Columbia</t>
        </is>
      </c>
      <c r="G337" t="inlineStr">
        <is>
          <t>UBC Tennis Centre</t>
        </is>
      </c>
      <c r="H337" s="7" t="inlineStr">
        <is>
          <t>31.9</t>
        </is>
      </c>
      <c r="I337" t="n">
        <v>152</v>
      </c>
      <c r="J337" t="inlineStr">
        <is>
          <t>84 / 68</t>
        </is>
      </c>
      <c r="K337" s="7" t="inlineStr">
        <is>
          <t>0%</t>
        </is>
      </c>
    </row>
    <row r="338">
      <c r="A338" s="8" t="inlineStr">
        <is>
          <t>337 (▲1)</t>
        </is>
      </c>
      <c r="B338" t="inlineStr">
        <is>
          <t>Alice Laganière</t>
        </is>
      </c>
      <c r="C338" t="n">
        <v>2013</v>
      </c>
      <c r="D338" s="7" t="inlineStr">
        <is>
          <t>202.69</t>
        </is>
      </c>
      <c r="E338" s="9" t="inlineStr">
        <is>
          <t>10 (-1)</t>
        </is>
      </c>
      <c r="F338" t="inlineStr">
        <is>
          <t>Tennis Québec</t>
        </is>
      </c>
      <c r="G338" t="inlineStr">
        <is>
          <t>Club de tennis intérieur Saguenay / École de tennis Delisle-Poirel</t>
        </is>
      </c>
      <c r="H338" s="7" t="inlineStr">
        <is>
          <t>35.0</t>
        </is>
      </c>
      <c r="I338" t="n">
        <v>41</v>
      </c>
      <c r="J338" t="inlineStr">
        <is>
          <t>13 / 28</t>
        </is>
      </c>
      <c r="K338" s="7" t="inlineStr">
        <is>
          <t>11%</t>
        </is>
      </c>
    </row>
    <row r="339">
      <c r="A339" s="8" t="inlineStr">
        <is>
          <t>338 (▲1)</t>
        </is>
      </c>
      <c r="B339" t="inlineStr">
        <is>
          <t>Ophélia Carbonneau</t>
        </is>
      </c>
      <c r="C339" t="n">
        <v>2013</v>
      </c>
      <c r="D339" s="7" t="inlineStr">
        <is>
          <t>200.85</t>
        </is>
      </c>
      <c r="E339" s="7" t="inlineStr">
        <is>
          <t>17</t>
        </is>
      </c>
      <c r="F339" t="inlineStr">
        <is>
          <t>Tennis Québec</t>
        </is>
      </c>
      <c r="G339" t="inlineStr">
        <is>
          <t>Tennis Interclub Piedmont</t>
        </is>
      </c>
      <c r="H339" s="7" t="inlineStr">
        <is>
          <t>35.8</t>
        </is>
      </c>
      <c r="I339" t="n">
        <v>109</v>
      </c>
      <c r="J339" t="inlineStr">
        <is>
          <t>31 / 78</t>
        </is>
      </c>
      <c r="K339" s="7" t="inlineStr">
        <is>
          <t>32%</t>
        </is>
      </c>
    </row>
    <row r="340">
      <c r="A340" s="8" t="inlineStr">
        <is>
          <t>339 (▲22)</t>
        </is>
      </c>
      <c r="B340" t="inlineStr">
        <is>
          <t>Ella Nicolaeva</t>
        </is>
      </c>
      <c r="C340" t="n">
        <v>2017</v>
      </c>
      <c r="D340" s="8" t="inlineStr">
        <is>
          <t>200.26 (▲21.80)</t>
        </is>
      </c>
      <c r="E340" s="7" t="inlineStr">
        <is>
          <t>41</t>
        </is>
      </c>
      <c r="F340" t="inlineStr">
        <is>
          <t>Ontario Tennis Association</t>
        </is>
      </c>
      <c r="G340" t="inlineStr">
        <is>
          <t>Valan Tennis Academy</t>
        </is>
      </c>
      <c r="H340" s="8" t="inlineStr">
        <is>
          <t>32.3 (▲0.6)</t>
        </is>
      </c>
      <c r="I340" t="n">
        <v>198</v>
      </c>
      <c r="J340" t="inlineStr">
        <is>
          <t>138 / 60</t>
        </is>
      </c>
      <c r="K340" s="8" t="inlineStr">
        <is>
          <t>62% (▲1%)</t>
        </is>
      </c>
    </row>
    <row r="341">
      <c r="A341" s="8" t="inlineStr">
        <is>
          <t>340 (▲1)</t>
        </is>
      </c>
      <c r="B341" t="inlineStr">
        <is>
          <t>Mariah Jorge-Eman</t>
        </is>
      </c>
      <c r="C341" t="n">
        <v>2014</v>
      </c>
      <c r="D341" s="7" t="inlineStr">
        <is>
          <t>198.75</t>
        </is>
      </c>
      <c r="E341" s="7" t="inlineStr">
        <is>
          <t>20</t>
        </is>
      </c>
      <c r="F341" t="inlineStr">
        <is>
          <t>Ontario Tennis Association</t>
        </is>
      </c>
      <c r="G341" t="inlineStr">
        <is>
          <t>Premier Racquet Clubs – Mississauga</t>
        </is>
      </c>
      <c r="H341" s="7" t="inlineStr">
        <is>
          <t>33.6</t>
        </is>
      </c>
      <c r="I341" t="n">
        <v>107</v>
      </c>
      <c r="J341" t="inlineStr">
        <is>
          <t>51 / 56</t>
        </is>
      </c>
      <c r="K341" s="7" t="inlineStr">
        <is>
          <t>53%</t>
        </is>
      </c>
    </row>
    <row r="342">
      <c r="A342" s="8" t="inlineStr">
        <is>
          <t>341 (▲1)</t>
        </is>
      </c>
      <c r="B342" t="inlineStr">
        <is>
          <t>Eliza Willow Nguyen</t>
        </is>
      </c>
      <c r="C342" t="n">
        <v>2013</v>
      </c>
      <c r="D342" s="7" t="inlineStr">
        <is>
          <t>198.07</t>
        </is>
      </c>
      <c r="E342" s="7" t="inlineStr">
        <is>
          <t>11</t>
        </is>
      </c>
      <c r="F342" t="inlineStr">
        <is>
          <t>Tennis Alberta</t>
        </is>
      </c>
      <c r="G342" t="inlineStr">
        <is>
          <t>Saville Community Sports Centre</t>
        </is>
      </c>
      <c r="H342" s="7" t="inlineStr">
        <is>
          <t>33.1</t>
        </is>
      </c>
      <c r="I342" t="n">
        <v>143</v>
      </c>
      <c r="J342" t="inlineStr">
        <is>
          <t>66 / 77</t>
        </is>
      </c>
      <c r="K342" s="7" t="inlineStr">
        <is>
          <t>43%</t>
        </is>
      </c>
    </row>
    <row r="343">
      <c r="A343" s="9" t="inlineStr">
        <is>
          <t>342 (▼118)</t>
        </is>
      </c>
      <c r="B343" t="inlineStr">
        <is>
          <t>Meika Sebastian</t>
        </is>
      </c>
      <c r="C343" t="n">
        <v>2012</v>
      </c>
      <c r="D343" s="9" t="inlineStr">
        <is>
          <t>197.95 (▼186.00)</t>
        </is>
      </c>
      <c r="E343" s="9" t="inlineStr">
        <is>
          <t>5 (-1)</t>
        </is>
      </c>
      <c r="F343" t="inlineStr">
        <is>
          <t>Ontario Tennis Association</t>
        </is>
      </c>
      <c r="G343" t="inlineStr">
        <is>
          <t>City of Kingston</t>
        </is>
      </c>
      <c r="H343" s="7" t="inlineStr">
        <is>
          <t>24.7</t>
        </is>
      </c>
      <c r="I343" t="n">
        <v>287</v>
      </c>
      <c r="J343" t="inlineStr">
        <is>
          <t>147 / 140</t>
        </is>
      </c>
      <c r="K343" s="7" t="inlineStr">
        <is>
          <t>0%</t>
        </is>
      </c>
    </row>
    <row r="344">
      <c r="A344" s="8" t="inlineStr">
        <is>
          <t>343 (▲76)</t>
        </is>
      </c>
      <c r="B344" t="inlineStr">
        <is>
          <t>Sophia Hamel</t>
        </is>
      </c>
      <c r="C344" t="n">
        <v>2012</v>
      </c>
      <c r="D344" s="8" t="inlineStr">
        <is>
          <t>196.01 (▲60.68)</t>
        </is>
      </c>
      <c r="E344" s="8" t="inlineStr">
        <is>
          <t>10 (+1)</t>
        </is>
      </c>
      <c r="F344" t="inlineStr">
        <is>
          <t>Tennis Québec</t>
        </is>
      </c>
      <c r="G344" t="inlineStr">
        <is>
          <t>Rouge et Or - Université Laval</t>
        </is>
      </c>
      <c r="H344" s="8" t="inlineStr">
        <is>
          <t>34.1 (▲0.9)</t>
        </is>
      </c>
      <c r="I344" t="n">
        <v>75</v>
      </c>
      <c r="J344" t="inlineStr">
        <is>
          <t>18 / 57</t>
        </is>
      </c>
      <c r="K344" s="8" t="inlineStr">
        <is>
          <t>43% (▲9%)</t>
        </is>
      </c>
    </row>
    <row r="345">
      <c r="A345" s="9" t="inlineStr">
        <is>
          <t>344 (▼1)</t>
        </is>
      </c>
      <c r="B345" t="inlineStr">
        <is>
          <t>Ella Meng</t>
        </is>
      </c>
      <c r="C345" t="n">
        <v>2014</v>
      </c>
      <c r="D345" s="7" t="inlineStr">
        <is>
          <t>194.53</t>
        </is>
      </c>
      <c r="E345" s="7" t="inlineStr">
        <is>
          <t>13</t>
        </is>
      </c>
      <c r="F345" t="inlineStr">
        <is>
          <t>Ontario Tennis Association</t>
        </is>
      </c>
      <c r="G345" t="inlineStr">
        <is>
          <t>Marilyn Redvers Tennis Club</t>
        </is>
      </c>
      <c r="H345" s="7" t="inlineStr">
        <is>
          <t>33.7</t>
        </is>
      </c>
      <c r="I345" t="n">
        <v>85</v>
      </c>
      <c r="J345" t="inlineStr">
        <is>
          <t>30 / 55</t>
        </is>
      </c>
      <c r="K345" s="7" t="inlineStr">
        <is>
          <t>46%</t>
        </is>
      </c>
    </row>
    <row r="346">
      <c r="A346" s="9" t="inlineStr">
        <is>
          <t>345 (▼1)</t>
        </is>
      </c>
      <c r="B346" t="inlineStr">
        <is>
          <t>Carys Miles</t>
        </is>
      </c>
      <c r="C346" t="n">
        <v>2012</v>
      </c>
      <c r="D346" s="7" t="inlineStr">
        <is>
          <t>194.32</t>
        </is>
      </c>
      <c r="E346" s="9" t="inlineStr">
        <is>
          <t>13 (-1)</t>
        </is>
      </c>
      <c r="F346" t="inlineStr">
        <is>
          <t>Tennis Alberta</t>
        </is>
      </c>
      <c r="G346" t="inlineStr">
        <is>
          <t>Osten &amp; Victor Alberta Tennis Centre</t>
        </is>
      </c>
      <c r="H346" s="7" t="inlineStr">
        <is>
          <t>31.0</t>
        </is>
      </c>
      <c r="I346" t="n">
        <v>200</v>
      </c>
      <c r="J346" t="inlineStr">
        <is>
          <t>98 / 102</t>
        </is>
      </c>
      <c r="K346" s="7" t="inlineStr">
        <is>
          <t>31%</t>
        </is>
      </c>
    </row>
    <row r="347">
      <c r="A347" s="9" t="inlineStr">
        <is>
          <t>346 (▼1)</t>
        </is>
      </c>
      <c r="B347" t="inlineStr">
        <is>
          <t>Emma Echeverri Vujicic</t>
        </is>
      </c>
      <c r="C347" t="n">
        <v>2015</v>
      </c>
      <c r="D347" s="7" t="inlineStr">
        <is>
          <t>194.24</t>
        </is>
      </c>
      <c r="E347" s="9" t="inlineStr">
        <is>
          <t>21 (-1)</t>
        </is>
      </c>
      <c r="F347" t="inlineStr">
        <is>
          <t>Ontario Tennis Association</t>
        </is>
      </c>
      <c r="G347" t="inlineStr">
        <is>
          <t>Mayfair West Fitness &amp; Racquet Club</t>
        </is>
      </c>
      <c r="H347" s="7" t="inlineStr">
        <is>
          <t>33.6</t>
        </is>
      </c>
      <c r="I347" t="n">
        <v>133</v>
      </c>
      <c r="J347" t="inlineStr">
        <is>
          <t>64 / 69</t>
        </is>
      </c>
      <c r="K347" s="7" t="inlineStr">
        <is>
          <t>62%</t>
        </is>
      </c>
    </row>
    <row r="348">
      <c r="A348" s="9" t="inlineStr">
        <is>
          <t>347 (▼1)</t>
        </is>
      </c>
      <c r="B348" t="inlineStr">
        <is>
          <t>Nadia Stuparyk</t>
        </is>
      </c>
      <c r="C348" t="n">
        <v>2014</v>
      </c>
      <c r="D348" s="7" t="inlineStr">
        <is>
          <t>193.25</t>
        </is>
      </c>
      <c r="E348" s="9" t="inlineStr">
        <is>
          <t>34 (-1)</t>
        </is>
      </c>
      <c r="F348" t="inlineStr">
        <is>
          <t>Ontario Tennis Association</t>
        </is>
      </c>
      <c r="G348" t="inlineStr">
        <is>
          <t>Parkside Tennis Club</t>
        </is>
      </c>
      <c r="H348" s="7" t="inlineStr">
        <is>
          <t>32.8</t>
        </is>
      </c>
      <c r="I348" t="n">
        <v>193</v>
      </c>
      <c r="J348" t="inlineStr">
        <is>
          <t>93 / 100</t>
        </is>
      </c>
      <c r="K348" s="7" t="inlineStr">
        <is>
          <t>54%</t>
        </is>
      </c>
    </row>
    <row r="349">
      <c r="A349" s="7" t="inlineStr">
        <is>
          <t>348</t>
        </is>
      </c>
      <c r="B349" t="inlineStr">
        <is>
          <t>Sahana Bath</t>
        </is>
      </c>
      <c r="C349" t="n">
        <v>2014</v>
      </c>
      <c r="D349" s="7" t="inlineStr">
        <is>
          <t>191.28</t>
        </is>
      </c>
      <c r="E349" s="7" t="inlineStr">
        <is>
          <t>24</t>
        </is>
      </c>
      <c r="F349" t="inlineStr">
        <is>
          <t>British Columbia</t>
        </is>
      </c>
      <c r="G349" t="inlineStr">
        <is>
          <t>The Tennis Centre</t>
        </is>
      </c>
      <c r="H349" s="7" t="inlineStr">
        <is>
          <t>30.9</t>
        </is>
      </c>
      <c r="I349" t="n">
        <v>183</v>
      </c>
      <c r="J349" t="inlineStr">
        <is>
          <t>106 / 77</t>
        </is>
      </c>
      <c r="K349" s="7" t="inlineStr">
        <is>
          <t>68%</t>
        </is>
      </c>
    </row>
    <row r="350">
      <c r="A350" s="9" t="inlineStr">
        <is>
          <t>349 (▼49)</t>
        </is>
      </c>
      <c r="B350" t="inlineStr">
        <is>
          <t>Sophia Zhang</t>
        </is>
      </c>
      <c r="C350" t="n">
        <v>2012</v>
      </c>
      <c r="D350" s="9" t="inlineStr">
        <is>
          <t>190.16 (▼52.62)</t>
        </is>
      </c>
      <c r="E350" s="9" t="inlineStr">
        <is>
          <t>8 (-1)</t>
        </is>
      </c>
      <c r="F350" t="inlineStr">
        <is>
          <t>British Columbia</t>
        </is>
      </c>
      <c r="G350" t="inlineStr">
        <is>
          <t>Richmond Country Club</t>
        </is>
      </c>
      <c r="H350" s="7" t="inlineStr">
        <is>
          <t>33.7</t>
        </is>
      </c>
      <c r="I350" t="n">
        <v>122</v>
      </c>
      <c r="J350" t="inlineStr">
        <is>
          <t>33 / 89</t>
        </is>
      </c>
      <c r="K350" s="7" t="inlineStr">
        <is>
          <t>8%</t>
        </is>
      </c>
    </row>
    <row r="351">
      <c r="A351" s="9" t="inlineStr">
        <is>
          <t>350 (▼1)</t>
        </is>
      </c>
      <c r="B351" t="inlineStr">
        <is>
          <t>Emily Zheng</t>
        </is>
      </c>
      <c r="C351" t="n">
        <v>2016</v>
      </c>
      <c r="D351" s="7" t="inlineStr">
        <is>
          <t>190.03</t>
        </is>
      </c>
      <c r="E351" s="7" t="inlineStr">
        <is>
          <t>25</t>
        </is>
      </c>
      <c r="F351" t="inlineStr">
        <is>
          <t>Ontario Tennis Association</t>
        </is>
      </c>
      <c r="G351" t="inlineStr">
        <is>
          <t>Toronto Cricket Skating &amp; Curling</t>
        </is>
      </c>
      <c r="H351" s="7" t="inlineStr">
        <is>
          <t>33.0</t>
        </is>
      </c>
      <c r="I351" t="n">
        <v>110</v>
      </c>
      <c r="J351" t="inlineStr">
        <is>
          <t>45 / 65</t>
        </is>
      </c>
      <c r="K351" s="7" t="inlineStr">
        <is>
          <t>62%</t>
        </is>
      </c>
    </row>
    <row r="352">
      <c r="A352" s="9" t="inlineStr">
        <is>
          <t>351 (▼1)</t>
        </is>
      </c>
      <c r="B352" t="inlineStr">
        <is>
          <t>GURMEHR KAUR</t>
        </is>
      </c>
      <c r="C352" t="n">
        <v>2012</v>
      </c>
      <c r="D352" s="7" t="inlineStr">
        <is>
          <t>189.25</t>
        </is>
      </c>
      <c r="E352" s="7" t="inlineStr">
        <is>
          <t>19</t>
        </is>
      </c>
      <c r="F352" t="inlineStr">
        <is>
          <t>British Columbia</t>
        </is>
      </c>
      <c r="G352" t="inlineStr">
        <is>
          <t>Newton Tennis Club</t>
        </is>
      </c>
      <c r="H352" s="7" t="inlineStr">
        <is>
          <t>32.3</t>
        </is>
      </c>
      <c r="I352" t="n">
        <v>180</v>
      </c>
      <c r="J352" t="inlineStr">
        <is>
          <t>78 / 102</t>
        </is>
      </c>
      <c r="K352" s="7" t="inlineStr">
        <is>
          <t>44%</t>
        </is>
      </c>
    </row>
    <row r="353">
      <c r="A353" s="9" t="inlineStr">
        <is>
          <t>352 (▼1)</t>
        </is>
      </c>
      <c r="B353" t="inlineStr">
        <is>
          <t>Olivia Ormandy</t>
        </is>
      </c>
      <c r="C353" t="n">
        <v>2015</v>
      </c>
      <c r="D353" s="8" t="inlineStr">
        <is>
          <t>188.97 (▲1.26)</t>
        </is>
      </c>
      <c r="E353" s="8" t="inlineStr">
        <is>
          <t>26 (+1)</t>
        </is>
      </c>
      <c r="F353" t="inlineStr">
        <is>
          <t>Tennis Québec</t>
        </is>
      </c>
      <c r="G353" t="inlineStr">
        <is>
          <t>Tennis Interclub Piedmont</t>
        </is>
      </c>
      <c r="H353" s="8" t="inlineStr">
        <is>
          <t>32.7 (▲0.5)</t>
        </is>
      </c>
      <c r="I353" t="n">
        <v>200</v>
      </c>
      <c r="J353" t="inlineStr">
        <is>
          <t>98 / 102</t>
        </is>
      </c>
      <c r="K353" s="9" t="inlineStr">
        <is>
          <t>48% (▼2%)</t>
        </is>
      </c>
    </row>
    <row r="354">
      <c r="A354" s="8" t="inlineStr">
        <is>
          <t>353 (▲23)</t>
        </is>
      </c>
      <c r="B354" t="inlineStr">
        <is>
          <t>Amaranna Ugwunze</t>
        </is>
      </c>
      <c r="C354" t="n">
        <v>2016</v>
      </c>
      <c r="D354" s="8" t="inlineStr">
        <is>
          <t>185.06 (▲15.00)</t>
        </is>
      </c>
      <c r="E354" s="8" t="inlineStr">
        <is>
          <t>22 (+1)</t>
        </is>
      </c>
      <c r="F354" t="inlineStr">
        <is>
          <t>Ontario Tennis Association</t>
        </is>
      </c>
      <c r="G354" t="inlineStr">
        <is>
          <t>Ontario Racquet Club</t>
        </is>
      </c>
      <c r="H354" s="8" t="inlineStr">
        <is>
          <t>33.8 (▲0.3)</t>
        </is>
      </c>
      <c r="I354" t="n">
        <v>99</v>
      </c>
      <c r="J354" t="inlineStr">
        <is>
          <t>52 / 47</t>
        </is>
      </c>
      <c r="K354" s="8" t="inlineStr">
        <is>
          <t>60% (▲2%)</t>
        </is>
      </c>
    </row>
    <row r="355">
      <c r="A355" s="9" t="inlineStr">
        <is>
          <t>354 (▼2)</t>
        </is>
      </c>
      <c r="B355" t="inlineStr">
        <is>
          <t>Alysha Alexis</t>
        </is>
      </c>
      <c r="C355" t="n">
        <v>2013</v>
      </c>
      <c r="D355" s="7" t="inlineStr">
        <is>
          <t>185.03</t>
        </is>
      </c>
      <c r="E355" s="7" t="inlineStr">
        <is>
          <t>17</t>
        </is>
      </c>
      <c r="F355" t="inlineStr">
        <is>
          <t>Tennis Québec</t>
        </is>
      </c>
      <c r="G355" t="inlineStr">
        <is>
          <t>Académie Tennis Momentum (club extérieur)</t>
        </is>
      </c>
      <c r="H355" s="7" t="inlineStr">
        <is>
          <t>33.9</t>
        </is>
      </c>
      <c r="I355" t="n">
        <v>68</v>
      </c>
      <c r="J355" t="inlineStr">
        <is>
          <t>32 / 36</t>
        </is>
      </c>
      <c r="K355" s="7" t="inlineStr">
        <is>
          <t>50%</t>
        </is>
      </c>
    </row>
    <row r="356">
      <c r="A356" s="8" t="inlineStr">
        <is>
          <t>355 (▲8)</t>
        </is>
      </c>
      <c r="B356" t="inlineStr">
        <is>
          <t>Hunter Anne Wilkinson</t>
        </is>
      </c>
      <c r="C356" t="n">
        <v>2014</v>
      </c>
      <c r="D356" s="8" t="inlineStr">
        <is>
          <t>184.97 (▲7.20)</t>
        </is>
      </c>
      <c r="E356" s="7" t="inlineStr">
        <is>
          <t>19</t>
        </is>
      </c>
      <c r="F356" t="inlineStr">
        <is>
          <t>Ontario Tennis Association</t>
        </is>
      </c>
      <c r="G356" t="inlineStr">
        <is>
          <t>GSM Tennis Club</t>
        </is>
      </c>
      <c r="H356" s="8" t="inlineStr">
        <is>
          <t>33.5 (▲0.5)</t>
        </is>
      </c>
      <c r="I356" t="n">
        <v>191</v>
      </c>
      <c r="J356" t="inlineStr">
        <is>
          <t>92 / 99</t>
        </is>
      </c>
      <c r="K356" s="8" t="inlineStr">
        <is>
          <t>48% (▲1%)</t>
        </is>
      </c>
    </row>
    <row r="357">
      <c r="A357" s="9" t="inlineStr">
        <is>
          <t>356 (▼3)</t>
        </is>
      </c>
      <c r="B357" t="inlineStr">
        <is>
          <t>Mila Alexandra Voros</t>
        </is>
      </c>
      <c r="C357" t="n">
        <v>2014</v>
      </c>
      <c r="D357" s="7" t="inlineStr">
        <is>
          <t>184.41</t>
        </is>
      </c>
      <c r="E357" s="9" t="inlineStr">
        <is>
          <t>13 (-1)</t>
        </is>
      </c>
      <c r="F357" t="inlineStr">
        <is>
          <t>Ontario Tennis Association</t>
        </is>
      </c>
      <c r="G357" t="inlineStr">
        <is>
          <t>GSM Tennis Club</t>
        </is>
      </c>
      <c r="H357" s="7" t="inlineStr">
        <is>
          <t>34.8</t>
        </is>
      </c>
      <c r="I357" t="n">
        <v>138</v>
      </c>
      <c r="J357" t="inlineStr">
        <is>
          <t>58 / 80</t>
        </is>
      </c>
      <c r="K357" s="7" t="inlineStr">
        <is>
          <t>28%</t>
        </is>
      </c>
    </row>
    <row r="358">
      <c r="A358" s="9" t="inlineStr">
        <is>
          <t>357 (▼3)</t>
        </is>
      </c>
      <c r="B358" t="inlineStr">
        <is>
          <t>Amelia Rogette Hinnawi</t>
        </is>
      </c>
      <c r="C358" t="n">
        <v>2014</v>
      </c>
      <c r="D358" s="7" t="inlineStr">
        <is>
          <t>184.21</t>
        </is>
      </c>
      <c r="E358" s="7" t="inlineStr">
        <is>
          <t>21</t>
        </is>
      </c>
      <c r="F358" t="inlineStr">
        <is>
          <t>Tennis Québec</t>
        </is>
      </c>
      <c r="G358" t="inlineStr">
        <is>
          <t>Tennis Ile- des- Soeurs</t>
        </is>
      </c>
      <c r="H358" s="7" t="inlineStr">
        <is>
          <t>unavailable</t>
        </is>
      </c>
      <c r="I358" t="n">
        <v>141</v>
      </c>
      <c r="J358" t="inlineStr">
        <is>
          <t>44 / 97</t>
        </is>
      </c>
      <c r="K358" s="7" t="inlineStr">
        <is>
          <t>36%</t>
        </is>
      </c>
    </row>
    <row r="359">
      <c r="A359" s="9" t="inlineStr">
        <is>
          <t>358 (▼3)</t>
        </is>
      </c>
      <c r="B359" t="inlineStr">
        <is>
          <t>Kate Penalba</t>
        </is>
      </c>
      <c r="C359" t="n">
        <v>2013</v>
      </c>
      <c r="D359" s="7" t="inlineStr">
        <is>
          <t>182.60</t>
        </is>
      </c>
      <c r="E359" s="7" t="inlineStr">
        <is>
          <t>16</t>
        </is>
      </c>
      <c r="F359" t="inlineStr">
        <is>
          <t>Ontario Tennis Association</t>
        </is>
      </c>
      <c r="G359" t="inlineStr">
        <is>
          <t>No Club</t>
        </is>
      </c>
      <c r="H359" s="7" t="inlineStr">
        <is>
          <t>34.6</t>
        </is>
      </c>
      <c r="I359" t="n">
        <v>133</v>
      </c>
      <c r="J359" t="inlineStr">
        <is>
          <t>53 / 80</t>
        </is>
      </c>
      <c r="K359" s="7" t="inlineStr">
        <is>
          <t>36%</t>
        </is>
      </c>
    </row>
    <row r="360">
      <c r="A360" s="8" t="inlineStr">
        <is>
          <t>359 (▲112)</t>
        </is>
      </c>
      <c r="B360" t="inlineStr">
        <is>
          <t>aashka vishal devaiya</t>
        </is>
      </c>
      <c r="C360" t="n">
        <v>2012</v>
      </c>
      <c r="D360" s="8" t="inlineStr">
        <is>
          <t>182.04 (▲81.22)</t>
        </is>
      </c>
      <c r="E360" s="8" t="inlineStr">
        <is>
          <t>2 (+1)</t>
        </is>
      </c>
      <c r="F360" t="inlineStr">
        <is>
          <t>British Columbia</t>
        </is>
      </c>
      <c r="G360" t="inlineStr">
        <is>
          <t>No Club</t>
        </is>
      </c>
      <c r="H360" s="7" t="inlineStr">
        <is>
          <t>unavailable</t>
        </is>
      </c>
      <c r="I360" t="n">
        <v>5</v>
      </c>
      <c r="J360" t="inlineStr">
        <is>
          <t>3 / 2</t>
        </is>
      </c>
      <c r="K360" s="9" t="inlineStr">
        <is>
          <t>60% (▼7%)</t>
        </is>
      </c>
    </row>
    <row r="361">
      <c r="A361" s="9" t="inlineStr">
        <is>
          <t>360 (▼4)</t>
        </is>
      </c>
      <c r="B361" t="inlineStr">
        <is>
          <t>Victoria Pellerin</t>
        </is>
      </c>
      <c r="C361" t="n">
        <v>2013</v>
      </c>
      <c r="D361" s="7" t="inlineStr">
        <is>
          <t>181.26</t>
        </is>
      </c>
      <c r="E361" s="7" t="inlineStr">
        <is>
          <t>15</t>
        </is>
      </c>
      <c r="F361" t="inlineStr">
        <is>
          <t>Tennis Québec</t>
        </is>
      </c>
      <c r="G361" t="inlineStr">
        <is>
          <t>Centre récréatif de Repentigny / Académie Tennis Momentum</t>
        </is>
      </c>
      <c r="H361" s="7" t="inlineStr">
        <is>
          <t>36.6</t>
        </is>
      </c>
      <c r="I361" t="n">
        <v>58</v>
      </c>
      <c r="J361" t="inlineStr">
        <is>
          <t>16 / 42</t>
        </is>
      </c>
      <c r="K361" s="7" t="inlineStr">
        <is>
          <t>22%</t>
        </is>
      </c>
    </row>
    <row r="362">
      <c r="A362" s="9" t="inlineStr">
        <is>
          <t>361 (▼4)</t>
        </is>
      </c>
      <c r="B362" t="inlineStr">
        <is>
          <t>Gabrielle Siewe Meliatou</t>
        </is>
      </c>
      <c r="C362" t="n">
        <v>2012</v>
      </c>
      <c r="D362" s="7" t="inlineStr">
        <is>
          <t>179.97</t>
        </is>
      </c>
      <c r="E362" s="7" t="inlineStr">
        <is>
          <t>13</t>
        </is>
      </c>
      <c r="F362" t="inlineStr">
        <is>
          <t>Tennis Québec</t>
        </is>
      </c>
      <c r="G362" t="inlineStr">
        <is>
          <t>SANI Sport</t>
        </is>
      </c>
      <c r="H362" s="7" t="inlineStr">
        <is>
          <t>35.4</t>
        </is>
      </c>
      <c r="I362" t="n">
        <v>78</v>
      </c>
      <c r="J362" t="inlineStr">
        <is>
          <t>24 / 54</t>
        </is>
      </c>
      <c r="K362" s="7" t="inlineStr">
        <is>
          <t>31%</t>
        </is>
      </c>
    </row>
    <row r="363">
      <c r="A363" s="9" t="inlineStr">
        <is>
          <t>362 (▼4)</t>
        </is>
      </c>
      <c r="B363" t="inlineStr">
        <is>
          <t>Jesi Myra Kumaran</t>
        </is>
      </c>
      <c r="C363" t="n">
        <v>2015</v>
      </c>
      <c r="D363" s="7" t="inlineStr">
        <is>
          <t>179.45</t>
        </is>
      </c>
      <c r="E363" s="7" t="inlineStr">
        <is>
          <t>30</t>
        </is>
      </c>
      <c r="F363" t="inlineStr">
        <is>
          <t>Ontario Tennis Association</t>
        </is>
      </c>
      <c r="G363" t="inlineStr">
        <is>
          <t>Valan Tennis Academy</t>
        </is>
      </c>
      <c r="H363" s="7" t="inlineStr">
        <is>
          <t>36.7</t>
        </is>
      </c>
      <c r="I363" t="n">
        <v>196</v>
      </c>
      <c r="J363" t="inlineStr">
        <is>
          <t>69 / 127</t>
        </is>
      </c>
      <c r="K363" s="7" t="inlineStr">
        <is>
          <t>33%</t>
        </is>
      </c>
    </row>
    <row r="364">
      <c r="A364" s="9" t="inlineStr">
        <is>
          <t>363 (▼4)</t>
        </is>
      </c>
      <c r="B364" t="inlineStr">
        <is>
          <t>Kynarra Tayt Burthwright</t>
        </is>
      </c>
      <c r="C364" t="n">
        <v>2015</v>
      </c>
      <c r="D364" s="7" t="inlineStr">
        <is>
          <t>179.39</t>
        </is>
      </c>
      <c r="E364" s="7" t="inlineStr">
        <is>
          <t>28</t>
        </is>
      </c>
      <c r="F364" t="inlineStr">
        <is>
          <t>Ontario Tennis Association</t>
        </is>
      </c>
      <c r="G364" t="inlineStr">
        <is>
          <t>Newmarket Community Tennis Club</t>
        </is>
      </c>
      <c r="H364" s="7" t="inlineStr">
        <is>
          <t>34.5</t>
        </is>
      </c>
      <c r="I364" t="n">
        <v>132</v>
      </c>
      <c r="J364" t="inlineStr">
        <is>
          <t>68 / 64</t>
        </is>
      </c>
      <c r="K364" s="7" t="inlineStr">
        <is>
          <t>50%</t>
        </is>
      </c>
    </row>
    <row r="365">
      <c r="A365" s="9" t="inlineStr">
        <is>
          <t>364 (▼31)</t>
        </is>
      </c>
      <c r="B365" t="inlineStr">
        <is>
          <t>Qianqian (Dora) Zhang</t>
        </is>
      </c>
      <c r="C365" t="n">
        <v>2014</v>
      </c>
      <c r="D365" s="9" t="inlineStr">
        <is>
          <t>178.95 (▼26.64)</t>
        </is>
      </c>
      <c r="E365" s="9" t="inlineStr">
        <is>
          <t>11 (-1)</t>
        </is>
      </c>
      <c r="F365" t="inlineStr">
        <is>
          <t>Ontario Tennis Association</t>
        </is>
      </c>
      <c r="G365" t="inlineStr">
        <is>
          <t>Toronto Tennis City</t>
        </is>
      </c>
      <c r="H365" s="7" t="inlineStr">
        <is>
          <t>33.1</t>
        </is>
      </c>
      <c r="I365" t="n">
        <v>50</v>
      </c>
      <c r="J365" t="inlineStr">
        <is>
          <t>36 / 14</t>
        </is>
      </c>
      <c r="K365" s="7" t="inlineStr">
        <is>
          <t>56%</t>
        </is>
      </c>
    </row>
    <row r="366">
      <c r="A366" s="9" t="inlineStr">
        <is>
          <t>365 (▼5)</t>
        </is>
      </c>
      <c r="B366" t="inlineStr">
        <is>
          <t>Ana Sofia Prieto Echandia</t>
        </is>
      </c>
      <c r="C366" t="n">
        <v>2013</v>
      </c>
      <c r="D366" s="7" t="inlineStr">
        <is>
          <t>178.68</t>
        </is>
      </c>
      <c r="E366" s="7" t="inlineStr">
        <is>
          <t>7</t>
        </is>
      </c>
      <c r="F366" t="inlineStr">
        <is>
          <t>Tennis Québec</t>
        </is>
      </c>
      <c r="G366" t="inlineStr">
        <is>
          <t>Tennis Ile- des- Soeurs</t>
        </is>
      </c>
      <c r="H366" s="9" t="inlineStr">
        <is>
          <t>32.3 (▼0.2)</t>
        </is>
      </c>
      <c r="I366" t="n">
        <v>33</v>
      </c>
      <c r="J366" t="inlineStr">
        <is>
          <t>19 / 14</t>
        </is>
      </c>
      <c r="K366" s="7" t="inlineStr">
        <is>
          <t>25%</t>
        </is>
      </c>
    </row>
    <row r="367">
      <c r="A367" s="9" t="inlineStr">
        <is>
          <t>366 (▼4)</t>
        </is>
      </c>
      <c r="B367" t="inlineStr">
        <is>
          <t>Brielle York</t>
        </is>
      </c>
      <c r="C367" t="n">
        <v>2015</v>
      </c>
      <c r="D367" s="7" t="inlineStr">
        <is>
          <t>177.94</t>
        </is>
      </c>
      <c r="E367" s="7" t="inlineStr">
        <is>
          <t>14</t>
        </is>
      </c>
      <c r="F367" t="inlineStr">
        <is>
          <t>Tennis Alberta</t>
        </is>
      </c>
      <c r="G367" t="inlineStr">
        <is>
          <t>Aforza</t>
        </is>
      </c>
      <c r="H367" s="7" t="inlineStr">
        <is>
          <t>36.3</t>
        </is>
      </c>
      <c r="I367" t="n">
        <v>144</v>
      </c>
      <c r="J367" t="inlineStr">
        <is>
          <t>68 / 76</t>
        </is>
      </c>
      <c r="K367" s="7" t="inlineStr">
        <is>
          <t>38%</t>
        </is>
      </c>
    </row>
    <row r="368">
      <c r="A368" s="9" t="inlineStr">
        <is>
          <t>367 (▼3)</t>
        </is>
      </c>
      <c r="B368" t="inlineStr">
        <is>
          <t>Sabrina Sajjad</t>
        </is>
      </c>
      <c r="C368" t="n">
        <v>2012</v>
      </c>
      <c r="D368" s="7" t="inlineStr">
        <is>
          <t>177.75</t>
        </is>
      </c>
      <c r="E368" s="7" t="inlineStr">
        <is>
          <t>15</t>
        </is>
      </c>
      <c r="F368" t="inlineStr">
        <is>
          <t>Ontario Tennis Association</t>
        </is>
      </c>
      <c r="G368" t="inlineStr">
        <is>
          <t>No Club</t>
        </is>
      </c>
      <c r="H368" s="7" t="inlineStr">
        <is>
          <t>34.1</t>
        </is>
      </c>
      <c r="I368" t="n">
        <v>71</v>
      </c>
      <c r="J368" t="inlineStr">
        <is>
          <t>36 / 35</t>
        </is>
      </c>
      <c r="K368" s="7" t="inlineStr">
        <is>
          <t>45%</t>
        </is>
      </c>
    </row>
    <row r="369">
      <c r="A369" s="9" t="inlineStr">
        <is>
          <t>368 (▼3)</t>
        </is>
      </c>
      <c r="B369" t="inlineStr">
        <is>
          <t>Renée Jugalbot</t>
        </is>
      </c>
      <c r="C369" t="n">
        <v>2013</v>
      </c>
      <c r="D369" s="7" t="inlineStr">
        <is>
          <t>176.74</t>
        </is>
      </c>
      <c r="E369" s="7" t="inlineStr">
        <is>
          <t>27</t>
        </is>
      </c>
      <c r="F369" t="inlineStr">
        <is>
          <t>Ontario Tennis Association</t>
        </is>
      </c>
      <c r="G369" t="inlineStr">
        <is>
          <t>Rosedale Tennis Club (Hamilton)</t>
        </is>
      </c>
      <c r="H369" s="7" t="inlineStr">
        <is>
          <t>35.8</t>
        </is>
      </c>
      <c r="I369" t="n">
        <v>92</v>
      </c>
      <c r="J369" t="inlineStr">
        <is>
          <t>37 / 55</t>
        </is>
      </c>
      <c r="K369" s="7" t="inlineStr">
        <is>
          <t>40%</t>
        </is>
      </c>
    </row>
    <row r="370">
      <c r="A370" s="9" t="inlineStr">
        <is>
          <t>369 (▼3)</t>
        </is>
      </c>
      <c r="B370" t="inlineStr">
        <is>
          <t>Charlianne Grace Kiss</t>
        </is>
      </c>
      <c r="C370" t="n">
        <v>2012</v>
      </c>
      <c r="D370" s="7" t="inlineStr">
        <is>
          <t>176.12</t>
        </is>
      </c>
      <c r="E370" s="8" t="inlineStr">
        <is>
          <t>11 (+1)</t>
        </is>
      </c>
      <c r="F370" t="inlineStr">
        <is>
          <t>Tennis Alberta</t>
        </is>
      </c>
      <c r="G370" t="inlineStr">
        <is>
          <t>Saville Community Sports Centre</t>
        </is>
      </c>
      <c r="H370" s="8" t="inlineStr">
        <is>
          <t>34.5 (▲0.9)</t>
        </is>
      </c>
      <c r="I370" t="n">
        <v>78</v>
      </c>
      <c r="J370" t="inlineStr">
        <is>
          <t>30 / 48</t>
        </is>
      </c>
      <c r="K370" s="8" t="inlineStr">
        <is>
          <t>40% (▲3%)</t>
        </is>
      </c>
    </row>
    <row r="371">
      <c r="A371" s="8" t="inlineStr">
        <is>
          <t>370 (▲7)</t>
        </is>
      </c>
      <c r="B371" t="inlineStr">
        <is>
          <t>Allison Penev</t>
        </is>
      </c>
      <c r="C371" t="n">
        <v>2015</v>
      </c>
      <c r="D371" s="8" t="inlineStr">
        <is>
          <t>174.89 (▲5.47)</t>
        </is>
      </c>
      <c r="E371" s="8" t="inlineStr">
        <is>
          <t>21 (+1)</t>
        </is>
      </c>
      <c r="F371" t="inlineStr">
        <is>
          <t>Tennis Québec</t>
        </is>
      </c>
      <c r="G371" t="inlineStr">
        <is>
          <t>Carrefour Multisports</t>
        </is>
      </c>
      <c r="H371" s="9" t="inlineStr">
        <is>
          <t>36.0 (▼0.1)</t>
        </is>
      </c>
      <c r="I371" t="n">
        <v>156</v>
      </c>
      <c r="J371" t="inlineStr">
        <is>
          <t>66 / 90</t>
        </is>
      </c>
      <c r="K371" s="7" t="inlineStr">
        <is>
          <t>28%</t>
        </is>
      </c>
    </row>
    <row r="372">
      <c r="A372" s="9" t="inlineStr">
        <is>
          <t>371 (▼4)</t>
        </is>
      </c>
      <c r="B372" t="inlineStr">
        <is>
          <t>Angelica Rose Spyrka</t>
        </is>
      </c>
      <c r="C372" t="n">
        <v>2012</v>
      </c>
      <c r="D372" s="7" t="inlineStr">
        <is>
          <t>173.42</t>
        </is>
      </c>
      <c r="E372" s="9" t="inlineStr">
        <is>
          <t>10 (-1)</t>
        </is>
      </c>
      <c r="F372" t="inlineStr">
        <is>
          <t>British Columbia</t>
        </is>
      </c>
      <c r="G372" t="inlineStr">
        <is>
          <t>Vanguard Tennis Academy</t>
        </is>
      </c>
      <c r="H372" s="7" t="inlineStr">
        <is>
          <t>33.3</t>
        </is>
      </c>
      <c r="I372" t="n">
        <v>74</v>
      </c>
      <c r="J372" t="inlineStr">
        <is>
          <t>32 / 42</t>
        </is>
      </c>
      <c r="K372" s="7" t="inlineStr">
        <is>
          <t>38%</t>
        </is>
      </c>
    </row>
    <row r="373">
      <c r="A373" s="9" t="inlineStr">
        <is>
          <t>372 (▼4)</t>
        </is>
      </c>
      <c r="B373" t="inlineStr">
        <is>
          <t>Nalayah Smith</t>
        </is>
      </c>
      <c r="C373" t="n">
        <v>2017</v>
      </c>
      <c r="D373" s="7" t="inlineStr">
        <is>
          <t>173.15</t>
        </is>
      </c>
      <c r="E373" s="7" t="inlineStr">
        <is>
          <t>23</t>
        </is>
      </c>
      <c r="F373" t="inlineStr">
        <is>
          <t>Ontario Tennis Association</t>
        </is>
      </c>
      <c r="G373" t="inlineStr">
        <is>
          <t>SmartVMC Racquetsports by ACE</t>
        </is>
      </c>
      <c r="H373" s="7" t="inlineStr">
        <is>
          <t>32.6</t>
        </is>
      </c>
      <c r="I373" t="n">
        <v>141</v>
      </c>
      <c r="J373" t="inlineStr">
        <is>
          <t>93 / 48</t>
        </is>
      </c>
      <c r="K373" s="7" t="inlineStr">
        <is>
          <t>72%</t>
        </is>
      </c>
    </row>
    <row r="374">
      <c r="A374" s="9" t="inlineStr">
        <is>
          <t>373 (▼4)</t>
        </is>
      </c>
      <c r="B374" t="inlineStr">
        <is>
          <t>Riley Lynn Banath</t>
        </is>
      </c>
      <c r="C374" t="n">
        <v>2012</v>
      </c>
      <c r="D374" s="7" t="inlineStr">
        <is>
          <t>173.10</t>
        </is>
      </c>
      <c r="E374" s="7" t="inlineStr">
        <is>
          <t>14</t>
        </is>
      </c>
      <c r="F374" t="inlineStr">
        <is>
          <t>British Columbia</t>
        </is>
      </c>
      <c r="G374" t="inlineStr">
        <is>
          <t>Arbutus Club</t>
        </is>
      </c>
      <c r="H374" s="7" t="inlineStr">
        <is>
          <t>36.5</t>
        </is>
      </c>
      <c r="I374" t="n">
        <v>46</v>
      </c>
      <c r="J374" t="inlineStr">
        <is>
          <t>10 / 36</t>
        </is>
      </c>
      <c r="K374" s="7" t="inlineStr">
        <is>
          <t>22%</t>
        </is>
      </c>
    </row>
    <row r="375">
      <c r="A375" s="9" t="inlineStr">
        <is>
          <t>374 (▼4)</t>
        </is>
      </c>
      <c r="B375" t="inlineStr">
        <is>
          <t>Amelia Jee</t>
        </is>
      </c>
      <c r="C375" t="n">
        <v>2012</v>
      </c>
      <c r="D375" s="7" t="inlineStr">
        <is>
          <t>173.08</t>
        </is>
      </c>
      <c r="E375" s="7" t="inlineStr">
        <is>
          <t>11</t>
        </is>
      </c>
      <c r="F375" t="inlineStr">
        <is>
          <t>Ontario Tennis Association</t>
        </is>
      </c>
      <c r="G375" t="inlineStr">
        <is>
          <t>Toronto Cricket Skating &amp; Curling</t>
        </is>
      </c>
      <c r="H375" s="7" t="inlineStr">
        <is>
          <t>32.8</t>
        </is>
      </c>
      <c r="I375" t="n">
        <v>125</v>
      </c>
      <c r="J375" t="inlineStr">
        <is>
          <t>53 / 72</t>
        </is>
      </c>
      <c r="K375" s="7" t="inlineStr">
        <is>
          <t>46%</t>
        </is>
      </c>
    </row>
    <row r="376">
      <c r="A376" s="9" t="inlineStr">
        <is>
          <t>375 (▼4)</t>
        </is>
      </c>
      <c r="B376" t="inlineStr">
        <is>
          <t>Eva Eile</t>
        </is>
      </c>
      <c r="C376" t="n">
        <v>2013</v>
      </c>
      <c r="D376" s="7" t="inlineStr">
        <is>
          <t>172.66</t>
        </is>
      </c>
      <c r="E376" s="9" t="inlineStr">
        <is>
          <t>15 (-1)</t>
        </is>
      </c>
      <c r="F376" t="inlineStr">
        <is>
          <t>Tennis Québec</t>
        </is>
      </c>
      <c r="G376" t="inlineStr">
        <is>
          <t>Midtown Le Sporting Club Sanctuaire</t>
        </is>
      </c>
      <c r="H376" s="7" t="inlineStr">
        <is>
          <t>39.1</t>
        </is>
      </c>
      <c r="I376" t="n">
        <v>28</v>
      </c>
      <c r="J376" t="inlineStr">
        <is>
          <t>3 / 25</t>
        </is>
      </c>
      <c r="K376" s="7" t="inlineStr">
        <is>
          <t>0%</t>
        </is>
      </c>
    </row>
    <row r="377">
      <c r="A377" s="9" t="inlineStr">
        <is>
          <t>376 (▼4)</t>
        </is>
      </c>
      <c r="B377" t="inlineStr">
        <is>
          <t>Diya Vasudeva</t>
        </is>
      </c>
      <c r="C377" t="n">
        <v>2013</v>
      </c>
      <c r="D377" s="7" t="inlineStr">
        <is>
          <t>171.33</t>
        </is>
      </c>
      <c r="E377" s="7" t="inlineStr">
        <is>
          <t>10</t>
        </is>
      </c>
      <c r="F377" t="inlineStr">
        <is>
          <t>Ontario Tennis Association</t>
        </is>
      </c>
      <c r="G377" t="inlineStr">
        <is>
          <t>ACE Tennis - Burlington</t>
        </is>
      </c>
      <c r="H377" s="7" t="inlineStr">
        <is>
          <t>36.4</t>
        </is>
      </c>
      <c r="I377" t="n">
        <v>100</v>
      </c>
      <c r="J377" t="inlineStr">
        <is>
          <t>34 / 66</t>
        </is>
      </c>
      <c r="K377" s="7" t="inlineStr">
        <is>
          <t>31%</t>
        </is>
      </c>
    </row>
    <row r="378">
      <c r="A378" s="9" t="inlineStr">
        <is>
          <t>377 (▼4)</t>
        </is>
      </c>
      <c r="B378" t="inlineStr">
        <is>
          <t>Ruichu Rachel Piao</t>
        </is>
      </c>
      <c r="C378" t="n">
        <v>2015</v>
      </c>
      <c r="D378" s="7" t="inlineStr">
        <is>
          <t>170.97</t>
        </is>
      </c>
      <c r="E378" s="8" t="inlineStr">
        <is>
          <t>15 (+1)</t>
        </is>
      </c>
      <c r="F378" t="inlineStr">
        <is>
          <t>Tennis Québec</t>
        </is>
      </c>
      <c r="G378" t="inlineStr">
        <is>
          <t>Tennis Ile- des- Soeurs</t>
        </is>
      </c>
      <c r="H378" s="7" t="inlineStr">
        <is>
          <t>unavailable</t>
        </is>
      </c>
      <c r="I378" t="n">
        <v>79</v>
      </c>
      <c r="J378" t="inlineStr">
        <is>
          <t>37 / 42</t>
        </is>
      </c>
      <c r="K378" s="7" t="inlineStr">
        <is>
          <t>38%</t>
        </is>
      </c>
    </row>
    <row r="379">
      <c r="A379" s="9" t="inlineStr">
        <is>
          <t>378 (▼4)</t>
        </is>
      </c>
      <c r="B379" t="inlineStr">
        <is>
          <t>Dorothy Ning</t>
        </is>
      </c>
      <c r="C379" t="n">
        <v>2016</v>
      </c>
      <c r="D379" s="7" t="inlineStr">
        <is>
          <t>170.86</t>
        </is>
      </c>
      <c r="E379" s="7" t="inlineStr">
        <is>
          <t>23</t>
        </is>
      </c>
      <c r="F379" t="inlineStr">
        <is>
          <t>Ontario Tennis Association</t>
        </is>
      </c>
      <c r="G379" t="inlineStr">
        <is>
          <t>Toronto Tennis Academy</t>
        </is>
      </c>
      <c r="H379" s="7" t="inlineStr">
        <is>
          <t>unavailable</t>
        </is>
      </c>
      <c r="I379" t="n">
        <v>156</v>
      </c>
      <c r="J379" t="inlineStr">
        <is>
          <t>83 / 73</t>
        </is>
      </c>
      <c r="K379" s="7" t="inlineStr">
        <is>
          <t>56%</t>
        </is>
      </c>
    </row>
    <row r="380">
      <c r="A380" s="9" t="inlineStr">
        <is>
          <t>379 (▼4)</t>
        </is>
      </c>
      <c r="B380" t="inlineStr">
        <is>
          <t>Adelaide Mossop</t>
        </is>
      </c>
      <c r="C380" t="n">
        <v>2015</v>
      </c>
      <c r="D380" s="7" t="inlineStr">
        <is>
          <t>170.61</t>
        </is>
      </c>
      <c r="E380" s="7" t="inlineStr">
        <is>
          <t>13</t>
        </is>
      </c>
      <c r="F380" t="inlineStr">
        <is>
          <t>Tennis Nova Scotia</t>
        </is>
      </c>
      <c r="G380" t="inlineStr">
        <is>
          <t>Atlantic Tennis Centre</t>
        </is>
      </c>
      <c r="H380" s="7" t="inlineStr">
        <is>
          <t>36.1</t>
        </is>
      </c>
      <c r="I380" t="n">
        <v>167</v>
      </c>
      <c r="J380" t="inlineStr">
        <is>
          <t>68 / 99</t>
        </is>
      </c>
      <c r="K380" s="7" t="inlineStr">
        <is>
          <t>40%</t>
        </is>
      </c>
    </row>
    <row r="381">
      <c r="A381" s="9" t="inlineStr">
        <is>
          <t>380 (▼2)</t>
        </is>
      </c>
      <c r="B381" t="inlineStr">
        <is>
          <t>Alexandra Strgacic</t>
        </is>
      </c>
      <c r="C381" t="n">
        <v>2014</v>
      </c>
      <c r="D381" s="7" t="inlineStr">
        <is>
          <t>168.42</t>
        </is>
      </c>
      <c r="E381" s="7" t="inlineStr">
        <is>
          <t>5</t>
        </is>
      </c>
      <c r="F381" t="inlineStr">
        <is>
          <t>Ontario Tennis Association</t>
        </is>
      </c>
      <c r="G381" t="inlineStr">
        <is>
          <t>Advantage Tennis International at Veneto</t>
        </is>
      </c>
      <c r="H381" s="7" t="inlineStr">
        <is>
          <t>33.5</t>
        </is>
      </c>
      <c r="I381" t="n">
        <v>165</v>
      </c>
      <c r="J381" t="inlineStr">
        <is>
          <t>96 / 69</t>
        </is>
      </c>
      <c r="K381" s="7" t="inlineStr">
        <is>
          <t>38%</t>
        </is>
      </c>
    </row>
    <row r="382">
      <c r="A382" s="9" t="inlineStr">
        <is>
          <t>381 (▼2)</t>
        </is>
      </c>
      <c r="B382" t="inlineStr">
        <is>
          <t>Nora Firoozi</t>
        </is>
      </c>
      <c r="C382" t="n">
        <v>2015</v>
      </c>
      <c r="D382" s="7" t="inlineStr">
        <is>
          <t>167.64</t>
        </is>
      </c>
      <c r="E382" s="7" t="inlineStr">
        <is>
          <t>18</t>
        </is>
      </c>
      <c r="F382" t="inlineStr">
        <is>
          <t>British Columbia</t>
        </is>
      </c>
      <c r="G382" t="inlineStr">
        <is>
          <t>North Vancouver Tennis Centre</t>
        </is>
      </c>
      <c r="H382" s="8" t="inlineStr">
        <is>
          <t>32.6 (▲0.7)</t>
        </is>
      </c>
      <c r="I382" t="n">
        <v>171</v>
      </c>
      <c r="J382" t="inlineStr">
        <is>
          <t>85 / 86</t>
        </is>
      </c>
      <c r="K382" s="8" t="inlineStr">
        <is>
          <t>49% (▲2%)</t>
        </is>
      </c>
    </row>
    <row r="383">
      <c r="A383" s="9" t="inlineStr">
        <is>
          <t>382 (▼2)</t>
        </is>
      </c>
      <c r="B383" t="inlineStr">
        <is>
          <t>Naomi Lucy McCrank</t>
        </is>
      </c>
      <c r="C383" t="n">
        <v>2012</v>
      </c>
      <c r="D383" s="7" t="inlineStr">
        <is>
          <t>166.42</t>
        </is>
      </c>
      <c r="E383" s="9" t="inlineStr">
        <is>
          <t>12 (-1)</t>
        </is>
      </c>
      <c r="F383" t="inlineStr">
        <is>
          <t>Tennis Alberta</t>
        </is>
      </c>
      <c r="G383" t="inlineStr">
        <is>
          <t>Aforza</t>
        </is>
      </c>
      <c r="H383" s="7" t="inlineStr">
        <is>
          <t>33.5</t>
        </is>
      </c>
      <c r="I383" t="n">
        <v>80</v>
      </c>
      <c r="J383" t="inlineStr">
        <is>
          <t>24 / 56</t>
        </is>
      </c>
      <c r="K383" s="7" t="inlineStr">
        <is>
          <t>42%</t>
        </is>
      </c>
    </row>
    <row r="384">
      <c r="A384" s="8" t="inlineStr">
        <is>
          <t>383 (▲1)</t>
        </is>
      </c>
      <c r="B384" t="inlineStr">
        <is>
          <t>Alyssa Grace Clouden</t>
        </is>
      </c>
      <c r="C384" t="n">
        <v>2012</v>
      </c>
      <c r="D384" s="8" t="inlineStr">
        <is>
          <t>166.33 (▲1.23)</t>
        </is>
      </c>
      <c r="E384" s="8" t="inlineStr">
        <is>
          <t>15 (+1)</t>
        </is>
      </c>
      <c r="F384" t="inlineStr">
        <is>
          <t>Ontario Tennis Association</t>
        </is>
      </c>
      <c r="G384" t="inlineStr">
        <is>
          <t>Headwaters Racquet Club</t>
        </is>
      </c>
      <c r="H384" s="9" t="inlineStr">
        <is>
          <t>35.3 (▼0.2)</t>
        </is>
      </c>
      <c r="I384" t="n">
        <v>58</v>
      </c>
      <c r="J384" t="inlineStr">
        <is>
          <t>26 / 32</t>
        </is>
      </c>
      <c r="K384" s="9" t="inlineStr">
        <is>
          <t>41% (▼1%)</t>
        </is>
      </c>
    </row>
    <row r="385">
      <c r="A385" s="9" t="inlineStr">
        <is>
          <t>384 (▼3)</t>
        </is>
      </c>
      <c r="B385" t="inlineStr">
        <is>
          <t>Grace Li</t>
        </is>
      </c>
      <c r="C385" t="n">
        <v>2014</v>
      </c>
      <c r="D385" s="7" t="inlineStr">
        <is>
          <t>166.10</t>
        </is>
      </c>
      <c r="E385" s="9" t="inlineStr">
        <is>
          <t>19 (-1)</t>
        </is>
      </c>
      <c r="F385" t="inlineStr">
        <is>
          <t>Tennis Québec</t>
        </is>
      </c>
      <c r="G385" t="inlineStr">
        <is>
          <t>Tennis 13</t>
        </is>
      </c>
      <c r="H385" s="7" t="inlineStr">
        <is>
          <t>35.1</t>
        </is>
      </c>
      <c r="I385" t="n">
        <v>168</v>
      </c>
      <c r="J385" t="inlineStr">
        <is>
          <t>72 / 96</t>
        </is>
      </c>
      <c r="K385" s="7" t="inlineStr">
        <is>
          <t>35%</t>
        </is>
      </c>
    </row>
    <row r="386">
      <c r="A386" s="9" t="inlineStr">
        <is>
          <t>385 (▼3)</t>
        </is>
      </c>
      <c r="B386" t="inlineStr">
        <is>
          <t>Adriana Juliana Tambini</t>
        </is>
      </c>
      <c r="C386" t="n">
        <v>2013</v>
      </c>
      <c r="D386" s="7" t="inlineStr">
        <is>
          <t>165.94</t>
        </is>
      </c>
      <c r="E386" s="7" t="inlineStr">
        <is>
          <t>7</t>
        </is>
      </c>
      <c r="F386" t="inlineStr">
        <is>
          <t>Ontario Tennis Association</t>
        </is>
      </c>
      <c r="G386" t="inlineStr">
        <is>
          <t>Headwaters Racquet Club</t>
        </is>
      </c>
      <c r="H386" s="7" t="inlineStr">
        <is>
          <t>38.5</t>
        </is>
      </c>
      <c r="I386" t="n">
        <v>23</v>
      </c>
      <c r="J386" t="inlineStr">
        <is>
          <t>12 / 11</t>
        </is>
      </c>
      <c r="K386" s="7" t="inlineStr">
        <is>
          <t>41%</t>
        </is>
      </c>
    </row>
    <row r="387">
      <c r="A387" s="9" t="inlineStr">
        <is>
          <t>386 (▼3)</t>
        </is>
      </c>
      <c r="B387" t="inlineStr">
        <is>
          <t>Sonia Leung</t>
        </is>
      </c>
      <c r="C387" t="n">
        <v>2014</v>
      </c>
      <c r="D387" s="7" t="inlineStr">
        <is>
          <t>165.44</t>
        </is>
      </c>
      <c r="E387" s="7" t="inlineStr">
        <is>
          <t>18</t>
        </is>
      </c>
      <c r="F387" t="inlineStr">
        <is>
          <t>Ontario Tennis Association</t>
        </is>
      </c>
      <c r="G387" t="inlineStr">
        <is>
          <t>Toronto Tennis Academy</t>
        </is>
      </c>
      <c r="H387" s="7" t="inlineStr">
        <is>
          <t>33.5</t>
        </is>
      </c>
      <c r="I387" t="n">
        <v>74</v>
      </c>
      <c r="J387" t="inlineStr">
        <is>
          <t>39 / 35</t>
        </is>
      </c>
      <c r="K387" s="7" t="inlineStr">
        <is>
          <t>67%</t>
        </is>
      </c>
    </row>
    <row r="388">
      <c r="A388" s="9" t="inlineStr">
        <is>
          <t>387 (▼2)</t>
        </is>
      </c>
      <c r="B388" t="inlineStr">
        <is>
          <t>Melissa Yi Nuo Yang</t>
        </is>
      </c>
      <c r="C388" t="n">
        <v>2014</v>
      </c>
      <c r="D388" s="7" t="inlineStr">
        <is>
          <t>164.55</t>
        </is>
      </c>
      <c r="E388" s="7" t="inlineStr">
        <is>
          <t>18</t>
        </is>
      </c>
      <c r="F388" t="inlineStr">
        <is>
          <t>Tennis Québec</t>
        </is>
      </c>
      <c r="G388" t="inlineStr">
        <is>
          <t>Club Sportif Côte-de-Liesse</t>
        </is>
      </c>
      <c r="H388" s="7" t="inlineStr">
        <is>
          <t>32.8</t>
        </is>
      </c>
      <c r="I388" t="n">
        <v>92</v>
      </c>
      <c r="J388" t="inlineStr">
        <is>
          <t>48 / 44</t>
        </is>
      </c>
      <c r="K388" s="7" t="inlineStr">
        <is>
          <t>68%</t>
        </is>
      </c>
    </row>
    <row r="389">
      <c r="A389" s="9" t="inlineStr">
        <is>
          <t>388 (▼2)</t>
        </is>
      </c>
      <c r="B389" t="inlineStr">
        <is>
          <t>Nisa Karim</t>
        </is>
      </c>
      <c r="C389" t="n">
        <v>2013</v>
      </c>
      <c r="D389" s="7" t="inlineStr">
        <is>
          <t>163.17</t>
        </is>
      </c>
      <c r="E389" s="7" t="inlineStr">
        <is>
          <t>15</t>
        </is>
      </c>
      <c r="F389" t="inlineStr">
        <is>
          <t>British Columbia</t>
        </is>
      </c>
      <c r="G389" t="inlineStr">
        <is>
          <t>Arbutus Club</t>
        </is>
      </c>
      <c r="H389" s="7" t="inlineStr">
        <is>
          <t>34.6</t>
        </is>
      </c>
      <c r="I389" t="n">
        <v>97</v>
      </c>
      <c r="J389" t="inlineStr">
        <is>
          <t>51 / 46</t>
        </is>
      </c>
      <c r="K389" s="7" t="inlineStr">
        <is>
          <t>46%</t>
        </is>
      </c>
    </row>
    <row r="390">
      <c r="A390" s="9" t="inlineStr">
        <is>
          <t>389 (▼2)</t>
        </is>
      </c>
      <c r="B390" t="inlineStr">
        <is>
          <t>Eve Martel</t>
        </is>
      </c>
      <c r="C390" t="n">
        <v>2014</v>
      </c>
      <c r="D390" s="7" t="inlineStr">
        <is>
          <t>160.31</t>
        </is>
      </c>
      <c r="E390" s="7" t="inlineStr">
        <is>
          <t>19</t>
        </is>
      </c>
      <c r="F390" t="inlineStr">
        <is>
          <t>Tennis Québec</t>
        </is>
      </c>
      <c r="G390" t="inlineStr">
        <is>
          <t>Club Avantage Multi-sports / Académie de tennis Hérisset Bordeleau</t>
        </is>
      </c>
      <c r="H390" s="7" t="inlineStr">
        <is>
          <t>unavailable</t>
        </is>
      </c>
      <c r="I390" t="n">
        <v>130</v>
      </c>
      <c r="J390" t="inlineStr">
        <is>
          <t>41 / 89</t>
        </is>
      </c>
      <c r="K390" s="7" t="inlineStr">
        <is>
          <t>41%</t>
        </is>
      </c>
    </row>
    <row r="391">
      <c r="A391" s="8" t="inlineStr">
        <is>
          <t>390 (▲57)</t>
        </is>
      </c>
      <c r="B391" t="inlineStr">
        <is>
          <t>Namasya Nakul</t>
        </is>
      </c>
      <c r="C391" t="n">
        <v>2015</v>
      </c>
      <c r="D391" s="8" t="inlineStr">
        <is>
          <t>158.70 (▲42.46)</t>
        </is>
      </c>
      <c r="E391" s="8" t="inlineStr">
        <is>
          <t>21 (+1)</t>
        </is>
      </c>
      <c r="F391" t="inlineStr">
        <is>
          <t>British Columbia</t>
        </is>
      </c>
      <c r="G391" t="inlineStr">
        <is>
          <t>Richmond Country Club</t>
        </is>
      </c>
      <c r="H391" s="8" t="inlineStr">
        <is>
          <t>32.0 (▲0.6)</t>
        </is>
      </c>
      <c r="I391" t="n">
        <v>127</v>
      </c>
      <c r="J391" t="inlineStr">
        <is>
          <t>71 / 56</t>
        </is>
      </c>
      <c r="K391" s="8" t="inlineStr">
        <is>
          <t>61% (▲3%)</t>
        </is>
      </c>
    </row>
    <row r="392">
      <c r="A392" s="9" t="inlineStr">
        <is>
          <t>391 (▼3)</t>
        </is>
      </c>
      <c r="B392" t="inlineStr">
        <is>
          <t>Eliana Yiannacouras</t>
        </is>
      </c>
      <c r="C392" t="n">
        <v>2012</v>
      </c>
      <c r="D392" s="7" t="inlineStr">
        <is>
          <t>157.90</t>
        </is>
      </c>
      <c r="E392" s="7" t="inlineStr">
        <is>
          <t>15</t>
        </is>
      </c>
      <c r="F392" t="inlineStr">
        <is>
          <t>Ontario Tennis Association</t>
        </is>
      </c>
      <c r="G392" t="inlineStr">
        <is>
          <t>The Supreme Court Tennis Club</t>
        </is>
      </c>
      <c r="H392" s="8" t="inlineStr">
        <is>
          <t>33.5 (▲0.3)</t>
        </is>
      </c>
      <c r="I392" t="n">
        <v>106</v>
      </c>
      <c r="J392" t="inlineStr">
        <is>
          <t>30 / 76</t>
        </is>
      </c>
      <c r="K392" s="8" t="inlineStr">
        <is>
          <t>46% (▲1%)</t>
        </is>
      </c>
    </row>
    <row r="393">
      <c r="A393" s="9" t="inlineStr">
        <is>
          <t>392 (▼92)</t>
        </is>
      </c>
      <c r="B393" t="inlineStr">
        <is>
          <t>Sophia Zhang</t>
        </is>
      </c>
      <c r="C393" t="n">
        <v>2012</v>
      </c>
      <c r="D393" s="9" t="inlineStr">
        <is>
          <t>157.23 (▼85.56)</t>
        </is>
      </c>
      <c r="E393" s="8" t="inlineStr">
        <is>
          <t>10 (+1)</t>
        </is>
      </c>
      <c r="F393" t="inlineStr">
        <is>
          <t>Ontario Tennis Association</t>
        </is>
      </c>
      <c r="G393" t="inlineStr">
        <is>
          <t>Burlington Tennis Club</t>
        </is>
      </c>
      <c r="H393" s="7" t="inlineStr">
        <is>
          <t>unavailable</t>
        </is>
      </c>
      <c r="I393" t="n">
        <v>40</v>
      </c>
      <c r="J393" t="inlineStr">
        <is>
          <t>18 / 22</t>
        </is>
      </c>
      <c r="K393" s="8" t="inlineStr">
        <is>
          <t>52% (▲44%)</t>
        </is>
      </c>
    </row>
    <row r="394">
      <c r="A394" s="9" t="inlineStr">
        <is>
          <t>393 (▼3)</t>
        </is>
      </c>
      <c r="B394" t="inlineStr">
        <is>
          <t>Yuetwing, Doris Li</t>
        </is>
      </c>
      <c r="C394" t="n">
        <v>2017</v>
      </c>
      <c r="D394" s="7" t="inlineStr">
        <is>
          <t>157.03</t>
        </is>
      </c>
      <c r="E394" s="7" t="inlineStr">
        <is>
          <t>5</t>
        </is>
      </c>
      <c r="F394" t="inlineStr">
        <is>
          <t>Ontario Tennis Association</t>
        </is>
      </c>
      <c r="G394" t="inlineStr">
        <is>
          <t>No Club</t>
        </is>
      </c>
      <c r="H394" s="7" t="inlineStr">
        <is>
          <t>32.7</t>
        </is>
      </c>
      <c r="I394" t="n">
        <v>16</v>
      </c>
      <c r="J394" t="inlineStr">
        <is>
          <t>14 / 2</t>
        </is>
      </c>
      <c r="K394" s="7" t="inlineStr">
        <is>
          <t>83%</t>
        </is>
      </c>
    </row>
    <row r="395">
      <c r="A395" s="8" t="inlineStr">
        <is>
          <t>394 (▲16)</t>
        </is>
      </c>
      <c r="B395" t="inlineStr">
        <is>
          <t>Theia Zhang</t>
        </is>
      </c>
      <c r="C395" t="n">
        <v>2015</v>
      </c>
      <c r="D395" s="8" t="inlineStr">
        <is>
          <t>154.59 (▲12.00)</t>
        </is>
      </c>
      <c r="E395" s="8" t="inlineStr">
        <is>
          <t>10 (+1)</t>
        </is>
      </c>
      <c r="F395" t="inlineStr">
        <is>
          <t>Ontario Tennis Association</t>
        </is>
      </c>
      <c r="G395" t="inlineStr">
        <is>
          <t>Premier Racquet Clubs – Mississauga</t>
        </is>
      </c>
      <c r="H395" s="8" t="inlineStr">
        <is>
          <t>34.0 (▲1.8)</t>
        </is>
      </c>
      <c r="I395" t="n">
        <v>106</v>
      </c>
      <c r="J395" t="inlineStr">
        <is>
          <t>52 / 54</t>
        </is>
      </c>
      <c r="K395" s="8" t="inlineStr">
        <is>
          <t>45% (▲31%)</t>
        </is>
      </c>
    </row>
    <row r="396">
      <c r="A396" s="9" t="inlineStr">
        <is>
          <t>395 (▼4)</t>
        </is>
      </c>
      <c r="B396" t="inlineStr">
        <is>
          <t>Chloe Park</t>
        </is>
      </c>
      <c r="C396" t="n">
        <v>2012</v>
      </c>
      <c r="D396" s="7" t="inlineStr">
        <is>
          <t>154.28</t>
        </is>
      </c>
      <c r="E396" s="7" t="inlineStr">
        <is>
          <t>5</t>
        </is>
      </c>
      <c r="F396" t="inlineStr">
        <is>
          <t>Tennis Prince Edward Island</t>
        </is>
      </c>
      <c r="G396" t="inlineStr">
        <is>
          <t>No Club</t>
        </is>
      </c>
      <c r="H396" s="7" t="inlineStr">
        <is>
          <t>34.8</t>
        </is>
      </c>
      <c r="I396" t="n">
        <v>57</v>
      </c>
      <c r="J396" t="inlineStr">
        <is>
          <t>13 / 44</t>
        </is>
      </c>
      <c r="K396" s="7" t="inlineStr">
        <is>
          <t>38%</t>
        </is>
      </c>
    </row>
    <row r="397">
      <c r="A397" s="9" t="inlineStr">
        <is>
          <t>396 (▼4)</t>
        </is>
      </c>
      <c r="B397" t="inlineStr">
        <is>
          <t>Gabrielle Pompa</t>
        </is>
      </c>
      <c r="C397" t="n">
        <v>2013</v>
      </c>
      <c r="D397" s="7" t="inlineStr">
        <is>
          <t>153.75</t>
        </is>
      </c>
      <c r="E397" s="7" t="inlineStr">
        <is>
          <t>7</t>
        </is>
      </c>
      <c r="F397" t="inlineStr">
        <is>
          <t>Tennis Alberta</t>
        </is>
      </c>
      <c r="G397" t="inlineStr">
        <is>
          <t>Osten &amp; Victor Alberta Tennis Centre</t>
        </is>
      </c>
      <c r="H397" s="7" t="inlineStr">
        <is>
          <t>28.8</t>
        </is>
      </c>
      <c r="I397" t="n">
        <v>164</v>
      </c>
      <c r="J397" t="inlineStr">
        <is>
          <t>112 / 52</t>
        </is>
      </c>
      <c r="K397" s="7" t="inlineStr">
        <is>
          <t>57%</t>
        </is>
      </c>
    </row>
    <row r="398">
      <c r="A398" s="9" t="inlineStr">
        <is>
          <t>397 (▼4)</t>
        </is>
      </c>
      <c r="B398" t="inlineStr">
        <is>
          <t>Olivia Lee</t>
        </is>
      </c>
      <c r="C398" t="n">
        <v>2014</v>
      </c>
      <c r="D398" s="7" t="inlineStr">
        <is>
          <t>153.17</t>
        </is>
      </c>
      <c r="E398" s="7" t="inlineStr">
        <is>
          <t>24</t>
        </is>
      </c>
      <c r="F398" t="inlineStr">
        <is>
          <t>Tennis Québec</t>
        </is>
      </c>
      <c r="G398" t="inlineStr">
        <is>
          <t>SANI Sport</t>
        </is>
      </c>
      <c r="H398" s="8" t="inlineStr">
        <is>
          <t>35.1 (▲0.1)</t>
        </is>
      </c>
      <c r="I398" t="n">
        <v>119</v>
      </c>
      <c r="J398" t="inlineStr">
        <is>
          <t>45 / 74</t>
        </is>
      </c>
      <c r="K398" s="7" t="inlineStr">
        <is>
          <t>38%</t>
        </is>
      </c>
    </row>
    <row r="399">
      <c r="A399" s="9" t="inlineStr">
        <is>
          <t>398 (▼4)</t>
        </is>
      </c>
      <c r="B399" t="inlineStr">
        <is>
          <t>Rain Yu Chan</t>
        </is>
      </c>
      <c r="C399" t="n">
        <v>2014</v>
      </c>
      <c r="D399" s="7" t="inlineStr">
        <is>
          <t>152.22</t>
        </is>
      </c>
      <c r="E399" s="7" t="inlineStr">
        <is>
          <t>33</t>
        </is>
      </c>
      <c r="F399" t="inlineStr">
        <is>
          <t>British Columbia</t>
        </is>
      </c>
      <c r="G399" t="inlineStr">
        <is>
          <t>Burnaby Tennis Club</t>
        </is>
      </c>
      <c r="H399" s="7" t="inlineStr">
        <is>
          <t>unavailable</t>
        </is>
      </c>
      <c r="I399" t="n">
        <v>211</v>
      </c>
      <c r="J399" t="inlineStr">
        <is>
          <t>101 / 110</t>
        </is>
      </c>
      <c r="K399" s="7" t="inlineStr">
        <is>
          <t>51%</t>
        </is>
      </c>
    </row>
    <row r="400">
      <c r="A400" s="9" t="inlineStr">
        <is>
          <t>399 (▼4)</t>
        </is>
      </c>
      <c r="B400" t="inlineStr">
        <is>
          <t>Andrea Robles Sgambatti</t>
        </is>
      </c>
      <c r="C400" t="n">
        <v>2014</v>
      </c>
      <c r="D400" s="7" t="inlineStr">
        <is>
          <t>152.16</t>
        </is>
      </c>
      <c r="E400" s="9" t="inlineStr">
        <is>
          <t>14 (-1)</t>
        </is>
      </c>
      <c r="F400" t="inlineStr">
        <is>
          <t>Tennis Alberta</t>
        </is>
      </c>
      <c r="G400" t="inlineStr">
        <is>
          <t>Osten &amp; Victor Alberta Tennis Centre</t>
        </is>
      </c>
      <c r="H400" s="7" t="inlineStr">
        <is>
          <t>34.2</t>
        </is>
      </c>
      <c r="I400" t="n">
        <v>150</v>
      </c>
      <c r="J400" t="inlineStr">
        <is>
          <t>62 / 88</t>
        </is>
      </c>
      <c r="K400" s="7" t="inlineStr">
        <is>
          <t>39%</t>
        </is>
      </c>
    </row>
    <row r="401">
      <c r="A401" s="9" t="inlineStr">
        <is>
          <t>400 (▼4)</t>
        </is>
      </c>
      <c r="B401" t="inlineStr">
        <is>
          <t>Alyxandra Grace Bellot Wildeman</t>
        </is>
      </c>
      <c r="C401" t="n">
        <v>2013</v>
      </c>
      <c r="D401" s="7" t="inlineStr">
        <is>
          <t>151.19</t>
        </is>
      </c>
      <c r="E401" s="7" t="inlineStr">
        <is>
          <t>12</t>
        </is>
      </c>
      <c r="F401" t="inlineStr">
        <is>
          <t>British Columbia</t>
        </is>
      </c>
      <c r="G401" t="inlineStr">
        <is>
          <t>Vanguard Tennis Academy</t>
        </is>
      </c>
      <c r="H401" s="7" t="inlineStr">
        <is>
          <t>32.9</t>
        </is>
      </c>
      <c r="I401" t="n">
        <v>131</v>
      </c>
      <c r="J401" t="inlineStr">
        <is>
          <t>59 / 72</t>
        </is>
      </c>
      <c r="K401" s="7" t="inlineStr">
        <is>
          <t>52%</t>
        </is>
      </c>
    </row>
    <row r="402">
      <c r="A402" s="9" t="inlineStr">
        <is>
          <t>401 (▼4)</t>
        </is>
      </c>
      <c r="B402" t="inlineStr">
        <is>
          <t>Jaheema Jajah Joseph</t>
        </is>
      </c>
      <c r="C402" t="n">
        <v>2013</v>
      </c>
      <c r="D402" s="7" t="inlineStr">
        <is>
          <t>150.70</t>
        </is>
      </c>
      <c r="E402" s="7" t="inlineStr">
        <is>
          <t>14</t>
        </is>
      </c>
      <c r="F402" t="inlineStr">
        <is>
          <t>Tennis Québec</t>
        </is>
      </c>
      <c r="G402" t="inlineStr">
        <is>
          <t>Tennis Montréal</t>
        </is>
      </c>
      <c r="H402" s="7" t="inlineStr">
        <is>
          <t>36.8</t>
        </is>
      </c>
      <c r="I402" t="n">
        <v>94</v>
      </c>
      <c r="J402" t="inlineStr">
        <is>
          <t>38 / 56</t>
        </is>
      </c>
      <c r="K402" s="7" t="inlineStr">
        <is>
          <t>27%</t>
        </is>
      </c>
    </row>
    <row r="403">
      <c r="A403" s="9" t="inlineStr">
        <is>
          <t>402 (▼4)</t>
        </is>
      </c>
      <c r="B403" t="inlineStr">
        <is>
          <t>Aarushi Pal</t>
        </is>
      </c>
      <c r="C403" t="n">
        <v>2013</v>
      </c>
      <c r="D403" s="7" t="inlineStr">
        <is>
          <t>149.57</t>
        </is>
      </c>
      <c r="E403" s="8" t="inlineStr">
        <is>
          <t>13 (+1)</t>
        </is>
      </c>
      <c r="F403" t="inlineStr">
        <is>
          <t>Tennis Alberta</t>
        </is>
      </c>
      <c r="G403" t="inlineStr">
        <is>
          <t>Osten &amp; Victor Alberta Tennis Centre</t>
        </is>
      </c>
      <c r="H403" s="8" t="inlineStr">
        <is>
          <t>32.6 (▲1.2)</t>
        </is>
      </c>
      <c r="I403" t="n">
        <v>168</v>
      </c>
      <c r="J403" t="inlineStr">
        <is>
          <t>83 / 85</t>
        </is>
      </c>
      <c r="K403" s="8" t="inlineStr">
        <is>
          <t>35% (▲6%)</t>
        </is>
      </c>
    </row>
    <row r="404">
      <c r="A404" s="9" t="inlineStr">
        <is>
          <t>403 (▼4)</t>
        </is>
      </c>
      <c r="B404" t="inlineStr">
        <is>
          <t>Amelia Alhakim</t>
        </is>
      </c>
      <c r="C404" t="n">
        <v>2017</v>
      </c>
      <c r="D404" s="7" t="inlineStr">
        <is>
          <t>149.00</t>
        </is>
      </c>
      <c r="E404" s="7" t="inlineStr">
        <is>
          <t>15</t>
        </is>
      </c>
      <c r="F404" t="inlineStr">
        <is>
          <t>Ontario Tennis Association</t>
        </is>
      </c>
      <c r="G404" t="inlineStr">
        <is>
          <t>Zekelman Tennis Centre</t>
        </is>
      </c>
      <c r="H404" s="8" t="inlineStr">
        <is>
          <t>32.0 (▲0.2)</t>
        </is>
      </c>
      <c r="I404" t="n">
        <v>45</v>
      </c>
      <c r="J404" t="inlineStr">
        <is>
          <t>27 / 18</t>
        </is>
      </c>
      <c r="K404" s="7" t="inlineStr">
        <is>
          <t>64%</t>
        </is>
      </c>
    </row>
    <row r="405">
      <c r="A405" s="9" t="inlineStr">
        <is>
          <t>404 (▼4)</t>
        </is>
      </c>
      <c r="B405" t="inlineStr">
        <is>
          <t>Emma Lucenti</t>
        </is>
      </c>
      <c r="C405" t="n">
        <v>2015</v>
      </c>
      <c r="D405" s="7" t="inlineStr">
        <is>
          <t>148.83</t>
        </is>
      </c>
      <c r="E405" s="8" t="inlineStr">
        <is>
          <t>14 (+1)</t>
        </is>
      </c>
      <c r="F405" t="inlineStr">
        <is>
          <t>Ontario Tennis Association</t>
        </is>
      </c>
      <c r="G405" t="inlineStr">
        <is>
          <t>SmartVMC Racquetsports by ACE</t>
        </is>
      </c>
      <c r="H405" s="8" t="inlineStr">
        <is>
          <t>35.9 (▲0.2)</t>
        </is>
      </c>
      <c r="I405" t="n">
        <v>89</v>
      </c>
      <c r="J405" t="inlineStr">
        <is>
          <t>31 / 58</t>
        </is>
      </c>
      <c r="K405" s="7" t="inlineStr">
        <is>
          <t>38%</t>
        </is>
      </c>
    </row>
    <row r="406">
      <c r="A406" s="9" t="inlineStr">
        <is>
          <t>405 (▼4)</t>
        </is>
      </c>
      <c r="B406" t="inlineStr">
        <is>
          <t>Eva Yanakieva</t>
        </is>
      </c>
      <c r="C406" t="n">
        <v>2016</v>
      </c>
      <c r="D406" s="7" t="inlineStr">
        <is>
          <t>148.33</t>
        </is>
      </c>
      <c r="E406" s="7" t="inlineStr">
        <is>
          <t>22</t>
        </is>
      </c>
      <c r="F406" t="inlineStr">
        <is>
          <t>Tennis Québec</t>
        </is>
      </c>
      <c r="G406" t="inlineStr">
        <is>
          <t>Tennis Montréal Excellence</t>
        </is>
      </c>
      <c r="H406" s="9" t="inlineStr">
        <is>
          <t>34.7 (▼0.1)</t>
        </is>
      </c>
      <c r="I406" t="n">
        <v>181</v>
      </c>
      <c r="J406" t="inlineStr">
        <is>
          <t>87 / 94</t>
        </is>
      </c>
      <c r="K406" s="7" t="inlineStr">
        <is>
          <t>50%</t>
        </is>
      </c>
    </row>
    <row r="407">
      <c r="A407" s="9" t="inlineStr">
        <is>
          <t>406 (▼4)</t>
        </is>
      </c>
      <c r="B407" t="inlineStr">
        <is>
          <t>Stefaniia Grimailo</t>
        </is>
      </c>
      <c r="C407" t="n">
        <v>2015</v>
      </c>
      <c r="D407" s="7" t="inlineStr">
        <is>
          <t>147.39</t>
        </is>
      </c>
      <c r="E407" s="9" t="inlineStr">
        <is>
          <t>8 (-1)</t>
        </is>
      </c>
      <c r="F407" t="inlineStr">
        <is>
          <t>Tennis Manitoba</t>
        </is>
      </c>
      <c r="G407" t="inlineStr">
        <is>
          <t>Winnipeg Winter Club</t>
        </is>
      </c>
      <c r="H407" s="7" t="inlineStr">
        <is>
          <t>38.6</t>
        </is>
      </c>
      <c r="I407" t="n">
        <v>64</v>
      </c>
      <c r="J407" t="inlineStr">
        <is>
          <t>9 / 55</t>
        </is>
      </c>
      <c r="K407" s="7" t="inlineStr">
        <is>
          <t>7%</t>
        </is>
      </c>
    </row>
    <row r="408">
      <c r="A408" s="9" t="inlineStr">
        <is>
          <t>407 (▼4)</t>
        </is>
      </c>
      <c r="B408" t="inlineStr">
        <is>
          <t>Elaina York</t>
        </is>
      </c>
      <c r="C408" t="n">
        <v>2015</v>
      </c>
      <c r="D408" s="7" t="inlineStr">
        <is>
          <t>145.95</t>
        </is>
      </c>
      <c r="E408" s="7" t="inlineStr">
        <is>
          <t>14</t>
        </is>
      </c>
      <c r="F408" t="inlineStr">
        <is>
          <t>Tennis Alberta</t>
        </is>
      </c>
      <c r="G408" t="inlineStr">
        <is>
          <t>Aforza</t>
        </is>
      </c>
      <c r="H408" s="7" t="inlineStr">
        <is>
          <t>34.9</t>
        </is>
      </c>
      <c r="I408" t="n">
        <v>149</v>
      </c>
      <c r="J408" t="inlineStr">
        <is>
          <t>61 / 88</t>
        </is>
      </c>
      <c r="K408" s="7" t="inlineStr">
        <is>
          <t>39%</t>
        </is>
      </c>
    </row>
    <row r="409">
      <c r="A409" s="9" t="inlineStr">
        <is>
          <t>408 (▼4)</t>
        </is>
      </c>
      <c r="B409" t="inlineStr">
        <is>
          <t>Sofia Zhuchenko</t>
        </is>
      </c>
      <c r="C409" t="n">
        <v>2014</v>
      </c>
      <c r="D409" s="7" t="inlineStr">
        <is>
          <t>145.26</t>
        </is>
      </c>
      <c r="E409" s="8" t="inlineStr">
        <is>
          <t>15 (+1)</t>
        </is>
      </c>
      <c r="F409" t="inlineStr">
        <is>
          <t>Tennis Alberta</t>
        </is>
      </c>
      <c r="G409" t="inlineStr">
        <is>
          <t>Osten &amp; Victor Alberta Tennis Centre</t>
        </is>
      </c>
      <c r="H409" s="9" t="inlineStr">
        <is>
          <t>34.0 (▼0.1)</t>
        </is>
      </c>
      <c r="I409" t="n">
        <v>116</v>
      </c>
      <c r="J409" t="inlineStr">
        <is>
          <t>44 / 72</t>
        </is>
      </c>
      <c r="K409" s="8" t="inlineStr">
        <is>
          <t>39% (▲1%)</t>
        </is>
      </c>
    </row>
    <row r="410">
      <c r="A410" s="9" t="inlineStr">
        <is>
          <t>409 (▼4)</t>
        </is>
      </c>
      <c r="B410" t="inlineStr">
        <is>
          <t>Bella Beiqi Zhao</t>
        </is>
      </c>
      <c r="C410" t="n">
        <v>2014</v>
      </c>
      <c r="D410" s="7" t="inlineStr">
        <is>
          <t>144.94</t>
        </is>
      </c>
      <c r="E410" s="9" t="inlineStr">
        <is>
          <t>24 (-1)</t>
        </is>
      </c>
      <c r="F410" t="inlineStr">
        <is>
          <t>British Columbia</t>
        </is>
      </c>
      <c r="G410" t="inlineStr">
        <is>
          <t>No Club</t>
        </is>
      </c>
      <c r="H410" s="7" t="inlineStr">
        <is>
          <t>31.2</t>
        </is>
      </c>
      <c r="I410" t="n">
        <v>213</v>
      </c>
      <c r="J410" t="inlineStr">
        <is>
          <t>88 / 125</t>
        </is>
      </c>
      <c r="K410" s="7" t="inlineStr">
        <is>
          <t>51%</t>
        </is>
      </c>
    </row>
    <row r="411">
      <c r="A411" s="9" t="inlineStr">
        <is>
          <t>410 (▼4)</t>
        </is>
      </c>
      <c r="B411" t="inlineStr">
        <is>
          <t>Kira Wong</t>
        </is>
      </c>
      <c r="C411" t="n">
        <v>2014</v>
      </c>
      <c r="D411" s="7" t="inlineStr">
        <is>
          <t>144.62</t>
        </is>
      </c>
      <c r="E411" s="8" t="inlineStr">
        <is>
          <t>23 (+1)</t>
        </is>
      </c>
      <c r="F411" t="inlineStr">
        <is>
          <t>Tennis Alberta</t>
        </is>
      </c>
      <c r="G411" t="inlineStr">
        <is>
          <t>Aforza</t>
        </is>
      </c>
      <c r="H411" s="9" t="inlineStr">
        <is>
          <t>35.3 (▼0.1)</t>
        </is>
      </c>
      <c r="I411" t="n">
        <v>133</v>
      </c>
      <c r="J411" t="inlineStr">
        <is>
          <t>49 / 84</t>
        </is>
      </c>
      <c r="K411" s="9" t="inlineStr">
        <is>
          <t>45% (▼1%)</t>
        </is>
      </c>
    </row>
    <row r="412">
      <c r="A412" s="9" t="inlineStr">
        <is>
          <t>411 (▼4)</t>
        </is>
      </c>
      <c r="B412" t="inlineStr">
        <is>
          <t>Aila Olivia Brimacombe</t>
        </is>
      </c>
      <c r="C412" t="n">
        <v>2012</v>
      </c>
      <c r="D412" s="7" t="inlineStr">
        <is>
          <t>144.09</t>
        </is>
      </c>
      <c r="E412" s="7" t="inlineStr">
        <is>
          <t>22</t>
        </is>
      </c>
      <c r="F412" t="inlineStr">
        <is>
          <t>British Columbia</t>
        </is>
      </c>
      <c r="G412" t="inlineStr">
        <is>
          <t>West Vancouver Tennis Club</t>
        </is>
      </c>
      <c r="H412" s="7" t="inlineStr">
        <is>
          <t>34.7</t>
        </is>
      </c>
      <c r="I412" t="n">
        <v>118</v>
      </c>
      <c r="J412" t="inlineStr">
        <is>
          <t>21 / 97</t>
        </is>
      </c>
      <c r="K412" s="7" t="inlineStr">
        <is>
          <t>26%</t>
        </is>
      </c>
    </row>
    <row r="413">
      <c r="A413" s="9" t="inlineStr">
        <is>
          <t>412 (▼4)</t>
        </is>
      </c>
      <c r="B413" t="inlineStr">
        <is>
          <t>Milana Piazza</t>
        </is>
      </c>
      <c r="C413" t="n">
        <v>2016</v>
      </c>
      <c r="D413" s="7" t="inlineStr">
        <is>
          <t>144.06</t>
        </is>
      </c>
      <c r="E413" s="8" t="inlineStr">
        <is>
          <t>11 (+1)</t>
        </is>
      </c>
      <c r="F413" t="inlineStr">
        <is>
          <t>Tennis Québec</t>
        </is>
      </c>
      <c r="G413" t="inlineStr">
        <is>
          <t>Tennis 13</t>
        </is>
      </c>
      <c r="H413" s="8" t="inlineStr">
        <is>
          <t>32.8 (▲0.1)</t>
        </is>
      </c>
      <c r="I413" t="n">
        <v>93</v>
      </c>
      <c r="J413" t="inlineStr">
        <is>
          <t>56 / 37</t>
        </is>
      </c>
      <c r="K413" s="7" t="inlineStr">
        <is>
          <t>72%</t>
        </is>
      </c>
    </row>
    <row r="414">
      <c r="A414" s="9" t="inlineStr">
        <is>
          <t>413 (▼4)</t>
        </is>
      </c>
      <c r="B414" t="inlineStr">
        <is>
          <t>Vera Toptounov</t>
        </is>
      </c>
      <c r="C414" t="n">
        <v>2015</v>
      </c>
      <c r="D414" s="7" t="inlineStr">
        <is>
          <t>144.01</t>
        </is>
      </c>
      <c r="E414" s="9" t="inlineStr">
        <is>
          <t>18 (-1)</t>
        </is>
      </c>
      <c r="F414" t="inlineStr">
        <is>
          <t>Ontario Tennis Association</t>
        </is>
      </c>
      <c r="G414" t="inlineStr">
        <is>
          <t>SmartVMC Racquetsports by ACE</t>
        </is>
      </c>
      <c r="H414" s="7" t="inlineStr">
        <is>
          <t>35.5</t>
        </is>
      </c>
      <c r="I414" t="n">
        <v>106</v>
      </c>
      <c r="J414" t="inlineStr">
        <is>
          <t>46 / 60</t>
        </is>
      </c>
      <c r="K414" s="7" t="inlineStr">
        <is>
          <t>43%</t>
        </is>
      </c>
    </row>
    <row r="415">
      <c r="A415" s="9" t="inlineStr">
        <is>
          <t>414 (▼3)</t>
        </is>
      </c>
      <c r="B415" t="inlineStr">
        <is>
          <t>Maranata Okubazgi</t>
        </is>
      </c>
      <c r="C415" t="n">
        <v>2015</v>
      </c>
      <c r="D415" s="7" t="inlineStr">
        <is>
          <t>142.24</t>
        </is>
      </c>
      <c r="E415" s="7" t="inlineStr">
        <is>
          <t>18</t>
        </is>
      </c>
      <c r="F415" t="inlineStr">
        <is>
          <t>Ontario Tennis Association</t>
        </is>
      </c>
      <c r="G415" t="inlineStr">
        <is>
          <t>Premier Racquet Clubs – Mississauga</t>
        </is>
      </c>
      <c r="H415" s="7" t="inlineStr">
        <is>
          <t>34.5</t>
        </is>
      </c>
      <c r="I415" t="n">
        <v>103</v>
      </c>
      <c r="J415" t="inlineStr">
        <is>
          <t>59 / 44</t>
        </is>
      </c>
      <c r="K415" s="7" t="inlineStr">
        <is>
          <t>56%</t>
        </is>
      </c>
    </row>
    <row r="416">
      <c r="A416" s="9" t="inlineStr">
        <is>
          <t>415 (▼3)</t>
        </is>
      </c>
      <c r="B416" t="inlineStr">
        <is>
          <t>myra Malik</t>
        </is>
      </c>
      <c r="C416" t="n">
        <v>2014</v>
      </c>
      <c r="D416" s="7" t="inlineStr">
        <is>
          <t>140.56</t>
        </is>
      </c>
      <c r="E416" s="7" t="inlineStr">
        <is>
          <t>27</t>
        </is>
      </c>
      <c r="F416" t="inlineStr">
        <is>
          <t>British Columbia</t>
        </is>
      </c>
      <c r="G416" t="inlineStr">
        <is>
          <t>The Tennis Centre</t>
        </is>
      </c>
      <c r="H416" s="7" t="inlineStr">
        <is>
          <t>32.2</t>
        </is>
      </c>
      <c r="I416" t="n">
        <v>76</v>
      </c>
      <c r="J416" t="inlineStr">
        <is>
          <t>38 / 38</t>
        </is>
      </c>
      <c r="K416" s="7" t="inlineStr">
        <is>
          <t>56%</t>
        </is>
      </c>
    </row>
    <row r="417">
      <c r="A417" s="9" t="inlineStr">
        <is>
          <t>416 (▼3)</t>
        </is>
      </c>
      <c r="B417" t="inlineStr">
        <is>
          <t>Athisayah Viji</t>
        </is>
      </c>
      <c r="C417" t="n">
        <v>2015</v>
      </c>
      <c r="D417" s="7" t="inlineStr">
        <is>
          <t>139.16</t>
        </is>
      </c>
      <c r="E417" s="7" t="inlineStr">
        <is>
          <t>21</t>
        </is>
      </c>
      <c r="F417" t="inlineStr">
        <is>
          <t>British Columbia</t>
        </is>
      </c>
      <c r="G417" t="inlineStr">
        <is>
          <t>The Tennis Centre</t>
        </is>
      </c>
      <c r="H417" s="7" t="inlineStr">
        <is>
          <t>31.8</t>
        </is>
      </c>
      <c r="I417" t="n">
        <v>133</v>
      </c>
      <c r="J417" t="inlineStr">
        <is>
          <t>79 / 54</t>
        </is>
      </c>
      <c r="K417" s="7" t="inlineStr">
        <is>
          <t>67%</t>
        </is>
      </c>
    </row>
    <row r="418">
      <c r="A418" s="8" t="inlineStr">
        <is>
          <t>417 (▲9)</t>
        </is>
      </c>
      <c r="B418" t="inlineStr">
        <is>
          <t>Ellie Patricia Wilson</t>
        </is>
      </c>
      <c r="C418" t="n">
        <v>2013</v>
      </c>
      <c r="D418" s="8" t="inlineStr">
        <is>
          <t>139.04 (▲8.33)</t>
        </is>
      </c>
      <c r="E418" s="8" t="inlineStr">
        <is>
          <t>7 (+1)</t>
        </is>
      </c>
      <c r="F418" t="inlineStr">
        <is>
          <t>Ontario Tennis Association</t>
        </is>
      </c>
      <c r="G418" t="inlineStr">
        <is>
          <t>Milton Tennis Club</t>
        </is>
      </c>
      <c r="H418" s="9" t="inlineStr">
        <is>
          <t>34.6 (▼0.2)</t>
        </is>
      </c>
      <c r="I418" t="n">
        <v>67</v>
      </c>
      <c r="J418" t="inlineStr">
        <is>
          <t>24 / 43</t>
        </is>
      </c>
      <c r="K418" s="9" t="inlineStr">
        <is>
          <t>33% (▼4%)</t>
        </is>
      </c>
    </row>
    <row r="419">
      <c r="A419" s="9" t="inlineStr">
        <is>
          <t>418 (▼4)</t>
        </is>
      </c>
      <c r="B419" t="inlineStr">
        <is>
          <t>Kaylie Kam</t>
        </is>
      </c>
      <c r="C419" t="n">
        <v>2013</v>
      </c>
      <c r="D419" s="7" t="inlineStr">
        <is>
          <t>138.89</t>
        </is>
      </c>
      <c r="E419" s="7" t="inlineStr">
        <is>
          <t>16</t>
        </is>
      </c>
      <c r="F419" t="inlineStr">
        <is>
          <t>Ontario Tennis Association</t>
        </is>
      </c>
      <c r="G419" t="inlineStr">
        <is>
          <t>Blackmore Tennis Club</t>
        </is>
      </c>
      <c r="H419" s="7" t="inlineStr">
        <is>
          <t>33.9</t>
        </is>
      </c>
      <c r="I419" t="n">
        <v>63</v>
      </c>
      <c r="J419" t="inlineStr">
        <is>
          <t>40 / 23</t>
        </is>
      </c>
      <c r="K419" s="7" t="inlineStr">
        <is>
          <t>48%</t>
        </is>
      </c>
    </row>
    <row r="420">
      <c r="A420" s="8" t="inlineStr">
        <is>
          <t>419 (▲3)</t>
        </is>
      </c>
      <c r="B420" t="inlineStr">
        <is>
          <t>Zoé Pilon</t>
        </is>
      </c>
      <c r="C420" t="n">
        <v>2013</v>
      </c>
      <c r="D420" s="8" t="inlineStr">
        <is>
          <t>138.30 (▲4.81)</t>
        </is>
      </c>
      <c r="E420" s="8" t="inlineStr">
        <is>
          <t>13 (+1)</t>
        </is>
      </c>
      <c r="F420" t="inlineStr">
        <is>
          <t>Tennis Québec</t>
        </is>
      </c>
      <c r="G420" t="inlineStr">
        <is>
          <t>Tennis Interclub Piedmont</t>
        </is>
      </c>
      <c r="H420" s="7" t="inlineStr">
        <is>
          <t>37.7</t>
        </is>
      </c>
      <c r="I420" t="n">
        <v>23</v>
      </c>
      <c r="J420" t="inlineStr">
        <is>
          <t>7 / 16</t>
        </is>
      </c>
      <c r="K420" s="9" t="inlineStr">
        <is>
          <t>19% (▼1%)</t>
        </is>
      </c>
    </row>
    <row r="421">
      <c r="A421" s="9" t="inlineStr">
        <is>
          <t>420 (▼5)</t>
        </is>
      </c>
      <c r="B421" t="inlineStr">
        <is>
          <t>Spencer Xie</t>
        </is>
      </c>
      <c r="C421" t="n">
        <v>2012</v>
      </c>
      <c r="D421" s="7" t="inlineStr">
        <is>
          <t>138.24</t>
        </is>
      </c>
      <c r="E421" s="7" t="inlineStr">
        <is>
          <t>12</t>
        </is>
      </c>
      <c r="F421" t="inlineStr">
        <is>
          <t>Ontario Tennis Association</t>
        </is>
      </c>
      <c r="G421" t="inlineStr">
        <is>
          <t>Granite Club</t>
        </is>
      </c>
      <c r="H421" s="7" t="inlineStr">
        <is>
          <t>35.1</t>
        </is>
      </c>
      <c r="I421" t="n">
        <v>71</v>
      </c>
      <c r="J421" t="inlineStr">
        <is>
          <t>19 / 52</t>
        </is>
      </c>
      <c r="K421" s="7" t="inlineStr">
        <is>
          <t>32%</t>
        </is>
      </c>
    </row>
    <row r="422">
      <c r="A422" s="9" t="inlineStr">
        <is>
          <t>421 (▼5)</t>
        </is>
      </c>
      <c r="B422" t="inlineStr">
        <is>
          <t>Audrey Ziqi Liu</t>
        </is>
      </c>
      <c r="C422" t="n">
        <v>2013</v>
      </c>
      <c r="D422" s="7" t="inlineStr">
        <is>
          <t>138.11</t>
        </is>
      </c>
      <c r="E422" s="7" t="inlineStr">
        <is>
          <t>11</t>
        </is>
      </c>
      <c r="F422" t="inlineStr">
        <is>
          <t>British Columbia</t>
        </is>
      </c>
      <c r="G422" t="inlineStr">
        <is>
          <t>UBC Tennis Centre</t>
        </is>
      </c>
      <c r="H422" s="7" t="inlineStr">
        <is>
          <t>34.7</t>
        </is>
      </c>
      <c r="I422" t="n">
        <v>28</v>
      </c>
      <c r="J422" t="inlineStr">
        <is>
          <t>9 / 19</t>
        </is>
      </c>
      <c r="K422" s="7" t="inlineStr">
        <is>
          <t>32%</t>
        </is>
      </c>
    </row>
    <row r="423">
      <c r="A423" s="9" t="inlineStr">
        <is>
          <t>422 (▼5)</t>
        </is>
      </c>
      <c r="B423" t="inlineStr">
        <is>
          <t>Audrey JIA</t>
        </is>
      </c>
      <c r="C423" t="n">
        <v>2014</v>
      </c>
      <c r="D423" s="7" t="inlineStr">
        <is>
          <t>137.05</t>
        </is>
      </c>
      <c r="E423" s="7" t="inlineStr">
        <is>
          <t>24</t>
        </is>
      </c>
      <c r="F423" t="inlineStr">
        <is>
          <t>Ontario Tennis Association</t>
        </is>
      </c>
      <c r="G423" t="inlineStr">
        <is>
          <t>Newmarket Community Tennis Club</t>
        </is>
      </c>
      <c r="H423" s="7" t="inlineStr">
        <is>
          <t>unavailable</t>
        </is>
      </c>
      <c r="I423" t="n">
        <v>102</v>
      </c>
      <c r="J423" t="inlineStr">
        <is>
          <t>56 / 46</t>
        </is>
      </c>
      <c r="K423" s="7" t="inlineStr">
        <is>
          <t>67%</t>
        </is>
      </c>
    </row>
    <row r="424">
      <c r="A424" s="9" t="inlineStr">
        <is>
          <t>423 (▼3)</t>
        </is>
      </c>
      <c r="B424" t="inlineStr">
        <is>
          <t>Anya De Lain</t>
        </is>
      </c>
      <c r="C424" t="n">
        <v>2015</v>
      </c>
      <c r="D424" s="7" t="inlineStr">
        <is>
          <t>134.24</t>
        </is>
      </c>
      <c r="E424" s="8" t="inlineStr">
        <is>
          <t>16 (+1)</t>
        </is>
      </c>
      <c r="F424" t="inlineStr">
        <is>
          <t>Tennis Québec</t>
        </is>
      </c>
      <c r="G424" t="inlineStr">
        <is>
          <t>EB Tennis inc.</t>
        </is>
      </c>
      <c r="H424" s="7" t="inlineStr">
        <is>
          <t>39.7</t>
        </is>
      </c>
      <c r="I424" t="n">
        <v>93</v>
      </c>
      <c r="J424" t="inlineStr">
        <is>
          <t>17 / 76</t>
        </is>
      </c>
      <c r="K424" s="7" t="inlineStr">
        <is>
          <t>13%</t>
        </is>
      </c>
    </row>
    <row r="425">
      <c r="A425" s="9" t="inlineStr">
        <is>
          <t>424 (▼1)</t>
        </is>
      </c>
      <c r="B425" t="inlineStr">
        <is>
          <t>Jaynaëlle Isaac</t>
        </is>
      </c>
      <c r="C425" t="n">
        <v>2014</v>
      </c>
      <c r="D425" s="7" t="inlineStr">
        <is>
          <t>132.87</t>
        </is>
      </c>
      <c r="E425" s="7" t="inlineStr">
        <is>
          <t>11</t>
        </is>
      </c>
      <c r="F425" t="inlineStr">
        <is>
          <t>Tennis Québec</t>
        </is>
      </c>
      <c r="G425" t="inlineStr">
        <is>
          <t>No Club</t>
        </is>
      </c>
      <c r="H425" s="7" t="inlineStr">
        <is>
          <t>32.4</t>
        </is>
      </c>
      <c r="I425" t="n">
        <v>124</v>
      </c>
      <c r="J425" t="inlineStr">
        <is>
          <t>49 / 75</t>
        </is>
      </c>
      <c r="K425" s="7" t="inlineStr">
        <is>
          <t>45%</t>
        </is>
      </c>
    </row>
    <row r="426">
      <c r="A426" s="9" t="inlineStr">
        <is>
          <t>425 (▼1)</t>
        </is>
      </c>
      <c r="B426" t="inlineStr">
        <is>
          <t>Olivia Xing</t>
        </is>
      </c>
      <c r="C426" t="n">
        <v>2013</v>
      </c>
      <c r="D426" s="7" t="inlineStr">
        <is>
          <t>132.50</t>
        </is>
      </c>
      <c r="E426" s="7" t="inlineStr">
        <is>
          <t>16</t>
        </is>
      </c>
      <c r="F426" t="inlineStr">
        <is>
          <t>British Columbia</t>
        </is>
      </c>
      <c r="G426" t="inlineStr">
        <is>
          <t>Vancouver Lawn Tennis and Badminton Club</t>
        </is>
      </c>
      <c r="H426" s="7" t="inlineStr">
        <is>
          <t>unavailable</t>
        </is>
      </c>
      <c r="I426" t="n">
        <v>117</v>
      </c>
      <c r="J426" t="inlineStr">
        <is>
          <t>57 / 60</t>
        </is>
      </c>
      <c r="K426" s="7" t="inlineStr">
        <is>
          <t>43%</t>
        </is>
      </c>
    </row>
    <row r="427">
      <c r="A427" s="9" t="inlineStr">
        <is>
          <t>426 (▼8)</t>
        </is>
      </c>
      <c r="B427" t="inlineStr">
        <is>
          <t>Lydia Squires-Sturge</t>
        </is>
      </c>
      <c r="C427" t="n">
        <v>2013</v>
      </c>
      <c r="D427" s="9" t="inlineStr">
        <is>
          <t>130.62 (▼5.52)</t>
        </is>
      </c>
      <c r="E427" s="7" t="inlineStr">
        <is>
          <t>6</t>
        </is>
      </c>
      <c r="F427" t="inlineStr">
        <is>
          <t>Tennis Newfoundland &amp; Labrador</t>
        </is>
      </c>
      <c r="G427" t="inlineStr">
        <is>
          <t>Mount Pearl Tennis Club</t>
        </is>
      </c>
      <c r="H427" s="7" t="inlineStr">
        <is>
          <t>unavailable</t>
        </is>
      </c>
      <c r="I427" t="n">
        <v>29</v>
      </c>
      <c r="J427" t="inlineStr">
        <is>
          <t>11 / 18</t>
        </is>
      </c>
      <c r="K427" s="7" t="inlineStr">
        <is>
          <t>40%</t>
        </is>
      </c>
    </row>
    <row r="428">
      <c r="A428" s="7" t="inlineStr">
        <is>
          <t>427</t>
        </is>
      </c>
      <c r="B428" t="inlineStr">
        <is>
          <t>LEAH SHOJAIE</t>
        </is>
      </c>
      <c r="C428" t="n">
        <v>2013</v>
      </c>
      <c r="D428" s="7" t="inlineStr">
        <is>
          <t>130.15</t>
        </is>
      </c>
      <c r="E428" s="7" t="inlineStr">
        <is>
          <t>14</t>
        </is>
      </c>
      <c r="F428" t="inlineStr">
        <is>
          <t>Ontario Tennis Association</t>
        </is>
      </c>
      <c r="G428" t="inlineStr">
        <is>
          <t>Valan Tennis Academy</t>
        </is>
      </c>
      <c r="H428" s="7" t="inlineStr">
        <is>
          <t>35.9</t>
        </is>
      </c>
      <c r="I428" t="n">
        <v>21</v>
      </c>
      <c r="J428" t="inlineStr">
        <is>
          <t>6 / 15</t>
        </is>
      </c>
      <c r="K428" s="7" t="inlineStr">
        <is>
          <t>28%</t>
        </is>
      </c>
    </row>
    <row r="429">
      <c r="A429" s="7" t="inlineStr">
        <is>
          <t>428</t>
        </is>
      </c>
      <c r="B429" t="inlineStr">
        <is>
          <t>Myra Chowdhary</t>
        </is>
      </c>
      <c r="C429" t="n">
        <v>2012</v>
      </c>
      <c r="D429" s="7" t="inlineStr">
        <is>
          <t>130.12</t>
        </is>
      </c>
      <c r="E429" s="7" t="inlineStr">
        <is>
          <t>10</t>
        </is>
      </c>
      <c r="F429" t="inlineStr">
        <is>
          <t>Ontario Tennis Association</t>
        </is>
      </c>
      <c r="G429" t="inlineStr">
        <is>
          <t>Youngs Sportsplex</t>
        </is>
      </c>
      <c r="H429" s="7" t="inlineStr">
        <is>
          <t>38.4</t>
        </is>
      </c>
      <c r="I429" t="n">
        <v>41</v>
      </c>
      <c r="J429" t="inlineStr">
        <is>
          <t>12 / 29</t>
        </is>
      </c>
      <c r="K429" s="7" t="inlineStr">
        <is>
          <t>24%</t>
        </is>
      </c>
    </row>
    <row r="430">
      <c r="A430" s="9" t="inlineStr">
        <is>
          <t>429 (▼8)</t>
        </is>
      </c>
      <c r="B430" t="inlineStr">
        <is>
          <t>Blake Badger</t>
        </is>
      </c>
      <c r="C430" t="n">
        <v>2015</v>
      </c>
      <c r="D430" s="9" t="inlineStr">
        <is>
          <t>129.50 (▼4.32)</t>
        </is>
      </c>
      <c r="E430" s="9" t="inlineStr">
        <is>
          <t>3 (-1)</t>
        </is>
      </c>
      <c r="F430" t="inlineStr">
        <is>
          <t>Tennis Saskatchewan</t>
        </is>
      </c>
      <c r="G430" t="inlineStr">
        <is>
          <t>Lakeshore Tennis Club</t>
        </is>
      </c>
      <c r="H430" s="7" t="inlineStr">
        <is>
          <t>38.3</t>
        </is>
      </c>
      <c r="I430" t="n">
        <v>63</v>
      </c>
      <c r="J430" t="inlineStr">
        <is>
          <t>20 / 43</t>
        </is>
      </c>
      <c r="K430" s="7" t="inlineStr">
        <is>
          <t>22%</t>
        </is>
      </c>
    </row>
    <row r="431">
      <c r="A431" s="8" t="inlineStr">
        <is>
          <t>430 (▲13)</t>
        </is>
      </c>
      <c r="B431" t="inlineStr">
        <is>
          <t>Grace Raymond</t>
        </is>
      </c>
      <c r="C431" t="n">
        <v>2015</v>
      </c>
      <c r="D431" s="8" t="inlineStr">
        <is>
          <t>128.96 (▲11.30)</t>
        </is>
      </c>
      <c r="E431" s="7" t="inlineStr">
        <is>
          <t>14</t>
        </is>
      </c>
      <c r="F431" t="inlineStr">
        <is>
          <t>Tennis Alberta</t>
        </is>
      </c>
      <c r="G431" t="inlineStr">
        <is>
          <t>Osten &amp; Victor Alberta Tennis Centre</t>
        </is>
      </c>
      <c r="H431" s="9" t="inlineStr">
        <is>
          <t>34.6 (▼0.2)</t>
        </is>
      </c>
      <c r="I431" t="n">
        <v>74</v>
      </c>
      <c r="J431" t="inlineStr">
        <is>
          <t>33 / 41</t>
        </is>
      </c>
      <c r="K431" s="8" t="inlineStr">
        <is>
          <t>40% (▲1%)</t>
        </is>
      </c>
    </row>
    <row r="432">
      <c r="A432" s="9" t="inlineStr">
        <is>
          <t>431 (▼6)</t>
        </is>
      </c>
      <c r="B432" t="inlineStr">
        <is>
          <t>Olivia Weiwei Kong</t>
        </is>
      </c>
      <c r="C432" t="n">
        <v>2014</v>
      </c>
      <c r="D432" s="9" t="inlineStr">
        <is>
          <t>128.29 (▼2.59)</t>
        </is>
      </c>
      <c r="E432" s="9" t="inlineStr">
        <is>
          <t>5 (-1)</t>
        </is>
      </c>
      <c r="F432" t="inlineStr">
        <is>
          <t>Tennis Saskatchewan</t>
        </is>
      </c>
      <c r="G432" t="inlineStr">
        <is>
          <t>Lakeshore Tennis Club</t>
        </is>
      </c>
      <c r="H432" s="7" t="inlineStr">
        <is>
          <t>35.8</t>
        </is>
      </c>
      <c r="I432" t="n">
        <v>91</v>
      </c>
      <c r="J432" t="inlineStr">
        <is>
          <t>23 / 68</t>
        </is>
      </c>
      <c r="K432" s="7" t="inlineStr">
        <is>
          <t>27%</t>
        </is>
      </c>
    </row>
    <row r="433">
      <c r="A433" s="9" t="inlineStr">
        <is>
          <t>432 (▼2)</t>
        </is>
      </c>
      <c r="B433" t="inlineStr">
        <is>
          <t>Afsoune Wassel</t>
        </is>
      </c>
      <c r="C433" t="n">
        <v>2014</v>
      </c>
      <c r="D433" s="7" t="inlineStr">
        <is>
          <t>128.10</t>
        </is>
      </c>
      <c r="E433" s="9" t="inlineStr">
        <is>
          <t>16 (-1)</t>
        </is>
      </c>
      <c r="F433" t="inlineStr">
        <is>
          <t>Tennis Québec</t>
        </is>
      </c>
      <c r="G433" t="inlineStr">
        <is>
          <t>SANI Sport</t>
        </is>
      </c>
      <c r="H433" s="7" t="inlineStr">
        <is>
          <t>34.7</t>
        </is>
      </c>
      <c r="I433" t="n">
        <v>118</v>
      </c>
      <c r="J433" t="inlineStr">
        <is>
          <t>59 / 59</t>
        </is>
      </c>
      <c r="K433" s="7" t="inlineStr">
        <is>
          <t>35%</t>
        </is>
      </c>
    </row>
    <row r="434">
      <c r="A434" s="9" t="inlineStr">
        <is>
          <t>433 (▼2)</t>
        </is>
      </c>
      <c r="B434" t="inlineStr">
        <is>
          <t>Mikayla Avani Mahanandan</t>
        </is>
      </c>
      <c r="C434" t="n">
        <v>2014</v>
      </c>
      <c r="D434" s="7" t="inlineStr">
        <is>
          <t>127.05</t>
        </is>
      </c>
      <c r="E434" s="8" t="inlineStr">
        <is>
          <t>24 (+1)</t>
        </is>
      </c>
      <c r="F434" t="inlineStr">
        <is>
          <t>Ontario Tennis Association</t>
        </is>
      </c>
      <c r="G434" t="inlineStr">
        <is>
          <t>Premier Racquet Clubs – Mississauga</t>
        </is>
      </c>
      <c r="H434" s="7" t="inlineStr">
        <is>
          <t>unavailable</t>
        </is>
      </c>
      <c r="I434" t="n">
        <v>114</v>
      </c>
      <c r="J434" t="inlineStr">
        <is>
          <t>39 / 75</t>
        </is>
      </c>
      <c r="K434" s="8" t="inlineStr">
        <is>
          <t>37% (▲1%)</t>
        </is>
      </c>
    </row>
    <row r="435">
      <c r="A435" s="9" t="inlineStr">
        <is>
          <t>434 (▼1)</t>
        </is>
      </c>
      <c r="B435" t="inlineStr">
        <is>
          <t>Isla Suokas</t>
        </is>
      </c>
      <c r="C435" t="n">
        <v>2015</v>
      </c>
      <c r="D435" s="7" t="inlineStr">
        <is>
          <t>126.00</t>
        </is>
      </c>
      <c r="E435" s="7" t="inlineStr">
        <is>
          <t>24</t>
        </is>
      </c>
      <c r="F435" t="inlineStr">
        <is>
          <t>Ontario Tennis Association</t>
        </is>
      </c>
      <c r="G435" t="inlineStr">
        <is>
          <t>Boulevard Club</t>
        </is>
      </c>
      <c r="H435" s="7" t="inlineStr">
        <is>
          <t>34.1</t>
        </is>
      </c>
      <c r="I435" t="n">
        <v>103</v>
      </c>
      <c r="J435" t="inlineStr">
        <is>
          <t>62 / 41</t>
        </is>
      </c>
      <c r="K435" s="7" t="inlineStr">
        <is>
          <t>60%</t>
        </is>
      </c>
    </row>
    <row r="436">
      <c r="A436" s="8" t="inlineStr">
        <is>
          <t>435 (▲49)</t>
        </is>
      </c>
      <c r="B436" t="inlineStr">
        <is>
          <t>Julia Anne Kennedy</t>
        </is>
      </c>
      <c r="C436" t="n">
        <v>2013</v>
      </c>
      <c r="D436" s="8" t="inlineStr">
        <is>
          <t>125.74 (▲27.86)</t>
        </is>
      </c>
      <c r="E436" s="8" t="inlineStr">
        <is>
          <t>3 (+1)</t>
        </is>
      </c>
      <c r="F436" t="inlineStr">
        <is>
          <t>Ontario Tennis Association</t>
        </is>
      </c>
      <c r="G436" t="inlineStr">
        <is>
          <t>SmartVMC Racquetsports by ACE</t>
        </is>
      </c>
      <c r="H436" s="9" t="inlineStr">
        <is>
          <t>32.5 (▼0.3)</t>
        </is>
      </c>
      <c r="I436" t="n">
        <v>149</v>
      </c>
      <c r="J436" t="inlineStr">
        <is>
          <t>72 / 77</t>
        </is>
      </c>
      <c r="K436" s="9" t="inlineStr">
        <is>
          <t>75% (▼7%)</t>
        </is>
      </c>
    </row>
    <row r="437">
      <c r="A437" s="8" t="inlineStr">
        <is>
          <t>436 (▲2)</t>
        </is>
      </c>
      <c r="B437" t="inlineStr">
        <is>
          <t>Anna Guzina-McLeod</t>
        </is>
      </c>
      <c r="C437" t="n">
        <v>2015</v>
      </c>
      <c r="D437" s="8" t="inlineStr">
        <is>
          <t>125.03 (▲4.75)</t>
        </is>
      </c>
      <c r="E437" s="8" t="inlineStr">
        <is>
          <t>20 (+1)</t>
        </is>
      </c>
      <c r="F437" t="inlineStr">
        <is>
          <t>Ontario Tennis Association</t>
        </is>
      </c>
      <c r="G437" t="inlineStr">
        <is>
          <t>Rideau Sports Centre</t>
        </is>
      </c>
      <c r="H437" s="7" t="inlineStr">
        <is>
          <t>unavailable</t>
        </is>
      </c>
      <c r="I437" t="n">
        <v>123</v>
      </c>
      <c r="J437" t="inlineStr">
        <is>
          <t>71 / 52</t>
        </is>
      </c>
      <c r="K437" s="7" t="inlineStr">
        <is>
          <t>44%</t>
        </is>
      </c>
    </row>
    <row r="438">
      <c r="A438" s="9" t="inlineStr">
        <is>
          <t>437 (▼3)</t>
        </is>
      </c>
      <c r="B438" t="inlineStr">
        <is>
          <t>Xinyue Grace zhu</t>
        </is>
      </c>
      <c r="C438" t="n">
        <v>2015</v>
      </c>
      <c r="D438" s="7" t="inlineStr">
        <is>
          <t>125.00</t>
        </is>
      </c>
      <c r="E438" s="7" t="inlineStr">
        <is>
          <t>11</t>
        </is>
      </c>
      <c r="F438" t="inlineStr">
        <is>
          <t>British Columbia</t>
        </is>
      </c>
      <c r="G438" t="inlineStr">
        <is>
          <t>North Vancouver Tennis Centre</t>
        </is>
      </c>
      <c r="H438" s="7" t="inlineStr">
        <is>
          <t>unavailable</t>
        </is>
      </c>
      <c r="I438" t="n">
        <v>184</v>
      </c>
      <c r="J438" t="inlineStr">
        <is>
          <t>111 / 73</t>
        </is>
      </c>
      <c r="K438" s="7" t="inlineStr">
        <is>
          <t>55%</t>
        </is>
      </c>
    </row>
    <row r="439">
      <c r="A439" s="9" t="inlineStr">
        <is>
          <t>438 (▼6)</t>
        </is>
      </c>
      <c r="B439" t="inlineStr">
        <is>
          <t>Stella Marion Thoms</t>
        </is>
      </c>
      <c r="C439" t="n">
        <v>2013</v>
      </c>
      <c r="D439" s="9" t="inlineStr">
        <is>
          <t>124.64 (▼1.80)</t>
        </is>
      </c>
      <c r="E439" s="7" t="inlineStr">
        <is>
          <t>8</t>
        </is>
      </c>
      <c r="F439" t="inlineStr">
        <is>
          <t>Tennis Newfoundland &amp; Labrador</t>
        </is>
      </c>
      <c r="G439" t="inlineStr">
        <is>
          <t>Riverdale Tennis Club</t>
        </is>
      </c>
      <c r="H439" s="7" t="inlineStr">
        <is>
          <t>35.1</t>
        </is>
      </c>
      <c r="I439" t="n">
        <v>51</v>
      </c>
      <c r="J439" t="inlineStr">
        <is>
          <t>29 / 22</t>
        </is>
      </c>
      <c r="K439" s="7" t="inlineStr">
        <is>
          <t>47%</t>
        </is>
      </c>
    </row>
    <row r="440">
      <c r="A440" s="9" t="inlineStr">
        <is>
          <t>439 (▼4)</t>
        </is>
      </c>
      <c r="B440" t="inlineStr">
        <is>
          <t>Chloe Zhiyan Bai</t>
        </is>
      </c>
      <c r="C440" t="n">
        <v>2015</v>
      </c>
      <c r="D440" s="7" t="inlineStr">
        <is>
          <t>123.89</t>
        </is>
      </c>
      <c r="E440" s="7" t="inlineStr">
        <is>
          <t>25</t>
        </is>
      </c>
      <c r="F440" t="inlineStr">
        <is>
          <t>British Columbia</t>
        </is>
      </c>
      <c r="G440" t="inlineStr">
        <is>
          <t>Tennis BC Hub @ Richmond</t>
        </is>
      </c>
      <c r="H440" s="7" t="inlineStr">
        <is>
          <t>unavailable</t>
        </is>
      </c>
      <c r="I440" t="n">
        <v>180</v>
      </c>
      <c r="J440" t="inlineStr">
        <is>
          <t>84 / 96</t>
        </is>
      </c>
      <c r="K440" s="7" t="inlineStr">
        <is>
          <t>56%</t>
        </is>
      </c>
    </row>
    <row r="441">
      <c r="A441" s="8" t="inlineStr">
        <is>
          <t>440 (▲4)</t>
        </is>
      </c>
      <c r="B441" t="inlineStr">
        <is>
          <t>Emma Plugaru</t>
        </is>
      </c>
      <c r="C441" t="n">
        <v>2015</v>
      </c>
      <c r="D441" s="8" t="inlineStr">
        <is>
          <t>123.75 (▲6.24)</t>
        </is>
      </c>
      <c r="E441" s="8" t="inlineStr">
        <is>
          <t>15 (+1)</t>
        </is>
      </c>
      <c r="F441" t="inlineStr">
        <is>
          <t>Tennis Québec</t>
        </is>
      </c>
      <c r="G441" t="inlineStr">
        <is>
          <t>Tennis 13</t>
        </is>
      </c>
      <c r="H441" s="7" t="inlineStr">
        <is>
          <t>33.6</t>
        </is>
      </c>
      <c r="I441" t="n">
        <v>133</v>
      </c>
      <c r="J441" t="inlineStr">
        <is>
          <t>73 / 60</t>
        </is>
      </c>
      <c r="K441" s="7" t="inlineStr">
        <is>
          <t>65%</t>
        </is>
      </c>
    </row>
    <row r="442">
      <c r="A442" s="9" t="inlineStr">
        <is>
          <t>441 (▼2)</t>
        </is>
      </c>
      <c r="B442" t="inlineStr">
        <is>
          <t>Isabelle Duvinage</t>
        </is>
      </c>
      <c r="C442" t="n">
        <v>2013</v>
      </c>
      <c r="D442" s="8" t="inlineStr">
        <is>
          <t>123.40 (▲3.95)</t>
        </is>
      </c>
      <c r="E442" s="8" t="inlineStr">
        <is>
          <t>10 (+1)</t>
        </is>
      </c>
      <c r="F442" t="inlineStr">
        <is>
          <t>Ontario Tennis Association</t>
        </is>
      </c>
      <c r="G442" t="inlineStr">
        <is>
          <t>Kew Gardens Tennis Club</t>
        </is>
      </c>
      <c r="H442" s="7" t="inlineStr">
        <is>
          <t>36.5</t>
        </is>
      </c>
      <c r="I442" t="n">
        <v>46</v>
      </c>
      <c r="J442" t="inlineStr">
        <is>
          <t>15 / 31</t>
        </is>
      </c>
      <c r="K442" s="9" t="inlineStr">
        <is>
          <t>27% (▼1%)</t>
        </is>
      </c>
    </row>
    <row r="443">
      <c r="A443" s="9" t="inlineStr">
        <is>
          <t>442 (▼13)</t>
        </is>
      </c>
      <c r="B443" t="inlineStr">
        <is>
          <t>Scarlett Hannah Yip</t>
        </is>
      </c>
      <c r="C443" t="n">
        <v>2014</v>
      </c>
      <c r="D443" s="9" t="inlineStr">
        <is>
          <t>122.91 (▼5.62)</t>
        </is>
      </c>
      <c r="E443" s="9" t="inlineStr">
        <is>
          <t>10 (-1)</t>
        </is>
      </c>
      <c r="F443" t="inlineStr">
        <is>
          <t>Tennis Alberta</t>
        </is>
      </c>
      <c r="G443" t="inlineStr">
        <is>
          <t>Osten &amp; Victor Alberta Tennis Centre</t>
        </is>
      </c>
      <c r="H443" s="7" t="inlineStr">
        <is>
          <t>33.7</t>
        </is>
      </c>
      <c r="I443" t="n">
        <v>146</v>
      </c>
      <c r="J443" t="inlineStr">
        <is>
          <t>65 / 81</t>
        </is>
      </c>
      <c r="K443" s="7" t="inlineStr">
        <is>
          <t>43%</t>
        </is>
      </c>
    </row>
    <row r="444">
      <c r="A444" s="9" t="inlineStr">
        <is>
          <t>443 (▼7)</t>
        </is>
      </c>
      <c r="B444" t="inlineStr">
        <is>
          <t>Paulina Mangal</t>
        </is>
      </c>
      <c r="C444" t="n">
        <v>2016</v>
      </c>
      <c r="D444" s="7" t="inlineStr">
        <is>
          <t>122.04</t>
        </is>
      </c>
      <c r="E444" s="9" t="inlineStr">
        <is>
          <t>26 (-1)</t>
        </is>
      </c>
      <c r="F444" t="inlineStr">
        <is>
          <t>Ontario Tennis Association</t>
        </is>
      </c>
      <c r="G444" t="inlineStr">
        <is>
          <t>Premier Racquet Clubs – Mississauga</t>
        </is>
      </c>
      <c r="H444" s="7" t="inlineStr">
        <is>
          <t>35.5</t>
        </is>
      </c>
      <c r="I444" t="n">
        <v>188</v>
      </c>
      <c r="J444" t="inlineStr">
        <is>
          <t>80 / 108</t>
        </is>
      </c>
      <c r="K444" s="7" t="inlineStr">
        <is>
          <t>48%</t>
        </is>
      </c>
    </row>
    <row r="445">
      <c r="A445" s="8" t="inlineStr">
        <is>
          <t>444 (▲1)</t>
        </is>
      </c>
      <c r="B445" t="inlineStr">
        <is>
          <t>Mia Pan</t>
        </is>
      </c>
      <c r="C445" t="n">
        <v>2015</v>
      </c>
      <c r="D445" s="8" t="inlineStr">
        <is>
          <t>121.79 (▲5.42)</t>
        </is>
      </c>
      <c r="E445" s="8" t="inlineStr">
        <is>
          <t>19 (+1)</t>
        </is>
      </c>
      <c r="F445" t="inlineStr">
        <is>
          <t>British Columbia</t>
        </is>
      </c>
      <c r="G445" t="inlineStr">
        <is>
          <t>Vanguard Tennis Academy</t>
        </is>
      </c>
      <c r="H445" s="7" t="inlineStr">
        <is>
          <t>unavailable</t>
        </is>
      </c>
      <c r="I445" t="n">
        <v>128</v>
      </c>
      <c r="J445" t="inlineStr">
        <is>
          <t>72 / 56</t>
        </is>
      </c>
      <c r="K445" s="9" t="inlineStr">
        <is>
          <t>56% (▼1%)</t>
        </is>
      </c>
    </row>
    <row r="446">
      <c r="A446" s="9" t="inlineStr">
        <is>
          <t>445 (▼8)</t>
        </is>
      </c>
      <c r="B446" t="inlineStr">
        <is>
          <t>LeeZann Lai</t>
        </is>
      </c>
      <c r="C446" t="n">
        <v>2013</v>
      </c>
      <c r="D446" s="7" t="inlineStr">
        <is>
          <t>121.25</t>
        </is>
      </c>
      <c r="E446" s="7" t="inlineStr">
        <is>
          <t>13</t>
        </is>
      </c>
      <c r="F446" t="inlineStr">
        <is>
          <t>Ontario Tennis Association</t>
        </is>
      </c>
      <c r="G446" t="inlineStr">
        <is>
          <t>Don Mills Tennis Club</t>
        </is>
      </c>
      <c r="H446" s="7" t="inlineStr">
        <is>
          <t>34.7</t>
        </is>
      </c>
      <c r="I446" t="n">
        <v>56</v>
      </c>
      <c r="J446" t="inlineStr">
        <is>
          <t>23 / 33</t>
        </is>
      </c>
      <c r="K446" s="7" t="inlineStr">
        <is>
          <t>35%</t>
        </is>
      </c>
    </row>
    <row r="447">
      <c r="A447" s="8" t="inlineStr">
        <is>
          <t>446 (▲8)</t>
        </is>
      </c>
      <c r="B447" t="inlineStr">
        <is>
          <t>Karolina Klepinin</t>
        </is>
      </c>
      <c r="C447" t="n">
        <v>2012</v>
      </c>
      <c r="D447" s="8" t="inlineStr">
        <is>
          <t>120.47 (▲7.20)</t>
        </is>
      </c>
      <c r="E447" s="8" t="inlineStr">
        <is>
          <t>8 (+1)</t>
        </is>
      </c>
      <c r="F447" t="inlineStr">
        <is>
          <t>Ontario Tennis Association</t>
        </is>
      </c>
      <c r="G447" t="inlineStr">
        <is>
          <t>ON North Central No Club</t>
        </is>
      </c>
      <c r="H447" s="8" t="inlineStr">
        <is>
          <t>35.9 (▲0.5)</t>
        </is>
      </c>
      <c r="I447" t="n">
        <v>56</v>
      </c>
      <c r="J447" t="inlineStr">
        <is>
          <t>15 / 41</t>
        </is>
      </c>
      <c r="K447" s="8" t="inlineStr">
        <is>
          <t>28% (▲3%)</t>
        </is>
      </c>
    </row>
    <row r="448">
      <c r="A448" s="8" t="inlineStr">
        <is>
          <t>447 (▲13)</t>
        </is>
      </c>
      <c r="B448" t="inlineStr">
        <is>
          <t>Mila Venturelli</t>
        </is>
      </c>
      <c r="C448" t="n">
        <v>2015</v>
      </c>
      <c r="D448" s="8" t="inlineStr">
        <is>
          <t>120.42 (▲11.49)</t>
        </is>
      </c>
      <c r="E448" s="8" t="inlineStr">
        <is>
          <t>22 (+1)</t>
        </is>
      </c>
      <c r="F448" t="inlineStr">
        <is>
          <t>Tennis Québec</t>
        </is>
      </c>
      <c r="G448" t="inlineStr">
        <is>
          <t>Tennis 13</t>
        </is>
      </c>
      <c r="H448" s="8" t="inlineStr">
        <is>
          <t>35.3 (▲1.1)</t>
        </is>
      </c>
      <c r="I448" t="n">
        <v>98</v>
      </c>
      <c r="J448" t="inlineStr">
        <is>
          <t>40 / 58</t>
        </is>
      </c>
      <c r="K448" s="9" t="inlineStr">
        <is>
          <t>36% (▼3%)</t>
        </is>
      </c>
    </row>
    <row r="449">
      <c r="A449" s="9" t="inlineStr">
        <is>
          <t>448 (▼8)</t>
        </is>
      </c>
      <c r="B449" t="inlineStr">
        <is>
          <t>Noa Margaux Dery</t>
        </is>
      </c>
      <c r="C449" t="n">
        <v>2013</v>
      </c>
      <c r="D449" s="7" t="inlineStr">
        <is>
          <t>119.11</t>
        </is>
      </c>
      <c r="E449" s="8" t="inlineStr">
        <is>
          <t>7 (+1)</t>
        </is>
      </c>
      <c r="F449" t="inlineStr">
        <is>
          <t>Tennis Québec</t>
        </is>
      </c>
      <c r="G449" t="inlineStr">
        <is>
          <t>Club Sportif Côte-de-Liesse</t>
        </is>
      </c>
      <c r="H449" s="7" t="inlineStr">
        <is>
          <t>35.5</t>
        </is>
      </c>
      <c r="I449" t="n">
        <v>39</v>
      </c>
      <c r="J449" t="inlineStr">
        <is>
          <t>14 / 25</t>
        </is>
      </c>
      <c r="K449" s="7" t="inlineStr">
        <is>
          <t>54%</t>
        </is>
      </c>
    </row>
    <row r="450">
      <c r="A450" s="9" t="inlineStr">
        <is>
          <t>449 (▼8)</t>
        </is>
      </c>
      <c r="B450" t="inlineStr">
        <is>
          <t>Ranica Li</t>
        </is>
      </c>
      <c r="C450" t="n">
        <v>2014</v>
      </c>
      <c r="D450" s="7" t="inlineStr">
        <is>
          <t>118.63</t>
        </is>
      </c>
      <c r="E450" s="7" t="inlineStr">
        <is>
          <t>21</t>
        </is>
      </c>
      <c r="F450" t="inlineStr">
        <is>
          <t>British Columbia</t>
        </is>
      </c>
      <c r="G450" t="inlineStr">
        <is>
          <t>The Tennis Centre</t>
        </is>
      </c>
      <c r="H450" s="7" t="inlineStr">
        <is>
          <t>33.1</t>
        </is>
      </c>
      <c r="I450" t="n">
        <v>97</v>
      </c>
      <c r="J450" t="inlineStr">
        <is>
          <t>56 / 41</t>
        </is>
      </c>
      <c r="K450" s="7" t="inlineStr">
        <is>
          <t>64%</t>
        </is>
      </c>
    </row>
    <row r="451">
      <c r="A451" s="9" t="inlineStr">
        <is>
          <t>450 (▼8)</t>
        </is>
      </c>
      <c r="B451" t="inlineStr">
        <is>
          <t>Zaria Antonella Tambini</t>
        </is>
      </c>
      <c r="C451" t="n">
        <v>2013</v>
      </c>
      <c r="D451" s="7" t="inlineStr">
        <is>
          <t>117.90</t>
        </is>
      </c>
      <c r="E451" s="7" t="inlineStr">
        <is>
          <t>8</t>
        </is>
      </c>
      <c r="F451" t="inlineStr">
        <is>
          <t>Ontario Tennis Association</t>
        </is>
      </c>
      <c r="G451" t="inlineStr">
        <is>
          <t>Headwaters Racquet Club</t>
        </is>
      </c>
      <c r="H451" s="7" t="inlineStr">
        <is>
          <t>37.9</t>
        </is>
      </c>
      <c r="I451" t="n">
        <v>26</v>
      </c>
      <c r="J451" t="inlineStr">
        <is>
          <t>10 / 16</t>
        </is>
      </c>
      <c r="K451" s="7" t="inlineStr">
        <is>
          <t>26%</t>
        </is>
      </c>
    </row>
    <row r="452">
      <c r="A452" s="9" t="inlineStr">
        <is>
          <t>451 (▼2)</t>
        </is>
      </c>
      <c r="B452" t="inlineStr">
        <is>
          <t>Juliet Lauture</t>
        </is>
      </c>
      <c r="C452" t="n">
        <v>2015</v>
      </c>
      <c r="D452" s="8" t="inlineStr">
        <is>
          <t>116.81 (▲2.30)</t>
        </is>
      </c>
      <c r="E452" s="8" t="inlineStr">
        <is>
          <t>25 (+1)</t>
        </is>
      </c>
      <c r="F452" t="inlineStr">
        <is>
          <t>Tennis Québec</t>
        </is>
      </c>
      <c r="G452" t="inlineStr">
        <is>
          <t>Club Sportif Côte-de-Liesse</t>
        </is>
      </c>
      <c r="H452" s="8" t="inlineStr">
        <is>
          <t>35.3 (▲0.1)</t>
        </is>
      </c>
      <c r="I452" t="n">
        <v>109</v>
      </c>
      <c r="J452" t="inlineStr">
        <is>
          <t>59 / 50</t>
        </is>
      </c>
      <c r="K452" s="7" t="inlineStr">
        <is>
          <t>48%</t>
        </is>
      </c>
    </row>
    <row r="453">
      <c r="A453" s="9" t="inlineStr">
        <is>
          <t>452 (▼2)</t>
        </is>
      </c>
      <c r="B453" t="inlineStr">
        <is>
          <t>Sofia Nasrallah</t>
        </is>
      </c>
      <c r="C453" t="n">
        <v>2015</v>
      </c>
      <c r="D453" s="8" t="inlineStr">
        <is>
          <t>116.71 (▲2.29)</t>
        </is>
      </c>
      <c r="E453" s="8" t="inlineStr">
        <is>
          <t>23 (+1)</t>
        </is>
      </c>
      <c r="F453" t="inlineStr">
        <is>
          <t>Tennis Québec</t>
        </is>
      </c>
      <c r="G453" t="inlineStr">
        <is>
          <t>Carrefour Multisports</t>
        </is>
      </c>
      <c r="H453" s="7" t="inlineStr">
        <is>
          <t>36.5</t>
        </is>
      </c>
      <c r="I453" t="n">
        <v>163</v>
      </c>
      <c r="J453" t="inlineStr">
        <is>
          <t>54 / 109</t>
        </is>
      </c>
      <c r="K453" s="7" t="inlineStr">
        <is>
          <t>32%</t>
        </is>
      </c>
    </row>
    <row r="454">
      <c r="A454" s="9" t="inlineStr">
        <is>
          <t>453 (▼7)</t>
        </is>
      </c>
      <c r="B454" t="inlineStr">
        <is>
          <t>Sofia Bulynko</t>
        </is>
      </c>
      <c r="C454" t="n">
        <v>2015</v>
      </c>
      <c r="D454" s="7" t="inlineStr">
        <is>
          <t>116.27</t>
        </is>
      </c>
      <c r="E454" s="7" t="inlineStr">
        <is>
          <t>13</t>
        </is>
      </c>
      <c r="F454" t="inlineStr">
        <is>
          <t>Ontario Tennis Association</t>
        </is>
      </c>
      <c r="G454" t="inlineStr">
        <is>
          <t>National Tennis School</t>
        </is>
      </c>
      <c r="H454" s="7" t="inlineStr">
        <is>
          <t>35.4</t>
        </is>
      </c>
      <c r="I454" t="n">
        <v>59</v>
      </c>
      <c r="J454" t="inlineStr">
        <is>
          <t>30 / 29</t>
        </is>
      </c>
      <c r="K454" s="7" t="inlineStr">
        <is>
          <t>52%</t>
        </is>
      </c>
    </row>
    <row r="455">
      <c r="A455" s="9" t="inlineStr">
        <is>
          <t>454 (▼6)</t>
        </is>
      </c>
      <c r="B455" t="inlineStr">
        <is>
          <t>Sofia Anne Brunetto</t>
        </is>
      </c>
      <c r="C455" t="n">
        <v>2013</v>
      </c>
      <c r="D455" s="7" t="inlineStr">
        <is>
          <t>116.08</t>
        </is>
      </c>
      <c r="E455" s="7" t="inlineStr">
        <is>
          <t>8</t>
        </is>
      </c>
      <c r="F455" t="inlineStr">
        <is>
          <t>Ontario Tennis Association</t>
        </is>
      </c>
      <c r="G455" t="inlineStr">
        <is>
          <t>Zekelman Tennis Centre</t>
        </is>
      </c>
      <c r="H455" s="8" t="inlineStr">
        <is>
          <t>33.1 (▲0.7)</t>
        </is>
      </c>
      <c r="I455" t="n">
        <v>20</v>
      </c>
      <c r="J455" t="inlineStr">
        <is>
          <t>8 / 12</t>
        </is>
      </c>
      <c r="K455" s="7" t="inlineStr">
        <is>
          <t>30%</t>
        </is>
      </c>
    </row>
    <row r="456">
      <c r="A456" s="9" t="inlineStr">
        <is>
          <t>455 (▼4)</t>
        </is>
      </c>
      <c r="B456" t="inlineStr">
        <is>
          <t>Lydia Yinuo Xu</t>
        </is>
      </c>
      <c r="C456" t="n">
        <v>2016</v>
      </c>
      <c r="D456" s="7" t="inlineStr">
        <is>
          <t>114.00</t>
        </is>
      </c>
      <c r="E456" s="8" t="inlineStr">
        <is>
          <t>17 (+1)</t>
        </is>
      </c>
      <c r="F456" t="inlineStr">
        <is>
          <t>Ontario Tennis Association</t>
        </is>
      </c>
      <c r="G456" t="inlineStr">
        <is>
          <t>Joshua Creek Golf &amp; Tennis</t>
        </is>
      </c>
      <c r="H456" s="9" t="inlineStr">
        <is>
          <t>34.4 (▼0.2)</t>
        </is>
      </c>
      <c r="I456" t="n">
        <v>172</v>
      </c>
      <c r="J456" t="inlineStr">
        <is>
          <t>85 / 87</t>
        </is>
      </c>
      <c r="K456" s="8" t="inlineStr">
        <is>
          <t>70% (▲1%)</t>
        </is>
      </c>
    </row>
    <row r="457">
      <c r="A457" s="9" t="inlineStr">
        <is>
          <t>456 (▼3)</t>
        </is>
      </c>
      <c r="B457" t="inlineStr">
        <is>
          <t>Zeyu (Anne) Xu</t>
        </is>
      </c>
      <c r="C457" t="n">
        <v>2012</v>
      </c>
      <c r="D457" s="7" t="inlineStr">
        <is>
          <t>113.60</t>
        </is>
      </c>
      <c r="E457" s="7" t="inlineStr">
        <is>
          <t>9</t>
        </is>
      </c>
      <c r="F457" t="inlineStr">
        <is>
          <t>British Columbia</t>
        </is>
      </c>
      <c r="G457" t="inlineStr">
        <is>
          <t>Tennis BC Hub @ Richmond</t>
        </is>
      </c>
      <c r="H457" s="7" t="inlineStr">
        <is>
          <t>34.6</t>
        </is>
      </c>
      <c r="I457" t="n">
        <v>109</v>
      </c>
      <c r="J457" t="inlineStr">
        <is>
          <t>26 / 83</t>
        </is>
      </c>
      <c r="K457" s="7" t="inlineStr">
        <is>
          <t>24%</t>
        </is>
      </c>
    </row>
    <row r="458">
      <c r="A458" s="9" t="inlineStr">
        <is>
          <t>457 (▼2)</t>
        </is>
      </c>
      <c r="B458" t="inlineStr">
        <is>
          <t>Misia Ania Pietras</t>
        </is>
      </c>
      <c r="C458" t="n">
        <v>2015</v>
      </c>
      <c r="D458" s="7" t="inlineStr">
        <is>
          <t>113.26</t>
        </is>
      </c>
      <c r="E458" s="8" t="inlineStr">
        <is>
          <t>16 (+1)</t>
        </is>
      </c>
      <c r="F458" t="inlineStr">
        <is>
          <t>Ontario Tennis Association</t>
        </is>
      </c>
      <c r="G458" t="inlineStr">
        <is>
          <t>The Tennis School</t>
        </is>
      </c>
      <c r="H458" s="9" t="inlineStr">
        <is>
          <t>35.6 (▼0.2)</t>
        </is>
      </c>
      <c r="I458" t="n">
        <v>59</v>
      </c>
      <c r="J458" t="inlineStr">
        <is>
          <t>33 / 26</t>
        </is>
      </c>
      <c r="K458" s="9" t="inlineStr">
        <is>
          <t>59% (▼1%)</t>
        </is>
      </c>
    </row>
    <row r="459">
      <c r="A459" s="9" t="inlineStr">
        <is>
          <t>458 (▼2)</t>
        </is>
      </c>
      <c r="B459" t="inlineStr">
        <is>
          <t>Maxine Andrea Subsuban</t>
        </is>
      </c>
      <c r="C459" t="n">
        <v>2014</v>
      </c>
      <c r="D459" s="7" t="inlineStr">
        <is>
          <t>112.58</t>
        </is>
      </c>
      <c r="E459" s="8" t="inlineStr">
        <is>
          <t>11 (+1)</t>
        </is>
      </c>
      <c r="F459" t="inlineStr">
        <is>
          <t>Tennis Alberta</t>
        </is>
      </c>
      <c r="G459" t="inlineStr">
        <is>
          <t>Osten &amp; Victor Alberta Tennis Centre</t>
        </is>
      </c>
      <c r="H459" s="7" t="inlineStr">
        <is>
          <t>unavailable</t>
        </is>
      </c>
      <c r="I459" t="n">
        <v>108</v>
      </c>
      <c r="J459" t="inlineStr">
        <is>
          <t>46 / 62</t>
        </is>
      </c>
      <c r="K459" s="7" t="inlineStr">
        <is>
          <t>52%</t>
        </is>
      </c>
    </row>
    <row r="460">
      <c r="A460" s="9" t="inlineStr">
        <is>
          <t>459 (▼2)</t>
        </is>
      </c>
      <c r="B460" t="inlineStr">
        <is>
          <t>Arianna Marquez</t>
        </is>
      </c>
      <c r="C460" t="n">
        <v>2015</v>
      </c>
      <c r="D460" s="7" t="inlineStr">
        <is>
          <t>112.23</t>
        </is>
      </c>
      <c r="E460" s="8" t="inlineStr">
        <is>
          <t>17 (+1)</t>
        </is>
      </c>
      <c r="F460" t="inlineStr">
        <is>
          <t>Tennis Alberta</t>
        </is>
      </c>
      <c r="G460" t="inlineStr">
        <is>
          <t>Saville Community Sports Centre</t>
        </is>
      </c>
      <c r="H460" s="8" t="inlineStr">
        <is>
          <t>33.2 (▲0.2)</t>
        </is>
      </c>
      <c r="I460" t="n">
        <v>146</v>
      </c>
      <c r="J460" t="inlineStr">
        <is>
          <t>93 / 53</t>
        </is>
      </c>
      <c r="K460" s="7" t="inlineStr">
        <is>
          <t>47%</t>
        </is>
      </c>
    </row>
    <row r="461">
      <c r="A461" s="9" t="inlineStr">
        <is>
          <t>460 (▼2)</t>
        </is>
      </c>
      <c r="B461" t="inlineStr">
        <is>
          <t>Grace Wu</t>
        </is>
      </c>
      <c r="C461" t="n">
        <v>2014</v>
      </c>
      <c r="D461" s="7" t="inlineStr">
        <is>
          <t>109.93</t>
        </is>
      </c>
      <c r="E461" s="7" t="inlineStr">
        <is>
          <t>4</t>
        </is>
      </c>
      <c r="F461" t="inlineStr">
        <is>
          <t>British Columbia</t>
        </is>
      </c>
      <c r="G461" t="inlineStr">
        <is>
          <t>The Tennis Centre</t>
        </is>
      </c>
      <c r="H461" s="7" t="inlineStr">
        <is>
          <t>32.1</t>
        </is>
      </c>
      <c r="I461" t="n">
        <v>96</v>
      </c>
      <c r="J461" t="inlineStr">
        <is>
          <t>63 / 33</t>
        </is>
      </c>
      <c r="K461" s="7" t="inlineStr">
        <is>
          <t>43%</t>
        </is>
      </c>
    </row>
    <row r="462">
      <c r="A462" s="9" t="inlineStr">
        <is>
          <t>461 (▼2)</t>
        </is>
      </c>
      <c r="B462" t="inlineStr">
        <is>
          <t>Gaëlle Jodoin</t>
        </is>
      </c>
      <c r="C462" t="n">
        <v>2012</v>
      </c>
      <c r="D462" s="7" t="inlineStr">
        <is>
          <t>108.95</t>
        </is>
      </c>
      <c r="E462" s="7" t="inlineStr">
        <is>
          <t>4</t>
        </is>
      </c>
      <c r="F462" t="inlineStr">
        <is>
          <t>Tennis Québec</t>
        </is>
      </c>
      <c r="G462" t="inlineStr">
        <is>
          <t>Tennis 13</t>
        </is>
      </c>
      <c r="H462" s="7" t="inlineStr">
        <is>
          <t>38.4</t>
        </is>
      </c>
      <c r="I462" t="n">
        <v>87</v>
      </c>
      <c r="J462" t="inlineStr">
        <is>
          <t>14 / 73</t>
        </is>
      </c>
      <c r="K462" s="7" t="inlineStr">
        <is>
          <t>0%</t>
        </is>
      </c>
    </row>
    <row r="463">
      <c r="A463" s="8" t="inlineStr">
        <is>
          <t>462 (▲7)</t>
        </is>
      </c>
      <c r="B463" t="inlineStr">
        <is>
          <t>Chenlin Wang</t>
        </is>
      </c>
      <c r="C463" t="n">
        <v>2016</v>
      </c>
      <c r="D463" s="8" t="inlineStr">
        <is>
          <t>108.59 (▲6.98)</t>
        </is>
      </c>
      <c r="E463" s="7" t="inlineStr">
        <is>
          <t>30</t>
        </is>
      </c>
      <c r="F463" t="inlineStr">
        <is>
          <t>British Columbia</t>
        </is>
      </c>
      <c r="G463" t="inlineStr">
        <is>
          <t>Aura Tennis Academy</t>
        </is>
      </c>
      <c r="H463" s="7" t="inlineStr">
        <is>
          <t>unavailable</t>
        </is>
      </c>
      <c r="I463" t="n">
        <v>170</v>
      </c>
      <c r="J463" t="inlineStr">
        <is>
          <t>91 / 79</t>
        </is>
      </c>
      <c r="K463" s="7" t="inlineStr">
        <is>
          <t>56%</t>
        </is>
      </c>
    </row>
    <row r="464">
      <c r="A464" s="9" t="inlineStr">
        <is>
          <t>463 (▼2)</t>
        </is>
      </c>
      <c r="B464" t="inlineStr">
        <is>
          <t>SHANAYA CHAUDHARY</t>
        </is>
      </c>
      <c r="C464" t="n">
        <v>2014</v>
      </c>
      <c r="D464" s="7" t="inlineStr">
        <is>
          <t>107.58</t>
        </is>
      </c>
      <c r="E464" s="7" t="inlineStr">
        <is>
          <t>11</t>
        </is>
      </c>
      <c r="F464" t="inlineStr">
        <is>
          <t>Ontario Tennis Association</t>
        </is>
      </c>
      <c r="G464" t="inlineStr">
        <is>
          <t>Waterloo Tennis Club</t>
        </is>
      </c>
      <c r="H464" s="7" t="inlineStr">
        <is>
          <t>unavailable</t>
        </is>
      </c>
      <c r="I464" t="n">
        <v>26</v>
      </c>
      <c r="J464" t="inlineStr">
        <is>
          <t>16 / 10</t>
        </is>
      </c>
      <c r="K464" s="7" t="inlineStr">
        <is>
          <t>63%</t>
        </is>
      </c>
    </row>
    <row r="465">
      <c r="A465" s="9" t="inlineStr">
        <is>
          <t>464 (▼2)</t>
        </is>
      </c>
      <c r="B465" t="inlineStr">
        <is>
          <t>Murphy Mofei Gao</t>
        </is>
      </c>
      <c r="C465" t="n">
        <v>2013</v>
      </c>
      <c r="D465" s="7" t="inlineStr">
        <is>
          <t>107.52</t>
        </is>
      </c>
      <c r="E465" s="7" t="inlineStr">
        <is>
          <t>18</t>
        </is>
      </c>
      <c r="F465" t="inlineStr">
        <is>
          <t>British Columbia</t>
        </is>
      </c>
      <c r="G465" t="inlineStr">
        <is>
          <t>No Club</t>
        </is>
      </c>
      <c r="H465" s="7" t="inlineStr">
        <is>
          <t>36.9</t>
        </is>
      </c>
      <c r="I465" t="n">
        <v>143</v>
      </c>
      <c r="J465" t="inlineStr">
        <is>
          <t>20 / 123</t>
        </is>
      </c>
      <c r="K465" s="7" t="inlineStr">
        <is>
          <t>16%</t>
        </is>
      </c>
    </row>
    <row r="466">
      <c r="A466" s="9" t="inlineStr">
        <is>
          <t>465 (▼2)</t>
        </is>
      </c>
      <c r="B466" t="inlineStr">
        <is>
          <t>Emily Ke</t>
        </is>
      </c>
      <c r="C466" t="n">
        <v>2014</v>
      </c>
      <c r="D466" s="7" t="inlineStr">
        <is>
          <t>107.41</t>
        </is>
      </c>
      <c r="E466" s="9" t="inlineStr">
        <is>
          <t>13 (-1)</t>
        </is>
      </c>
      <c r="F466" t="inlineStr">
        <is>
          <t>Ontario Tennis Association</t>
        </is>
      </c>
      <c r="G466" t="inlineStr">
        <is>
          <t>Mayfair East Racquet Club</t>
        </is>
      </c>
      <c r="H466" s="7" t="inlineStr">
        <is>
          <t>35.1</t>
        </is>
      </c>
      <c r="I466" t="n">
        <v>109</v>
      </c>
      <c r="J466" t="inlineStr">
        <is>
          <t>38 / 71</t>
        </is>
      </c>
      <c r="K466" s="7" t="inlineStr">
        <is>
          <t>36%</t>
        </is>
      </c>
    </row>
    <row r="467">
      <c r="A467" s="9" t="inlineStr">
        <is>
          <t>466 (▼2)</t>
        </is>
      </c>
      <c r="B467" t="inlineStr">
        <is>
          <t>Khaliya Karim</t>
        </is>
      </c>
      <c r="C467" t="n">
        <v>2013</v>
      </c>
      <c r="D467" s="7" t="inlineStr">
        <is>
          <t>106.26</t>
        </is>
      </c>
      <c r="E467" s="7" t="inlineStr">
        <is>
          <t>17</t>
        </is>
      </c>
      <c r="F467" t="inlineStr">
        <is>
          <t>British Columbia</t>
        </is>
      </c>
      <c r="G467" t="inlineStr">
        <is>
          <t>Arbutus Club</t>
        </is>
      </c>
      <c r="H467" s="7" t="inlineStr">
        <is>
          <t>35.2</t>
        </is>
      </c>
      <c r="I467" t="n">
        <v>90</v>
      </c>
      <c r="J467" t="inlineStr">
        <is>
          <t>18 / 72</t>
        </is>
      </c>
      <c r="K467" s="7" t="inlineStr">
        <is>
          <t>36%</t>
        </is>
      </c>
    </row>
    <row r="468">
      <c r="A468" s="9" t="inlineStr">
        <is>
          <t>467 (▼2)</t>
        </is>
      </c>
      <c r="B468" t="inlineStr">
        <is>
          <t>Abigail Curilscaia</t>
        </is>
      </c>
      <c r="C468" t="n">
        <v>2014</v>
      </c>
      <c r="D468" s="7" t="inlineStr">
        <is>
          <t>105.42</t>
        </is>
      </c>
      <c r="E468" s="7" t="inlineStr">
        <is>
          <t>12</t>
        </is>
      </c>
      <c r="F468" t="inlineStr">
        <is>
          <t>Tennis Alberta</t>
        </is>
      </c>
      <c r="G468" t="inlineStr">
        <is>
          <t>Aforza</t>
        </is>
      </c>
      <c r="H468" s="7" t="inlineStr">
        <is>
          <t>32.0</t>
        </is>
      </c>
      <c r="I468" t="n">
        <v>91</v>
      </c>
      <c r="J468" t="inlineStr">
        <is>
          <t>40 / 51</t>
        </is>
      </c>
      <c r="K468" s="7" t="inlineStr">
        <is>
          <t>63%</t>
        </is>
      </c>
    </row>
    <row r="469">
      <c r="A469" s="8" t="inlineStr">
        <is>
          <t>468 (▲17)</t>
        </is>
      </c>
      <c r="B469" t="inlineStr">
        <is>
          <t>Sarah Huang</t>
        </is>
      </c>
      <c r="C469" t="n">
        <v>2014</v>
      </c>
      <c r="D469" s="8" t="inlineStr">
        <is>
          <t>104.56 (▲6.80)</t>
        </is>
      </c>
      <c r="E469" s="8" t="inlineStr">
        <is>
          <t>17 (+1)</t>
        </is>
      </c>
      <c r="F469" t="inlineStr">
        <is>
          <t>Ontario Tennis Association</t>
        </is>
      </c>
      <c r="G469" t="inlineStr">
        <is>
          <t>Premier Racquet Club - Markham</t>
        </is>
      </c>
      <c r="H469" s="8" t="inlineStr">
        <is>
          <t>35.1 (▲0.1)</t>
        </is>
      </c>
      <c r="I469" t="n">
        <v>119</v>
      </c>
      <c r="J469" t="inlineStr">
        <is>
          <t>42 / 77</t>
        </is>
      </c>
      <c r="K469" s="8" t="inlineStr">
        <is>
          <t>44% (▲3%)</t>
        </is>
      </c>
    </row>
    <row r="470">
      <c r="A470" s="9" t="inlineStr">
        <is>
          <t>469 (▼3)</t>
        </is>
      </c>
      <c r="B470" t="inlineStr">
        <is>
          <t>Scarlett Habeebkutty</t>
        </is>
      </c>
      <c r="C470" t="n">
        <v>2014</v>
      </c>
      <c r="D470" s="7" t="inlineStr">
        <is>
          <t>102.28</t>
        </is>
      </c>
      <c r="E470" s="7" t="inlineStr">
        <is>
          <t>5</t>
        </is>
      </c>
      <c r="F470" t="inlineStr">
        <is>
          <t>Tennis Saskatchewan</t>
        </is>
      </c>
      <c r="G470" t="inlineStr">
        <is>
          <t>Lakeshore Tennis Club</t>
        </is>
      </c>
      <c r="H470" s="7" t="inlineStr">
        <is>
          <t>40.0</t>
        </is>
      </c>
      <c r="I470" t="n">
        <v>14</v>
      </c>
      <c r="J470" t="inlineStr">
        <is>
          <t>0 / 14</t>
        </is>
      </c>
      <c r="K470" s="7" t="inlineStr">
        <is>
          <t>0%</t>
        </is>
      </c>
    </row>
    <row r="471">
      <c r="A471" s="9" t="inlineStr">
        <is>
          <t>470 (▼2)</t>
        </is>
      </c>
      <c r="B471" t="inlineStr">
        <is>
          <t>Kassidy, Chin Yau Lau</t>
        </is>
      </c>
      <c r="C471" t="n">
        <v>2016</v>
      </c>
      <c r="D471" s="7" t="inlineStr">
        <is>
          <t>102.00</t>
        </is>
      </c>
      <c r="E471" s="8" t="inlineStr">
        <is>
          <t>28 (+1)</t>
        </is>
      </c>
      <c r="F471" t="inlineStr">
        <is>
          <t>Ontario Tennis Association</t>
        </is>
      </c>
      <c r="G471" t="inlineStr">
        <is>
          <t>No Club</t>
        </is>
      </c>
      <c r="H471" s="7" t="inlineStr">
        <is>
          <t>35.3</t>
        </is>
      </c>
      <c r="I471" t="n">
        <v>68</v>
      </c>
      <c r="J471" t="inlineStr">
        <is>
          <t>39 / 29</t>
        </is>
      </c>
      <c r="K471" s="9" t="inlineStr">
        <is>
          <t>56% (▼1%)</t>
        </is>
      </c>
    </row>
    <row r="472">
      <c r="A472" s="9" t="inlineStr">
        <is>
          <t>471 (▼1)</t>
        </is>
      </c>
      <c r="B472" t="inlineStr">
        <is>
          <t>Olivia Hesse</t>
        </is>
      </c>
      <c r="C472" t="n">
        <v>2014</v>
      </c>
      <c r="D472" s="7" t="inlineStr">
        <is>
          <t>101.05</t>
        </is>
      </c>
      <c r="E472" s="7" t="inlineStr">
        <is>
          <t>13</t>
        </is>
      </c>
      <c r="F472" t="inlineStr">
        <is>
          <t>Ontario Tennis Association</t>
        </is>
      </c>
      <c r="G472" t="inlineStr">
        <is>
          <t>Boulevard Club</t>
        </is>
      </c>
      <c r="H472" s="7" t="inlineStr">
        <is>
          <t>36.1</t>
        </is>
      </c>
      <c r="I472" t="n">
        <v>68</v>
      </c>
      <c r="J472" t="inlineStr">
        <is>
          <t>27 / 41</t>
        </is>
      </c>
      <c r="K472" s="7" t="inlineStr">
        <is>
          <t>43%</t>
        </is>
      </c>
    </row>
    <row r="473">
      <c r="A473" s="7" t="inlineStr">
        <is>
          <t>472</t>
        </is>
      </c>
      <c r="B473" t="inlineStr">
        <is>
          <t>Hengxi Celine Du</t>
        </is>
      </c>
      <c r="C473" t="n">
        <v>2013</v>
      </c>
      <c r="D473" s="7" t="inlineStr">
        <is>
          <t>100.37</t>
        </is>
      </c>
      <c r="E473" s="7" t="inlineStr">
        <is>
          <t>4</t>
        </is>
      </c>
      <c r="F473" t="inlineStr">
        <is>
          <t>Ontario Tennis Association</t>
        </is>
      </c>
      <c r="G473" t="inlineStr">
        <is>
          <t>Premier Racquet Clubs – Mississauga</t>
        </is>
      </c>
      <c r="H473" s="7" t="inlineStr">
        <is>
          <t>unavailable</t>
        </is>
      </c>
      <c r="I473" t="n">
        <v>25</v>
      </c>
      <c r="J473" t="inlineStr">
        <is>
          <t>9 / 16</t>
        </is>
      </c>
      <c r="K473" s="7" t="inlineStr">
        <is>
          <t>47%</t>
        </is>
      </c>
    </row>
    <row r="474">
      <c r="A474" s="7" t="inlineStr">
        <is>
          <t>473</t>
        </is>
      </c>
      <c r="B474" t="inlineStr">
        <is>
          <t>Helena Nastic</t>
        </is>
      </c>
      <c r="C474" t="n">
        <v>2013</v>
      </c>
      <c r="D474" s="7" t="inlineStr">
        <is>
          <t>100.30</t>
        </is>
      </c>
      <c r="E474" s="7" t="inlineStr">
        <is>
          <t>8</t>
        </is>
      </c>
      <c r="F474" t="inlineStr">
        <is>
          <t>Ontario Tennis Association</t>
        </is>
      </c>
      <c r="G474" t="inlineStr">
        <is>
          <t>Royal City Tennis Club</t>
        </is>
      </c>
      <c r="H474" s="7" t="inlineStr">
        <is>
          <t>unavailable</t>
        </is>
      </c>
      <c r="I474" t="n">
        <v>40</v>
      </c>
      <c r="J474" t="inlineStr">
        <is>
          <t>19 / 21</t>
        </is>
      </c>
      <c r="K474" s="7" t="inlineStr">
        <is>
          <t>0%</t>
        </is>
      </c>
    </row>
    <row r="475">
      <c r="A475" s="7" t="inlineStr">
        <is>
          <t>474</t>
        </is>
      </c>
      <c r="B475" t="inlineStr">
        <is>
          <t>Olivia An Yi Ta</t>
        </is>
      </c>
      <c r="C475" t="n">
        <v>2015</v>
      </c>
      <c r="D475" s="7" t="inlineStr">
        <is>
          <t>99.99</t>
        </is>
      </c>
      <c r="E475" s="7" t="inlineStr">
        <is>
          <t>15</t>
        </is>
      </c>
      <c r="F475" t="inlineStr">
        <is>
          <t>Ontario Tennis Association</t>
        </is>
      </c>
      <c r="G475" t="inlineStr">
        <is>
          <t>Lambton Golf &amp; Country Club</t>
        </is>
      </c>
      <c r="H475" s="7" t="inlineStr">
        <is>
          <t>unavailable</t>
        </is>
      </c>
      <c r="I475" t="n">
        <v>70</v>
      </c>
      <c r="J475" t="inlineStr">
        <is>
          <t>20 / 50</t>
        </is>
      </c>
      <c r="K475" s="7" t="inlineStr">
        <is>
          <t>48%</t>
        </is>
      </c>
    </row>
    <row r="476">
      <c r="A476" s="7" t="inlineStr">
        <is>
          <t>475</t>
        </is>
      </c>
      <c r="B476" t="inlineStr">
        <is>
          <t>ONYEKACHUKWU MAGDALENE OGBATUE</t>
        </is>
      </c>
      <c r="C476" t="n">
        <v>2012</v>
      </c>
      <c r="D476" s="7" t="inlineStr">
        <is>
          <t>99.88</t>
        </is>
      </c>
      <c r="E476" s="7" t="inlineStr">
        <is>
          <t>6</t>
        </is>
      </c>
      <c r="F476" t="inlineStr">
        <is>
          <t>Ontario Tennis Association</t>
        </is>
      </c>
      <c r="G476" t="inlineStr">
        <is>
          <t>Matchpoint Tennis</t>
        </is>
      </c>
      <c r="H476" s="7" t="inlineStr">
        <is>
          <t>35.5</t>
        </is>
      </c>
      <c r="I476" t="n">
        <v>18</v>
      </c>
      <c r="J476" t="inlineStr">
        <is>
          <t>11 / 7</t>
        </is>
      </c>
      <c r="K476" s="7" t="inlineStr">
        <is>
          <t>61%</t>
        </is>
      </c>
    </row>
    <row r="477">
      <c r="A477" s="8" t="inlineStr">
        <is>
          <t>476 (▲1)</t>
        </is>
      </c>
      <c r="B477" t="inlineStr">
        <is>
          <t>Chelsea Yuxin Lan</t>
        </is>
      </c>
      <c r="C477" t="n">
        <v>2013</v>
      </c>
      <c r="D477" s="7" t="inlineStr">
        <is>
          <t>99.70</t>
        </is>
      </c>
      <c r="E477" s="7" t="inlineStr">
        <is>
          <t>15</t>
        </is>
      </c>
      <c r="F477" t="inlineStr">
        <is>
          <t>British Columbia</t>
        </is>
      </c>
      <c r="G477" t="inlineStr">
        <is>
          <t>Hollyburn Country Club</t>
        </is>
      </c>
      <c r="H477" s="7" t="inlineStr">
        <is>
          <t>unavailable</t>
        </is>
      </c>
      <c r="I477" t="n">
        <v>119</v>
      </c>
      <c r="J477" t="inlineStr">
        <is>
          <t>35 / 84</t>
        </is>
      </c>
      <c r="K477" s="7" t="inlineStr">
        <is>
          <t>12%</t>
        </is>
      </c>
    </row>
    <row r="478">
      <c r="A478" s="8" t="inlineStr">
        <is>
          <t>477 (▲1)</t>
        </is>
      </c>
      <c r="B478" t="inlineStr">
        <is>
          <t>Kaliya Summer Miserre-Garrecht</t>
        </is>
      </c>
      <c r="C478" t="n">
        <v>2015</v>
      </c>
      <c r="D478" s="7" t="inlineStr">
        <is>
          <t>99.34</t>
        </is>
      </c>
      <c r="E478" s="9" t="inlineStr">
        <is>
          <t>22 (-1)</t>
        </is>
      </c>
      <c r="F478" t="inlineStr">
        <is>
          <t>British Columbia</t>
        </is>
      </c>
      <c r="G478" t="inlineStr">
        <is>
          <t>Vanguard Tennis Academy</t>
        </is>
      </c>
      <c r="H478" s="7" t="inlineStr">
        <is>
          <t>36.1</t>
        </is>
      </c>
      <c r="I478" t="n">
        <v>143</v>
      </c>
      <c r="J478" t="inlineStr">
        <is>
          <t>62 / 81</t>
        </is>
      </c>
      <c r="K478" s="7" t="inlineStr">
        <is>
          <t>38%</t>
        </is>
      </c>
    </row>
    <row r="479">
      <c r="A479" s="8" t="inlineStr">
        <is>
          <t>478 (▲1)</t>
        </is>
      </c>
      <c r="B479" t="inlineStr">
        <is>
          <t>Chloe Esther Yeung</t>
        </is>
      </c>
      <c r="C479" t="n">
        <v>2014</v>
      </c>
      <c r="D479" s="7" t="inlineStr">
        <is>
          <t>99.28</t>
        </is>
      </c>
      <c r="E479" s="8" t="inlineStr">
        <is>
          <t>11 (+1)</t>
        </is>
      </c>
      <c r="F479" t="inlineStr">
        <is>
          <t>Ontario Tennis Association</t>
        </is>
      </c>
      <c r="G479" t="inlineStr">
        <is>
          <t>Mayfair East Racquet Club</t>
        </is>
      </c>
      <c r="H479" s="9" t="inlineStr">
        <is>
          <t>36.8 (▼0.2)</t>
        </is>
      </c>
      <c r="I479" t="n">
        <v>107</v>
      </c>
      <c r="J479" t="inlineStr">
        <is>
          <t>45 / 62</t>
        </is>
      </c>
      <c r="K479" s="9" t="inlineStr">
        <is>
          <t>23% (▼1%)</t>
        </is>
      </c>
    </row>
    <row r="480">
      <c r="A480" s="8" t="inlineStr">
        <is>
          <t>479 (▲2)</t>
        </is>
      </c>
      <c r="B480" t="inlineStr">
        <is>
          <t>Emily Lyn</t>
        </is>
      </c>
      <c r="C480" t="n">
        <v>2012</v>
      </c>
      <c r="D480" s="7" t="inlineStr">
        <is>
          <t>98.52</t>
        </is>
      </c>
      <c r="E480" s="7" t="inlineStr">
        <is>
          <t>8</t>
        </is>
      </c>
      <c r="F480" t="inlineStr">
        <is>
          <t>Ontario Tennis Association</t>
        </is>
      </c>
      <c r="G480" t="inlineStr">
        <is>
          <t>Markham Tennis Club</t>
        </is>
      </c>
      <c r="H480" s="7" t="inlineStr">
        <is>
          <t>36.0</t>
        </is>
      </c>
      <c r="I480" t="n">
        <v>103</v>
      </c>
      <c r="J480" t="inlineStr">
        <is>
          <t>61 / 42</t>
        </is>
      </c>
      <c r="K480" s="7" t="inlineStr">
        <is>
          <t>45%</t>
        </is>
      </c>
    </row>
    <row r="481">
      <c r="A481" s="8" t="inlineStr">
        <is>
          <t>480 (▲2)</t>
        </is>
      </c>
      <c r="B481" t="inlineStr">
        <is>
          <t>Avril Kymber Lin</t>
        </is>
      </c>
      <c r="C481" t="n">
        <v>2014</v>
      </c>
      <c r="D481" s="7" t="inlineStr">
        <is>
          <t>98.49</t>
        </is>
      </c>
      <c r="E481" s="7" t="inlineStr">
        <is>
          <t>11</t>
        </is>
      </c>
      <c r="F481" t="inlineStr">
        <is>
          <t>Tennis Alberta</t>
        </is>
      </c>
      <c r="G481" t="inlineStr">
        <is>
          <t>Brookside Court &amp; Wellness</t>
        </is>
      </c>
      <c r="H481" s="7" t="inlineStr">
        <is>
          <t>unavailable</t>
        </is>
      </c>
      <c r="I481" t="n">
        <v>101</v>
      </c>
      <c r="J481" t="inlineStr">
        <is>
          <t>40 / 61</t>
        </is>
      </c>
      <c r="K481" s="7" t="inlineStr">
        <is>
          <t>38%</t>
        </is>
      </c>
    </row>
    <row r="482">
      <c r="A482" s="8" t="inlineStr">
        <is>
          <t>481 (▲2)</t>
        </is>
      </c>
      <c r="B482" t="inlineStr">
        <is>
          <t>Darcia Rabezandriny</t>
        </is>
      </c>
      <c r="C482" t="n">
        <v>2013</v>
      </c>
      <c r="D482" s="7" t="inlineStr">
        <is>
          <t>98.27</t>
        </is>
      </c>
      <c r="E482" s="7" t="inlineStr">
        <is>
          <t>7</t>
        </is>
      </c>
      <c r="F482" t="inlineStr">
        <is>
          <t>Tennis Québec</t>
        </is>
      </c>
      <c r="G482" t="inlineStr">
        <is>
          <t>AA Autre club</t>
        </is>
      </c>
      <c r="H482" s="7" t="inlineStr">
        <is>
          <t>34.6</t>
        </is>
      </c>
      <c r="I482" t="n">
        <v>157</v>
      </c>
      <c r="J482" t="inlineStr">
        <is>
          <t>82 / 75</t>
        </is>
      </c>
      <c r="K482" s="7" t="inlineStr">
        <is>
          <t>47%</t>
        </is>
      </c>
    </row>
    <row r="483">
      <c r="A483" s="8" t="inlineStr">
        <is>
          <t>482 (▲4)</t>
        </is>
      </c>
      <c r="B483" t="inlineStr">
        <is>
          <t>Chen Xi Zhou Kong</t>
        </is>
      </c>
      <c r="C483" t="n">
        <v>2017</v>
      </c>
      <c r="D483" s="7" t="inlineStr">
        <is>
          <t>97.46</t>
        </is>
      </c>
      <c r="E483" s="7" t="inlineStr">
        <is>
          <t>26</t>
        </is>
      </c>
      <c r="F483" t="inlineStr">
        <is>
          <t>Tennis Québec</t>
        </is>
      </c>
      <c r="G483" t="inlineStr">
        <is>
          <t>Centre récréatif de Repentigny / Académie Tennis Momentum</t>
        </is>
      </c>
      <c r="H483" s="7" t="inlineStr">
        <is>
          <t>35.7</t>
        </is>
      </c>
      <c r="I483" t="n">
        <v>127</v>
      </c>
      <c r="J483" t="inlineStr">
        <is>
          <t>60 / 67</t>
        </is>
      </c>
      <c r="K483" s="7" t="inlineStr">
        <is>
          <t>52%</t>
        </is>
      </c>
    </row>
    <row r="484">
      <c r="A484" s="8" t="inlineStr">
        <is>
          <t>483 (▲4)</t>
        </is>
      </c>
      <c r="B484" t="inlineStr">
        <is>
          <t>Larissa Bulynko</t>
        </is>
      </c>
      <c r="C484" t="n">
        <v>2015</v>
      </c>
      <c r="D484" s="7" t="inlineStr">
        <is>
          <t>97.07</t>
        </is>
      </c>
      <c r="E484" s="7" t="inlineStr">
        <is>
          <t>15</t>
        </is>
      </c>
      <c r="F484" t="inlineStr">
        <is>
          <t>Ontario Tennis Association</t>
        </is>
      </c>
      <c r="G484" t="inlineStr">
        <is>
          <t>National Tennis School</t>
        </is>
      </c>
      <c r="H484" s="7" t="inlineStr">
        <is>
          <t>36.6</t>
        </is>
      </c>
      <c r="I484" t="n">
        <v>63</v>
      </c>
      <c r="J484" t="inlineStr">
        <is>
          <t>25 / 38</t>
        </is>
      </c>
      <c r="K484" s="7" t="inlineStr">
        <is>
          <t>40%</t>
        </is>
      </c>
    </row>
    <row r="485">
      <c r="A485" s="8" t="inlineStr">
        <is>
          <t>484 (▲4)</t>
        </is>
      </c>
      <c r="B485" t="inlineStr">
        <is>
          <t>Violet Ton-That</t>
        </is>
      </c>
      <c r="C485" t="n">
        <v>2015</v>
      </c>
      <c r="D485" s="7" t="inlineStr">
        <is>
          <t>96.92</t>
        </is>
      </c>
      <c r="E485" s="7" t="inlineStr">
        <is>
          <t>10</t>
        </is>
      </c>
      <c r="F485" t="inlineStr">
        <is>
          <t>Tennis Québec</t>
        </is>
      </c>
      <c r="G485" t="inlineStr">
        <is>
          <t>Tennis Montréal Excellence</t>
        </is>
      </c>
      <c r="H485" s="7" t="inlineStr">
        <is>
          <t>35.7</t>
        </is>
      </c>
      <c r="I485" t="n">
        <v>63</v>
      </c>
      <c r="J485" t="inlineStr">
        <is>
          <t>29 / 34</t>
        </is>
      </c>
      <c r="K485" s="7" t="inlineStr">
        <is>
          <t>44%</t>
        </is>
      </c>
    </row>
    <row r="486">
      <c r="A486" s="9" t="inlineStr">
        <is>
          <t>485 (▼33)</t>
        </is>
      </c>
      <c r="B486" t="inlineStr">
        <is>
          <t>Sarah Gottlieb</t>
        </is>
      </c>
      <c r="C486" t="n">
        <v>2014</v>
      </c>
      <c r="D486" s="9" t="inlineStr">
        <is>
          <t>96.50 (▼17.10)</t>
        </is>
      </c>
      <c r="E486" s="9" t="inlineStr">
        <is>
          <t>3 (-1)</t>
        </is>
      </c>
      <c r="F486" t="inlineStr">
        <is>
          <t>Tennis Québec</t>
        </is>
      </c>
      <c r="G486" t="inlineStr">
        <is>
          <t>Tennis 13</t>
        </is>
      </c>
      <c r="H486" s="7" t="inlineStr">
        <is>
          <t>33.5</t>
        </is>
      </c>
      <c r="I486" t="n">
        <v>92</v>
      </c>
      <c r="J486" t="inlineStr">
        <is>
          <t>46 / 46</t>
        </is>
      </c>
      <c r="K486" s="7" t="inlineStr">
        <is>
          <t>33%</t>
        </is>
      </c>
    </row>
    <row r="487">
      <c r="A487" s="8" t="inlineStr">
        <is>
          <t>486 (▲3)</t>
        </is>
      </c>
      <c r="B487" t="inlineStr">
        <is>
          <t>Yue Zhang</t>
        </is>
      </c>
      <c r="C487" t="n">
        <v>2014</v>
      </c>
      <c r="D487" s="7" t="inlineStr">
        <is>
          <t>96.28</t>
        </is>
      </c>
      <c r="E487" s="7" t="inlineStr">
        <is>
          <t>8</t>
        </is>
      </c>
      <c r="F487" t="inlineStr">
        <is>
          <t>Tennis Nova Scotia</t>
        </is>
      </c>
      <c r="G487" t="inlineStr">
        <is>
          <t>Atlantic Tennis Centre</t>
        </is>
      </c>
      <c r="H487" s="7" t="inlineStr">
        <is>
          <t>35.4</t>
        </is>
      </c>
      <c r="I487" t="n">
        <v>43</v>
      </c>
      <c r="J487" t="inlineStr">
        <is>
          <t>19 / 24</t>
        </is>
      </c>
      <c r="K487" s="7" t="inlineStr">
        <is>
          <t>43%</t>
        </is>
      </c>
    </row>
    <row r="488">
      <c r="A488" s="9" t="inlineStr">
        <is>
          <t>487 (▼20)</t>
        </is>
      </c>
      <c r="B488" t="inlineStr">
        <is>
          <t>Emma Fedeyko</t>
        </is>
      </c>
      <c r="C488" t="n">
        <v>2012</v>
      </c>
      <c r="D488" s="9" t="inlineStr">
        <is>
          <t>95.99 (▼6.22)</t>
        </is>
      </c>
      <c r="E488" s="9" t="inlineStr">
        <is>
          <t>7 (-1)</t>
        </is>
      </c>
      <c r="F488" t="inlineStr">
        <is>
          <t>Ontario Tennis Association</t>
        </is>
      </c>
      <c r="G488" t="inlineStr">
        <is>
          <t>Ontario Racquet Club</t>
        </is>
      </c>
      <c r="H488" s="7" t="inlineStr">
        <is>
          <t>35.6</t>
        </is>
      </c>
      <c r="I488" t="n">
        <v>53</v>
      </c>
      <c r="J488" t="inlineStr">
        <is>
          <t>19 / 34</t>
        </is>
      </c>
      <c r="K488" s="7" t="inlineStr">
        <is>
          <t>33%</t>
        </is>
      </c>
    </row>
    <row r="489">
      <c r="A489" s="8" t="inlineStr">
        <is>
          <t>488 (▲2)</t>
        </is>
      </c>
      <c r="B489" t="inlineStr">
        <is>
          <t>Serena Wepadam CHONGATERA</t>
        </is>
      </c>
      <c r="C489" t="n">
        <v>2015</v>
      </c>
      <c r="D489" s="7" t="inlineStr">
        <is>
          <t>95.92</t>
        </is>
      </c>
      <c r="E489" s="7" t="inlineStr">
        <is>
          <t>5</t>
        </is>
      </c>
      <c r="F489" t="inlineStr">
        <is>
          <t>Tennis Nova Scotia</t>
        </is>
      </c>
      <c r="G489" t="inlineStr">
        <is>
          <t>HEADSTART</t>
        </is>
      </c>
      <c r="H489" s="7" t="inlineStr">
        <is>
          <t>37.6</t>
        </is>
      </c>
      <c r="I489" t="n">
        <v>22</v>
      </c>
      <c r="J489" t="inlineStr">
        <is>
          <t>8 / 14</t>
        </is>
      </c>
      <c r="K489" s="7" t="inlineStr">
        <is>
          <t>23%</t>
        </is>
      </c>
    </row>
    <row r="490">
      <c r="A490" s="8" t="inlineStr">
        <is>
          <t>489 (▲2)</t>
        </is>
      </c>
      <c r="B490" t="inlineStr">
        <is>
          <t>Zoey Folashakin</t>
        </is>
      </c>
      <c r="C490" t="n">
        <v>2014</v>
      </c>
      <c r="D490" s="7" t="inlineStr">
        <is>
          <t>95.54</t>
        </is>
      </c>
      <c r="E490" s="8" t="inlineStr">
        <is>
          <t>23 (+1)</t>
        </is>
      </c>
      <c r="F490" t="inlineStr">
        <is>
          <t>Ontario Tennis Association</t>
        </is>
      </c>
      <c r="G490" t="inlineStr">
        <is>
          <t>Joshua Creek Golf &amp; Tennis</t>
        </is>
      </c>
      <c r="H490" s="8" t="inlineStr">
        <is>
          <t>36.0 (▲0.5)</t>
        </is>
      </c>
      <c r="I490" t="n">
        <v>73</v>
      </c>
      <c r="J490" t="inlineStr">
        <is>
          <t>17 / 56</t>
        </is>
      </c>
      <c r="K490" s="8" t="inlineStr">
        <is>
          <t>43% (▲2%)</t>
        </is>
      </c>
    </row>
    <row r="491">
      <c r="A491" s="8" t="inlineStr">
        <is>
          <t>490 (▲2)</t>
        </is>
      </c>
      <c r="B491" t="inlineStr">
        <is>
          <t>Tiana Amede-Bramwell</t>
        </is>
      </c>
      <c r="C491" t="n">
        <v>2012</v>
      </c>
      <c r="D491" s="7" t="inlineStr">
        <is>
          <t>94.05</t>
        </is>
      </c>
      <c r="E491" s="7" t="inlineStr">
        <is>
          <t>12</t>
        </is>
      </c>
      <c r="F491" t="inlineStr">
        <is>
          <t>Ontario Tennis Association</t>
        </is>
      </c>
      <c r="G491" t="inlineStr">
        <is>
          <t>Credit Valley Tennis Club</t>
        </is>
      </c>
      <c r="H491" s="8" t="inlineStr">
        <is>
          <t>39.4 (▲0.1)</t>
        </is>
      </c>
      <c r="I491" t="n">
        <v>42</v>
      </c>
      <c r="J491" t="inlineStr">
        <is>
          <t>8 / 34</t>
        </is>
      </c>
      <c r="K491" s="7" t="inlineStr">
        <is>
          <t>21%</t>
        </is>
      </c>
    </row>
    <row r="492">
      <c r="A492" s="8" t="inlineStr">
        <is>
          <t>491 (▲2)</t>
        </is>
      </c>
      <c r="B492" t="inlineStr">
        <is>
          <t>Joey Wu</t>
        </is>
      </c>
      <c r="C492" t="n">
        <v>2015</v>
      </c>
      <c r="D492" s="7" t="inlineStr">
        <is>
          <t>92.84</t>
        </is>
      </c>
      <c r="E492" s="7" t="inlineStr">
        <is>
          <t>24</t>
        </is>
      </c>
      <c r="F492" t="inlineStr">
        <is>
          <t>British Columbia</t>
        </is>
      </c>
      <c r="G492" t="inlineStr">
        <is>
          <t>City of Richmond</t>
        </is>
      </c>
      <c r="H492" s="7" t="inlineStr">
        <is>
          <t>unavailable</t>
        </is>
      </c>
      <c r="I492" t="n">
        <v>127</v>
      </c>
      <c r="J492" t="inlineStr">
        <is>
          <t>75 / 52</t>
        </is>
      </c>
      <c r="K492" s="7" t="inlineStr">
        <is>
          <t>42%</t>
        </is>
      </c>
    </row>
    <row r="493">
      <c r="A493" s="9" t="inlineStr">
        <is>
          <t>492 (▼12)</t>
        </is>
      </c>
      <c r="B493" t="inlineStr">
        <is>
          <t>zhiyi li</t>
        </is>
      </c>
      <c r="C493" t="n">
        <v>2015</v>
      </c>
      <c r="D493" s="9" t="inlineStr">
        <is>
          <t>92.66 (▼6.12)</t>
        </is>
      </c>
      <c r="E493" s="9" t="inlineStr">
        <is>
          <t>12 (-1)</t>
        </is>
      </c>
      <c r="F493" t="inlineStr">
        <is>
          <t>Ontario Tennis Association</t>
        </is>
      </c>
      <c r="G493" t="inlineStr">
        <is>
          <t>Rideau Sports Centre</t>
        </is>
      </c>
      <c r="H493" s="7" t="inlineStr">
        <is>
          <t>35.0</t>
        </is>
      </c>
      <c r="I493" t="n">
        <v>92</v>
      </c>
      <c r="J493" t="inlineStr">
        <is>
          <t>48 / 44</t>
        </is>
      </c>
      <c r="K493" s="7" t="inlineStr">
        <is>
          <t>46%</t>
        </is>
      </c>
    </row>
    <row r="494">
      <c r="A494" s="8" t="inlineStr">
        <is>
          <t>493 (▲10)</t>
        </is>
      </c>
      <c r="B494" t="inlineStr">
        <is>
          <t>Mengge(Maya) Xu</t>
        </is>
      </c>
      <c r="C494" t="n">
        <v>2013</v>
      </c>
      <c r="D494" s="8" t="inlineStr">
        <is>
          <t>92.60 (▲6.56)</t>
        </is>
      </c>
      <c r="E494" s="7" t="inlineStr">
        <is>
          <t>9</t>
        </is>
      </c>
      <c r="F494" t="inlineStr">
        <is>
          <t>Ontario Tennis Association</t>
        </is>
      </c>
      <c r="G494" t="inlineStr">
        <is>
          <t>Markham Tennis Club</t>
        </is>
      </c>
      <c r="H494" s="9" t="inlineStr">
        <is>
          <t>38.5 (▼0.4)</t>
        </is>
      </c>
      <c r="I494" t="n">
        <v>37</v>
      </c>
      <c r="J494" t="inlineStr">
        <is>
          <t>12 / 25</t>
        </is>
      </c>
      <c r="K494" s="9" t="inlineStr">
        <is>
          <t>35% (▼2%)</t>
        </is>
      </c>
    </row>
    <row r="495">
      <c r="A495" s="7" t="inlineStr">
        <is>
          <t>494</t>
        </is>
      </c>
      <c r="B495" t="inlineStr">
        <is>
          <t>cataleya florina zadarojnea</t>
        </is>
      </c>
      <c r="C495" t="n">
        <v>2014</v>
      </c>
      <c r="D495" s="7" t="inlineStr">
        <is>
          <t>92.58</t>
        </is>
      </c>
      <c r="E495" s="7" t="inlineStr">
        <is>
          <t>25</t>
        </is>
      </c>
      <c r="F495" t="inlineStr">
        <is>
          <t>Ontario Tennis Association</t>
        </is>
      </c>
      <c r="G495" t="inlineStr">
        <is>
          <t>Premier Racquet Clubs – Mississauga</t>
        </is>
      </c>
      <c r="H495" s="7" t="inlineStr">
        <is>
          <t>37.3</t>
        </is>
      </c>
      <c r="I495" t="n">
        <v>39</v>
      </c>
      <c r="J495" t="inlineStr">
        <is>
          <t>13 / 26</t>
        </is>
      </c>
      <c r="K495" s="7" t="inlineStr">
        <is>
          <t>32%</t>
        </is>
      </c>
    </row>
    <row r="496">
      <c r="A496" s="7" t="inlineStr">
        <is>
          <t>495</t>
        </is>
      </c>
      <c r="B496" t="inlineStr">
        <is>
          <t>Ziqi Yu</t>
        </is>
      </c>
      <c r="C496" t="n">
        <v>2016</v>
      </c>
      <c r="D496" s="7" t="inlineStr">
        <is>
          <t>92.40</t>
        </is>
      </c>
      <c r="E496" s="8" t="inlineStr">
        <is>
          <t>22 (+1)</t>
        </is>
      </c>
      <c r="F496" t="inlineStr">
        <is>
          <t>Ontario Tennis Association</t>
        </is>
      </c>
      <c r="G496" t="inlineStr">
        <is>
          <t>Blackmore Tennis Club</t>
        </is>
      </c>
      <c r="H496" s="8" t="inlineStr">
        <is>
          <t>34.2 (▲0.2)</t>
        </is>
      </c>
      <c r="I496" t="n">
        <v>109</v>
      </c>
      <c r="J496" t="inlineStr">
        <is>
          <t>70 / 39</t>
        </is>
      </c>
      <c r="K496" s="7" t="inlineStr">
        <is>
          <t>63%</t>
        </is>
      </c>
    </row>
    <row r="497">
      <c r="A497" s="7" t="inlineStr">
        <is>
          <t>496</t>
        </is>
      </c>
      <c r="B497" t="inlineStr">
        <is>
          <t>Aditi Varma</t>
        </is>
      </c>
      <c r="C497" t="n">
        <v>2013</v>
      </c>
      <c r="D497" s="7" t="inlineStr">
        <is>
          <t>91.40</t>
        </is>
      </c>
      <c r="E497" s="7" t="inlineStr">
        <is>
          <t>8</t>
        </is>
      </c>
      <c r="F497" t="inlineStr">
        <is>
          <t>Ontario Tennis Association</t>
        </is>
      </c>
      <c r="G497" t="inlineStr">
        <is>
          <t>Ontario Racquet Club</t>
        </is>
      </c>
      <c r="H497" s="7" t="inlineStr">
        <is>
          <t>34.9</t>
        </is>
      </c>
      <c r="I497" t="n">
        <v>87</v>
      </c>
      <c r="J497" t="inlineStr">
        <is>
          <t>26 / 61</t>
        </is>
      </c>
      <c r="K497" s="7" t="inlineStr">
        <is>
          <t>28%</t>
        </is>
      </c>
    </row>
    <row r="498">
      <c r="A498" s="7" t="inlineStr">
        <is>
          <t>497</t>
        </is>
      </c>
      <c r="B498" t="inlineStr">
        <is>
          <t>Maylis Ilmane</t>
        </is>
      </c>
      <c r="C498" t="n">
        <v>2014</v>
      </c>
      <c r="D498" s="7" t="inlineStr">
        <is>
          <t>90.09</t>
        </is>
      </c>
      <c r="E498" s="9" t="inlineStr">
        <is>
          <t>7 (-1)</t>
        </is>
      </c>
      <c r="F498" t="inlineStr">
        <is>
          <t>Tennis Québec</t>
        </is>
      </c>
      <c r="G498" t="inlineStr">
        <is>
          <t>Centre récréatif de Repentigny / Académie Tennis Momentum</t>
        </is>
      </c>
      <c r="H498" s="7" t="inlineStr">
        <is>
          <t>35.4</t>
        </is>
      </c>
      <c r="I498" t="n">
        <v>60</v>
      </c>
      <c r="J498" t="inlineStr">
        <is>
          <t>25 / 35</t>
        </is>
      </c>
      <c r="K498" s="7" t="inlineStr">
        <is>
          <t>54%</t>
        </is>
      </c>
    </row>
    <row r="499">
      <c r="A499" s="7" t="inlineStr">
        <is>
          <t>498</t>
        </is>
      </c>
      <c r="B499" t="inlineStr">
        <is>
          <t>Mataya Victoria Jan</t>
        </is>
      </c>
      <c r="C499" t="n">
        <v>2015</v>
      </c>
      <c r="D499" s="7" t="inlineStr">
        <is>
          <t>89.75</t>
        </is>
      </c>
      <c r="E499" s="7" t="inlineStr">
        <is>
          <t>11</t>
        </is>
      </c>
      <c r="F499" t="inlineStr">
        <is>
          <t>Ontario Tennis Association</t>
        </is>
      </c>
      <c r="G499" t="inlineStr">
        <is>
          <t>Tennis Centre West Ottawa</t>
        </is>
      </c>
      <c r="H499" s="7" t="inlineStr">
        <is>
          <t>37.6</t>
        </is>
      </c>
      <c r="I499" t="n">
        <v>19</v>
      </c>
      <c r="J499" t="inlineStr">
        <is>
          <t>2 / 17</t>
        </is>
      </c>
      <c r="K499" s="7" t="inlineStr">
        <is>
          <t>14%</t>
        </is>
      </c>
    </row>
    <row r="500">
      <c r="A500" s="7" t="inlineStr">
        <is>
          <t>499</t>
        </is>
      </c>
      <c r="B500" t="inlineStr">
        <is>
          <t>Victoria maya Carinci</t>
        </is>
      </c>
      <c r="C500" t="n">
        <v>2013</v>
      </c>
      <c r="D500" s="7" t="inlineStr">
        <is>
          <t>88.83</t>
        </is>
      </c>
      <c r="E500" s="7" t="inlineStr">
        <is>
          <t>12</t>
        </is>
      </c>
      <c r="F500" t="inlineStr">
        <is>
          <t>Ontario Tennis Association</t>
        </is>
      </c>
      <c r="G500" t="inlineStr">
        <is>
          <t>Concord Tennis Academy</t>
        </is>
      </c>
      <c r="H500" s="7" t="inlineStr">
        <is>
          <t>39.3</t>
        </is>
      </c>
      <c r="I500" t="n">
        <v>40</v>
      </c>
      <c r="J500" t="inlineStr">
        <is>
          <t>9 / 31</t>
        </is>
      </c>
      <c r="K500" s="7" t="inlineStr">
        <is>
          <t>9%</t>
        </is>
      </c>
    </row>
    <row r="501">
      <c r="A501" s="7" t="inlineStr">
        <is>
          <t>500</t>
        </is>
      </c>
      <c r="B501" t="inlineStr">
        <is>
          <t>Aaisha Rathod</t>
        </is>
      </c>
      <c r="C501" t="n">
        <v>2012</v>
      </c>
      <c r="D501" s="7" t="inlineStr">
        <is>
          <t>88.04</t>
        </is>
      </c>
      <c r="E501" s="7" t="inlineStr">
        <is>
          <t>10</t>
        </is>
      </c>
      <c r="F501" t="inlineStr">
        <is>
          <t>Ontario Tennis Association</t>
        </is>
      </c>
      <c r="G501" t="inlineStr">
        <is>
          <t>Premier Racquet Clubs – Mississauga</t>
        </is>
      </c>
      <c r="H501" s="7" t="inlineStr">
        <is>
          <t>38.6</t>
        </is>
      </c>
      <c r="I501" t="n">
        <v>76</v>
      </c>
      <c r="J501" t="inlineStr">
        <is>
          <t>4 / 72</t>
        </is>
      </c>
      <c r="K501" s="7" t="inlineStr">
        <is>
          <t>18%</t>
        </is>
      </c>
    </row>
    <row r="502">
      <c r="A502" s="7" t="inlineStr">
        <is>
          <t>501</t>
        </is>
      </c>
      <c r="B502" t="inlineStr">
        <is>
          <t>LUXI YANG</t>
        </is>
      </c>
      <c r="C502" t="n">
        <v>2016</v>
      </c>
      <c r="D502" s="7" t="inlineStr">
        <is>
          <t>86.94</t>
        </is>
      </c>
      <c r="E502" s="7" t="inlineStr">
        <is>
          <t>11</t>
        </is>
      </c>
      <c r="F502" t="inlineStr">
        <is>
          <t>British Columbia</t>
        </is>
      </c>
      <c r="G502" t="inlineStr">
        <is>
          <t>The Tennis Centre</t>
        </is>
      </c>
      <c r="H502" s="7" t="inlineStr">
        <is>
          <t>31.8</t>
        </is>
      </c>
      <c r="I502" t="n">
        <v>84</v>
      </c>
      <c r="J502" t="inlineStr">
        <is>
          <t>66 / 18</t>
        </is>
      </c>
      <c r="K502" s="7" t="inlineStr">
        <is>
          <t>78%</t>
        </is>
      </c>
    </row>
    <row r="503">
      <c r="A503" s="9" t="inlineStr">
        <is>
          <t>502 (▼26)</t>
        </is>
      </c>
      <c r="B503" t="inlineStr">
        <is>
          <t>Isabella Sofia Zrnic</t>
        </is>
      </c>
      <c r="C503" t="n">
        <v>2012</v>
      </c>
      <c r="D503" s="9" t="inlineStr">
        <is>
          <t>86.83 (▼12.98)</t>
        </is>
      </c>
      <c r="E503" s="9" t="inlineStr">
        <is>
          <t>9 (-1)</t>
        </is>
      </c>
      <c r="F503" t="inlineStr">
        <is>
          <t>Ontario Tennis Association</t>
        </is>
      </c>
      <c r="G503" t="inlineStr">
        <is>
          <t>Lawrence Park Tennis Club</t>
        </is>
      </c>
      <c r="H503" s="7" t="inlineStr">
        <is>
          <t>35.4</t>
        </is>
      </c>
      <c r="I503" t="n">
        <v>66</v>
      </c>
      <c r="J503" t="inlineStr">
        <is>
          <t>27 / 39</t>
        </is>
      </c>
      <c r="K503" s="7" t="inlineStr">
        <is>
          <t>40%</t>
        </is>
      </c>
    </row>
    <row r="504">
      <c r="A504" s="9" t="inlineStr">
        <is>
          <t>503 (▼1)</t>
        </is>
      </c>
      <c r="B504" t="inlineStr">
        <is>
          <t>Abigail Jianing Zhou</t>
        </is>
      </c>
      <c r="C504" t="n">
        <v>2016</v>
      </c>
      <c r="D504" s="7" t="inlineStr">
        <is>
          <t>86.64</t>
        </is>
      </c>
      <c r="E504" s="8" t="inlineStr">
        <is>
          <t>20 (+1)</t>
        </is>
      </c>
      <c r="F504" t="inlineStr">
        <is>
          <t>Ontario Tennis Association</t>
        </is>
      </c>
      <c r="G504" t="inlineStr">
        <is>
          <t>Joshua Creek Golf &amp; Tennis</t>
        </is>
      </c>
      <c r="H504" s="9" t="inlineStr">
        <is>
          <t>36.4 (▼0.1)</t>
        </is>
      </c>
      <c r="I504" t="n">
        <v>161</v>
      </c>
      <c r="J504" t="inlineStr">
        <is>
          <t>68 / 93</t>
        </is>
      </c>
      <c r="K504" s="9" t="inlineStr">
        <is>
          <t>52% (▼1%)</t>
        </is>
      </c>
    </row>
    <row r="505">
      <c r="A505" s="7" t="inlineStr">
        <is>
          <t>504</t>
        </is>
      </c>
      <c r="B505" t="inlineStr">
        <is>
          <t>Quinn Pfaff</t>
        </is>
      </c>
      <c r="C505" t="n">
        <v>2013</v>
      </c>
      <c r="D505" s="7" t="inlineStr">
        <is>
          <t>83.95</t>
        </is>
      </c>
      <c r="E505" s="7" t="inlineStr">
        <is>
          <t>4</t>
        </is>
      </c>
      <c r="F505" t="inlineStr">
        <is>
          <t>Ontario Tennis Association</t>
        </is>
      </c>
      <c r="G505" t="inlineStr">
        <is>
          <t>Maitland Country Club</t>
        </is>
      </c>
      <c r="H505" s="7" t="inlineStr">
        <is>
          <t>37.9</t>
        </is>
      </c>
      <c r="I505" t="n">
        <v>4</v>
      </c>
      <c r="J505" t="inlineStr">
        <is>
          <t>0 / 4</t>
        </is>
      </c>
      <c r="K505" s="7" t="inlineStr">
        <is>
          <t>0%</t>
        </is>
      </c>
    </row>
    <row r="506">
      <c r="A506" s="7" t="inlineStr">
        <is>
          <t>505</t>
        </is>
      </c>
      <c r="B506" t="inlineStr">
        <is>
          <t>Avonlyn Long</t>
        </is>
      </c>
      <c r="C506" t="n">
        <v>2013</v>
      </c>
      <c r="D506" s="7" t="inlineStr">
        <is>
          <t>83.59</t>
        </is>
      </c>
      <c r="E506" s="7" t="inlineStr">
        <is>
          <t>3</t>
        </is>
      </c>
      <c r="F506" t="inlineStr">
        <is>
          <t>Ontario Tennis Association</t>
        </is>
      </c>
      <c r="G506" t="inlineStr">
        <is>
          <t>Carleton Tennis Centre</t>
        </is>
      </c>
      <c r="H506" s="7" t="inlineStr">
        <is>
          <t>39.0</t>
        </is>
      </c>
      <c r="I506" t="n">
        <v>12</v>
      </c>
      <c r="J506" t="inlineStr">
        <is>
          <t>1 / 11</t>
        </is>
      </c>
      <c r="K506" s="7" t="inlineStr">
        <is>
          <t>25%</t>
        </is>
      </c>
    </row>
    <row r="507">
      <c r="A507" s="7" t="inlineStr">
        <is>
          <t>506</t>
        </is>
      </c>
      <c r="B507" t="inlineStr">
        <is>
          <t>Emma Victoria Chan</t>
        </is>
      </c>
      <c r="C507" t="n">
        <v>2013</v>
      </c>
      <c r="D507" s="7" t="inlineStr">
        <is>
          <t>83.06</t>
        </is>
      </c>
      <c r="E507" s="9" t="inlineStr">
        <is>
          <t>7 (-1)</t>
        </is>
      </c>
      <c r="F507" t="inlineStr">
        <is>
          <t>Ontario Tennis Association</t>
        </is>
      </c>
      <c r="G507" t="inlineStr">
        <is>
          <t>Joshua Creek Golf &amp; Tennis</t>
        </is>
      </c>
      <c r="H507" s="7" t="inlineStr">
        <is>
          <t>36.3</t>
        </is>
      </c>
      <c r="I507" t="n">
        <v>66</v>
      </c>
      <c r="J507" t="inlineStr">
        <is>
          <t>41 / 25</t>
        </is>
      </c>
      <c r="K507" s="7" t="inlineStr">
        <is>
          <t>72%</t>
        </is>
      </c>
    </row>
    <row r="508">
      <c r="A508" s="7" t="inlineStr">
        <is>
          <t>507</t>
        </is>
      </c>
      <c r="B508" t="inlineStr">
        <is>
          <t>Ananya Rao</t>
        </is>
      </c>
      <c r="C508" t="n">
        <v>2014</v>
      </c>
      <c r="D508" s="7" t="inlineStr">
        <is>
          <t>83.05</t>
        </is>
      </c>
      <c r="E508" s="9" t="inlineStr">
        <is>
          <t>11 (-1)</t>
        </is>
      </c>
      <c r="F508" t="inlineStr">
        <is>
          <t>Ontario Tennis Association</t>
        </is>
      </c>
      <c r="G508" t="inlineStr">
        <is>
          <t>Carleton Tennis Centre</t>
        </is>
      </c>
      <c r="H508" s="7" t="inlineStr">
        <is>
          <t>36.8</t>
        </is>
      </c>
      <c r="I508" t="n">
        <v>93</v>
      </c>
      <c r="J508" t="inlineStr">
        <is>
          <t>29 / 64</t>
        </is>
      </c>
      <c r="K508" s="7" t="inlineStr">
        <is>
          <t>40%</t>
        </is>
      </c>
    </row>
    <row r="509">
      <c r="A509" s="7" t="inlineStr">
        <is>
          <t>508</t>
        </is>
      </c>
      <c r="B509" t="inlineStr">
        <is>
          <t>Aditri Mundhra</t>
        </is>
      </c>
      <c r="C509" t="n">
        <v>2014</v>
      </c>
      <c r="D509" s="7" t="inlineStr">
        <is>
          <t>82.48</t>
        </is>
      </c>
      <c r="E509" s="7" t="inlineStr">
        <is>
          <t>19</t>
        </is>
      </c>
      <c r="F509" t="inlineStr">
        <is>
          <t>British Columbia</t>
        </is>
      </c>
      <c r="G509" t="inlineStr">
        <is>
          <t>No Club</t>
        </is>
      </c>
      <c r="H509" s="7" t="inlineStr">
        <is>
          <t>36.1</t>
        </is>
      </c>
      <c r="I509" t="n">
        <v>54</v>
      </c>
      <c r="J509" t="inlineStr">
        <is>
          <t>18 / 36</t>
        </is>
      </c>
      <c r="K509" s="7" t="inlineStr">
        <is>
          <t>38%</t>
        </is>
      </c>
    </row>
    <row r="510">
      <c r="A510" s="7" t="inlineStr">
        <is>
          <t>509</t>
        </is>
      </c>
      <c r="B510" t="inlineStr">
        <is>
          <t>Audrey Humeniuk</t>
        </is>
      </c>
      <c r="C510" t="n">
        <v>2013</v>
      </c>
      <c r="D510" s="7" t="inlineStr">
        <is>
          <t>82.31</t>
        </is>
      </c>
      <c r="E510" s="7" t="inlineStr">
        <is>
          <t>5</t>
        </is>
      </c>
      <c r="F510" t="inlineStr">
        <is>
          <t>Ontario Tennis Association</t>
        </is>
      </c>
      <c r="G510" t="inlineStr">
        <is>
          <t>Tennis Centre West Ottawa</t>
        </is>
      </c>
      <c r="H510" s="7" t="inlineStr">
        <is>
          <t>39.5</t>
        </is>
      </c>
      <c r="I510" t="n">
        <v>11</v>
      </c>
      <c r="J510" t="inlineStr">
        <is>
          <t>2 / 9</t>
        </is>
      </c>
      <c r="K510" s="7" t="inlineStr">
        <is>
          <t>17%</t>
        </is>
      </c>
    </row>
    <row r="511">
      <c r="A511" s="8" t="inlineStr">
        <is>
          <t>510 (▲1)</t>
        </is>
      </c>
      <c r="B511" t="inlineStr">
        <is>
          <t>Ellieann Jean Baker</t>
        </is>
      </c>
      <c r="C511" t="n">
        <v>2015</v>
      </c>
      <c r="D511" s="8" t="inlineStr">
        <is>
          <t>81.88 (▲0.78)</t>
        </is>
      </c>
      <c r="E511" s="7" t="inlineStr">
        <is>
          <t>9</t>
        </is>
      </c>
      <c r="F511" t="inlineStr">
        <is>
          <t>Tennis Alberta</t>
        </is>
      </c>
      <c r="G511" t="inlineStr">
        <is>
          <t>Aforza</t>
        </is>
      </c>
      <c r="H511" s="8" t="inlineStr">
        <is>
          <t>36.2 (▲0.6)</t>
        </is>
      </c>
      <c r="I511" t="n">
        <v>114</v>
      </c>
      <c r="J511" t="inlineStr">
        <is>
          <t>47 / 67</t>
        </is>
      </c>
      <c r="K511" s="8" t="inlineStr">
        <is>
          <t>30% (▲1%)</t>
        </is>
      </c>
    </row>
    <row r="512">
      <c r="A512" s="9" t="inlineStr">
        <is>
          <t>511 (▼1)</t>
        </is>
      </c>
      <c r="B512" t="inlineStr">
        <is>
          <t>Emilia Sofia Urkedal</t>
        </is>
      </c>
      <c r="C512" t="n">
        <v>2013</v>
      </c>
      <c r="D512" s="7" t="inlineStr">
        <is>
          <t>81.57</t>
        </is>
      </c>
      <c r="E512" s="7" t="inlineStr">
        <is>
          <t>7</t>
        </is>
      </c>
      <c r="F512" t="inlineStr">
        <is>
          <t>Ontario Tennis Association</t>
        </is>
      </c>
      <c r="G512" t="inlineStr">
        <is>
          <t>Greenhills Golf Club</t>
        </is>
      </c>
      <c r="H512" s="7" t="inlineStr">
        <is>
          <t>37.0</t>
        </is>
      </c>
      <c r="I512" t="n">
        <v>69</v>
      </c>
      <c r="J512" t="inlineStr">
        <is>
          <t>17 / 52</t>
        </is>
      </c>
      <c r="K512" s="7" t="inlineStr">
        <is>
          <t>36%</t>
        </is>
      </c>
    </row>
    <row r="513">
      <c r="A513" s="7" t="inlineStr">
        <is>
          <t>512</t>
        </is>
      </c>
      <c r="B513" t="inlineStr">
        <is>
          <t>Doreen Bowen Mao</t>
        </is>
      </c>
      <c r="C513" t="n">
        <v>2015</v>
      </c>
      <c r="D513" s="7" t="inlineStr">
        <is>
          <t>80.75</t>
        </is>
      </c>
      <c r="E513" s="7" t="inlineStr">
        <is>
          <t>17</t>
        </is>
      </c>
      <c r="F513" t="inlineStr">
        <is>
          <t>Ontario Tennis Association</t>
        </is>
      </c>
      <c r="G513" t="inlineStr">
        <is>
          <t>Joshua Creek Golf &amp; Tennis</t>
        </is>
      </c>
      <c r="H513" s="7" t="inlineStr">
        <is>
          <t>37.0</t>
        </is>
      </c>
      <c r="I513" t="n">
        <v>82</v>
      </c>
      <c r="J513" t="inlineStr">
        <is>
          <t>34 / 48</t>
        </is>
      </c>
      <c r="K513" s="7" t="inlineStr">
        <is>
          <t>45%</t>
        </is>
      </c>
    </row>
    <row r="514">
      <c r="A514" s="7" t="inlineStr">
        <is>
          <t>513</t>
        </is>
      </c>
      <c r="B514" t="inlineStr">
        <is>
          <t>Emily Zhang</t>
        </is>
      </c>
      <c r="C514" t="n">
        <v>2012</v>
      </c>
      <c r="D514" s="7" t="inlineStr">
        <is>
          <t>80.69</t>
        </is>
      </c>
      <c r="E514" s="7" t="inlineStr">
        <is>
          <t>4</t>
        </is>
      </c>
      <c r="F514" t="inlineStr">
        <is>
          <t>Ontario Tennis Association</t>
        </is>
      </c>
      <c r="G514" t="inlineStr">
        <is>
          <t>Blackmore Tennis Club</t>
        </is>
      </c>
      <c r="H514" s="7" t="inlineStr">
        <is>
          <t>unavailable</t>
        </is>
      </c>
      <c r="I514" t="n">
        <v>48</v>
      </c>
      <c r="J514" t="inlineStr">
        <is>
          <t>10 / 38</t>
        </is>
      </c>
      <c r="K514" s="7" t="inlineStr">
        <is>
          <t>25%</t>
        </is>
      </c>
    </row>
    <row r="515">
      <c r="A515" s="8" t="inlineStr">
        <is>
          <t>514 (▲6)</t>
        </is>
      </c>
      <c r="B515" t="inlineStr">
        <is>
          <t>Siena Yang-frome</t>
        </is>
      </c>
      <c r="C515" t="n">
        <v>2017</v>
      </c>
      <c r="D515" s="8" t="inlineStr">
        <is>
          <t>80.41 (▲4.32)</t>
        </is>
      </c>
      <c r="E515" s="8" t="inlineStr">
        <is>
          <t>15 (+1)</t>
        </is>
      </c>
      <c r="F515" t="inlineStr">
        <is>
          <t>Ontario Tennis Association</t>
        </is>
      </c>
      <c r="G515" t="inlineStr">
        <is>
          <t>Premier Racquet Clubs – Mississauga</t>
        </is>
      </c>
      <c r="H515" s="8" t="inlineStr">
        <is>
          <t>35.9 (▲0.6)</t>
        </is>
      </c>
      <c r="I515" t="n">
        <v>89</v>
      </c>
      <c r="J515" t="inlineStr">
        <is>
          <t>50 / 39</t>
        </is>
      </c>
      <c r="K515" s="8" t="inlineStr">
        <is>
          <t>43% (▲1%)</t>
        </is>
      </c>
    </row>
    <row r="516">
      <c r="A516" s="9" t="inlineStr">
        <is>
          <t>515 (▼1)</t>
        </is>
      </c>
      <c r="B516" t="inlineStr">
        <is>
          <t>Savannah Billings</t>
        </is>
      </c>
      <c r="C516" t="n">
        <v>2015</v>
      </c>
      <c r="D516" s="7" t="inlineStr">
        <is>
          <t>79.46</t>
        </is>
      </c>
      <c r="E516" s="7" t="inlineStr">
        <is>
          <t>5</t>
        </is>
      </c>
      <c r="F516" t="inlineStr">
        <is>
          <t>Tennis Québec</t>
        </is>
      </c>
      <c r="G516" t="inlineStr">
        <is>
          <t>Club Avantage Multi-sports / Académie de tennis Hérisset Bordeleau</t>
        </is>
      </c>
      <c r="H516" s="7" t="inlineStr">
        <is>
          <t>27.6</t>
        </is>
      </c>
      <c r="I516" t="n">
        <v>13</v>
      </c>
      <c r="J516" t="inlineStr">
        <is>
          <t>8 / 5</t>
        </is>
      </c>
      <c r="K516" s="7" t="inlineStr">
        <is>
          <t>73%</t>
        </is>
      </c>
    </row>
    <row r="517">
      <c r="A517" s="9" t="inlineStr">
        <is>
          <t>516 (▼1)</t>
        </is>
      </c>
      <c r="B517" t="inlineStr">
        <is>
          <t>Mia Gidaro</t>
        </is>
      </c>
      <c r="C517" t="n">
        <v>2015</v>
      </c>
      <c r="D517" s="7" t="inlineStr">
        <is>
          <t>79.46</t>
        </is>
      </c>
      <c r="E517" s="7" t="inlineStr">
        <is>
          <t>11</t>
        </is>
      </c>
      <c r="F517" t="inlineStr">
        <is>
          <t>Ontario Tennis Association</t>
        </is>
      </c>
      <c r="G517" t="inlineStr">
        <is>
          <t>Baby Point Tennis Club</t>
        </is>
      </c>
      <c r="H517" s="7" t="inlineStr">
        <is>
          <t>37.0</t>
        </is>
      </c>
      <c r="I517" t="n">
        <v>61</v>
      </c>
      <c r="J517" t="inlineStr">
        <is>
          <t>24 / 37</t>
        </is>
      </c>
      <c r="K517" s="7" t="inlineStr">
        <is>
          <t>30%</t>
        </is>
      </c>
    </row>
    <row r="518">
      <c r="A518" s="9" t="inlineStr">
        <is>
          <t>517 (▼1)</t>
        </is>
      </c>
      <c r="B518" t="inlineStr">
        <is>
          <t>Clarice de Azevedo Guedes</t>
        </is>
      </c>
      <c r="C518" t="n">
        <v>2014</v>
      </c>
      <c r="D518" s="7" t="inlineStr">
        <is>
          <t>79.41</t>
        </is>
      </c>
      <c r="E518" s="7" t="inlineStr">
        <is>
          <t>14</t>
        </is>
      </c>
      <c r="F518" t="inlineStr">
        <is>
          <t>Tennis Québec</t>
        </is>
      </c>
      <c r="G518" t="inlineStr">
        <is>
          <t>Tennis 13</t>
        </is>
      </c>
      <c r="H518" s="7" t="inlineStr">
        <is>
          <t>unavailable</t>
        </is>
      </c>
      <c r="I518" t="n">
        <v>64</v>
      </c>
      <c r="J518" t="inlineStr">
        <is>
          <t>26 / 38</t>
        </is>
      </c>
      <c r="K518" s="7" t="inlineStr">
        <is>
          <t>50%</t>
        </is>
      </c>
    </row>
    <row r="519">
      <c r="A519" s="9" t="inlineStr">
        <is>
          <t>518 (▼1)</t>
        </is>
      </c>
      <c r="B519" t="inlineStr">
        <is>
          <t>Abigail Csima</t>
        </is>
      </c>
      <c r="C519" t="n">
        <v>2015</v>
      </c>
      <c r="D519" s="7" t="inlineStr">
        <is>
          <t>79.29</t>
        </is>
      </c>
      <c r="E519" s="7" t="inlineStr">
        <is>
          <t>14</t>
        </is>
      </c>
      <c r="F519" t="inlineStr">
        <is>
          <t>Ontario Tennis Association</t>
        </is>
      </c>
      <c r="G519" t="inlineStr">
        <is>
          <t>Waterloo Tennis Club</t>
        </is>
      </c>
      <c r="H519" s="7" t="inlineStr">
        <is>
          <t>38.5</t>
        </is>
      </c>
      <c r="I519" t="n">
        <v>60</v>
      </c>
      <c r="J519" t="inlineStr">
        <is>
          <t>12 / 48</t>
        </is>
      </c>
      <c r="K519" s="7" t="inlineStr">
        <is>
          <t>18%</t>
        </is>
      </c>
    </row>
    <row r="520">
      <c r="A520" s="9" t="inlineStr">
        <is>
          <t>519 (▼1)</t>
        </is>
      </c>
      <c r="B520" t="inlineStr">
        <is>
          <t>Anne Cherednychenko</t>
        </is>
      </c>
      <c r="C520" t="n">
        <v>2016</v>
      </c>
      <c r="D520" s="7" t="inlineStr">
        <is>
          <t>79.27</t>
        </is>
      </c>
      <c r="E520" s="7" t="inlineStr">
        <is>
          <t>11</t>
        </is>
      </c>
      <c r="F520" t="inlineStr">
        <is>
          <t>Tennis Québec</t>
        </is>
      </c>
      <c r="G520" t="inlineStr">
        <is>
          <t>No Club</t>
        </is>
      </c>
      <c r="H520" s="7" t="inlineStr">
        <is>
          <t>34.5</t>
        </is>
      </c>
      <c r="I520" t="n">
        <v>69</v>
      </c>
      <c r="J520" t="inlineStr">
        <is>
          <t>43 / 26</t>
        </is>
      </c>
      <c r="K520" s="7" t="inlineStr">
        <is>
          <t>61%</t>
        </is>
      </c>
    </row>
    <row r="521">
      <c r="A521" s="9" t="inlineStr">
        <is>
          <t>520 (▼1)</t>
        </is>
      </c>
      <c r="B521" t="inlineStr">
        <is>
          <t>Shaghun Dhillon</t>
        </is>
      </c>
      <c r="C521" t="n">
        <v>2014</v>
      </c>
      <c r="D521" s="7" t="inlineStr">
        <is>
          <t>76.44</t>
        </is>
      </c>
      <c r="E521" s="8" t="inlineStr">
        <is>
          <t>15 (+1)</t>
        </is>
      </c>
      <c r="F521" t="inlineStr">
        <is>
          <t>Ontario Tennis Association</t>
        </is>
      </c>
      <c r="G521" t="inlineStr">
        <is>
          <t>Premier Racquet Club - Markham</t>
        </is>
      </c>
      <c r="H521" s="7" t="inlineStr">
        <is>
          <t>unavailable</t>
        </is>
      </c>
      <c r="I521" t="n">
        <v>62</v>
      </c>
      <c r="J521" t="inlineStr">
        <is>
          <t>34 / 28</t>
        </is>
      </c>
      <c r="K521" s="9" t="inlineStr">
        <is>
          <t>56% (▼0%)</t>
        </is>
      </c>
    </row>
    <row r="522">
      <c r="A522" s="7" t="inlineStr">
        <is>
          <t>521</t>
        </is>
      </c>
      <c r="B522" t="inlineStr">
        <is>
          <t>Avery Hao</t>
        </is>
      </c>
      <c r="C522" t="n">
        <v>2013</v>
      </c>
      <c r="D522" s="7" t="inlineStr">
        <is>
          <t>74.54</t>
        </is>
      </c>
      <c r="E522" s="7" t="inlineStr">
        <is>
          <t>3</t>
        </is>
      </c>
      <c r="F522" t="inlineStr">
        <is>
          <t>Ontario Tennis Association</t>
        </is>
      </c>
      <c r="G522" t="inlineStr">
        <is>
          <t>Elmridge Tennis Club</t>
        </is>
      </c>
      <c r="H522" s="7" t="inlineStr">
        <is>
          <t>39.2</t>
        </is>
      </c>
      <c r="I522" t="n">
        <v>15</v>
      </c>
      <c r="J522" t="inlineStr">
        <is>
          <t>4 / 11</t>
        </is>
      </c>
      <c r="K522" s="7" t="inlineStr">
        <is>
          <t>0%</t>
        </is>
      </c>
    </row>
    <row r="523">
      <c r="A523" s="7" t="inlineStr">
        <is>
          <t>522</t>
        </is>
      </c>
      <c r="B523" t="inlineStr">
        <is>
          <t>Ava Amiripour</t>
        </is>
      </c>
      <c r="C523" t="n">
        <v>2014</v>
      </c>
      <c r="D523" s="7" t="inlineStr">
        <is>
          <t>74.29</t>
        </is>
      </c>
      <c r="E523" s="7" t="inlineStr">
        <is>
          <t>4</t>
        </is>
      </c>
      <c r="F523" t="inlineStr">
        <is>
          <t>Ontario Tennis Association</t>
        </is>
      </c>
      <c r="G523" t="inlineStr">
        <is>
          <t>No Club</t>
        </is>
      </c>
      <c r="H523" s="7" t="inlineStr">
        <is>
          <t>37.7</t>
        </is>
      </c>
      <c r="I523" t="n">
        <v>7</v>
      </c>
      <c r="J523" t="inlineStr">
        <is>
          <t>1 / 6</t>
        </is>
      </c>
      <c r="K523" s="7" t="inlineStr">
        <is>
          <t>17%</t>
        </is>
      </c>
    </row>
    <row r="524">
      <c r="A524" s="7" t="inlineStr">
        <is>
          <t>523</t>
        </is>
      </c>
      <c r="B524" t="inlineStr">
        <is>
          <t>Cara Tereza Nyakahuma</t>
        </is>
      </c>
      <c r="C524" t="n">
        <v>2015</v>
      </c>
      <c r="D524" s="7" t="inlineStr">
        <is>
          <t>74.08</t>
        </is>
      </c>
      <c r="E524" s="7" t="inlineStr">
        <is>
          <t>6</t>
        </is>
      </c>
      <c r="F524" t="inlineStr">
        <is>
          <t>Ontario Tennis Association</t>
        </is>
      </c>
      <c r="G524" t="inlineStr">
        <is>
          <t>Intercounty Tennis Association</t>
        </is>
      </c>
      <c r="H524" s="7" t="inlineStr">
        <is>
          <t>unavailable</t>
        </is>
      </c>
      <c r="I524" t="n">
        <v>143</v>
      </c>
      <c r="J524" t="inlineStr">
        <is>
          <t>90 / 53</t>
        </is>
      </c>
      <c r="K524" s="7" t="inlineStr">
        <is>
          <t>64%</t>
        </is>
      </c>
    </row>
    <row r="525">
      <c r="A525" s="7" t="inlineStr">
        <is>
          <t>524</t>
        </is>
      </c>
      <c r="B525" t="inlineStr">
        <is>
          <t>Lolia Abdrabou</t>
        </is>
      </c>
      <c r="C525" t="n">
        <v>2013</v>
      </c>
      <c r="D525" s="7" t="inlineStr">
        <is>
          <t>72.96</t>
        </is>
      </c>
      <c r="E525" s="7" t="inlineStr">
        <is>
          <t>4</t>
        </is>
      </c>
      <c r="F525" t="inlineStr">
        <is>
          <t>Tennis Nova Scotia</t>
        </is>
      </c>
      <c r="G525" t="inlineStr">
        <is>
          <t>HEADSTART</t>
        </is>
      </c>
      <c r="H525" s="7" t="inlineStr">
        <is>
          <t>35.5</t>
        </is>
      </c>
      <c r="I525" t="n">
        <v>22</v>
      </c>
      <c r="J525" t="inlineStr">
        <is>
          <t>13 / 9</t>
        </is>
      </c>
      <c r="K525" s="7" t="inlineStr">
        <is>
          <t>33%</t>
        </is>
      </c>
    </row>
    <row r="526">
      <c r="A526" s="8" t="inlineStr">
        <is>
          <t>525 (▲112)</t>
        </is>
      </c>
      <c r="B526" t="inlineStr">
        <is>
          <t>Aurélie Houde</t>
        </is>
      </c>
      <c r="C526" t="n">
        <v>2012</v>
      </c>
      <c r="D526" s="8" t="inlineStr">
        <is>
          <t>72.89 (▲37.03)</t>
        </is>
      </c>
      <c r="E526" s="7" t="inlineStr">
        <is>
          <t>4</t>
        </is>
      </c>
      <c r="F526" t="inlineStr">
        <is>
          <t>Tennis Québec</t>
        </is>
      </c>
      <c r="G526" t="inlineStr">
        <is>
          <t>Association de tennis de Drummondville</t>
        </is>
      </c>
      <c r="H526" s="8" t="inlineStr">
        <is>
          <t>38.6 (▲1.1)</t>
        </is>
      </c>
      <c r="I526" t="n">
        <v>24</v>
      </c>
      <c r="J526" t="inlineStr">
        <is>
          <t>2 / 22</t>
        </is>
      </c>
      <c r="K526" s="8" t="inlineStr">
        <is>
          <t>20% (▲20%)</t>
        </is>
      </c>
    </row>
    <row r="527">
      <c r="A527" s="9" t="inlineStr">
        <is>
          <t>526 (▼1)</t>
        </is>
      </c>
      <c r="B527" t="inlineStr">
        <is>
          <t>Ella Bloom Chulak</t>
        </is>
      </c>
      <c r="C527" t="n">
        <v>2015</v>
      </c>
      <c r="D527" s="7" t="inlineStr">
        <is>
          <t>71.80</t>
        </is>
      </c>
      <c r="E527" s="7" t="inlineStr">
        <is>
          <t>13</t>
        </is>
      </c>
      <c r="F527" t="inlineStr">
        <is>
          <t>Ontario Tennis Association</t>
        </is>
      </c>
      <c r="G527" t="inlineStr">
        <is>
          <t>Richmondhill Golf &amp; Country Club</t>
        </is>
      </c>
      <c r="H527" s="7" t="inlineStr">
        <is>
          <t>35.7</t>
        </is>
      </c>
      <c r="I527" t="n">
        <v>89</v>
      </c>
      <c r="J527" t="inlineStr">
        <is>
          <t>36 / 53</t>
        </is>
      </c>
      <c r="K527" s="7" t="inlineStr">
        <is>
          <t>52%</t>
        </is>
      </c>
    </row>
    <row r="528">
      <c r="A528" s="9" t="inlineStr">
        <is>
          <t>527 (▼1)</t>
        </is>
      </c>
      <c r="B528" t="inlineStr">
        <is>
          <t>Vina BLANCHARD</t>
        </is>
      </c>
      <c r="C528" t="n">
        <v>2013</v>
      </c>
      <c r="D528" s="7" t="inlineStr">
        <is>
          <t>71.70</t>
        </is>
      </c>
      <c r="E528" s="7" t="inlineStr">
        <is>
          <t>8</t>
        </is>
      </c>
      <c r="F528" t="inlineStr">
        <is>
          <t>Ontario Tennis Association</t>
        </is>
      </c>
      <c r="G528" t="inlineStr">
        <is>
          <t>Ontario Racquet Club</t>
        </is>
      </c>
      <c r="H528" s="7" t="inlineStr">
        <is>
          <t>unavailable</t>
        </is>
      </c>
      <c r="I528" t="n">
        <v>29</v>
      </c>
      <c r="J528" t="inlineStr">
        <is>
          <t>13 / 16</t>
        </is>
      </c>
      <c r="K528" s="7" t="inlineStr">
        <is>
          <t>28%</t>
        </is>
      </c>
    </row>
    <row r="529">
      <c r="A529" s="8" t="inlineStr">
        <is>
          <t>528 (▲10)</t>
        </is>
      </c>
      <c r="B529" t="inlineStr">
        <is>
          <t>Camélia Duong</t>
        </is>
      </c>
      <c r="C529" t="n">
        <v>2013</v>
      </c>
      <c r="D529" s="8" t="inlineStr">
        <is>
          <t>71.68 (▲5.06)</t>
        </is>
      </c>
      <c r="E529" s="8" t="inlineStr">
        <is>
          <t>11 (+1)</t>
        </is>
      </c>
      <c r="F529" t="inlineStr">
        <is>
          <t>Tennis Québec</t>
        </is>
      </c>
      <c r="G529" t="inlineStr">
        <is>
          <t>Tennis Ile- des- Soeurs</t>
        </is>
      </c>
      <c r="H529" s="9" t="inlineStr">
        <is>
          <t>37.1 (▼0.2)</t>
        </is>
      </c>
      <c r="I529" t="n">
        <v>70</v>
      </c>
      <c r="J529" t="inlineStr">
        <is>
          <t>12 / 58</t>
        </is>
      </c>
      <c r="K529" s="9" t="inlineStr">
        <is>
          <t>31% (▼2%)</t>
        </is>
      </c>
    </row>
    <row r="530">
      <c r="A530" s="9" t="inlineStr">
        <is>
          <t>529 (▼2)</t>
        </is>
      </c>
      <c r="B530" t="inlineStr">
        <is>
          <t>Grace SHI</t>
        </is>
      </c>
      <c r="C530" t="n">
        <v>2016</v>
      </c>
      <c r="D530" s="7" t="inlineStr">
        <is>
          <t>70.42</t>
        </is>
      </c>
      <c r="E530" s="9" t="inlineStr">
        <is>
          <t>9 (-1)</t>
        </is>
      </c>
      <c r="F530" t="inlineStr">
        <is>
          <t>British Columbia</t>
        </is>
      </c>
      <c r="G530" t="inlineStr">
        <is>
          <t>No Club</t>
        </is>
      </c>
      <c r="H530" s="7" t="inlineStr">
        <is>
          <t>38.4</t>
        </is>
      </c>
      <c r="I530" t="n">
        <v>48</v>
      </c>
      <c r="J530" t="inlineStr">
        <is>
          <t>16 / 32</t>
        </is>
      </c>
      <c r="K530" s="7" t="inlineStr">
        <is>
          <t>41%</t>
        </is>
      </c>
    </row>
    <row r="531">
      <c r="A531" s="9" t="inlineStr">
        <is>
          <t>530 (▼2)</t>
        </is>
      </c>
      <c r="B531" t="inlineStr">
        <is>
          <t>Myra Shukla</t>
        </is>
      </c>
      <c r="C531" t="n">
        <v>2015</v>
      </c>
      <c r="D531" s="7" t="inlineStr">
        <is>
          <t>70.13</t>
        </is>
      </c>
      <c r="E531" s="7" t="inlineStr">
        <is>
          <t>8</t>
        </is>
      </c>
      <c r="F531" t="inlineStr">
        <is>
          <t>Ontario Tennis Association</t>
        </is>
      </c>
      <c r="G531" t="inlineStr">
        <is>
          <t>Veneto Tennis Club</t>
        </is>
      </c>
      <c r="H531" s="7" t="inlineStr">
        <is>
          <t>38.1</t>
        </is>
      </c>
      <c r="I531" t="n">
        <v>83</v>
      </c>
      <c r="J531" t="inlineStr">
        <is>
          <t>34 / 49</t>
        </is>
      </c>
      <c r="K531" s="7" t="inlineStr">
        <is>
          <t>14%</t>
        </is>
      </c>
    </row>
    <row r="532">
      <c r="A532" s="9" t="inlineStr">
        <is>
          <t>531 (▼2)</t>
        </is>
      </c>
      <c r="B532" t="inlineStr">
        <is>
          <t>Lilya Youssef</t>
        </is>
      </c>
      <c r="C532" t="n">
        <v>2013</v>
      </c>
      <c r="D532" s="7" t="inlineStr">
        <is>
          <t>69.61</t>
        </is>
      </c>
      <c r="E532" s="7" t="inlineStr">
        <is>
          <t>3</t>
        </is>
      </c>
      <c r="F532" t="inlineStr">
        <is>
          <t>Tennis Québec</t>
        </is>
      </c>
      <c r="G532" t="inlineStr">
        <is>
          <t>Tennis 13</t>
        </is>
      </c>
      <c r="H532" s="7" t="inlineStr">
        <is>
          <t>unavailable</t>
        </is>
      </c>
      <c r="I532" t="n">
        <v>10</v>
      </c>
      <c r="J532" t="inlineStr">
        <is>
          <t>5 / 5</t>
        </is>
      </c>
      <c r="K532" s="7" t="inlineStr">
        <is>
          <t>50%</t>
        </is>
      </c>
    </row>
    <row r="533">
      <c r="A533" s="9" t="inlineStr">
        <is>
          <t>532 (▼2)</t>
        </is>
      </c>
      <c r="B533" t="inlineStr">
        <is>
          <t>Emilia Ho</t>
        </is>
      </c>
      <c r="C533" t="n">
        <v>2015</v>
      </c>
      <c r="D533" s="7" t="inlineStr">
        <is>
          <t>69.21</t>
        </is>
      </c>
      <c r="E533" s="7" t="inlineStr">
        <is>
          <t>17</t>
        </is>
      </c>
      <c r="F533" t="inlineStr">
        <is>
          <t>Tennis Alberta</t>
        </is>
      </c>
      <c r="G533" t="inlineStr">
        <is>
          <t>Osten &amp; Victor Alberta Tennis Centre</t>
        </is>
      </c>
      <c r="H533" s="7" t="inlineStr">
        <is>
          <t>33.4</t>
        </is>
      </c>
      <c r="I533" t="n">
        <v>142</v>
      </c>
      <c r="J533" t="inlineStr">
        <is>
          <t>76 / 66</t>
        </is>
      </c>
      <c r="K533" s="7" t="inlineStr">
        <is>
          <t>55%</t>
        </is>
      </c>
    </row>
    <row r="534">
      <c r="A534" s="9" t="inlineStr">
        <is>
          <t>533 (▼2)</t>
        </is>
      </c>
      <c r="B534" t="inlineStr">
        <is>
          <t>Alexis Sokol</t>
        </is>
      </c>
      <c r="C534" t="n">
        <v>2014</v>
      </c>
      <c r="D534" s="7" t="inlineStr">
        <is>
          <t>68.81</t>
        </is>
      </c>
      <c r="E534" s="8" t="inlineStr">
        <is>
          <t>11 (+1)</t>
        </is>
      </c>
      <c r="F534" t="inlineStr">
        <is>
          <t>Tennis Alberta</t>
        </is>
      </c>
      <c r="G534" t="inlineStr">
        <is>
          <t>Saville Community Sports Centre</t>
        </is>
      </c>
      <c r="H534" s="8" t="inlineStr">
        <is>
          <t>35.8 (▲0.4)</t>
        </is>
      </c>
      <c r="I534" t="n">
        <v>27</v>
      </c>
      <c r="J534" t="inlineStr">
        <is>
          <t>12 / 15</t>
        </is>
      </c>
      <c r="K534" s="8" t="inlineStr">
        <is>
          <t>48% (▲7%)</t>
        </is>
      </c>
    </row>
    <row r="535">
      <c r="A535" s="9" t="inlineStr">
        <is>
          <t>534 (▼2)</t>
        </is>
      </c>
      <c r="B535" t="inlineStr">
        <is>
          <t>Kaitlynn Xie</t>
        </is>
      </c>
      <c r="C535" t="n">
        <v>2014</v>
      </c>
      <c r="D535" s="7" t="inlineStr">
        <is>
          <t>68.72</t>
        </is>
      </c>
      <c r="E535" s="7" t="inlineStr">
        <is>
          <t>8</t>
        </is>
      </c>
      <c r="F535" t="inlineStr">
        <is>
          <t>Tennis Alberta</t>
        </is>
      </c>
      <c r="G535" t="inlineStr">
        <is>
          <t>Saville Community Sports Centre</t>
        </is>
      </c>
      <c r="H535" s="7" t="inlineStr">
        <is>
          <t>34.2</t>
        </is>
      </c>
      <c r="I535" t="n">
        <v>57</v>
      </c>
      <c r="J535" t="inlineStr">
        <is>
          <t>19 / 38</t>
        </is>
      </c>
      <c r="K535" s="7" t="inlineStr">
        <is>
          <t>37%</t>
        </is>
      </c>
    </row>
    <row r="536">
      <c r="A536" s="9" t="inlineStr">
        <is>
          <t>535 (▼2)</t>
        </is>
      </c>
      <c r="B536" t="inlineStr">
        <is>
          <t>Hui-Xin Chen</t>
        </is>
      </c>
      <c r="C536" t="n">
        <v>2014</v>
      </c>
      <c r="D536" s="7" t="inlineStr">
        <is>
          <t>67.88</t>
        </is>
      </c>
      <c r="E536" s="7" t="inlineStr">
        <is>
          <t>12</t>
        </is>
      </c>
      <c r="F536" t="inlineStr">
        <is>
          <t>British Columbia</t>
        </is>
      </c>
      <c r="G536" t="inlineStr">
        <is>
          <t>No Club</t>
        </is>
      </c>
      <c r="H536" s="7" t="inlineStr">
        <is>
          <t>unavailable</t>
        </is>
      </c>
      <c r="I536" t="n">
        <v>108</v>
      </c>
      <c r="J536" t="inlineStr">
        <is>
          <t>37 / 71</t>
        </is>
      </c>
      <c r="K536" s="7" t="inlineStr">
        <is>
          <t>50%</t>
        </is>
      </c>
    </row>
    <row r="537">
      <c r="A537" s="9" t="inlineStr">
        <is>
          <t>536 (▼2)</t>
        </is>
      </c>
      <c r="B537" t="inlineStr">
        <is>
          <t>Melissa Elena Rusu</t>
        </is>
      </c>
      <c r="C537" t="n">
        <v>2014</v>
      </c>
      <c r="D537" s="7" t="inlineStr">
        <is>
          <t>67.02</t>
        </is>
      </c>
      <c r="E537" s="7" t="inlineStr">
        <is>
          <t>17</t>
        </is>
      </c>
      <c r="F537" t="inlineStr">
        <is>
          <t>Tennis Québec</t>
        </is>
      </c>
      <c r="G537" t="inlineStr">
        <is>
          <t>Carrefour Multisports - Haute Performance</t>
        </is>
      </c>
      <c r="H537" s="7" t="inlineStr">
        <is>
          <t>37.5</t>
        </is>
      </c>
      <c r="I537" t="n">
        <v>58</v>
      </c>
      <c r="J537" t="inlineStr">
        <is>
          <t>19 / 39</t>
        </is>
      </c>
      <c r="K537" s="7" t="inlineStr">
        <is>
          <t>20%</t>
        </is>
      </c>
    </row>
    <row r="538">
      <c r="A538" s="9" t="inlineStr">
        <is>
          <t>537 (▼2)</t>
        </is>
      </c>
      <c r="B538" t="inlineStr">
        <is>
          <t>Mioara Oulima Bouyela</t>
        </is>
      </c>
      <c r="C538" t="n">
        <v>2014</v>
      </c>
      <c r="D538" s="7" t="inlineStr">
        <is>
          <t>66.92</t>
        </is>
      </c>
      <c r="E538" s="7" t="inlineStr">
        <is>
          <t>12</t>
        </is>
      </c>
      <c r="F538" t="inlineStr">
        <is>
          <t>Tennis Québec</t>
        </is>
      </c>
      <c r="G538" t="inlineStr">
        <is>
          <t>Tennis 13</t>
        </is>
      </c>
      <c r="H538" s="7" t="inlineStr">
        <is>
          <t>37.1</t>
        </is>
      </c>
      <c r="I538" t="n">
        <v>83</v>
      </c>
      <c r="J538" t="inlineStr">
        <is>
          <t>34 / 49</t>
        </is>
      </c>
      <c r="K538" s="7" t="inlineStr">
        <is>
          <t>43%</t>
        </is>
      </c>
    </row>
    <row r="539">
      <c r="A539" s="9" t="inlineStr">
        <is>
          <t>538 (▼2)</t>
        </is>
      </c>
      <c r="B539" t="inlineStr">
        <is>
          <t>Daisy Brown</t>
        </is>
      </c>
      <c r="C539" t="n">
        <v>2012</v>
      </c>
      <c r="D539" s="7" t="inlineStr">
        <is>
          <t>66.80</t>
        </is>
      </c>
      <c r="E539" s="7" t="inlineStr">
        <is>
          <t>5</t>
        </is>
      </c>
      <c r="F539" t="inlineStr">
        <is>
          <t>British Columbia</t>
        </is>
      </c>
      <c r="G539" t="inlineStr">
        <is>
          <t>Oak Bay Recreation Centre</t>
        </is>
      </c>
      <c r="H539" s="7" t="inlineStr">
        <is>
          <t>35.7</t>
        </is>
      </c>
      <c r="I539" t="n">
        <v>62</v>
      </c>
      <c r="J539" t="inlineStr">
        <is>
          <t>34 / 28</t>
        </is>
      </c>
      <c r="K539" s="7" t="inlineStr">
        <is>
          <t>40%</t>
        </is>
      </c>
    </row>
    <row r="540">
      <c r="A540" s="9" t="inlineStr">
        <is>
          <t>539 (▼2)</t>
        </is>
      </c>
      <c r="B540" t="inlineStr">
        <is>
          <t>Gabriella Geronimo</t>
        </is>
      </c>
      <c r="C540" t="n">
        <v>2014</v>
      </c>
      <c r="D540" s="7" t="inlineStr">
        <is>
          <t>66.63</t>
        </is>
      </c>
      <c r="E540" s="7" t="inlineStr">
        <is>
          <t>5</t>
        </is>
      </c>
      <c r="F540" t="inlineStr">
        <is>
          <t>Ontario Tennis Association</t>
        </is>
      </c>
      <c r="G540" t="inlineStr">
        <is>
          <t>Albion Gardens Tennis Club</t>
        </is>
      </c>
      <c r="H540" s="7" t="inlineStr">
        <is>
          <t>34.0</t>
        </is>
      </c>
      <c r="I540" t="n">
        <v>201</v>
      </c>
      <c r="J540" t="inlineStr">
        <is>
          <t>113 / 88</t>
        </is>
      </c>
      <c r="K540" s="7" t="inlineStr">
        <is>
          <t>71%</t>
        </is>
      </c>
    </row>
    <row r="541">
      <c r="A541" s="9" t="inlineStr">
        <is>
          <t>540 (▼1)</t>
        </is>
      </c>
      <c r="B541" t="inlineStr">
        <is>
          <t>Lily Chen</t>
        </is>
      </c>
      <c r="C541" t="n">
        <v>2016</v>
      </c>
      <c r="D541" s="7" t="inlineStr">
        <is>
          <t>66.55</t>
        </is>
      </c>
      <c r="E541" s="7" t="inlineStr">
        <is>
          <t>18</t>
        </is>
      </c>
      <c r="F541" t="inlineStr">
        <is>
          <t>British Columbia</t>
        </is>
      </c>
      <c r="G541" t="inlineStr">
        <is>
          <t>No Club</t>
        </is>
      </c>
      <c r="H541" s="7" t="inlineStr">
        <is>
          <t>35.1</t>
        </is>
      </c>
      <c r="I541" t="n">
        <v>111</v>
      </c>
      <c r="J541" t="inlineStr">
        <is>
          <t>42 / 69</t>
        </is>
      </c>
      <c r="K541" s="7" t="inlineStr">
        <is>
          <t>37%</t>
        </is>
      </c>
    </row>
    <row r="542">
      <c r="A542" s="9" t="inlineStr">
        <is>
          <t>541 (▼1)</t>
        </is>
      </c>
      <c r="B542" t="inlineStr">
        <is>
          <t>Brielle Ramirez Balos</t>
        </is>
      </c>
      <c r="C542" t="n">
        <v>2015</v>
      </c>
      <c r="D542" s="7" t="inlineStr">
        <is>
          <t>66.29</t>
        </is>
      </c>
      <c r="E542" s="8" t="inlineStr">
        <is>
          <t>11 (+1)</t>
        </is>
      </c>
      <c r="F542" t="inlineStr">
        <is>
          <t>Tennis Alberta</t>
        </is>
      </c>
      <c r="G542" t="inlineStr">
        <is>
          <t>Saville Community Sports Centre</t>
        </is>
      </c>
      <c r="H542" s="7" t="inlineStr">
        <is>
          <t>unavailable</t>
        </is>
      </c>
      <c r="I542" t="n">
        <v>70</v>
      </c>
      <c r="J542" t="inlineStr">
        <is>
          <t>40 / 30</t>
        </is>
      </c>
      <c r="K542" s="9" t="inlineStr">
        <is>
          <t>62% (▼1%)</t>
        </is>
      </c>
    </row>
    <row r="543">
      <c r="A543" s="7" t="inlineStr">
        <is>
          <t>542</t>
        </is>
      </c>
      <c r="B543" t="inlineStr">
        <is>
          <t>Evelyn May</t>
        </is>
      </c>
      <c r="C543" t="n">
        <v>2016</v>
      </c>
      <c r="D543" s="7" t="inlineStr">
        <is>
          <t>65.91</t>
        </is>
      </c>
      <c r="E543" s="8" t="inlineStr">
        <is>
          <t>14 (+1)</t>
        </is>
      </c>
      <c r="F543" t="inlineStr">
        <is>
          <t>Tennis Québec</t>
        </is>
      </c>
      <c r="G543" t="inlineStr">
        <is>
          <t>Tennis 13 / Académie Ménard et associé</t>
        </is>
      </c>
      <c r="H543" s="9" t="inlineStr">
        <is>
          <t>34.4 (▼0.8)</t>
        </is>
      </c>
      <c r="I543" t="n">
        <v>182</v>
      </c>
      <c r="J543" t="inlineStr">
        <is>
          <t>112 / 70</t>
        </is>
      </c>
      <c r="K543" s="7" t="inlineStr">
        <is>
          <t>52%</t>
        </is>
      </c>
    </row>
    <row r="544">
      <c r="A544" s="7" t="inlineStr">
        <is>
          <t>543</t>
        </is>
      </c>
      <c r="B544" t="inlineStr">
        <is>
          <t>Victoria Guiral</t>
        </is>
      </c>
      <c r="C544" t="n">
        <v>2014</v>
      </c>
      <c r="D544" s="7" t="inlineStr">
        <is>
          <t>65.78</t>
        </is>
      </c>
      <c r="E544" s="7" t="inlineStr">
        <is>
          <t>7</t>
        </is>
      </c>
      <c r="F544" t="inlineStr">
        <is>
          <t>Tennis Québec</t>
        </is>
      </c>
      <c r="G544" t="inlineStr">
        <is>
          <t>Tennis Interclub Piedmont</t>
        </is>
      </c>
      <c r="H544" s="7" t="inlineStr">
        <is>
          <t>38.6</t>
        </is>
      </c>
      <c r="I544" t="n">
        <v>23</v>
      </c>
      <c r="J544" t="inlineStr">
        <is>
          <t>6 / 17</t>
        </is>
      </c>
      <c r="K544" s="7" t="inlineStr">
        <is>
          <t>9%</t>
        </is>
      </c>
    </row>
    <row r="545">
      <c r="A545" s="7" t="inlineStr">
        <is>
          <t>544</t>
        </is>
      </c>
      <c r="B545" t="inlineStr">
        <is>
          <t>Diya Anand</t>
        </is>
      </c>
      <c r="C545" t="n">
        <v>2012</v>
      </c>
      <c r="D545" s="7" t="inlineStr">
        <is>
          <t>65.71</t>
        </is>
      </c>
      <c r="E545" s="7" t="inlineStr">
        <is>
          <t>5</t>
        </is>
      </c>
      <c r="F545" t="inlineStr">
        <is>
          <t>Ontario Tennis Association</t>
        </is>
      </c>
      <c r="G545" t="inlineStr">
        <is>
          <t>Rosedale Tennis Club (Hamilton)</t>
        </is>
      </c>
      <c r="H545" s="7" t="inlineStr">
        <is>
          <t>unavailable</t>
        </is>
      </c>
      <c r="I545" t="n">
        <v>20</v>
      </c>
      <c r="J545" t="inlineStr">
        <is>
          <t>4 / 16</t>
        </is>
      </c>
      <c r="K545" s="7" t="inlineStr">
        <is>
          <t>14%</t>
        </is>
      </c>
    </row>
    <row r="546">
      <c r="A546" s="7" t="inlineStr">
        <is>
          <t>545</t>
        </is>
      </c>
      <c r="B546" t="inlineStr">
        <is>
          <t>Robyn Abigail Allen</t>
        </is>
      </c>
      <c r="C546" t="n">
        <v>2013</v>
      </c>
      <c r="D546" s="7" t="inlineStr">
        <is>
          <t>65.43</t>
        </is>
      </c>
      <c r="E546" s="7" t="inlineStr">
        <is>
          <t>4</t>
        </is>
      </c>
      <c r="F546" t="inlineStr">
        <is>
          <t>Ontario Tennis Association</t>
        </is>
      </c>
      <c r="G546" t="inlineStr">
        <is>
          <t>Waterloo Tennis Club</t>
        </is>
      </c>
      <c r="H546" s="7" t="inlineStr">
        <is>
          <t>unavailable</t>
        </is>
      </c>
      <c r="I546" t="n">
        <v>24</v>
      </c>
      <c r="J546" t="inlineStr">
        <is>
          <t>5 / 19</t>
        </is>
      </c>
      <c r="K546" s="7" t="inlineStr">
        <is>
          <t>14%</t>
        </is>
      </c>
    </row>
    <row r="547">
      <c r="A547" s="7" t="inlineStr">
        <is>
          <t>546</t>
        </is>
      </c>
      <c r="B547" t="inlineStr">
        <is>
          <t>Aayushi Gautam</t>
        </is>
      </c>
      <c r="C547" t="n">
        <v>2015</v>
      </c>
      <c r="D547" s="7" t="inlineStr">
        <is>
          <t>64.93</t>
        </is>
      </c>
      <c r="E547" s="8" t="inlineStr">
        <is>
          <t>15 (+1)</t>
        </is>
      </c>
      <c r="F547" t="inlineStr">
        <is>
          <t>Tennis Alberta</t>
        </is>
      </c>
      <c r="G547" t="inlineStr">
        <is>
          <t>Saville Community Sports Centre</t>
        </is>
      </c>
      <c r="H547" s="9" t="inlineStr">
        <is>
          <t>33.1 (▼0.4)</t>
        </is>
      </c>
      <c r="I547" t="n">
        <v>160</v>
      </c>
      <c r="J547" t="inlineStr">
        <is>
          <t>96 / 64</t>
        </is>
      </c>
      <c r="K547" s="9" t="inlineStr">
        <is>
          <t>69% (▼2%)</t>
        </is>
      </c>
    </row>
    <row r="548">
      <c r="A548" s="7" t="inlineStr">
        <is>
          <t>547</t>
        </is>
      </c>
      <c r="B548" t="inlineStr">
        <is>
          <t>Alexandria Gianvito</t>
        </is>
      </c>
      <c r="C548" t="n">
        <v>2015</v>
      </c>
      <c r="D548" s="7" t="inlineStr">
        <is>
          <t>64.85</t>
        </is>
      </c>
      <c r="E548" s="7" t="inlineStr">
        <is>
          <t>6</t>
        </is>
      </c>
      <c r="F548" t="inlineStr">
        <is>
          <t>Tennis Québec</t>
        </is>
      </c>
      <c r="G548" t="inlineStr">
        <is>
          <t>No Club</t>
        </is>
      </c>
      <c r="H548" s="7" t="inlineStr">
        <is>
          <t>unavailable</t>
        </is>
      </c>
      <c r="I548" t="n">
        <v>50</v>
      </c>
      <c r="J548" t="inlineStr">
        <is>
          <t>13 / 37</t>
        </is>
      </c>
      <c r="K548" s="7" t="inlineStr">
        <is>
          <t>17%</t>
        </is>
      </c>
    </row>
    <row r="549">
      <c r="A549" s="7" t="inlineStr">
        <is>
          <t>548</t>
        </is>
      </c>
      <c r="B549" t="inlineStr">
        <is>
          <t>kate zixi ye</t>
        </is>
      </c>
      <c r="C549" t="n">
        <v>2012</v>
      </c>
      <c r="D549" s="7" t="inlineStr">
        <is>
          <t>64.58</t>
        </is>
      </c>
      <c r="E549" s="7" t="inlineStr">
        <is>
          <t>7</t>
        </is>
      </c>
      <c r="F549" t="inlineStr">
        <is>
          <t>Ontario Tennis Association</t>
        </is>
      </c>
      <c r="G549" t="inlineStr">
        <is>
          <t>No Club</t>
        </is>
      </c>
      <c r="H549" s="7" t="inlineStr">
        <is>
          <t>38.0</t>
        </is>
      </c>
      <c r="I549" t="n">
        <v>13</v>
      </c>
      <c r="J549" t="inlineStr">
        <is>
          <t>2 / 11</t>
        </is>
      </c>
      <c r="K549" s="7" t="inlineStr">
        <is>
          <t>14%</t>
        </is>
      </c>
    </row>
    <row r="550">
      <c r="A550" s="7" t="inlineStr">
        <is>
          <t>549</t>
        </is>
      </c>
      <c r="B550" t="inlineStr">
        <is>
          <t>Ziba Forooghian</t>
        </is>
      </c>
      <c r="C550" t="n">
        <v>2015</v>
      </c>
      <c r="D550" s="7" t="inlineStr">
        <is>
          <t>64.55</t>
        </is>
      </c>
      <c r="E550" s="8" t="inlineStr">
        <is>
          <t>22 (+1)</t>
        </is>
      </c>
      <c r="F550" t="inlineStr">
        <is>
          <t>British Columbia</t>
        </is>
      </c>
      <c r="G550" t="inlineStr">
        <is>
          <t>Aura Tennis Academy</t>
        </is>
      </c>
      <c r="H550" s="7" t="inlineStr">
        <is>
          <t>35.9</t>
        </is>
      </c>
      <c r="I550" t="n">
        <v>91</v>
      </c>
      <c r="J550" t="inlineStr">
        <is>
          <t>33 / 58</t>
        </is>
      </c>
      <c r="K550" s="8" t="inlineStr">
        <is>
          <t>36% (▲1%)</t>
        </is>
      </c>
    </row>
    <row r="551">
      <c r="A551" s="7" t="inlineStr">
        <is>
          <t>550</t>
        </is>
      </c>
      <c r="B551" t="inlineStr">
        <is>
          <t>Melinna Yu Nuo Yang</t>
        </is>
      </c>
      <c r="C551" t="n">
        <v>2016</v>
      </c>
      <c r="D551" s="7" t="inlineStr">
        <is>
          <t>64.06</t>
        </is>
      </c>
      <c r="E551" s="7" t="inlineStr">
        <is>
          <t>9</t>
        </is>
      </c>
      <c r="F551" t="inlineStr">
        <is>
          <t>Tennis Québec</t>
        </is>
      </c>
      <c r="G551" t="inlineStr">
        <is>
          <t>Club Sportif Côte-de-Liesse</t>
        </is>
      </c>
      <c r="H551" s="7" t="inlineStr">
        <is>
          <t>unavailable</t>
        </is>
      </c>
      <c r="I551" t="n">
        <v>97</v>
      </c>
      <c r="J551" t="inlineStr">
        <is>
          <t>40 / 57</t>
        </is>
      </c>
      <c r="K551" s="7" t="inlineStr">
        <is>
          <t>56%</t>
        </is>
      </c>
    </row>
    <row r="552">
      <c r="A552" s="7" t="inlineStr">
        <is>
          <t>551</t>
        </is>
      </c>
      <c r="B552" t="inlineStr">
        <is>
          <t>Jemima Edwards</t>
        </is>
      </c>
      <c r="C552" t="n">
        <v>2012</v>
      </c>
      <c r="D552" s="7" t="inlineStr">
        <is>
          <t>64.00</t>
        </is>
      </c>
      <c r="E552" s="7" t="inlineStr">
        <is>
          <t>2</t>
        </is>
      </c>
      <c r="F552" t="inlineStr">
        <is>
          <t>Ontario Tennis Association</t>
        </is>
      </c>
      <c r="G552" t="inlineStr">
        <is>
          <t>Rideau Sports Centre</t>
        </is>
      </c>
      <c r="H552" s="9" t="inlineStr">
        <is>
          <t>32.6 (▼0.2)</t>
        </is>
      </c>
      <c r="I552" t="n">
        <v>79</v>
      </c>
      <c r="J552" t="inlineStr">
        <is>
          <t>39 / 40</t>
        </is>
      </c>
      <c r="K552" s="7" t="inlineStr">
        <is>
          <t>75%</t>
        </is>
      </c>
    </row>
    <row r="553">
      <c r="A553" s="7" t="inlineStr">
        <is>
          <t>552</t>
        </is>
      </c>
      <c r="B553" t="inlineStr">
        <is>
          <t>Hayley Bryce</t>
        </is>
      </c>
      <c r="C553" t="n">
        <v>2016</v>
      </c>
      <c r="D553" s="7" t="inlineStr">
        <is>
          <t>63.55</t>
        </is>
      </c>
      <c r="E553" s="7" t="inlineStr">
        <is>
          <t>15</t>
        </is>
      </c>
      <c r="F553" t="inlineStr">
        <is>
          <t>Ontario Tennis Association</t>
        </is>
      </c>
      <c r="G553" t="inlineStr">
        <is>
          <t>SmartVMC Racquetsports by ACE</t>
        </is>
      </c>
      <c r="H553" s="7" t="inlineStr">
        <is>
          <t>unavailable</t>
        </is>
      </c>
      <c r="I553" t="n">
        <v>81</v>
      </c>
      <c r="J553" t="inlineStr">
        <is>
          <t>36 / 45</t>
        </is>
      </c>
      <c r="K553" s="7" t="inlineStr">
        <is>
          <t>45%</t>
        </is>
      </c>
    </row>
    <row r="554">
      <c r="A554" s="7" t="inlineStr">
        <is>
          <t>553</t>
        </is>
      </c>
      <c r="B554" t="inlineStr">
        <is>
          <t>Deborah Zhao</t>
        </is>
      </c>
      <c r="C554" t="n">
        <v>2013</v>
      </c>
      <c r="D554" s="7" t="inlineStr">
        <is>
          <t>63.29</t>
        </is>
      </c>
      <c r="E554" s="7" t="inlineStr">
        <is>
          <t>3</t>
        </is>
      </c>
      <c r="F554" t="inlineStr">
        <is>
          <t>Tennis Prince Edward Island</t>
        </is>
      </c>
      <c r="G554" t="inlineStr">
        <is>
          <t>Charlottetown Recreation Tennis Group</t>
        </is>
      </c>
      <c r="H554" s="7" t="inlineStr">
        <is>
          <t>35.4</t>
        </is>
      </c>
      <c r="I554" t="n">
        <v>139</v>
      </c>
      <c r="J554" t="inlineStr">
        <is>
          <t>67 / 72</t>
        </is>
      </c>
      <c r="K554" s="7" t="inlineStr">
        <is>
          <t>38%</t>
        </is>
      </c>
    </row>
    <row r="555">
      <c r="A555" s="7" t="inlineStr">
        <is>
          <t>554</t>
        </is>
      </c>
      <c r="B555" t="inlineStr">
        <is>
          <t>Karina Lee Griffin</t>
        </is>
      </c>
      <c r="C555" t="n">
        <v>2015</v>
      </c>
      <c r="D555" s="7" t="inlineStr">
        <is>
          <t>62.80</t>
        </is>
      </c>
      <c r="E555" s="9" t="inlineStr">
        <is>
          <t>17 (-1)</t>
        </is>
      </c>
      <c r="F555" t="inlineStr">
        <is>
          <t>British Columbia</t>
        </is>
      </c>
      <c r="G555" t="inlineStr">
        <is>
          <t>North Vancouver Tennis Centre</t>
        </is>
      </c>
      <c r="H555" s="7" t="inlineStr">
        <is>
          <t>35.0</t>
        </is>
      </c>
      <c r="I555" t="n">
        <v>155</v>
      </c>
      <c r="J555" t="inlineStr">
        <is>
          <t>73 / 82</t>
        </is>
      </c>
      <c r="K555" s="7" t="inlineStr">
        <is>
          <t>38%</t>
        </is>
      </c>
    </row>
    <row r="556">
      <c r="A556" s="7" t="inlineStr">
        <is>
          <t>555</t>
        </is>
      </c>
      <c r="B556" t="inlineStr">
        <is>
          <t>Anika Surtani</t>
        </is>
      </c>
      <c r="C556" t="n">
        <v>2013</v>
      </c>
      <c r="D556" s="7" t="inlineStr">
        <is>
          <t>62.78</t>
        </is>
      </c>
      <c r="E556" s="7" t="inlineStr">
        <is>
          <t>8</t>
        </is>
      </c>
      <c r="F556" t="inlineStr">
        <is>
          <t>Ontario Tennis Association</t>
        </is>
      </c>
      <c r="G556" t="inlineStr">
        <is>
          <t>Boulevard Club</t>
        </is>
      </c>
      <c r="H556" s="7" t="inlineStr">
        <is>
          <t>unavailable</t>
        </is>
      </c>
      <c r="I556" t="n">
        <v>22</v>
      </c>
      <c r="J556" t="inlineStr">
        <is>
          <t>6 / 16</t>
        </is>
      </c>
      <c r="K556" s="7" t="inlineStr">
        <is>
          <t>33%</t>
        </is>
      </c>
    </row>
    <row r="557">
      <c r="A557" s="7" t="inlineStr">
        <is>
          <t>556</t>
        </is>
      </c>
      <c r="B557" t="inlineStr">
        <is>
          <t>Hannah Ines Fischer-Kandelas</t>
        </is>
      </c>
      <c r="C557" t="n">
        <v>2012</v>
      </c>
      <c r="D557" s="7" t="inlineStr">
        <is>
          <t>62.45</t>
        </is>
      </c>
      <c r="E557" s="7" t="inlineStr">
        <is>
          <t>4</t>
        </is>
      </c>
      <c r="F557" t="inlineStr">
        <is>
          <t>Ontario Tennis Association</t>
        </is>
      </c>
      <c r="G557" t="inlineStr">
        <is>
          <t>Wychwood Tennis Club</t>
        </is>
      </c>
      <c r="H557" s="7" t="inlineStr">
        <is>
          <t>39.1</t>
        </is>
      </c>
      <c r="I557" t="n">
        <v>22</v>
      </c>
      <c r="J557" t="inlineStr">
        <is>
          <t>9 / 13</t>
        </is>
      </c>
      <c r="K557" s="7" t="inlineStr">
        <is>
          <t>22%</t>
        </is>
      </c>
    </row>
    <row r="558">
      <c r="A558" s="7" t="inlineStr">
        <is>
          <t>557</t>
        </is>
      </c>
      <c r="B558" t="inlineStr">
        <is>
          <t>Chloe Huang</t>
        </is>
      </c>
      <c r="C558" t="n">
        <v>2014</v>
      </c>
      <c r="D558" s="7" t="inlineStr">
        <is>
          <t>62.11</t>
        </is>
      </c>
      <c r="E558" s="7" t="inlineStr">
        <is>
          <t>3</t>
        </is>
      </c>
      <c r="F558" t="inlineStr">
        <is>
          <t>Ontario Tennis Association</t>
        </is>
      </c>
      <c r="G558" t="inlineStr">
        <is>
          <t>Richmond Hill Country Club</t>
        </is>
      </c>
      <c r="H558" s="7" t="inlineStr">
        <is>
          <t>38.8</t>
        </is>
      </c>
      <c r="I558" t="n">
        <v>54</v>
      </c>
      <c r="J558" t="inlineStr">
        <is>
          <t>20 / 34</t>
        </is>
      </c>
      <c r="K558" s="7" t="inlineStr">
        <is>
          <t>0%</t>
        </is>
      </c>
    </row>
    <row r="559">
      <c r="A559" s="7" t="inlineStr">
        <is>
          <t>558</t>
        </is>
      </c>
      <c r="B559" t="inlineStr">
        <is>
          <t>Alice Zhang</t>
        </is>
      </c>
      <c r="C559" t="n">
        <v>2012</v>
      </c>
      <c r="D559" s="7" t="inlineStr">
        <is>
          <t>61.81</t>
        </is>
      </c>
      <c r="E559" s="7" t="inlineStr">
        <is>
          <t>4</t>
        </is>
      </c>
      <c r="F559" t="inlineStr">
        <is>
          <t>Ontario Tennis Association</t>
        </is>
      </c>
      <c r="G559" t="inlineStr">
        <is>
          <t>ACE Tennis - Burlington</t>
        </is>
      </c>
      <c r="H559" s="7" t="inlineStr">
        <is>
          <t>37.1</t>
        </is>
      </c>
      <c r="I559" t="n">
        <v>10</v>
      </c>
      <c r="J559" t="inlineStr">
        <is>
          <t>2 / 8</t>
        </is>
      </c>
      <c r="K559" s="7" t="inlineStr">
        <is>
          <t>25%</t>
        </is>
      </c>
    </row>
    <row r="560">
      <c r="A560" s="7" t="inlineStr">
        <is>
          <t>559</t>
        </is>
      </c>
      <c r="B560" t="inlineStr">
        <is>
          <t>Vianna Mostashari</t>
        </is>
      </c>
      <c r="C560" t="n">
        <v>2016</v>
      </c>
      <c r="D560" s="7" t="inlineStr">
        <is>
          <t>60.99</t>
        </is>
      </c>
      <c r="E560" s="7" t="inlineStr">
        <is>
          <t>12</t>
        </is>
      </c>
      <c r="F560" t="inlineStr">
        <is>
          <t>British Columbia</t>
        </is>
      </c>
      <c r="G560" t="inlineStr">
        <is>
          <t>North Vancouver Tennis Centre</t>
        </is>
      </c>
      <c r="H560" s="7" t="inlineStr">
        <is>
          <t>35.5</t>
        </is>
      </c>
      <c r="I560" t="n">
        <v>160</v>
      </c>
      <c r="J560" t="inlineStr">
        <is>
          <t>89 / 71</t>
        </is>
      </c>
      <c r="K560" s="7" t="inlineStr">
        <is>
          <t>33%</t>
        </is>
      </c>
    </row>
    <row r="561">
      <c r="A561" s="7" t="inlineStr">
        <is>
          <t>560</t>
        </is>
      </c>
      <c r="B561" t="inlineStr">
        <is>
          <t>Saanvi Sharma</t>
        </is>
      </c>
      <c r="C561" t="n">
        <v>2016</v>
      </c>
      <c r="D561" s="7" t="inlineStr">
        <is>
          <t>60.84</t>
        </is>
      </c>
      <c r="E561" s="7" t="inlineStr">
        <is>
          <t>6</t>
        </is>
      </c>
      <c r="F561" t="inlineStr">
        <is>
          <t>Tennis Québec</t>
        </is>
      </c>
      <c r="G561" t="inlineStr">
        <is>
          <t>Tennis Ile- des- Soeurs</t>
        </is>
      </c>
      <c r="H561" s="7" t="inlineStr">
        <is>
          <t>36.3</t>
        </is>
      </c>
      <c r="I561" t="n">
        <v>97</v>
      </c>
      <c r="J561" t="inlineStr">
        <is>
          <t>48 / 49</t>
        </is>
      </c>
      <c r="K561" s="7" t="inlineStr">
        <is>
          <t>57%</t>
        </is>
      </c>
    </row>
    <row r="562">
      <c r="A562" s="7" t="inlineStr">
        <is>
          <t>561</t>
        </is>
      </c>
      <c r="B562" t="inlineStr">
        <is>
          <t>Mila Phoebe Madrid</t>
        </is>
      </c>
      <c r="C562" t="n">
        <v>2014</v>
      </c>
      <c r="D562" s="7" t="inlineStr">
        <is>
          <t>60.77</t>
        </is>
      </c>
      <c r="E562" s="7" t="inlineStr">
        <is>
          <t>6</t>
        </is>
      </c>
      <c r="F562" t="inlineStr">
        <is>
          <t>Ontario Tennis Association</t>
        </is>
      </c>
      <c r="G562" t="inlineStr">
        <is>
          <t>Newmarket Winter Tennis Club</t>
        </is>
      </c>
      <c r="H562" s="7" t="inlineStr">
        <is>
          <t>37.0</t>
        </is>
      </c>
      <c r="I562" t="n">
        <v>53</v>
      </c>
      <c r="J562" t="inlineStr">
        <is>
          <t>20 / 33</t>
        </is>
      </c>
      <c r="K562" s="7" t="inlineStr">
        <is>
          <t>65%</t>
        </is>
      </c>
    </row>
    <row r="563">
      <c r="A563" s="7" t="inlineStr">
        <is>
          <t>562</t>
        </is>
      </c>
      <c r="B563" t="inlineStr">
        <is>
          <t>Clara Surprenant</t>
        </is>
      </c>
      <c r="C563" t="n">
        <v>2015</v>
      </c>
      <c r="D563" s="7" t="inlineStr">
        <is>
          <t>60.70</t>
        </is>
      </c>
      <c r="E563" s="7" t="inlineStr">
        <is>
          <t>6</t>
        </is>
      </c>
      <c r="F563" t="inlineStr">
        <is>
          <t>Tennis Québec</t>
        </is>
      </c>
      <c r="G563" t="inlineStr">
        <is>
          <t>SANI Sport</t>
        </is>
      </c>
      <c r="H563" s="7" t="inlineStr">
        <is>
          <t>36.4</t>
        </is>
      </c>
      <c r="I563" t="n">
        <v>87</v>
      </c>
      <c r="J563" t="inlineStr">
        <is>
          <t>41 / 46</t>
        </is>
      </c>
      <c r="K563" s="7" t="inlineStr">
        <is>
          <t>38%</t>
        </is>
      </c>
    </row>
    <row r="564">
      <c r="A564" s="7" t="inlineStr">
        <is>
          <t>563</t>
        </is>
      </c>
      <c r="B564" t="inlineStr">
        <is>
          <t>Minnie Jinwen Xu</t>
        </is>
      </c>
      <c r="C564" t="n">
        <v>2014</v>
      </c>
      <c r="D564" s="7" t="inlineStr">
        <is>
          <t>60.70</t>
        </is>
      </c>
      <c r="E564" s="7" t="inlineStr">
        <is>
          <t>11</t>
        </is>
      </c>
      <c r="F564" t="inlineStr">
        <is>
          <t>British Columbia</t>
        </is>
      </c>
      <c r="G564" t="inlineStr">
        <is>
          <t>The Tennis Centre</t>
        </is>
      </c>
      <c r="H564" s="7" t="inlineStr">
        <is>
          <t>35.4</t>
        </is>
      </c>
      <c r="I564" t="n">
        <v>128</v>
      </c>
      <c r="J564" t="inlineStr">
        <is>
          <t>67 / 61</t>
        </is>
      </c>
      <c r="K564" s="7" t="inlineStr">
        <is>
          <t>52%</t>
        </is>
      </c>
    </row>
    <row r="565">
      <c r="A565" s="9" t="inlineStr">
        <is>
          <t>564 (▼23)</t>
        </is>
      </c>
      <c r="B565" t="inlineStr">
        <is>
          <t>Sareen Kaur Hehar</t>
        </is>
      </c>
      <c r="C565" t="n">
        <v>2014</v>
      </c>
      <c r="D565" s="9" t="inlineStr">
        <is>
          <t>59.31 (▼6.91)</t>
        </is>
      </c>
      <c r="E565" s="9" t="inlineStr">
        <is>
          <t>10 (-1)</t>
        </is>
      </c>
      <c r="F565" t="inlineStr">
        <is>
          <t>British Columbia</t>
        </is>
      </c>
      <c r="G565" t="inlineStr">
        <is>
          <t>No Club</t>
        </is>
      </c>
      <c r="H565" s="7" t="inlineStr">
        <is>
          <t>35.7</t>
        </is>
      </c>
      <c r="I565" t="n">
        <v>197</v>
      </c>
      <c r="J565" t="inlineStr">
        <is>
          <t>75 / 122</t>
        </is>
      </c>
      <c r="K565" s="7" t="inlineStr">
        <is>
          <t>33%</t>
        </is>
      </c>
    </row>
    <row r="566">
      <c r="A566" s="9" t="inlineStr">
        <is>
          <t>565 (▼1)</t>
        </is>
      </c>
      <c r="B566" t="inlineStr">
        <is>
          <t>Sofia Morisette</t>
        </is>
      </c>
      <c r="C566" t="n">
        <v>2014</v>
      </c>
      <c r="D566" s="7" t="inlineStr">
        <is>
          <t>59.01</t>
        </is>
      </c>
      <c r="E566" s="7" t="inlineStr">
        <is>
          <t>5</t>
        </is>
      </c>
      <c r="F566" t="inlineStr">
        <is>
          <t>British Columbia</t>
        </is>
      </c>
      <c r="G566" t="inlineStr">
        <is>
          <t>Tennis BC Hub @ Richmond</t>
        </is>
      </c>
      <c r="H566" s="7" t="inlineStr">
        <is>
          <t>unavailable</t>
        </is>
      </c>
      <c r="I566" t="n">
        <v/>
      </c>
      <c r="J566" t="inlineStr">
        <is>
          <t>unavailable</t>
        </is>
      </c>
      <c r="K566" s="7" t="inlineStr">
        <is>
          <t>0%</t>
        </is>
      </c>
    </row>
    <row r="567">
      <c r="A567" s="9" t="inlineStr">
        <is>
          <t>566 (▼1)</t>
        </is>
      </c>
      <c r="B567" t="inlineStr">
        <is>
          <t>Ava Gracia Hurley</t>
        </is>
      </c>
      <c r="C567" t="n">
        <v>2015</v>
      </c>
      <c r="D567" s="7" t="inlineStr">
        <is>
          <t>58.94</t>
        </is>
      </c>
      <c r="E567" s="9" t="inlineStr">
        <is>
          <t>10 (-1)</t>
        </is>
      </c>
      <c r="F567" t="inlineStr">
        <is>
          <t>Ontario Tennis Association</t>
        </is>
      </c>
      <c r="G567" t="inlineStr">
        <is>
          <t>Manotick Tennis Club</t>
        </is>
      </c>
      <c r="H567" s="7" t="inlineStr">
        <is>
          <t>unavailable</t>
        </is>
      </c>
      <c r="I567" t="n">
        <v>36</v>
      </c>
      <c r="J567" t="inlineStr">
        <is>
          <t>15 / 21</t>
        </is>
      </c>
      <c r="K567" s="7" t="inlineStr">
        <is>
          <t>41%</t>
        </is>
      </c>
    </row>
    <row r="568">
      <c r="A568" s="8" t="inlineStr">
        <is>
          <t>567 (▲6)</t>
        </is>
      </c>
      <c r="B568" t="inlineStr">
        <is>
          <t>Madison Dionne</t>
        </is>
      </c>
      <c r="C568" t="n">
        <v>2016</v>
      </c>
      <c r="D568" s="8" t="inlineStr">
        <is>
          <t>58.92 (▲2.40)</t>
        </is>
      </c>
      <c r="E568" s="8" t="inlineStr">
        <is>
          <t>13 (+1)</t>
        </is>
      </c>
      <c r="F568" t="inlineStr">
        <is>
          <t>Ontario Tennis Association</t>
        </is>
      </c>
      <c r="G568" t="inlineStr">
        <is>
          <t>Ontario Racquet Club</t>
        </is>
      </c>
      <c r="H568" s="9" t="inlineStr">
        <is>
          <t>36.6 (▼0.3)</t>
        </is>
      </c>
      <c r="I568" t="n">
        <v>111</v>
      </c>
      <c r="J568" t="inlineStr">
        <is>
          <t>38 / 73</t>
        </is>
      </c>
      <c r="K568" s="7" t="inlineStr">
        <is>
          <t>54%</t>
        </is>
      </c>
    </row>
    <row r="569">
      <c r="A569" s="9" t="inlineStr">
        <is>
          <t>568 (▼2)</t>
        </is>
      </c>
      <c r="B569" t="inlineStr">
        <is>
          <t>Presley Pellegrino</t>
        </is>
      </c>
      <c r="C569" t="n">
        <v>2013</v>
      </c>
      <c r="D569" s="7" t="inlineStr">
        <is>
          <t>58.88</t>
        </is>
      </c>
      <c r="E569" s="7" t="inlineStr">
        <is>
          <t>3</t>
        </is>
      </c>
      <c r="F569" t="inlineStr">
        <is>
          <t>Ontario Tennis Association</t>
        </is>
      </c>
      <c r="G569" t="inlineStr">
        <is>
          <t>No Club</t>
        </is>
      </c>
      <c r="H569" s="7" t="inlineStr">
        <is>
          <t>35.1</t>
        </is>
      </c>
      <c r="I569" t="n">
        <v>97</v>
      </c>
      <c r="J569" t="inlineStr">
        <is>
          <t>40 / 57</t>
        </is>
      </c>
      <c r="K569" s="7" t="inlineStr">
        <is>
          <t>50%</t>
        </is>
      </c>
    </row>
    <row r="570">
      <c r="A570" s="8" t="inlineStr">
        <is>
          <t>569 (▲9)</t>
        </is>
      </c>
      <c r="B570" t="inlineStr">
        <is>
          <t>Chloe Garikimukkula</t>
        </is>
      </c>
      <c r="C570" t="n">
        <v>2016</v>
      </c>
      <c r="D570" s="8" t="inlineStr">
        <is>
          <t>58.68 (▲4.32)</t>
        </is>
      </c>
      <c r="E570" s="8" t="inlineStr">
        <is>
          <t>14 (+1)</t>
        </is>
      </c>
      <c r="F570" t="inlineStr">
        <is>
          <t>Ontario Tennis Association</t>
        </is>
      </c>
      <c r="G570" t="inlineStr">
        <is>
          <t>Burlington Tennis Club</t>
        </is>
      </c>
      <c r="H570" s="8" t="inlineStr">
        <is>
          <t>36.7 (▲0.2)</t>
        </is>
      </c>
      <c r="I570" t="n">
        <v>106</v>
      </c>
      <c r="J570" t="inlineStr">
        <is>
          <t>60 / 46</t>
        </is>
      </c>
      <c r="K570" s="7" t="inlineStr">
        <is>
          <t>56%</t>
        </is>
      </c>
    </row>
    <row r="571">
      <c r="A571" s="9" t="inlineStr">
        <is>
          <t>570 (▼3)</t>
        </is>
      </c>
      <c r="B571" t="inlineStr">
        <is>
          <t>Aria MARTIN</t>
        </is>
      </c>
      <c r="C571" t="n">
        <v>2015</v>
      </c>
      <c r="D571" s="7" t="inlineStr">
        <is>
          <t>58.43</t>
        </is>
      </c>
      <c r="E571" s="7" t="inlineStr">
        <is>
          <t>16</t>
        </is>
      </c>
      <c r="F571" t="inlineStr">
        <is>
          <t>British Columbia</t>
        </is>
      </c>
      <c r="G571" t="inlineStr">
        <is>
          <t>Vancouver Lawn Tennis and Badminton Club</t>
        </is>
      </c>
      <c r="H571" s="7" t="inlineStr">
        <is>
          <t>35.1</t>
        </is>
      </c>
      <c r="I571" t="n">
        <v>133</v>
      </c>
      <c r="J571" t="inlineStr">
        <is>
          <t>53 / 80</t>
        </is>
      </c>
      <c r="K571" s="7" t="inlineStr">
        <is>
          <t>59%</t>
        </is>
      </c>
    </row>
    <row r="572">
      <c r="A572" s="9" t="inlineStr">
        <is>
          <t>571 (▼3)</t>
        </is>
      </c>
      <c r="B572" t="inlineStr">
        <is>
          <t>Chloe Teng</t>
        </is>
      </c>
      <c r="C572" t="n">
        <v>2012</v>
      </c>
      <c r="D572" s="7" t="inlineStr">
        <is>
          <t>58.39</t>
        </is>
      </c>
      <c r="E572" s="7" t="inlineStr">
        <is>
          <t>12</t>
        </is>
      </c>
      <c r="F572" t="inlineStr">
        <is>
          <t>Ontario Tennis Association</t>
        </is>
      </c>
      <c r="G572" t="inlineStr">
        <is>
          <t>Tennis Clubs of Canada</t>
        </is>
      </c>
      <c r="H572" s="7" t="inlineStr">
        <is>
          <t>38.0</t>
        </is>
      </c>
      <c r="I572" t="n">
        <v>48</v>
      </c>
      <c r="J572" t="inlineStr">
        <is>
          <t>12 / 36</t>
        </is>
      </c>
      <c r="K572" s="7" t="inlineStr">
        <is>
          <t>26%</t>
        </is>
      </c>
    </row>
    <row r="573">
      <c r="A573" s="9" t="inlineStr">
        <is>
          <t>572 (▼3)</t>
        </is>
      </c>
      <c r="B573" t="inlineStr">
        <is>
          <t>Maeva Kaur Dhillon</t>
        </is>
      </c>
      <c r="C573" t="n">
        <v>2015</v>
      </c>
      <c r="D573" s="7" t="inlineStr">
        <is>
          <t>58.12</t>
        </is>
      </c>
      <c r="E573" s="9" t="inlineStr">
        <is>
          <t>11 (-1)</t>
        </is>
      </c>
      <c r="F573" t="inlineStr">
        <is>
          <t>Tennis Alberta</t>
        </is>
      </c>
      <c r="G573" t="inlineStr">
        <is>
          <t>Saville Community Sports Centre</t>
        </is>
      </c>
      <c r="H573" s="7" t="inlineStr">
        <is>
          <t>36.8</t>
        </is>
      </c>
      <c r="I573" t="n">
        <v>76</v>
      </c>
      <c r="J573" t="inlineStr">
        <is>
          <t>23 / 53</t>
        </is>
      </c>
      <c r="K573" s="7" t="inlineStr">
        <is>
          <t>38%</t>
        </is>
      </c>
    </row>
    <row r="574">
      <c r="A574" s="9" t="inlineStr">
        <is>
          <t>573 (▼3)</t>
        </is>
      </c>
      <c r="B574" t="inlineStr">
        <is>
          <t>Gabrielle Galgay</t>
        </is>
      </c>
      <c r="C574" t="n">
        <v>2013</v>
      </c>
      <c r="D574" s="7" t="inlineStr">
        <is>
          <t>57.07</t>
        </is>
      </c>
      <c r="E574" s="7" t="inlineStr">
        <is>
          <t>4</t>
        </is>
      </c>
      <c r="F574" t="inlineStr">
        <is>
          <t>Ontario Tennis Association</t>
        </is>
      </c>
      <c r="G574" t="inlineStr">
        <is>
          <t>No Club</t>
        </is>
      </c>
      <c r="H574" s="7" t="inlineStr">
        <is>
          <t>34.3</t>
        </is>
      </c>
      <c r="I574" t="n">
        <v>10</v>
      </c>
      <c r="J574" t="inlineStr">
        <is>
          <t>4 / 6</t>
        </is>
      </c>
      <c r="K574" s="7" t="inlineStr">
        <is>
          <t>25%</t>
        </is>
      </c>
    </row>
    <row r="575">
      <c r="A575" s="9" t="inlineStr">
        <is>
          <t>574 (▼3)</t>
        </is>
      </c>
      <c r="B575" t="inlineStr">
        <is>
          <t>Noa Anne Broere</t>
        </is>
      </c>
      <c r="C575" t="n">
        <v>2013</v>
      </c>
      <c r="D575" s="7" t="inlineStr">
        <is>
          <t>57.05</t>
        </is>
      </c>
      <c r="E575" s="9" t="inlineStr">
        <is>
          <t>14 (-1)</t>
        </is>
      </c>
      <c r="F575" t="inlineStr">
        <is>
          <t>British Columbia</t>
        </is>
      </c>
      <c r="G575" t="inlineStr">
        <is>
          <t>Vancouver Lawn Tennis and Badminton Club</t>
        </is>
      </c>
      <c r="H575" s="7" t="inlineStr">
        <is>
          <t>34.4</t>
        </is>
      </c>
      <c r="I575" t="n">
        <v>75</v>
      </c>
      <c r="J575" t="inlineStr">
        <is>
          <t>30 / 45</t>
        </is>
      </c>
      <c r="K575" s="7" t="inlineStr">
        <is>
          <t>39%</t>
        </is>
      </c>
    </row>
    <row r="576">
      <c r="A576" s="9" t="inlineStr">
        <is>
          <t>575 (▼3)</t>
        </is>
      </c>
      <c r="B576" t="inlineStr">
        <is>
          <t>Grace Christina Lawrence</t>
        </is>
      </c>
      <c r="C576" t="n">
        <v>2013</v>
      </c>
      <c r="D576" s="7" t="inlineStr">
        <is>
          <t>57.03</t>
        </is>
      </c>
      <c r="E576" s="7" t="inlineStr">
        <is>
          <t>8</t>
        </is>
      </c>
      <c r="F576" t="inlineStr">
        <is>
          <t>Ontario Tennis Association</t>
        </is>
      </c>
      <c r="G576" t="inlineStr">
        <is>
          <t>Toronto Lawn Tennis Club</t>
        </is>
      </c>
      <c r="H576" s="7" t="inlineStr">
        <is>
          <t>35.9</t>
        </is>
      </c>
      <c r="I576" t="n">
        <v>107</v>
      </c>
      <c r="J576" t="inlineStr">
        <is>
          <t>48 / 59</t>
        </is>
      </c>
      <c r="K576" s="7" t="inlineStr">
        <is>
          <t>50%</t>
        </is>
      </c>
    </row>
    <row r="577">
      <c r="A577" s="9" t="inlineStr">
        <is>
          <t>576 (▼2)</t>
        </is>
      </c>
      <c r="B577" t="inlineStr">
        <is>
          <t>Daniella Adekoya</t>
        </is>
      </c>
      <c r="C577" t="n">
        <v>2013</v>
      </c>
      <c r="D577" s="7" t="inlineStr">
        <is>
          <t>55.73</t>
        </is>
      </c>
      <c r="E577" s="7" t="inlineStr">
        <is>
          <t>2</t>
        </is>
      </c>
      <c r="F577" t="inlineStr">
        <is>
          <t>Ontario Tennis Association</t>
        </is>
      </c>
      <c r="G577" t="inlineStr">
        <is>
          <t>Rideau Sports Centre</t>
        </is>
      </c>
      <c r="H577" s="7" t="inlineStr">
        <is>
          <t>34.9</t>
        </is>
      </c>
      <c r="I577" t="n">
        <v>31</v>
      </c>
      <c r="J577" t="inlineStr">
        <is>
          <t>10 / 21</t>
        </is>
      </c>
      <c r="K577" s="7" t="inlineStr">
        <is>
          <t>33%</t>
        </is>
      </c>
    </row>
    <row r="578">
      <c r="A578" s="9" t="inlineStr">
        <is>
          <t>577 (▼2)</t>
        </is>
      </c>
      <c r="B578" t="inlineStr">
        <is>
          <t>Madeleine Penelope Haun</t>
        </is>
      </c>
      <c r="C578" t="n">
        <v>2015</v>
      </c>
      <c r="D578" s="7" t="inlineStr">
        <is>
          <t>55.31</t>
        </is>
      </c>
      <c r="E578" s="7" t="inlineStr">
        <is>
          <t>9</t>
        </is>
      </c>
      <c r="F578" t="inlineStr">
        <is>
          <t>Tennis Alberta</t>
        </is>
      </c>
      <c r="G578" t="inlineStr">
        <is>
          <t>Osten &amp; Victor Alberta Tennis Centre</t>
        </is>
      </c>
      <c r="H578" s="7" t="inlineStr">
        <is>
          <t>36.3</t>
        </is>
      </c>
      <c r="I578" t="n">
        <v>156</v>
      </c>
      <c r="J578" t="inlineStr">
        <is>
          <t>85 / 71</t>
        </is>
      </c>
      <c r="K578" s="7" t="inlineStr">
        <is>
          <t>47%</t>
        </is>
      </c>
    </row>
    <row r="579">
      <c r="A579" s="9" t="inlineStr">
        <is>
          <t>578 (▼2)</t>
        </is>
      </c>
      <c r="B579" t="inlineStr">
        <is>
          <t>Mia Krusarovski</t>
        </is>
      </c>
      <c r="C579" t="n">
        <v>2014</v>
      </c>
      <c r="D579" s="7" t="inlineStr">
        <is>
          <t>55.17</t>
        </is>
      </c>
      <c r="E579" s="7" t="inlineStr">
        <is>
          <t>4</t>
        </is>
      </c>
      <c r="F579" t="inlineStr">
        <is>
          <t>Ontario Tennis Association</t>
        </is>
      </c>
      <c r="G579" t="inlineStr">
        <is>
          <t>Zekelman Tennis Centre</t>
        </is>
      </c>
      <c r="H579" s="7" t="inlineStr">
        <is>
          <t>34.8</t>
        </is>
      </c>
      <c r="I579" t="n">
        <v>18</v>
      </c>
      <c r="J579" t="inlineStr">
        <is>
          <t>6 / 12</t>
        </is>
      </c>
      <c r="K579" s="7" t="inlineStr">
        <is>
          <t>62%</t>
        </is>
      </c>
    </row>
    <row r="580">
      <c r="A580" s="8" t="inlineStr">
        <is>
          <t>579 (▲40)</t>
        </is>
      </c>
      <c r="B580" t="inlineStr">
        <is>
          <t>Ann-Mayelle Veillard</t>
        </is>
      </c>
      <c r="C580" t="n">
        <v>2014</v>
      </c>
      <c r="D580" s="8" t="inlineStr">
        <is>
          <t>54.79 (▲12.46)</t>
        </is>
      </c>
      <c r="E580" s="8" t="inlineStr">
        <is>
          <t>12 (+1)</t>
        </is>
      </c>
      <c r="F580" t="inlineStr">
        <is>
          <t>Tennis Québec</t>
        </is>
      </c>
      <c r="G580" t="inlineStr">
        <is>
          <t>No Club</t>
        </is>
      </c>
      <c r="H580" s="7" t="inlineStr">
        <is>
          <t>35.5</t>
        </is>
      </c>
      <c r="I580" t="n">
        <v>26</v>
      </c>
      <c r="J580" t="inlineStr">
        <is>
          <t>14 / 12</t>
        </is>
      </c>
      <c r="K580" s="8" t="inlineStr">
        <is>
          <t>54% (▲9%)</t>
        </is>
      </c>
    </row>
    <row r="581">
      <c r="A581" s="9" t="inlineStr">
        <is>
          <t>580 (▼3)</t>
        </is>
      </c>
      <c r="B581" t="inlineStr">
        <is>
          <t>Karmi Singh</t>
        </is>
      </c>
      <c r="C581" t="n">
        <v>2012</v>
      </c>
      <c r="D581" s="7" t="inlineStr">
        <is>
          <t>54.50</t>
        </is>
      </c>
      <c r="E581" s="7" t="inlineStr">
        <is>
          <t>4</t>
        </is>
      </c>
      <c r="F581" t="inlineStr">
        <is>
          <t>Ontario Tennis Association</t>
        </is>
      </c>
      <c r="G581" t="inlineStr">
        <is>
          <t>Ontario Racquet Club</t>
        </is>
      </c>
      <c r="H581" s="7" t="inlineStr">
        <is>
          <t>unavailable</t>
        </is>
      </c>
      <c r="I581" t="n">
        <v>59</v>
      </c>
      <c r="J581" t="inlineStr">
        <is>
          <t>26 / 33</t>
        </is>
      </c>
      <c r="K581" s="7" t="inlineStr">
        <is>
          <t>17%</t>
        </is>
      </c>
    </row>
    <row r="582">
      <c r="A582" s="7" t="inlineStr">
        <is>
          <t>581</t>
        </is>
      </c>
      <c r="B582" t="inlineStr">
        <is>
          <t>Alexia Lionis</t>
        </is>
      </c>
      <c r="C582" t="n">
        <v>2015</v>
      </c>
      <c r="D582" s="8" t="inlineStr">
        <is>
          <t>54.30 (▲0.67)</t>
        </is>
      </c>
      <c r="E582" s="8" t="inlineStr">
        <is>
          <t>8 (+1)</t>
        </is>
      </c>
      <c r="F582" t="inlineStr">
        <is>
          <t>Ontario Tennis Association</t>
        </is>
      </c>
      <c r="G582" t="inlineStr">
        <is>
          <t>Ontario Racquet Club</t>
        </is>
      </c>
      <c r="H582" s="7" t="inlineStr">
        <is>
          <t>unavailable</t>
        </is>
      </c>
      <c r="I582" t="n">
        <v>80</v>
      </c>
      <c r="J582" t="inlineStr">
        <is>
          <t>35 / 45</t>
        </is>
      </c>
      <c r="K582" s="9" t="inlineStr">
        <is>
          <t>35% (▼3%)</t>
        </is>
      </c>
    </row>
    <row r="583">
      <c r="A583" s="9" t="inlineStr">
        <is>
          <t>582 (▼3)</t>
        </is>
      </c>
      <c r="B583" t="inlineStr">
        <is>
          <t>Xirui Ding</t>
        </is>
      </c>
      <c r="C583" t="n">
        <v>2016</v>
      </c>
      <c r="D583" s="7" t="inlineStr">
        <is>
          <t>54.09</t>
        </is>
      </c>
      <c r="E583" s="7" t="inlineStr">
        <is>
          <t>7</t>
        </is>
      </c>
      <c r="F583" t="inlineStr">
        <is>
          <t>Ontario Tennis Association</t>
        </is>
      </c>
      <c r="G583" t="inlineStr">
        <is>
          <t>Valan Tennis Academy</t>
        </is>
      </c>
      <c r="H583" s="7" t="inlineStr">
        <is>
          <t>37.5</t>
        </is>
      </c>
      <c r="I583" t="n">
        <v>127</v>
      </c>
      <c r="J583" t="inlineStr">
        <is>
          <t>81 / 46</t>
        </is>
      </c>
      <c r="K583" s="7" t="inlineStr">
        <is>
          <t>67%</t>
        </is>
      </c>
    </row>
    <row r="584">
      <c r="A584" s="9" t="inlineStr">
        <is>
          <t>583 (▼3)</t>
        </is>
      </c>
      <c r="B584" t="inlineStr">
        <is>
          <t>Miadel Flores</t>
        </is>
      </c>
      <c r="C584" t="n">
        <v>2015</v>
      </c>
      <c r="D584" s="7" t="inlineStr">
        <is>
          <t>53.94</t>
        </is>
      </c>
      <c r="E584" s="7" t="inlineStr">
        <is>
          <t>5</t>
        </is>
      </c>
      <c r="F584" t="inlineStr">
        <is>
          <t>Tennis Québec</t>
        </is>
      </c>
      <c r="G584" t="inlineStr">
        <is>
          <t>No Club</t>
        </is>
      </c>
      <c r="H584" s="7" t="inlineStr">
        <is>
          <t>40.0</t>
        </is>
      </c>
      <c r="I584" t="n">
        <v>8</v>
      </c>
      <c r="J584" t="inlineStr">
        <is>
          <t>1 / 7</t>
        </is>
      </c>
      <c r="K584" s="7" t="inlineStr">
        <is>
          <t>12%</t>
        </is>
      </c>
    </row>
    <row r="585">
      <c r="A585" s="9" t="inlineStr">
        <is>
          <t>584 (▼2)</t>
        </is>
      </c>
      <c r="B585" t="inlineStr">
        <is>
          <t>Julia Soldatov</t>
        </is>
      </c>
      <c r="C585" t="n">
        <v>2013</v>
      </c>
      <c r="D585" s="7" t="inlineStr">
        <is>
          <t>53.27</t>
        </is>
      </c>
      <c r="E585" s="7" t="inlineStr">
        <is>
          <t>5</t>
        </is>
      </c>
      <c r="F585" t="inlineStr">
        <is>
          <t>Ontario Tennis Association</t>
        </is>
      </c>
      <c r="G585" t="inlineStr">
        <is>
          <t>Newmarket Community Tennis Club</t>
        </is>
      </c>
      <c r="H585" s="7" t="inlineStr">
        <is>
          <t>38.7</t>
        </is>
      </c>
      <c r="I585" t="n">
        <v>19</v>
      </c>
      <c r="J585" t="inlineStr">
        <is>
          <t>6 / 13</t>
        </is>
      </c>
      <c r="K585" s="7" t="inlineStr">
        <is>
          <t>32%</t>
        </is>
      </c>
    </row>
    <row r="586">
      <c r="A586" s="9" t="inlineStr">
        <is>
          <t>585 (▼2)</t>
        </is>
      </c>
      <c r="B586" t="inlineStr">
        <is>
          <t>Dania Ahmed</t>
        </is>
      </c>
      <c r="C586" t="n">
        <v>2015</v>
      </c>
      <c r="D586" s="7" t="inlineStr">
        <is>
          <t>53.15</t>
        </is>
      </c>
      <c r="E586" s="9" t="inlineStr">
        <is>
          <t>12 (-1)</t>
        </is>
      </c>
      <c r="F586" t="inlineStr">
        <is>
          <t>Ontario Tennis Association</t>
        </is>
      </c>
      <c r="G586" t="inlineStr">
        <is>
          <t>Waterloo Tennis Club</t>
        </is>
      </c>
      <c r="H586" s="7" t="inlineStr">
        <is>
          <t>37.7</t>
        </is>
      </c>
      <c r="I586" t="n">
        <v>86</v>
      </c>
      <c r="J586" t="inlineStr">
        <is>
          <t>50 / 36</t>
        </is>
      </c>
      <c r="K586" s="7" t="inlineStr">
        <is>
          <t>21%</t>
        </is>
      </c>
    </row>
    <row r="587">
      <c r="A587" s="9" t="inlineStr">
        <is>
          <t>586 (▼2)</t>
        </is>
      </c>
      <c r="B587" t="inlineStr">
        <is>
          <t>Naomi Lau</t>
        </is>
      </c>
      <c r="C587" t="n">
        <v>2012</v>
      </c>
      <c r="D587" s="7" t="inlineStr">
        <is>
          <t>53.06</t>
        </is>
      </c>
      <c r="E587" s="7" t="inlineStr">
        <is>
          <t>4</t>
        </is>
      </c>
      <c r="F587" t="inlineStr">
        <is>
          <t>Ontario Tennis Association</t>
        </is>
      </c>
      <c r="G587" t="inlineStr">
        <is>
          <t>Central Tennis Club</t>
        </is>
      </c>
      <c r="H587" s="7" t="inlineStr">
        <is>
          <t>37.6</t>
        </is>
      </c>
      <c r="I587" t="n">
        <v>36</v>
      </c>
      <c r="J587" t="inlineStr">
        <is>
          <t>13 / 23</t>
        </is>
      </c>
      <c r="K587" s="7" t="inlineStr">
        <is>
          <t>44%</t>
        </is>
      </c>
    </row>
    <row r="588">
      <c r="A588" s="9" t="inlineStr">
        <is>
          <t>587 (▼2)</t>
        </is>
      </c>
      <c r="B588" t="inlineStr">
        <is>
          <t>Julia Jzmati</t>
        </is>
      </c>
      <c r="C588" t="n">
        <v>2014</v>
      </c>
      <c r="D588" s="7" t="inlineStr">
        <is>
          <t>52.45</t>
        </is>
      </c>
      <c r="E588" s="7" t="inlineStr">
        <is>
          <t>13</t>
        </is>
      </c>
      <c r="F588" t="inlineStr">
        <is>
          <t>Ontario Tennis Association</t>
        </is>
      </c>
      <c r="G588" t="inlineStr">
        <is>
          <t>Rideau Sports Centre</t>
        </is>
      </c>
      <c r="H588" s="7" t="inlineStr">
        <is>
          <t>38.9</t>
        </is>
      </c>
      <c r="I588" t="n">
        <v>34</v>
      </c>
      <c r="J588" t="inlineStr">
        <is>
          <t>6 / 28</t>
        </is>
      </c>
      <c r="K588" s="7" t="inlineStr">
        <is>
          <t>13%</t>
        </is>
      </c>
    </row>
    <row r="589">
      <c r="A589" s="9" t="inlineStr">
        <is>
          <t>588 (▼2)</t>
        </is>
      </c>
      <c r="B589" t="inlineStr">
        <is>
          <t>Tara Nastic</t>
        </is>
      </c>
      <c r="C589" t="n">
        <v>2014</v>
      </c>
      <c r="D589" s="7" t="inlineStr">
        <is>
          <t>51.12</t>
        </is>
      </c>
      <c r="E589" s="7" t="inlineStr">
        <is>
          <t>4</t>
        </is>
      </c>
      <c r="F589" t="inlineStr">
        <is>
          <t>Ontario Tennis Association</t>
        </is>
      </c>
      <c r="G589" t="inlineStr">
        <is>
          <t>Royal City Tennis Club</t>
        </is>
      </c>
      <c r="H589" s="7" t="inlineStr">
        <is>
          <t>unavailable</t>
        </is>
      </c>
      <c r="I589" t="n">
        <v>20</v>
      </c>
      <c r="J589" t="inlineStr">
        <is>
          <t>4 / 16</t>
        </is>
      </c>
      <c r="K589" s="7" t="inlineStr">
        <is>
          <t>20%</t>
        </is>
      </c>
    </row>
    <row r="590">
      <c r="A590" s="9" t="inlineStr">
        <is>
          <t>589 (▼2)</t>
        </is>
      </c>
      <c r="B590" t="inlineStr">
        <is>
          <t>Ann Ha</t>
        </is>
      </c>
      <c r="C590" t="n">
        <v>2014</v>
      </c>
      <c r="D590" s="7" t="inlineStr">
        <is>
          <t>50.85</t>
        </is>
      </c>
      <c r="E590" s="7" t="inlineStr">
        <is>
          <t>3</t>
        </is>
      </c>
      <c r="F590" t="inlineStr">
        <is>
          <t>Tennis Saskatchewan</t>
        </is>
      </c>
      <c r="G590" t="inlineStr">
        <is>
          <t>Lakewood Indoor Tennis Centre</t>
        </is>
      </c>
      <c r="H590" s="7" t="inlineStr">
        <is>
          <t>unavailable</t>
        </is>
      </c>
      <c r="I590" t="n">
        <v>9</v>
      </c>
      <c r="J590" t="inlineStr">
        <is>
          <t>1 / 8</t>
        </is>
      </c>
      <c r="K590" s="7" t="inlineStr">
        <is>
          <t>11%</t>
        </is>
      </c>
    </row>
    <row r="591">
      <c r="A591" s="9" t="inlineStr">
        <is>
          <t>590 (▼2)</t>
        </is>
      </c>
      <c r="B591" t="inlineStr">
        <is>
          <t>Elise Chan</t>
        </is>
      </c>
      <c r="C591" t="n">
        <v>2012</v>
      </c>
      <c r="D591" s="7" t="inlineStr">
        <is>
          <t>50.27</t>
        </is>
      </c>
      <c r="E591" s="7" t="inlineStr">
        <is>
          <t>4</t>
        </is>
      </c>
      <c r="F591" t="inlineStr">
        <is>
          <t>Ontario Tennis Association</t>
        </is>
      </c>
      <c r="G591" t="inlineStr">
        <is>
          <t>Rideau Sports Centre</t>
        </is>
      </c>
      <c r="H591" s="7" t="inlineStr">
        <is>
          <t>38.4</t>
        </is>
      </c>
      <c r="I591" t="n">
        <v>3</v>
      </c>
      <c r="J591" t="inlineStr">
        <is>
          <t>0 / 3</t>
        </is>
      </c>
      <c r="K591" s="7" t="inlineStr">
        <is>
          <t>0%</t>
        </is>
      </c>
    </row>
    <row r="592">
      <c r="A592" s="9" t="inlineStr">
        <is>
          <t>591 (▼2)</t>
        </is>
      </c>
      <c r="B592" t="inlineStr">
        <is>
          <t>Charlotte Adeline Ratchford</t>
        </is>
      </c>
      <c r="C592" t="n">
        <v>2014</v>
      </c>
      <c r="D592" s="7" t="inlineStr">
        <is>
          <t>49.77</t>
        </is>
      </c>
      <c r="E592" s="7" t="inlineStr">
        <is>
          <t>17</t>
        </is>
      </c>
      <c r="F592" t="inlineStr">
        <is>
          <t>British Columbia</t>
        </is>
      </c>
      <c r="G592" t="inlineStr">
        <is>
          <t>Jericho Tennis Club</t>
        </is>
      </c>
      <c r="H592" s="7" t="inlineStr">
        <is>
          <t>36.9</t>
        </is>
      </c>
      <c r="I592" t="n">
        <v>45</v>
      </c>
      <c r="J592" t="inlineStr">
        <is>
          <t>14 / 31</t>
        </is>
      </c>
      <c r="K592" s="7" t="inlineStr">
        <is>
          <t>32%</t>
        </is>
      </c>
    </row>
    <row r="593">
      <c r="A593" s="9" t="inlineStr">
        <is>
          <t>592 (▼2)</t>
        </is>
      </c>
      <c r="B593" t="inlineStr">
        <is>
          <t>Emma Ghantous</t>
        </is>
      </c>
      <c r="C593" t="n">
        <v>2014</v>
      </c>
      <c r="D593" s="7" t="inlineStr">
        <is>
          <t>49.68</t>
        </is>
      </c>
      <c r="E593" s="7" t="inlineStr">
        <is>
          <t>2</t>
        </is>
      </c>
      <c r="F593" t="inlineStr">
        <is>
          <t>Tennis Québec</t>
        </is>
      </c>
      <c r="G593" t="inlineStr">
        <is>
          <t>Tennis 13</t>
        </is>
      </c>
      <c r="H593" s="7" t="inlineStr">
        <is>
          <t>33.4</t>
        </is>
      </c>
      <c r="I593" t="n">
        <v>126</v>
      </c>
      <c r="J593" t="inlineStr">
        <is>
          <t>77 / 49</t>
        </is>
      </c>
      <c r="K593" s="7" t="inlineStr">
        <is>
          <t>0%</t>
        </is>
      </c>
    </row>
    <row r="594">
      <c r="A594" s="8" t="inlineStr">
        <is>
          <t>593 (▲19)</t>
        </is>
      </c>
      <c r="B594" t="inlineStr">
        <is>
          <t>Jessie DONG</t>
        </is>
      </c>
      <c r="C594" t="n">
        <v>2016</v>
      </c>
      <c r="D594" s="8" t="inlineStr">
        <is>
          <t>49.57 (▲4.81)</t>
        </is>
      </c>
      <c r="E594" s="8" t="inlineStr">
        <is>
          <t>11 (+1)</t>
        </is>
      </c>
      <c r="F594" t="inlineStr">
        <is>
          <t>Ontario Tennis Association</t>
        </is>
      </c>
      <c r="G594" t="inlineStr">
        <is>
          <t>Premier Racquet Clubs – Mississauga</t>
        </is>
      </c>
      <c r="H594" s="8" t="inlineStr">
        <is>
          <t>37.6 (▲0.1)</t>
        </is>
      </c>
      <c r="I594" t="n">
        <v>64</v>
      </c>
      <c r="J594" t="inlineStr">
        <is>
          <t>26 / 38</t>
        </is>
      </c>
      <c r="K594" s="8" t="inlineStr">
        <is>
          <t>41% (▲0%)</t>
        </is>
      </c>
    </row>
    <row r="595">
      <c r="A595" s="9" t="inlineStr">
        <is>
          <t>594 (▼3)</t>
        </is>
      </c>
      <c r="B595" t="inlineStr">
        <is>
          <t>Sofia Kiselenko</t>
        </is>
      </c>
      <c r="C595" t="n">
        <v>2015</v>
      </c>
      <c r="D595" s="7" t="inlineStr">
        <is>
          <t>49.34</t>
        </is>
      </c>
      <c r="E595" s="7" t="inlineStr">
        <is>
          <t>15</t>
        </is>
      </c>
      <c r="F595" t="inlineStr">
        <is>
          <t>Tennis Alberta</t>
        </is>
      </c>
      <c r="G595" t="inlineStr">
        <is>
          <t>Osten &amp; Victor Alberta Tennis Centre</t>
        </is>
      </c>
      <c r="H595" s="7" t="inlineStr">
        <is>
          <t>36.9</t>
        </is>
      </c>
      <c r="I595" t="n">
        <v>135</v>
      </c>
      <c r="J595" t="inlineStr">
        <is>
          <t>45 / 90</t>
        </is>
      </c>
      <c r="K595" s="7" t="inlineStr">
        <is>
          <t>45%</t>
        </is>
      </c>
    </row>
    <row r="596">
      <c r="A596" s="9" t="inlineStr">
        <is>
          <t>595 (▼3)</t>
        </is>
      </c>
      <c r="B596" t="inlineStr">
        <is>
          <t>Olivia Yueer Hao</t>
        </is>
      </c>
      <c r="C596" t="n">
        <v>2016</v>
      </c>
      <c r="D596" s="7" t="inlineStr">
        <is>
          <t>49.18</t>
        </is>
      </c>
      <c r="E596" s="7" t="inlineStr">
        <is>
          <t>9</t>
        </is>
      </c>
      <c r="F596" t="inlineStr">
        <is>
          <t>Ontario Tennis Association</t>
        </is>
      </c>
      <c r="G596" t="inlineStr">
        <is>
          <t>Valan Tennis Academy</t>
        </is>
      </c>
      <c r="H596" s="7" t="inlineStr">
        <is>
          <t>38.1</t>
        </is>
      </c>
      <c r="I596" t="n">
        <v>73</v>
      </c>
      <c r="J596" t="inlineStr">
        <is>
          <t>33 / 40</t>
        </is>
      </c>
      <c r="K596" s="7" t="inlineStr">
        <is>
          <t>54%</t>
        </is>
      </c>
    </row>
    <row r="597">
      <c r="A597" s="9" t="inlineStr">
        <is>
          <t>596 (▼3)</t>
        </is>
      </c>
      <c r="B597" t="inlineStr">
        <is>
          <t>Vivian Spurrell</t>
        </is>
      </c>
      <c r="C597" t="n">
        <v>2017</v>
      </c>
      <c r="D597" s="7" t="inlineStr">
        <is>
          <t>49.13</t>
        </is>
      </c>
      <c r="E597" s="7" t="inlineStr">
        <is>
          <t>3</t>
        </is>
      </c>
      <c r="F597" t="inlineStr">
        <is>
          <t>Tennis Newfoundland &amp; Labrador</t>
        </is>
      </c>
      <c r="G597" t="inlineStr">
        <is>
          <t>Greenbelt Tennis Club</t>
        </is>
      </c>
      <c r="H597" s="7" t="inlineStr">
        <is>
          <t>unavailable</t>
        </is>
      </c>
      <c r="I597" t="n">
        <v>20</v>
      </c>
      <c r="J597" t="inlineStr">
        <is>
          <t>15 / 5</t>
        </is>
      </c>
      <c r="K597" s="7" t="inlineStr">
        <is>
          <t>79%</t>
        </is>
      </c>
    </row>
    <row r="598">
      <c r="A598" s="9" t="inlineStr">
        <is>
          <t>597 (▼3)</t>
        </is>
      </c>
      <c r="B598" t="inlineStr">
        <is>
          <t>Scarlett Chan</t>
        </is>
      </c>
      <c r="C598" t="n">
        <v>2015</v>
      </c>
      <c r="D598" s="7" t="inlineStr">
        <is>
          <t>48.56</t>
        </is>
      </c>
      <c r="E598" s="7" t="inlineStr">
        <is>
          <t>5</t>
        </is>
      </c>
      <c r="F598" t="inlineStr">
        <is>
          <t>Ontario Tennis Association</t>
        </is>
      </c>
      <c r="G598" t="inlineStr">
        <is>
          <t>Mayfair East Racquet Club</t>
        </is>
      </c>
      <c r="H598" s="7" t="inlineStr">
        <is>
          <t>36.7</t>
        </is>
      </c>
      <c r="I598" t="n">
        <v>81</v>
      </c>
      <c r="J598" t="inlineStr">
        <is>
          <t>48 / 33</t>
        </is>
      </c>
      <c r="K598" s="7" t="inlineStr">
        <is>
          <t>36%</t>
        </is>
      </c>
    </row>
    <row r="599">
      <c r="A599" s="9" t="inlineStr">
        <is>
          <t>598 (▼3)</t>
        </is>
      </c>
      <c r="B599" t="inlineStr">
        <is>
          <t>Aubrey Baldinelli</t>
        </is>
      </c>
      <c r="C599" t="n">
        <v>2015</v>
      </c>
      <c r="D599" s="7" t="inlineStr">
        <is>
          <t>48.55</t>
        </is>
      </c>
      <c r="E599" s="8" t="inlineStr">
        <is>
          <t>11 (+1)</t>
        </is>
      </c>
      <c r="F599" t="inlineStr">
        <is>
          <t>Ontario Tennis Association</t>
        </is>
      </c>
      <c r="G599" t="inlineStr">
        <is>
          <t>Youngs Sportsplex</t>
        </is>
      </c>
      <c r="H599" s="8" t="inlineStr">
        <is>
          <t>37.2 (▲0.1)</t>
        </is>
      </c>
      <c r="I599" t="n">
        <v>44</v>
      </c>
      <c r="J599" t="inlineStr">
        <is>
          <t>22 / 22</t>
        </is>
      </c>
      <c r="K599" s="9" t="inlineStr">
        <is>
          <t>26% (▼2%)</t>
        </is>
      </c>
    </row>
    <row r="600">
      <c r="A600" s="9" t="inlineStr">
        <is>
          <t>599 (▼3)</t>
        </is>
      </c>
      <c r="B600" t="inlineStr">
        <is>
          <t>Tess Marie Trenholm</t>
        </is>
      </c>
      <c r="C600" t="n">
        <v>2014</v>
      </c>
      <c r="D600" s="7" t="inlineStr">
        <is>
          <t>48.42</t>
        </is>
      </c>
      <c r="E600" s="7" t="inlineStr">
        <is>
          <t>17</t>
        </is>
      </c>
      <c r="F600" t="inlineStr">
        <is>
          <t>Ontario Tennis Association</t>
        </is>
      </c>
      <c r="G600" t="inlineStr">
        <is>
          <t>Ontario Racquet Club</t>
        </is>
      </c>
      <c r="H600" s="7" t="inlineStr">
        <is>
          <t>38.1</t>
        </is>
      </c>
      <c r="I600" t="n">
        <v>97</v>
      </c>
      <c r="J600" t="inlineStr">
        <is>
          <t>27 / 70</t>
        </is>
      </c>
      <c r="K600" s="7" t="inlineStr">
        <is>
          <t>35%</t>
        </is>
      </c>
    </row>
    <row r="601">
      <c r="A601" s="9" t="inlineStr">
        <is>
          <t>600 (▼3)</t>
        </is>
      </c>
      <c r="B601" t="inlineStr">
        <is>
          <t>Sophie Vivienne Ma</t>
        </is>
      </c>
      <c r="C601" t="n">
        <v>2014</v>
      </c>
      <c r="D601" s="7" t="inlineStr">
        <is>
          <t>48.24</t>
        </is>
      </c>
      <c r="E601" s="7" t="inlineStr">
        <is>
          <t>10</t>
        </is>
      </c>
      <c r="F601" t="inlineStr">
        <is>
          <t>Ontario Tennis Association</t>
        </is>
      </c>
      <c r="G601" t="inlineStr">
        <is>
          <t>NYTA Winter Tennis Club</t>
        </is>
      </c>
      <c r="H601" s="7" t="inlineStr">
        <is>
          <t>37.5</t>
        </is>
      </c>
      <c r="I601" t="n">
        <v>61</v>
      </c>
      <c r="J601" t="inlineStr">
        <is>
          <t>21 / 40</t>
        </is>
      </c>
      <c r="K601" s="7" t="inlineStr">
        <is>
          <t>32%</t>
        </is>
      </c>
    </row>
    <row r="602">
      <c r="A602" s="9" t="inlineStr">
        <is>
          <t>601 (▼3)</t>
        </is>
      </c>
      <c r="B602" t="inlineStr">
        <is>
          <t>Gloria Yang</t>
        </is>
      </c>
      <c r="C602" t="n">
        <v>2013</v>
      </c>
      <c r="D602" s="7" t="inlineStr">
        <is>
          <t>48.15</t>
        </is>
      </c>
      <c r="E602" s="7" t="inlineStr">
        <is>
          <t>2</t>
        </is>
      </c>
      <c r="F602" t="inlineStr">
        <is>
          <t>Tennis Prince Edward Island</t>
        </is>
      </c>
      <c r="G602" t="inlineStr">
        <is>
          <t>Royalty Racquet Centre</t>
        </is>
      </c>
      <c r="H602" s="7" t="inlineStr">
        <is>
          <t>unavailable</t>
        </is>
      </c>
      <c r="I602" t="n">
        <v>24</v>
      </c>
      <c r="J602" t="inlineStr">
        <is>
          <t>11 / 13</t>
        </is>
      </c>
      <c r="K602" s="7" t="inlineStr">
        <is>
          <t>44%</t>
        </is>
      </c>
    </row>
    <row r="603">
      <c r="A603" s="9" t="inlineStr">
        <is>
          <t>602 (▼3)</t>
        </is>
      </c>
      <c r="B603" t="inlineStr">
        <is>
          <t>LILLIAN LI</t>
        </is>
      </c>
      <c r="C603" t="n">
        <v>2015</v>
      </c>
      <c r="D603" s="7" t="inlineStr">
        <is>
          <t>47.96</t>
        </is>
      </c>
      <c r="E603" s="7" t="inlineStr">
        <is>
          <t>9</t>
        </is>
      </c>
      <c r="F603" t="inlineStr">
        <is>
          <t>Ontario Tennis Association</t>
        </is>
      </c>
      <c r="G603" t="inlineStr">
        <is>
          <t>Rideau Sports Centre</t>
        </is>
      </c>
      <c r="H603" s="7" t="inlineStr">
        <is>
          <t>40.0</t>
        </is>
      </c>
      <c r="I603" t="n">
        <v>24</v>
      </c>
      <c r="J603" t="inlineStr">
        <is>
          <t>5 / 19</t>
        </is>
      </c>
      <c r="K603" s="7" t="inlineStr">
        <is>
          <t>9%</t>
        </is>
      </c>
    </row>
    <row r="604">
      <c r="A604" s="9" t="inlineStr">
        <is>
          <t>603 (▼3)</t>
        </is>
      </c>
      <c r="B604" t="inlineStr">
        <is>
          <t>Allegra Gill</t>
        </is>
      </c>
      <c r="C604" t="n">
        <v>2015</v>
      </c>
      <c r="D604" s="7" t="inlineStr">
        <is>
          <t>47.92</t>
        </is>
      </c>
      <c r="E604" s="7" t="inlineStr">
        <is>
          <t>6</t>
        </is>
      </c>
      <c r="F604" t="inlineStr">
        <is>
          <t>Ontario Tennis Association</t>
        </is>
      </c>
      <c r="G604" t="inlineStr">
        <is>
          <t>Zekelman Tennis Centre</t>
        </is>
      </c>
      <c r="H604" s="7" t="inlineStr">
        <is>
          <t>39.8</t>
        </is>
      </c>
      <c r="I604" t="n">
        <v>99</v>
      </c>
      <c r="J604" t="inlineStr">
        <is>
          <t>18 / 81</t>
        </is>
      </c>
      <c r="K604" s="7" t="inlineStr">
        <is>
          <t>37%</t>
        </is>
      </c>
    </row>
    <row r="605">
      <c r="A605" s="9" t="inlineStr">
        <is>
          <t>604 (▼3)</t>
        </is>
      </c>
      <c r="B605" t="inlineStr">
        <is>
          <t>Anna Bella Grozdanovski</t>
        </is>
      </c>
      <c r="C605" t="n">
        <v>2015</v>
      </c>
      <c r="D605" s="7" t="inlineStr">
        <is>
          <t>46.91</t>
        </is>
      </c>
      <c r="E605" s="7" t="inlineStr">
        <is>
          <t>6</t>
        </is>
      </c>
      <c r="F605" t="inlineStr">
        <is>
          <t>Ontario Tennis Association</t>
        </is>
      </c>
      <c r="G605" t="inlineStr">
        <is>
          <t>No Club</t>
        </is>
      </c>
      <c r="H605" s="7" t="inlineStr">
        <is>
          <t>36.5</t>
        </is>
      </c>
      <c r="I605" t="n">
        <v>40</v>
      </c>
      <c r="J605" t="inlineStr">
        <is>
          <t>19 / 21</t>
        </is>
      </c>
      <c r="K605" s="7" t="inlineStr">
        <is>
          <t>62%</t>
        </is>
      </c>
    </row>
    <row r="606">
      <c r="A606" s="9" t="inlineStr">
        <is>
          <t>605 (▼3)</t>
        </is>
      </c>
      <c r="B606" t="inlineStr">
        <is>
          <t>Victoria Kycia Block</t>
        </is>
      </c>
      <c r="C606" t="n">
        <v>2014</v>
      </c>
      <c r="D606" s="7" t="inlineStr">
        <is>
          <t>46.53</t>
        </is>
      </c>
      <c r="E606" s="7" t="inlineStr">
        <is>
          <t>11</t>
        </is>
      </c>
      <c r="F606" t="inlineStr">
        <is>
          <t>Tennis Alberta</t>
        </is>
      </c>
      <c r="G606" t="inlineStr">
        <is>
          <t>Saville Community Sports Centre</t>
        </is>
      </c>
      <c r="H606" s="7" t="inlineStr">
        <is>
          <t>34.3</t>
        </is>
      </c>
      <c r="I606" t="n">
        <v>50</v>
      </c>
      <c r="J606" t="inlineStr">
        <is>
          <t>17 / 33</t>
        </is>
      </c>
      <c r="K606" s="7" t="inlineStr">
        <is>
          <t>50%</t>
        </is>
      </c>
    </row>
    <row r="607">
      <c r="A607" s="9" t="inlineStr">
        <is>
          <t>606 (▼3)</t>
        </is>
      </c>
      <c r="B607" t="inlineStr">
        <is>
          <t>Alena Sui</t>
        </is>
      </c>
      <c r="C607" t="n">
        <v>2014</v>
      </c>
      <c r="D607" s="7" t="inlineStr">
        <is>
          <t>46.44</t>
        </is>
      </c>
      <c r="E607" s="7" t="inlineStr">
        <is>
          <t>13</t>
        </is>
      </c>
      <c r="F607" t="inlineStr">
        <is>
          <t>British Columbia</t>
        </is>
      </c>
      <c r="G607" t="inlineStr">
        <is>
          <t>No Club</t>
        </is>
      </c>
      <c r="H607" s="7" t="inlineStr">
        <is>
          <t>37.7</t>
        </is>
      </c>
      <c r="I607" t="n">
        <v>84</v>
      </c>
      <c r="J607" t="inlineStr">
        <is>
          <t>38 / 46</t>
        </is>
      </c>
      <c r="K607" s="7" t="inlineStr">
        <is>
          <t>43%</t>
        </is>
      </c>
    </row>
    <row r="608">
      <c r="A608" s="9" t="inlineStr">
        <is>
          <t>607 (▼3)</t>
        </is>
      </c>
      <c r="B608" t="inlineStr">
        <is>
          <t>Laura Gyori</t>
        </is>
      </c>
      <c r="C608" t="n">
        <v>2014</v>
      </c>
      <c r="D608" s="7" t="inlineStr">
        <is>
          <t>46.43</t>
        </is>
      </c>
      <c r="E608" s="7" t="inlineStr">
        <is>
          <t>5</t>
        </is>
      </c>
      <c r="F608" t="inlineStr">
        <is>
          <t>Ontario Tennis Association</t>
        </is>
      </c>
      <c r="G608" t="inlineStr">
        <is>
          <t>Rideau Sports Centre</t>
        </is>
      </c>
      <c r="H608" s="7" t="inlineStr">
        <is>
          <t>unavailable</t>
        </is>
      </c>
      <c r="I608" t="n">
        <v>20</v>
      </c>
      <c r="J608" t="inlineStr">
        <is>
          <t>7 / 13</t>
        </is>
      </c>
      <c r="K608" s="7" t="inlineStr">
        <is>
          <t>38%</t>
        </is>
      </c>
    </row>
    <row r="609">
      <c r="A609" s="9" t="inlineStr">
        <is>
          <t>608 (▼3)</t>
        </is>
      </c>
      <c r="B609" t="inlineStr">
        <is>
          <t>Stella Somerville</t>
        </is>
      </c>
      <c r="C609" t="n">
        <v>2016</v>
      </c>
      <c r="D609" s="7" t="inlineStr">
        <is>
          <t>46.08</t>
        </is>
      </c>
      <c r="E609" s="8" t="inlineStr">
        <is>
          <t>8 (+1)</t>
        </is>
      </c>
      <c r="F609" t="inlineStr">
        <is>
          <t>Ontario Tennis Association</t>
        </is>
      </c>
      <c r="G609" t="inlineStr">
        <is>
          <t>Advantage Tennis International at Veneto</t>
        </is>
      </c>
      <c r="H609" s="9" t="inlineStr">
        <is>
          <t>36.7 (▼0.1)</t>
        </is>
      </c>
      <c r="I609" t="n">
        <v>90</v>
      </c>
      <c r="J609" t="inlineStr">
        <is>
          <t>41 / 49</t>
        </is>
      </c>
      <c r="K609" s="9" t="inlineStr">
        <is>
          <t>48% (▼2%)</t>
        </is>
      </c>
    </row>
    <row r="610">
      <c r="A610" s="9" t="inlineStr">
        <is>
          <t>609 (▼3)</t>
        </is>
      </c>
      <c r="B610" t="inlineStr">
        <is>
          <t>Olivia Mary Hipwell</t>
        </is>
      </c>
      <c r="C610" t="n">
        <v>2015</v>
      </c>
      <c r="D610" s="7" t="inlineStr">
        <is>
          <t>45.83</t>
        </is>
      </c>
      <c r="E610" s="7" t="inlineStr">
        <is>
          <t>10</t>
        </is>
      </c>
      <c r="F610" t="inlineStr">
        <is>
          <t>Ontario Tennis Association</t>
        </is>
      </c>
      <c r="G610" t="inlineStr">
        <is>
          <t>Ontario Racquet Club</t>
        </is>
      </c>
      <c r="H610" s="7" t="inlineStr">
        <is>
          <t>unavailable</t>
        </is>
      </c>
      <c r="I610" t="n">
        <v>85</v>
      </c>
      <c r="J610" t="inlineStr">
        <is>
          <t>31 / 54</t>
        </is>
      </c>
      <c r="K610" s="8" t="inlineStr">
        <is>
          <t>37% (▲12%)</t>
        </is>
      </c>
    </row>
    <row r="611">
      <c r="A611" s="9" t="inlineStr">
        <is>
          <t>610 (▼3)</t>
        </is>
      </c>
      <c r="B611" t="inlineStr">
        <is>
          <t>ALICE Wan yee Wong</t>
        </is>
      </c>
      <c r="C611" t="n">
        <v>2015</v>
      </c>
      <c r="D611" s="7" t="inlineStr">
        <is>
          <t>45.82</t>
        </is>
      </c>
      <c r="E611" s="7" t="inlineStr">
        <is>
          <t>13</t>
        </is>
      </c>
      <c r="F611" t="inlineStr">
        <is>
          <t>British Columbia</t>
        </is>
      </c>
      <c r="G611" t="inlineStr">
        <is>
          <t>The Tennis Centre</t>
        </is>
      </c>
      <c r="H611" s="7" t="inlineStr">
        <is>
          <t>35.0</t>
        </is>
      </c>
      <c r="I611" t="n">
        <v>125</v>
      </c>
      <c r="J611" t="inlineStr">
        <is>
          <t>60 / 65</t>
        </is>
      </c>
      <c r="K611" s="7" t="inlineStr">
        <is>
          <t>56%</t>
        </is>
      </c>
    </row>
    <row r="612">
      <c r="A612" s="9" t="inlineStr">
        <is>
          <t>611 (▼3)</t>
        </is>
      </c>
      <c r="B612" t="inlineStr">
        <is>
          <t>Blake Beck Sadler</t>
        </is>
      </c>
      <c r="C612" t="n">
        <v>2013</v>
      </c>
      <c r="D612" s="7" t="inlineStr">
        <is>
          <t>45.78</t>
        </is>
      </c>
      <c r="E612" s="7" t="inlineStr">
        <is>
          <t>3</t>
        </is>
      </c>
      <c r="F612" t="inlineStr">
        <is>
          <t>Ontario Tennis Association</t>
        </is>
      </c>
      <c r="G612" t="inlineStr">
        <is>
          <t>Ontario Racquet Club</t>
        </is>
      </c>
      <c r="H612" s="7" t="inlineStr">
        <is>
          <t>37.1</t>
        </is>
      </c>
      <c r="I612" t="n">
        <v>23</v>
      </c>
      <c r="J612" t="inlineStr">
        <is>
          <t>12 / 11</t>
        </is>
      </c>
      <c r="K612" s="7" t="inlineStr">
        <is>
          <t>33%</t>
        </is>
      </c>
    </row>
    <row r="613">
      <c r="A613" s="8" t="inlineStr">
        <is>
          <t>612 (▲13)</t>
        </is>
      </c>
      <c r="B613" t="inlineStr">
        <is>
          <t>Kiara Krishnan</t>
        </is>
      </c>
      <c r="C613" t="n">
        <v>2016</v>
      </c>
      <c r="D613" s="8" t="inlineStr">
        <is>
          <t>45.36 (▲4.32)</t>
        </is>
      </c>
      <c r="E613" s="8" t="inlineStr">
        <is>
          <t>30 (+1)</t>
        </is>
      </c>
      <c r="F613" t="inlineStr">
        <is>
          <t>Ontario Tennis Association</t>
        </is>
      </c>
      <c r="G613" t="inlineStr">
        <is>
          <t>Toronto Tennis Academy</t>
        </is>
      </c>
      <c r="H613" s="8" t="inlineStr">
        <is>
          <t>37.6 (▲0.1)</t>
        </is>
      </c>
      <c r="I613" t="n">
        <v>250</v>
      </c>
      <c r="J613" t="inlineStr">
        <is>
          <t>99 / 151</t>
        </is>
      </c>
      <c r="K613" s="8" t="inlineStr">
        <is>
          <t>26% (▲1%)</t>
        </is>
      </c>
    </row>
    <row r="614">
      <c r="A614" s="9" t="inlineStr">
        <is>
          <t>613 (▼4)</t>
        </is>
      </c>
      <c r="B614" t="inlineStr">
        <is>
          <t>Arianna Fernanda Chacon</t>
        </is>
      </c>
      <c r="C614" t="n">
        <v>2017</v>
      </c>
      <c r="D614" s="7" t="inlineStr">
        <is>
          <t>45.02</t>
        </is>
      </c>
      <c r="E614" s="7" t="inlineStr">
        <is>
          <t>17</t>
        </is>
      </c>
      <c r="F614" t="inlineStr">
        <is>
          <t>Tennis Alberta</t>
        </is>
      </c>
      <c r="G614" t="inlineStr">
        <is>
          <t>Aforza</t>
        </is>
      </c>
      <c r="H614" s="7" t="inlineStr">
        <is>
          <t>34.9</t>
        </is>
      </c>
      <c r="I614" t="n">
        <v>207</v>
      </c>
      <c r="J614" t="inlineStr">
        <is>
          <t>110 / 97</t>
        </is>
      </c>
      <c r="K614" s="7" t="inlineStr">
        <is>
          <t>64%</t>
        </is>
      </c>
    </row>
    <row r="615">
      <c r="A615" s="9" t="inlineStr">
        <is>
          <t>614 (▼4)</t>
        </is>
      </c>
      <c r="B615" t="inlineStr">
        <is>
          <t>Selena Wazelle</t>
        </is>
      </c>
      <c r="C615" t="n">
        <v>2012</v>
      </c>
      <c r="D615" s="7" t="inlineStr">
        <is>
          <t>45.00</t>
        </is>
      </c>
      <c r="E615" s="7" t="inlineStr">
        <is>
          <t>1</t>
        </is>
      </c>
      <c r="F615" t="inlineStr">
        <is>
          <t>British Columbia</t>
        </is>
      </c>
      <c r="G615" t="inlineStr">
        <is>
          <t>No Club</t>
        </is>
      </c>
      <c r="H615" s="7" t="inlineStr">
        <is>
          <t>30.1</t>
        </is>
      </c>
      <c r="I615" t="n">
        <v>159</v>
      </c>
      <c r="J615" t="inlineStr">
        <is>
          <t>89 / 70</t>
        </is>
      </c>
      <c r="K615" s="7" t="inlineStr">
        <is>
          <t>0%</t>
        </is>
      </c>
    </row>
    <row r="616">
      <c r="A616" s="9" t="inlineStr">
        <is>
          <t>615 (▼4)</t>
        </is>
      </c>
      <c r="B616" t="inlineStr">
        <is>
          <t>Kinsley Jade Lin</t>
        </is>
      </c>
      <c r="C616" t="n">
        <v>2015</v>
      </c>
      <c r="D616" s="7" t="inlineStr">
        <is>
          <t>44.96</t>
        </is>
      </c>
      <c r="E616" s="8" t="inlineStr">
        <is>
          <t>12 (+1)</t>
        </is>
      </c>
      <c r="F616" t="inlineStr">
        <is>
          <t>Ontario Tennis Association</t>
        </is>
      </c>
      <c r="G616" t="inlineStr">
        <is>
          <t>The Tennis School</t>
        </is>
      </c>
      <c r="H616" s="8" t="inlineStr">
        <is>
          <t>36.9 (▲0.6)</t>
        </is>
      </c>
      <c r="I616" t="n">
        <v>96</v>
      </c>
      <c r="J616" t="inlineStr">
        <is>
          <t>41 / 55</t>
        </is>
      </c>
      <c r="K616" s="8" t="inlineStr">
        <is>
          <t>33% (▲2%)</t>
        </is>
      </c>
    </row>
    <row r="617">
      <c r="A617" s="9" t="inlineStr">
        <is>
          <t>616 (▼3)</t>
        </is>
      </c>
      <c r="B617" t="inlineStr">
        <is>
          <t>Milana Maor</t>
        </is>
      </c>
      <c r="C617" t="n">
        <v>2015</v>
      </c>
      <c r="D617" s="7" t="inlineStr">
        <is>
          <t>44.01</t>
        </is>
      </c>
      <c r="E617" s="7" t="inlineStr">
        <is>
          <t>10</t>
        </is>
      </c>
      <c r="F617" t="inlineStr">
        <is>
          <t>Ontario Tennis Association</t>
        </is>
      </c>
      <c r="G617" t="inlineStr">
        <is>
          <t>No Club</t>
        </is>
      </c>
      <c r="H617" s="7" t="inlineStr">
        <is>
          <t>36.7</t>
        </is>
      </c>
      <c r="I617" t="n">
        <v>60</v>
      </c>
      <c r="J617" t="inlineStr">
        <is>
          <t>25 / 35</t>
        </is>
      </c>
      <c r="K617" s="7" t="inlineStr">
        <is>
          <t>33%</t>
        </is>
      </c>
    </row>
    <row r="618">
      <c r="A618" s="9" t="inlineStr">
        <is>
          <t>617 (▼3)</t>
        </is>
      </c>
      <c r="B618" t="inlineStr">
        <is>
          <t>Adelaide Morgan</t>
        </is>
      </c>
      <c r="C618" t="n">
        <v>2012</v>
      </c>
      <c r="D618" s="7" t="inlineStr">
        <is>
          <t>43.89</t>
        </is>
      </c>
      <c r="E618" s="7" t="inlineStr">
        <is>
          <t>3</t>
        </is>
      </c>
      <c r="F618" t="inlineStr">
        <is>
          <t>Ontario Tennis Association</t>
        </is>
      </c>
      <c r="G618" t="inlineStr">
        <is>
          <t>Eglinton Flats Winter Tennis Club</t>
        </is>
      </c>
      <c r="H618" s="7" t="inlineStr">
        <is>
          <t>unavailable</t>
        </is>
      </c>
      <c r="I618" t="n">
        <v>17</v>
      </c>
      <c r="J618" t="inlineStr">
        <is>
          <t>5 / 12</t>
        </is>
      </c>
      <c r="K618" s="7" t="inlineStr">
        <is>
          <t>0%</t>
        </is>
      </c>
    </row>
    <row r="619">
      <c r="A619" s="9" t="inlineStr">
        <is>
          <t>618 (▼2)</t>
        </is>
      </c>
      <c r="B619" t="inlineStr">
        <is>
          <t>Emma Isabella Lamacchia</t>
        </is>
      </c>
      <c r="C619" t="n">
        <v>2013</v>
      </c>
      <c r="D619" s="7" t="inlineStr">
        <is>
          <t>43.33</t>
        </is>
      </c>
      <c r="E619" s="7" t="inlineStr">
        <is>
          <t>3</t>
        </is>
      </c>
      <c r="F619" t="inlineStr">
        <is>
          <t>Ontario Tennis Association</t>
        </is>
      </c>
      <c r="G619" t="inlineStr">
        <is>
          <t>Advantage Tennis International at Veneto</t>
        </is>
      </c>
      <c r="H619" s="7" t="inlineStr">
        <is>
          <t>39.9</t>
        </is>
      </c>
      <c r="I619" t="n">
        <v>19</v>
      </c>
      <c r="J619" t="inlineStr">
        <is>
          <t>2 / 17</t>
        </is>
      </c>
      <c r="K619" s="7" t="inlineStr">
        <is>
          <t>11%</t>
        </is>
      </c>
    </row>
    <row r="620">
      <c r="A620" s="9" t="inlineStr">
        <is>
          <t>619 (▼2)</t>
        </is>
      </c>
      <c r="B620" t="inlineStr">
        <is>
          <t>Valeria Taborda - Valverde</t>
        </is>
      </c>
      <c r="C620" t="n">
        <v>2012</v>
      </c>
      <c r="D620" s="7" t="inlineStr">
        <is>
          <t>43.27</t>
        </is>
      </c>
      <c r="E620" s="7" t="inlineStr">
        <is>
          <t>2</t>
        </is>
      </c>
      <c r="F620" t="inlineStr">
        <is>
          <t>Ontario Tennis Association</t>
        </is>
      </c>
      <c r="G620" t="inlineStr">
        <is>
          <t>Port Hope Racquet Club</t>
        </is>
      </c>
      <c r="H620" s="7" t="inlineStr">
        <is>
          <t>unavailable</t>
        </is>
      </c>
      <c r="I620" t="n">
        <v>38</v>
      </c>
      <c r="J620" t="inlineStr">
        <is>
          <t>16 / 22</t>
        </is>
      </c>
      <c r="K620" s="7" t="inlineStr">
        <is>
          <t>80%</t>
        </is>
      </c>
    </row>
    <row r="621">
      <c r="A621" s="9" t="inlineStr">
        <is>
          <t>620 (▼2)</t>
        </is>
      </c>
      <c r="B621" t="inlineStr">
        <is>
          <t>Charlotte Harvey</t>
        </is>
      </c>
      <c r="C621" t="n">
        <v>2015</v>
      </c>
      <c r="D621" s="7" t="inlineStr">
        <is>
          <t>43.25</t>
        </is>
      </c>
      <c r="E621" s="7" t="inlineStr">
        <is>
          <t>4</t>
        </is>
      </c>
      <c r="F621" t="inlineStr">
        <is>
          <t>Tennis Québec</t>
        </is>
      </c>
      <c r="G621" t="inlineStr">
        <is>
          <t>Les Tennis de Rimouski (intérieur)</t>
        </is>
      </c>
      <c r="H621" s="7" t="inlineStr">
        <is>
          <t>36.1</t>
        </is>
      </c>
      <c r="I621" t="n">
        <v>14</v>
      </c>
      <c r="J621" t="inlineStr">
        <is>
          <t>8 / 6</t>
        </is>
      </c>
      <c r="K621" s="7" t="inlineStr">
        <is>
          <t>55%</t>
        </is>
      </c>
    </row>
    <row r="622">
      <c r="A622" s="9" t="inlineStr">
        <is>
          <t>621 (▼1)</t>
        </is>
      </c>
      <c r="B622" t="inlineStr">
        <is>
          <t>Mackenzie Quek</t>
        </is>
      </c>
      <c r="C622" t="n">
        <v>2012</v>
      </c>
      <c r="D622" s="7" t="inlineStr">
        <is>
          <t>42.27</t>
        </is>
      </c>
      <c r="E622" s="7" t="inlineStr">
        <is>
          <t>4</t>
        </is>
      </c>
      <c r="F622" t="inlineStr">
        <is>
          <t>Ontario Tennis Association</t>
        </is>
      </c>
      <c r="G622" t="inlineStr">
        <is>
          <t>Concord Tennis Academy</t>
        </is>
      </c>
      <c r="H622" s="7" t="inlineStr">
        <is>
          <t>unavailable</t>
        </is>
      </c>
      <c r="I622" t="n">
        <v>13</v>
      </c>
      <c r="J622" t="inlineStr">
        <is>
          <t>3 / 10</t>
        </is>
      </c>
      <c r="K622" s="7" t="inlineStr">
        <is>
          <t>23%</t>
        </is>
      </c>
    </row>
    <row r="623">
      <c r="A623" s="9" t="inlineStr">
        <is>
          <t>622 (▼1)</t>
        </is>
      </c>
      <c r="B623" t="inlineStr">
        <is>
          <t>Juliette Tremblay</t>
        </is>
      </c>
      <c r="C623" t="n">
        <v>2015</v>
      </c>
      <c r="D623" s="7" t="inlineStr">
        <is>
          <t>42.00</t>
        </is>
      </c>
      <c r="E623" s="7" t="inlineStr">
        <is>
          <t>11</t>
        </is>
      </c>
      <c r="F623" t="inlineStr">
        <is>
          <t>Tennis Québec</t>
        </is>
      </c>
      <c r="G623" t="inlineStr">
        <is>
          <t>Tennis Outaouais Performance (TOP)</t>
        </is>
      </c>
      <c r="H623" s="7" t="inlineStr">
        <is>
          <t>37.7</t>
        </is>
      </c>
      <c r="I623" t="n">
        <v>54</v>
      </c>
      <c r="J623" t="inlineStr">
        <is>
          <t>16 / 38</t>
        </is>
      </c>
      <c r="K623" s="7" t="inlineStr">
        <is>
          <t>28%</t>
        </is>
      </c>
    </row>
    <row r="624">
      <c r="A624" s="9" t="inlineStr">
        <is>
          <t>623 (▼1)</t>
        </is>
      </c>
      <c r="B624" t="inlineStr">
        <is>
          <t>Mia Kojic</t>
        </is>
      </c>
      <c r="C624" t="n">
        <v>2015</v>
      </c>
      <c r="D624" s="7" t="inlineStr">
        <is>
          <t>41.92</t>
        </is>
      </c>
      <c r="E624" s="7" t="inlineStr">
        <is>
          <t>8</t>
        </is>
      </c>
      <c r="F624" t="inlineStr">
        <is>
          <t>Ontario Tennis Association</t>
        </is>
      </c>
      <c r="G624" t="inlineStr">
        <is>
          <t>Ontario Racquet Club</t>
        </is>
      </c>
      <c r="H624" s="7" t="inlineStr">
        <is>
          <t>36.7</t>
        </is>
      </c>
      <c r="I624" t="n">
        <v>98</v>
      </c>
      <c r="J624" t="inlineStr">
        <is>
          <t>43 / 55</t>
        </is>
      </c>
      <c r="K624" s="8" t="inlineStr">
        <is>
          <t>41% (▲4%)</t>
        </is>
      </c>
    </row>
    <row r="625">
      <c r="A625" s="9" t="inlineStr">
        <is>
          <t>624 (▼1)</t>
        </is>
      </c>
      <c r="B625" t="inlineStr">
        <is>
          <t>Melina Ioannidis</t>
        </is>
      </c>
      <c r="C625" t="n">
        <v>2014</v>
      </c>
      <c r="D625" s="7" t="inlineStr">
        <is>
          <t>41.56</t>
        </is>
      </c>
      <c r="E625" s="7" t="inlineStr">
        <is>
          <t>6</t>
        </is>
      </c>
      <c r="F625" t="inlineStr">
        <is>
          <t>Ontario Tennis Association</t>
        </is>
      </c>
      <c r="G625" t="inlineStr">
        <is>
          <t>Aurora Community Tennis Club</t>
        </is>
      </c>
      <c r="H625" s="7" t="inlineStr">
        <is>
          <t>37.0</t>
        </is>
      </c>
      <c r="I625" t="n">
        <v>61</v>
      </c>
      <c r="J625" t="inlineStr">
        <is>
          <t>34 / 27</t>
        </is>
      </c>
      <c r="K625" s="7" t="inlineStr">
        <is>
          <t>44%</t>
        </is>
      </c>
    </row>
    <row r="626">
      <c r="A626" s="9" t="inlineStr">
        <is>
          <t>625 (▼1)</t>
        </is>
      </c>
      <c r="B626" t="inlineStr">
        <is>
          <t>Aria Bloom</t>
        </is>
      </c>
      <c r="C626" t="n">
        <v>2017</v>
      </c>
      <c r="D626" s="7" t="inlineStr">
        <is>
          <t>41.35</t>
        </is>
      </c>
      <c r="E626" s="7" t="inlineStr">
        <is>
          <t>9</t>
        </is>
      </c>
      <c r="F626" t="inlineStr">
        <is>
          <t>Tennis Alberta</t>
        </is>
      </c>
      <c r="G626" t="inlineStr">
        <is>
          <t>Osten &amp; Victor Alberta Tennis Centre</t>
        </is>
      </c>
      <c r="H626" s="7" t="inlineStr">
        <is>
          <t>33.8</t>
        </is>
      </c>
      <c r="I626" t="n">
        <v>127</v>
      </c>
      <c r="J626" t="inlineStr">
        <is>
          <t>97 / 30</t>
        </is>
      </c>
      <c r="K626" s="7" t="inlineStr">
        <is>
          <t>86%</t>
        </is>
      </c>
    </row>
    <row r="627">
      <c r="A627" s="8" t="inlineStr">
        <is>
          <t>626 (▲19)</t>
        </is>
      </c>
      <c r="B627" t="inlineStr">
        <is>
          <t>Léa Anténor</t>
        </is>
      </c>
      <c r="C627" t="n">
        <v>2015</v>
      </c>
      <c r="D627" s="8" t="inlineStr">
        <is>
          <t>41.29 (▲6.53)</t>
        </is>
      </c>
      <c r="E627" s="8" t="inlineStr">
        <is>
          <t>7 (+1)</t>
        </is>
      </c>
      <c r="F627" t="inlineStr">
        <is>
          <t>Tennis Québec</t>
        </is>
      </c>
      <c r="G627" t="inlineStr">
        <is>
          <t>No Club</t>
        </is>
      </c>
      <c r="H627" s="7" t="inlineStr">
        <is>
          <t>unavailable</t>
        </is>
      </c>
      <c r="I627" t="n">
        <v>13</v>
      </c>
      <c r="J627" t="inlineStr">
        <is>
          <t>6 / 7</t>
        </is>
      </c>
      <c r="K627" s="8" t="inlineStr">
        <is>
          <t>46% (▲13%)</t>
        </is>
      </c>
    </row>
    <row r="628">
      <c r="A628" s="9" t="inlineStr">
        <is>
          <t>627 (▼2)</t>
        </is>
      </c>
      <c r="B628" t="inlineStr">
        <is>
          <t>Lillian Tooryani</t>
        </is>
      </c>
      <c r="C628" t="n">
        <v>2015</v>
      </c>
      <c r="D628" s="7" t="inlineStr">
        <is>
          <t>41.04</t>
        </is>
      </c>
      <c r="E628" s="7" t="inlineStr">
        <is>
          <t>13</t>
        </is>
      </c>
      <c r="F628" t="inlineStr">
        <is>
          <t>Ontario Tennis Association</t>
        </is>
      </c>
      <c r="G628" t="inlineStr">
        <is>
          <t>Mayfair West Fitness &amp; Racquet Club</t>
        </is>
      </c>
      <c r="H628" s="7" t="inlineStr">
        <is>
          <t>37.4</t>
        </is>
      </c>
      <c r="I628" t="n">
        <v>44</v>
      </c>
      <c r="J628" t="inlineStr">
        <is>
          <t>17 / 27</t>
        </is>
      </c>
      <c r="K628" s="7" t="inlineStr">
        <is>
          <t>50%</t>
        </is>
      </c>
    </row>
    <row r="629">
      <c r="A629" s="9" t="inlineStr">
        <is>
          <t>628 (▼1)</t>
        </is>
      </c>
      <c r="B629" t="inlineStr">
        <is>
          <t>Naia Luke</t>
        </is>
      </c>
      <c r="C629" t="n">
        <v>2013</v>
      </c>
      <c r="D629" s="7" t="inlineStr">
        <is>
          <t>40.63</t>
        </is>
      </c>
      <c r="E629" s="7" t="inlineStr">
        <is>
          <t>4</t>
        </is>
      </c>
      <c r="F629" t="inlineStr">
        <is>
          <t>British Columbia</t>
        </is>
      </c>
      <c r="G629" t="inlineStr">
        <is>
          <t>Jericho Tennis Club</t>
        </is>
      </c>
      <c r="H629" s="7" t="inlineStr">
        <is>
          <t>39.7</t>
        </is>
      </c>
      <c r="I629" t="n">
        <v>43</v>
      </c>
      <c r="J629" t="inlineStr">
        <is>
          <t>9 / 34</t>
        </is>
      </c>
      <c r="K629" s="7" t="inlineStr">
        <is>
          <t>0%</t>
        </is>
      </c>
    </row>
    <row r="630">
      <c r="A630" s="9" t="inlineStr">
        <is>
          <t>629 (▼1)</t>
        </is>
      </c>
      <c r="B630" t="inlineStr">
        <is>
          <t>Mila Anglade</t>
        </is>
      </c>
      <c r="C630" t="n">
        <v>2015</v>
      </c>
      <c r="D630" s="7" t="inlineStr">
        <is>
          <t>40.12</t>
        </is>
      </c>
      <c r="E630" s="7" t="inlineStr">
        <is>
          <t>4</t>
        </is>
      </c>
      <c r="F630" t="inlineStr">
        <is>
          <t>Tennis Québec</t>
        </is>
      </c>
      <c r="G630" t="inlineStr">
        <is>
          <t>Carrefour Multisports</t>
        </is>
      </c>
      <c r="H630" s="7" t="inlineStr">
        <is>
          <t>unavailable</t>
        </is>
      </c>
      <c r="I630" t="n">
        <v>64</v>
      </c>
      <c r="J630" t="inlineStr">
        <is>
          <t>39 / 25</t>
        </is>
      </c>
      <c r="K630" s="7" t="inlineStr">
        <is>
          <t>80%</t>
        </is>
      </c>
    </row>
    <row r="631">
      <c r="A631" s="9" t="inlineStr">
        <is>
          <t>630 (▼1)</t>
        </is>
      </c>
      <c r="B631" t="inlineStr">
        <is>
          <t>Juliette Viel</t>
        </is>
      </c>
      <c r="C631" t="n">
        <v>2014</v>
      </c>
      <c r="D631" s="7" t="inlineStr">
        <is>
          <t>39.42</t>
        </is>
      </c>
      <c r="E631" s="7" t="inlineStr">
        <is>
          <t>3</t>
        </is>
      </c>
      <c r="F631" t="inlineStr">
        <is>
          <t>Tennis Québec</t>
        </is>
      </c>
      <c r="G631" t="inlineStr">
        <is>
          <t>Club de tennis de Rivière-du-Loup</t>
        </is>
      </c>
      <c r="H631" s="8" t="inlineStr">
        <is>
          <t>33.8 (▲0.4)</t>
        </is>
      </c>
      <c r="I631" t="n">
        <v>24</v>
      </c>
      <c r="J631" t="inlineStr">
        <is>
          <t>11 / 13</t>
        </is>
      </c>
      <c r="K631" s="7" t="inlineStr">
        <is>
          <t>56%</t>
        </is>
      </c>
    </row>
    <row r="632">
      <c r="A632" s="9" t="inlineStr">
        <is>
          <t>631 (▼1)</t>
        </is>
      </c>
      <c r="B632" t="inlineStr">
        <is>
          <t>Chloe Leblond</t>
        </is>
      </c>
      <c r="C632" t="n">
        <v>2014</v>
      </c>
      <c r="D632" s="7" t="inlineStr">
        <is>
          <t>38.71</t>
        </is>
      </c>
      <c r="E632" s="7" t="inlineStr">
        <is>
          <t>4</t>
        </is>
      </c>
      <c r="F632" t="inlineStr">
        <is>
          <t>Ontario Tennis Association</t>
        </is>
      </c>
      <c r="G632" t="inlineStr">
        <is>
          <t>Tam Heather Tennis Club</t>
        </is>
      </c>
      <c r="H632" s="7" t="inlineStr">
        <is>
          <t>unavailable</t>
        </is>
      </c>
      <c r="I632" t="n">
        <v>59</v>
      </c>
      <c r="J632" t="inlineStr">
        <is>
          <t>31 / 28</t>
        </is>
      </c>
      <c r="K632" s="7" t="inlineStr">
        <is>
          <t>60%</t>
        </is>
      </c>
    </row>
    <row r="633">
      <c r="A633" s="9" t="inlineStr">
        <is>
          <t>632 (▼1)</t>
        </is>
      </c>
      <c r="B633" t="inlineStr">
        <is>
          <t>Nya BLANCHARD</t>
        </is>
      </c>
      <c r="C633" t="n">
        <v>2015</v>
      </c>
      <c r="D633" s="7" t="inlineStr">
        <is>
          <t>38.25</t>
        </is>
      </c>
      <c r="E633" s="7" t="inlineStr">
        <is>
          <t>8</t>
        </is>
      </c>
      <c r="F633" t="inlineStr">
        <is>
          <t>Ontario Tennis Association</t>
        </is>
      </c>
      <c r="G633" t="inlineStr">
        <is>
          <t>Ontario Racquet Club</t>
        </is>
      </c>
      <c r="H633" s="7" t="inlineStr">
        <is>
          <t>35.6</t>
        </is>
      </c>
      <c r="I633" t="n">
        <v>44</v>
      </c>
      <c r="J633" t="inlineStr">
        <is>
          <t>24 / 20</t>
        </is>
      </c>
      <c r="K633" s="7" t="inlineStr">
        <is>
          <t>50%</t>
        </is>
      </c>
    </row>
    <row r="634">
      <c r="A634" s="9" t="inlineStr">
        <is>
          <t>633 (▼1)</t>
        </is>
      </c>
      <c r="B634" t="inlineStr">
        <is>
          <t>Ariella Naomi Shegelman</t>
        </is>
      </c>
      <c r="C634" t="n">
        <v>2014</v>
      </c>
      <c r="D634" s="7" t="inlineStr">
        <is>
          <t>38.01</t>
        </is>
      </c>
      <c r="E634" s="7" t="inlineStr">
        <is>
          <t>5</t>
        </is>
      </c>
      <c r="F634" t="inlineStr">
        <is>
          <t>Ontario Tennis Association</t>
        </is>
      </c>
      <c r="G634" t="inlineStr">
        <is>
          <t>Concord Tennis Academy</t>
        </is>
      </c>
      <c r="H634" s="7" t="inlineStr">
        <is>
          <t>35.7</t>
        </is>
      </c>
      <c r="I634" t="n">
        <v>32</v>
      </c>
      <c r="J634" t="inlineStr">
        <is>
          <t>16 / 16</t>
        </is>
      </c>
      <c r="K634" s="7" t="inlineStr">
        <is>
          <t>50%</t>
        </is>
      </c>
    </row>
    <row r="635">
      <c r="A635" s="9" t="inlineStr">
        <is>
          <t>634 (▼1)</t>
        </is>
      </c>
      <c r="B635" t="inlineStr">
        <is>
          <t>Sloane Burdick</t>
        </is>
      </c>
      <c r="C635" t="n">
        <v>2015</v>
      </c>
      <c r="D635" s="7" t="inlineStr">
        <is>
          <t>37.80</t>
        </is>
      </c>
      <c r="E635" s="7" t="inlineStr">
        <is>
          <t>9</t>
        </is>
      </c>
      <c r="F635" t="inlineStr">
        <is>
          <t>British Columbia</t>
        </is>
      </c>
      <c r="G635" t="inlineStr">
        <is>
          <t>Vanguard Tennis Academy</t>
        </is>
      </c>
      <c r="H635" s="7" t="inlineStr">
        <is>
          <t>36.9</t>
        </is>
      </c>
      <c r="I635" t="n">
        <v>74</v>
      </c>
      <c r="J635" t="inlineStr">
        <is>
          <t>36 / 38</t>
        </is>
      </c>
      <c r="K635" s="7" t="inlineStr">
        <is>
          <t>45%</t>
        </is>
      </c>
    </row>
    <row r="636">
      <c r="A636" s="9" t="inlineStr">
        <is>
          <t>635 (▼1)</t>
        </is>
      </c>
      <c r="B636" t="inlineStr">
        <is>
          <t>Mathilde Langis</t>
        </is>
      </c>
      <c r="C636" t="n">
        <v>2014</v>
      </c>
      <c r="D636" s="7" t="inlineStr">
        <is>
          <t>37.75</t>
        </is>
      </c>
      <c r="E636" s="8" t="inlineStr">
        <is>
          <t>5 (+1)</t>
        </is>
      </c>
      <c r="F636" t="inlineStr">
        <is>
          <t>Tennis Québec</t>
        </is>
      </c>
      <c r="G636" t="inlineStr">
        <is>
          <t>Rouge et Or - Université Laval</t>
        </is>
      </c>
      <c r="H636" s="8" t="inlineStr">
        <is>
          <t>36.1 (▲0.1)</t>
        </is>
      </c>
      <c r="I636" t="n">
        <v>73</v>
      </c>
      <c r="J636" t="inlineStr">
        <is>
          <t>31 / 42</t>
        </is>
      </c>
      <c r="K636" s="9" t="inlineStr">
        <is>
          <t>25% (▼8%)</t>
        </is>
      </c>
    </row>
    <row r="637">
      <c r="A637" s="9" t="inlineStr">
        <is>
          <t>636 (▼1)</t>
        </is>
      </c>
      <c r="B637" t="inlineStr">
        <is>
          <t>Alexa Ardeleanu</t>
        </is>
      </c>
      <c r="C637" t="n">
        <v>2013</v>
      </c>
      <c r="D637" s="7" t="inlineStr">
        <is>
          <t>37.40</t>
        </is>
      </c>
      <c r="E637" s="7" t="inlineStr">
        <is>
          <t>3</t>
        </is>
      </c>
      <c r="F637" t="inlineStr">
        <is>
          <t>Ontario Tennis Association</t>
        </is>
      </c>
      <c r="G637" t="inlineStr">
        <is>
          <t>No Club</t>
        </is>
      </c>
      <c r="H637" s="7" t="inlineStr">
        <is>
          <t>37.8</t>
        </is>
      </c>
      <c r="I637" t="n">
        <v>5</v>
      </c>
      <c r="J637" t="inlineStr">
        <is>
          <t>1 / 4</t>
        </is>
      </c>
      <c r="K637" s="7" t="inlineStr">
        <is>
          <t>20%</t>
        </is>
      </c>
    </row>
    <row r="638">
      <c r="A638" s="9" t="inlineStr">
        <is>
          <t>637 (▼1)</t>
        </is>
      </c>
      <c r="B638" t="inlineStr">
        <is>
          <t>Tamara Amad</t>
        </is>
      </c>
      <c r="C638" t="n">
        <v>2015</v>
      </c>
      <c r="D638" s="7" t="inlineStr">
        <is>
          <t>36.80</t>
        </is>
      </c>
      <c r="E638" s="7" t="inlineStr">
        <is>
          <t>2</t>
        </is>
      </c>
      <c r="F638" t="inlineStr">
        <is>
          <t>Ontario Tennis Association</t>
        </is>
      </c>
      <c r="G638" t="inlineStr">
        <is>
          <t>Ontario Racquet Club</t>
        </is>
      </c>
      <c r="H638" s="7" t="inlineStr">
        <is>
          <t>unavailable</t>
        </is>
      </c>
      <c r="I638" t="n">
        <v>23</v>
      </c>
      <c r="J638" t="inlineStr">
        <is>
          <t>15 / 8</t>
        </is>
      </c>
      <c r="K638" s="7" t="inlineStr">
        <is>
          <t>67%</t>
        </is>
      </c>
    </row>
    <row r="639">
      <c r="A639" s="7" t="inlineStr">
        <is>
          <t>638</t>
        </is>
      </c>
      <c r="B639" t="inlineStr">
        <is>
          <t>Mariya Fedchyshyna</t>
        </is>
      </c>
      <c r="C639" t="n">
        <v>2013</v>
      </c>
      <c r="D639" s="7" t="inlineStr">
        <is>
          <t>35.77</t>
        </is>
      </c>
      <c r="E639" s="7" t="inlineStr">
        <is>
          <t>3</t>
        </is>
      </c>
      <c r="F639" t="inlineStr">
        <is>
          <t>British Columbia</t>
        </is>
      </c>
      <c r="G639" t="inlineStr">
        <is>
          <t>Oak Bay Recreation Centre</t>
        </is>
      </c>
      <c r="H639" s="7" t="inlineStr">
        <is>
          <t>unavailable</t>
        </is>
      </c>
      <c r="I639" t="n">
        <v>9</v>
      </c>
      <c r="J639" t="inlineStr">
        <is>
          <t>1 / 8</t>
        </is>
      </c>
      <c r="K639" s="7" t="inlineStr">
        <is>
          <t>14%</t>
        </is>
      </c>
    </row>
    <row r="640">
      <c r="A640" s="7" t="inlineStr">
        <is>
          <t>639</t>
        </is>
      </c>
      <c r="B640" t="inlineStr">
        <is>
          <t>Victoria Guo</t>
        </is>
      </c>
      <c r="C640" t="n">
        <v>2015</v>
      </c>
      <c r="D640" s="7" t="inlineStr">
        <is>
          <t>35.63</t>
        </is>
      </c>
      <c r="E640" s="7" t="inlineStr">
        <is>
          <t>4</t>
        </is>
      </c>
      <c r="F640" t="inlineStr">
        <is>
          <t>Ontario Tennis Association</t>
        </is>
      </c>
      <c r="G640" t="inlineStr">
        <is>
          <t>Craig Henry</t>
        </is>
      </c>
      <c r="H640" s="7" t="inlineStr">
        <is>
          <t>39.3</t>
        </is>
      </c>
      <c r="I640" t="n">
        <v>27</v>
      </c>
      <c r="J640" t="inlineStr">
        <is>
          <t>10 / 17</t>
        </is>
      </c>
      <c r="K640" s="7" t="inlineStr">
        <is>
          <t>20%</t>
        </is>
      </c>
    </row>
    <row r="641">
      <c r="A641" s="7" t="inlineStr">
        <is>
          <t>640</t>
        </is>
      </c>
      <c r="B641" t="inlineStr">
        <is>
          <t>Mehak Garg</t>
        </is>
      </c>
      <c r="C641" t="n">
        <v>2013</v>
      </c>
      <c r="D641" s="7" t="inlineStr">
        <is>
          <t>35.51</t>
        </is>
      </c>
      <c r="E641" s="7" t="inlineStr">
        <is>
          <t>1</t>
        </is>
      </c>
      <c r="F641" t="inlineStr">
        <is>
          <t>Tennis Saskatchewan</t>
        </is>
      </c>
      <c r="G641" t="inlineStr">
        <is>
          <t>Lakewood Indoor Tennis Centre</t>
        </is>
      </c>
      <c r="H641" s="7" t="inlineStr">
        <is>
          <t>35.1</t>
        </is>
      </c>
      <c r="I641" t="n">
        <v>13</v>
      </c>
      <c r="J641" t="inlineStr">
        <is>
          <t>5 / 8</t>
        </is>
      </c>
      <c r="K641" s="7" t="inlineStr">
        <is>
          <t>38%</t>
        </is>
      </c>
    </row>
    <row r="642">
      <c r="A642" s="7" t="inlineStr">
        <is>
          <t>641</t>
        </is>
      </c>
      <c r="B642" t="inlineStr">
        <is>
          <t>Violette Hébert</t>
        </is>
      </c>
      <c r="C642" t="n">
        <v>2014</v>
      </c>
      <c r="D642" s="7" t="inlineStr">
        <is>
          <t>35.47</t>
        </is>
      </c>
      <c r="E642" s="8" t="inlineStr">
        <is>
          <t>11 (+1)</t>
        </is>
      </c>
      <c r="F642" t="inlineStr">
        <is>
          <t>Tennis Québec</t>
        </is>
      </c>
      <c r="G642" t="inlineStr">
        <is>
          <t>EB Tennis inc.</t>
        </is>
      </c>
      <c r="H642" s="7" t="inlineStr">
        <is>
          <t>39.2</t>
        </is>
      </c>
      <c r="I642" t="n">
        <v>49</v>
      </c>
      <c r="J642" t="inlineStr">
        <is>
          <t>14 / 35</t>
        </is>
      </c>
      <c r="K642" s="7" t="inlineStr">
        <is>
          <t>24%</t>
        </is>
      </c>
    </row>
    <row r="643">
      <c r="A643" s="7" t="inlineStr">
        <is>
          <t>642</t>
        </is>
      </c>
      <c r="B643" t="inlineStr">
        <is>
          <t>Olivia Duthoit</t>
        </is>
      </c>
      <c r="C643" t="n">
        <v>2014</v>
      </c>
      <c r="D643" s="7" t="inlineStr">
        <is>
          <t>35.34</t>
        </is>
      </c>
      <c r="E643" s="7" t="inlineStr">
        <is>
          <t>3</t>
        </is>
      </c>
      <c r="F643" t="inlineStr">
        <is>
          <t>Tennis Québec</t>
        </is>
      </c>
      <c r="G643" t="inlineStr">
        <is>
          <t>Club Avantage Multi-sports / Académie de tennis Hérisset Bordeleau</t>
        </is>
      </c>
      <c r="H643" s="7" t="inlineStr">
        <is>
          <t>36.0</t>
        </is>
      </c>
      <c r="I643" t="n">
        <v>20</v>
      </c>
      <c r="J643" t="inlineStr">
        <is>
          <t>4 / 16</t>
        </is>
      </c>
      <c r="K643" s="7" t="inlineStr">
        <is>
          <t>43%</t>
        </is>
      </c>
    </row>
    <row r="644">
      <c r="A644" s="7" t="inlineStr">
        <is>
          <t>643</t>
        </is>
      </c>
      <c r="B644" t="inlineStr">
        <is>
          <t>Eliana Gamboa Puentevella</t>
        </is>
      </c>
      <c r="C644" t="n">
        <v>2016</v>
      </c>
      <c r="D644" s="7" t="inlineStr">
        <is>
          <t>35.10</t>
        </is>
      </c>
      <c r="E644" s="7" t="inlineStr">
        <is>
          <t>12</t>
        </is>
      </c>
      <c r="F644" t="inlineStr">
        <is>
          <t>British Columbia</t>
        </is>
      </c>
      <c r="G644" t="inlineStr">
        <is>
          <t>Suncoast Racquet Club</t>
        </is>
      </c>
      <c r="H644" s="7" t="inlineStr">
        <is>
          <t>36.3</t>
        </is>
      </c>
      <c r="I644" t="n">
        <v>137</v>
      </c>
      <c r="J644" t="inlineStr">
        <is>
          <t>68 / 69</t>
        </is>
      </c>
      <c r="K644" s="7" t="inlineStr">
        <is>
          <t>60%</t>
        </is>
      </c>
    </row>
    <row r="645">
      <c r="A645" s="7" t="inlineStr">
        <is>
          <t>644</t>
        </is>
      </c>
      <c r="B645" t="inlineStr">
        <is>
          <t>Parine Jani</t>
        </is>
      </c>
      <c r="C645" t="n">
        <v>2015</v>
      </c>
      <c r="D645" s="7" t="inlineStr">
        <is>
          <t>35.01</t>
        </is>
      </c>
      <c r="E645" s="7" t="inlineStr">
        <is>
          <t>5</t>
        </is>
      </c>
      <c r="F645" t="inlineStr">
        <is>
          <t>Ontario Tennis Association</t>
        </is>
      </c>
      <c r="G645" t="inlineStr">
        <is>
          <t>Premier Racquet Club - Markham</t>
        </is>
      </c>
      <c r="H645" s="7" t="inlineStr">
        <is>
          <t>39.7</t>
        </is>
      </c>
      <c r="I645" t="n">
        <v>43</v>
      </c>
      <c r="J645" t="inlineStr">
        <is>
          <t>7 / 36</t>
        </is>
      </c>
      <c r="K645" s="7" t="inlineStr">
        <is>
          <t>8%</t>
        </is>
      </c>
    </row>
    <row r="646">
      <c r="A646" s="8" t="inlineStr">
        <is>
          <t>645 (▲36)</t>
        </is>
      </c>
      <c r="B646" t="inlineStr">
        <is>
          <t>kunyou Guan</t>
        </is>
      </c>
      <c r="C646" t="n">
        <v>2014</v>
      </c>
      <c r="D646" s="8" t="inlineStr">
        <is>
          <t>34.77 (▲6.91)</t>
        </is>
      </c>
      <c r="E646" s="8" t="inlineStr">
        <is>
          <t>8 (+1)</t>
        </is>
      </c>
      <c r="F646" t="inlineStr">
        <is>
          <t>Ontario Tennis Association</t>
        </is>
      </c>
      <c r="G646" t="inlineStr">
        <is>
          <t>Mayfair West Fitness &amp; Racquet Club</t>
        </is>
      </c>
      <c r="H646" s="8" t="inlineStr">
        <is>
          <t>37.4 (▲0.1)</t>
        </is>
      </c>
      <c r="I646" t="n">
        <v>40</v>
      </c>
      <c r="J646" t="inlineStr">
        <is>
          <t>20 / 20</t>
        </is>
      </c>
      <c r="K646" s="8" t="inlineStr">
        <is>
          <t>44% (▲1%)</t>
        </is>
      </c>
    </row>
    <row r="647">
      <c r="A647" s="8" t="inlineStr">
        <is>
          <t>646 (▲57)</t>
        </is>
      </c>
      <c r="B647" t="inlineStr">
        <is>
          <t>Rehmat Kaur Sandhar</t>
        </is>
      </c>
      <c r="C647" t="n">
        <v>2014</v>
      </c>
      <c r="D647" s="8" t="inlineStr">
        <is>
          <t>34.56 (▲10.80)</t>
        </is>
      </c>
      <c r="E647" s="8" t="inlineStr">
        <is>
          <t>4 (+1)</t>
        </is>
      </c>
      <c r="F647" t="inlineStr">
        <is>
          <t>Ontario Tennis Association</t>
        </is>
      </c>
      <c r="G647" t="inlineStr">
        <is>
          <t>ON Tennis Toronto No Club</t>
        </is>
      </c>
      <c r="H647" s="8" t="inlineStr">
        <is>
          <t>35.5 (▲1.2)</t>
        </is>
      </c>
      <c r="I647" t="n">
        <v>39</v>
      </c>
      <c r="J647" t="inlineStr">
        <is>
          <t>20 / 19</t>
        </is>
      </c>
      <c r="K647" s="8" t="inlineStr">
        <is>
          <t>56% (▲1%)</t>
        </is>
      </c>
    </row>
    <row r="648">
      <c r="A648" s="9" t="inlineStr">
        <is>
          <t>647 (▼1)</t>
        </is>
      </c>
      <c r="B648" t="inlineStr">
        <is>
          <t>Caroline Chuyi Wang</t>
        </is>
      </c>
      <c r="C648" t="n">
        <v>2013</v>
      </c>
      <c r="D648" s="7" t="inlineStr">
        <is>
          <t>34.17</t>
        </is>
      </c>
      <c r="E648" s="7" t="inlineStr">
        <is>
          <t>4</t>
        </is>
      </c>
      <c r="F648" t="inlineStr">
        <is>
          <t>British Columbia</t>
        </is>
      </c>
      <c r="G648" t="inlineStr">
        <is>
          <t>Richmond Country Club</t>
        </is>
      </c>
      <c r="H648" s="7" t="inlineStr">
        <is>
          <t>37.8</t>
        </is>
      </c>
      <c r="I648" t="n">
        <v>26</v>
      </c>
      <c r="J648" t="inlineStr">
        <is>
          <t>11 / 15</t>
        </is>
      </c>
      <c r="K648" s="7" t="inlineStr">
        <is>
          <t>42%</t>
        </is>
      </c>
    </row>
    <row r="649">
      <c r="A649" s="9" t="inlineStr">
        <is>
          <t>648 (▼1)</t>
        </is>
      </c>
      <c r="B649" t="inlineStr">
        <is>
          <t>Emma Yu</t>
        </is>
      </c>
      <c r="C649" t="n">
        <v>2016</v>
      </c>
      <c r="D649" s="7" t="inlineStr">
        <is>
          <t>33.84</t>
        </is>
      </c>
      <c r="E649" s="7" t="inlineStr">
        <is>
          <t>6</t>
        </is>
      </c>
      <c r="F649" t="inlineStr">
        <is>
          <t>Tennis Nova Scotia</t>
        </is>
      </c>
      <c r="G649" t="inlineStr">
        <is>
          <t>Atlantic Tennis Centre</t>
        </is>
      </c>
      <c r="H649" s="7" t="inlineStr">
        <is>
          <t>unavailable</t>
        </is>
      </c>
      <c r="I649" t="n">
        <v/>
      </c>
      <c r="J649" t="inlineStr">
        <is>
          <t>unavailable</t>
        </is>
      </c>
      <c r="K649" s="7" t="inlineStr">
        <is>
          <t>0%</t>
        </is>
      </c>
    </row>
    <row r="650">
      <c r="A650" s="9" t="inlineStr">
        <is>
          <t>649 (▼1)</t>
        </is>
      </c>
      <c r="B650" t="inlineStr">
        <is>
          <t>Georgena Banquicio</t>
        </is>
      </c>
      <c r="C650" t="n">
        <v>2014</v>
      </c>
      <c r="D650" s="7" t="inlineStr">
        <is>
          <t>33.66</t>
        </is>
      </c>
      <c r="E650" s="7" t="inlineStr">
        <is>
          <t>5</t>
        </is>
      </c>
      <c r="F650" t="inlineStr">
        <is>
          <t>Tennis New Brunswick</t>
        </is>
      </c>
      <c r="G650" t="inlineStr">
        <is>
          <t>Abony Family Tennis Center</t>
        </is>
      </c>
      <c r="H650" s="7" t="inlineStr">
        <is>
          <t>37.4</t>
        </is>
      </c>
      <c r="I650" t="n">
        <v>72</v>
      </c>
      <c r="J650" t="inlineStr">
        <is>
          <t>34 / 38</t>
        </is>
      </c>
      <c r="K650" s="7" t="inlineStr">
        <is>
          <t>25%</t>
        </is>
      </c>
    </row>
    <row r="651">
      <c r="A651" s="9" t="inlineStr">
        <is>
          <t>650 (▼1)</t>
        </is>
      </c>
      <c r="B651" t="inlineStr">
        <is>
          <t>SOPHIA MARIA TRULESCU</t>
        </is>
      </c>
      <c r="C651" t="n">
        <v>2013</v>
      </c>
      <c r="D651" s="7" t="inlineStr">
        <is>
          <t>33.35</t>
        </is>
      </c>
      <c r="E651" s="7" t="inlineStr">
        <is>
          <t>2</t>
        </is>
      </c>
      <c r="F651" t="inlineStr">
        <is>
          <t>Ontario Tennis Association</t>
        </is>
      </c>
      <c r="G651" t="inlineStr">
        <is>
          <t>Rosedale Tennis Club (Hamilton)</t>
        </is>
      </c>
      <c r="H651" s="7" t="inlineStr">
        <is>
          <t>34.4</t>
        </is>
      </c>
      <c r="I651" t="n">
        <v>55</v>
      </c>
      <c r="J651" t="inlineStr">
        <is>
          <t>41 / 14</t>
        </is>
      </c>
      <c r="K651" s="7" t="inlineStr">
        <is>
          <t>67%</t>
        </is>
      </c>
    </row>
    <row r="652">
      <c r="A652" s="9" t="inlineStr">
        <is>
          <t>651 (▼1)</t>
        </is>
      </c>
      <c r="B652" t="inlineStr">
        <is>
          <t>Victoria Dorvius</t>
        </is>
      </c>
      <c r="C652" t="n">
        <v>2014</v>
      </c>
      <c r="D652" s="7" t="inlineStr">
        <is>
          <t>33.30</t>
        </is>
      </c>
      <c r="E652" s="7" t="inlineStr">
        <is>
          <t>3</t>
        </is>
      </c>
      <c r="F652" t="inlineStr">
        <is>
          <t>Tennis Québec</t>
        </is>
      </c>
      <c r="G652" t="inlineStr">
        <is>
          <t>No Club</t>
        </is>
      </c>
      <c r="H652" s="7" t="inlineStr">
        <is>
          <t>40.0</t>
        </is>
      </c>
      <c r="I652" t="n">
        <v>8</v>
      </c>
      <c r="J652" t="inlineStr">
        <is>
          <t>0 / 8</t>
        </is>
      </c>
      <c r="K652" s="7" t="inlineStr">
        <is>
          <t>0%</t>
        </is>
      </c>
    </row>
    <row r="653">
      <c r="A653" s="9" t="inlineStr">
        <is>
          <t>652 (▼1)</t>
        </is>
      </c>
      <c r="B653" t="inlineStr">
        <is>
          <t>Elise Weaser</t>
        </is>
      </c>
      <c r="C653" t="n">
        <v>2012</v>
      </c>
      <c r="D653" s="7" t="inlineStr">
        <is>
          <t>33.26</t>
        </is>
      </c>
      <c r="E653" s="7" t="inlineStr">
        <is>
          <t>2</t>
        </is>
      </c>
      <c r="F653" t="inlineStr">
        <is>
          <t>Ontario Tennis Association</t>
        </is>
      </c>
      <c r="G653" t="inlineStr">
        <is>
          <t>Ontario Racquet Club</t>
        </is>
      </c>
      <c r="H653" s="7" t="inlineStr">
        <is>
          <t>37.6</t>
        </is>
      </c>
      <c r="I653" t="n">
        <v>30</v>
      </c>
      <c r="J653" t="inlineStr">
        <is>
          <t>7 / 23</t>
        </is>
      </c>
      <c r="K653" s="7" t="inlineStr">
        <is>
          <t>50%</t>
        </is>
      </c>
    </row>
    <row r="654">
      <c r="A654" s="9" t="inlineStr">
        <is>
          <t>653 (▼1)</t>
        </is>
      </c>
      <c r="B654" t="inlineStr">
        <is>
          <t>Yuetian Caroline Guo</t>
        </is>
      </c>
      <c r="C654" t="n">
        <v>2016</v>
      </c>
      <c r="D654" s="7" t="inlineStr">
        <is>
          <t>33.22</t>
        </is>
      </c>
      <c r="E654" s="7" t="inlineStr">
        <is>
          <t>13</t>
        </is>
      </c>
      <c r="F654" t="inlineStr">
        <is>
          <t>British Columbia</t>
        </is>
      </c>
      <c r="G654" t="inlineStr">
        <is>
          <t>The Tennis Centre</t>
        </is>
      </c>
      <c r="H654" s="7" t="inlineStr">
        <is>
          <t>36.5</t>
        </is>
      </c>
      <c r="I654" t="n">
        <v>112</v>
      </c>
      <c r="J654" t="inlineStr">
        <is>
          <t>63 / 49</t>
        </is>
      </c>
      <c r="K654" s="7" t="inlineStr">
        <is>
          <t>59%</t>
        </is>
      </c>
    </row>
    <row r="655">
      <c r="A655" s="9" t="inlineStr">
        <is>
          <t>654 (▼1)</t>
        </is>
      </c>
      <c r="B655" t="inlineStr">
        <is>
          <t>Enlin Fan</t>
        </is>
      </c>
      <c r="C655" t="n">
        <v>2015</v>
      </c>
      <c r="D655" s="7" t="inlineStr">
        <is>
          <t>32.54</t>
        </is>
      </c>
      <c r="E655" s="7" t="inlineStr">
        <is>
          <t>6</t>
        </is>
      </c>
      <c r="F655" t="inlineStr">
        <is>
          <t>British Columbia</t>
        </is>
      </c>
      <c r="G655" t="inlineStr">
        <is>
          <t>The Tennis Centre</t>
        </is>
      </c>
      <c r="H655" s="7" t="inlineStr">
        <is>
          <t>unavailable</t>
        </is>
      </c>
      <c r="I655" t="n">
        <v>93</v>
      </c>
      <c r="J655" t="inlineStr">
        <is>
          <t>42 / 51</t>
        </is>
      </c>
      <c r="K655" s="7" t="inlineStr">
        <is>
          <t>54%</t>
        </is>
      </c>
    </row>
    <row r="656">
      <c r="A656" s="9" t="inlineStr">
        <is>
          <t>655 (▼1)</t>
        </is>
      </c>
      <c r="B656" t="inlineStr">
        <is>
          <t>GAURI BHARDWAJ</t>
        </is>
      </c>
      <c r="C656" t="n">
        <v>2015</v>
      </c>
      <c r="D656" s="7" t="inlineStr">
        <is>
          <t>32.49</t>
        </is>
      </c>
      <c r="E656" s="9" t="inlineStr">
        <is>
          <t>5 (-1)</t>
        </is>
      </c>
      <c r="F656" t="inlineStr">
        <is>
          <t>Ontario Tennis Association</t>
        </is>
      </c>
      <c r="G656" t="inlineStr">
        <is>
          <t>Premier Racquet Clubs – Mississauga</t>
        </is>
      </c>
      <c r="H656" s="7" t="inlineStr">
        <is>
          <t>37.6</t>
        </is>
      </c>
      <c r="I656" t="n">
        <v>105</v>
      </c>
      <c r="J656" t="inlineStr">
        <is>
          <t>38 / 67</t>
        </is>
      </c>
      <c r="K656" s="7" t="inlineStr">
        <is>
          <t>50%</t>
        </is>
      </c>
    </row>
    <row r="657">
      <c r="A657" s="9" t="inlineStr">
        <is>
          <t>656 (▼1)</t>
        </is>
      </c>
      <c r="B657" t="inlineStr">
        <is>
          <t>Anastasia Savtchenko</t>
        </is>
      </c>
      <c r="C657" t="n">
        <v>2017</v>
      </c>
      <c r="D657" s="7" t="inlineStr">
        <is>
          <t>32.40</t>
        </is>
      </c>
      <c r="E657" s="7" t="inlineStr">
        <is>
          <t>7</t>
        </is>
      </c>
      <c r="F657" t="inlineStr">
        <is>
          <t>Ontario Tennis Association</t>
        </is>
      </c>
      <c r="G657" t="inlineStr">
        <is>
          <t>Richmond Hill Country Club</t>
        </is>
      </c>
      <c r="H657" s="7" t="inlineStr">
        <is>
          <t>unavailable</t>
        </is>
      </c>
      <c r="I657" t="n">
        <v>95</v>
      </c>
      <c r="J657" t="inlineStr">
        <is>
          <t>53 / 42</t>
        </is>
      </c>
      <c r="K657" s="7" t="inlineStr">
        <is>
          <t>56%</t>
        </is>
      </c>
    </row>
    <row r="658">
      <c r="A658" s="9" t="inlineStr">
        <is>
          <t>656 (▼1)</t>
        </is>
      </c>
      <c r="B658" t="inlineStr">
        <is>
          <t>Meera Ramanathan</t>
        </is>
      </c>
      <c r="C658" t="n">
        <v>2015</v>
      </c>
      <c r="D658" s="7" t="inlineStr">
        <is>
          <t>32.40</t>
        </is>
      </c>
      <c r="E658" s="7" t="inlineStr">
        <is>
          <t>3</t>
        </is>
      </c>
      <c r="F658" t="inlineStr">
        <is>
          <t>Ontario Tennis Association</t>
        </is>
      </c>
      <c r="G658" t="inlineStr">
        <is>
          <t>Rideau Sports Centre</t>
        </is>
      </c>
      <c r="H658" s="7" t="inlineStr">
        <is>
          <t>37.8</t>
        </is>
      </c>
      <c r="I658" t="n">
        <v>13</v>
      </c>
      <c r="J658" t="inlineStr">
        <is>
          <t>7 / 6</t>
        </is>
      </c>
      <c r="K658" s="7" t="inlineStr">
        <is>
          <t>45%</t>
        </is>
      </c>
    </row>
    <row r="659">
      <c r="A659" s="9" t="inlineStr">
        <is>
          <t>658 (▼1)</t>
        </is>
      </c>
      <c r="B659" t="inlineStr">
        <is>
          <t>Ignatia Walsh</t>
        </is>
      </c>
      <c r="C659" t="n">
        <v>2014</v>
      </c>
      <c r="D659" s="7" t="inlineStr">
        <is>
          <t>32.31</t>
        </is>
      </c>
      <c r="E659" s="7" t="inlineStr">
        <is>
          <t>15</t>
        </is>
      </c>
      <c r="F659" t="inlineStr">
        <is>
          <t>Ontario Tennis Association</t>
        </is>
      </c>
      <c r="G659" t="inlineStr">
        <is>
          <t>Premier Racquet Clubs – Mississauga</t>
        </is>
      </c>
      <c r="H659" s="7" t="inlineStr">
        <is>
          <t>unavailable</t>
        </is>
      </c>
      <c r="I659" t="n">
        <v>56</v>
      </c>
      <c r="J659" t="inlineStr">
        <is>
          <t>14 / 42</t>
        </is>
      </c>
      <c r="K659" s="7" t="inlineStr">
        <is>
          <t>28%</t>
        </is>
      </c>
    </row>
    <row r="660">
      <c r="A660" s="9" t="inlineStr">
        <is>
          <t>659 (▼1)</t>
        </is>
      </c>
      <c r="B660" t="inlineStr">
        <is>
          <t>Piper Harrison</t>
        </is>
      </c>
      <c r="C660" t="n">
        <v>2015</v>
      </c>
      <c r="D660" s="7" t="inlineStr">
        <is>
          <t>31.99</t>
        </is>
      </c>
      <c r="E660" s="7" t="inlineStr">
        <is>
          <t>7</t>
        </is>
      </c>
      <c r="F660" t="inlineStr">
        <is>
          <t>Ontario Tennis Association</t>
        </is>
      </c>
      <c r="G660" t="inlineStr">
        <is>
          <t>Boulevard Club</t>
        </is>
      </c>
      <c r="H660" s="7" t="inlineStr">
        <is>
          <t>38.6</t>
        </is>
      </c>
      <c r="I660" t="n">
        <v>56</v>
      </c>
      <c r="J660" t="inlineStr">
        <is>
          <t>18 / 38</t>
        </is>
      </c>
      <c r="K660" s="7" t="inlineStr">
        <is>
          <t>38%</t>
        </is>
      </c>
    </row>
    <row r="661">
      <c r="A661" s="9" t="inlineStr">
        <is>
          <t>660 (▼1)</t>
        </is>
      </c>
      <c r="B661" t="inlineStr">
        <is>
          <t>Adrianna Rajchel</t>
        </is>
      </c>
      <c r="C661" t="n">
        <v>2014</v>
      </c>
      <c r="D661" s="7" t="inlineStr">
        <is>
          <t>31.98</t>
        </is>
      </c>
      <c r="E661" s="7" t="inlineStr">
        <is>
          <t>4</t>
        </is>
      </c>
      <c r="F661" t="inlineStr">
        <is>
          <t>Ontario Tennis Association</t>
        </is>
      </c>
      <c r="G661" t="inlineStr">
        <is>
          <t>Carleton Tennis Centre</t>
        </is>
      </c>
      <c r="H661" s="7" t="inlineStr">
        <is>
          <t>37.9</t>
        </is>
      </c>
      <c r="I661" t="n">
        <v>16</v>
      </c>
      <c r="J661" t="inlineStr">
        <is>
          <t>4 / 12</t>
        </is>
      </c>
      <c r="K661" s="7" t="inlineStr">
        <is>
          <t>20%</t>
        </is>
      </c>
    </row>
    <row r="662">
      <c r="A662" s="9" t="inlineStr">
        <is>
          <t>661 (▼1)</t>
        </is>
      </c>
      <c r="B662" t="inlineStr">
        <is>
          <t>Rosalie Lanthier</t>
        </is>
      </c>
      <c r="C662" t="n">
        <v>2012</v>
      </c>
      <c r="D662" s="7" t="inlineStr">
        <is>
          <t>31.76</t>
        </is>
      </c>
      <c r="E662" s="7" t="inlineStr">
        <is>
          <t>5</t>
        </is>
      </c>
      <c r="F662" t="inlineStr">
        <is>
          <t>Tennis Québec</t>
        </is>
      </c>
      <c r="G662" t="inlineStr">
        <is>
          <t>EB Tennis inc.</t>
        </is>
      </c>
      <c r="H662" s="7" t="inlineStr">
        <is>
          <t>40.0</t>
        </is>
      </c>
      <c r="I662" t="n">
        <v>15</v>
      </c>
      <c r="J662" t="inlineStr">
        <is>
          <t>1 / 14</t>
        </is>
      </c>
      <c r="K662" s="7" t="inlineStr">
        <is>
          <t>0%</t>
        </is>
      </c>
    </row>
    <row r="663">
      <c r="A663" s="9" t="inlineStr">
        <is>
          <t>662 (▼1)</t>
        </is>
      </c>
      <c r="B663" t="inlineStr">
        <is>
          <t>Belen Aldana</t>
        </is>
      </c>
      <c r="C663" t="n">
        <v>2012</v>
      </c>
      <c r="D663" s="7" t="inlineStr">
        <is>
          <t>31.72</t>
        </is>
      </c>
      <c r="E663" s="7" t="inlineStr">
        <is>
          <t>6</t>
        </is>
      </c>
      <c r="F663" t="inlineStr">
        <is>
          <t>Tennis Québec</t>
        </is>
      </c>
      <c r="G663" t="inlineStr">
        <is>
          <t>SANI Sport</t>
        </is>
      </c>
      <c r="H663" s="7" t="inlineStr">
        <is>
          <t>37.9</t>
        </is>
      </c>
      <c r="I663" t="n">
        <v>11</v>
      </c>
      <c r="J663" t="inlineStr">
        <is>
          <t>1 / 10</t>
        </is>
      </c>
      <c r="K663" s="7" t="inlineStr">
        <is>
          <t>9%</t>
        </is>
      </c>
    </row>
    <row r="664">
      <c r="A664" s="9" t="inlineStr">
        <is>
          <t>663 (▼1)</t>
        </is>
      </c>
      <c r="B664" t="inlineStr">
        <is>
          <t>Elise Landry</t>
        </is>
      </c>
      <c r="C664" t="n">
        <v>2012</v>
      </c>
      <c r="D664" s="7" t="inlineStr">
        <is>
          <t>31.46</t>
        </is>
      </c>
      <c r="E664" s="7" t="inlineStr">
        <is>
          <t>3</t>
        </is>
      </c>
      <c r="F664" t="inlineStr">
        <is>
          <t>Ontario Tennis Association</t>
        </is>
      </c>
      <c r="G664" t="inlineStr">
        <is>
          <t>Toronto Tennis City</t>
        </is>
      </c>
      <c r="H664" s="7" t="inlineStr">
        <is>
          <t>unavailable</t>
        </is>
      </c>
      <c r="I664" t="n">
        <v>9</v>
      </c>
      <c r="J664" t="inlineStr">
        <is>
          <t>5 / 4</t>
        </is>
      </c>
      <c r="K664" s="7" t="inlineStr">
        <is>
          <t>56%</t>
        </is>
      </c>
    </row>
    <row r="665">
      <c r="A665" s="8" t="inlineStr">
        <is>
          <t>664 (▲20)</t>
        </is>
      </c>
      <c r="B665" t="inlineStr">
        <is>
          <t>Delia Stoian</t>
        </is>
      </c>
      <c r="C665" t="n">
        <v>2016</v>
      </c>
      <c r="D665" s="8" t="inlineStr">
        <is>
          <t>31.28 (▲4.54)</t>
        </is>
      </c>
      <c r="E665" s="8" t="inlineStr">
        <is>
          <t>5 (+1)</t>
        </is>
      </c>
      <c r="F665" t="inlineStr">
        <is>
          <t>Tennis Québec</t>
        </is>
      </c>
      <c r="G665" t="inlineStr">
        <is>
          <t>SANI Sport</t>
        </is>
      </c>
      <c r="H665" s="8" t="inlineStr">
        <is>
          <t>36.5 (▲0.2)</t>
        </is>
      </c>
      <c r="I665" t="n">
        <v>93</v>
      </c>
      <c r="J665" t="inlineStr">
        <is>
          <t>53 / 40</t>
        </is>
      </c>
      <c r="K665" s="8" t="inlineStr">
        <is>
          <t>56% (▲0%)</t>
        </is>
      </c>
    </row>
    <row r="666">
      <c r="A666" s="9" t="inlineStr">
        <is>
          <t>665 (▼1)</t>
        </is>
      </c>
      <c r="B666" t="inlineStr">
        <is>
          <t>Talia Petrovski</t>
        </is>
      </c>
      <c r="C666" t="n">
        <v>2016</v>
      </c>
      <c r="D666" s="7" t="inlineStr">
        <is>
          <t>31.23</t>
        </is>
      </c>
      <c r="E666" s="7" t="inlineStr">
        <is>
          <t>20</t>
        </is>
      </c>
      <c r="F666" t="inlineStr">
        <is>
          <t>Tennis Alberta</t>
        </is>
      </c>
      <c r="G666" t="inlineStr">
        <is>
          <t>IQ Tennis and Pickleball Centre</t>
        </is>
      </c>
      <c r="H666" s="7" t="inlineStr">
        <is>
          <t>35.4</t>
        </is>
      </c>
      <c r="I666" t="n">
        <v>148</v>
      </c>
      <c r="J666" t="inlineStr">
        <is>
          <t>84 / 64</t>
        </is>
      </c>
      <c r="K666" s="7" t="inlineStr">
        <is>
          <t>68%</t>
        </is>
      </c>
    </row>
    <row r="667">
      <c r="A667" s="9" t="inlineStr">
        <is>
          <t>666 (▼1)</t>
        </is>
      </c>
      <c r="B667" t="inlineStr">
        <is>
          <t>Capri Metelitsa</t>
        </is>
      </c>
      <c r="C667" t="n">
        <v>2012</v>
      </c>
      <c r="D667" s="7" t="inlineStr">
        <is>
          <t>31.07</t>
        </is>
      </c>
      <c r="E667" s="7" t="inlineStr">
        <is>
          <t>8</t>
        </is>
      </c>
      <c r="F667" t="inlineStr">
        <is>
          <t>Tennis Alberta</t>
        </is>
      </c>
      <c r="G667" t="inlineStr">
        <is>
          <t>Aforza</t>
        </is>
      </c>
      <c r="H667" s="7" t="inlineStr">
        <is>
          <t>36.4</t>
        </is>
      </c>
      <c r="I667" t="n">
        <v>50</v>
      </c>
      <c r="J667" t="inlineStr">
        <is>
          <t>23 / 27</t>
        </is>
      </c>
      <c r="K667" s="7" t="inlineStr">
        <is>
          <t>20%</t>
        </is>
      </c>
    </row>
    <row r="668">
      <c r="A668" s="9" t="inlineStr">
        <is>
          <t>667 (▼1)</t>
        </is>
      </c>
      <c r="B668" t="inlineStr">
        <is>
          <t>Daisy Dai</t>
        </is>
      </c>
      <c r="C668" t="n">
        <v>2015</v>
      </c>
      <c r="D668" s="7" t="inlineStr">
        <is>
          <t>30.45</t>
        </is>
      </c>
      <c r="E668" s="7" t="inlineStr">
        <is>
          <t>2</t>
        </is>
      </c>
      <c r="F668" t="inlineStr">
        <is>
          <t>Tennis Nova Scotia</t>
        </is>
      </c>
      <c r="G668" t="inlineStr">
        <is>
          <t>Atlantic Tennis Centre</t>
        </is>
      </c>
      <c r="H668" s="7" t="inlineStr">
        <is>
          <t>33.2</t>
        </is>
      </c>
      <c r="I668" t="n">
        <v>23</v>
      </c>
      <c r="J668" t="inlineStr">
        <is>
          <t>16 / 7</t>
        </is>
      </c>
      <c r="K668" s="7" t="inlineStr">
        <is>
          <t>67%</t>
        </is>
      </c>
    </row>
    <row r="669">
      <c r="A669" s="9" t="inlineStr">
        <is>
          <t>668 (▼5)</t>
        </is>
      </c>
      <c r="B669" t="inlineStr">
        <is>
          <t>Eiman Javaid Khan</t>
        </is>
      </c>
      <c r="C669" t="n">
        <v>2016</v>
      </c>
      <c r="D669" s="9" t="inlineStr">
        <is>
          <t>30.32 (▼1.08)</t>
        </is>
      </c>
      <c r="E669" s="7" t="inlineStr">
        <is>
          <t>3</t>
        </is>
      </c>
      <c r="F669" t="inlineStr">
        <is>
          <t>Tennis Newfoundland &amp; Labrador</t>
        </is>
      </c>
      <c r="G669" t="inlineStr">
        <is>
          <t>Greenbelt Tennis Club</t>
        </is>
      </c>
      <c r="H669" s="7" t="inlineStr">
        <is>
          <t>unavailable</t>
        </is>
      </c>
      <c r="I669" t="n">
        <v>19</v>
      </c>
      <c r="J669" t="inlineStr">
        <is>
          <t>7 / 12</t>
        </is>
      </c>
      <c r="K669" s="7" t="inlineStr">
        <is>
          <t>43%</t>
        </is>
      </c>
    </row>
    <row r="670">
      <c r="A670" s="9" t="inlineStr">
        <is>
          <t>669 (▼2)</t>
        </is>
      </c>
      <c r="B670" t="inlineStr">
        <is>
          <t>Bo Brisson</t>
        </is>
      </c>
      <c r="C670" t="n">
        <v>2014</v>
      </c>
      <c r="D670" s="7" t="inlineStr">
        <is>
          <t>30.30</t>
        </is>
      </c>
      <c r="E670" s="7" t="inlineStr">
        <is>
          <t>3</t>
        </is>
      </c>
      <c r="F670" t="inlineStr">
        <is>
          <t>Ontario Tennis Association</t>
        </is>
      </c>
      <c r="G670" t="inlineStr">
        <is>
          <t>GSM Tennis Club</t>
        </is>
      </c>
      <c r="H670" s="7" t="inlineStr">
        <is>
          <t>unavailable</t>
        </is>
      </c>
      <c r="I670" t="n">
        <v>117</v>
      </c>
      <c r="J670" t="inlineStr">
        <is>
          <t>38 / 79</t>
        </is>
      </c>
      <c r="K670" s="7" t="inlineStr">
        <is>
          <t>56%</t>
        </is>
      </c>
    </row>
    <row r="671">
      <c r="A671" s="9" t="inlineStr">
        <is>
          <t>670 (▼2)</t>
        </is>
      </c>
      <c r="B671" t="inlineStr">
        <is>
          <t>Hannah Lewis</t>
        </is>
      </c>
      <c r="C671" t="n">
        <v>2015</v>
      </c>
      <c r="D671" s="7" t="inlineStr">
        <is>
          <t>30.06</t>
        </is>
      </c>
      <c r="E671" s="7" t="inlineStr">
        <is>
          <t>6</t>
        </is>
      </c>
      <c r="F671" t="inlineStr">
        <is>
          <t>Ontario Tennis Association</t>
        </is>
      </c>
      <c r="G671" t="inlineStr">
        <is>
          <t>Tam Heather Tennis Club</t>
        </is>
      </c>
      <c r="H671" s="7" t="inlineStr">
        <is>
          <t>38.7</t>
        </is>
      </c>
      <c r="I671" t="n">
        <v>46</v>
      </c>
      <c r="J671" t="inlineStr">
        <is>
          <t>13 / 33</t>
        </is>
      </c>
      <c r="K671" s="7" t="inlineStr">
        <is>
          <t>43%</t>
        </is>
      </c>
    </row>
    <row r="672">
      <c r="A672" s="9" t="inlineStr">
        <is>
          <t>671 (▼2)</t>
        </is>
      </c>
      <c r="B672" t="inlineStr">
        <is>
          <t>Diana Troitska</t>
        </is>
      </c>
      <c r="C672" t="n">
        <v>2015</v>
      </c>
      <c r="D672" s="7" t="inlineStr">
        <is>
          <t>29.67</t>
        </is>
      </c>
      <c r="E672" s="7" t="inlineStr">
        <is>
          <t>3</t>
        </is>
      </c>
      <c r="F672" t="inlineStr">
        <is>
          <t>Tennis Québec</t>
        </is>
      </c>
      <c r="G672" t="inlineStr">
        <is>
          <t>No Club</t>
        </is>
      </c>
      <c r="H672" s="7" t="inlineStr">
        <is>
          <t>unavailable</t>
        </is>
      </c>
      <c r="I672" t="n">
        <v>16</v>
      </c>
      <c r="J672" t="inlineStr">
        <is>
          <t>3 / 13</t>
        </is>
      </c>
      <c r="K672" s="7" t="inlineStr">
        <is>
          <t>25%</t>
        </is>
      </c>
    </row>
    <row r="673">
      <c r="A673" s="9" t="inlineStr">
        <is>
          <t>672 (▼2)</t>
        </is>
      </c>
      <c r="B673" t="inlineStr">
        <is>
          <t>Remy Quinn Durocher</t>
        </is>
      </c>
      <c r="C673" t="n">
        <v>2012</v>
      </c>
      <c r="D673" s="7" t="inlineStr">
        <is>
          <t>29.38</t>
        </is>
      </c>
      <c r="E673" s="7" t="inlineStr">
        <is>
          <t>1</t>
        </is>
      </c>
      <c r="F673" t="inlineStr">
        <is>
          <t>Tennis Prince Edward Island</t>
        </is>
      </c>
      <c r="G673" t="inlineStr">
        <is>
          <t>Stratford Tennis Club</t>
        </is>
      </c>
      <c r="H673" s="7" t="inlineStr">
        <is>
          <t>39.4</t>
        </is>
      </c>
      <c r="I673" t="n">
        <v>13</v>
      </c>
      <c r="J673" t="inlineStr">
        <is>
          <t>2 / 11</t>
        </is>
      </c>
      <c r="K673" s="7" t="inlineStr">
        <is>
          <t>14%</t>
        </is>
      </c>
    </row>
    <row r="674">
      <c r="A674" s="9" t="inlineStr">
        <is>
          <t>673 (▼2)</t>
        </is>
      </c>
      <c r="B674" t="inlineStr">
        <is>
          <t>Mila Levac</t>
        </is>
      </c>
      <c r="C674" t="n">
        <v>2014</v>
      </c>
      <c r="D674" s="7" t="inlineStr">
        <is>
          <t>29.37</t>
        </is>
      </c>
      <c r="E674" s="7" t="inlineStr">
        <is>
          <t>4</t>
        </is>
      </c>
      <c r="F674" t="inlineStr">
        <is>
          <t>Ontario Tennis Association</t>
        </is>
      </c>
      <c r="G674" t="inlineStr">
        <is>
          <t>Rideau Sports Centre</t>
        </is>
      </c>
      <c r="H674" s="7" t="inlineStr">
        <is>
          <t>39.3</t>
        </is>
      </c>
      <c r="I674" t="n">
        <v>79</v>
      </c>
      <c r="J674" t="inlineStr">
        <is>
          <t>15 / 64</t>
        </is>
      </c>
      <c r="K674" s="7" t="inlineStr">
        <is>
          <t>0%</t>
        </is>
      </c>
    </row>
    <row r="675">
      <c r="A675" s="8" t="inlineStr">
        <is>
          <t>674 (▲33)</t>
        </is>
      </c>
      <c r="B675" t="inlineStr">
        <is>
          <t>Margot Couture</t>
        </is>
      </c>
      <c r="C675" t="n">
        <v>2015</v>
      </c>
      <c r="D675" s="8" t="inlineStr">
        <is>
          <t>29.31 (▲6.12)</t>
        </is>
      </c>
      <c r="E675" s="8" t="inlineStr">
        <is>
          <t>6 (+1)</t>
        </is>
      </c>
      <c r="F675" t="inlineStr">
        <is>
          <t>Tennis Québec</t>
        </is>
      </c>
      <c r="G675" t="inlineStr">
        <is>
          <t>SANI Sport</t>
        </is>
      </c>
      <c r="H675" s="8" t="inlineStr">
        <is>
          <t>37.5 (▲0.6)</t>
        </is>
      </c>
      <c r="I675" t="n">
        <v>29</v>
      </c>
      <c r="J675" t="inlineStr">
        <is>
          <t>8 / 21</t>
        </is>
      </c>
      <c r="K675" s="8" t="inlineStr">
        <is>
          <t>33% (▲4%)</t>
        </is>
      </c>
    </row>
    <row r="676">
      <c r="A676" s="9" t="inlineStr">
        <is>
          <t>675 (▼3)</t>
        </is>
      </c>
      <c r="B676" t="inlineStr">
        <is>
          <t>Margaux Eile</t>
        </is>
      </c>
      <c r="C676" t="n">
        <v>2015</v>
      </c>
      <c r="D676" s="7" t="inlineStr">
        <is>
          <t>28.84</t>
        </is>
      </c>
      <c r="E676" s="9" t="inlineStr">
        <is>
          <t>7 (-1)</t>
        </is>
      </c>
      <c r="F676" t="inlineStr">
        <is>
          <t>Tennis Québec</t>
        </is>
      </c>
      <c r="G676" t="inlineStr">
        <is>
          <t>Midtown Le Sporting Club Sanctuaire</t>
        </is>
      </c>
      <c r="H676" s="7" t="inlineStr">
        <is>
          <t>39.4</t>
        </is>
      </c>
      <c r="I676" t="n">
        <v>28</v>
      </c>
      <c r="J676" t="inlineStr">
        <is>
          <t>3 / 25</t>
        </is>
      </c>
      <c r="K676" s="7" t="inlineStr">
        <is>
          <t>11%</t>
        </is>
      </c>
    </row>
    <row r="677">
      <c r="A677" s="9" t="inlineStr">
        <is>
          <t>676 (▼3)</t>
        </is>
      </c>
      <c r="B677" t="inlineStr">
        <is>
          <t>Asena Kiamil</t>
        </is>
      </c>
      <c r="C677" t="n">
        <v>2015</v>
      </c>
      <c r="D677" s="7" t="inlineStr">
        <is>
          <t>28.82</t>
        </is>
      </c>
      <c r="E677" s="7" t="inlineStr">
        <is>
          <t>6</t>
        </is>
      </c>
      <c r="F677" t="inlineStr">
        <is>
          <t>Ontario Tennis Association</t>
        </is>
      </c>
      <c r="G677" t="inlineStr">
        <is>
          <t>Royal City Tennis Club</t>
        </is>
      </c>
      <c r="H677" s="7" t="inlineStr">
        <is>
          <t>37.8</t>
        </is>
      </c>
      <c r="I677" t="n">
        <v>86</v>
      </c>
      <c r="J677" t="inlineStr">
        <is>
          <t>46 / 40</t>
        </is>
      </c>
      <c r="K677" s="7" t="inlineStr">
        <is>
          <t>40%</t>
        </is>
      </c>
    </row>
    <row r="678">
      <c r="A678" s="9" t="inlineStr">
        <is>
          <t>677 (▼3)</t>
        </is>
      </c>
      <c r="B678" t="inlineStr">
        <is>
          <t>Nitya Myneni</t>
        </is>
      </c>
      <c r="C678" t="n">
        <v>2013</v>
      </c>
      <c r="D678" s="7" t="inlineStr">
        <is>
          <t>28.56</t>
        </is>
      </c>
      <c r="E678" s="7" t="inlineStr">
        <is>
          <t>4</t>
        </is>
      </c>
      <c r="F678" t="inlineStr">
        <is>
          <t>British Columbia</t>
        </is>
      </c>
      <c r="G678" t="inlineStr">
        <is>
          <t>The Tennis Centre</t>
        </is>
      </c>
      <c r="H678" s="7" t="inlineStr">
        <is>
          <t>39.7</t>
        </is>
      </c>
      <c r="I678" t="n">
        <v>30</v>
      </c>
      <c r="J678" t="inlineStr">
        <is>
          <t>8 / 22</t>
        </is>
      </c>
      <c r="K678" s="7" t="inlineStr">
        <is>
          <t>0%</t>
        </is>
      </c>
    </row>
    <row r="679">
      <c r="A679" s="9" t="inlineStr">
        <is>
          <t>678 (▼3)</t>
        </is>
      </c>
      <c r="B679" t="inlineStr">
        <is>
          <t>TIFFANY ZHENG</t>
        </is>
      </c>
      <c r="C679" t="n">
        <v>2013</v>
      </c>
      <c r="D679" s="7" t="inlineStr">
        <is>
          <t>28.48</t>
        </is>
      </c>
      <c r="E679" s="7" t="inlineStr">
        <is>
          <t>1</t>
        </is>
      </c>
      <c r="F679" t="inlineStr">
        <is>
          <t>Ontario Tennis Association</t>
        </is>
      </c>
      <c r="G679" t="inlineStr">
        <is>
          <t>Carleton Tennis Centre</t>
        </is>
      </c>
      <c r="H679" s="7" t="inlineStr">
        <is>
          <t>34.0</t>
        </is>
      </c>
      <c r="I679" t="n">
        <v>1</v>
      </c>
      <c r="J679" t="inlineStr">
        <is>
          <t>1 / 0</t>
        </is>
      </c>
      <c r="K679" s="7" t="inlineStr">
        <is>
          <t>100%</t>
        </is>
      </c>
    </row>
    <row r="680">
      <c r="A680" s="9" t="inlineStr">
        <is>
          <t>679 (▼3)</t>
        </is>
      </c>
      <c r="B680" t="inlineStr">
        <is>
          <t>Meryem Besri Besri</t>
        </is>
      </c>
      <c r="C680" t="n">
        <v>2013</v>
      </c>
      <c r="D680" s="7" t="inlineStr">
        <is>
          <t>28.43</t>
        </is>
      </c>
      <c r="E680" s="7" t="inlineStr">
        <is>
          <t>3</t>
        </is>
      </c>
      <c r="F680" t="inlineStr">
        <is>
          <t>Tennis Alberta</t>
        </is>
      </c>
      <c r="G680" t="inlineStr">
        <is>
          <t>Calgary - Public</t>
        </is>
      </c>
      <c r="H680" s="7" t="inlineStr">
        <is>
          <t>31.9</t>
        </is>
      </c>
      <c r="I680" t="n">
        <v>6</v>
      </c>
      <c r="J680" t="inlineStr">
        <is>
          <t>3 / 3</t>
        </is>
      </c>
      <c r="K680" s="7" t="inlineStr">
        <is>
          <t>50%</t>
        </is>
      </c>
    </row>
    <row r="681">
      <c r="A681" s="9" t="inlineStr">
        <is>
          <t>680 (▼3)</t>
        </is>
      </c>
      <c r="B681" t="inlineStr">
        <is>
          <t>Flora Ziyue Wang</t>
        </is>
      </c>
      <c r="C681" t="n">
        <v>2016</v>
      </c>
      <c r="D681" s="7" t="inlineStr">
        <is>
          <t>28.37</t>
        </is>
      </c>
      <c r="E681" s="7" t="inlineStr">
        <is>
          <t>7</t>
        </is>
      </c>
      <c r="F681" t="inlineStr">
        <is>
          <t>Ontario Tennis Association</t>
        </is>
      </c>
      <c r="G681" t="inlineStr">
        <is>
          <t>Unionville Tennis Club</t>
        </is>
      </c>
      <c r="H681" s="7" t="inlineStr">
        <is>
          <t>35.4</t>
        </is>
      </c>
      <c r="I681" t="n">
        <v>82</v>
      </c>
      <c r="J681" t="inlineStr">
        <is>
          <t>42 / 40</t>
        </is>
      </c>
      <c r="K681" s="7" t="inlineStr">
        <is>
          <t>62%</t>
        </is>
      </c>
    </row>
    <row r="682">
      <c r="A682" s="9" t="inlineStr">
        <is>
          <t>681 (▼3)</t>
        </is>
      </c>
      <c r="B682" t="inlineStr">
        <is>
          <t>Vira Beskupska</t>
        </is>
      </c>
      <c r="C682" t="n">
        <v>2014</v>
      </c>
      <c r="D682" s="7" t="inlineStr">
        <is>
          <t>28.08</t>
        </is>
      </c>
      <c r="E682" s="7" t="inlineStr">
        <is>
          <t>3</t>
        </is>
      </c>
      <c r="F682" t="inlineStr">
        <is>
          <t>Ontario Tennis Association</t>
        </is>
      </c>
      <c r="G682" t="inlineStr">
        <is>
          <t>Tennis Centre West Ottawa</t>
        </is>
      </c>
      <c r="H682" s="7" t="inlineStr">
        <is>
          <t>38.4</t>
        </is>
      </c>
      <c r="I682" t="n">
        <v>7</v>
      </c>
      <c r="J682" t="inlineStr">
        <is>
          <t>2 / 5</t>
        </is>
      </c>
      <c r="K682" s="7" t="inlineStr">
        <is>
          <t>28%</t>
        </is>
      </c>
    </row>
    <row r="683">
      <c r="A683" s="9" t="inlineStr">
        <is>
          <t>682 (▼3)</t>
        </is>
      </c>
      <c r="B683" t="inlineStr">
        <is>
          <t>Phoebe Xu</t>
        </is>
      </c>
      <c r="C683" t="n">
        <v>2013</v>
      </c>
      <c r="D683" s="7" t="inlineStr">
        <is>
          <t>27.86</t>
        </is>
      </c>
      <c r="E683" s="7" t="inlineStr">
        <is>
          <t>1</t>
        </is>
      </c>
      <c r="F683" t="inlineStr">
        <is>
          <t>Ontario Tennis Association</t>
        </is>
      </c>
      <c r="G683" t="inlineStr">
        <is>
          <t>Sandy Beach Tennis Club</t>
        </is>
      </c>
      <c r="H683" s="7" t="inlineStr">
        <is>
          <t>31.9</t>
        </is>
      </c>
      <c r="I683" t="n">
        <v>89</v>
      </c>
      <c r="J683" t="inlineStr">
        <is>
          <t>50 / 39</t>
        </is>
      </c>
      <c r="K683" s="7" t="inlineStr">
        <is>
          <t>50%</t>
        </is>
      </c>
    </row>
    <row r="684">
      <c r="A684" s="9" t="inlineStr">
        <is>
          <t>682 (▼3)</t>
        </is>
      </c>
      <c r="B684" t="inlineStr">
        <is>
          <t>Hattie Mengru Shi</t>
        </is>
      </c>
      <c r="C684" t="n">
        <v>2015</v>
      </c>
      <c r="D684" s="7" t="inlineStr">
        <is>
          <t>27.86</t>
        </is>
      </c>
      <c r="E684" s="8" t="inlineStr">
        <is>
          <t>3 (+1)</t>
        </is>
      </c>
      <c r="F684" t="inlineStr">
        <is>
          <t>Ontario Tennis Association</t>
        </is>
      </c>
      <c r="G684" t="inlineStr">
        <is>
          <t>Toronto Tennis Academy</t>
        </is>
      </c>
      <c r="H684" s="9" t="inlineStr">
        <is>
          <t>34.7 (▼0.4)</t>
        </is>
      </c>
      <c r="I684" t="n">
        <v>105</v>
      </c>
      <c r="J684" t="inlineStr">
        <is>
          <t>55 / 50</t>
        </is>
      </c>
      <c r="K684" s="9" t="inlineStr">
        <is>
          <t>20% (▼4%)</t>
        </is>
      </c>
    </row>
    <row r="685">
      <c r="A685" s="9" t="inlineStr">
        <is>
          <t>684 (▼2)</t>
        </is>
      </c>
      <c r="B685" t="inlineStr">
        <is>
          <t>Madison Prsa</t>
        </is>
      </c>
      <c r="C685" t="n">
        <v>2016</v>
      </c>
      <c r="D685" s="7" t="inlineStr">
        <is>
          <t>27.65</t>
        </is>
      </c>
      <c r="E685" s="8" t="inlineStr">
        <is>
          <t>7 (+1)</t>
        </is>
      </c>
      <c r="F685" t="inlineStr">
        <is>
          <t>Ontario Tennis Association</t>
        </is>
      </c>
      <c r="G685" t="inlineStr">
        <is>
          <t>Advantage Tennis International at Veneto</t>
        </is>
      </c>
      <c r="H685" s="9" t="inlineStr">
        <is>
          <t>36.3 (▼0.1)</t>
        </is>
      </c>
      <c r="I685" t="n">
        <v>146</v>
      </c>
      <c r="J685" t="inlineStr">
        <is>
          <t>56 / 90</t>
        </is>
      </c>
      <c r="K685" s="9" t="inlineStr">
        <is>
          <t>41% (▼1%)</t>
        </is>
      </c>
    </row>
    <row r="686">
      <c r="A686" s="9" t="inlineStr">
        <is>
          <t>685 (▼2)</t>
        </is>
      </c>
      <c r="B686" t="inlineStr">
        <is>
          <t>Iris RuiYing Cen</t>
        </is>
      </c>
      <c r="C686" t="n">
        <v>2015</v>
      </c>
      <c r="D686" s="7" t="inlineStr">
        <is>
          <t>27.61</t>
        </is>
      </c>
      <c r="E686" s="7" t="inlineStr">
        <is>
          <t>6</t>
        </is>
      </c>
      <c r="F686" t="inlineStr">
        <is>
          <t>Ontario Tennis Association</t>
        </is>
      </c>
      <c r="G686" t="inlineStr">
        <is>
          <t>Meadowvale West Tennis Club</t>
        </is>
      </c>
      <c r="H686" s="7" t="inlineStr">
        <is>
          <t>38.0</t>
        </is>
      </c>
      <c r="I686" t="n">
        <v>77</v>
      </c>
      <c r="J686" t="inlineStr">
        <is>
          <t>20 / 57</t>
        </is>
      </c>
      <c r="K686" s="7" t="inlineStr">
        <is>
          <t>33%</t>
        </is>
      </c>
    </row>
    <row r="687">
      <c r="A687" s="9" t="inlineStr">
        <is>
          <t>686 (▼1)</t>
        </is>
      </c>
      <c r="B687" t="inlineStr">
        <is>
          <t>Tallulah Oakes</t>
        </is>
      </c>
      <c r="C687" t="n">
        <v>2012</v>
      </c>
      <c r="D687" s="7" t="inlineStr">
        <is>
          <t>26.61</t>
        </is>
      </c>
      <c r="E687" s="7" t="inlineStr">
        <is>
          <t>2</t>
        </is>
      </c>
      <c r="F687" t="inlineStr">
        <is>
          <t>British Columbia</t>
        </is>
      </c>
      <c r="G687" t="inlineStr">
        <is>
          <t>Hollyburn Country Club</t>
        </is>
      </c>
      <c r="H687" s="7" t="inlineStr">
        <is>
          <t>unavailable</t>
        </is>
      </c>
      <c r="I687" t="n">
        <v/>
      </c>
      <c r="J687" t="inlineStr">
        <is>
          <t>unavailable</t>
        </is>
      </c>
      <c r="K687" s="7" t="inlineStr">
        <is>
          <t>0%</t>
        </is>
      </c>
    </row>
    <row r="688">
      <c r="A688" s="9" t="inlineStr">
        <is>
          <t>687 (▼1)</t>
        </is>
      </c>
      <c r="B688" t="inlineStr">
        <is>
          <t>Kira Karstoff</t>
        </is>
      </c>
      <c r="C688" t="n">
        <v>2012</v>
      </c>
      <c r="D688" s="7" t="inlineStr">
        <is>
          <t>26.61</t>
        </is>
      </c>
      <c r="E688" s="7" t="inlineStr">
        <is>
          <t>2</t>
        </is>
      </c>
      <c r="F688" t="inlineStr">
        <is>
          <t>Ontario Tennis Association</t>
        </is>
      </c>
      <c r="G688" t="inlineStr">
        <is>
          <t>Toronto Cricket Skating &amp; Curling</t>
        </is>
      </c>
      <c r="H688" s="7" t="inlineStr">
        <is>
          <t>unavailable</t>
        </is>
      </c>
      <c r="I688" t="n">
        <v>48</v>
      </c>
      <c r="J688" t="inlineStr">
        <is>
          <t>21 / 27</t>
        </is>
      </c>
      <c r="K688" s="7" t="inlineStr">
        <is>
          <t>33%</t>
        </is>
      </c>
    </row>
    <row r="689">
      <c r="A689" s="9" t="inlineStr">
        <is>
          <t>688 (▼1)</t>
        </is>
      </c>
      <c r="B689" t="inlineStr">
        <is>
          <t>Mayssa Maddouri</t>
        </is>
      </c>
      <c r="C689" t="n">
        <v>2013</v>
      </c>
      <c r="D689" s="7" t="inlineStr">
        <is>
          <t>26.57</t>
        </is>
      </c>
      <c r="E689" s="7" t="inlineStr">
        <is>
          <t>2</t>
        </is>
      </c>
      <c r="F689" t="inlineStr">
        <is>
          <t>Tennis Québec</t>
        </is>
      </c>
      <c r="G689" t="inlineStr">
        <is>
          <t>EB Tennis inc.</t>
        </is>
      </c>
      <c r="H689" s="7" t="inlineStr">
        <is>
          <t>unavailable</t>
        </is>
      </c>
      <c r="I689" t="n">
        <v>3</v>
      </c>
      <c r="J689" t="inlineStr">
        <is>
          <t>0 / 3</t>
        </is>
      </c>
      <c r="K689" s="7" t="inlineStr">
        <is>
          <t>0%</t>
        </is>
      </c>
    </row>
    <row r="690">
      <c r="A690" s="9" t="inlineStr">
        <is>
          <t>688 (▼1)</t>
        </is>
      </c>
      <c r="B690" t="inlineStr">
        <is>
          <t>Soély Expérience</t>
        </is>
      </c>
      <c r="C690" t="n">
        <v>2013</v>
      </c>
      <c r="D690" s="7" t="inlineStr">
        <is>
          <t>26.57</t>
        </is>
      </c>
      <c r="E690" s="7" t="inlineStr">
        <is>
          <t>1</t>
        </is>
      </c>
      <c r="F690" t="inlineStr">
        <is>
          <t>Tennis Québec</t>
        </is>
      </c>
      <c r="G690" t="inlineStr">
        <is>
          <t>Tennis Montréal Excellence</t>
        </is>
      </c>
      <c r="H690" s="7" t="inlineStr">
        <is>
          <t>32.7</t>
        </is>
      </c>
      <c r="I690" t="n">
        <v>163</v>
      </c>
      <c r="J690" t="inlineStr">
        <is>
          <t>95 / 68</t>
        </is>
      </c>
      <c r="K690" s="7" t="inlineStr">
        <is>
          <t>0%</t>
        </is>
      </c>
    </row>
    <row r="691">
      <c r="A691" s="9" t="inlineStr">
        <is>
          <t>690 (▼1)</t>
        </is>
      </c>
      <c r="B691" t="inlineStr">
        <is>
          <t>Erica Amy Els</t>
        </is>
      </c>
      <c r="C691" t="n">
        <v>2012</v>
      </c>
      <c r="D691" s="7" t="inlineStr">
        <is>
          <t>26.42</t>
        </is>
      </c>
      <c r="E691" s="7" t="inlineStr">
        <is>
          <t>5</t>
        </is>
      </c>
      <c r="F691" t="inlineStr">
        <is>
          <t>Tennis Alberta</t>
        </is>
      </c>
      <c r="G691" t="inlineStr">
        <is>
          <t>No Club</t>
        </is>
      </c>
      <c r="H691" s="7" t="inlineStr">
        <is>
          <t>39.2</t>
        </is>
      </c>
      <c r="I691" t="n">
        <v>9</v>
      </c>
      <c r="J691" t="inlineStr">
        <is>
          <t>1 / 8</t>
        </is>
      </c>
      <c r="K691" s="7" t="inlineStr">
        <is>
          <t>11%</t>
        </is>
      </c>
    </row>
    <row r="692">
      <c r="A692" s="9" t="inlineStr">
        <is>
          <t>691 (▼1)</t>
        </is>
      </c>
      <c r="B692" t="inlineStr">
        <is>
          <t>Kate Lalli</t>
        </is>
      </c>
      <c r="C692" t="n">
        <v>2013</v>
      </c>
      <c r="D692" s="7" t="inlineStr">
        <is>
          <t>26.33</t>
        </is>
      </c>
      <c r="E692" s="7" t="inlineStr">
        <is>
          <t>3</t>
        </is>
      </c>
      <c r="F692" t="inlineStr">
        <is>
          <t>Tennis Québec</t>
        </is>
      </c>
      <c r="G692" t="inlineStr">
        <is>
          <t>No Club</t>
        </is>
      </c>
      <c r="H692" s="7" t="inlineStr">
        <is>
          <t>37.5</t>
        </is>
      </c>
      <c r="I692" t="n">
        <v>15</v>
      </c>
      <c r="J692" t="inlineStr">
        <is>
          <t>4 / 11</t>
        </is>
      </c>
      <c r="K692" s="7" t="inlineStr">
        <is>
          <t>14%</t>
        </is>
      </c>
    </row>
    <row r="693">
      <c r="A693" s="9" t="inlineStr">
        <is>
          <t>692 (▼1)</t>
        </is>
      </c>
      <c r="B693" t="inlineStr">
        <is>
          <t>Mila Khayretdinova</t>
        </is>
      </c>
      <c r="C693" t="n">
        <v>2014</v>
      </c>
      <c r="D693" s="7" t="inlineStr">
        <is>
          <t>26.32</t>
        </is>
      </c>
      <c r="E693" s="7" t="inlineStr">
        <is>
          <t>5</t>
        </is>
      </c>
      <c r="F693" t="inlineStr">
        <is>
          <t>Tennis Québec</t>
        </is>
      </c>
      <c r="G693" t="inlineStr">
        <is>
          <t>No Club</t>
        </is>
      </c>
      <c r="H693" s="7" t="inlineStr">
        <is>
          <t>39.1</t>
        </is>
      </c>
      <c r="I693" t="n">
        <v>42</v>
      </c>
      <c r="J693" t="inlineStr">
        <is>
          <t>3 / 39</t>
        </is>
      </c>
      <c r="K693" s="7" t="inlineStr">
        <is>
          <t>30%</t>
        </is>
      </c>
    </row>
    <row r="694">
      <c r="A694" s="9" t="inlineStr">
        <is>
          <t>693 (▼1)</t>
        </is>
      </c>
      <c r="B694" t="inlineStr">
        <is>
          <t>Audrey Lu</t>
        </is>
      </c>
      <c r="C694" t="n">
        <v>2014</v>
      </c>
      <c r="D694" s="7" t="inlineStr">
        <is>
          <t>26.15</t>
        </is>
      </c>
      <c r="E694" s="7" t="inlineStr">
        <is>
          <t>6</t>
        </is>
      </c>
      <c r="F694" t="inlineStr">
        <is>
          <t>Ontario Tennis Association</t>
        </is>
      </c>
      <c r="G694" t="inlineStr">
        <is>
          <t>Toronto Cricket Skating &amp; Curling</t>
        </is>
      </c>
      <c r="H694" s="7" t="inlineStr">
        <is>
          <t>unavailable</t>
        </is>
      </c>
      <c r="I694" t="n">
        <v>24</v>
      </c>
      <c r="J694" t="inlineStr">
        <is>
          <t>10 / 14</t>
        </is>
      </c>
      <c r="K694" s="7" t="inlineStr">
        <is>
          <t>48%</t>
        </is>
      </c>
    </row>
    <row r="695">
      <c r="A695" s="9" t="inlineStr">
        <is>
          <t>694 (▼1)</t>
        </is>
      </c>
      <c r="B695" t="inlineStr">
        <is>
          <t>Harper Whitehead</t>
        </is>
      </c>
      <c r="C695" t="n">
        <v>2016</v>
      </c>
      <c r="D695" s="7" t="inlineStr">
        <is>
          <t>26.14</t>
        </is>
      </c>
      <c r="E695" s="7" t="inlineStr">
        <is>
          <t>10</t>
        </is>
      </c>
      <c r="F695" t="inlineStr">
        <is>
          <t>Tennis Nova Scotia</t>
        </is>
      </c>
      <c r="G695" t="inlineStr">
        <is>
          <t>Atlantic Tennis Centre</t>
        </is>
      </c>
      <c r="H695" s="7" t="inlineStr">
        <is>
          <t>38.0</t>
        </is>
      </c>
      <c r="I695" t="n">
        <v>84</v>
      </c>
      <c r="J695" t="inlineStr">
        <is>
          <t>37 / 47</t>
        </is>
      </c>
      <c r="K695" s="7" t="inlineStr">
        <is>
          <t>41%</t>
        </is>
      </c>
    </row>
    <row r="696">
      <c r="A696" s="7" t="inlineStr">
        <is>
          <t>695</t>
        </is>
      </c>
      <c r="B696" t="inlineStr">
        <is>
          <t>Isadora Xu</t>
        </is>
      </c>
      <c r="C696" t="n">
        <v>2015</v>
      </c>
      <c r="D696" s="7" t="inlineStr">
        <is>
          <t>25.75</t>
        </is>
      </c>
      <c r="E696" s="7" t="inlineStr">
        <is>
          <t>11</t>
        </is>
      </c>
      <c r="F696" t="inlineStr">
        <is>
          <t>British Columbia</t>
        </is>
      </c>
      <c r="G696" t="inlineStr">
        <is>
          <t>Arbutus Club</t>
        </is>
      </c>
      <c r="H696" s="7" t="inlineStr">
        <is>
          <t>39.3</t>
        </is>
      </c>
      <c r="I696" t="n">
        <v>46</v>
      </c>
      <c r="J696" t="inlineStr">
        <is>
          <t>19 / 27</t>
        </is>
      </c>
      <c r="K696" s="7" t="inlineStr">
        <is>
          <t>42%</t>
        </is>
      </c>
    </row>
    <row r="697">
      <c r="A697" s="8" t="inlineStr">
        <is>
          <t>696 (▲9)</t>
        </is>
      </c>
      <c r="B697" t="inlineStr">
        <is>
          <t>Nika Yaghoubi</t>
        </is>
      </c>
      <c r="C697" t="n">
        <v>2012</v>
      </c>
      <c r="D697" s="8" t="inlineStr">
        <is>
          <t>25.65 (▲2.20)</t>
        </is>
      </c>
      <c r="E697" s="8" t="inlineStr">
        <is>
          <t>4 (+1)</t>
        </is>
      </c>
      <c r="F697" t="inlineStr">
        <is>
          <t>Tennis Alberta</t>
        </is>
      </c>
      <c r="G697" t="inlineStr">
        <is>
          <t>Saville Community Sports Centre</t>
        </is>
      </c>
      <c r="H697" s="9" t="inlineStr">
        <is>
          <t>35.5 (▼0.3)</t>
        </is>
      </c>
      <c r="I697" t="n">
        <v>16</v>
      </c>
      <c r="J697" t="inlineStr">
        <is>
          <t>6 / 10</t>
        </is>
      </c>
      <c r="K697" s="9" t="inlineStr">
        <is>
          <t>38% (▼4%)</t>
        </is>
      </c>
    </row>
    <row r="698">
      <c r="A698" s="8" t="inlineStr">
        <is>
          <t>697 (▲117)</t>
        </is>
      </c>
      <c r="B698" t="inlineStr">
        <is>
          <t>Yujin Cao</t>
        </is>
      </c>
      <c r="C698" t="n">
        <v>2013</v>
      </c>
      <c r="D698" s="8" t="inlineStr">
        <is>
          <t>25.57 (▲15.98)</t>
        </is>
      </c>
      <c r="E698" s="8" t="inlineStr">
        <is>
          <t>3 (+1)</t>
        </is>
      </c>
      <c r="F698" t="inlineStr">
        <is>
          <t>Tennis Québec</t>
        </is>
      </c>
      <c r="G698" t="inlineStr">
        <is>
          <t>Tennis 13</t>
        </is>
      </c>
      <c r="H698" s="7" t="inlineStr">
        <is>
          <t>unavailable</t>
        </is>
      </c>
      <c r="I698" t="n">
        <v>7</v>
      </c>
      <c r="J698" t="inlineStr">
        <is>
          <t>3 / 4</t>
        </is>
      </c>
      <c r="K698" s="8" t="inlineStr">
        <is>
          <t>33% (▲33%)</t>
        </is>
      </c>
    </row>
    <row r="699">
      <c r="A699" s="9" t="inlineStr">
        <is>
          <t>698 (▼2)</t>
        </is>
      </c>
      <c r="B699" t="inlineStr">
        <is>
          <t>Harper Van Beveren</t>
        </is>
      </c>
      <c r="C699" t="n">
        <v>2012</v>
      </c>
      <c r="D699" s="7" t="inlineStr">
        <is>
          <t>25.53</t>
        </is>
      </c>
      <c r="E699" s="7" t="inlineStr">
        <is>
          <t>2</t>
        </is>
      </c>
      <c r="F699" t="inlineStr">
        <is>
          <t>Ontario Tennis Association</t>
        </is>
      </c>
      <c r="G699" t="inlineStr">
        <is>
          <t>Rosedale Tennis Club (Hamilton)</t>
        </is>
      </c>
      <c r="H699" s="7" t="inlineStr">
        <is>
          <t>unavailable</t>
        </is>
      </c>
      <c r="I699" t="n">
        <v>16</v>
      </c>
      <c r="J699" t="inlineStr">
        <is>
          <t>5 / 11</t>
        </is>
      </c>
      <c r="K699" s="7" t="inlineStr">
        <is>
          <t>50%</t>
        </is>
      </c>
    </row>
    <row r="700">
      <c r="A700" s="8" t="inlineStr">
        <is>
          <t>699 (▲19)</t>
        </is>
      </c>
      <c r="B700" t="inlineStr">
        <is>
          <t>Yuxin Bella Cao</t>
        </is>
      </c>
      <c r="C700" t="n">
        <v>2014</v>
      </c>
      <c r="D700" s="8" t="inlineStr">
        <is>
          <t>25.38 (▲3.89)</t>
        </is>
      </c>
      <c r="E700" s="8" t="inlineStr">
        <is>
          <t>5 (+1)</t>
        </is>
      </c>
      <c r="F700" t="inlineStr">
        <is>
          <t>Ontario Tennis Association</t>
        </is>
      </c>
      <c r="G700" t="inlineStr">
        <is>
          <t>ACE Tennis - Burlington</t>
        </is>
      </c>
      <c r="H700" s="7" t="inlineStr">
        <is>
          <t>38.8</t>
        </is>
      </c>
      <c r="I700" t="n">
        <v>43</v>
      </c>
      <c r="J700" t="inlineStr">
        <is>
          <t>12 / 31</t>
        </is>
      </c>
      <c r="K700" s="9" t="inlineStr">
        <is>
          <t>28% (▼11%)</t>
        </is>
      </c>
    </row>
    <row r="701">
      <c r="A701" s="9" t="inlineStr">
        <is>
          <t>700 (▼3)</t>
        </is>
      </c>
      <c r="B701" t="inlineStr">
        <is>
          <t>Kaja Gacanin</t>
        </is>
      </c>
      <c r="C701" t="n">
        <v>2017</v>
      </c>
      <c r="D701" s="7" t="inlineStr">
        <is>
          <t>24.84</t>
        </is>
      </c>
      <c r="E701" s="7" t="inlineStr">
        <is>
          <t>3</t>
        </is>
      </c>
      <c r="F701" t="inlineStr">
        <is>
          <t>Ontario Tennis Association</t>
        </is>
      </c>
      <c r="G701" t="inlineStr">
        <is>
          <t>Zekelman Tennis Centre</t>
        </is>
      </c>
      <c r="H701" s="7" t="inlineStr">
        <is>
          <t>38.5</t>
        </is>
      </c>
      <c r="I701" t="n">
        <v>9</v>
      </c>
      <c r="J701" t="inlineStr">
        <is>
          <t>3 / 6</t>
        </is>
      </c>
      <c r="K701" s="7" t="inlineStr">
        <is>
          <t>33%</t>
        </is>
      </c>
    </row>
    <row r="702">
      <c r="A702" s="9" t="inlineStr">
        <is>
          <t>701 (▼3)</t>
        </is>
      </c>
      <c r="B702" t="inlineStr">
        <is>
          <t>Aylin Iskenderova</t>
        </is>
      </c>
      <c r="C702" t="n">
        <v>2013</v>
      </c>
      <c r="D702" s="7" t="inlineStr">
        <is>
          <t>24.57</t>
        </is>
      </c>
      <c r="E702" s="7" t="inlineStr">
        <is>
          <t>2</t>
        </is>
      </c>
      <c r="F702" t="inlineStr">
        <is>
          <t>Ontario Tennis Association</t>
        </is>
      </c>
      <c r="G702" t="inlineStr">
        <is>
          <t>Concord Tennis Academy</t>
        </is>
      </c>
      <c r="H702" s="7" t="inlineStr">
        <is>
          <t>40.0</t>
        </is>
      </c>
      <c r="I702" t="n">
        <v>16</v>
      </c>
      <c r="J702" t="inlineStr">
        <is>
          <t>6 / 10</t>
        </is>
      </c>
      <c r="K702" s="7" t="inlineStr">
        <is>
          <t>0%</t>
        </is>
      </c>
    </row>
    <row r="703">
      <c r="A703" s="9" t="inlineStr">
        <is>
          <t>702 (▼3)</t>
        </is>
      </c>
      <c r="B703" t="inlineStr">
        <is>
          <t>Seher Sharma</t>
        </is>
      </c>
      <c r="C703" t="n">
        <v>2013</v>
      </c>
      <c r="D703" s="7" t="inlineStr">
        <is>
          <t>24.52</t>
        </is>
      </c>
      <c r="E703" s="7" t="inlineStr">
        <is>
          <t>2</t>
        </is>
      </c>
      <c r="F703" t="inlineStr">
        <is>
          <t>Ontario Tennis Association</t>
        </is>
      </c>
      <c r="G703" t="inlineStr">
        <is>
          <t>Glendale Tennis Club</t>
        </is>
      </c>
      <c r="H703" s="7" t="inlineStr">
        <is>
          <t>unavailable</t>
        </is>
      </c>
      <c r="I703" t="n">
        <v>17</v>
      </c>
      <c r="J703" t="inlineStr">
        <is>
          <t>4 / 13</t>
        </is>
      </c>
      <c r="K703" s="7" t="inlineStr">
        <is>
          <t>0%</t>
        </is>
      </c>
    </row>
    <row r="704">
      <c r="A704" s="9" t="inlineStr">
        <is>
          <t>703 (▼2)</t>
        </is>
      </c>
      <c r="B704" t="inlineStr">
        <is>
          <t>Ama Marie Elvira Kouadio</t>
        </is>
      </c>
      <c r="C704" t="n">
        <v>2016</v>
      </c>
      <c r="D704" s="7" t="inlineStr">
        <is>
          <t>24.10</t>
        </is>
      </c>
      <c r="E704" s="7" t="inlineStr">
        <is>
          <t>2</t>
        </is>
      </c>
      <c r="F704" t="inlineStr">
        <is>
          <t>Tennis Québec</t>
        </is>
      </c>
      <c r="G704" t="inlineStr">
        <is>
          <t>Carrefour Multisports</t>
        </is>
      </c>
      <c r="H704" s="7" t="inlineStr">
        <is>
          <t>34.4</t>
        </is>
      </c>
      <c r="I704" t="n">
        <v>65</v>
      </c>
      <c r="J704" t="inlineStr">
        <is>
          <t>41 / 24</t>
        </is>
      </c>
      <c r="K704" s="7" t="inlineStr">
        <is>
          <t>56%</t>
        </is>
      </c>
    </row>
    <row r="705">
      <c r="A705" s="9" t="inlineStr">
        <is>
          <t>704 (▼2)</t>
        </is>
      </c>
      <c r="B705" t="inlineStr">
        <is>
          <t>Tara Sepahsalari</t>
        </is>
      </c>
      <c r="C705" t="n">
        <v>2015</v>
      </c>
      <c r="D705" s="7" t="inlineStr">
        <is>
          <t>23.95</t>
        </is>
      </c>
      <c r="E705" s="7" t="inlineStr">
        <is>
          <t>6</t>
        </is>
      </c>
      <c r="F705" t="inlineStr">
        <is>
          <t>Tennis Québec</t>
        </is>
      </c>
      <c r="G705" t="inlineStr">
        <is>
          <t>EB Tennis inc.</t>
        </is>
      </c>
      <c r="H705" s="7" t="inlineStr">
        <is>
          <t>40.0</t>
        </is>
      </c>
      <c r="I705" t="n">
        <v>36</v>
      </c>
      <c r="J705" t="inlineStr">
        <is>
          <t>5 / 31</t>
        </is>
      </c>
      <c r="K705" s="7" t="inlineStr">
        <is>
          <t>8%</t>
        </is>
      </c>
    </row>
    <row r="706">
      <c r="A706" s="8" t="inlineStr">
        <is>
          <t>705 (▲39)</t>
        </is>
      </c>
      <c r="B706" t="inlineStr">
        <is>
          <t>Olivia V. Jin</t>
        </is>
      </c>
      <c r="C706" t="n">
        <v>2014</v>
      </c>
      <c r="D706" s="8" t="inlineStr">
        <is>
          <t>23.75 (▲5.93)</t>
        </is>
      </c>
      <c r="E706" s="7" t="inlineStr">
        <is>
          <t>6</t>
        </is>
      </c>
      <c r="F706" t="inlineStr">
        <is>
          <t>British Columbia</t>
        </is>
      </c>
      <c r="G706" t="inlineStr">
        <is>
          <t>Hollyburn Country Club</t>
        </is>
      </c>
      <c r="H706" s="8" t="inlineStr">
        <is>
          <t>35.5 (▲0.5)</t>
        </is>
      </c>
      <c r="I706" t="n">
        <v>91</v>
      </c>
      <c r="J706" t="inlineStr">
        <is>
          <t>29 / 62</t>
        </is>
      </c>
      <c r="K706" s="7" t="inlineStr">
        <is>
          <t>64%</t>
        </is>
      </c>
    </row>
    <row r="707">
      <c r="A707" s="8" t="inlineStr">
        <is>
          <t>706 (▲77)</t>
        </is>
      </c>
      <c r="B707" t="inlineStr">
        <is>
          <t>Scarlett Prsa</t>
        </is>
      </c>
      <c r="C707" t="n">
        <v>2016</v>
      </c>
      <c r="D707" s="8" t="inlineStr">
        <is>
          <t>23.71 (▲10.80)</t>
        </is>
      </c>
      <c r="E707" s="8" t="inlineStr">
        <is>
          <t>7 (+1)</t>
        </is>
      </c>
      <c r="F707" t="inlineStr">
        <is>
          <t>Ontario Tennis Association</t>
        </is>
      </c>
      <c r="G707" t="inlineStr">
        <is>
          <t>Advantage Tennis International at Veneto</t>
        </is>
      </c>
      <c r="H707" s="8" t="inlineStr">
        <is>
          <t>37.6 (▲0.8)</t>
        </is>
      </c>
      <c r="I707" t="n">
        <v>142</v>
      </c>
      <c r="J707" t="inlineStr">
        <is>
          <t>54 / 88</t>
        </is>
      </c>
      <c r="K707" s="7" t="inlineStr">
        <is>
          <t>45%</t>
        </is>
      </c>
    </row>
    <row r="708">
      <c r="A708" s="9" t="inlineStr">
        <is>
          <t>707 (▼3)</t>
        </is>
      </c>
      <c r="B708" t="inlineStr">
        <is>
          <t>Emma Jingya Xi</t>
        </is>
      </c>
      <c r="C708" t="n">
        <v>2014</v>
      </c>
      <c r="D708" s="7" t="inlineStr">
        <is>
          <t>23.60</t>
        </is>
      </c>
      <c r="E708" s="7" t="inlineStr">
        <is>
          <t>4</t>
        </is>
      </c>
      <c r="F708" t="inlineStr">
        <is>
          <t>Ontario Tennis Association</t>
        </is>
      </c>
      <c r="G708" t="inlineStr">
        <is>
          <t>ACE Tennis - Burlington</t>
        </is>
      </c>
      <c r="H708" s="7" t="inlineStr">
        <is>
          <t>unavailable</t>
        </is>
      </c>
      <c r="I708" t="n">
        <v>42</v>
      </c>
      <c r="J708" t="inlineStr">
        <is>
          <t>14 / 28</t>
        </is>
      </c>
      <c r="K708" s="7" t="inlineStr">
        <is>
          <t>14%</t>
        </is>
      </c>
    </row>
    <row r="709">
      <c r="A709" s="9" t="inlineStr">
        <is>
          <t>708 (▼2)</t>
        </is>
      </c>
      <c r="B709" t="inlineStr">
        <is>
          <t>Cassia Contreras</t>
        </is>
      </c>
      <c r="C709" t="n">
        <v>2015</v>
      </c>
      <c r="D709" s="7" t="inlineStr">
        <is>
          <t>23.21</t>
        </is>
      </c>
      <c r="E709" s="7" t="inlineStr">
        <is>
          <t>4</t>
        </is>
      </c>
      <c r="F709" t="inlineStr">
        <is>
          <t>Ontario Tennis Association</t>
        </is>
      </c>
      <c r="G709" t="inlineStr">
        <is>
          <t>Toronto Tennis Academy</t>
        </is>
      </c>
      <c r="H709" s="7" t="inlineStr">
        <is>
          <t>unavailable</t>
        </is>
      </c>
      <c r="I709" t="n">
        <v>50</v>
      </c>
      <c r="J709" t="inlineStr">
        <is>
          <t>18 / 32</t>
        </is>
      </c>
      <c r="K709" s="7" t="inlineStr">
        <is>
          <t>42%</t>
        </is>
      </c>
    </row>
    <row r="710">
      <c r="A710" s="9" t="inlineStr">
        <is>
          <t>709 (▼1)</t>
        </is>
      </c>
      <c r="B710" t="inlineStr">
        <is>
          <t>Eliana Green</t>
        </is>
      </c>
      <c r="C710" t="n">
        <v>2015</v>
      </c>
      <c r="D710" s="7" t="inlineStr">
        <is>
          <t>23.11</t>
        </is>
      </c>
      <c r="E710" s="7" t="inlineStr">
        <is>
          <t>1</t>
        </is>
      </c>
      <c r="F710" t="inlineStr">
        <is>
          <t>Tennis Saskatchewan</t>
        </is>
      </c>
      <c r="G710" t="inlineStr">
        <is>
          <t>Lakeshore Tennis Club</t>
        </is>
      </c>
      <c r="H710" s="7" t="inlineStr">
        <is>
          <t>38.1</t>
        </is>
      </c>
      <c r="I710" t="n">
        <v>32</v>
      </c>
      <c r="J710" t="inlineStr">
        <is>
          <t>5 / 27</t>
        </is>
      </c>
      <c r="K710" s="7" t="inlineStr">
        <is>
          <t>33%</t>
        </is>
      </c>
    </row>
    <row r="711">
      <c r="A711" s="8" t="inlineStr">
        <is>
          <t>710 (▲120)</t>
        </is>
      </c>
      <c r="B711" t="inlineStr">
        <is>
          <t>Sofia Belyavskaya</t>
        </is>
      </c>
      <c r="C711" t="n">
        <v>2015</v>
      </c>
      <c r="D711" s="8" t="inlineStr">
        <is>
          <t>23.05 (▲15.00)</t>
        </is>
      </c>
      <c r="E711" s="8" t="inlineStr">
        <is>
          <t>4 (+1)</t>
        </is>
      </c>
      <c r="F711" t="inlineStr">
        <is>
          <t>British Columbia</t>
        </is>
      </c>
      <c r="G711" t="inlineStr">
        <is>
          <t>The Tennis Centre</t>
        </is>
      </c>
      <c r="H711" s="8" t="inlineStr">
        <is>
          <t>34.8 (▲2.4)</t>
        </is>
      </c>
      <c r="I711" t="n">
        <v>91</v>
      </c>
      <c r="J711" t="inlineStr">
        <is>
          <t>38 / 53</t>
        </is>
      </c>
      <c r="K711" s="8" t="inlineStr">
        <is>
          <t>50% (▲21%)</t>
        </is>
      </c>
    </row>
    <row r="712">
      <c r="A712" s="9" t="inlineStr">
        <is>
          <t>711 (▼2)</t>
        </is>
      </c>
      <c r="B712" t="inlineStr">
        <is>
          <t>Dina Chakri</t>
        </is>
      </c>
      <c r="C712" t="n">
        <v>2014</v>
      </c>
      <c r="D712" s="7" t="inlineStr">
        <is>
          <t>22.95</t>
        </is>
      </c>
      <c r="E712" s="7" t="inlineStr">
        <is>
          <t>7</t>
        </is>
      </c>
      <c r="F712" t="inlineStr">
        <is>
          <t>Tennis Québec</t>
        </is>
      </c>
      <c r="G712" t="inlineStr">
        <is>
          <t>Tennis 13</t>
        </is>
      </c>
      <c r="H712" s="7" t="inlineStr">
        <is>
          <t>38.9</t>
        </is>
      </c>
      <c r="I712" t="n">
        <v>10</v>
      </c>
      <c r="J712" t="inlineStr">
        <is>
          <t>2 / 8</t>
        </is>
      </c>
      <c r="K712" s="7" t="inlineStr">
        <is>
          <t>20%</t>
        </is>
      </c>
    </row>
    <row r="713">
      <c r="A713" s="8" t="inlineStr">
        <is>
          <t>712 (▲2)</t>
        </is>
      </c>
      <c r="B713" t="inlineStr">
        <is>
          <t>Cheryl Elizabeth Ong</t>
        </is>
      </c>
      <c r="C713" t="n">
        <v>2014</v>
      </c>
      <c r="D713" s="8" t="inlineStr">
        <is>
          <t>22.61 (▲0.77)</t>
        </is>
      </c>
      <c r="E713" s="8" t="inlineStr">
        <is>
          <t>11 (+1)</t>
        </is>
      </c>
      <c r="F713" t="inlineStr">
        <is>
          <t>British Columbia</t>
        </is>
      </c>
      <c r="G713" t="inlineStr">
        <is>
          <t>Tennis for Life</t>
        </is>
      </c>
      <c r="H713" s="7" t="inlineStr">
        <is>
          <t>unavailable</t>
        </is>
      </c>
      <c r="I713" t="n">
        <v>47</v>
      </c>
      <c r="J713" t="inlineStr">
        <is>
          <t>15 / 32</t>
        </is>
      </c>
      <c r="K713" s="9" t="inlineStr">
        <is>
          <t>41% (▼1%)</t>
        </is>
      </c>
    </row>
    <row r="714">
      <c r="A714" s="9" t="inlineStr">
        <is>
          <t>713 (▼3)</t>
        </is>
      </c>
      <c r="B714" t="inlineStr">
        <is>
          <t>Laila Hilmi</t>
        </is>
      </c>
      <c r="C714" t="n">
        <v>2015</v>
      </c>
      <c r="D714" s="7" t="inlineStr">
        <is>
          <t>22.59</t>
        </is>
      </c>
      <c r="E714" s="7" t="inlineStr">
        <is>
          <t>3</t>
        </is>
      </c>
      <c r="F714" t="inlineStr">
        <is>
          <t>Tennis Québec</t>
        </is>
      </c>
      <c r="G714" t="inlineStr">
        <is>
          <t>Tennis Montréal Excellence</t>
        </is>
      </c>
      <c r="H714" s="7" t="inlineStr">
        <is>
          <t>unavailable</t>
        </is>
      </c>
      <c r="I714" t="n">
        <v>46</v>
      </c>
      <c r="J714" t="inlineStr">
        <is>
          <t>13 / 33</t>
        </is>
      </c>
      <c r="K714" s="7" t="inlineStr">
        <is>
          <t>56%</t>
        </is>
      </c>
    </row>
    <row r="715">
      <c r="A715" s="9" t="inlineStr">
        <is>
          <t>714 (▼3)</t>
        </is>
      </c>
      <c r="B715" t="inlineStr">
        <is>
          <t>Angel Wen</t>
        </is>
      </c>
      <c r="C715" t="n">
        <v>2012</v>
      </c>
      <c r="D715" s="7" t="inlineStr">
        <is>
          <t>22.25</t>
        </is>
      </c>
      <c r="E715" s="7" t="inlineStr">
        <is>
          <t>2</t>
        </is>
      </c>
      <c r="F715" t="inlineStr">
        <is>
          <t>Tennis Nova Scotia</t>
        </is>
      </c>
      <c r="G715" t="inlineStr">
        <is>
          <t>Atlantic Tennis Centre</t>
        </is>
      </c>
      <c r="H715" s="7" t="inlineStr">
        <is>
          <t>37.2</t>
        </is>
      </c>
      <c r="I715" t="n">
        <v>4</v>
      </c>
      <c r="J715" t="inlineStr">
        <is>
          <t>0 / 4</t>
        </is>
      </c>
      <c r="K715" s="7" t="inlineStr">
        <is>
          <t>0%</t>
        </is>
      </c>
    </row>
    <row r="716">
      <c r="A716" s="8" t="inlineStr">
        <is>
          <t>715 (▲15)</t>
        </is>
      </c>
      <c r="B716" t="inlineStr">
        <is>
          <t>Yulli Anne Tsang</t>
        </is>
      </c>
      <c r="C716" t="n">
        <v>2012</v>
      </c>
      <c r="D716" s="8" t="inlineStr">
        <is>
          <t>22.12 (▲2.35)</t>
        </is>
      </c>
      <c r="E716" s="8" t="inlineStr">
        <is>
          <t>6 (+1)</t>
        </is>
      </c>
      <c r="F716" t="inlineStr">
        <is>
          <t>Tennis Alberta</t>
        </is>
      </c>
      <c r="G716" t="inlineStr">
        <is>
          <t>Derrick Golf &amp; Winter Club</t>
        </is>
      </c>
      <c r="H716" s="8" t="inlineStr">
        <is>
          <t>35.2 (▲0.7)</t>
        </is>
      </c>
      <c r="I716" t="n">
        <v>30</v>
      </c>
      <c r="J716" t="inlineStr">
        <is>
          <t>10 / 20</t>
        </is>
      </c>
      <c r="K716" s="8" t="inlineStr">
        <is>
          <t>36% (▲2%)</t>
        </is>
      </c>
    </row>
    <row r="717">
      <c r="A717" s="9" t="inlineStr">
        <is>
          <t>716 (▼4)</t>
        </is>
      </c>
      <c r="B717" t="inlineStr">
        <is>
          <t>Jasmine El Ouadi</t>
        </is>
      </c>
      <c r="C717" t="n">
        <v>2014</v>
      </c>
      <c r="D717" s="7" t="inlineStr">
        <is>
          <t>22.00</t>
        </is>
      </c>
      <c r="E717" s="7" t="inlineStr">
        <is>
          <t>5</t>
        </is>
      </c>
      <c r="F717" t="inlineStr">
        <is>
          <t>Tennis Alberta</t>
        </is>
      </c>
      <c r="G717" t="inlineStr">
        <is>
          <t>Calgary - Public</t>
        </is>
      </c>
      <c r="H717" s="7" t="inlineStr">
        <is>
          <t>40.0</t>
        </is>
      </c>
      <c r="I717" t="n">
        <v>11</v>
      </c>
      <c r="J717" t="inlineStr">
        <is>
          <t>0 / 11</t>
        </is>
      </c>
      <c r="K717" s="7" t="inlineStr">
        <is>
          <t>0%</t>
        </is>
      </c>
    </row>
    <row r="718">
      <c r="A718" s="9" t="inlineStr">
        <is>
          <t>717 (▼4)</t>
        </is>
      </c>
      <c r="B718" t="inlineStr">
        <is>
          <t>Nalla Isabella Lteif</t>
        </is>
      </c>
      <c r="C718" t="n">
        <v>2015</v>
      </c>
      <c r="D718" s="7" t="inlineStr">
        <is>
          <t>21.85</t>
        </is>
      </c>
      <c r="E718" s="7" t="inlineStr">
        <is>
          <t>4</t>
        </is>
      </c>
      <c r="F718" t="inlineStr">
        <is>
          <t>Tennis Québec</t>
        </is>
      </c>
      <c r="G718" t="inlineStr">
        <is>
          <t>Carrefour Multisports</t>
        </is>
      </c>
      <c r="H718" s="7" t="inlineStr">
        <is>
          <t>37.9</t>
        </is>
      </c>
      <c r="I718" t="n">
        <v>12</v>
      </c>
      <c r="J718" t="inlineStr">
        <is>
          <t>5 / 7</t>
        </is>
      </c>
      <c r="K718" s="7" t="inlineStr">
        <is>
          <t>43%</t>
        </is>
      </c>
    </row>
    <row r="719">
      <c r="A719" s="9" t="inlineStr">
        <is>
          <t>718 (▼3)</t>
        </is>
      </c>
      <c r="B719" t="inlineStr">
        <is>
          <t>Samantha Bronwyn Daniell</t>
        </is>
      </c>
      <c r="C719" t="n">
        <v>2016</v>
      </c>
      <c r="D719" s="7" t="inlineStr">
        <is>
          <t>21.77</t>
        </is>
      </c>
      <c r="E719" s="7" t="inlineStr">
        <is>
          <t>10</t>
        </is>
      </c>
      <c r="F719" t="inlineStr">
        <is>
          <t>British Columbia</t>
        </is>
      </c>
      <c r="G719" t="inlineStr">
        <is>
          <t>The Tennis Centre</t>
        </is>
      </c>
      <c r="H719" s="7" t="inlineStr">
        <is>
          <t>37.4</t>
        </is>
      </c>
      <c r="I719" t="n">
        <v>130</v>
      </c>
      <c r="J719" t="inlineStr">
        <is>
          <t>64 / 66</t>
        </is>
      </c>
      <c r="K719" s="7" t="inlineStr">
        <is>
          <t>53%</t>
        </is>
      </c>
    </row>
    <row r="720">
      <c r="A720" s="9" t="inlineStr">
        <is>
          <t>719 (▼3)</t>
        </is>
      </c>
      <c r="B720" t="inlineStr">
        <is>
          <t>Brielle Han</t>
        </is>
      </c>
      <c r="C720" t="n">
        <v>2016</v>
      </c>
      <c r="D720" s="7" t="inlineStr">
        <is>
          <t>21.50</t>
        </is>
      </c>
      <c r="E720" s="7" t="inlineStr">
        <is>
          <t>9</t>
        </is>
      </c>
      <c r="F720" t="inlineStr">
        <is>
          <t>British Columbia</t>
        </is>
      </c>
      <c r="G720" t="inlineStr">
        <is>
          <t>North Vancouver Tennis Centre</t>
        </is>
      </c>
      <c r="H720" s="7" t="inlineStr">
        <is>
          <t>unavailable</t>
        </is>
      </c>
      <c r="I720" t="n">
        <v>200</v>
      </c>
      <c r="J720" t="inlineStr">
        <is>
          <t>69 / 131</t>
        </is>
      </c>
      <c r="K720" s="7" t="inlineStr">
        <is>
          <t>53%</t>
        </is>
      </c>
    </row>
    <row r="721">
      <c r="A721" s="9" t="inlineStr">
        <is>
          <t>720 (▼3)</t>
        </is>
      </c>
      <c r="B721" t="inlineStr">
        <is>
          <t>Élisa Deschatelets</t>
        </is>
      </c>
      <c r="C721" t="n">
        <v>2015</v>
      </c>
      <c r="D721" s="7" t="inlineStr">
        <is>
          <t>21.50</t>
        </is>
      </c>
      <c r="E721" s="7" t="inlineStr">
        <is>
          <t>4</t>
        </is>
      </c>
      <c r="F721" t="inlineStr">
        <is>
          <t>Tennis Québec</t>
        </is>
      </c>
      <c r="G721" t="inlineStr">
        <is>
          <t>Centre Récréatif Rock Forest / École Tennestrie</t>
        </is>
      </c>
      <c r="H721" s="7" t="inlineStr">
        <is>
          <t>40.0</t>
        </is>
      </c>
      <c r="I721" t="n">
        <v>25</v>
      </c>
      <c r="J721" t="inlineStr">
        <is>
          <t>4 / 21</t>
        </is>
      </c>
      <c r="K721" s="7" t="inlineStr">
        <is>
          <t>0%</t>
        </is>
      </c>
    </row>
    <row r="722">
      <c r="A722" s="9" t="inlineStr">
        <is>
          <t>721 (▼2)</t>
        </is>
      </c>
      <c r="B722" t="inlineStr">
        <is>
          <t>Elena Vukovic</t>
        </is>
      </c>
      <c r="C722" t="n">
        <v>2016</v>
      </c>
      <c r="D722" s="7" t="inlineStr">
        <is>
          <t>21.36</t>
        </is>
      </c>
      <c r="E722" s="8" t="inlineStr">
        <is>
          <t>4 (+1)</t>
        </is>
      </c>
      <c r="F722" t="inlineStr">
        <is>
          <t>Ontario Tennis Association</t>
        </is>
      </c>
      <c r="G722" t="inlineStr">
        <is>
          <t>Mayfair West Fitness &amp; Racquet Club</t>
        </is>
      </c>
      <c r="H722" s="9" t="inlineStr">
        <is>
          <t>38.7 (▼0.8)</t>
        </is>
      </c>
      <c r="I722" t="n">
        <v>64</v>
      </c>
      <c r="J722" t="inlineStr">
        <is>
          <t>22 / 42</t>
        </is>
      </c>
      <c r="K722" s="9" t="inlineStr">
        <is>
          <t>37% (▼1%)</t>
        </is>
      </c>
    </row>
    <row r="723">
      <c r="A723" s="9" t="inlineStr">
        <is>
          <t>722 (▼2)</t>
        </is>
      </c>
      <c r="B723" t="inlineStr">
        <is>
          <t>Safiatou Ntentie Nchange</t>
        </is>
      </c>
      <c r="C723" t="n">
        <v>2017</v>
      </c>
      <c r="D723" s="7" t="inlineStr">
        <is>
          <t>20.96</t>
        </is>
      </c>
      <c r="E723" s="7" t="inlineStr">
        <is>
          <t>9</t>
        </is>
      </c>
      <c r="F723" t="inlineStr">
        <is>
          <t>Tennis Alberta</t>
        </is>
      </c>
      <c r="G723" t="inlineStr">
        <is>
          <t>No Club</t>
        </is>
      </c>
      <c r="H723" s="7" t="inlineStr">
        <is>
          <t>35.2</t>
        </is>
      </c>
      <c r="I723" t="n">
        <v>46</v>
      </c>
      <c r="J723" t="inlineStr">
        <is>
          <t>32 / 14</t>
        </is>
      </c>
      <c r="K723" s="7" t="inlineStr">
        <is>
          <t>68%</t>
        </is>
      </c>
    </row>
    <row r="724">
      <c r="A724" s="9" t="inlineStr">
        <is>
          <t>723 (▼2)</t>
        </is>
      </c>
      <c r="B724" t="inlineStr">
        <is>
          <t>Autumn VandeCoevering</t>
        </is>
      </c>
      <c r="C724" t="n">
        <v>2015</v>
      </c>
      <c r="D724" s="7" t="inlineStr">
        <is>
          <t>20.95</t>
        </is>
      </c>
      <c r="E724" s="7" t="inlineStr">
        <is>
          <t>3</t>
        </is>
      </c>
      <c r="F724" t="inlineStr">
        <is>
          <t>Ontario Tennis Association</t>
        </is>
      </c>
      <c r="G724" t="inlineStr">
        <is>
          <t>Greenhills Golf Club</t>
        </is>
      </c>
      <c r="H724" s="7" t="inlineStr">
        <is>
          <t>unavailable</t>
        </is>
      </c>
      <c r="I724" t="n">
        <v>8</v>
      </c>
      <c r="J724" t="inlineStr">
        <is>
          <t>3 / 5</t>
        </is>
      </c>
      <c r="K724" s="7" t="inlineStr">
        <is>
          <t>38%</t>
        </is>
      </c>
    </row>
    <row r="725">
      <c r="A725" s="9" t="inlineStr">
        <is>
          <t>724 (▼2)</t>
        </is>
      </c>
      <c r="B725" t="inlineStr">
        <is>
          <t>Marie Renaud</t>
        </is>
      </c>
      <c r="C725" t="n">
        <v>2014</v>
      </c>
      <c r="D725" s="7" t="inlineStr">
        <is>
          <t>20.92</t>
        </is>
      </c>
      <c r="E725" s="7" t="inlineStr">
        <is>
          <t>2</t>
        </is>
      </c>
      <c r="F725" t="inlineStr">
        <is>
          <t>Tennis Québec</t>
        </is>
      </c>
      <c r="G725" t="inlineStr">
        <is>
          <t>Les Tennis de Rimouski (intérieur)</t>
        </is>
      </c>
      <c r="H725" s="7" t="inlineStr">
        <is>
          <t>unavailable</t>
        </is>
      </c>
      <c r="I725" t="n">
        <v>6</v>
      </c>
      <c r="J725" t="inlineStr">
        <is>
          <t>2 / 4</t>
        </is>
      </c>
      <c r="K725" s="7" t="inlineStr">
        <is>
          <t>33%</t>
        </is>
      </c>
    </row>
    <row r="726">
      <c r="A726" s="9" t="inlineStr">
        <is>
          <t>725 (▼2)</t>
        </is>
      </c>
      <c r="B726" t="inlineStr">
        <is>
          <t>Vedika P Sant</t>
        </is>
      </c>
      <c r="C726" t="n">
        <v>2013</v>
      </c>
      <c r="D726" s="7" t="inlineStr">
        <is>
          <t>20.67</t>
        </is>
      </c>
      <c r="E726" s="7" t="inlineStr">
        <is>
          <t>1</t>
        </is>
      </c>
      <c r="F726" t="inlineStr">
        <is>
          <t>Ontario Tennis Association</t>
        </is>
      </c>
      <c r="G726" t="inlineStr">
        <is>
          <t>Martingrove Tennis Club</t>
        </is>
      </c>
      <c r="H726" s="7" t="inlineStr">
        <is>
          <t>unavailable</t>
        </is>
      </c>
      <c r="I726" t="n">
        <v>8</v>
      </c>
      <c r="J726" t="inlineStr">
        <is>
          <t>2 / 6</t>
        </is>
      </c>
      <c r="K726" s="7" t="inlineStr">
        <is>
          <t>0%</t>
        </is>
      </c>
    </row>
    <row r="727">
      <c r="A727" s="9" t="inlineStr">
        <is>
          <t>726 (▼2)</t>
        </is>
      </c>
      <c r="B727" t="inlineStr">
        <is>
          <t>Aura Hayer</t>
        </is>
      </c>
      <c r="C727" t="n">
        <v>2013</v>
      </c>
      <c r="D727" s="7" t="inlineStr">
        <is>
          <t>20.56</t>
        </is>
      </c>
      <c r="E727" s="7" t="inlineStr">
        <is>
          <t>3</t>
        </is>
      </c>
      <c r="F727" t="inlineStr">
        <is>
          <t>British Columbia</t>
        </is>
      </c>
      <c r="G727" t="inlineStr">
        <is>
          <t>Sunshine Hills Tennis Club</t>
        </is>
      </c>
      <c r="H727" s="7" t="inlineStr">
        <is>
          <t>38.3</t>
        </is>
      </c>
      <c r="I727" t="n">
        <v>105</v>
      </c>
      <c r="J727" t="inlineStr">
        <is>
          <t>32 / 73</t>
        </is>
      </c>
      <c r="K727" s="7" t="inlineStr">
        <is>
          <t>22%</t>
        </is>
      </c>
    </row>
    <row r="728">
      <c r="A728" s="9" t="inlineStr">
        <is>
          <t>727 (▼2)</t>
        </is>
      </c>
      <c r="B728" t="inlineStr">
        <is>
          <t>Hazel Geng</t>
        </is>
      </c>
      <c r="C728" t="n">
        <v>2016</v>
      </c>
      <c r="D728" s="7" t="inlineStr">
        <is>
          <t>20.42</t>
        </is>
      </c>
      <c r="E728" s="7" t="inlineStr">
        <is>
          <t>4</t>
        </is>
      </c>
      <c r="F728" t="inlineStr">
        <is>
          <t>British Columbia</t>
        </is>
      </c>
      <c r="G728" t="inlineStr">
        <is>
          <t>Vancouver Lawn Tennis and Badminton Club</t>
        </is>
      </c>
      <c r="H728" s="7" t="inlineStr">
        <is>
          <t>36.1</t>
        </is>
      </c>
      <c r="I728" t="n">
        <v>48</v>
      </c>
      <c r="J728" t="inlineStr">
        <is>
          <t>15 / 33</t>
        </is>
      </c>
      <c r="K728" s="7" t="inlineStr">
        <is>
          <t>62%</t>
        </is>
      </c>
    </row>
    <row r="729">
      <c r="A729" s="9" t="inlineStr">
        <is>
          <t>728 (▼28)</t>
        </is>
      </c>
      <c r="B729" t="inlineStr">
        <is>
          <t>Yu Nohara</t>
        </is>
      </c>
      <c r="C729" t="n">
        <v>2013</v>
      </c>
      <c r="D729" s="9" t="inlineStr">
        <is>
          <t>20.29 (▼3.89)</t>
        </is>
      </c>
      <c r="E729" s="9" t="inlineStr">
        <is>
          <t>2 (-1)</t>
        </is>
      </c>
      <c r="F729" t="inlineStr">
        <is>
          <t>British Columbia</t>
        </is>
      </c>
      <c r="G729" t="inlineStr">
        <is>
          <t>Tennis for Life</t>
        </is>
      </c>
      <c r="H729" s="7" t="inlineStr">
        <is>
          <t>36.5</t>
        </is>
      </c>
      <c r="I729" t="n">
        <v>20</v>
      </c>
      <c r="J729" t="inlineStr">
        <is>
          <t>9 / 11</t>
        </is>
      </c>
      <c r="K729" s="7" t="inlineStr">
        <is>
          <t>25%</t>
        </is>
      </c>
    </row>
    <row r="730">
      <c r="A730" s="9" t="inlineStr">
        <is>
          <t>729 (▼3)</t>
        </is>
      </c>
      <c r="B730" t="inlineStr">
        <is>
          <t>Rebecca Maria Marcu</t>
        </is>
      </c>
      <c r="C730" t="n">
        <v>2013</v>
      </c>
      <c r="D730" s="7" t="inlineStr">
        <is>
          <t>20.13</t>
        </is>
      </c>
      <c r="E730" s="7" t="inlineStr">
        <is>
          <t>2</t>
        </is>
      </c>
      <c r="F730" t="inlineStr">
        <is>
          <t>Ontario Tennis Association</t>
        </is>
      </c>
      <c r="G730" t="inlineStr">
        <is>
          <t>National Capital Tennis Association</t>
        </is>
      </c>
      <c r="H730" s="7" t="inlineStr">
        <is>
          <t>unavailable</t>
        </is>
      </c>
      <c r="I730" t="n">
        <v>4</v>
      </c>
      <c r="J730" t="inlineStr">
        <is>
          <t>1 / 3</t>
        </is>
      </c>
      <c r="K730" s="7" t="inlineStr">
        <is>
          <t>0%</t>
        </is>
      </c>
    </row>
    <row r="731">
      <c r="A731" s="8" t="inlineStr">
        <is>
          <t>730 (▲13)</t>
        </is>
      </c>
      <c r="B731" t="inlineStr">
        <is>
          <t>Sophia Marietta Dee</t>
        </is>
      </c>
      <c r="C731" t="n">
        <v>2014</v>
      </c>
      <c r="D731" s="8" t="inlineStr">
        <is>
          <t>20.06 (▲2.16)</t>
        </is>
      </c>
      <c r="E731" s="8" t="inlineStr">
        <is>
          <t>7 (+1)</t>
        </is>
      </c>
      <c r="F731" t="inlineStr">
        <is>
          <t>British Columbia</t>
        </is>
      </c>
      <c r="G731" t="inlineStr">
        <is>
          <t>Arbutus Club</t>
        </is>
      </c>
      <c r="H731" s="7" t="inlineStr">
        <is>
          <t>36.8</t>
        </is>
      </c>
      <c r="I731" t="n">
        <v>42</v>
      </c>
      <c r="J731" t="inlineStr">
        <is>
          <t>15 / 27</t>
        </is>
      </c>
      <c r="K731" s="8" t="inlineStr">
        <is>
          <t>43% (▲1%)</t>
        </is>
      </c>
    </row>
    <row r="732">
      <c r="A732" s="9" t="inlineStr">
        <is>
          <t>731 (▼4)</t>
        </is>
      </c>
      <c r="B732" t="inlineStr">
        <is>
          <t>Isla Cowper</t>
        </is>
      </c>
      <c r="C732" t="n">
        <v>2015</v>
      </c>
      <c r="D732" s="7" t="inlineStr">
        <is>
          <t>20.03</t>
        </is>
      </c>
      <c r="E732" s="7" t="inlineStr">
        <is>
          <t>7</t>
        </is>
      </c>
      <c r="F732" t="inlineStr">
        <is>
          <t>Ontario Tennis Association</t>
        </is>
      </c>
      <c r="G732" t="inlineStr">
        <is>
          <t>Tam Heather Tennis Club</t>
        </is>
      </c>
      <c r="H732" s="7" t="inlineStr">
        <is>
          <t>38.9</t>
        </is>
      </c>
      <c r="I732" t="n">
        <v>76</v>
      </c>
      <c r="J732" t="inlineStr">
        <is>
          <t>35 / 41</t>
        </is>
      </c>
      <c r="K732" s="7" t="inlineStr">
        <is>
          <t>47%</t>
        </is>
      </c>
    </row>
    <row r="733">
      <c r="A733" s="9" t="inlineStr">
        <is>
          <t>732 (▼4)</t>
        </is>
      </c>
      <c r="B733" t="inlineStr">
        <is>
          <t>Emily Chai</t>
        </is>
      </c>
      <c r="C733" t="n">
        <v>2012</v>
      </c>
      <c r="D733" s="7" t="inlineStr">
        <is>
          <t>19.96</t>
        </is>
      </c>
      <c r="E733" s="7" t="inlineStr">
        <is>
          <t>2</t>
        </is>
      </c>
      <c r="F733" t="inlineStr">
        <is>
          <t>Ontario Tennis Association</t>
        </is>
      </c>
      <c r="G733" t="inlineStr">
        <is>
          <t>ON Tennis Toronto No Club</t>
        </is>
      </c>
      <c r="H733" s="7" t="inlineStr">
        <is>
          <t>38.4</t>
        </is>
      </c>
      <c r="I733" t="n">
        <v>7</v>
      </c>
      <c r="J733" t="inlineStr">
        <is>
          <t>1 / 6</t>
        </is>
      </c>
      <c r="K733" s="7" t="inlineStr">
        <is>
          <t>14%</t>
        </is>
      </c>
    </row>
    <row r="734">
      <c r="A734" s="9" t="inlineStr">
        <is>
          <t>733 (▼4)</t>
        </is>
      </c>
      <c r="B734" t="inlineStr">
        <is>
          <t>Saisha Sharma</t>
        </is>
      </c>
      <c r="C734" t="n">
        <v>2014</v>
      </c>
      <c r="D734" s="7" t="inlineStr">
        <is>
          <t>19.89</t>
        </is>
      </c>
      <c r="E734" s="7" t="inlineStr">
        <is>
          <t>6</t>
        </is>
      </c>
      <c r="F734" t="inlineStr">
        <is>
          <t>Ontario Tennis Association</t>
        </is>
      </c>
      <c r="G734" t="inlineStr">
        <is>
          <t>Premier Racquet Clubs – Brampton</t>
        </is>
      </c>
      <c r="H734" s="7" t="inlineStr">
        <is>
          <t>38.9</t>
        </is>
      </c>
      <c r="I734" t="n">
        <v>20</v>
      </c>
      <c r="J734" t="inlineStr">
        <is>
          <t>11 / 9</t>
        </is>
      </c>
      <c r="K734" s="7" t="inlineStr">
        <is>
          <t>55%</t>
        </is>
      </c>
    </row>
    <row r="735">
      <c r="A735" s="9" t="inlineStr">
        <is>
          <t>734 (▼3)</t>
        </is>
      </c>
      <c r="B735" t="inlineStr">
        <is>
          <t>Mia Baker</t>
        </is>
      </c>
      <c r="C735" t="n">
        <v>2014</v>
      </c>
      <c r="D735" s="7" t="inlineStr">
        <is>
          <t>19.70</t>
        </is>
      </c>
      <c r="E735" s="7" t="inlineStr">
        <is>
          <t>9</t>
        </is>
      </c>
      <c r="F735" t="inlineStr">
        <is>
          <t>Tennis Québec</t>
        </is>
      </c>
      <c r="G735" t="inlineStr">
        <is>
          <t>SANI Sport</t>
        </is>
      </c>
      <c r="H735" s="7" t="inlineStr">
        <is>
          <t>39.6</t>
        </is>
      </c>
      <c r="I735" t="n">
        <v>63</v>
      </c>
      <c r="J735" t="inlineStr">
        <is>
          <t>3 / 60</t>
        </is>
      </c>
      <c r="K735" s="7" t="inlineStr">
        <is>
          <t>7%</t>
        </is>
      </c>
    </row>
    <row r="736">
      <c r="A736" s="9" t="inlineStr">
        <is>
          <t>735 (▼3)</t>
        </is>
      </c>
      <c r="B736" t="inlineStr">
        <is>
          <t>Heidi Liu</t>
        </is>
      </c>
      <c r="C736" t="n">
        <v>2016</v>
      </c>
      <c r="D736" s="7" t="inlineStr">
        <is>
          <t>19.65</t>
        </is>
      </c>
      <c r="E736" s="7" t="inlineStr">
        <is>
          <t>7</t>
        </is>
      </c>
      <c r="F736" t="inlineStr">
        <is>
          <t>British Columbia</t>
        </is>
      </c>
      <c r="G736" t="inlineStr">
        <is>
          <t>UBC Tennis Centre</t>
        </is>
      </c>
      <c r="H736" s="7" t="inlineStr">
        <is>
          <t>37.9</t>
        </is>
      </c>
      <c r="I736" t="n">
        <v>79</v>
      </c>
      <c r="J736" t="inlineStr">
        <is>
          <t>45 / 34</t>
        </is>
      </c>
      <c r="K736" s="7" t="inlineStr">
        <is>
          <t>51%</t>
        </is>
      </c>
    </row>
    <row r="737">
      <c r="A737" s="9" t="inlineStr">
        <is>
          <t>736 (▼3)</t>
        </is>
      </c>
      <c r="B737" t="inlineStr">
        <is>
          <t>Mackenzie Alexandra Greer</t>
        </is>
      </c>
      <c r="C737" t="n">
        <v>2017</v>
      </c>
      <c r="D737" s="7" t="inlineStr">
        <is>
          <t>19.44</t>
        </is>
      </c>
      <c r="E737" s="7" t="inlineStr">
        <is>
          <t>3</t>
        </is>
      </c>
      <c r="F737" t="inlineStr">
        <is>
          <t>Ontario Tennis Association</t>
        </is>
      </c>
      <c r="G737" t="inlineStr">
        <is>
          <t>Stefanovic Tennis Academy</t>
        </is>
      </c>
      <c r="H737" s="7" t="inlineStr">
        <is>
          <t>37.2</t>
        </is>
      </c>
      <c r="I737" t="n">
        <v>171</v>
      </c>
      <c r="J737" t="inlineStr">
        <is>
          <t>141 / 30</t>
        </is>
      </c>
      <c r="K737" s="7" t="inlineStr">
        <is>
          <t>89%</t>
        </is>
      </c>
    </row>
    <row r="738">
      <c r="A738" s="9" t="inlineStr">
        <is>
          <t>737 (▼3)</t>
        </is>
      </c>
      <c r="B738" t="inlineStr">
        <is>
          <t>Rachael Qing Xu</t>
        </is>
      </c>
      <c r="C738" t="n">
        <v>2012</v>
      </c>
      <c r="D738" s="7" t="inlineStr">
        <is>
          <t>19.39</t>
        </is>
      </c>
      <c r="E738" s="7" t="inlineStr">
        <is>
          <t>1</t>
        </is>
      </c>
      <c r="F738" t="inlineStr">
        <is>
          <t>Ontario Tennis Association</t>
        </is>
      </c>
      <c r="G738" t="inlineStr">
        <is>
          <t>Rosedale Tennis Club (Hamilton)</t>
        </is>
      </c>
      <c r="H738" s="7" t="inlineStr">
        <is>
          <t>37.2</t>
        </is>
      </c>
      <c r="I738" t="n">
        <v>55</v>
      </c>
      <c r="J738" t="inlineStr">
        <is>
          <t>20 / 35</t>
        </is>
      </c>
      <c r="K738" s="7" t="inlineStr">
        <is>
          <t>0%</t>
        </is>
      </c>
    </row>
    <row r="739">
      <c r="A739" s="9" t="inlineStr">
        <is>
          <t>738 (▼3)</t>
        </is>
      </c>
      <c r="B739" t="inlineStr">
        <is>
          <t>Camilia Aroub</t>
        </is>
      </c>
      <c r="C739" t="n">
        <v>2014</v>
      </c>
      <c r="D739" s="7" t="inlineStr">
        <is>
          <t>18.87</t>
        </is>
      </c>
      <c r="E739" s="7" t="inlineStr">
        <is>
          <t>8</t>
        </is>
      </c>
      <c r="F739" t="inlineStr">
        <is>
          <t>Tennis Québec</t>
        </is>
      </c>
      <c r="G739" t="inlineStr">
        <is>
          <t>Club Sportif Côte-de-Liesse</t>
        </is>
      </c>
      <c r="H739" s="7" t="inlineStr">
        <is>
          <t>40.0</t>
        </is>
      </c>
      <c r="I739" t="n">
        <v>16</v>
      </c>
      <c r="J739" t="inlineStr">
        <is>
          <t>2 / 14</t>
        </is>
      </c>
      <c r="K739" s="7" t="inlineStr">
        <is>
          <t>15%</t>
        </is>
      </c>
    </row>
    <row r="740">
      <c r="A740" s="9" t="inlineStr">
        <is>
          <t>739 (▼3)</t>
        </is>
      </c>
      <c r="B740" t="inlineStr">
        <is>
          <t>Maddy Frances Hughes</t>
        </is>
      </c>
      <c r="C740" t="n">
        <v>2012</v>
      </c>
      <c r="D740" s="7" t="inlineStr">
        <is>
          <t>18.77</t>
        </is>
      </c>
      <c r="E740" s="7" t="inlineStr">
        <is>
          <t>2</t>
        </is>
      </c>
      <c r="F740" t="inlineStr">
        <is>
          <t>Ontario Tennis Association</t>
        </is>
      </c>
      <c r="G740" t="inlineStr">
        <is>
          <t>Boulevard Club</t>
        </is>
      </c>
      <c r="H740" s="7" t="inlineStr">
        <is>
          <t>37.7</t>
        </is>
      </c>
      <c r="I740" t="n">
        <v>41</v>
      </c>
      <c r="J740" t="inlineStr">
        <is>
          <t>16 / 25</t>
        </is>
      </c>
      <c r="K740" s="7" t="inlineStr">
        <is>
          <t>36%</t>
        </is>
      </c>
    </row>
    <row r="741">
      <c r="A741" s="8" t="inlineStr">
        <is>
          <t>740 (▲26)</t>
        </is>
      </c>
      <c r="B741" t="inlineStr">
        <is>
          <t>Avery Rose Kon</t>
        </is>
      </c>
      <c r="C741" t="n">
        <v>2014</v>
      </c>
      <c r="D741" s="8" t="inlineStr">
        <is>
          <t>18.72 (▲3.89)</t>
        </is>
      </c>
      <c r="E741" s="8" t="inlineStr">
        <is>
          <t>4 (+1)</t>
        </is>
      </c>
      <c r="F741" t="inlineStr">
        <is>
          <t>Ontario Tennis Association</t>
        </is>
      </c>
      <c r="G741" t="inlineStr">
        <is>
          <t>Toronto Lawn Tennis Club</t>
        </is>
      </c>
      <c r="H741" s="9" t="inlineStr">
        <is>
          <t>37.9 (▼0.2)</t>
        </is>
      </c>
      <c r="I741" t="n">
        <v>10</v>
      </c>
      <c r="J741" t="inlineStr">
        <is>
          <t>1 / 9</t>
        </is>
      </c>
      <c r="K741" s="7" t="inlineStr">
        <is>
          <t>0%</t>
        </is>
      </c>
    </row>
    <row r="742">
      <c r="A742" s="8" t="inlineStr">
        <is>
          <t>741 (▲27)</t>
        </is>
      </c>
      <c r="B742" t="inlineStr">
        <is>
          <t>ALYSSA MA</t>
        </is>
      </c>
      <c r="C742" t="n">
        <v>2015</v>
      </c>
      <c r="D742" s="8" t="inlineStr">
        <is>
          <t>18.55 (▲3.89)</t>
        </is>
      </c>
      <c r="E742" s="8" t="inlineStr">
        <is>
          <t>4 (+1)</t>
        </is>
      </c>
      <c r="F742" t="inlineStr">
        <is>
          <t>Ontario Tennis Association</t>
        </is>
      </c>
      <c r="G742" t="inlineStr">
        <is>
          <t>Blackmore Tennis Club</t>
        </is>
      </c>
      <c r="H742" s="9" t="inlineStr">
        <is>
          <t>38.4 (▼1.0)</t>
        </is>
      </c>
      <c r="I742" t="n">
        <v>17</v>
      </c>
      <c r="J742" t="inlineStr">
        <is>
          <t>7 / 10</t>
        </is>
      </c>
      <c r="K742" s="9" t="inlineStr">
        <is>
          <t>12% (▼5%)</t>
        </is>
      </c>
    </row>
    <row r="743">
      <c r="A743" s="9" t="inlineStr">
        <is>
          <t>742 (▼5)</t>
        </is>
      </c>
      <c r="B743" t="inlineStr">
        <is>
          <t>Diya Parkash</t>
        </is>
      </c>
      <c r="C743" t="n">
        <v>2012</v>
      </c>
      <c r="D743" s="7" t="inlineStr">
        <is>
          <t>18.48</t>
        </is>
      </c>
      <c r="E743" s="7" t="inlineStr">
        <is>
          <t>1</t>
        </is>
      </c>
      <c r="F743" t="inlineStr">
        <is>
          <t>Tennis Nova Scotia</t>
        </is>
      </c>
      <c r="G743" t="inlineStr">
        <is>
          <t>HEADSTART</t>
        </is>
      </c>
      <c r="H743" s="7" t="inlineStr">
        <is>
          <t>36.8</t>
        </is>
      </c>
      <c r="I743" t="n">
        <v>6</v>
      </c>
      <c r="J743" t="inlineStr">
        <is>
          <t>3 / 3</t>
        </is>
      </c>
      <c r="K743" s="7" t="inlineStr">
        <is>
          <t>50%</t>
        </is>
      </c>
    </row>
    <row r="744">
      <c r="A744" s="9" t="inlineStr">
        <is>
          <t>743 (▼5)</t>
        </is>
      </c>
      <c r="B744" t="inlineStr">
        <is>
          <t>Eve Fuemana</t>
        </is>
      </c>
      <c r="C744" t="n">
        <v>2013</v>
      </c>
      <c r="D744" s="7" t="inlineStr">
        <is>
          <t>18.45</t>
        </is>
      </c>
      <c r="E744" s="7" t="inlineStr">
        <is>
          <t>1</t>
        </is>
      </c>
      <c r="F744" t="inlineStr">
        <is>
          <t>Ontario Tennis Association</t>
        </is>
      </c>
      <c r="G744" t="inlineStr">
        <is>
          <t>Toronto Tennis City</t>
        </is>
      </c>
      <c r="H744" s="7" t="inlineStr">
        <is>
          <t>28.3</t>
        </is>
      </c>
      <c r="I744" t="n">
        <v>3</v>
      </c>
      <c r="J744" t="inlineStr">
        <is>
          <t>0 / 3</t>
        </is>
      </c>
      <c r="K744" s="7" t="inlineStr">
        <is>
          <t>0%</t>
        </is>
      </c>
    </row>
    <row r="745">
      <c r="A745" s="9" t="inlineStr">
        <is>
          <t>744 (▼5)</t>
        </is>
      </c>
      <c r="B745" t="inlineStr">
        <is>
          <t>Éloïse Renaud</t>
        </is>
      </c>
      <c r="C745" t="n">
        <v>2014</v>
      </c>
      <c r="D745" s="7" t="inlineStr">
        <is>
          <t>18.36</t>
        </is>
      </c>
      <c r="E745" s="7" t="inlineStr">
        <is>
          <t>4</t>
        </is>
      </c>
      <c r="F745" t="inlineStr">
        <is>
          <t>Tennis Québec</t>
        </is>
      </c>
      <c r="G745" t="inlineStr">
        <is>
          <t>Tennis 13</t>
        </is>
      </c>
      <c r="H745" s="7" t="inlineStr">
        <is>
          <t>unavailable</t>
        </is>
      </c>
      <c r="I745" t="n">
        <v>8</v>
      </c>
      <c r="J745" t="inlineStr">
        <is>
          <t>4 / 4</t>
        </is>
      </c>
      <c r="K745" s="7" t="inlineStr">
        <is>
          <t>33%</t>
        </is>
      </c>
    </row>
    <row r="746">
      <c r="A746" s="9" t="inlineStr">
        <is>
          <t>745 (▼5)</t>
        </is>
      </c>
      <c r="B746" t="inlineStr">
        <is>
          <t>Simone Tremblay-Roy</t>
        </is>
      </c>
      <c r="C746" t="n">
        <v>2015</v>
      </c>
      <c r="D746" s="7" t="inlineStr">
        <is>
          <t>18.33</t>
        </is>
      </c>
      <c r="E746" s="7" t="inlineStr">
        <is>
          <t>2</t>
        </is>
      </c>
      <c r="F746" t="inlineStr">
        <is>
          <t>Tennis Québec</t>
        </is>
      </c>
      <c r="G746" t="inlineStr">
        <is>
          <t>Club de tennis intérieur Saguenay</t>
        </is>
      </c>
      <c r="H746" s="7" t="inlineStr">
        <is>
          <t>37.4</t>
        </is>
      </c>
      <c r="I746" t="n">
        <v>7</v>
      </c>
      <c r="J746" t="inlineStr">
        <is>
          <t>4 / 3</t>
        </is>
      </c>
      <c r="K746" s="7" t="inlineStr">
        <is>
          <t>25%</t>
        </is>
      </c>
    </row>
    <row r="747">
      <c r="A747" s="8" t="inlineStr">
        <is>
          <t>746 (▲39)</t>
        </is>
      </c>
      <c r="B747" t="inlineStr">
        <is>
          <t>Olive Allen</t>
        </is>
      </c>
      <c r="C747" t="n">
        <v>2015</v>
      </c>
      <c r="D747" s="8" t="inlineStr">
        <is>
          <t>18.14 (▲5.40)</t>
        </is>
      </c>
      <c r="E747" s="8" t="inlineStr">
        <is>
          <t>5 (+1)</t>
        </is>
      </c>
      <c r="F747" t="inlineStr">
        <is>
          <t>British Columbia</t>
        </is>
      </c>
      <c r="G747" t="inlineStr">
        <is>
          <t>Hollyburn Country Club</t>
        </is>
      </c>
      <c r="H747" s="8" t="inlineStr">
        <is>
          <t>39.3 (▲0.3)</t>
        </is>
      </c>
      <c r="I747" t="n">
        <v>43</v>
      </c>
      <c r="J747" t="inlineStr">
        <is>
          <t>14 / 29</t>
        </is>
      </c>
      <c r="K747" s="8" t="inlineStr">
        <is>
          <t>28% (▲3%)</t>
        </is>
      </c>
    </row>
    <row r="748">
      <c r="A748" s="9" t="inlineStr">
        <is>
          <t>747 (▼6)</t>
        </is>
      </c>
      <c r="B748" t="inlineStr">
        <is>
          <t>Emma Gao</t>
        </is>
      </c>
      <c r="C748" t="n">
        <v>2012</v>
      </c>
      <c r="D748" s="7" t="inlineStr">
        <is>
          <t>18.14</t>
        </is>
      </c>
      <c r="E748" s="7" t="inlineStr">
        <is>
          <t>2</t>
        </is>
      </c>
      <c r="F748" t="inlineStr">
        <is>
          <t>British Columbia</t>
        </is>
      </c>
      <c r="G748" t="inlineStr">
        <is>
          <t>Tennis for Life</t>
        </is>
      </c>
      <c r="H748" s="7" t="inlineStr">
        <is>
          <t>unavailable</t>
        </is>
      </c>
      <c r="I748" t="n">
        <v>33</v>
      </c>
      <c r="J748" t="inlineStr">
        <is>
          <t>9 / 24</t>
        </is>
      </c>
      <c r="K748" s="7" t="inlineStr">
        <is>
          <t>0%</t>
        </is>
      </c>
    </row>
    <row r="749">
      <c r="A749" s="8" t="inlineStr">
        <is>
          <t>748 (New)</t>
        </is>
      </c>
      <c r="B749" t="inlineStr">
        <is>
          <t>Evelyn Foley</t>
        </is>
      </c>
      <c r="C749" t="n">
        <v>2014</v>
      </c>
      <c r="D749" s="7" t="inlineStr">
        <is>
          <t>18.02</t>
        </is>
      </c>
      <c r="E749" s="7" t="inlineStr">
        <is>
          <t>2</t>
        </is>
      </c>
      <c r="F749" t="inlineStr">
        <is>
          <t>British Columbia</t>
        </is>
      </c>
      <c r="G749" t="inlineStr">
        <is>
          <t>North Shore Winter Club</t>
        </is>
      </c>
      <c r="H749" s="7" t="inlineStr">
        <is>
          <t>36.4</t>
        </is>
      </c>
      <c r="I749" t="n">
        <v>5</v>
      </c>
      <c r="J749" t="inlineStr">
        <is>
          <t>2 / 3</t>
        </is>
      </c>
      <c r="K749" s="7" t="inlineStr">
        <is>
          <t>40%</t>
        </is>
      </c>
    </row>
    <row r="750">
      <c r="A750" s="9" t="inlineStr">
        <is>
          <t>749 (▼7)</t>
        </is>
      </c>
      <c r="B750" t="inlineStr">
        <is>
          <t>Valentina Barrera Salazar</t>
        </is>
      </c>
      <c r="C750" t="n">
        <v>2015</v>
      </c>
      <c r="D750" s="7" t="inlineStr">
        <is>
          <t>18.00</t>
        </is>
      </c>
      <c r="E750" s="7" t="inlineStr">
        <is>
          <t>1</t>
        </is>
      </c>
      <c r="F750" t="inlineStr">
        <is>
          <t>Tennis Québec</t>
        </is>
      </c>
      <c r="G750" t="inlineStr">
        <is>
          <t>No Club</t>
        </is>
      </c>
      <c r="H750" s="7" t="inlineStr">
        <is>
          <t>unavailable</t>
        </is>
      </c>
      <c r="I750" t="n">
        <v>3</v>
      </c>
      <c r="J750" t="inlineStr">
        <is>
          <t>0 / 3</t>
        </is>
      </c>
      <c r="K750" s="7" t="inlineStr">
        <is>
          <t>0%</t>
        </is>
      </c>
    </row>
    <row r="751">
      <c r="A751" s="9" t="inlineStr">
        <is>
          <t>750 (▼5)</t>
        </is>
      </c>
      <c r="B751" t="inlineStr">
        <is>
          <t>Neiva George</t>
        </is>
      </c>
      <c r="C751" t="n">
        <v>2014</v>
      </c>
      <c r="D751" s="7" t="inlineStr">
        <is>
          <t>17.77</t>
        </is>
      </c>
      <c r="E751" s="7" t="inlineStr">
        <is>
          <t>3</t>
        </is>
      </c>
      <c r="F751" t="inlineStr">
        <is>
          <t>Ontario Tennis Association</t>
        </is>
      </c>
      <c r="G751" t="inlineStr">
        <is>
          <t>Headwaters Racquet Club</t>
        </is>
      </c>
      <c r="H751" s="7" t="inlineStr">
        <is>
          <t>38.2</t>
        </is>
      </c>
      <c r="I751" t="n">
        <v>47</v>
      </c>
      <c r="J751" t="inlineStr">
        <is>
          <t>23 / 24</t>
        </is>
      </c>
      <c r="K751" s="7" t="inlineStr">
        <is>
          <t>54%</t>
        </is>
      </c>
    </row>
    <row r="752">
      <c r="A752" s="9" t="inlineStr">
        <is>
          <t>751 (▼5)</t>
        </is>
      </c>
      <c r="B752" t="inlineStr">
        <is>
          <t>Juliette Merino</t>
        </is>
      </c>
      <c r="C752" t="n">
        <v>2015</v>
      </c>
      <c r="D752" s="7" t="inlineStr">
        <is>
          <t>17.62</t>
        </is>
      </c>
      <c r="E752" s="7" t="inlineStr">
        <is>
          <t>3</t>
        </is>
      </c>
      <c r="F752" t="inlineStr">
        <is>
          <t>Ontario Tennis Association</t>
        </is>
      </c>
      <c r="G752" t="inlineStr">
        <is>
          <t>Ontario Racquet Club</t>
        </is>
      </c>
      <c r="H752" s="7" t="inlineStr">
        <is>
          <t>unavailable</t>
        </is>
      </c>
      <c r="I752" t="n">
        <v>35</v>
      </c>
      <c r="J752" t="inlineStr">
        <is>
          <t>12 / 23</t>
        </is>
      </c>
      <c r="K752" s="7" t="inlineStr">
        <is>
          <t>25%</t>
        </is>
      </c>
    </row>
    <row r="753">
      <c r="A753" s="9" t="inlineStr">
        <is>
          <t>752 (▼5)</t>
        </is>
      </c>
      <c r="B753" t="inlineStr">
        <is>
          <t>Camila Danielle Arias</t>
        </is>
      </c>
      <c r="C753" t="n">
        <v>2014</v>
      </c>
      <c r="D753" s="7" t="inlineStr">
        <is>
          <t>17.39</t>
        </is>
      </c>
      <c r="E753" s="7" t="inlineStr">
        <is>
          <t>5</t>
        </is>
      </c>
      <c r="F753" t="inlineStr">
        <is>
          <t>Tennis Québec</t>
        </is>
      </c>
      <c r="G753" t="inlineStr">
        <is>
          <t>SANI Sport</t>
        </is>
      </c>
      <c r="H753" s="7" t="inlineStr">
        <is>
          <t>unavailable</t>
        </is>
      </c>
      <c r="I753" t="n">
        <v>40</v>
      </c>
      <c r="J753" t="inlineStr">
        <is>
          <t>13 / 27</t>
        </is>
      </c>
      <c r="K753" s="7" t="inlineStr">
        <is>
          <t>50%</t>
        </is>
      </c>
    </row>
    <row r="754">
      <c r="A754" s="9" t="inlineStr">
        <is>
          <t>753 (▼5)</t>
        </is>
      </c>
      <c r="B754" t="inlineStr">
        <is>
          <t>Nourine Chebitou</t>
        </is>
      </c>
      <c r="C754" t="n">
        <v>2016</v>
      </c>
      <c r="D754" s="7" t="inlineStr">
        <is>
          <t>17.28</t>
        </is>
      </c>
      <c r="E754" s="7" t="inlineStr">
        <is>
          <t>1</t>
        </is>
      </c>
      <c r="F754" t="inlineStr">
        <is>
          <t>Tennis Québec</t>
        </is>
      </c>
      <c r="G754" t="inlineStr">
        <is>
          <t>SANI Sport</t>
        </is>
      </c>
      <c r="H754" s="7" t="inlineStr">
        <is>
          <t>37.3</t>
        </is>
      </c>
      <c r="I754" t="n">
        <v>5</v>
      </c>
      <c r="J754" t="inlineStr">
        <is>
          <t>1 / 4</t>
        </is>
      </c>
      <c r="K754" s="7" t="inlineStr">
        <is>
          <t>50%</t>
        </is>
      </c>
    </row>
    <row r="755">
      <c r="A755" s="9" t="inlineStr">
        <is>
          <t>753 (▼5)</t>
        </is>
      </c>
      <c r="B755" t="inlineStr">
        <is>
          <t>Yanya Zhao</t>
        </is>
      </c>
      <c r="C755" t="n">
        <v>2016</v>
      </c>
      <c r="D755" s="7" t="inlineStr">
        <is>
          <t>17.28</t>
        </is>
      </c>
      <c r="E755" s="7" t="inlineStr">
        <is>
          <t>3</t>
        </is>
      </c>
      <c r="F755" t="inlineStr">
        <is>
          <t>Ontario Tennis Association</t>
        </is>
      </c>
      <c r="G755" t="inlineStr">
        <is>
          <t>Valan Tennis Academy</t>
        </is>
      </c>
      <c r="H755" s="7" t="inlineStr">
        <is>
          <t>36.4</t>
        </is>
      </c>
      <c r="I755" t="n">
        <v>92</v>
      </c>
      <c r="J755" t="inlineStr">
        <is>
          <t>57 / 35</t>
        </is>
      </c>
      <c r="K755" s="9" t="inlineStr">
        <is>
          <t>62% (▼1%)</t>
        </is>
      </c>
    </row>
    <row r="756">
      <c r="A756" s="9" t="inlineStr">
        <is>
          <t>753 (▼5)</t>
        </is>
      </c>
      <c r="B756" t="inlineStr">
        <is>
          <t>Liv Evangeline Bulfon</t>
        </is>
      </c>
      <c r="C756" t="n">
        <v>2016</v>
      </c>
      <c r="D756" s="7" t="inlineStr">
        <is>
          <t>17.28</t>
        </is>
      </c>
      <c r="E756" s="7" t="inlineStr">
        <is>
          <t>2</t>
        </is>
      </c>
      <c r="F756" t="inlineStr">
        <is>
          <t>Ontario Tennis Association</t>
        </is>
      </c>
      <c r="G756" t="inlineStr">
        <is>
          <t>Joshua Creek Golf &amp; Tennis</t>
        </is>
      </c>
      <c r="H756" s="7" t="inlineStr">
        <is>
          <t>38.3</t>
        </is>
      </c>
      <c r="I756" t="n">
        <v>35</v>
      </c>
      <c r="J756" t="inlineStr">
        <is>
          <t>20 / 15</t>
        </is>
      </c>
      <c r="K756" s="8" t="inlineStr">
        <is>
          <t>60% (▲2%)</t>
        </is>
      </c>
    </row>
    <row r="757">
      <c r="A757" s="9" t="inlineStr">
        <is>
          <t>756 (▼5)</t>
        </is>
      </c>
      <c r="B757" t="inlineStr">
        <is>
          <t>Emily Solc</t>
        </is>
      </c>
      <c r="C757" t="n">
        <v>2012</v>
      </c>
      <c r="D757" s="7" t="inlineStr">
        <is>
          <t>17.16</t>
        </is>
      </c>
      <c r="E757" s="7" t="inlineStr">
        <is>
          <t>1</t>
        </is>
      </c>
      <c r="F757" t="inlineStr">
        <is>
          <t>Ontario Tennis Association</t>
        </is>
      </c>
      <c r="G757" t="inlineStr">
        <is>
          <t>Ajax Tennis Club</t>
        </is>
      </c>
      <c r="H757" s="7" t="inlineStr">
        <is>
          <t>35.6</t>
        </is>
      </c>
      <c r="I757" t="n">
        <v>15</v>
      </c>
      <c r="J757" t="inlineStr">
        <is>
          <t>6 / 9</t>
        </is>
      </c>
      <c r="K757" s="7" t="inlineStr">
        <is>
          <t>0%</t>
        </is>
      </c>
    </row>
    <row r="758">
      <c r="A758" s="9" t="inlineStr">
        <is>
          <t>757 (▼5)</t>
        </is>
      </c>
      <c r="B758" t="inlineStr">
        <is>
          <t>Maggie Yang</t>
        </is>
      </c>
      <c r="C758" t="n">
        <v>2015</v>
      </c>
      <c r="D758" s="7" t="inlineStr">
        <is>
          <t>17.04</t>
        </is>
      </c>
      <c r="E758" s="7" t="inlineStr">
        <is>
          <t>3</t>
        </is>
      </c>
      <c r="F758" t="inlineStr">
        <is>
          <t>Ontario Tennis Association</t>
        </is>
      </c>
      <c r="G758" t="inlineStr">
        <is>
          <t>Royal City Tennis Club</t>
        </is>
      </c>
      <c r="H758" s="7" t="inlineStr">
        <is>
          <t>35.7</t>
        </is>
      </c>
      <c r="I758" t="n">
        <v>29</v>
      </c>
      <c r="J758" t="inlineStr">
        <is>
          <t>11 / 18</t>
        </is>
      </c>
      <c r="K758" s="7" t="inlineStr">
        <is>
          <t>40%</t>
        </is>
      </c>
    </row>
    <row r="759">
      <c r="A759" s="9" t="inlineStr">
        <is>
          <t>758 (▼5)</t>
        </is>
      </c>
      <c r="B759" t="inlineStr">
        <is>
          <t>Zean Whyte Omayan Gerongco</t>
        </is>
      </c>
      <c r="C759" t="n">
        <v>2013</v>
      </c>
      <c r="D759" s="7" t="inlineStr">
        <is>
          <t>17.00</t>
        </is>
      </c>
      <c r="E759" s="7" t="inlineStr">
        <is>
          <t>2</t>
        </is>
      </c>
      <c r="F759" t="inlineStr">
        <is>
          <t>Ontario Tennis Association</t>
        </is>
      </c>
      <c r="G759" t="inlineStr">
        <is>
          <t>Fountainhead Tennis Club</t>
        </is>
      </c>
      <c r="H759" s="7" t="inlineStr">
        <is>
          <t>32.7</t>
        </is>
      </c>
      <c r="I759" t="n">
        <v>167</v>
      </c>
      <c r="J759" t="inlineStr">
        <is>
          <t>95 / 72</t>
        </is>
      </c>
      <c r="K759" s="7" t="inlineStr">
        <is>
          <t>0%</t>
        </is>
      </c>
    </row>
    <row r="760">
      <c r="A760" s="9" t="inlineStr">
        <is>
          <t>759 (▼5)</t>
        </is>
      </c>
      <c r="B760" t="inlineStr">
        <is>
          <t>Mirra Tverskaia</t>
        </is>
      </c>
      <c r="C760" t="n">
        <v>2015</v>
      </c>
      <c r="D760" s="7" t="inlineStr">
        <is>
          <t>16.74</t>
        </is>
      </c>
      <c r="E760" s="7" t="inlineStr">
        <is>
          <t>4</t>
        </is>
      </c>
      <c r="F760" t="inlineStr">
        <is>
          <t>Tennis Prince Edward Island</t>
        </is>
      </c>
      <c r="G760" t="inlineStr">
        <is>
          <t>Royalty Racquet Centre</t>
        </is>
      </c>
      <c r="H760" s="7" t="inlineStr">
        <is>
          <t>unavailable</t>
        </is>
      </c>
      <c r="I760" t="n">
        <v>41</v>
      </c>
      <c r="J760" t="inlineStr">
        <is>
          <t>14 / 27</t>
        </is>
      </c>
      <c r="K760" s="7" t="inlineStr">
        <is>
          <t>0%</t>
        </is>
      </c>
    </row>
    <row r="761">
      <c r="A761" s="9" t="inlineStr">
        <is>
          <t>760 (▼5)</t>
        </is>
      </c>
      <c r="B761" t="inlineStr">
        <is>
          <t>Alexandria Leah Fernandez</t>
        </is>
      </c>
      <c r="C761" t="n">
        <v>2012</v>
      </c>
      <c r="D761" s="7" t="inlineStr">
        <is>
          <t>16.63</t>
        </is>
      </c>
      <c r="E761" s="7" t="inlineStr">
        <is>
          <t>1</t>
        </is>
      </c>
      <c r="F761" t="inlineStr">
        <is>
          <t>Ontario Tennis Association</t>
        </is>
      </c>
      <c r="G761" t="inlineStr">
        <is>
          <t>Cambridge Tennis Club</t>
        </is>
      </c>
      <c r="H761" s="7" t="inlineStr">
        <is>
          <t>35.2</t>
        </is>
      </c>
      <c r="I761" t="n">
        <v>14</v>
      </c>
      <c r="J761" t="inlineStr">
        <is>
          <t>7 / 7</t>
        </is>
      </c>
      <c r="K761" s="7" t="inlineStr">
        <is>
          <t>88%</t>
        </is>
      </c>
    </row>
    <row r="762">
      <c r="A762" s="9" t="inlineStr">
        <is>
          <t>761 (▼5)</t>
        </is>
      </c>
      <c r="B762" t="inlineStr">
        <is>
          <t>Vasta Keshavarz</t>
        </is>
      </c>
      <c r="C762" t="n">
        <v>2013</v>
      </c>
      <c r="D762" s="7" t="inlineStr">
        <is>
          <t>16.60</t>
        </is>
      </c>
      <c r="E762" s="7" t="inlineStr">
        <is>
          <t>4</t>
        </is>
      </c>
      <c r="F762" t="inlineStr">
        <is>
          <t>British Columbia</t>
        </is>
      </c>
      <c r="G762" t="inlineStr">
        <is>
          <t>North Vancouver Tennis Centre</t>
        </is>
      </c>
      <c r="H762" s="7" t="inlineStr">
        <is>
          <t>unavailable</t>
        </is>
      </c>
      <c r="I762" t="n">
        <v>43</v>
      </c>
      <c r="J762" t="inlineStr">
        <is>
          <t>16 / 27</t>
        </is>
      </c>
      <c r="K762" s="7" t="inlineStr">
        <is>
          <t>28%</t>
        </is>
      </c>
    </row>
    <row r="763">
      <c r="A763" s="9" t="inlineStr">
        <is>
          <t>762 (▼5)</t>
        </is>
      </c>
      <c r="B763" t="inlineStr">
        <is>
          <t>Charlotte Huiyan Li</t>
        </is>
      </c>
      <c r="C763" t="n">
        <v>2015</v>
      </c>
      <c r="D763" s="7" t="inlineStr">
        <is>
          <t>16.53</t>
        </is>
      </c>
      <c r="E763" s="7" t="inlineStr">
        <is>
          <t>4</t>
        </is>
      </c>
      <c r="F763" t="inlineStr">
        <is>
          <t>British Columbia</t>
        </is>
      </c>
      <c r="G763" t="inlineStr">
        <is>
          <t>Tennis for Life</t>
        </is>
      </c>
      <c r="H763" s="7" t="inlineStr">
        <is>
          <t>37.7</t>
        </is>
      </c>
      <c r="I763" t="n">
        <v>42</v>
      </c>
      <c r="J763" t="inlineStr">
        <is>
          <t>15 / 27</t>
        </is>
      </c>
      <c r="K763" s="7" t="inlineStr">
        <is>
          <t>28%</t>
        </is>
      </c>
    </row>
    <row r="764">
      <c r="A764" s="9" t="inlineStr">
        <is>
          <t>763 (▼4)</t>
        </is>
      </c>
      <c r="B764" t="inlineStr">
        <is>
          <t>Allison Wu</t>
        </is>
      </c>
      <c r="C764" t="n">
        <v>2012</v>
      </c>
      <c r="D764" s="7" t="inlineStr">
        <is>
          <t>15.97</t>
        </is>
      </c>
      <c r="E764" s="7" t="inlineStr">
        <is>
          <t>3</t>
        </is>
      </c>
      <c r="F764" t="inlineStr">
        <is>
          <t>British Columbia</t>
        </is>
      </c>
      <c r="G764" t="inlineStr">
        <is>
          <t>Coquitlam Tennis Club</t>
        </is>
      </c>
      <c r="H764" s="7" t="inlineStr">
        <is>
          <t>39.4</t>
        </is>
      </c>
      <c r="I764" t="n">
        <v>54</v>
      </c>
      <c r="J764" t="inlineStr">
        <is>
          <t>9 / 45</t>
        </is>
      </c>
      <c r="K764" s="7" t="inlineStr">
        <is>
          <t>0%</t>
        </is>
      </c>
    </row>
    <row r="765">
      <c r="A765" s="9" t="inlineStr">
        <is>
          <t>764 (▼4)</t>
        </is>
      </c>
      <c r="B765" t="inlineStr">
        <is>
          <t>Anabelle Duchesne</t>
        </is>
      </c>
      <c r="C765" t="n">
        <v>2014</v>
      </c>
      <c r="D765" s="7" t="inlineStr">
        <is>
          <t>15.94</t>
        </is>
      </c>
      <c r="E765" s="7" t="inlineStr">
        <is>
          <t>2</t>
        </is>
      </c>
      <c r="F765" t="inlineStr">
        <is>
          <t>Tennis Québec</t>
        </is>
      </c>
      <c r="G765" t="inlineStr">
        <is>
          <t>Les Tennis de Rimouski (intérieur)</t>
        </is>
      </c>
      <c r="H765" s="7" t="inlineStr">
        <is>
          <t>40.0</t>
        </is>
      </c>
      <c r="I765" t="n">
        <v>6</v>
      </c>
      <c r="J765" t="inlineStr">
        <is>
          <t>0 / 6</t>
        </is>
      </c>
      <c r="K765" s="7" t="inlineStr">
        <is>
          <t>0%</t>
        </is>
      </c>
    </row>
    <row r="766">
      <c r="A766" s="9" t="inlineStr">
        <is>
          <t>765 (▼4)</t>
        </is>
      </c>
      <c r="B766" t="inlineStr">
        <is>
          <t>Amy Duo</t>
        </is>
      </c>
      <c r="C766" t="n">
        <v>2013</v>
      </c>
      <c r="D766" s="7" t="inlineStr">
        <is>
          <t>15.80</t>
        </is>
      </c>
      <c r="E766" s="7" t="inlineStr">
        <is>
          <t>2</t>
        </is>
      </c>
      <c r="F766" t="inlineStr">
        <is>
          <t>British Columbia</t>
        </is>
      </c>
      <c r="G766" t="inlineStr">
        <is>
          <t>North Shore Winter Club</t>
        </is>
      </c>
      <c r="H766" s="7" t="inlineStr">
        <is>
          <t>unavailable</t>
        </is>
      </c>
      <c r="I766" t="n">
        <v>31</v>
      </c>
      <c r="J766" t="inlineStr">
        <is>
          <t>11 / 20</t>
        </is>
      </c>
      <c r="K766" s="7" t="inlineStr">
        <is>
          <t>50%</t>
        </is>
      </c>
    </row>
    <row r="767">
      <c r="A767" s="9" t="inlineStr">
        <is>
          <t>766 (▼4)</t>
        </is>
      </c>
      <c r="B767" t="inlineStr">
        <is>
          <t>Lily Pilipowicz</t>
        </is>
      </c>
      <c r="C767" t="n">
        <v>2013</v>
      </c>
      <c r="D767" s="7" t="inlineStr">
        <is>
          <t>15.15</t>
        </is>
      </c>
      <c r="E767" s="7" t="inlineStr">
        <is>
          <t>3</t>
        </is>
      </c>
      <c r="F767" t="inlineStr">
        <is>
          <t>Tennis Alberta</t>
        </is>
      </c>
      <c r="G767" t="inlineStr">
        <is>
          <t>Aforza</t>
        </is>
      </c>
      <c r="H767" s="7" t="inlineStr">
        <is>
          <t>33.9</t>
        </is>
      </c>
      <c r="I767" t="n">
        <v>40</v>
      </c>
      <c r="J767" t="inlineStr">
        <is>
          <t>19 / 21</t>
        </is>
      </c>
      <c r="K767" s="7" t="inlineStr">
        <is>
          <t>0%</t>
        </is>
      </c>
    </row>
    <row r="768">
      <c r="A768" s="9" t="inlineStr">
        <is>
          <t>767 (▼4)</t>
        </is>
      </c>
      <c r="B768" t="inlineStr">
        <is>
          <t>Adele Cui</t>
        </is>
      </c>
      <c r="C768" t="n">
        <v>2014</v>
      </c>
      <c r="D768" s="7" t="inlineStr">
        <is>
          <t>15.14</t>
        </is>
      </c>
      <c r="E768" s="7" t="inlineStr">
        <is>
          <t>4</t>
        </is>
      </c>
      <c r="F768" t="inlineStr">
        <is>
          <t>British Columbia</t>
        </is>
      </c>
      <c r="G768" t="inlineStr">
        <is>
          <t>UBC Tennis Centre</t>
        </is>
      </c>
      <c r="H768" s="7" t="inlineStr">
        <is>
          <t>35.8</t>
        </is>
      </c>
      <c r="I768" t="n">
        <v>80</v>
      </c>
      <c r="J768" t="inlineStr">
        <is>
          <t>46 / 34</t>
        </is>
      </c>
      <c r="K768" s="7" t="inlineStr">
        <is>
          <t>20%</t>
        </is>
      </c>
    </row>
    <row r="769">
      <c r="A769" s="9" t="inlineStr">
        <is>
          <t>768 (▼4)</t>
        </is>
      </c>
      <c r="B769" t="inlineStr">
        <is>
          <t>Precious J. Mutiku</t>
        </is>
      </c>
      <c r="C769" t="n">
        <v>2014</v>
      </c>
      <c r="D769" s="7" t="inlineStr">
        <is>
          <t>15.06</t>
        </is>
      </c>
      <c r="E769" s="7" t="inlineStr">
        <is>
          <t>1</t>
        </is>
      </c>
      <c r="F769" t="inlineStr">
        <is>
          <t>Tennis Manitoba</t>
        </is>
      </c>
      <c r="G769" t="inlineStr">
        <is>
          <t>Taylor Tennis</t>
        </is>
      </c>
      <c r="H769" s="7" t="inlineStr">
        <is>
          <t>37.0</t>
        </is>
      </c>
      <c r="I769" t="n">
        <v>3</v>
      </c>
      <c r="J769" t="inlineStr">
        <is>
          <t>1 / 2</t>
        </is>
      </c>
      <c r="K769" s="7" t="inlineStr">
        <is>
          <t>0%</t>
        </is>
      </c>
    </row>
    <row r="770">
      <c r="A770" s="9" t="inlineStr">
        <is>
          <t>769 (▼4)</t>
        </is>
      </c>
      <c r="B770" t="inlineStr">
        <is>
          <t>Keira El-Kettaneh</t>
        </is>
      </c>
      <c r="C770" t="n">
        <v>2016</v>
      </c>
      <c r="D770" s="7" t="inlineStr">
        <is>
          <t>14.88</t>
        </is>
      </c>
      <c r="E770" s="8" t="inlineStr">
        <is>
          <t>6 (+1)</t>
        </is>
      </c>
      <c r="F770" t="inlineStr">
        <is>
          <t>Ontario Tennis Association</t>
        </is>
      </c>
      <c r="G770" t="inlineStr">
        <is>
          <t>Toronto Tennis City</t>
        </is>
      </c>
      <c r="H770" s="9" t="inlineStr">
        <is>
          <t>38.4 (▼0.3)</t>
        </is>
      </c>
      <c r="I770" t="n">
        <v>80</v>
      </c>
      <c r="J770" t="inlineStr">
        <is>
          <t>33 / 47</t>
        </is>
      </c>
      <c r="K770" s="9" t="inlineStr">
        <is>
          <t>38% (▼1%)</t>
        </is>
      </c>
    </row>
    <row r="771">
      <c r="A771" s="9" t="inlineStr">
        <is>
          <t>770 (▼3)</t>
        </is>
      </c>
      <c r="B771" t="inlineStr">
        <is>
          <t>Saaya Isabella Thompson</t>
        </is>
      </c>
      <c r="C771" t="n">
        <v>2012</v>
      </c>
      <c r="D771" s="7" t="inlineStr">
        <is>
          <t>14.69</t>
        </is>
      </c>
      <c r="E771" s="7" t="inlineStr">
        <is>
          <t>2</t>
        </is>
      </c>
      <c r="F771" t="inlineStr">
        <is>
          <t>British Columbia</t>
        </is>
      </c>
      <c r="G771" t="inlineStr">
        <is>
          <t>UBC Tennis Centre</t>
        </is>
      </c>
      <c r="H771" s="7" t="inlineStr">
        <is>
          <t>38.8</t>
        </is>
      </c>
      <c r="I771" t="n">
        <v>7</v>
      </c>
      <c r="J771" t="inlineStr">
        <is>
          <t>1 / 6</t>
        </is>
      </c>
      <c r="K771" s="7" t="inlineStr">
        <is>
          <t>0%</t>
        </is>
      </c>
    </row>
    <row r="772">
      <c r="A772" s="9" t="inlineStr">
        <is>
          <t>771 (▼2)</t>
        </is>
      </c>
      <c r="B772" t="inlineStr">
        <is>
          <t>Navia Kaylynn Barlow</t>
        </is>
      </c>
      <c r="C772" t="n">
        <v>2012</v>
      </c>
      <c r="D772" s="7" t="inlineStr">
        <is>
          <t>14.65</t>
        </is>
      </c>
      <c r="E772" s="7" t="inlineStr">
        <is>
          <t>3</t>
        </is>
      </c>
      <c r="F772" t="inlineStr">
        <is>
          <t>Tennis Alberta</t>
        </is>
      </c>
      <c r="G772" t="inlineStr">
        <is>
          <t>Derrick Golf &amp; Winter Club</t>
        </is>
      </c>
      <c r="H772" s="7" t="inlineStr">
        <is>
          <t>unavailable</t>
        </is>
      </c>
      <c r="I772" t="n">
        <v>6</v>
      </c>
      <c r="J772" t="inlineStr">
        <is>
          <t>2 / 4</t>
        </is>
      </c>
      <c r="K772" s="7" t="inlineStr">
        <is>
          <t>33%</t>
        </is>
      </c>
    </row>
    <row r="773">
      <c r="A773" s="9" t="inlineStr">
        <is>
          <t>772 (▼2)</t>
        </is>
      </c>
      <c r="B773" t="inlineStr">
        <is>
          <t>Mira Akhoundova</t>
        </is>
      </c>
      <c r="C773" t="n">
        <v>2015</v>
      </c>
      <c r="D773" s="7" t="inlineStr">
        <is>
          <t>14.59</t>
        </is>
      </c>
      <c r="E773" s="7" t="inlineStr">
        <is>
          <t>3</t>
        </is>
      </c>
      <c r="F773" t="inlineStr">
        <is>
          <t>Ontario Tennis Association</t>
        </is>
      </c>
      <c r="G773" t="inlineStr">
        <is>
          <t>Marilyn Redvers Tennis Club</t>
        </is>
      </c>
      <c r="H773" s="7" t="inlineStr">
        <is>
          <t>40.0</t>
        </is>
      </c>
      <c r="I773" t="n">
        <v>31</v>
      </c>
      <c r="J773" t="inlineStr">
        <is>
          <t>14 / 17</t>
        </is>
      </c>
      <c r="K773" s="9" t="inlineStr">
        <is>
          <t>28% (▼7%)</t>
        </is>
      </c>
    </row>
    <row r="774">
      <c r="A774" s="9" t="inlineStr">
        <is>
          <t>773 (▼2)</t>
        </is>
      </c>
      <c r="B774" t="inlineStr">
        <is>
          <t>Erika ko</t>
        </is>
      </c>
      <c r="C774" t="n">
        <v>2017</v>
      </c>
      <c r="D774" s="7" t="inlineStr">
        <is>
          <t>14.40</t>
        </is>
      </c>
      <c r="E774" s="7" t="inlineStr">
        <is>
          <t>6</t>
        </is>
      </c>
      <c r="F774" t="inlineStr">
        <is>
          <t>British Columbia</t>
        </is>
      </c>
      <c r="G774" t="inlineStr">
        <is>
          <t>Richmond Country Club</t>
        </is>
      </c>
      <c r="H774" s="7" t="inlineStr">
        <is>
          <t>37.9</t>
        </is>
      </c>
      <c r="I774" t="n">
        <v>135</v>
      </c>
      <c r="J774" t="inlineStr">
        <is>
          <t>61 / 74</t>
        </is>
      </c>
      <c r="K774" s="7" t="inlineStr">
        <is>
          <t>33%</t>
        </is>
      </c>
    </row>
    <row r="775">
      <c r="A775" s="9" t="inlineStr">
        <is>
          <t>774 (▼1)</t>
        </is>
      </c>
      <c r="B775" t="inlineStr">
        <is>
          <t>Nadia Mnyusiwalla</t>
        </is>
      </c>
      <c r="C775" t="n">
        <v>2015</v>
      </c>
      <c r="D775" s="7" t="inlineStr">
        <is>
          <t>14.38</t>
        </is>
      </c>
      <c r="E775" s="7" t="inlineStr">
        <is>
          <t>3</t>
        </is>
      </c>
      <c r="F775" t="inlineStr">
        <is>
          <t>Ontario Tennis Association</t>
        </is>
      </c>
      <c r="G775" t="inlineStr">
        <is>
          <t>Waterloo Tennis Club</t>
        </is>
      </c>
      <c r="H775" s="7" t="inlineStr">
        <is>
          <t>unavailable</t>
        </is>
      </c>
      <c r="I775" t="n">
        <v>54</v>
      </c>
      <c r="J775" t="inlineStr">
        <is>
          <t>15 / 39</t>
        </is>
      </c>
      <c r="K775" s="7" t="inlineStr">
        <is>
          <t>12%</t>
        </is>
      </c>
    </row>
    <row r="776">
      <c r="A776" s="9" t="inlineStr">
        <is>
          <t>775 (▼1)</t>
        </is>
      </c>
      <c r="B776" t="inlineStr">
        <is>
          <t>Elise Hiu-Wing Lin</t>
        </is>
      </c>
      <c r="C776" t="n">
        <v>2014</v>
      </c>
      <c r="D776" s="7" t="inlineStr">
        <is>
          <t>14.28</t>
        </is>
      </c>
      <c r="E776" s="7" t="inlineStr">
        <is>
          <t>4</t>
        </is>
      </c>
      <c r="F776" t="inlineStr">
        <is>
          <t>British Columbia</t>
        </is>
      </c>
      <c r="G776" t="inlineStr">
        <is>
          <t>No Club</t>
        </is>
      </c>
      <c r="H776" s="7" t="inlineStr">
        <is>
          <t>36.2</t>
        </is>
      </c>
      <c r="I776" t="n">
        <v>47</v>
      </c>
      <c r="J776" t="inlineStr">
        <is>
          <t>17 / 30</t>
        </is>
      </c>
      <c r="K776" s="7" t="inlineStr">
        <is>
          <t>44%</t>
        </is>
      </c>
    </row>
    <row r="777">
      <c r="A777" s="9" t="inlineStr">
        <is>
          <t>776 (▼1)</t>
        </is>
      </c>
      <c r="B777" t="inlineStr">
        <is>
          <t>Nora Skogen</t>
        </is>
      </c>
      <c r="C777" t="n">
        <v>2012</v>
      </c>
      <c r="D777" s="7" t="inlineStr">
        <is>
          <t>14.26</t>
        </is>
      </c>
      <c r="E777" s="7" t="inlineStr">
        <is>
          <t>1</t>
        </is>
      </c>
      <c r="F777" t="inlineStr">
        <is>
          <t>British Columbia</t>
        </is>
      </c>
      <c r="G777" t="inlineStr">
        <is>
          <t>Hollyburn Country Club</t>
        </is>
      </c>
      <c r="H777" s="7" t="inlineStr">
        <is>
          <t>32.2</t>
        </is>
      </c>
      <c r="I777" t="n">
        <v>164</v>
      </c>
      <c r="J777" t="inlineStr">
        <is>
          <t>79 / 85</t>
        </is>
      </c>
      <c r="K777" s="7" t="inlineStr">
        <is>
          <t>50%</t>
        </is>
      </c>
    </row>
    <row r="778">
      <c r="A778" s="9" t="inlineStr">
        <is>
          <t>777 (▼1)</t>
        </is>
      </c>
      <c r="B778" t="inlineStr">
        <is>
          <t>Renee Burton</t>
        </is>
      </c>
      <c r="C778" t="n">
        <v>2012</v>
      </c>
      <c r="D778" s="7" t="inlineStr">
        <is>
          <t>14.11</t>
        </is>
      </c>
      <c r="E778" s="7" t="inlineStr">
        <is>
          <t>1</t>
        </is>
      </c>
      <c r="F778" t="inlineStr">
        <is>
          <t>Ontario Tennis Association</t>
        </is>
      </c>
      <c r="G778" t="inlineStr">
        <is>
          <t>ACE Tennis - Burlington</t>
        </is>
      </c>
      <c r="H778" s="7" t="inlineStr">
        <is>
          <t>35.8</t>
        </is>
      </c>
      <c r="I778" t="n">
        <v>13</v>
      </c>
      <c r="J778" t="inlineStr">
        <is>
          <t>9 / 4</t>
        </is>
      </c>
      <c r="K778" s="7" t="inlineStr">
        <is>
          <t>69%</t>
        </is>
      </c>
    </row>
    <row r="779">
      <c r="A779" s="9" t="inlineStr">
        <is>
          <t>778 (▼1)</t>
        </is>
      </c>
      <c r="B779" t="inlineStr">
        <is>
          <t>Alice Le</t>
        </is>
      </c>
      <c r="C779" t="n">
        <v>2012</v>
      </c>
      <c r="D779" s="7" t="inlineStr">
        <is>
          <t>14.04</t>
        </is>
      </c>
      <c r="E779" s="7" t="inlineStr">
        <is>
          <t>1</t>
        </is>
      </c>
      <c r="F779" t="inlineStr">
        <is>
          <t>British Columbia</t>
        </is>
      </c>
      <c r="G779" t="inlineStr">
        <is>
          <t>City of Vancouver</t>
        </is>
      </c>
      <c r="H779" s="7" t="inlineStr">
        <is>
          <t>unavailable</t>
        </is>
      </c>
      <c r="I779" t="n">
        <v>10</v>
      </c>
      <c r="J779" t="inlineStr">
        <is>
          <t>7 / 3</t>
        </is>
      </c>
      <c r="K779" s="7" t="inlineStr">
        <is>
          <t>50%</t>
        </is>
      </c>
    </row>
    <row r="780">
      <c r="A780" s="8" t="inlineStr">
        <is>
          <t>779 (▲11)</t>
        </is>
      </c>
      <c r="B780" t="inlineStr">
        <is>
          <t>Addison Gilbertson</t>
        </is>
      </c>
      <c r="C780" t="n">
        <v>2013</v>
      </c>
      <c r="D780" s="8" t="inlineStr">
        <is>
          <t>13.93 (▲2.02)</t>
        </is>
      </c>
      <c r="E780" s="8" t="inlineStr">
        <is>
          <t>5 (+1)</t>
        </is>
      </c>
      <c r="F780" t="inlineStr">
        <is>
          <t>Tennis Alberta</t>
        </is>
      </c>
      <c r="G780" t="inlineStr">
        <is>
          <t>IQ Tennis and Pickleball Centre</t>
        </is>
      </c>
      <c r="H780" s="9" t="inlineStr">
        <is>
          <t>38.2 (▼0.1)</t>
        </is>
      </c>
      <c r="I780" t="n">
        <v>50</v>
      </c>
      <c r="J780" t="inlineStr">
        <is>
          <t>18 / 32</t>
        </is>
      </c>
      <c r="K780" s="9" t="inlineStr">
        <is>
          <t>14% (▼6%)</t>
        </is>
      </c>
    </row>
    <row r="781">
      <c r="A781" s="9" t="inlineStr">
        <is>
          <t>780 (▼22)</t>
        </is>
      </c>
      <c r="B781" t="inlineStr">
        <is>
          <t>Livia Hu</t>
        </is>
      </c>
      <c r="C781" t="n">
        <v>2014</v>
      </c>
      <c r="D781" s="9" t="inlineStr">
        <is>
          <t>13.87 (▼2.59)</t>
        </is>
      </c>
      <c r="E781" s="9" t="inlineStr">
        <is>
          <t>1 (-1)</t>
        </is>
      </c>
      <c r="F781" t="inlineStr">
        <is>
          <t>Tennis Saskatchewan</t>
        </is>
      </c>
      <c r="G781" t="inlineStr">
        <is>
          <t>No Club</t>
        </is>
      </c>
      <c r="H781" s="7" t="inlineStr">
        <is>
          <t>29.5</t>
        </is>
      </c>
      <c r="I781" t="n">
        <v>41</v>
      </c>
      <c r="J781" t="inlineStr">
        <is>
          <t>25 / 16</t>
        </is>
      </c>
      <c r="K781" s="7" t="inlineStr">
        <is>
          <t>64%</t>
        </is>
      </c>
    </row>
    <row r="782">
      <c r="A782" s="9" t="inlineStr">
        <is>
          <t>781 (▼3)</t>
        </is>
      </c>
      <c r="B782" t="inlineStr">
        <is>
          <t>Julia Michelle Cipriano</t>
        </is>
      </c>
      <c r="C782" t="n">
        <v>2012</v>
      </c>
      <c r="D782" s="7" t="inlineStr">
        <is>
          <t>13.72</t>
        </is>
      </c>
      <c r="E782" s="7" t="inlineStr">
        <is>
          <t>2</t>
        </is>
      </c>
      <c r="F782" t="inlineStr">
        <is>
          <t>British Columbia</t>
        </is>
      </c>
      <c r="G782" t="inlineStr">
        <is>
          <t>West Vancouver Tennis Club</t>
        </is>
      </c>
      <c r="H782" s="7" t="inlineStr">
        <is>
          <t>37.0</t>
        </is>
      </c>
      <c r="I782" t="n">
        <v>18</v>
      </c>
      <c r="J782" t="inlineStr">
        <is>
          <t>8 / 10</t>
        </is>
      </c>
      <c r="K782" s="7" t="inlineStr">
        <is>
          <t>50%</t>
        </is>
      </c>
    </row>
    <row r="783">
      <c r="A783" s="9" t="inlineStr">
        <is>
          <t>782 (▼3)</t>
        </is>
      </c>
      <c r="B783" t="inlineStr">
        <is>
          <t>Joud Marmash</t>
        </is>
      </c>
      <c r="C783" t="n">
        <v>2016</v>
      </c>
      <c r="D783" s="7" t="inlineStr">
        <is>
          <t>13.68</t>
        </is>
      </c>
      <c r="E783" s="7" t="inlineStr">
        <is>
          <t>7</t>
        </is>
      </c>
      <c r="F783" t="inlineStr">
        <is>
          <t>Ontario Tennis Association</t>
        </is>
      </c>
      <c r="G783" t="inlineStr">
        <is>
          <t>Zekelman Tennis Centre</t>
        </is>
      </c>
      <c r="H783" s="7" t="inlineStr">
        <is>
          <t>37.7</t>
        </is>
      </c>
      <c r="I783" t="n">
        <v>19</v>
      </c>
      <c r="J783" t="inlineStr">
        <is>
          <t>5 / 14</t>
        </is>
      </c>
      <c r="K783" s="7" t="inlineStr">
        <is>
          <t>26%</t>
        </is>
      </c>
    </row>
    <row r="784">
      <c r="A784" s="9" t="inlineStr">
        <is>
          <t>783 (▼3)</t>
        </is>
      </c>
      <c r="B784" t="inlineStr">
        <is>
          <t>Mia Mengchen Sun</t>
        </is>
      </c>
      <c r="C784" t="n">
        <v>2014</v>
      </c>
      <c r="D784" s="7" t="inlineStr">
        <is>
          <t>13.58</t>
        </is>
      </c>
      <c r="E784" s="7" t="inlineStr">
        <is>
          <t>4</t>
        </is>
      </c>
      <c r="F784" t="inlineStr">
        <is>
          <t>Ontario Tennis Association</t>
        </is>
      </c>
      <c r="G784" t="inlineStr">
        <is>
          <t>Markham Tennis Club</t>
        </is>
      </c>
      <c r="H784" s="7" t="inlineStr">
        <is>
          <t>37.9</t>
        </is>
      </c>
      <c r="I784" t="n">
        <v>51</v>
      </c>
      <c r="J784" t="inlineStr">
        <is>
          <t>32 / 19</t>
        </is>
      </c>
      <c r="K784" s="7" t="inlineStr">
        <is>
          <t>0%</t>
        </is>
      </c>
    </row>
    <row r="785">
      <c r="A785" s="9" t="inlineStr">
        <is>
          <t>784 (▼13)</t>
        </is>
      </c>
      <c r="B785" t="inlineStr">
        <is>
          <t>Celeste Daphne Waye</t>
        </is>
      </c>
      <c r="C785" t="n">
        <v>2016</v>
      </c>
      <c r="D785" s="9" t="inlineStr">
        <is>
          <t>13.32 (▼1.08)</t>
        </is>
      </c>
      <c r="E785" s="7" t="inlineStr">
        <is>
          <t>4</t>
        </is>
      </c>
      <c r="F785" t="inlineStr">
        <is>
          <t>Tennis Newfoundland &amp; Labrador</t>
        </is>
      </c>
      <c r="G785" t="inlineStr">
        <is>
          <t>Greenbelt Tennis Club</t>
        </is>
      </c>
      <c r="H785" s="7" t="inlineStr">
        <is>
          <t>unavailable</t>
        </is>
      </c>
      <c r="I785" t="n">
        <v>38</v>
      </c>
      <c r="J785" t="inlineStr">
        <is>
          <t>15 / 23</t>
        </is>
      </c>
      <c r="K785" s="7" t="inlineStr">
        <is>
          <t>30%</t>
        </is>
      </c>
    </row>
    <row r="786">
      <c r="A786" s="9" t="inlineStr">
        <is>
          <t>785 (▼4)</t>
        </is>
      </c>
      <c r="B786" t="inlineStr">
        <is>
          <t>Hailey Johnson</t>
        </is>
      </c>
      <c r="C786" t="n">
        <v>2013</v>
      </c>
      <c r="D786" s="7" t="inlineStr">
        <is>
          <t>13.23</t>
        </is>
      </c>
      <c r="E786" s="7" t="inlineStr">
        <is>
          <t>2</t>
        </is>
      </c>
      <c r="F786" t="inlineStr">
        <is>
          <t>British Columbia</t>
        </is>
      </c>
      <c r="G786" t="inlineStr">
        <is>
          <t>Tennis for Life</t>
        </is>
      </c>
      <c r="H786" s="7" t="inlineStr">
        <is>
          <t>unavailable</t>
        </is>
      </c>
      <c r="I786" t="n">
        <v>49</v>
      </c>
      <c r="J786" t="inlineStr">
        <is>
          <t>28 / 21</t>
        </is>
      </c>
      <c r="K786" s="7" t="inlineStr">
        <is>
          <t>50%</t>
        </is>
      </c>
    </row>
    <row r="787">
      <c r="A787" s="9" t="inlineStr">
        <is>
          <t>786 (▼4)</t>
        </is>
      </c>
      <c r="B787" t="inlineStr">
        <is>
          <t>caitlin wong</t>
        </is>
      </c>
      <c r="C787" t="n">
        <v>2013</v>
      </c>
      <c r="D787" s="7" t="inlineStr">
        <is>
          <t>13.00</t>
        </is>
      </c>
      <c r="E787" s="7" t="inlineStr">
        <is>
          <t>1</t>
        </is>
      </c>
      <c r="F787" t="inlineStr">
        <is>
          <t>Ontario Tennis Association</t>
        </is>
      </c>
      <c r="G787" t="inlineStr">
        <is>
          <t>Blackmore Tennis Club</t>
        </is>
      </c>
      <c r="H787" s="7" t="inlineStr">
        <is>
          <t>37.2</t>
        </is>
      </c>
      <c r="I787" t="n">
        <v>56</v>
      </c>
      <c r="J787" t="inlineStr">
        <is>
          <t>29 / 27</t>
        </is>
      </c>
      <c r="K787" s="7" t="inlineStr">
        <is>
          <t>0%</t>
        </is>
      </c>
    </row>
    <row r="788">
      <c r="A788" s="9" t="inlineStr">
        <is>
          <t>787 (▼3)</t>
        </is>
      </c>
      <c r="B788" t="inlineStr">
        <is>
          <t>Ai-Ni Amelia Cheng</t>
        </is>
      </c>
      <c r="C788" t="n">
        <v>2012</v>
      </c>
      <c r="D788" s="7" t="inlineStr">
        <is>
          <t>12.91</t>
        </is>
      </c>
      <c r="E788" s="7" t="inlineStr">
        <is>
          <t>1</t>
        </is>
      </c>
      <c r="F788" t="inlineStr">
        <is>
          <t>Ontario Tennis Association</t>
        </is>
      </c>
      <c r="G788" t="inlineStr">
        <is>
          <t>ON West Central No Club</t>
        </is>
      </c>
      <c r="H788" s="7" t="inlineStr">
        <is>
          <t>38.5</t>
        </is>
      </c>
      <c r="I788" t="n">
        <v>7</v>
      </c>
      <c r="J788" t="inlineStr">
        <is>
          <t>4 / 3</t>
        </is>
      </c>
      <c r="K788" s="7" t="inlineStr">
        <is>
          <t>0%</t>
        </is>
      </c>
    </row>
    <row r="789">
      <c r="A789" s="9" t="inlineStr">
        <is>
          <t>788 (▼2)</t>
        </is>
      </c>
      <c r="B789" t="inlineStr">
        <is>
          <t>Felicia Mingfei Li</t>
        </is>
      </c>
      <c r="C789" t="n">
        <v>2013</v>
      </c>
      <c r="D789" s="7" t="inlineStr">
        <is>
          <t>12.38</t>
        </is>
      </c>
      <c r="E789" s="7" t="inlineStr">
        <is>
          <t>2</t>
        </is>
      </c>
      <c r="F789" t="inlineStr">
        <is>
          <t>Ontario Tennis Association</t>
        </is>
      </c>
      <c r="G789" t="inlineStr">
        <is>
          <t>Marilyn Redvers Tennis Club</t>
        </is>
      </c>
      <c r="H789" s="7" t="inlineStr">
        <is>
          <t>39.7</t>
        </is>
      </c>
      <c r="I789" t="n">
        <v>31</v>
      </c>
      <c r="J789" t="inlineStr">
        <is>
          <t>9 / 22</t>
        </is>
      </c>
      <c r="K789" s="7" t="inlineStr">
        <is>
          <t>0%</t>
        </is>
      </c>
    </row>
    <row r="790">
      <c r="A790" s="9" t="inlineStr">
        <is>
          <t>789 (▼2)</t>
        </is>
      </c>
      <c r="B790" t="inlineStr">
        <is>
          <t>Anzhuo Yi</t>
        </is>
      </c>
      <c r="C790" t="n">
        <v>2012</v>
      </c>
      <c r="D790" s="7" t="inlineStr">
        <is>
          <t>12.34</t>
        </is>
      </c>
      <c r="E790" s="7" t="inlineStr">
        <is>
          <t>1</t>
        </is>
      </c>
      <c r="F790" t="inlineStr">
        <is>
          <t>Ontario Tennis Association</t>
        </is>
      </c>
      <c r="G790" t="inlineStr">
        <is>
          <t>Premier Racquet Clubs – Mississauga</t>
        </is>
      </c>
      <c r="H790" s="7" t="inlineStr">
        <is>
          <t>37.6</t>
        </is>
      </c>
      <c r="I790" t="n">
        <v>8</v>
      </c>
      <c r="J790" t="inlineStr">
        <is>
          <t>2 / 6</t>
        </is>
      </c>
      <c r="K790" s="7" t="inlineStr">
        <is>
          <t>25%</t>
        </is>
      </c>
    </row>
    <row r="791">
      <c r="A791" s="9" t="inlineStr">
        <is>
          <t>789 (▼2)</t>
        </is>
      </c>
      <c r="B791" t="inlineStr">
        <is>
          <t>Erika Vanessa Petko</t>
        </is>
      </c>
      <c r="C791" t="n">
        <v>2012</v>
      </c>
      <c r="D791" s="7" t="inlineStr">
        <is>
          <t>12.34</t>
        </is>
      </c>
      <c r="E791" s="7" t="inlineStr">
        <is>
          <t>1</t>
        </is>
      </c>
      <c r="F791" t="inlineStr">
        <is>
          <t>Ontario Tennis Association</t>
        </is>
      </c>
      <c r="G791" t="inlineStr">
        <is>
          <t>Applewood Tennis Club</t>
        </is>
      </c>
      <c r="H791" s="7" t="inlineStr">
        <is>
          <t>37.0</t>
        </is>
      </c>
      <c r="I791" t="n">
        <v>11</v>
      </c>
      <c r="J791" t="inlineStr">
        <is>
          <t>3 / 8</t>
        </is>
      </c>
      <c r="K791" s="7" t="inlineStr">
        <is>
          <t>0%</t>
        </is>
      </c>
    </row>
    <row r="792">
      <c r="A792" s="9" t="inlineStr">
        <is>
          <t>789 (▼2)</t>
        </is>
      </c>
      <c r="B792" t="inlineStr">
        <is>
          <t>Julia Oliveira</t>
        </is>
      </c>
      <c r="C792" t="n">
        <v>2013</v>
      </c>
      <c r="D792" s="7" t="inlineStr">
        <is>
          <t>12.34</t>
        </is>
      </c>
      <c r="E792" s="7" t="inlineStr">
        <is>
          <t>1</t>
        </is>
      </c>
      <c r="F792" t="inlineStr">
        <is>
          <t>Ontario Tennis Association</t>
        </is>
      </c>
      <c r="G792" t="inlineStr">
        <is>
          <t>No Club</t>
        </is>
      </c>
      <c r="H792" s="7" t="inlineStr">
        <is>
          <t>36.6</t>
        </is>
      </c>
      <c r="I792" t="n">
        <v>20</v>
      </c>
      <c r="J792" t="inlineStr">
        <is>
          <t>7 / 13</t>
        </is>
      </c>
      <c r="K792" s="7" t="inlineStr">
        <is>
          <t>35%</t>
        </is>
      </c>
    </row>
    <row r="793">
      <c r="A793" s="9" t="inlineStr">
        <is>
          <t>792 (▼1)</t>
        </is>
      </c>
      <c r="B793" t="inlineStr">
        <is>
          <t>Kayla Caden</t>
        </is>
      </c>
      <c r="C793" t="n">
        <v>2014</v>
      </c>
      <c r="D793" s="7" t="inlineStr">
        <is>
          <t>11.81</t>
        </is>
      </c>
      <c r="E793" s="7" t="inlineStr">
        <is>
          <t>3</t>
        </is>
      </c>
      <c r="F793" t="inlineStr">
        <is>
          <t>Tennis Québec</t>
        </is>
      </c>
      <c r="G793" t="inlineStr">
        <is>
          <t>Club de tennis St-Lambert</t>
        </is>
      </c>
      <c r="H793" s="7" t="inlineStr">
        <is>
          <t>38.1</t>
        </is>
      </c>
      <c r="I793" t="n">
        <v>11</v>
      </c>
      <c r="J793" t="inlineStr">
        <is>
          <t>4 / 7</t>
        </is>
      </c>
      <c r="K793" s="7" t="inlineStr">
        <is>
          <t>40%</t>
        </is>
      </c>
    </row>
    <row r="794">
      <c r="A794" s="9" t="inlineStr">
        <is>
          <t>793 (▼1)</t>
        </is>
      </c>
      <c r="B794" t="inlineStr">
        <is>
          <t>Robin Lee</t>
        </is>
      </c>
      <c r="C794" t="n">
        <v>2013</v>
      </c>
      <c r="D794" s="7" t="inlineStr">
        <is>
          <t>11.66</t>
        </is>
      </c>
      <c r="E794" s="7" t="inlineStr">
        <is>
          <t>2</t>
        </is>
      </c>
      <c r="F794" t="inlineStr">
        <is>
          <t>Ontario Tennis Association</t>
        </is>
      </c>
      <c r="G794" t="inlineStr">
        <is>
          <t>No Club</t>
        </is>
      </c>
      <c r="H794" s="7" t="inlineStr">
        <is>
          <t>39.2</t>
        </is>
      </c>
      <c r="I794" t="n">
        <v>58</v>
      </c>
      <c r="J794" t="inlineStr">
        <is>
          <t>11 / 47</t>
        </is>
      </c>
      <c r="K794" s="7" t="inlineStr">
        <is>
          <t>0%</t>
        </is>
      </c>
    </row>
    <row r="795">
      <c r="A795" s="9" t="inlineStr">
        <is>
          <t>794 (▼1)</t>
        </is>
      </c>
      <c r="B795" t="inlineStr">
        <is>
          <t>Cléony Le</t>
        </is>
      </c>
      <c r="C795" t="n">
        <v>2015</v>
      </c>
      <c r="D795" s="7" t="inlineStr">
        <is>
          <t>11.43</t>
        </is>
      </c>
      <c r="E795" s="7" t="inlineStr">
        <is>
          <t>1</t>
        </is>
      </c>
      <c r="F795" t="inlineStr">
        <is>
          <t>Tennis Québec</t>
        </is>
      </c>
      <c r="G795" t="inlineStr">
        <is>
          <t>Centre récréatif de Repentigny / Académie Tennis Momentum</t>
        </is>
      </c>
      <c r="H795" s="7" t="inlineStr">
        <is>
          <t>37.0</t>
        </is>
      </c>
      <c r="I795" t="n">
        <v>32</v>
      </c>
      <c r="J795" t="inlineStr">
        <is>
          <t>15 / 17</t>
        </is>
      </c>
      <c r="K795" s="7" t="inlineStr">
        <is>
          <t>0%</t>
        </is>
      </c>
    </row>
    <row r="796">
      <c r="A796" s="9" t="inlineStr">
        <is>
          <t>795 (▼1)</t>
        </is>
      </c>
      <c r="B796" t="inlineStr">
        <is>
          <t>Emma Hao</t>
        </is>
      </c>
      <c r="C796" t="n">
        <v>2016</v>
      </c>
      <c r="D796" s="7" t="inlineStr">
        <is>
          <t>11.14</t>
        </is>
      </c>
      <c r="E796" s="7" t="inlineStr">
        <is>
          <t>5</t>
        </is>
      </c>
      <c r="F796" t="inlineStr">
        <is>
          <t>Ontario Tennis Association</t>
        </is>
      </c>
      <c r="G796" t="inlineStr">
        <is>
          <t>Toronto Tennis City</t>
        </is>
      </c>
      <c r="H796" s="7" t="inlineStr">
        <is>
          <t>38.1</t>
        </is>
      </c>
      <c r="I796" t="n">
        <v>78</v>
      </c>
      <c r="J796" t="inlineStr">
        <is>
          <t>42 / 36</t>
        </is>
      </c>
      <c r="K796" s="8" t="inlineStr">
        <is>
          <t>65% (▲3%)</t>
        </is>
      </c>
    </row>
    <row r="797">
      <c r="A797" s="9" t="inlineStr">
        <is>
          <t>796 (▼1)</t>
        </is>
      </c>
      <c r="B797" t="inlineStr">
        <is>
          <t>Marissa Grisedale</t>
        </is>
      </c>
      <c r="C797" t="n">
        <v>2015</v>
      </c>
      <c r="D797" s="7" t="inlineStr">
        <is>
          <t>11.04</t>
        </is>
      </c>
      <c r="E797" s="7" t="inlineStr">
        <is>
          <t>3</t>
        </is>
      </c>
      <c r="F797" t="inlineStr">
        <is>
          <t>British Columbia</t>
        </is>
      </c>
      <c r="G797" t="inlineStr">
        <is>
          <t>Commons Racquet Club at Predator Ridge</t>
        </is>
      </c>
      <c r="H797" s="7" t="inlineStr">
        <is>
          <t>37.2</t>
        </is>
      </c>
      <c r="I797" t="n">
        <v>40</v>
      </c>
      <c r="J797" t="inlineStr">
        <is>
          <t>20 / 20</t>
        </is>
      </c>
      <c r="K797" s="7" t="inlineStr">
        <is>
          <t>38%</t>
        </is>
      </c>
    </row>
    <row r="798">
      <c r="A798" s="9" t="inlineStr">
        <is>
          <t>797 (▼1)</t>
        </is>
      </c>
      <c r="B798" t="inlineStr">
        <is>
          <t>Maya Chow</t>
        </is>
      </c>
      <c r="C798" t="n">
        <v>2012</v>
      </c>
      <c r="D798" s="7" t="inlineStr">
        <is>
          <t>11.01</t>
        </is>
      </c>
      <c r="E798" s="7" t="inlineStr">
        <is>
          <t>1</t>
        </is>
      </c>
      <c r="F798" t="inlineStr">
        <is>
          <t>Ontario Tennis Association</t>
        </is>
      </c>
      <c r="G798" t="inlineStr">
        <is>
          <t>ACE Tennis - Toronto Tennis City</t>
        </is>
      </c>
      <c r="H798" s="7" t="inlineStr">
        <is>
          <t>34.6</t>
        </is>
      </c>
      <c r="I798" t="n">
        <v>16</v>
      </c>
      <c r="J798" t="inlineStr">
        <is>
          <t>10 / 6</t>
        </is>
      </c>
      <c r="K798" s="7" t="inlineStr">
        <is>
          <t>62%</t>
        </is>
      </c>
    </row>
    <row r="799">
      <c r="A799" s="9" t="inlineStr">
        <is>
          <t>798 (▼1)</t>
        </is>
      </c>
      <c r="B799" t="inlineStr">
        <is>
          <t>Fabiola Antonella Sanchez Ferreyra</t>
        </is>
      </c>
      <c r="C799" t="n">
        <v>2015</v>
      </c>
      <c r="D799" s="7" t="inlineStr">
        <is>
          <t>10.87</t>
        </is>
      </c>
      <c r="E799" s="7" t="inlineStr">
        <is>
          <t>1</t>
        </is>
      </c>
      <c r="F799" t="inlineStr">
        <is>
          <t>Tennis Québec</t>
        </is>
      </c>
      <c r="G799" t="inlineStr">
        <is>
          <t>SANI Sport</t>
        </is>
      </c>
      <c r="H799" s="7" t="inlineStr">
        <is>
          <t>39.4</t>
        </is>
      </c>
      <c r="I799" t="n">
        <v>13</v>
      </c>
      <c r="J799" t="inlineStr">
        <is>
          <t>7 / 6</t>
        </is>
      </c>
      <c r="K799" s="7" t="inlineStr">
        <is>
          <t>0%</t>
        </is>
      </c>
    </row>
    <row r="800">
      <c r="A800" s="9" t="inlineStr">
        <is>
          <t>799 (▼1)</t>
        </is>
      </c>
      <c r="B800" t="inlineStr">
        <is>
          <t>Archini Bera</t>
        </is>
      </c>
      <c r="C800" t="n">
        <v>2016</v>
      </c>
      <c r="D800" s="7" t="inlineStr">
        <is>
          <t>10.80</t>
        </is>
      </c>
      <c r="E800" s="7" t="inlineStr">
        <is>
          <t>3</t>
        </is>
      </c>
      <c r="F800" t="inlineStr">
        <is>
          <t>Ontario Tennis Association</t>
        </is>
      </c>
      <c r="G800" t="inlineStr">
        <is>
          <t>Rideau Sports Centre</t>
        </is>
      </c>
      <c r="H800" s="7" t="inlineStr">
        <is>
          <t>37.8</t>
        </is>
      </c>
      <c r="I800" t="n">
        <v>50</v>
      </c>
      <c r="J800" t="inlineStr">
        <is>
          <t>30 / 20</t>
        </is>
      </c>
      <c r="K800" s="7" t="inlineStr">
        <is>
          <t>71%</t>
        </is>
      </c>
    </row>
    <row r="801">
      <c r="A801" s="9" t="inlineStr">
        <is>
          <t>799 (▼1)</t>
        </is>
      </c>
      <c r="B801" t="inlineStr">
        <is>
          <t>Christina Chen</t>
        </is>
      </c>
      <c r="C801" t="n">
        <v>2016</v>
      </c>
      <c r="D801" s="7" t="inlineStr">
        <is>
          <t>10.80</t>
        </is>
      </c>
      <c r="E801" s="7" t="inlineStr">
        <is>
          <t>3</t>
        </is>
      </c>
      <c r="F801" t="inlineStr">
        <is>
          <t>Ontario Tennis Association</t>
        </is>
      </c>
      <c r="G801" t="inlineStr">
        <is>
          <t>No Club</t>
        </is>
      </c>
      <c r="H801" s="7" t="inlineStr">
        <is>
          <t>39.9</t>
        </is>
      </c>
      <c r="I801" t="n">
        <v>74</v>
      </c>
      <c r="J801" t="inlineStr">
        <is>
          <t>7 / 67</t>
        </is>
      </c>
      <c r="K801" s="7" t="inlineStr">
        <is>
          <t>18%</t>
        </is>
      </c>
    </row>
    <row r="802">
      <c r="A802" s="9" t="inlineStr">
        <is>
          <t>799 (▼1)</t>
        </is>
      </c>
      <c r="B802" t="inlineStr">
        <is>
          <t>Jiayi Emma Wang</t>
        </is>
      </c>
      <c r="C802" t="n">
        <v>2012</v>
      </c>
      <c r="D802" s="7" t="inlineStr">
        <is>
          <t>10.80</t>
        </is>
      </c>
      <c r="E802" s="7" t="inlineStr">
        <is>
          <t>1</t>
        </is>
      </c>
      <c r="F802" t="inlineStr">
        <is>
          <t>British Columbia</t>
        </is>
      </c>
      <c r="G802" t="inlineStr">
        <is>
          <t>No Club</t>
        </is>
      </c>
      <c r="H802" s="7" t="inlineStr">
        <is>
          <t>unavailable</t>
        </is>
      </c>
      <c r="I802" t="n">
        <v>12</v>
      </c>
      <c r="J802" t="inlineStr">
        <is>
          <t>2 / 10</t>
        </is>
      </c>
      <c r="K802" s="7" t="inlineStr">
        <is>
          <t>50%</t>
        </is>
      </c>
    </row>
    <row r="803">
      <c r="A803" s="8" t="inlineStr">
        <is>
          <t>802 (▲40)</t>
        </is>
      </c>
      <c r="B803" t="inlineStr">
        <is>
          <t>marguerite yuruk</t>
        </is>
      </c>
      <c r="C803" t="n">
        <v>2015</v>
      </c>
      <c r="D803" s="8" t="inlineStr">
        <is>
          <t>10.63 (▲3.67)</t>
        </is>
      </c>
      <c r="E803" s="8" t="inlineStr">
        <is>
          <t>3 (+1)</t>
        </is>
      </c>
      <c r="F803" t="inlineStr">
        <is>
          <t>Tennis Québec</t>
        </is>
      </c>
      <c r="G803" t="inlineStr">
        <is>
          <t>Tennis 13</t>
        </is>
      </c>
      <c r="H803" s="9" t="inlineStr">
        <is>
          <t>39.8 (▼0.3)</t>
        </is>
      </c>
      <c r="I803" t="n">
        <v>8</v>
      </c>
      <c r="J803" t="inlineStr">
        <is>
          <t>2 / 6</t>
        </is>
      </c>
      <c r="K803" s="8" t="inlineStr">
        <is>
          <t>25% (▲4%)</t>
        </is>
      </c>
    </row>
    <row r="804">
      <c r="A804" s="9" t="inlineStr">
        <is>
          <t>803 (▼1)</t>
        </is>
      </c>
      <c r="B804" t="inlineStr">
        <is>
          <t>Jaclyn Zhang</t>
        </is>
      </c>
      <c r="C804" t="n">
        <v>2016</v>
      </c>
      <c r="D804" s="7" t="inlineStr">
        <is>
          <t>10.48</t>
        </is>
      </c>
      <c r="E804" s="7" t="inlineStr">
        <is>
          <t>6</t>
        </is>
      </c>
      <c r="F804" t="inlineStr">
        <is>
          <t>British Columbia</t>
        </is>
      </c>
      <c r="G804" t="inlineStr">
        <is>
          <t>UBC Tennis Centre</t>
        </is>
      </c>
      <c r="H804" s="7" t="inlineStr">
        <is>
          <t>39.1</t>
        </is>
      </c>
      <c r="I804" t="n">
        <v>79</v>
      </c>
      <c r="J804" t="inlineStr">
        <is>
          <t>44 / 35</t>
        </is>
      </c>
      <c r="K804" s="7" t="inlineStr">
        <is>
          <t>44%</t>
        </is>
      </c>
    </row>
    <row r="805">
      <c r="A805" s="9" t="inlineStr">
        <is>
          <t>804 (▼1)</t>
        </is>
      </c>
      <c r="B805" t="inlineStr">
        <is>
          <t>Madelyn Palsat</t>
        </is>
      </c>
      <c r="C805" t="n">
        <v>2014</v>
      </c>
      <c r="D805" s="7" t="inlineStr">
        <is>
          <t>10.44</t>
        </is>
      </c>
      <c r="E805" s="7" t="inlineStr">
        <is>
          <t>9</t>
        </is>
      </c>
      <c r="F805" t="inlineStr">
        <is>
          <t>Tennis Alberta</t>
        </is>
      </c>
      <c r="G805" t="inlineStr">
        <is>
          <t>Royal Glenora Club</t>
        </is>
      </c>
      <c r="H805" s="7" t="inlineStr">
        <is>
          <t>37.0</t>
        </is>
      </c>
      <c r="I805" t="n">
        <v>21</v>
      </c>
      <c r="J805" t="inlineStr">
        <is>
          <t>10 / 11</t>
        </is>
      </c>
      <c r="K805" s="7" t="inlineStr">
        <is>
          <t>48%</t>
        </is>
      </c>
    </row>
    <row r="806">
      <c r="A806" s="9" t="inlineStr">
        <is>
          <t>805 (▼1)</t>
        </is>
      </c>
      <c r="B806" t="inlineStr">
        <is>
          <t>Lingxi Li</t>
        </is>
      </c>
      <c r="C806" t="n">
        <v>2013</v>
      </c>
      <c r="D806" s="7" t="inlineStr">
        <is>
          <t>10.41</t>
        </is>
      </c>
      <c r="E806" s="7" t="inlineStr">
        <is>
          <t>2</t>
        </is>
      </c>
      <c r="F806" t="inlineStr">
        <is>
          <t>British Columbia</t>
        </is>
      </c>
      <c r="G806" t="inlineStr">
        <is>
          <t>No Club</t>
        </is>
      </c>
      <c r="H806" s="7" t="inlineStr">
        <is>
          <t>38.4</t>
        </is>
      </c>
      <c r="I806" t="n">
        <v>3</v>
      </c>
      <c r="J806" t="inlineStr">
        <is>
          <t>1 / 2</t>
        </is>
      </c>
      <c r="K806" s="7" t="inlineStr">
        <is>
          <t>33%</t>
        </is>
      </c>
    </row>
    <row r="807">
      <c r="A807" s="8" t="inlineStr">
        <is>
          <t>806 (▲76)</t>
        </is>
      </c>
      <c r="B807" t="inlineStr">
        <is>
          <t>Yuxuan Niu</t>
        </is>
      </c>
      <c r="C807" t="n">
        <v>2016</v>
      </c>
      <c r="D807" s="8" t="inlineStr">
        <is>
          <t>10.37 (▲6.48)</t>
        </is>
      </c>
      <c r="E807" s="8" t="inlineStr">
        <is>
          <t>3 (+1)</t>
        </is>
      </c>
      <c r="F807" t="inlineStr">
        <is>
          <t>Ontario Tennis Association</t>
        </is>
      </c>
      <c r="G807" t="inlineStr">
        <is>
          <t>Premier Racquet Clubs – Mississauga</t>
        </is>
      </c>
      <c r="H807" s="7" t="inlineStr">
        <is>
          <t>unavailable</t>
        </is>
      </c>
      <c r="I807" t="n">
        <v>21</v>
      </c>
      <c r="J807" t="inlineStr">
        <is>
          <t>14 / 7</t>
        </is>
      </c>
      <c r="K807" s="9" t="inlineStr">
        <is>
          <t>67% (▼1%)</t>
        </is>
      </c>
    </row>
    <row r="808">
      <c r="A808" s="9" t="inlineStr">
        <is>
          <t>806 (▼1)</t>
        </is>
      </c>
      <c r="B808" t="inlineStr">
        <is>
          <t>Emmanuelle Farah Kwin Onana</t>
        </is>
      </c>
      <c r="C808" t="n">
        <v>2015</v>
      </c>
      <c r="D808" s="7" t="inlineStr">
        <is>
          <t>10.37</t>
        </is>
      </c>
      <c r="E808" s="7" t="inlineStr">
        <is>
          <t>1</t>
        </is>
      </c>
      <c r="F808" t="inlineStr">
        <is>
          <t>Tennis Québec</t>
        </is>
      </c>
      <c r="G808" t="inlineStr">
        <is>
          <t>Tennis Outaouais Performance (TOP)</t>
        </is>
      </c>
      <c r="H808" s="7" t="inlineStr">
        <is>
          <t>unavailable</t>
        </is>
      </c>
      <c r="I808" t="n">
        <v>13</v>
      </c>
      <c r="J808" t="inlineStr">
        <is>
          <t>6 / 7</t>
        </is>
      </c>
      <c r="K808" s="7" t="inlineStr">
        <is>
          <t>0%</t>
        </is>
      </c>
    </row>
    <row r="809">
      <c r="A809" s="9" t="inlineStr">
        <is>
          <t>806 (▼1)</t>
        </is>
      </c>
      <c r="B809" t="inlineStr">
        <is>
          <t>Alice Trépanier</t>
        </is>
      </c>
      <c r="C809" t="n">
        <v>2016</v>
      </c>
      <c r="D809" s="7" t="inlineStr">
        <is>
          <t>10.37</t>
        </is>
      </c>
      <c r="E809" s="7" t="inlineStr">
        <is>
          <t>1</t>
        </is>
      </c>
      <c r="F809" t="inlineStr">
        <is>
          <t>Tennis Québec</t>
        </is>
      </c>
      <c r="G809" t="inlineStr">
        <is>
          <t>Centre Récréatif Rock Forest</t>
        </is>
      </c>
      <c r="H809" s="7" t="inlineStr">
        <is>
          <t>unavailable</t>
        </is>
      </c>
      <c r="I809" t="n">
        <v>33</v>
      </c>
      <c r="J809" t="inlineStr">
        <is>
          <t>14 / 19</t>
        </is>
      </c>
      <c r="K809" s="7" t="inlineStr">
        <is>
          <t>48%</t>
        </is>
      </c>
    </row>
    <row r="810">
      <c r="A810" s="8" t="inlineStr">
        <is>
          <t>809 (▲22)</t>
        </is>
      </c>
      <c r="B810" t="inlineStr">
        <is>
          <t>Harper Thompson</t>
        </is>
      </c>
      <c r="C810" t="n">
        <v>2013</v>
      </c>
      <c r="D810" s="8" t="inlineStr">
        <is>
          <t>10.23 (▲2.20)</t>
        </is>
      </c>
      <c r="E810" s="8" t="inlineStr">
        <is>
          <t>3 (+1)</t>
        </is>
      </c>
      <c r="F810" t="inlineStr">
        <is>
          <t>Tennis Alberta</t>
        </is>
      </c>
      <c r="G810" t="inlineStr">
        <is>
          <t>The Glencoe Club</t>
        </is>
      </c>
      <c r="H810" s="7" t="inlineStr">
        <is>
          <t>unavailable</t>
        </is>
      </c>
      <c r="I810" t="n">
        <v>46</v>
      </c>
      <c r="J810" t="inlineStr">
        <is>
          <t>2 / 44</t>
        </is>
      </c>
      <c r="K810" s="7" t="inlineStr">
        <is>
          <t>0%</t>
        </is>
      </c>
    </row>
    <row r="811">
      <c r="A811" s="9" t="inlineStr">
        <is>
          <t>810 (▼3)</t>
        </is>
      </c>
      <c r="B811" t="inlineStr">
        <is>
          <t>Lexie Lapierre</t>
        </is>
      </c>
      <c r="C811" t="n">
        <v>2016</v>
      </c>
      <c r="D811" s="7" t="inlineStr">
        <is>
          <t>10.20</t>
        </is>
      </c>
      <c r="E811" s="7" t="inlineStr">
        <is>
          <t>1</t>
        </is>
      </c>
      <c r="F811" t="inlineStr">
        <is>
          <t>Tennis Québec</t>
        </is>
      </c>
      <c r="G811" t="inlineStr">
        <is>
          <t>Tennis Ile- des- Soeurs</t>
        </is>
      </c>
      <c r="H811" s="7" t="inlineStr">
        <is>
          <t>35.2</t>
        </is>
      </c>
      <c r="I811" t="n">
        <v>116</v>
      </c>
      <c r="J811" t="inlineStr">
        <is>
          <t>66 / 50</t>
        </is>
      </c>
      <c r="K811" s="7" t="inlineStr">
        <is>
          <t>63%</t>
        </is>
      </c>
    </row>
    <row r="812">
      <c r="A812" s="9" t="inlineStr">
        <is>
          <t>811 (▼3)</t>
        </is>
      </c>
      <c r="B812" t="inlineStr">
        <is>
          <t>Flore Laferrière</t>
        </is>
      </c>
      <c r="C812" t="n">
        <v>2014</v>
      </c>
      <c r="D812" s="7" t="inlineStr">
        <is>
          <t>10.15</t>
        </is>
      </c>
      <c r="E812" s="7" t="inlineStr">
        <is>
          <t>3</t>
        </is>
      </c>
      <c r="F812" t="inlineStr">
        <is>
          <t>Tennis Québec</t>
        </is>
      </c>
      <c r="G812" t="inlineStr">
        <is>
          <t>Tennis 3R- l’Academie l’échange</t>
        </is>
      </c>
      <c r="H812" s="7" t="inlineStr">
        <is>
          <t>39.6</t>
        </is>
      </c>
      <c r="I812" t="n">
        <v>8</v>
      </c>
      <c r="J812" t="inlineStr">
        <is>
          <t>1 / 7</t>
        </is>
      </c>
      <c r="K812" s="7" t="inlineStr">
        <is>
          <t>0%</t>
        </is>
      </c>
    </row>
    <row r="813">
      <c r="A813" s="9" t="inlineStr">
        <is>
          <t>812 (▼3)</t>
        </is>
      </c>
      <c r="B813" t="inlineStr">
        <is>
          <t>Jaelynn Lumandas</t>
        </is>
      </c>
      <c r="C813" t="n">
        <v>2015</v>
      </c>
      <c r="D813" s="7" t="inlineStr">
        <is>
          <t>10.14</t>
        </is>
      </c>
      <c r="E813" s="7" t="inlineStr">
        <is>
          <t>3</t>
        </is>
      </c>
      <c r="F813" t="inlineStr">
        <is>
          <t>Tennis Alberta</t>
        </is>
      </c>
      <c r="G813" t="inlineStr">
        <is>
          <t>Saville Community Sports Centre</t>
        </is>
      </c>
      <c r="H813" s="7" t="inlineStr">
        <is>
          <t>40.0</t>
        </is>
      </c>
      <c r="I813" t="n">
        <v>25</v>
      </c>
      <c r="J813" t="inlineStr">
        <is>
          <t>1 / 24</t>
        </is>
      </c>
      <c r="K813" s="7" t="inlineStr">
        <is>
          <t>0%</t>
        </is>
      </c>
    </row>
    <row r="814">
      <c r="A814" s="9" t="inlineStr">
        <is>
          <t>813 (▼3)</t>
        </is>
      </c>
      <c r="B814" t="inlineStr">
        <is>
          <t>Kate Sumner</t>
        </is>
      </c>
      <c r="C814" t="n">
        <v>2013</v>
      </c>
      <c r="D814" s="7" t="inlineStr">
        <is>
          <t>9.98</t>
        </is>
      </c>
      <c r="E814" s="7" t="inlineStr">
        <is>
          <t>2</t>
        </is>
      </c>
      <c r="F814" t="inlineStr">
        <is>
          <t>Ontario Tennis Association</t>
        </is>
      </c>
      <c r="G814" t="inlineStr">
        <is>
          <t>Toronto Cricket Skating &amp; Curling</t>
        </is>
      </c>
      <c r="H814" s="7" t="inlineStr">
        <is>
          <t>unavailable</t>
        </is>
      </c>
      <c r="I814" t="n">
        <v>33</v>
      </c>
      <c r="J814" t="inlineStr">
        <is>
          <t>11 / 22</t>
        </is>
      </c>
      <c r="K814" s="7" t="inlineStr">
        <is>
          <t>50%</t>
        </is>
      </c>
    </row>
    <row r="815">
      <c r="A815" s="9" t="inlineStr">
        <is>
          <t>814 (▼13)</t>
        </is>
      </c>
      <c r="B815" t="inlineStr">
        <is>
          <t>Alice Xinlan Zhang</t>
        </is>
      </c>
      <c r="C815" t="n">
        <v>2013</v>
      </c>
      <c r="D815" s="9" t="inlineStr">
        <is>
          <t>9.88 (▼0.80)</t>
        </is>
      </c>
      <c r="E815" s="7" t="inlineStr">
        <is>
          <t>1</t>
        </is>
      </c>
      <c r="F815" t="inlineStr">
        <is>
          <t>Tennis Newfoundland &amp; Labrador</t>
        </is>
      </c>
      <c r="G815" t="inlineStr">
        <is>
          <t>Greenbelt Tennis Club</t>
        </is>
      </c>
      <c r="H815" s="7" t="inlineStr">
        <is>
          <t>38.5</t>
        </is>
      </c>
      <c r="I815" t="n">
        <v>2</v>
      </c>
      <c r="J815" t="inlineStr">
        <is>
          <t>0 / 2</t>
        </is>
      </c>
      <c r="K815" s="7" t="inlineStr">
        <is>
          <t>0%</t>
        </is>
      </c>
    </row>
    <row r="816">
      <c r="A816" s="9" t="inlineStr">
        <is>
          <t>815 (▼4)</t>
        </is>
      </c>
      <c r="B816" t="inlineStr">
        <is>
          <t>Eleonore Dufour-McIver</t>
        </is>
      </c>
      <c r="C816" t="n">
        <v>2015</v>
      </c>
      <c r="D816" s="7" t="inlineStr">
        <is>
          <t>9.69</t>
        </is>
      </c>
      <c r="E816" s="7" t="inlineStr">
        <is>
          <t>2</t>
        </is>
      </c>
      <c r="F816" t="inlineStr">
        <is>
          <t>Tennis Québec</t>
        </is>
      </c>
      <c r="G816" t="inlineStr">
        <is>
          <t>GRINDTENNIS</t>
        </is>
      </c>
      <c r="H816" s="7" t="inlineStr">
        <is>
          <t>36.0</t>
        </is>
      </c>
      <c r="I816" t="n">
        <v>12</v>
      </c>
      <c r="J816" t="inlineStr">
        <is>
          <t>9 / 3</t>
        </is>
      </c>
      <c r="K816" s="7" t="inlineStr">
        <is>
          <t>0%</t>
        </is>
      </c>
    </row>
    <row r="817">
      <c r="A817" s="9" t="inlineStr">
        <is>
          <t>816 (▼4)</t>
        </is>
      </c>
      <c r="B817" t="inlineStr">
        <is>
          <t>Anastasia Gorceac</t>
        </is>
      </c>
      <c r="C817" t="n">
        <v>2013</v>
      </c>
      <c r="D817" s="7" t="inlineStr">
        <is>
          <t>9.61</t>
        </is>
      </c>
      <c r="E817" s="7" t="inlineStr">
        <is>
          <t>2</t>
        </is>
      </c>
      <c r="F817" t="inlineStr">
        <is>
          <t>Tennis Québec</t>
        </is>
      </c>
      <c r="G817" t="inlineStr">
        <is>
          <t>No Club</t>
        </is>
      </c>
      <c r="H817" s="7" t="inlineStr">
        <is>
          <t>37.9</t>
        </is>
      </c>
      <c r="I817" t="n">
        <v>8</v>
      </c>
      <c r="J817" t="inlineStr">
        <is>
          <t>4 / 4</t>
        </is>
      </c>
      <c r="K817" s="7" t="inlineStr">
        <is>
          <t>0%</t>
        </is>
      </c>
    </row>
    <row r="818">
      <c r="A818" s="9" t="inlineStr">
        <is>
          <t>817 (▼4)</t>
        </is>
      </c>
      <c r="B818" t="inlineStr">
        <is>
          <t>Violet Rose Divell</t>
        </is>
      </c>
      <c r="C818" t="n">
        <v>2015</v>
      </c>
      <c r="D818" s="7" t="inlineStr">
        <is>
          <t>9.60</t>
        </is>
      </c>
      <c r="E818" s="7" t="inlineStr">
        <is>
          <t>3</t>
        </is>
      </c>
      <c r="F818" t="inlineStr">
        <is>
          <t>Tennis Québec</t>
        </is>
      </c>
      <c r="G818" t="inlineStr">
        <is>
          <t>Académie de tennis UNI(T)</t>
        </is>
      </c>
      <c r="H818" s="7" t="inlineStr">
        <is>
          <t>39.4</t>
        </is>
      </c>
      <c r="I818" t="n">
        <v>6</v>
      </c>
      <c r="J818" t="inlineStr">
        <is>
          <t>1 / 5</t>
        </is>
      </c>
      <c r="K818" s="7" t="inlineStr">
        <is>
          <t>17%</t>
        </is>
      </c>
    </row>
    <row r="819">
      <c r="A819" s="8" t="inlineStr">
        <is>
          <t>818 (▲22)</t>
        </is>
      </c>
      <c r="B819" t="inlineStr">
        <is>
          <t>Ava Woo</t>
        </is>
      </c>
      <c r="C819" t="n">
        <v>2012</v>
      </c>
      <c r="D819" s="8" t="inlineStr">
        <is>
          <t>9.54 (▲2.02)</t>
        </is>
      </c>
      <c r="E819" s="8" t="inlineStr">
        <is>
          <t>2 (+1)</t>
        </is>
      </c>
      <c r="F819" t="inlineStr">
        <is>
          <t>Tennis Alberta</t>
        </is>
      </c>
      <c r="G819" t="inlineStr">
        <is>
          <t>IQ Tennis and Pickleball Centre</t>
        </is>
      </c>
      <c r="H819" s="7" t="inlineStr">
        <is>
          <t>unavailable</t>
        </is>
      </c>
      <c r="I819" t="n">
        <v>4</v>
      </c>
      <c r="J819" t="inlineStr">
        <is>
          <t>1 / 3</t>
        </is>
      </c>
      <c r="K819" s="9" t="inlineStr">
        <is>
          <t>25% (▼25%)</t>
        </is>
      </c>
    </row>
    <row r="820">
      <c r="A820" s="9" t="inlineStr">
        <is>
          <t>819 (▼4)</t>
        </is>
      </c>
      <c r="B820" t="inlineStr">
        <is>
          <t>Eya Louati</t>
        </is>
      </c>
      <c r="C820" t="n">
        <v>2012</v>
      </c>
      <c r="D820" s="7" t="inlineStr">
        <is>
          <t>9.50</t>
        </is>
      </c>
      <c r="E820" s="7" t="inlineStr">
        <is>
          <t>1</t>
        </is>
      </c>
      <c r="F820" t="inlineStr">
        <is>
          <t>Tennis Québec</t>
        </is>
      </c>
      <c r="G820" t="inlineStr">
        <is>
          <t>SANI Sport</t>
        </is>
      </c>
      <c r="H820" s="7" t="inlineStr">
        <is>
          <t>unavailable</t>
        </is>
      </c>
      <c r="I820" t="n">
        <v>90</v>
      </c>
      <c r="J820" t="inlineStr">
        <is>
          <t>28 / 62</t>
        </is>
      </c>
      <c r="K820" s="7" t="inlineStr">
        <is>
          <t>33%</t>
        </is>
      </c>
    </row>
    <row r="821">
      <c r="A821" s="9" t="inlineStr">
        <is>
          <t>820 (▼4)</t>
        </is>
      </c>
      <c r="B821" t="inlineStr">
        <is>
          <t>Yingshan Zoey Chen</t>
        </is>
      </c>
      <c r="C821" t="n">
        <v>2014</v>
      </c>
      <c r="D821" s="7" t="inlineStr">
        <is>
          <t>9.41</t>
        </is>
      </c>
      <c r="E821" s="7" t="inlineStr">
        <is>
          <t>3</t>
        </is>
      </c>
      <c r="F821" t="inlineStr">
        <is>
          <t>Ontario Tennis Association</t>
        </is>
      </c>
      <c r="G821" t="inlineStr">
        <is>
          <t>Thornhill Country Club</t>
        </is>
      </c>
      <c r="H821" s="7" t="inlineStr">
        <is>
          <t>38.5</t>
        </is>
      </c>
      <c r="I821" t="n">
        <v>24</v>
      </c>
      <c r="J821" t="inlineStr">
        <is>
          <t>5 / 19</t>
        </is>
      </c>
      <c r="K821" s="7" t="inlineStr">
        <is>
          <t>33%</t>
        </is>
      </c>
    </row>
    <row r="822">
      <c r="A822" s="9" t="inlineStr">
        <is>
          <t>821 (▼4)</t>
        </is>
      </c>
      <c r="B822" t="inlineStr">
        <is>
          <t>Charley Burgess</t>
        </is>
      </c>
      <c r="C822" t="n">
        <v>2012</v>
      </c>
      <c r="D822" s="7" t="inlineStr">
        <is>
          <t>9.23</t>
        </is>
      </c>
      <c r="E822" s="7" t="inlineStr">
        <is>
          <t>2</t>
        </is>
      </c>
      <c r="F822" t="inlineStr">
        <is>
          <t>Tennis Alberta</t>
        </is>
      </c>
      <c r="G822" t="inlineStr">
        <is>
          <t>The Glencoe Club</t>
        </is>
      </c>
      <c r="H822" s="7" t="inlineStr">
        <is>
          <t>unavailable</t>
        </is>
      </c>
      <c r="I822" t="n">
        <v>52</v>
      </c>
      <c r="J822" t="inlineStr">
        <is>
          <t>23 / 29</t>
        </is>
      </c>
      <c r="K822" s="7" t="inlineStr">
        <is>
          <t>0%</t>
        </is>
      </c>
    </row>
    <row r="823">
      <c r="A823" s="8" t="inlineStr">
        <is>
          <t>822 (▲40)</t>
        </is>
      </c>
      <c r="B823" t="inlineStr">
        <is>
          <t>Anaïs Abraham</t>
        </is>
      </c>
      <c r="C823" t="n">
        <v>2015</v>
      </c>
      <c r="D823" s="8" t="inlineStr">
        <is>
          <t>9.08 (▲3.89)</t>
        </is>
      </c>
      <c r="E823" s="8" t="inlineStr">
        <is>
          <t>2 (+1)</t>
        </is>
      </c>
      <c r="F823" t="inlineStr">
        <is>
          <t>Tennis Québec</t>
        </is>
      </c>
      <c r="G823" t="inlineStr">
        <is>
          <t>Association de tennis de Drummondville</t>
        </is>
      </c>
      <c r="H823" s="9" t="inlineStr">
        <is>
          <t>37.5 (▼0.9)</t>
        </is>
      </c>
      <c r="I823" t="n">
        <v>5</v>
      </c>
      <c r="J823" t="inlineStr">
        <is>
          <t>2 / 3</t>
        </is>
      </c>
      <c r="K823" s="8" t="inlineStr">
        <is>
          <t>40% (▲7%)</t>
        </is>
      </c>
    </row>
    <row r="824">
      <c r="A824" s="9" t="inlineStr">
        <is>
          <t>823 (▼5)</t>
        </is>
      </c>
      <c r="B824" t="inlineStr">
        <is>
          <t>Annabelle Zhao</t>
        </is>
      </c>
      <c r="C824" t="n">
        <v>2014</v>
      </c>
      <c r="D824" s="7" t="inlineStr">
        <is>
          <t>8.88</t>
        </is>
      </c>
      <c r="E824" s="7" t="inlineStr">
        <is>
          <t>3</t>
        </is>
      </c>
      <c r="F824" t="inlineStr">
        <is>
          <t>British Columbia</t>
        </is>
      </c>
      <c r="G824" t="inlineStr">
        <is>
          <t>The Tennis Centre</t>
        </is>
      </c>
      <c r="H824" s="7" t="inlineStr">
        <is>
          <t>39.0</t>
        </is>
      </c>
      <c r="I824" t="n">
        <v>61</v>
      </c>
      <c r="J824" t="inlineStr">
        <is>
          <t>30 / 31</t>
        </is>
      </c>
      <c r="K824" s="7" t="inlineStr">
        <is>
          <t>56%</t>
        </is>
      </c>
    </row>
    <row r="825">
      <c r="A825" s="9" t="inlineStr">
        <is>
          <t>824 (▼4)</t>
        </is>
      </c>
      <c r="B825" t="inlineStr">
        <is>
          <t>Isabella Maria Galati</t>
        </is>
      </c>
      <c r="C825" t="n">
        <v>2015</v>
      </c>
      <c r="D825" s="7" t="inlineStr">
        <is>
          <t>8.69</t>
        </is>
      </c>
      <c r="E825" s="7" t="inlineStr">
        <is>
          <t>2</t>
        </is>
      </c>
      <c r="F825" t="inlineStr">
        <is>
          <t>Ontario Tennis Association</t>
        </is>
      </c>
      <c r="G825" t="inlineStr">
        <is>
          <t>Pickering Tennis Academy</t>
        </is>
      </c>
      <c r="H825" s="7" t="inlineStr">
        <is>
          <t>37.7</t>
        </is>
      </c>
      <c r="I825" t="n">
        <v>24</v>
      </c>
      <c r="J825" t="inlineStr">
        <is>
          <t>11 / 13</t>
        </is>
      </c>
      <c r="K825" s="7" t="inlineStr">
        <is>
          <t>71%</t>
        </is>
      </c>
    </row>
    <row r="826">
      <c r="A826" s="9" t="inlineStr">
        <is>
          <t>825 (▼4)</t>
        </is>
      </c>
      <c r="B826" t="inlineStr">
        <is>
          <t>Candice Cui</t>
        </is>
      </c>
      <c r="C826" t="n">
        <v>2014</v>
      </c>
      <c r="D826" s="7" t="inlineStr">
        <is>
          <t>8.64</t>
        </is>
      </c>
      <c r="E826" s="7" t="inlineStr">
        <is>
          <t>2</t>
        </is>
      </c>
      <c r="F826" t="inlineStr">
        <is>
          <t>British Columbia</t>
        </is>
      </c>
      <c r="G826" t="inlineStr">
        <is>
          <t>Okanagan Mission Tennis Club Kelowna</t>
        </is>
      </c>
      <c r="H826" s="7" t="inlineStr">
        <is>
          <t>unavailable</t>
        </is>
      </c>
      <c r="I826" t="n">
        <v>30</v>
      </c>
      <c r="J826" t="inlineStr">
        <is>
          <t>11 / 19</t>
        </is>
      </c>
      <c r="K826" s="7" t="inlineStr">
        <is>
          <t>50%</t>
        </is>
      </c>
    </row>
    <row r="827">
      <c r="A827" s="9" t="inlineStr">
        <is>
          <t>825 (▼4)</t>
        </is>
      </c>
      <c r="B827" t="inlineStr">
        <is>
          <t>Chloe Brown</t>
        </is>
      </c>
      <c r="C827" t="n">
        <v>2015</v>
      </c>
      <c r="D827" s="7" t="inlineStr">
        <is>
          <t>8.64</t>
        </is>
      </c>
      <c r="E827" s="9" t="inlineStr">
        <is>
          <t>2 (-1)</t>
        </is>
      </c>
      <c r="F827" t="inlineStr">
        <is>
          <t>British Columbia</t>
        </is>
      </c>
      <c r="G827" t="inlineStr">
        <is>
          <t>Commons Racquet Club at Predator Ridge</t>
        </is>
      </c>
      <c r="H827" s="7" t="inlineStr">
        <is>
          <t>38.5</t>
        </is>
      </c>
      <c r="I827" t="n">
        <v>25</v>
      </c>
      <c r="J827" t="inlineStr">
        <is>
          <t>10 / 15</t>
        </is>
      </c>
      <c r="K827" s="7" t="inlineStr">
        <is>
          <t>57%</t>
        </is>
      </c>
    </row>
    <row r="828">
      <c r="A828" s="9" t="inlineStr">
        <is>
          <t>827 (▼4)</t>
        </is>
      </c>
      <c r="B828" t="inlineStr">
        <is>
          <t>Ivana Novatus Nguma</t>
        </is>
      </c>
      <c r="C828" t="n">
        <v>2015</v>
      </c>
      <c r="D828" s="7" t="inlineStr">
        <is>
          <t>8.60</t>
        </is>
      </c>
      <c r="E828" s="7" t="inlineStr">
        <is>
          <t>3</t>
        </is>
      </c>
      <c r="F828" t="inlineStr">
        <is>
          <t>Tennis Alberta</t>
        </is>
      </c>
      <c r="G828" t="inlineStr">
        <is>
          <t>Calgary Tennis Society</t>
        </is>
      </c>
      <c r="H828" s="7" t="inlineStr">
        <is>
          <t>37.2</t>
        </is>
      </c>
      <c r="I828" t="n">
        <v>29</v>
      </c>
      <c r="J828" t="inlineStr">
        <is>
          <t>15 / 14</t>
        </is>
      </c>
      <c r="K828" s="7" t="inlineStr">
        <is>
          <t>65%</t>
        </is>
      </c>
    </row>
    <row r="829">
      <c r="A829" s="8" t="inlineStr">
        <is>
          <t>828 (▲5)</t>
        </is>
      </c>
      <c r="B829" t="inlineStr">
        <is>
          <t>Adele Birry</t>
        </is>
      </c>
      <c r="C829" t="n">
        <v>2016</v>
      </c>
      <c r="D829" s="8" t="inlineStr">
        <is>
          <t>8.56 (▲0.65)</t>
        </is>
      </c>
      <c r="E829" s="7" t="inlineStr">
        <is>
          <t>2</t>
        </is>
      </c>
      <c r="F829" t="inlineStr">
        <is>
          <t>Tennis Québec</t>
        </is>
      </c>
      <c r="G829" t="inlineStr">
        <is>
          <t>Club de tennis intérieur Saguenay</t>
        </is>
      </c>
      <c r="H829" s="7" t="inlineStr">
        <is>
          <t>unavailable</t>
        </is>
      </c>
      <c r="I829" t="n">
        <v>23</v>
      </c>
      <c r="J829" t="inlineStr">
        <is>
          <t>9 / 14</t>
        </is>
      </c>
      <c r="K829" s="7" t="inlineStr">
        <is>
          <t>35%</t>
        </is>
      </c>
    </row>
    <row r="830">
      <c r="A830" s="9" t="inlineStr">
        <is>
          <t>829 (▼5)</t>
        </is>
      </c>
      <c r="B830" t="inlineStr">
        <is>
          <t>KIanna Jia Christianson</t>
        </is>
      </c>
      <c r="C830" t="n">
        <v>2013</v>
      </c>
      <c r="D830" s="7" t="inlineStr">
        <is>
          <t>8.42</t>
        </is>
      </c>
      <c r="E830" s="7" t="inlineStr">
        <is>
          <t>1</t>
        </is>
      </c>
      <c r="F830" t="inlineStr">
        <is>
          <t>British Columbia</t>
        </is>
      </c>
      <c r="G830" t="inlineStr">
        <is>
          <t>City of Burnaby</t>
        </is>
      </c>
      <c r="H830" s="7" t="inlineStr">
        <is>
          <t>40.0</t>
        </is>
      </c>
      <c r="I830" t="n">
        <v>10</v>
      </c>
      <c r="J830" t="inlineStr">
        <is>
          <t>5 / 5</t>
        </is>
      </c>
      <c r="K830" s="7" t="inlineStr">
        <is>
          <t>40%</t>
        </is>
      </c>
    </row>
    <row r="831">
      <c r="A831" s="9" t="inlineStr">
        <is>
          <t>829 (▼5)</t>
        </is>
      </c>
      <c r="B831" t="inlineStr">
        <is>
          <t>LUCY HA</t>
        </is>
      </c>
      <c r="C831" t="n">
        <v>2012</v>
      </c>
      <c r="D831" s="7" t="inlineStr">
        <is>
          <t>8.42</t>
        </is>
      </c>
      <c r="E831" s="7" t="inlineStr">
        <is>
          <t>2</t>
        </is>
      </c>
      <c r="F831" t="inlineStr">
        <is>
          <t>British Columbia</t>
        </is>
      </c>
      <c r="G831" t="inlineStr">
        <is>
          <t>Tennis BC Hub @ Richmond</t>
        </is>
      </c>
      <c r="H831" s="7" t="inlineStr">
        <is>
          <t>37.7</t>
        </is>
      </c>
      <c r="I831" t="n">
        <v>28</v>
      </c>
      <c r="J831" t="inlineStr">
        <is>
          <t>4 / 24</t>
        </is>
      </c>
      <c r="K831" s="7" t="inlineStr">
        <is>
          <t>0%</t>
        </is>
      </c>
    </row>
    <row r="832">
      <c r="A832" s="9" t="inlineStr">
        <is>
          <t>829 (▼5)</t>
        </is>
      </c>
      <c r="B832" t="inlineStr">
        <is>
          <t>Elisha Lee</t>
        </is>
      </c>
      <c r="C832" t="n">
        <v>2012</v>
      </c>
      <c r="D832" s="7" t="inlineStr">
        <is>
          <t>8.42</t>
        </is>
      </c>
      <c r="E832" s="7" t="inlineStr">
        <is>
          <t>1</t>
        </is>
      </c>
      <c r="F832" t="inlineStr">
        <is>
          <t>British Columbia</t>
        </is>
      </c>
      <c r="G832" t="inlineStr">
        <is>
          <t>Great West Fitness and Racquets Club</t>
        </is>
      </c>
      <c r="H832" s="7" t="inlineStr">
        <is>
          <t>37.8</t>
        </is>
      </c>
      <c r="I832" t="n">
        <v>52</v>
      </c>
      <c r="J832" t="inlineStr">
        <is>
          <t>21 / 31</t>
        </is>
      </c>
      <c r="K832" s="7" t="inlineStr">
        <is>
          <t>44%</t>
        </is>
      </c>
    </row>
    <row r="833">
      <c r="A833" s="9" t="inlineStr">
        <is>
          <t>829 (▼5)</t>
        </is>
      </c>
      <c r="B833" t="inlineStr">
        <is>
          <t>Ruike Ni</t>
        </is>
      </c>
      <c r="C833" t="n">
        <v>2012</v>
      </c>
      <c r="D833" s="7" t="inlineStr">
        <is>
          <t>8.42</t>
        </is>
      </c>
      <c r="E833" s="7" t="inlineStr">
        <is>
          <t>1</t>
        </is>
      </c>
      <c r="F833" t="inlineStr">
        <is>
          <t>British Columbia</t>
        </is>
      </c>
      <c r="G833" t="inlineStr">
        <is>
          <t>Tennis for Life</t>
        </is>
      </c>
      <c r="H833" s="7" t="inlineStr">
        <is>
          <t>38.4</t>
        </is>
      </c>
      <c r="I833" t="n">
        <v>7</v>
      </c>
      <c r="J833" t="inlineStr">
        <is>
          <t>2 / 5</t>
        </is>
      </c>
      <c r="K833" s="7" t="inlineStr">
        <is>
          <t>0%</t>
        </is>
      </c>
    </row>
    <row r="834">
      <c r="A834" s="9" t="inlineStr">
        <is>
          <t>833 (▼5)</t>
        </is>
      </c>
      <c r="B834" t="inlineStr">
        <is>
          <t>Mila Sofia Galvez Bourgeois-Charbonneau</t>
        </is>
      </c>
      <c r="C834" t="n">
        <v>2015</v>
      </c>
      <c r="D834" s="7" t="inlineStr">
        <is>
          <t>8.30</t>
        </is>
      </c>
      <c r="E834" s="7" t="inlineStr">
        <is>
          <t>2</t>
        </is>
      </c>
      <c r="F834" t="inlineStr">
        <is>
          <t>Tennis Québec</t>
        </is>
      </c>
      <c r="G834" t="inlineStr">
        <is>
          <t>AA Autre club</t>
        </is>
      </c>
      <c r="H834" s="7" t="inlineStr">
        <is>
          <t>37.3</t>
        </is>
      </c>
      <c r="I834" t="n">
        <v>10</v>
      </c>
      <c r="J834" t="inlineStr">
        <is>
          <t>5 / 5</t>
        </is>
      </c>
      <c r="K834" s="7" t="inlineStr">
        <is>
          <t>71%</t>
        </is>
      </c>
    </row>
    <row r="835">
      <c r="A835" s="9" t="inlineStr">
        <is>
          <t>834 (▼5)</t>
        </is>
      </c>
      <c r="B835" t="inlineStr">
        <is>
          <t>Peiyu(Cici) Li</t>
        </is>
      </c>
      <c r="C835" t="n">
        <v>2016</v>
      </c>
      <c r="D835" s="7" t="inlineStr">
        <is>
          <t>8.16</t>
        </is>
      </c>
      <c r="E835" s="7" t="inlineStr">
        <is>
          <t>8</t>
        </is>
      </c>
      <c r="F835" t="inlineStr">
        <is>
          <t>Tennis Nova Scotia</t>
        </is>
      </c>
      <c r="G835" t="inlineStr">
        <is>
          <t>Atlantic Tennis Centre</t>
        </is>
      </c>
      <c r="H835" s="7" t="inlineStr">
        <is>
          <t>39.3</t>
        </is>
      </c>
      <c r="I835" t="n">
        <v>51</v>
      </c>
      <c r="J835" t="inlineStr">
        <is>
          <t>18 / 33</t>
        </is>
      </c>
      <c r="K835" s="7" t="inlineStr">
        <is>
          <t>30%</t>
        </is>
      </c>
    </row>
    <row r="836">
      <c r="A836" s="9" t="inlineStr">
        <is>
          <t>835 (▼3)</t>
        </is>
      </c>
      <c r="B836" t="inlineStr">
        <is>
          <t>Anaya Mohammed Shurrab</t>
        </is>
      </c>
      <c r="C836" t="n">
        <v>2013</v>
      </c>
      <c r="D836" s="7" t="inlineStr">
        <is>
          <t>8.01</t>
        </is>
      </c>
      <c r="E836" s="7" t="inlineStr">
        <is>
          <t>1</t>
        </is>
      </c>
      <c r="F836" t="inlineStr">
        <is>
          <t>Ontario Tennis Association</t>
        </is>
      </c>
      <c r="G836" t="inlineStr">
        <is>
          <t>Sudbury Indoor Tennis Centre</t>
        </is>
      </c>
      <c r="H836" s="7" t="inlineStr">
        <is>
          <t>38.8</t>
        </is>
      </c>
      <c r="I836" t="n">
        <v>2</v>
      </c>
      <c r="J836" t="inlineStr">
        <is>
          <t>0 / 2</t>
        </is>
      </c>
      <c r="K836" s="7" t="inlineStr">
        <is>
          <t>0%</t>
        </is>
      </c>
    </row>
    <row r="837">
      <c r="A837" s="9" t="inlineStr">
        <is>
          <t>836 (▼3)</t>
        </is>
      </c>
      <c r="B837" t="inlineStr">
        <is>
          <t>Lyskha Ann Louis</t>
        </is>
      </c>
      <c r="C837" t="n">
        <v>2015</v>
      </c>
      <c r="D837" s="7" t="inlineStr">
        <is>
          <t>7.91</t>
        </is>
      </c>
      <c r="E837" s="7" t="inlineStr">
        <is>
          <t>2</t>
        </is>
      </c>
      <c r="F837" t="inlineStr">
        <is>
          <t>Tennis Québec</t>
        </is>
      </c>
      <c r="G837" t="inlineStr">
        <is>
          <t>Tennis 13</t>
        </is>
      </c>
      <c r="H837" s="7" t="inlineStr">
        <is>
          <t>36.4</t>
        </is>
      </c>
      <c r="I837" t="n">
        <v>9</v>
      </c>
      <c r="J837" t="inlineStr">
        <is>
          <t>4 / 5</t>
        </is>
      </c>
      <c r="K837" s="7" t="inlineStr">
        <is>
          <t>67%</t>
        </is>
      </c>
    </row>
    <row r="838">
      <c r="A838" s="9" t="inlineStr">
        <is>
          <t>837 (▼2)</t>
        </is>
      </c>
      <c r="B838" t="inlineStr">
        <is>
          <t>Abigale Julia Dioszeghy Beatty</t>
        </is>
      </c>
      <c r="C838" t="n">
        <v>2014</v>
      </c>
      <c r="D838" s="7" t="inlineStr">
        <is>
          <t>7.83</t>
        </is>
      </c>
      <c r="E838" s="7" t="inlineStr">
        <is>
          <t>7</t>
        </is>
      </c>
      <c r="F838" t="inlineStr">
        <is>
          <t>Tennis Alberta</t>
        </is>
      </c>
      <c r="G838" t="inlineStr">
        <is>
          <t>Royal Glenora Club</t>
        </is>
      </c>
      <c r="H838" s="7" t="inlineStr">
        <is>
          <t>37.2</t>
        </is>
      </c>
      <c r="I838" t="n">
        <v>18</v>
      </c>
      <c r="J838" t="inlineStr">
        <is>
          <t>9 / 9</t>
        </is>
      </c>
      <c r="K838" s="7" t="inlineStr">
        <is>
          <t>50%</t>
        </is>
      </c>
    </row>
    <row r="839">
      <c r="A839" s="7" t="inlineStr">
        <is>
          <t>838</t>
        </is>
      </c>
      <c r="B839" t="inlineStr">
        <is>
          <t>Dani Banquicio</t>
        </is>
      </c>
      <c r="C839" t="n">
        <v>2015</v>
      </c>
      <c r="D839" s="7" t="inlineStr">
        <is>
          <t>7.65</t>
        </is>
      </c>
      <c r="E839" s="7" t="inlineStr">
        <is>
          <t>2</t>
        </is>
      </c>
      <c r="F839" t="inlineStr">
        <is>
          <t>Tennis New Brunswick</t>
        </is>
      </c>
      <c r="G839" t="inlineStr">
        <is>
          <t>Abony Family Tennis Center</t>
        </is>
      </c>
      <c r="H839" s="7" t="inlineStr">
        <is>
          <t>40.0</t>
        </is>
      </c>
      <c r="I839" t="n">
        <v>54</v>
      </c>
      <c r="J839" t="inlineStr">
        <is>
          <t>17 / 37</t>
        </is>
      </c>
      <c r="K839" s="7" t="inlineStr">
        <is>
          <t>30%</t>
        </is>
      </c>
    </row>
    <row r="840">
      <c r="A840" s="7" t="inlineStr">
        <is>
          <t>839</t>
        </is>
      </c>
      <c r="B840" t="inlineStr">
        <is>
          <t>Audrey Dionne-Chen</t>
        </is>
      </c>
      <c r="C840" t="n">
        <v>2014</v>
      </c>
      <c r="D840" s="7" t="inlineStr">
        <is>
          <t>7.55</t>
        </is>
      </c>
      <c r="E840" s="7" t="inlineStr">
        <is>
          <t>1</t>
        </is>
      </c>
      <c r="F840" t="inlineStr">
        <is>
          <t>Ontario Tennis Association</t>
        </is>
      </c>
      <c r="G840" t="inlineStr">
        <is>
          <t>Rideau Sports Centre</t>
        </is>
      </c>
      <c r="H840" s="7" t="inlineStr">
        <is>
          <t>39.4</t>
        </is>
      </c>
      <c r="I840" t="n">
        <v>14</v>
      </c>
      <c r="J840" t="inlineStr">
        <is>
          <t>4 / 10</t>
        </is>
      </c>
      <c r="K840" s="7" t="inlineStr">
        <is>
          <t>0%</t>
        </is>
      </c>
    </row>
    <row r="841">
      <c r="A841" s="8" t="inlineStr">
        <is>
          <t>840 (▲1)</t>
        </is>
      </c>
      <c r="B841" t="inlineStr">
        <is>
          <t>Sofia Kalchenko</t>
        </is>
      </c>
      <c r="C841" t="n">
        <v>2012</v>
      </c>
      <c r="D841" s="7" t="inlineStr">
        <is>
          <t>7.17</t>
        </is>
      </c>
      <c r="E841" s="7" t="inlineStr">
        <is>
          <t>3</t>
        </is>
      </c>
      <c r="F841" t="inlineStr">
        <is>
          <t>Tennis Alberta</t>
        </is>
      </c>
      <c r="G841" t="inlineStr">
        <is>
          <t>Aforza</t>
        </is>
      </c>
      <c r="H841" s="7" t="inlineStr">
        <is>
          <t>unavailable</t>
        </is>
      </c>
      <c r="I841" t="n">
        <v>41</v>
      </c>
      <c r="J841" t="inlineStr">
        <is>
          <t>20 / 21</t>
        </is>
      </c>
      <c r="K841" s="7" t="inlineStr">
        <is>
          <t>75%</t>
        </is>
      </c>
    </row>
    <row r="842">
      <c r="A842" s="8" t="inlineStr">
        <is>
          <t>841 (New)</t>
        </is>
      </c>
      <c r="B842" t="inlineStr">
        <is>
          <t>Ava Isabelle Bearss</t>
        </is>
      </c>
      <c r="C842" t="n">
        <v>2015</v>
      </c>
      <c r="D842" s="7" t="inlineStr">
        <is>
          <t>7.15</t>
        </is>
      </c>
      <c r="E842" s="7" t="inlineStr">
        <is>
          <t>1</t>
        </is>
      </c>
      <c r="F842" t="inlineStr">
        <is>
          <t>Ontario Tennis Association</t>
        </is>
      </c>
      <c r="G842" t="inlineStr">
        <is>
          <t>Royal City Tennis Club</t>
        </is>
      </c>
      <c r="H842" s="7" t="inlineStr">
        <is>
          <t>36.3</t>
        </is>
      </c>
      <c r="I842" t="n">
        <v>25</v>
      </c>
      <c r="J842" t="inlineStr">
        <is>
          <t>10 / 15</t>
        </is>
      </c>
      <c r="K842" s="7" t="inlineStr">
        <is>
          <t>43%</t>
        </is>
      </c>
    </row>
    <row r="843">
      <c r="A843" s="8" t="inlineStr">
        <is>
          <t>842 (▲50)</t>
        </is>
      </c>
      <c r="B843" t="inlineStr">
        <is>
          <t>Tamara Skayem</t>
        </is>
      </c>
      <c r="C843" t="n">
        <v>2015</v>
      </c>
      <c r="D843" s="8" t="inlineStr">
        <is>
          <t>6.87 (▲3.12)</t>
        </is>
      </c>
      <c r="E843" s="8" t="inlineStr">
        <is>
          <t>2 (+1)</t>
        </is>
      </c>
      <c r="F843" t="inlineStr">
        <is>
          <t>Tennis Québec</t>
        </is>
      </c>
      <c r="G843" t="inlineStr">
        <is>
          <t>Club Sportif Côte-de-Liesse</t>
        </is>
      </c>
      <c r="H843" s="7" t="inlineStr">
        <is>
          <t>36.2</t>
        </is>
      </c>
      <c r="I843" t="n">
        <v>6</v>
      </c>
      <c r="J843" t="inlineStr">
        <is>
          <t>3 / 3</t>
        </is>
      </c>
      <c r="K843" s="8" t="inlineStr">
        <is>
          <t>50% (▲17%)</t>
        </is>
      </c>
    </row>
    <row r="844">
      <c r="A844" s="7" t="inlineStr">
        <is>
          <t>843</t>
        </is>
      </c>
      <c r="B844" t="inlineStr">
        <is>
          <t>Ruby Mika Szakacs</t>
        </is>
      </c>
      <c r="C844" t="n">
        <v>2015</v>
      </c>
      <c r="D844" s="7" t="inlineStr">
        <is>
          <t>6.61</t>
        </is>
      </c>
      <c r="E844" s="7" t="inlineStr">
        <is>
          <t>2</t>
        </is>
      </c>
      <c r="F844" t="inlineStr">
        <is>
          <t>Ontario Tennis Association</t>
        </is>
      </c>
      <c r="G844" t="inlineStr">
        <is>
          <t>No Club</t>
        </is>
      </c>
      <c r="H844" s="7" t="inlineStr">
        <is>
          <t>39.4</t>
        </is>
      </c>
      <c r="I844" t="n">
        <v>55</v>
      </c>
      <c r="J844" t="inlineStr">
        <is>
          <t>28 / 27</t>
        </is>
      </c>
      <c r="K844" s="7" t="inlineStr">
        <is>
          <t>0%</t>
        </is>
      </c>
    </row>
    <row r="845">
      <c r="A845" s="7" t="inlineStr">
        <is>
          <t>843</t>
        </is>
      </c>
      <c r="B845" t="inlineStr">
        <is>
          <t>Mantian Ellie Ni</t>
        </is>
      </c>
      <c r="C845" t="n">
        <v>2014</v>
      </c>
      <c r="D845" s="7" t="inlineStr">
        <is>
          <t>6.61</t>
        </is>
      </c>
      <c r="E845" s="7" t="inlineStr">
        <is>
          <t>2</t>
        </is>
      </c>
      <c r="F845" t="inlineStr">
        <is>
          <t>Ontario Tennis Association</t>
        </is>
      </c>
      <c r="G845" t="inlineStr">
        <is>
          <t>Premier Racquet Club - Markham</t>
        </is>
      </c>
      <c r="H845" s="7" t="inlineStr">
        <is>
          <t>39.5</t>
        </is>
      </c>
      <c r="I845" t="n">
        <v>23</v>
      </c>
      <c r="J845" t="inlineStr">
        <is>
          <t>7 / 16</t>
        </is>
      </c>
      <c r="K845" s="7" t="inlineStr">
        <is>
          <t>43%</t>
        </is>
      </c>
    </row>
    <row r="846">
      <c r="A846" s="9" t="inlineStr">
        <is>
          <t>845 (▼26)</t>
        </is>
      </c>
      <c r="B846" t="inlineStr">
        <is>
          <t>Jylian May II Mauricio Luces</t>
        </is>
      </c>
      <c r="C846" t="n">
        <v>2014</v>
      </c>
      <c r="D846" s="9" t="inlineStr">
        <is>
          <t>6.58 (▼2.12)</t>
        </is>
      </c>
      <c r="E846" s="9" t="inlineStr">
        <is>
          <t>5 (-1)</t>
        </is>
      </c>
      <c r="F846" t="inlineStr">
        <is>
          <t>Tennis Alberta</t>
        </is>
      </c>
      <c r="G846" t="inlineStr">
        <is>
          <t>Osten &amp; Victor Alberta Tennis Centre</t>
        </is>
      </c>
      <c r="H846" s="7" t="inlineStr">
        <is>
          <t>unavailable</t>
        </is>
      </c>
      <c r="I846" t="n">
        <v>33</v>
      </c>
      <c r="J846" t="inlineStr">
        <is>
          <t>6 / 27</t>
        </is>
      </c>
      <c r="K846" s="7" t="inlineStr">
        <is>
          <t>20%</t>
        </is>
      </c>
    </row>
    <row r="847">
      <c r="A847" s="9" t="inlineStr">
        <is>
          <t>846 (▼1)</t>
        </is>
      </c>
      <c r="B847" t="inlineStr">
        <is>
          <t>Giselle Christine Lambert</t>
        </is>
      </c>
      <c r="C847" t="n">
        <v>2013</v>
      </c>
      <c r="D847" s="7" t="inlineStr">
        <is>
          <t>6.48</t>
        </is>
      </c>
      <c r="E847" s="7" t="inlineStr">
        <is>
          <t>1</t>
        </is>
      </c>
      <c r="F847" t="inlineStr">
        <is>
          <t>British Columbia</t>
        </is>
      </c>
      <c r="G847" t="inlineStr">
        <is>
          <t>Hollyburn Country Club</t>
        </is>
      </c>
      <c r="H847" s="7" t="inlineStr">
        <is>
          <t>36.9</t>
        </is>
      </c>
      <c r="I847" t="n">
        <v>44</v>
      </c>
      <c r="J847" t="inlineStr">
        <is>
          <t>10 / 34</t>
        </is>
      </c>
      <c r="K847" s="7" t="inlineStr">
        <is>
          <t>0%</t>
        </is>
      </c>
    </row>
    <row r="848">
      <c r="A848" s="9" t="inlineStr">
        <is>
          <t>846 (▼1)</t>
        </is>
      </c>
      <c r="B848" t="inlineStr">
        <is>
          <t>Charlotte Gordovin</t>
        </is>
      </c>
      <c r="C848" t="n">
        <v>2016</v>
      </c>
      <c r="D848" s="7" t="inlineStr">
        <is>
          <t>6.48</t>
        </is>
      </c>
      <c r="E848" s="7" t="inlineStr">
        <is>
          <t>3</t>
        </is>
      </c>
      <c r="F848" t="inlineStr">
        <is>
          <t>Ontario Tennis Association</t>
        </is>
      </c>
      <c r="G848" t="inlineStr">
        <is>
          <t>ON Tennis Toronto No Club</t>
        </is>
      </c>
      <c r="H848" s="7" t="inlineStr">
        <is>
          <t>unavailable</t>
        </is>
      </c>
      <c r="I848" t="n">
        <v>84</v>
      </c>
      <c r="J848" t="inlineStr">
        <is>
          <t>41 / 43</t>
        </is>
      </c>
      <c r="K848" s="7" t="inlineStr">
        <is>
          <t>47%</t>
        </is>
      </c>
    </row>
    <row r="849">
      <c r="A849" s="9" t="inlineStr">
        <is>
          <t>846 (▼1)</t>
        </is>
      </c>
      <c r="B849" t="inlineStr">
        <is>
          <t>Juliana Pena</t>
        </is>
      </c>
      <c r="C849" t="n">
        <v>2013</v>
      </c>
      <c r="D849" s="7" t="inlineStr">
        <is>
          <t>6.48</t>
        </is>
      </c>
      <c r="E849" s="7" t="inlineStr">
        <is>
          <t>1</t>
        </is>
      </c>
      <c r="F849" t="inlineStr">
        <is>
          <t>Tennis Québec</t>
        </is>
      </c>
      <c r="G849" t="inlineStr">
        <is>
          <t>Tennis Québec (région Montréal Ouest)</t>
        </is>
      </c>
      <c r="H849" s="7" t="inlineStr">
        <is>
          <t>unavailable</t>
        </is>
      </c>
      <c r="I849" t="n">
        <v>10</v>
      </c>
      <c r="J849" t="inlineStr">
        <is>
          <t>3 / 7</t>
        </is>
      </c>
      <c r="K849" s="7" t="inlineStr">
        <is>
          <t>0%</t>
        </is>
      </c>
    </row>
    <row r="850">
      <c r="A850" s="9" t="inlineStr">
        <is>
          <t>846 (▼1)</t>
        </is>
      </c>
      <c r="B850" t="inlineStr">
        <is>
          <t>Mila Isaeva</t>
        </is>
      </c>
      <c r="C850" t="n">
        <v>2014</v>
      </c>
      <c r="D850" s="7" t="inlineStr">
        <is>
          <t>6.48</t>
        </is>
      </c>
      <c r="E850" s="7" t="inlineStr">
        <is>
          <t>1</t>
        </is>
      </c>
      <c r="F850" t="inlineStr">
        <is>
          <t>Ontario Tennis Association</t>
        </is>
      </c>
      <c r="G850" t="inlineStr">
        <is>
          <t>Tam Heather Tennis Club</t>
        </is>
      </c>
      <c r="H850" s="7" t="inlineStr">
        <is>
          <t>38.3</t>
        </is>
      </c>
      <c r="I850" t="n">
        <v>21</v>
      </c>
      <c r="J850" t="inlineStr">
        <is>
          <t>11 / 10</t>
        </is>
      </c>
      <c r="K850" s="9" t="inlineStr">
        <is>
          <t>56% (▼5%)</t>
        </is>
      </c>
    </row>
    <row r="851">
      <c r="A851" s="9" t="inlineStr">
        <is>
          <t>846 (▼1)</t>
        </is>
      </c>
      <c r="B851" t="inlineStr">
        <is>
          <t>Catherine Qu</t>
        </is>
      </c>
      <c r="C851" t="n">
        <v>2015</v>
      </c>
      <c r="D851" s="7" t="inlineStr">
        <is>
          <t>6.48</t>
        </is>
      </c>
      <c r="E851" s="7" t="inlineStr">
        <is>
          <t>1</t>
        </is>
      </c>
      <c r="F851" t="inlineStr">
        <is>
          <t>Ontario Tennis Association</t>
        </is>
      </c>
      <c r="G851" t="inlineStr">
        <is>
          <t>Royal City Tennis Club</t>
        </is>
      </c>
      <c r="H851" s="7" t="inlineStr">
        <is>
          <t>36.4</t>
        </is>
      </c>
      <c r="I851" t="n">
        <v>19</v>
      </c>
      <c r="J851" t="inlineStr">
        <is>
          <t>3 / 16</t>
        </is>
      </c>
      <c r="K851" s="7" t="inlineStr">
        <is>
          <t>50%</t>
        </is>
      </c>
    </row>
    <row r="852">
      <c r="A852" s="9" t="inlineStr">
        <is>
          <t>846 (▼1)</t>
        </is>
      </c>
      <c r="B852" t="inlineStr">
        <is>
          <t>Elina Chai</t>
        </is>
      </c>
      <c r="C852" t="n">
        <v>2014</v>
      </c>
      <c r="D852" s="7" t="inlineStr">
        <is>
          <t>6.48</t>
        </is>
      </c>
      <c r="E852" s="7" t="inlineStr">
        <is>
          <t>1</t>
        </is>
      </c>
      <c r="F852" t="inlineStr">
        <is>
          <t>Ontario Tennis Association</t>
        </is>
      </c>
      <c r="G852" t="inlineStr">
        <is>
          <t>ACE Tennis - Toronto Tennis City</t>
        </is>
      </c>
      <c r="H852" s="7" t="inlineStr">
        <is>
          <t>38.5</t>
        </is>
      </c>
      <c r="I852" t="n">
        <v>6</v>
      </c>
      <c r="J852" t="inlineStr">
        <is>
          <t>4 / 2</t>
        </is>
      </c>
      <c r="K852" s="7" t="inlineStr">
        <is>
          <t>67%</t>
        </is>
      </c>
    </row>
    <row r="853">
      <c r="A853" s="9" t="inlineStr">
        <is>
          <t>846 (▼1)</t>
        </is>
      </c>
      <c r="B853" t="inlineStr">
        <is>
          <t>Riley Yang</t>
        </is>
      </c>
      <c r="C853" t="n">
        <v>2017</v>
      </c>
      <c r="D853" s="7" t="inlineStr">
        <is>
          <t>6.48</t>
        </is>
      </c>
      <c r="E853" s="7" t="inlineStr">
        <is>
          <t>1</t>
        </is>
      </c>
      <c r="F853" t="inlineStr">
        <is>
          <t>Ontario Tennis Association</t>
        </is>
      </c>
      <c r="G853" t="inlineStr">
        <is>
          <t>Mayfair West Fitness &amp; Racquet Club</t>
        </is>
      </c>
      <c r="H853" s="7" t="inlineStr">
        <is>
          <t>unavailable</t>
        </is>
      </c>
      <c r="I853" t="n">
        <v>184</v>
      </c>
      <c r="J853" t="inlineStr">
        <is>
          <t>96 / 88</t>
        </is>
      </c>
      <c r="K853" s="7" t="inlineStr">
        <is>
          <t>57%</t>
        </is>
      </c>
    </row>
    <row r="854">
      <c r="A854" s="9" t="inlineStr">
        <is>
          <t>853 (▼1)</t>
        </is>
      </c>
      <c r="B854" t="inlineStr">
        <is>
          <t>Rowan Ferris</t>
        </is>
      </c>
      <c r="C854" t="n">
        <v>2015</v>
      </c>
      <c r="D854" s="7" t="inlineStr">
        <is>
          <t>6.48</t>
        </is>
      </c>
      <c r="E854" s="7" t="inlineStr">
        <is>
          <t>2</t>
        </is>
      </c>
      <c r="F854" t="inlineStr">
        <is>
          <t>Tennis Alberta</t>
        </is>
      </c>
      <c r="G854" t="inlineStr">
        <is>
          <t>Medicine Hat Tennis Club</t>
        </is>
      </c>
      <c r="H854" s="7" t="inlineStr">
        <is>
          <t>39.3</t>
        </is>
      </c>
      <c r="I854" t="n">
        <v>10</v>
      </c>
      <c r="J854" t="inlineStr">
        <is>
          <t>3 / 7</t>
        </is>
      </c>
      <c r="K854" s="7" t="inlineStr">
        <is>
          <t>25%</t>
        </is>
      </c>
    </row>
    <row r="855">
      <c r="A855" s="8" t="inlineStr">
        <is>
          <t>854 (▲40)</t>
        </is>
      </c>
      <c r="B855" t="inlineStr">
        <is>
          <t>Kennedy Charles</t>
        </is>
      </c>
      <c r="C855" t="n">
        <v>2015</v>
      </c>
      <c r="D855" s="8" t="inlineStr">
        <is>
          <t>6.40 (▲2.72)</t>
        </is>
      </c>
      <c r="E855" s="8" t="inlineStr">
        <is>
          <t>2 (+1)</t>
        </is>
      </c>
      <c r="F855" t="inlineStr">
        <is>
          <t>Tennis Québec</t>
        </is>
      </c>
      <c r="G855" t="inlineStr">
        <is>
          <t>Tennis 13</t>
        </is>
      </c>
      <c r="H855" s="7" t="inlineStr">
        <is>
          <t>38.0</t>
        </is>
      </c>
      <c r="I855" t="n">
        <v>7</v>
      </c>
      <c r="J855" t="inlineStr">
        <is>
          <t>2 / 5</t>
        </is>
      </c>
      <c r="K855" s="9" t="inlineStr">
        <is>
          <t>28% (▼11%)</t>
        </is>
      </c>
    </row>
    <row r="856">
      <c r="A856" s="9" t="inlineStr">
        <is>
          <t>855 (▼2)</t>
        </is>
      </c>
      <c r="B856" t="inlineStr">
        <is>
          <t>Niveah Watt-Shelton</t>
        </is>
      </c>
      <c r="C856" t="n">
        <v>2015</v>
      </c>
      <c r="D856" s="7" t="inlineStr">
        <is>
          <t>6.33</t>
        </is>
      </c>
      <c r="E856" s="7" t="inlineStr">
        <is>
          <t>2</t>
        </is>
      </c>
      <c r="F856" t="inlineStr">
        <is>
          <t>British Columbia</t>
        </is>
      </c>
      <c r="G856" t="inlineStr">
        <is>
          <t>UBC Tennis Centre</t>
        </is>
      </c>
      <c r="H856" s="7" t="inlineStr">
        <is>
          <t>unavailable</t>
        </is>
      </c>
      <c r="I856" t="n">
        <v>58</v>
      </c>
      <c r="J856" t="inlineStr">
        <is>
          <t>28 / 30</t>
        </is>
      </c>
      <c r="K856" s="7" t="inlineStr">
        <is>
          <t>50%</t>
        </is>
      </c>
    </row>
    <row r="857">
      <c r="A857" s="9" t="inlineStr">
        <is>
          <t>856 (▼2)</t>
        </is>
      </c>
      <c r="B857" t="inlineStr">
        <is>
          <t>Victoire Gayet</t>
        </is>
      </c>
      <c r="C857" t="n">
        <v>2016</v>
      </c>
      <c r="D857" s="7" t="inlineStr">
        <is>
          <t>6.26</t>
        </is>
      </c>
      <c r="E857" s="7" t="inlineStr">
        <is>
          <t>1</t>
        </is>
      </c>
      <c r="F857" t="inlineStr">
        <is>
          <t>Tennis Québec</t>
        </is>
      </c>
      <c r="G857" t="inlineStr">
        <is>
          <t>Tennis Montréal Excellence</t>
        </is>
      </c>
      <c r="H857" s="7" t="inlineStr">
        <is>
          <t>34.2</t>
        </is>
      </c>
      <c r="I857" t="n">
        <v>47</v>
      </c>
      <c r="J857" t="inlineStr">
        <is>
          <t>27 / 20</t>
        </is>
      </c>
      <c r="K857" s="7" t="inlineStr">
        <is>
          <t>70%</t>
        </is>
      </c>
    </row>
    <row r="858">
      <c r="A858" s="9" t="inlineStr">
        <is>
          <t>857 (▼2)</t>
        </is>
      </c>
      <c r="B858" t="inlineStr">
        <is>
          <t>Feiran Zhang</t>
        </is>
      </c>
      <c r="C858" t="n">
        <v>2012</v>
      </c>
      <c r="D858" s="7" t="inlineStr">
        <is>
          <t>6.25</t>
        </is>
      </c>
      <c r="E858" s="7" t="inlineStr">
        <is>
          <t>1</t>
        </is>
      </c>
      <c r="F858" t="inlineStr">
        <is>
          <t>British Columbia</t>
        </is>
      </c>
      <c r="G858" t="inlineStr">
        <is>
          <t>No Club</t>
        </is>
      </c>
      <c r="H858" s="7" t="inlineStr">
        <is>
          <t>38.1</t>
        </is>
      </c>
      <c r="I858" t="n">
        <v>14</v>
      </c>
      <c r="J858" t="inlineStr">
        <is>
          <t>5 / 9</t>
        </is>
      </c>
      <c r="K858" s="7" t="inlineStr">
        <is>
          <t>40%</t>
        </is>
      </c>
    </row>
    <row r="859">
      <c r="A859" s="9" t="inlineStr">
        <is>
          <t>857 (▼2)</t>
        </is>
      </c>
      <c r="B859" t="inlineStr">
        <is>
          <t>Huiran Zhang</t>
        </is>
      </c>
      <c r="C859" t="n">
        <v>2012</v>
      </c>
      <c r="D859" s="7" t="inlineStr">
        <is>
          <t>6.25</t>
        </is>
      </c>
      <c r="E859" s="7" t="inlineStr">
        <is>
          <t>1</t>
        </is>
      </c>
      <c r="F859" t="inlineStr">
        <is>
          <t>British Columbia</t>
        </is>
      </c>
      <c r="G859" t="inlineStr">
        <is>
          <t>No Club</t>
        </is>
      </c>
      <c r="H859" s="7" t="inlineStr">
        <is>
          <t>37.6</t>
        </is>
      </c>
      <c r="I859" t="n">
        <v>13</v>
      </c>
      <c r="J859" t="inlineStr">
        <is>
          <t>2 / 11</t>
        </is>
      </c>
      <c r="K859" s="7" t="inlineStr">
        <is>
          <t>20%</t>
        </is>
      </c>
    </row>
    <row r="860">
      <c r="A860" s="9" t="inlineStr">
        <is>
          <t>859 (▼2)</t>
        </is>
      </c>
      <c r="B860" t="inlineStr">
        <is>
          <t>Tillya Villeneuve</t>
        </is>
      </c>
      <c r="C860" t="n">
        <v>2014</v>
      </c>
      <c r="D860" s="7" t="inlineStr">
        <is>
          <t>6.18</t>
        </is>
      </c>
      <c r="E860" s="7" t="inlineStr">
        <is>
          <t>7</t>
        </is>
      </c>
      <c r="F860" t="inlineStr">
        <is>
          <t>Tennis Alberta</t>
        </is>
      </c>
      <c r="G860" t="inlineStr">
        <is>
          <t>Aforza</t>
        </is>
      </c>
      <c r="H860" s="7" t="inlineStr">
        <is>
          <t>unavailable</t>
        </is>
      </c>
      <c r="I860" t="n">
        <v>15</v>
      </c>
      <c r="J860" t="inlineStr">
        <is>
          <t>6 / 9</t>
        </is>
      </c>
      <c r="K860" s="7" t="inlineStr">
        <is>
          <t>40%</t>
        </is>
      </c>
    </row>
    <row r="861">
      <c r="A861" s="8" t="inlineStr">
        <is>
          <t>860 (New)</t>
        </is>
      </c>
      <c r="B861" t="inlineStr">
        <is>
          <t>Ève-Laurence Roy</t>
        </is>
      </c>
      <c r="C861" t="n">
        <v>2016</v>
      </c>
      <c r="D861" s="7" t="inlineStr">
        <is>
          <t>6.12</t>
        </is>
      </c>
      <c r="E861" s="7" t="inlineStr">
        <is>
          <t>1</t>
        </is>
      </c>
      <c r="F861" t="inlineStr">
        <is>
          <t>Tennis Québec</t>
        </is>
      </c>
      <c r="G861" t="inlineStr">
        <is>
          <t>SANI Sport</t>
        </is>
      </c>
      <c r="H861" s="7" t="inlineStr">
        <is>
          <t>unavailable</t>
        </is>
      </c>
      <c r="I861" t="n">
        <v>37</v>
      </c>
      <c r="J861" t="inlineStr">
        <is>
          <t>9 / 28</t>
        </is>
      </c>
      <c r="K861" s="7" t="inlineStr">
        <is>
          <t>44%</t>
        </is>
      </c>
    </row>
    <row r="862">
      <c r="A862" s="8" t="inlineStr">
        <is>
          <t>861 (▲20)</t>
        </is>
      </c>
      <c r="B862" t="inlineStr">
        <is>
          <t>Vittoria Veronica Noce</t>
        </is>
      </c>
      <c r="C862" t="n">
        <v>2013</v>
      </c>
      <c r="D862" s="8" t="inlineStr">
        <is>
          <t>6.09 (▲2.20)</t>
        </is>
      </c>
      <c r="E862" s="8" t="inlineStr">
        <is>
          <t>4 (+1)</t>
        </is>
      </c>
      <c r="F862" t="inlineStr">
        <is>
          <t>Tennis Alberta</t>
        </is>
      </c>
      <c r="G862" t="inlineStr">
        <is>
          <t>Saville Community Sports Centre</t>
        </is>
      </c>
      <c r="H862" s="9" t="inlineStr">
        <is>
          <t>37.7 (▼0.6)</t>
        </is>
      </c>
      <c r="I862" t="n">
        <v>54</v>
      </c>
      <c r="J862" t="inlineStr">
        <is>
          <t>14 / 40</t>
        </is>
      </c>
      <c r="K862" s="9" t="inlineStr">
        <is>
          <t>36% (▼2%)</t>
        </is>
      </c>
    </row>
    <row r="863">
      <c r="A863" s="9" t="inlineStr">
        <is>
          <t>862 (▼4)</t>
        </is>
      </c>
      <c r="B863" t="inlineStr">
        <is>
          <t>Michelle Hiu Tung Law</t>
        </is>
      </c>
      <c r="C863" t="n">
        <v>2016</v>
      </c>
      <c r="D863" s="7" t="inlineStr">
        <is>
          <t>6.05</t>
        </is>
      </c>
      <c r="E863" s="7" t="inlineStr">
        <is>
          <t>10</t>
        </is>
      </c>
      <c r="F863" t="inlineStr">
        <is>
          <t>Tennis Alberta</t>
        </is>
      </c>
      <c r="G863" t="inlineStr">
        <is>
          <t>Saville Community Sports Centre</t>
        </is>
      </c>
      <c r="H863" s="7" t="inlineStr">
        <is>
          <t>37.9</t>
        </is>
      </c>
      <c r="I863" t="n">
        <v>84</v>
      </c>
      <c r="J863" t="inlineStr">
        <is>
          <t>37 / 47</t>
        </is>
      </c>
      <c r="K863" s="8" t="inlineStr">
        <is>
          <t>49% (▲8%)</t>
        </is>
      </c>
    </row>
    <row r="864">
      <c r="A864" s="9" t="inlineStr">
        <is>
          <t>863 (▼4)</t>
        </is>
      </c>
      <c r="B864" t="inlineStr">
        <is>
          <t>Allison Zhang</t>
        </is>
      </c>
      <c r="C864" t="n">
        <v>2015</v>
      </c>
      <c r="D864" s="7" t="inlineStr">
        <is>
          <t>6.00</t>
        </is>
      </c>
      <c r="E864" s="7" t="inlineStr">
        <is>
          <t>1</t>
        </is>
      </c>
      <c r="F864" t="inlineStr">
        <is>
          <t>Ontario Tennis Association</t>
        </is>
      </c>
      <c r="G864" t="inlineStr">
        <is>
          <t>No Club</t>
        </is>
      </c>
      <c r="H864" s="7" t="inlineStr">
        <is>
          <t>unavailable</t>
        </is>
      </c>
      <c r="I864" t="n">
        <v>23</v>
      </c>
      <c r="J864" t="inlineStr">
        <is>
          <t>4 / 19</t>
        </is>
      </c>
      <c r="K864" s="7" t="inlineStr">
        <is>
          <t>0%</t>
        </is>
      </c>
    </row>
    <row r="865">
      <c r="A865" s="9" t="inlineStr">
        <is>
          <t>863 (▼4)</t>
        </is>
      </c>
      <c r="B865" t="inlineStr">
        <is>
          <t>Dina Karahotzitis</t>
        </is>
      </c>
      <c r="C865" t="n">
        <v>2014</v>
      </c>
      <c r="D865" s="7" t="inlineStr">
        <is>
          <t>6.00</t>
        </is>
      </c>
      <c r="E865" s="7" t="inlineStr">
        <is>
          <t>1</t>
        </is>
      </c>
      <c r="F865" t="inlineStr">
        <is>
          <t>Ontario Tennis Association</t>
        </is>
      </c>
      <c r="G865" t="inlineStr">
        <is>
          <t>Mayfair West Fitness &amp; Racquet Club</t>
        </is>
      </c>
      <c r="H865" s="7" t="inlineStr">
        <is>
          <t>34.9</t>
        </is>
      </c>
      <c r="I865" t="n">
        <v>19</v>
      </c>
      <c r="J865" t="inlineStr">
        <is>
          <t>0 / 19</t>
        </is>
      </c>
      <c r="K865" s="7" t="inlineStr">
        <is>
          <t>0%</t>
        </is>
      </c>
    </row>
    <row r="866">
      <c r="A866" s="9" t="inlineStr">
        <is>
          <t>865 (▼4)</t>
        </is>
      </c>
      <c r="B866" t="inlineStr">
        <is>
          <t>Vera Nino</t>
        </is>
      </c>
      <c r="C866" t="n">
        <v>2015</v>
      </c>
      <c r="D866" s="7" t="inlineStr">
        <is>
          <t>5.80</t>
        </is>
      </c>
      <c r="E866" s="7" t="inlineStr">
        <is>
          <t>1</t>
        </is>
      </c>
      <c r="F866" t="inlineStr">
        <is>
          <t>Ontario Tennis Association</t>
        </is>
      </c>
      <c r="G866" t="inlineStr">
        <is>
          <t>Zekelman Tennis Centre</t>
        </is>
      </c>
      <c r="H866" s="7" t="inlineStr">
        <is>
          <t>unavailable</t>
        </is>
      </c>
      <c r="I866" t="n">
        <v>9</v>
      </c>
      <c r="J866" t="inlineStr">
        <is>
          <t>1 / 8</t>
        </is>
      </c>
      <c r="K866" s="9" t="inlineStr">
        <is>
          <t>11% (▼0%)</t>
        </is>
      </c>
    </row>
    <row r="867">
      <c r="A867" s="9" t="inlineStr">
        <is>
          <t>866 (▼3)</t>
        </is>
      </c>
      <c r="B867" t="inlineStr">
        <is>
          <t>Alexandra Ciacoi-Pop</t>
        </is>
      </c>
      <c r="C867" t="n">
        <v>2014</v>
      </c>
      <c r="D867" s="7" t="inlineStr">
        <is>
          <t>5.12</t>
        </is>
      </c>
      <c r="E867" s="7" t="inlineStr">
        <is>
          <t>1</t>
        </is>
      </c>
      <c r="F867" t="inlineStr">
        <is>
          <t>Ontario Tennis Association</t>
        </is>
      </c>
      <c r="G867" t="inlineStr">
        <is>
          <t>Parkway Valley Tennis Club</t>
        </is>
      </c>
      <c r="H867" s="7" t="inlineStr">
        <is>
          <t>38.8</t>
        </is>
      </c>
      <c r="I867" t="n">
        <v>28</v>
      </c>
      <c r="J867" t="inlineStr">
        <is>
          <t>11 / 17</t>
        </is>
      </c>
      <c r="K867" s="7" t="inlineStr">
        <is>
          <t>37%</t>
        </is>
      </c>
    </row>
    <row r="868">
      <c r="A868" s="9" t="inlineStr">
        <is>
          <t>866 (▼3)</t>
        </is>
      </c>
      <c r="B868" t="inlineStr">
        <is>
          <t>Marusya Bakaeva</t>
        </is>
      </c>
      <c r="C868" t="n">
        <v>2016</v>
      </c>
      <c r="D868" s="7" t="inlineStr">
        <is>
          <t>5.12</t>
        </is>
      </c>
      <c r="E868" s="8" t="inlineStr">
        <is>
          <t>3 (+1)</t>
        </is>
      </c>
      <c r="F868" t="inlineStr">
        <is>
          <t>Ontario Tennis Association</t>
        </is>
      </c>
      <c r="G868" t="inlineStr">
        <is>
          <t>Toronto Tennis City</t>
        </is>
      </c>
      <c r="H868" s="9" t="inlineStr">
        <is>
          <t>38.4 (▼1.2)</t>
        </is>
      </c>
      <c r="I868" t="n">
        <v>21</v>
      </c>
      <c r="J868" t="inlineStr">
        <is>
          <t>9 / 12</t>
        </is>
      </c>
      <c r="K868" s="9" t="inlineStr">
        <is>
          <t>43% (▼3%)</t>
        </is>
      </c>
    </row>
    <row r="869">
      <c r="A869" s="9" t="inlineStr">
        <is>
          <t>868 (▼31)</t>
        </is>
      </c>
      <c r="B869" t="inlineStr">
        <is>
          <t>Nya Robinson</t>
        </is>
      </c>
      <c r="C869" t="n">
        <v>2013</v>
      </c>
      <c r="D869" s="9" t="inlineStr">
        <is>
          <t>5.08 (▼2.59)</t>
        </is>
      </c>
      <c r="E869" s="9" t="inlineStr">
        <is>
          <t>3 (-1)</t>
        </is>
      </c>
      <c r="F869" t="inlineStr">
        <is>
          <t>Tennis Alberta</t>
        </is>
      </c>
      <c r="G869" t="inlineStr">
        <is>
          <t>Osten &amp; Victor Alberta Tennis Centre</t>
        </is>
      </c>
      <c r="H869" s="7" t="inlineStr">
        <is>
          <t>38.0</t>
        </is>
      </c>
      <c r="I869" t="n">
        <v>17</v>
      </c>
      <c r="J869" t="inlineStr">
        <is>
          <t>7 / 10</t>
        </is>
      </c>
      <c r="K869" s="7" t="inlineStr">
        <is>
          <t>67%</t>
        </is>
      </c>
    </row>
    <row r="870">
      <c r="A870" s="9" t="inlineStr">
        <is>
          <t>869 (▼4)</t>
        </is>
      </c>
      <c r="B870" t="inlineStr">
        <is>
          <t>Ruhi Juneja</t>
        </is>
      </c>
      <c r="C870" t="n">
        <v>2015</v>
      </c>
      <c r="D870" s="7" t="inlineStr">
        <is>
          <t>5.07</t>
        </is>
      </c>
      <c r="E870" s="7" t="inlineStr">
        <is>
          <t>6</t>
        </is>
      </c>
      <c r="F870" t="inlineStr">
        <is>
          <t>Tennis Alberta</t>
        </is>
      </c>
      <c r="G870" t="inlineStr">
        <is>
          <t>IQ Tennis and Pickleball Centre</t>
        </is>
      </c>
      <c r="H870" s="7" t="inlineStr">
        <is>
          <t>39.7</t>
        </is>
      </c>
      <c r="I870" t="n">
        <v>10</v>
      </c>
      <c r="J870" t="inlineStr">
        <is>
          <t>1 / 9</t>
        </is>
      </c>
      <c r="K870" s="7" t="inlineStr">
        <is>
          <t>10%</t>
        </is>
      </c>
    </row>
    <row r="871">
      <c r="A871" s="9" t="inlineStr">
        <is>
          <t>870 (▼4)</t>
        </is>
      </c>
      <c r="B871" t="inlineStr">
        <is>
          <t>Frankie Hunsberger</t>
        </is>
      </c>
      <c r="C871" t="n">
        <v>2012</v>
      </c>
      <c r="D871" s="7" t="inlineStr">
        <is>
          <t>5.05</t>
        </is>
      </c>
      <c r="E871" s="7" t="inlineStr">
        <is>
          <t>2</t>
        </is>
      </c>
      <c r="F871" t="inlineStr">
        <is>
          <t>British Columbia</t>
        </is>
      </c>
      <c r="G871" t="inlineStr">
        <is>
          <t>North Shore Winter Club</t>
        </is>
      </c>
      <c r="H871" s="7" t="inlineStr">
        <is>
          <t>38.6</t>
        </is>
      </c>
      <c r="I871" t="n">
        <v>18</v>
      </c>
      <c r="J871" t="inlineStr">
        <is>
          <t>10 / 8</t>
        </is>
      </c>
      <c r="K871" s="7" t="inlineStr">
        <is>
          <t>60%</t>
        </is>
      </c>
    </row>
    <row r="872">
      <c r="A872" s="9" t="inlineStr">
        <is>
          <t>871 (▼4)</t>
        </is>
      </c>
      <c r="B872" t="inlineStr">
        <is>
          <t>Freya Run Rutledge</t>
        </is>
      </c>
      <c r="C872" t="n">
        <v>2014</v>
      </c>
      <c r="D872" s="7" t="inlineStr">
        <is>
          <t>5.00</t>
        </is>
      </c>
      <c r="E872" s="7" t="inlineStr">
        <is>
          <t>1</t>
        </is>
      </c>
      <c r="F872" t="inlineStr">
        <is>
          <t>Ontario Tennis Association</t>
        </is>
      </c>
      <c r="G872" t="inlineStr">
        <is>
          <t>Boulevard Club</t>
        </is>
      </c>
      <c r="H872" s="7" t="inlineStr">
        <is>
          <t>34.9</t>
        </is>
      </c>
      <c r="I872" t="n">
        <v>14</v>
      </c>
      <c r="J872" t="inlineStr">
        <is>
          <t>0 / 14</t>
        </is>
      </c>
      <c r="K872" s="7" t="inlineStr">
        <is>
          <t>0%</t>
        </is>
      </c>
    </row>
    <row r="873">
      <c r="A873" s="9" t="inlineStr">
        <is>
          <t>871 (▼4)</t>
        </is>
      </c>
      <c r="B873" t="inlineStr">
        <is>
          <t>Cynthia Wang</t>
        </is>
      </c>
      <c r="C873" t="n">
        <v>2015</v>
      </c>
      <c r="D873" s="7" t="inlineStr">
        <is>
          <t>5.00</t>
        </is>
      </c>
      <c r="E873" s="7" t="inlineStr">
        <is>
          <t>1</t>
        </is>
      </c>
      <c r="F873" t="inlineStr">
        <is>
          <t>Ontario Tennis Association</t>
        </is>
      </c>
      <c r="G873" t="inlineStr">
        <is>
          <t>SmartVMC Racquetsports by ACE</t>
        </is>
      </c>
      <c r="H873" s="7" t="inlineStr">
        <is>
          <t>37.3</t>
        </is>
      </c>
      <c r="I873" t="n">
        <v>3</v>
      </c>
      <c r="J873" t="inlineStr">
        <is>
          <t>0 / 3</t>
        </is>
      </c>
      <c r="K873" s="7" t="inlineStr">
        <is>
          <t>0%</t>
        </is>
      </c>
    </row>
    <row r="874">
      <c r="A874" s="9" t="inlineStr">
        <is>
          <t>871 (▼4)</t>
        </is>
      </c>
      <c r="B874" t="inlineStr">
        <is>
          <t>Mackenzie Lee</t>
        </is>
      </c>
      <c r="C874" t="n">
        <v>2014</v>
      </c>
      <c r="D874" s="7" t="inlineStr">
        <is>
          <t>5.00</t>
        </is>
      </c>
      <c r="E874" s="7" t="inlineStr">
        <is>
          <t>1</t>
        </is>
      </c>
      <c r="F874" t="inlineStr">
        <is>
          <t>Ontario Tennis Association</t>
        </is>
      </c>
      <c r="G874" t="inlineStr">
        <is>
          <t>Toronto Lawn Tennis Club</t>
        </is>
      </c>
      <c r="H874" s="7" t="inlineStr">
        <is>
          <t>unavailable</t>
        </is>
      </c>
      <c r="I874" t="n">
        <v>13</v>
      </c>
      <c r="J874" t="inlineStr">
        <is>
          <t>5 / 8</t>
        </is>
      </c>
      <c r="K874" s="7" t="inlineStr">
        <is>
          <t>56%</t>
        </is>
      </c>
    </row>
    <row r="875">
      <c r="A875" s="9" t="inlineStr">
        <is>
          <t>874 (▼4)</t>
        </is>
      </c>
      <c r="B875" t="inlineStr">
        <is>
          <t>Alicia Januario</t>
        </is>
      </c>
      <c r="C875" t="n">
        <v>2014</v>
      </c>
      <c r="D875" s="7" t="inlineStr">
        <is>
          <t>4.93</t>
        </is>
      </c>
      <c r="E875" s="7" t="inlineStr">
        <is>
          <t>2</t>
        </is>
      </c>
      <c r="F875" t="inlineStr">
        <is>
          <t>Tennis Québec</t>
        </is>
      </c>
      <c r="G875" t="inlineStr">
        <is>
          <t>No Club</t>
        </is>
      </c>
      <c r="H875" s="7" t="inlineStr">
        <is>
          <t>37.7</t>
        </is>
      </c>
      <c r="I875" t="n">
        <v>6</v>
      </c>
      <c r="J875" t="inlineStr">
        <is>
          <t>1 / 5</t>
        </is>
      </c>
      <c r="K875" s="7" t="inlineStr">
        <is>
          <t>17%</t>
        </is>
      </c>
    </row>
    <row r="876">
      <c r="A876" s="9" t="inlineStr">
        <is>
          <t>875 (▼4)</t>
        </is>
      </c>
      <c r="B876" t="inlineStr">
        <is>
          <t>Ella Luo</t>
        </is>
      </c>
      <c r="C876" t="n">
        <v>2016</v>
      </c>
      <c r="D876" s="7" t="inlineStr">
        <is>
          <t>4.84</t>
        </is>
      </c>
      <c r="E876" s="7" t="inlineStr">
        <is>
          <t>4</t>
        </is>
      </c>
      <c r="F876" t="inlineStr">
        <is>
          <t>Tennis Alberta</t>
        </is>
      </c>
      <c r="G876" t="inlineStr">
        <is>
          <t>Saville Community Sports Centre</t>
        </is>
      </c>
      <c r="H876" s="7" t="inlineStr">
        <is>
          <t>37.9</t>
        </is>
      </c>
      <c r="I876" t="n">
        <v>37</v>
      </c>
      <c r="J876" t="inlineStr">
        <is>
          <t>17 / 20</t>
        </is>
      </c>
      <c r="K876" s="8" t="inlineStr">
        <is>
          <t>52% (▲6%)</t>
        </is>
      </c>
    </row>
    <row r="877">
      <c r="A877" s="8" t="inlineStr">
        <is>
          <t>876 (New)</t>
        </is>
      </c>
      <c r="B877" t="inlineStr">
        <is>
          <t>Mira Miroievskaia</t>
        </is>
      </c>
      <c r="C877" t="n">
        <v>2016</v>
      </c>
      <c r="D877" s="7" t="inlineStr">
        <is>
          <t>4.81</t>
        </is>
      </c>
      <c r="E877" s="7" t="inlineStr">
        <is>
          <t>2</t>
        </is>
      </c>
      <c r="F877" t="inlineStr">
        <is>
          <t>Ontario Tennis Association</t>
        </is>
      </c>
      <c r="G877" t="inlineStr">
        <is>
          <t>Barrie North Winter Tennis</t>
        </is>
      </c>
      <c r="H877" s="7" t="inlineStr">
        <is>
          <t>38.0</t>
        </is>
      </c>
      <c r="I877" t="n">
        <v>54</v>
      </c>
      <c r="J877" t="inlineStr">
        <is>
          <t>21 / 33</t>
        </is>
      </c>
      <c r="K877" s="7" t="inlineStr">
        <is>
          <t>39%</t>
        </is>
      </c>
    </row>
    <row r="878">
      <c r="A878" s="9" t="inlineStr">
        <is>
          <t>876 (▼699)</t>
        </is>
      </c>
      <c r="B878" t="inlineStr">
        <is>
          <t>Emma Sun</t>
        </is>
      </c>
      <c r="C878" t="n">
        <v>2014</v>
      </c>
      <c r="D878" s="9" t="inlineStr">
        <is>
          <t>4.81 (▼498.92)</t>
        </is>
      </c>
      <c r="E878" s="9" t="inlineStr">
        <is>
          <t>1 (-14)</t>
        </is>
      </c>
      <c r="F878" t="inlineStr">
        <is>
          <t>Ontario Tennis Association</t>
        </is>
      </c>
      <c r="G878" t="inlineStr">
        <is>
          <t>Valan Tennis Academy</t>
        </is>
      </c>
      <c r="H878" s="9" t="inlineStr">
        <is>
          <t>38.5 (▼11.0)</t>
        </is>
      </c>
      <c r="I878" t="n">
        <v>18</v>
      </c>
      <c r="J878" t="inlineStr">
        <is>
          <t>10 / 8</t>
        </is>
      </c>
      <c r="K878" s="7" t="inlineStr">
        <is>
          <t>50%</t>
        </is>
      </c>
    </row>
    <row r="879">
      <c r="A879" s="9" t="inlineStr">
        <is>
          <t>876 (▼4)</t>
        </is>
      </c>
      <c r="B879" t="inlineStr">
        <is>
          <t>Hannah Kucherawy</t>
        </is>
      </c>
      <c r="C879" t="n">
        <v>2014</v>
      </c>
      <c r="D879" s="7" t="inlineStr">
        <is>
          <t>4.81</t>
        </is>
      </c>
      <c r="E879" s="7" t="inlineStr">
        <is>
          <t>1</t>
        </is>
      </c>
      <c r="F879" t="inlineStr">
        <is>
          <t>Ontario Tennis Association</t>
        </is>
      </c>
      <c r="G879" t="inlineStr">
        <is>
          <t>Simcoe Tennis</t>
        </is>
      </c>
      <c r="H879" s="7" t="inlineStr">
        <is>
          <t>35.6</t>
        </is>
      </c>
      <c r="I879" t="n">
        <v>23</v>
      </c>
      <c r="J879" t="inlineStr">
        <is>
          <t>3 / 20</t>
        </is>
      </c>
      <c r="K879" s="7" t="inlineStr">
        <is>
          <t>50%</t>
        </is>
      </c>
    </row>
    <row r="880">
      <c r="A880" s="9" t="inlineStr">
        <is>
          <t>876 (▼4)</t>
        </is>
      </c>
      <c r="B880" t="inlineStr">
        <is>
          <t>Iris Li</t>
        </is>
      </c>
      <c r="C880" t="n">
        <v>2014</v>
      </c>
      <c r="D880" s="7" t="inlineStr">
        <is>
          <t>4.81</t>
        </is>
      </c>
      <c r="E880" s="7" t="inlineStr">
        <is>
          <t>2</t>
        </is>
      </c>
      <c r="F880" t="inlineStr">
        <is>
          <t>British Columbia</t>
        </is>
      </c>
      <c r="G880" t="inlineStr">
        <is>
          <t>Tennis for Life</t>
        </is>
      </c>
      <c r="H880" s="7" t="inlineStr">
        <is>
          <t>39.5</t>
        </is>
      </c>
      <c r="I880" t="n">
        <v>43</v>
      </c>
      <c r="J880" t="inlineStr">
        <is>
          <t>17 / 26</t>
        </is>
      </c>
      <c r="K880" s="7" t="inlineStr">
        <is>
          <t>67%</t>
        </is>
      </c>
    </row>
    <row r="881">
      <c r="A881" s="9" t="inlineStr">
        <is>
          <t>876 (▼4)</t>
        </is>
      </c>
      <c r="B881" t="inlineStr">
        <is>
          <t>Grâce-David Adzo TRAORÉ</t>
        </is>
      </c>
      <c r="C881" t="n">
        <v>2013</v>
      </c>
      <c r="D881" s="7" t="inlineStr">
        <is>
          <t>4.81</t>
        </is>
      </c>
      <c r="E881" s="7" t="inlineStr">
        <is>
          <t>1</t>
        </is>
      </c>
      <c r="F881" t="inlineStr">
        <is>
          <t>Tennis Québec</t>
        </is>
      </c>
      <c r="G881" t="inlineStr">
        <is>
          <t>QC AutreClub</t>
        </is>
      </c>
      <c r="H881" s="7" t="inlineStr">
        <is>
          <t>unavailable</t>
        </is>
      </c>
      <c r="I881" t="n">
        <v>1</v>
      </c>
      <c r="J881" t="inlineStr">
        <is>
          <t>0 / 1</t>
        </is>
      </c>
      <c r="K881" s="7" t="inlineStr">
        <is>
          <t>0%</t>
        </is>
      </c>
    </row>
    <row r="882">
      <c r="A882" s="9" t="inlineStr">
        <is>
          <t>881 (▼5)</t>
        </is>
      </c>
      <c r="B882" t="inlineStr">
        <is>
          <t>Jade Adepetu</t>
        </is>
      </c>
      <c r="C882" t="n">
        <v>2015</v>
      </c>
      <c r="D882" s="7" t="inlineStr">
        <is>
          <t>4.42</t>
        </is>
      </c>
      <c r="E882" s="7" t="inlineStr">
        <is>
          <t>4</t>
        </is>
      </c>
      <c r="F882" t="inlineStr">
        <is>
          <t>Tennis Alberta</t>
        </is>
      </c>
      <c r="G882" t="inlineStr">
        <is>
          <t>Osten &amp; Victor Alberta Tennis Centre</t>
        </is>
      </c>
      <c r="H882" s="7" t="inlineStr">
        <is>
          <t>unavailable</t>
        </is>
      </c>
      <c r="I882" t="n">
        <v>27</v>
      </c>
      <c r="J882" t="inlineStr">
        <is>
          <t>6 / 21</t>
        </is>
      </c>
      <c r="K882" s="7" t="inlineStr">
        <is>
          <t>31%</t>
        </is>
      </c>
    </row>
    <row r="883">
      <c r="A883" s="9" t="inlineStr">
        <is>
          <t>882 (▼5)</t>
        </is>
      </c>
      <c r="B883" t="inlineStr">
        <is>
          <t>rafaela pena</t>
        </is>
      </c>
      <c r="C883" t="n">
        <v>2013</v>
      </c>
      <c r="D883" s="7" t="inlineStr">
        <is>
          <t>4.29</t>
        </is>
      </c>
      <c r="E883" s="7" t="inlineStr">
        <is>
          <t>1</t>
        </is>
      </c>
      <c r="F883" t="inlineStr">
        <is>
          <t>Tennis Québec</t>
        </is>
      </c>
      <c r="G883" t="inlineStr">
        <is>
          <t>Tennis Québec (région Montréal Ouest)</t>
        </is>
      </c>
      <c r="H883" s="7" t="inlineStr">
        <is>
          <t>unavailable</t>
        </is>
      </c>
      <c r="I883" t="n">
        <v>10</v>
      </c>
      <c r="J883" t="inlineStr">
        <is>
          <t>4 / 6</t>
        </is>
      </c>
      <c r="K883" s="7" t="inlineStr">
        <is>
          <t>0%</t>
        </is>
      </c>
    </row>
    <row r="884">
      <c r="A884" s="9" t="inlineStr">
        <is>
          <t>883 (▼5)</t>
        </is>
      </c>
      <c r="B884" t="inlineStr">
        <is>
          <t>Leonor Carolina Villarroel</t>
        </is>
      </c>
      <c r="C884" t="n">
        <v>2014</v>
      </c>
      <c r="D884" s="7" t="inlineStr">
        <is>
          <t>4.10</t>
        </is>
      </c>
      <c r="E884" s="7" t="inlineStr">
        <is>
          <t>1</t>
        </is>
      </c>
      <c r="F884" t="inlineStr">
        <is>
          <t>Tennis Nova Scotia</t>
        </is>
      </c>
      <c r="G884" t="inlineStr">
        <is>
          <t>The Cougar Dome</t>
        </is>
      </c>
      <c r="H884" s="7" t="inlineStr">
        <is>
          <t>37.0</t>
        </is>
      </c>
      <c r="I884" t="n">
        <v>1</v>
      </c>
      <c r="J884" t="inlineStr">
        <is>
          <t>0 / 1</t>
        </is>
      </c>
      <c r="K884" s="7" t="inlineStr">
        <is>
          <t>0%</t>
        </is>
      </c>
    </row>
    <row r="885">
      <c r="A885" s="9" t="inlineStr">
        <is>
          <t>884 (▼5)</t>
        </is>
      </c>
      <c r="B885" t="inlineStr">
        <is>
          <t>Emmy Judge</t>
        </is>
      </c>
      <c r="C885" t="n">
        <v>2015</v>
      </c>
      <c r="D885" s="7" t="inlineStr">
        <is>
          <t>4.08</t>
        </is>
      </c>
      <c r="E885" s="7" t="inlineStr">
        <is>
          <t>1</t>
        </is>
      </c>
      <c r="F885" t="inlineStr">
        <is>
          <t>Ontario Tennis Association</t>
        </is>
      </c>
      <c r="G885" t="inlineStr">
        <is>
          <t>No Club</t>
        </is>
      </c>
      <c r="H885" s="7" t="inlineStr">
        <is>
          <t>unavailable</t>
        </is>
      </c>
      <c r="I885" t="n">
        <v>4</v>
      </c>
      <c r="J885" t="inlineStr">
        <is>
          <t>0 / 4</t>
        </is>
      </c>
      <c r="K885" s="7" t="inlineStr">
        <is>
          <t>0%</t>
        </is>
      </c>
    </row>
    <row r="886">
      <c r="A886" s="9" t="inlineStr">
        <is>
          <t>885 (▼5)</t>
        </is>
      </c>
      <c r="B886" t="inlineStr">
        <is>
          <t>Sophie Wu</t>
        </is>
      </c>
      <c r="C886" t="n">
        <v>2015</v>
      </c>
      <c r="D886" s="7" t="inlineStr">
        <is>
          <t>3.94</t>
        </is>
      </c>
      <c r="E886" s="7" t="inlineStr">
        <is>
          <t>1</t>
        </is>
      </c>
      <c r="F886" t="inlineStr">
        <is>
          <t>Tennis Québec</t>
        </is>
      </c>
      <c r="G886" t="inlineStr">
        <is>
          <t>No Club</t>
        </is>
      </c>
      <c r="H886" s="7" t="inlineStr">
        <is>
          <t>38.7</t>
        </is>
      </c>
      <c r="I886" t="n">
        <v>1</v>
      </c>
      <c r="J886" t="inlineStr">
        <is>
          <t>0 / 1</t>
        </is>
      </c>
      <c r="K886" s="7" t="inlineStr">
        <is>
          <t>0%</t>
        </is>
      </c>
    </row>
    <row r="887">
      <c r="A887" s="9" t="inlineStr">
        <is>
          <t>886 (▼4)</t>
        </is>
      </c>
      <c r="B887" t="inlineStr">
        <is>
          <t>Brooklyn Desjardins</t>
        </is>
      </c>
      <c r="C887" t="n">
        <v>2013</v>
      </c>
      <c r="D887" s="7" t="inlineStr">
        <is>
          <t>3.89</t>
        </is>
      </c>
      <c r="E887" s="7" t="inlineStr">
        <is>
          <t>1</t>
        </is>
      </c>
      <c r="F887" t="inlineStr">
        <is>
          <t>Tennis Québec</t>
        </is>
      </c>
      <c r="G887" t="inlineStr">
        <is>
          <t>Club Sportif Côte-de-Liesse</t>
        </is>
      </c>
      <c r="H887" s="7" t="inlineStr">
        <is>
          <t>37.7</t>
        </is>
      </c>
      <c r="I887" t="n">
        <v>49</v>
      </c>
      <c r="J887" t="inlineStr">
        <is>
          <t>19 / 30</t>
        </is>
      </c>
      <c r="K887" s="7" t="inlineStr">
        <is>
          <t>0%</t>
        </is>
      </c>
    </row>
    <row r="888">
      <c r="A888" s="9" t="inlineStr">
        <is>
          <t>886 (▼50)</t>
        </is>
      </c>
      <c r="B888" t="inlineStr">
        <is>
          <t>Gloriana Shiqi Zhang</t>
        </is>
      </c>
      <c r="C888" t="n">
        <v>2014</v>
      </c>
      <c r="D888" s="9" t="inlineStr">
        <is>
          <t>3.89 (▼3.89)</t>
        </is>
      </c>
      <c r="E888" s="9" t="inlineStr">
        <is>
          <t>1 (-1)</t>
        </is>
      </c>
      <c r="F888" t="inlineStr">
        <is>
          <t>British Columbia</t>
        </is>
      </c>
      <c r="G888" t="inlineStr">
        <is>
          <t>Hollyburn Country Club</t>
        </is>
      </c>
      <c r="H888" s="7" t="inlineStr">
        <is>
          <t>unavailable</t>
        </is>
      </c>
      <c r="I888" t="n">
        <v>32</v>
      </c>
      <c r="J888" t="inlineStr">
        <is>
          <t>5 / 27</t>
        </is>
      </c>
      <c r="K888" s="7" t="inlineStr">
        <is>
          <t>0%</t>
        </is>
      </c>
    </row>
    <row r="889">
      <c r="A889" s="9" t="inlineStr">
        <is>
          <t>886 (▼4)</t>
        </is>
      </c>
      <c r="B889" t="inlineStr">
        <is>
          <t>Nysa Iyer</t>
        </is>
      </c>
      <c r="C889" t="n">
        <v>2017</v>
      </c>
      <c r="D889" s="7" t="inlineStr">
        <is>
          <t>3.89</t>
        </is>
      </c>
      <c r="E889" s="7" t="inlineStr">
        <is>
          <t>4</t>
        </is>
      </c>
      <c r="F889" t="inlineStr">
        <is>
          <t>Tennis Alberta</t>
        </is>
      </c>
      <c r="G889" t="inlineStr">
        <is>
          <t>No Club</t>
        </is>
      </c>
      <c r="H889" s="7" t="inlineStr">
        <is>
          <t>38.4</t>
        </is>
      </c>
      <c r="I889" t="n">
        <v>67</v>
      </c>
      <c r="J889" t="inlineStr">
        <is>
          <t>32 / 35</t>
        </is>
      </c>
      <c r="K889" s="7" t="inlineStr">
        <is>
          <t>52%</t>
        </is>
      </c>
    </row>
    <row r="890">
      <c r="A890" s="9" t="inlineStr">
        <is>
          <t>886 (▼4)</t>
        </is>
      </c>
      <c r="B890" t="inlineStr">
        <is>
          <t>JIAYI LIN</t>
        </is>
      </c>
      <c r="C890" t="n">
        <v>2015</v>
      </c>
      <c r="D890" s="7" t="inlineStr">
        <is>
          <t>3.89</t>
        </is>
      </c>
      <c r="E890" s="7" t="inlineStr">
        <is>
          <t>1</t>
        </is>
      </c>
      <c r="F890" t="inlineStr">
        <is>
          <t>Ontario Tennis Association</t>
        </is>
      </c>
      <c r="G890" t="inlineStr">
        <is>
          <t>Mayfair Parkway Racquet Club</t>
        </is>
      </c>
      <c r="H890" s="7" t="inlineStr">
        <is>
          <t>39.1</t>
        </is>
      </c>
      <c r="I890" t="n">
        <v>2</v>
      </c>
      <c r="J890" t="inlineStr">
        <is>
          <t>0 / 2</t>
        </is>
      </c>
      <c r="K890" s="7" t="inlineStr">
        <is>
          <t>0%</t>
        </is>
      </c>
    </row>
    <row r="891">
      <c r="A891" s="9" t="inlineStr">
        <is>
          <t>886 (▼4)</t>
        </is>
      </c>
      <c r="B891" t="inlineStr">
        <is>
          <t>Olivia Franchi</t>
        </is>
      </c>
      <c r="C891" t="n">
        <v>2015</v>
      </c>
      <c r="D891" s="7" t="inlineStr">
        <is>
          <t>3.89</t>
        </is>
      </c>
      <c r="E891" s="7" t="inlineStr">
        <is>
          <t>1</t>
        </is>
      </c>
      <c r="F891" t="inlineStr">
        <is>
          <t>Ontario Tennis Association</t>
        </is>
      </c>
      <c r="G891" t="inlineStr">
        <is>
          <t>Barrie North Winter Tennis</t>
        </is>
      </c>
      <c r="H891" s="7" t="inlineStr">
        <is>
          <t>37.6</t>
        </is>
      </c>
      <c r="I891" t="n">
        <v>14</v>
      </c>
      <c r="J891" t="inlineStr">
        <is>
          <t>0 / 14</t>
        </is>
      </c>
      <c r="K891" s="7" t="inlineStr">
        <is>
          <t>0%</t>
        </is>
      </c>
    </row>
    <row r="892">
      <c r="A892" s="9" t="inlineStr">
        <is>
          <t>886 (▼4)</t>
        </is>
      </c>
      <c r="B892" t="inlineStr">
        <is>
          <t>Maya Clara Shakra</t>
        </is>
      </c>
      <c r="C892" t="n">
        <v>2015</v>
      </c>
      <c r="D892" s="7" t="inlineStr">
        <is>
          <t>3.89</t>
        </is>
      </c>
      <c r="E892" s="7" t="inlineStr">
        <is>
          <t>1</t>
        </is>
      </c>
      <c r="F892" t="inlineStr">
        <is>
          <t>Ontario Tennis Association</t>
        </is>
      </c>
      <c r="G892" t="inlineStr">
        <is>
          <t>Toronto Tennis Academy</t>
        </is>
      </c>
      <c r="H892" s="7" t="inlineStr">
        <is>
          <t>unavailable</t>
        </is>
      </c>
      <c r="I892" t="n">
        <v>44</v>
      </c>
      <c r="J892" t="inlineStr">
        <is>
          <t>14 / 30</t>
        </is>
      </c>
      <c r="K892" s="7" t="inlineStr">
        <is>
          <t>33%</t>
        </is>
      </c>
    </row>
    <row r="893">
      <c r="A893" s="9" t="inlineStr">
        <is>
          <t>886 (▼4)</t>
        </is>
      </c>
      <c r="B893" t="inlineStr">
        <is>
          <t>Yanxi Chen</t>
        </is>
      </c>
      <c r="C893" t="n">
        <v>2014</v>
      </c>
      <c r="D893" s="7" t="inlineStr">
        <is>
          <t>3.89</t>
        </is>
      </c>
      <c r="E893" s="7" t="inlineStr">
        <is>
          <t>1</t>
        </is>
      </c>
      <c r="F893" t="inlineStr">
        <is>
          <t>British Columbia</t>
        </is>
      </c>
      <c r="G893" t="inlineStr">
        <is>
          <t>West Vancouver Tennis Club</t>
        </is>
      </c>
      <c r="H893" s="7" t="inlineStr">
        <is>
          <t>38.6</t>
        </is>
      </c>
      <c r="I893" t="n">
        <v>10</v>
      </c>
      <c r="J893" t="inlineStr">
        <is>
          <t>5 / 5</t>
        </is>
      </c>
      <c r="K893" s="7" t="inlineStr">
        <is>
          <t>50%</t>
        </is>
      </c>
    </row>
    <row r="894">
      <c r="A894" s="8" t="inlineStr">
        <is>
          <t>886 (New)</t>
        </is>
      </c>
      <c r="B894" t="inlineStr">
        <is>
          <t>Emmanuelle Gibson</t>
        </is>
      </c>
      <c r="C894" t="n">
        <v>2015</v>
      </c>
      <c r="D894" s="7" t="inlineStr">
        <is>
          <t>3.89</t>
        </is>
      </c>
      <c r="E894" s="7" t="inlineStr">
        <is>
          <t>1</t>
        </is>
      </c>
      <c r="F894" t="inlineStr">
        <is>
          <t>Ontario Tennis Association</t>
        </is>
      </c>
      <c r="G894" t="inlineStr">
        <is>
          <t>Concord Tennis Academy</t>
        </is>
      </c>
      <c r="H894" s="7" t="inlineStr">
        <is>
          <t>unavailable</t>
        </is>
      </c>
      <c r="I894" t="n">
        <v>15</v>
      </c>
      <c r="J894" t="inlineStr">
        <is>
          <t>8 / 7</t>
        </is>
      </c>
      <c r="K894" s="7" t="inlineStr">
        <is>
          <t>53%</t>
        </is>
      </c>
    </row>
    <row r="895">
      <c r="A895" s="9" t="inlineStr">
        <is>
          <t>894 (▼5)</t>
        </is>
      </c>
      <c r="B895" t="inlineStr">
        <is>
          <t>Isla Lynn Wong</t>
        </is>
      </c>
      <c r="C895" t="n">
        <v>2015</v>
      </c>
      <c r="D895" s="7" t="inlineStr">
        <is>
          <t>3.85</t>
        </is>
      </c>
      <c r="E895" s="7" t="inlineStr">
        <is>
          <t>3</t>
        </is>
      </c>
      <c r="F895" t="inlineStr">
        <is>
          <t>Tennis Alberta</t>
        </is>
      </c>
      <c r="G895" t="inlineStr">
        <is>
          <t>No Club</t>
        </is>
      </c>
      <c r="H895" s="7" t="inlineStr">
        <is>
          <t>37.3</t>
        </is>
      </c>
      <c r="I895" t="n">
        <v>21</v>
      </c>
      <c r="J895" t="inlineStr">
        <is>
          <t>12 / 9</t>
        </is>
      </c>
      <c r="K895" s="7" t="inlineStr">
        <is>
          <t>67%</t>
        </is>
      </c>
    </row>
    <row r="896">
      <c r="A896" s="9" t="inlineStr">
        <is>
          <t>895 (▼5)</t>
        </is>
      </c>
      <c r="B896" t="inlineStr">
        <is>
          <t>Baani Kaur Saini</t>
        </is>
      </c>
      <c r="C896" t="n">
        <v>2014</v>
      </c>
      <c r="D896" s="7" t="inlineStr">
        <is>
          <t>3.81</t>
        </is>
      </c>
      <c r="E896" s="7" t="inlineStr">
        <is>
          <t>1</t>
        </is>
      </c>
      <c r="F896" t="inlineStr">
        <is>
          <t>Ontario Tennis Association</t>
        </is>
      </c>
      <c r="G896" t="inlineStr">
        <is>
          <t>Bramalea Tennis Club</t>
        </is>
      </c>
      <c r="H896" s="7" t="inlineStr">
        <is>
          <t>39.2</t>
        </is>
      </c>
      <c r="I896" t="n">
        <v>5</v>
      </c>
      <c r="J896" t="inlineStr">
        <is>
          <t>0 / 5</t>
        </is>
      </c>
      <c r="K896" s="7" t="inlineStr">
        <is>
          <t>0%</t>
        </is>
      </c>
    </row>
    <row r="897">
      <c r="A897" s="9" t="inlineStr">
        <is>
          <t>896 (▼5)</t>
        </is>
      </c>
      <c r="B897" t="inlineStr">
        <is>
          <t>Della Lynn Bulmer</t>
        </is>
      </c>
      <c r="C897" t="n">
        <v>2014</v>
      </c>
      <c r="D897" s="7" t="inlineStr">
        <is>
          <t>3.76</t>
        </is>
      </c>
      <c r="E897" s="7" t="inlineStr">
        <is>
          <t>1</t>
        </is>
      </c>
      <c r="F897" t="inlineStr">
        <is>
          <t>British Columbia</t>
        </is>
      </c>
      <c r="G897" t="inlineStr">
        <is>
          <t>Nelson Tennis Club</t>
        </is>
      </c>
      <c r="H897" s="7" t="inlineStr">
        <is>
          <t>39.5</t>
        </is>
      </c>
      <c r="I897" t="n">
        <v>2</v>
      </c>
      <c r="J897" t="inlineStr">
        <is>
          <t>0 / 2</t>
        </is>
      </c>
      <c r="K897" s="7" t="inlineStr">
        <is>
          <t>0%</t>
        </is>
      </c>
    </row>
    <row r="898">
      <c r="A898" s="9" t="inlineStr">
        <is>
          <t>897 (▼5)</t>
        </is>
      </c>
      <c r="B898" t="inlineStr">
        <is>
          <t>Charlotte Lanthier</t>
        </is>
      </c>
      <c r="C898" t="n">
        <v>2014</v>
      </c>
      <c r="D898" s="7" t="inlineStr">
        <is>
          <t>3.76</t>
        </is>
      </c>
      <c r="E898" s="7" t="inlineStr">
        <is>
          <t>5</t>
        </is>
      </c>
      <c r="F898" t="inlineStr">
        <is>
          <t>Tennis Québec</t>
        </is>
      </c>
      <c r="G898" t="inlineStr">
        <is>
          <t>EB Tennis inc.</t>
        </is>
      </c>
      <c r="H898" s="7" t="inlineStr">
        <is>
          <t>39.6</t>
        </is>
      </c>
      <c r="I898" t="n">
        <v>6</v>
      </c>
      <c r="J898" t="inlineStr">
        <is>
          <t>0 / 6</t>
        </is>
      </c>
      <c r="K898" s="7" t="inlineStr">
        <is>
          <t>0%</t>
        </is>
      </c>
    </row>
    <row r="899">
      <c r="A899" s="8" t="inlineStr">
        <is>
          <t>898 (New)</t>
        </is>
      </c>
      <c r="B899" t="inlineStr">
        <is>
          <t>Lélia Gauthier Kassy</t>
        </is>
      </c>
      <c r="C899" t="n">
        <v>2015</v>
      </c>
      <c r="D899" s="7" t="inlineStr">
        <is>
          <t>3.67</t>
        </is>
      </c>
      <c r="E899" s="7" t="inlineStr">
        <is>
          <t>1</t>
        </is>
      </c>
      <c r="F899" t="inlineStr">
        <is>
          <t>Tennis Québec</t>
        </is>
      </c>
      <c r="G899" t="inlineStr">
        <is>
          <t>Tennis 13 / Académie Ménard et associé</t>
        </is>
      </c>
      <c r="H899" s="7" t="inlineStr">
        <is>
          <t>38.3</t>
        </is>
      </c>
      <c r="I899" t="n">
        <v>3</v>
      </c>
      <c r="J899" t="inlineStr">
        <is>
          <t>1 / 2</t>
        </is>
      </c>
      <c r="K899" s="7" t="inlineStr">
        <is>
          <t>33%</t>
        </is>
      </c>
    </row>
    <row r="900">
      <c r="A900" s="9" t="inlineStr">
        <is>
          <t>899 (▼4)</t>
        </is>
      </c>
      <c r="B900" t="inlineStr">
        <is>
          <t>Kaira Ankit Arora</t>
        </is>
      </c>
      <c r="C900" t="n">
        <v>2014</v>
      </c>
      <c r="D900" s="7" t="inlineStr">
        <is>
          <t>3.63</t>
        </is>
      </c>
      <c r="E900" s="7" t="inlineStr">
        <is>
          <t>1</t>
        </is>
      </c>
      <c r="F900" t="inlineStr">
        <is>
          <t>Ontario Tennis Association</t>
        </is>
      </c>
      <c r="G900" t="inlineStr">
        <is>
          <t>The Tennis School</t>
        </is>
      </c>
      <c r="H900" s="7" t="inlineStr">
        <is>
          <t>39.0</t>
        </is>
      </c>
      <c r="I900" t="n">
        <v>32</v>
      </c>
      <c r="J900" t="inlineStr">
        <is>
          <t>3 / 29</t>
        </is>
      </c>
      <c r="K900" s="9" t="inlineStr">
        <is>
          <t>11% (▼6%)</t>
        </is>
      </c>
    </row>
    <row r="901">
      <c r="A901" s="9" t="inlineStr">
        <is>
          <t>899 (▼4)</t>
        </is>
      </c>
      <c r="B901" t="inlineStr">
        <is>
          <t>Apphia Anderson</t>
        </is>
      </c>
      <c r="C901" t="n">
        <v>2013</v>
      </c>
      <c r="D901" s="7" t="inlineStr">
        <is>
          <t>3.63</t>
        </is>
      </c>
      <c r="E901" s="7" t="inlineStr">
        <is>
          <t>2</t>
        </is>
      </c>
      <c r="F901" t="inlineStr">
        <is>
          <t>Tennis Alberta</t>
        </is>
      </c>
      <c r="G901" t="inlineStr">
        <is>
          <t>No Club</t>
        </is>
      </c>
      <c r="H901" s="7" t="inlineStr">
        <is>
          <t>unavailable</t>
        </is>
      </c>
      <c r="I901" t="n">
        <v>3</v>
      </c>
      <c r="J901" t="inlineStr">
        <is>
          <t>0 / 3</t>
        </is>
      </c>
      <c r="K901" s="7" t="inlineStr">
        <is>
          <t>0%</t>
        </is>
      </c>
    </row>
  </sheetData>
  <autoFilter ref="A1:K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Velic, Miralem (MPBSDP)</dc:creator>
  <dcterms:created xsi:type="dcterms:W3CDTF">2026-08-05T17:14:00Z</dcterms:created>
  <dcterms:modified xsi:type="dcterms:W3CDTF">2026-10-29T22:16:06Z</dcterms:modified>
  <cp:lastModifiedBy>Velic, Miralem (MPBSDP)</cp:lastModifiedBy>
</cp:coreProperties>
</file>